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5.xml" ContentType="application/vnd.openxmlformats-officedocument.spreadsheetml.comments+xml"/>
  <Override PartName="/xl/drawings/drawing2.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comments6.xml" ContentType="application/vnd.openxmlformats-officedocument.spreadsheetml.comments+xml"/>
  <Override PartName="/xl/drawings/drawing3.xml" ContentType="application/vnd.openxmlformats-officedocument.drawing+xml"/>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comments7.xml" ContentType="application/vnd.openxmlformats-officedocument.spreadsheetml.comments+xml"/>
  <Override PartName="/xl/drawings/drawing4.xml" ContentType="application/vnd.openxmlformats-officedocument.drawing+xml"/>
  <Override PartName="/xl/comments8.xml" ContentType="application/vnd.openxmlformats-officedocument.spreadsheetml.comments+xml"/>
  <Override PartName="/xl/drawings/drawing5.xml" ContentType="application/vnd.openxmlformats-officedocument.drawing+xml"/>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embeddings/oleObject20.bin" ContentType="application/vnd.openxmlformats-officedocument.oleObject"/>
  <Override PartName="/xl/embeddings/oleObject21.bin" ContentType="application/vnd.openxmlformats-officedocument.oleObject"/>
  <Override PartName="/xl/comments9.xml" ContentType="application/vnd.openxmlformats-officedocument.spreadsheetml.comments+xml"/>
  <Override PartName="/xl/drawings/drawing6.xml" ContentType="application/vnd.openxmlformats-officedocument.drawing+xml"/>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drawings/drawing7.xml" ContentType="application/vnd.openxmlformats-officedocument.drawing+xml"/>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embeddings/oleObject33.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showInkAnnotation="0" codeName="DieseArbeitsmappe" defaultThemeVersion="124226"/>
  <mc:AlternateContent xmlns:mc="http://schemas.openxmlformats.org/markup-compatibility/2006">
    <mc:Choice Requires="x15">
      <x15ac:absPath xmlns:x15ac="http://schemas.microsoft.com/office/spreadsheetml/2010/11/ac" url="https://tso-network.de/lksn/sg_hoba/Dokumente/20_EEG/04_Verguetung/Verguetungskategorien/"/>
    </mc:Choice>
  </mc:AlternateContent>
  <xr:revisionPtr revIDLastSave="0" documentId="13_ncr:1_{E8845AEA-8E5B-45BF-8D68-78696589E767}" xr6:coauthVersionLast="47" xr6:coauthVersionMax="47" xr10:uidLastSave="{00000000-0000-0000-0000-000000000000}"/>
  <bookViews>
    <workbookView xWindow="-110" yWindow="-110" windowWidth="38620" windowHeight="21220" tabRatio="769" xr2:uid="{00000000-000D-0000-FFFF-FFFF00000000}"/>
  </bookViews>
  <sheets>
    <sheet name="Vorbehalt u. Haftungsausschluss" sheetId="7" r:id="rId1"/>
    <sheet name="Änderungshistorie" sheetId="8" r:id="rId2"/>
    <sheet name="Erläuterungen" sheetId="2" r:id="rId3"/>
    <sheet name="EEG-Vergütungen und vNNE" sheetId="5" r:id="rId4"/>
    <sheet name="Nicht mehr verwendbare Kateg." sheetId="6" r:id="rId5"/>
    <sheet name="Kategorien Auslauf d. Förderung" sheetId="9" r:id="rId6"/>
    <sheet name="Beispiel Sanktionen §52 EEG2023" sheetId="16" r:id="rId7"/>
    <sheet name="Beispiel § 23 MaStRV" sheetId="15" r:id="rId8"/>
    <sheet name="Beispiel negative Marktprämie" sheetId="10" r:id="rId9"/>
    <sheet name="Beispiel Leistungsstufen" sheetId="11" r:id="rId10"/>
    <sheet name="Beispiel Sanktion Marktwert" sheetId="14" r:id="rId11"/>
    <sheet name="Beispiel Biomasseanlage" sheetId="3" r:id="rId12"/>
    <sheet name="Beispiel Solarstromeigenverbr." sheetId="4" r:id="rId13"/>
  </sheets>
  <definedNames>
    <definedName name="_xlnm._FilterDatabase" localSheetId="3" hidden="1">'EEG-Vergütungen und vNNE'!$A$2:$J$6197</definedName>
    <definedName name="_xlnm._FilterDatabase" localSheetId="5" hidden="1">'Kategorien Auslauf d. Förderung'!$A$3:$H$676</definedName>
    <definedName name="_xlnm._FilterDatabase" localSheetId="4" hidden="1">'Nicht mehr verwendbare Kateg.'!$A$3:$I$733</definedName>
    <definedName name="_ftn2" localSheetId="2">Erläuterungen!$A$401</definedName>
    <definedName name="_ftn3" localSheetId="2">Erläuterungen!$A$402</definedName>
    <definedName name="_ftn4" localSheetId="2">Erläuterungen!$A$403</definedName>
    <definedName name="_ftn5" localSheetId="2">Erläuterungen!$A$404</definedName>
    <definedName name="_ftnref1" localSheetId="2">Erläuterungen!$B$100</definedName>
    <definedName name="_ftnref2" localSheetId="2">Erläuterungen!$A$154</definedName>
    <definedName name="_ftnref3" localSheetId="2">Erläuterungen!$B$160</definedName>
    <definedName name="_ftnref4" localSheetId="2">Erläuterungen!$A$369</definedName>
    <definedName name="_ftnref5" localSheetId="2">Erläuterungen!$A$370</definedName>
    <definedName name="anscount" hidden="1">1</definedName>
    <definedName name="_xlnm.Print_Area" localSheetId="3">'EEG-Vergütungen und vNNE'!$A:$F</definedName>
    <definedName name="Tab_Daten" localSheetId="6">#REF!</definedName>
    <definedName name="Tab_Daten">#REF!</definedName>
    <definedName name="Tab_Kategorien" localSheetId="6">#REF!</definedName>
    <definedName name="Tab_Kategorien">#REF!</definedName>
    <definedName name="Tab_Perioden" localSheetId="6">#REF!</definedName>
    <definedName name="Tab_Periode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5664" i="5" l="1"/>
  <c r="H5663" i="5"/>
  <c r="H5662" i="5"/>
  <c r="H5661" i="5"/>
  <c r="H5660" i="5"/>
  <c r="H5659" i="5"/>
  <c r="H5658" i="5"/>
  <c r="H5657" i="5"/>
  <c r="H5656" i="5"/>
  <c r="H5655" i="5"/>
  <c r="H5654" i="5"/>
  <c r="H5653" i="5"/>
  <c r="H5652" i="5"/>
  <c r="H5650" i="5"/>
  <c r="C5093" i="5"/>
  <c r="C5092" i="5"/>
  <c r="A5093" i="5"/>
  <c r="A5092" i="5"/>
  <c r="A5089" i="5"/>
  <c r="A5190" i="5"/>
  <c r="A5189" i="5"/>
  <c r="A5188" i="5"/>
  <c r="A5187" i="5"/>
  <c r="A5186" i="5"/>
  <c r="A5185" i="5"/>
  <c r="A5084" i="5"/>
  <c r="A5083" i="5"/>
  <c r="A5082" i="5"/>
  <c r="A5080" i="5"/>
  <c r="A5081" i="5"/>
  <c r="A5079" i="5"/>
  <c r="A5078" i="5"/>
  <c r="A5077" i="5"/>
  <c r="A5076" i="5"/>
  <c r="A5075" i="5"/>
  <c r="A5067" i="5"/>
  <c r="A5068" i="5" s="1"/>
  <c r="A5064" i="5"/>
  <c r="A4516" i="5"/>
  <c r="A4514" i="5"/>
  <c r="N4515" i="5"/>
  <c r="A4515" i="5" s="1"/>
  <c r="C3606" i="5"/>
  <c r="C3605" i="5"/>
  <c r="A3606" i="5"/>
  <c r="A3605" i="5"/>
  <c r="T5184" i="5"/>
  <c r="U5184" i="5"/>
  <c r="U5183" i="5"/>
  <c r="T5183" i="5"/>
  <c r="T5182" i="5"/>
  <c r="C5184" i="5" s="1"/>
  <c r="D5187" i="5"/>
  <c r="D5190" i="5" s="1"/>
  <c r="D5183" i="5"/>
  <c r="D5186" i="5" s="1"/>
  <c r="D5182" i="5"/>
  <c r="D5185" i="5" s="1"/>
  <c r="A5182" i="5"/>
  <c r="A5069" i="5" l="1"/>
  <c r="A5066" i="5"/>
  <c r="A5065" i="5"/>
  <c r="C5187" i="5"/>
  <c r="C5182" i="5"/>
  <c r="C5183" i="5"/>
  <c r="C5190" i="5"/>
  <c r="C5185" i="5"/>
  <c r="C5186" i="5"/>
  <c r="C5188" i="5"/>
  <c r="C5189" i="5"/>
  <c r="D5189" i="5"/>
  <c r="A5183" i="5"/>
  <c r="D5188" i="5"/>
  <c r="A5074" i="5"/>
  <c r="A5073" i="5"/>
  <c r="A5072" i="5"/>
  <c r="A5071" i="5"/>
  <c r="A5070" i="5"/>
  <c r="AB5072" i="5"/>
  <c r="AA5072" i="5"/>
  <c r="AB5071" i="5"/>
  <c r="AA5071" i="5"/>
  <c r="AA5070" i="5"/>
  <c r="C5074" i="5" s="1"/>
  <c r="Y5063" i="5"/>
  <c r="X5063" i="5"/>
  <c r="Y5062" i="5"/>
  <c r="X5062" i="5"/>
  <c r="R4516" i="5"/>
  <c r="S4515" i="5"/>
  <c r="R4514" i="5"/>
  <c r="C4514" i="5" s="1"/>
  <c r="S4516" i="5"/>
  <c r="R4515" i="5"/>
  <c r="X5061" i="5"/>
  <c r="C5061" i="5" s="1"/>
  <c r="R5061" i="5"/>
  <c r="W5061" i="5" s="1"/>
  <c r="Q5061" i="5"/>
  <c r="V5061" i="5" s="1"/>
  <c r="P5061" i="5"/>
  <c r="A5061" i="5"/>
  <c r="H5060" i="5"/>
  <c r="P4514" i="5"/>
  <c r="G4514" i="5" s="1"/>
  <c r="H4513" i="5"/>
  <c r="O4053" i="5"/>
  <c r="Q4053" i="5" s="1"/>
  <c r="F4053" i="5" s="1"/>
  <c r="C4053" i="5"/>
  <c r="C3607" i="5"/>
  <c r="A3607" i="5"/>
  <c r="Q3604" i="5"/>
  <c r="Q3605" i="5" s="1"/>
  <c r="T3605" i="5" s="1"/>
  <c r="P3604" i="5"/>
  <c r="C3604" i="5"/>
  <c r="A3604" i="5"/>
  <c r="H3603" i="5"/>
  <c r="Q3546" i="5"/>
  <c r="U3546" i="5" s="1"/>
  <c r="P3546" i="5"/>
  <c r="T3546" i="5" s="1"/>
  <c r="C3549" i="5"/>
  <c r="A3549" i="5"/>
  <c r="C3548" i="5"/>
  <c r="A3548" i="5"/>
  <c r="C3547" i="5"/>
  <c r="A3547" i="5"/>
  <c r="C3546" i="5"/>
  <c r="A3546" i="5"/>
  <c r="G3546" i="5" s="1"/>
  <c r="H3545" i="5"/>
  <c r="P3442" i="5"/>
  <c r="P3443" i="5" s="1"/>
  <c r="V3443" i="5" s="1"/>
  <c r="C3443" i="5"/>
  <c r="A3443" i="5"/>
  <c r="C3442" i="5"/>
  <c r="A3442" i="5"/>
  <c r="H3441" i="5"/>
  <c r="O276" i="5"/>
  <c r="O277" i="5" s="1"/>
  <c r="C3928" i="5"/>
  <c r="C3927" i="5"/>
  <c r="Q3926" i="5"/>
  <c r="Q3927" i="5" s="1"/>
  <c r="F3928" i="5" s="1"/>
  <c r="P3926" i="5"/>
  <c r="P3927" i="5" s="1"/>
  <c r="F3927" i="5" s="1"/>
  <c r="O3926" i="5"/>
  <c r="O3927" i="5" s="1"/>
  <c r="F3926" i="5" s="1"/>
  <c r="C3926" i="5"/>
  <c r="H3925" i="5"/>
  <c r="O3843" i="5"/>
  <c r="O3844" i="5" s="1"/>
  <c r="F3843" i="5" s="1"/>
  <c r="C3844" i="5"/>
  <c r="P3843" i="5"/>
  <c r="P3844" i="5" s="1"/>
  <c r="F3844" i="5" s="1"/>
  <c r="C3843" i="5"/>
  <c r="H3842" i="5"/>
  <c r="C3745" i="5"/>
  <c r="P3744" i="5"/>
  <c r="P3745" i="5" s="1"/>
  <c r="F3745" i="5" s="1"/>
  <c r="O3744" i="5"/>
  <c r="O3745" i="5" s="1"/>
  <c r="F3744" i="5" s="1"/>
  <c r="C3744" i="5"/>
  <c r="H3743" i="5"/>
  <c r="O283" i="5"/>
  <c r="O284" i="5" s="1"/>
  <c r="U283" i="5"/>
  <c r="U284" i="5" s="1"/>
  <c r="T283" i="5"/>
  <c r="T284" i="5" s="1"/>
  <c r="S283" i="5"/>
  <c r="S284" i="5" s="1"/>
  <c r="R283" i="5"/>
  <c r="R284" i="5" s="1"/>
  <c r="Q283" i="5"/>
  <c r="Q284" i="5" s="1"/>
  <c r="P283" i="5"/>
  <c r="P284" i="5" s="1"/>
  <c r="M283" i="5"/>
  <c r="U276" i="5"/>
  <c r="U277" i="5" s="1"/>
  <c r="T276" i="5"/>
  <c r="T277" i="5" s="1"/>
  <c r="S276" i="5"/>
  <c r="S277" i="5" s="1"/>
  <c r="R276" i="5"/>
  <c r="R277" i="5" s="1"/>
  <c r="Q276" i="5"/>
  <c r="Q277" i="5" s="1"/>
  <c r="P276" i="5"/>
  <c r="P277" i="5" s="1"/>
  <c r="U275" i="5"/>
  <c r="T275" i="5"/>
  <c r="S275" i="5"/>
  <c r="R275" i="5"/>
  <c r="Q275" i="5"/>
  <c r="P275" i="5"/>
  <c r="O275" i="5"/>
  <c r="H275" i="5"/>
  <c r="O246" i="5"/>
  <c r="H660" i="9"/>
  <c r="H655" i="9"/>
  <c r="H642" i="9"/>
  <c r="H633" i="9"/>
  <c r="G5211" i="5"/>
  <c r="H5211" i="5" s="1"/>
  <c r="G5213" i="5"/>
  <c r="H5213" i="5" s="1"/>
  <c r="F5213" i="5"/>
  <c r="G5212" i="5"/>
  <c r="H5212" i="5" s="1"/>
  <c r="F5212" i="5"/>
  <c r="F5211" i="5"/>
  <c r="G5210" i="5"/>
  <c r="H5210" i="5" s="1"/>
  <c r="F5210" i="5"/>
  <c r="G5209" i="5"/>
  <c r="H5209" i="5" s="1"/>
  <c r="F5209" i="5"/>
  <c r="P5218" i="5"/>
  <c r="Q5218" i="5"/>
  <c r="H6112" i="5"/>
  <c r="G3443" i="5" l="1"/>
  <c r="G5061" i="5"/>
  <c r="H5061" i="5" s="1"/>
  <c r="A5062" i="5"/>
  <c r="P5062" i="5"/>
  <c r="U5062" i="5" s="1"/>
  <c r="F5064" i="5" s="1"/>
  <c r="C5080" i="5"/>
  <c r="G3604" i="5"/>
  <c r="G3605" i="5"/>
  <c r="H3605" i="5" s="1"/>
  <c r="P3605" i="5"/>
  <c r="G3606" i="5" s="1"/>
  <c r="H3606" i="5" s="1"/>
  <c r="G3607" i="5"/>
  <c r="H3607" i="5" s="1"/>
  <c r="F3607" i="5"/>
  <c r="A5184" i="5"/>
  <c r="C5079" i="5"/>
  <c r="C5075" i="5"/>
  <c r="C5083" i="5"/>
  <c r="C5081" i="5"/>
  <c r="C5082" i="5"/>
  <c r="C5076" i="5"/>
  <c r="C5084" i="5"/>
  <c r="C5077" i="5"/>
  <c r="C5078" i="5"/>
  <c r="C5065" i="5"/>
  <c r="C4515" i="5"/>
  <c r="C5069" i="5"/>
  <c r="C5067" i="5"/>
  <c r="C5068" i="5"/>
  <c r="C5070" i="5"/>
  <c r="C5071" i="5"/>
  <c r="C5072" i="5"/>
  <c r="C5062" i="5"/>
  <c r="C5073" i="5"/>
  <c r="C5063" i="5"/>
  <c r="C4516" i="5"/>
  <c r="C5066" i="5"/>
  <c r="C5064" i="5"/>
  <c r="Q5062" i="5"/>
  <c r="G5065" i="5" s="1"/>
  <c r="R5062" i="5"/>
  <c r="G5066" i="5" s="1"/>
  <c r="U5061" i="5"/>
  <c r="F5061" i="5" s="1"/>
  <c r="G4053" i="5"/>
  <c r="H4053" i="5" s="1"/>
  <c r="T3604" i="5"/>
  <c r="F3605" i="5" s="1"/>
  <c r="S3604" i="5"/>
  <c r="F3604" i="5" s="1"/>
  <c r="G3927" i="5"/>
  <c r="H3927" i="5" s="1"/>
  <c r="Q3547" i="5"/>
  <c r="U3547" i="5" s="1"/>
  <c r="F3549" i="5" s="1"/>
  <c r="G3547" i="5"/>
  <c r="H3547" i="5" s="1"/>
  <c r="P3547" i="5"/>
  <c r="T3547" i="5" s="1"/>
  <c r="F3548" i="5" s="1"/>
  <c r="F3546" i="5"/>
  <c r="F281" i="5"/>
  <c r="G3928" i="5"/>
  <c r="H3928" i="5" s="1"/>
  <c r="F3443" i="5"/>
  <c r="F3547" i="5"/>
  <c r="G3926" i="5"/>
  <c r="H3926" i="5" s="1"/>
  <c r="V3442" i="5"/>
  <c r="F3442" i="5" s="1"/>
  <c r="H3546" i="5"/>
  <c r="G277" i="5"/>
  <c r="G3442" i="5"/>
  <c r="H3442" i="5" s="1"/>
  <c r="G3843" i="5"/>
  <c r="H3843" i="5" s="1"/>
  <c r="G281" i="5"/>
  <c r="F278" i="5"/>
  <c r="F282" i="5"/>
  <c r="G278" i="5"/>
  <c r="G282" i="5"/>
  <c r="F279" i="5"/>
  <c r="G279" i="5"/>
  <c r="F276" i="5"/>
  <c r="F280" i="5"/>
  <c r="G276" i="5"/>
  <c r="H276" i="5" s="1"/>
  <c r="G280" i="5"/>
  <c r="F277" i="5"/>
  <c r="G3844" i="5"/>
  <c r="H3844" i="5" s="1"/>
  <c r="G3744" i="5"/>
  <c r="H3744" i="5" s="1"/>
  <c r="G3745" i="5"/>
  <c r="H3745" i="5" s="1"/>
  <c r="H5723" i="5"/>
  <c r="H6018" i="5"/>
  <c r="H5586" i="5"/>
  <c r="M2378" i="5"/>
  <c r="F2378" i="5" s="1"/>
  <c r="G2378" i="5" s="1"/>
  <c r="H2378" i="5" s="1"/>
  <c r="M2377" i="5"/>
  <c r="F2377" i="5" s="1"/>
  <c r="G2377" i="5" s="1"/>
  <c r="H2377" i="5" s="1"/>
  <c r="M2376" i="5"/>
  <c r="F2376" i="5" s="1"/>
  <c r="G2376" i="5" s="1"/>
  <c r="H2376" i="5" s="1"/>
  <c r="P5063" i="5" l="1"/>
  <c r="G5064" i="5"/>
  <c r="H5064" i="5" s="1"/>
  <c r="G5062" i="5"/>
  <c r="H5062" i="5" s="1"/>
  <c r="F5062" i="5"/>
  <c r="A5063" i="5"/>
  <c r="S3605" i="5"/>
  <c r="F3606" i="5" s="1"/>
  <c r="H5065" i="5"/>
  <c r="W5062" i="5"/>
  <c r="F5066" i="5" s="1"/>
  <c r="R5063" i="5"/>
  <c r="V5062" i="5"/>
  <c r="F5065" i="5" s="1"/>
  <c r="Q5063" i="5"/>
  <c r="G5068" i="5" s="1"/>
  <c r="G3548" i="5"/>
  <c r="G3549" i="5"/>
  <c r="T2380" i="5"/>
  <c r="M2380" i="5" s="1"/>
  <c r="F2380" i="5" s="1"/>
  <c r="G2380" i="5" s="1"/>
  <c r="H2380" i="5" s="1"/>
  <c r="T2381" i="5"/>
  <c r="T2382" i="5"/>
  <c r="M2382" i="5" s="1"/>
  <c r="F2382" i="5" s="1"/>
  <c r="G2382" i="5" s="1"/>
  <c r="H2382" i="5" s="1"/>
  <c r="H5633" i="5"/>
  <c r="W5063" i="5" l="1"/>
  <c r="F5069" i="5" s="1"/>
  <c r="G5069" i="5"/>
  <c r="H5069" i="5" s="1"/>
  <c r="G5063" i="5"/>
  <c r="H5063" i="5" s="1"/>
  <c r="F5063" i="5"/>
  <c r="U5063" i="5"/>
  <c r="F5067" i="5" s="1"/>
  <c r="G5067" i="5"/>
  <c r="H5067" i="5" s="1"/>
  <c r="V5063" i="5"/>
  <c r="F5068" i="5" s="1"/>
  <c r="H5068" i="5"/>
  <c r="H5066" i="5"/>
  <c r="G5053" i="5"/>
  <c r="G5052" i="5"/>
  <c r="G5054" i="5"/>
  <c r="J5086" i="5"/>
  <c r="J5087" i="5"/>
  <c r="J5915" i="5" l="1"/>
  <c r="J5914" i="5"/>
  <c r="J5913" i="5"/>
  <c r="J5912" i="5"/>
  <c r="J5911" i="5"/>
  <c r="J5910" i="5"/>
  <c r="J5909" i="5"/>
  <c r="J5908" i="5"/>
  <c r="J5907" i="5"/>
  <c r="J5906" i="5"/>
  <c r="J5905" i="5"/>
  <c r="J5904" i="5"/>
  <c r="J5903" i="5"/>
  <c r="J5901" i="5"/>
  <c r="H5901" i="5"/>
  <c r="J5899" i="5"/>
  <c r="J5898" i="5"/>
  <c r="J5897" i="5"/>
  <c r="J5896" i="5"/>
  <c r="J5895" i="5"/>
  <c r="J5894" i="5"/>
  <c r="J5893" i="5"/>
  <c r="J5892" i="5"/>
  <c r="J5891" i="5"/>
  <c r="J5890" i="5"/>
  <c r="J5889" i="5"/>
  <c r="J5888" i="5"/>
  <c r="J5887" i="5"/>
  <c r="J5885" i="5"/>
  <c r="H5885" i="5"/>
  <c r="H5869" i="5"/>
  <c r="J5867" i="5"/>
  <c r="J5865" i="5"/>
  <c r="H5865" i="5"/>
  <c r="J5863" i="5"/>
  <c r="J5862" i="5"/>
  <c r="J5861" i="5"/>
  <c r="J5860" i="5"/>
  <c r="J5859" i="5"/>
  <c r="J5858" i="5"/>
  <c r="J5857" i="5"/>
  <c r="J5856" i="5"/>
  <c r="J5855" i="5"/>
  <c r="J5854" i="5"/>
  <c r="J5853" i="5"/>
  <c r="J5852" i="5"/>
  <c r="J5851" i="5"/>
  <c r="J5849" i="5"/>
  <c r="H5849" i="5"/>
  <c r="J5847" i="5"/>
  <c r="J5846" i="5"/>
  <c r="J5845" i="5"/>
  <c r="J5844" i="5"/>
  <c r="J5843" i="5"/>
  <c r="J5842" i="5"/>
  <c r="J5841" i="5"/>
  <c r="J5840" i="5"/>
  <c r="J5839" i="5"/>
  <c r="J5838" i="5"/>
  <c r="J5837" i="5"/>
  <c r="J5836" i="5"/>
  <c r="J5835" i="5"/>
  <c r="J5833" i="5"/>
  <c r="H5833" i="5"/>
  <c r="J5831" i="5"/>
  <c r="J5830" i="5"/>
  <c r="J5829" i="5"/>
  <c r="J5828" i="5"/>
  <c r="J5827" i="5"/>
  <c r="J5826" i="5"/>
  <c r="J5825" i="5"/>
  <c r="J5824" i="5"/>
  <c r="J5823" i="5"/>
  <c r="J5822" i="5"/>
  <c r="J5821" i="5"/>
  <c r="J5820" i="5"/>
  <c r="J5819" i="5"/>
  <c r="J5817" i="5"/>
  <c r="H5817" i="5"/>
  <c r="J5815" i="5"/>
  <c r="J5814" i="5"/>
  <c r="J5813" i="5"/>
  <c r="J5812" i="5"/>
  <c r="J5811" i="5"/>
  <c r="J5810" i="5"/>
  <c r="J5809" i="5"/>
  <c r="J5808" i="5"/>
  <c r="J5807" i="5"/>
  <c r="J5806" i="5"/>
  <c r="J5805" i="5"/>
  <c r="J5804" i="5"/>
  <c r="J5803" i="5"/>
  <c r="J5801" i="5"/>
  <c r="H5801" i="5"/>
  <c r="J5799" i="5"/>
  <c r="J5798" i="5"/>
  <c r="J5797" i="5"/>
  <c r="J5796" i="5"/>
  <c r="J5795" i="5"/>
  <c r="J5794" i="5"/>
  <c r="J5793" i="5"/>
  <c r="J5792" i="5"/>
  <c r="J5791" i="5"/>
  <c r="J5790" i="5"/>
  <c r="J5789" i="5"/>
  <c r="J5788" i="5"/>
  <c r="J5787" i="5"/>
  <c r="H5785" i="5"/>
  <c r="J5783" i="5"/>
  <c r="J5782" i="5"/>
  <c r="J5781" i="5"/>
  <c r="J5780" i="5"/>
  <c r="J5779" i="5"/>
  <c r="J5778" i="5"/>
  <c r="J5777" i="5"/>
  <c r="J5776" i="5"/>
  <c r="J5775" i="5"/>
  <c r="J5774" i="5"/>
  <c r="J5773" i="5"/>
  <c r="J5772" i="5"/>
  <c r="J5771" i="5"/>
  <c r="H5769" i="5"/>
  <c r="J5767" i="5"/>
  <c r="J5766" i="5"/>
  <c r="J5764" i="5"/>
  <c r="H5764" i="5"/>
  <c r="J5762" i="5"/>
  <c r="J5760" i="5"/>
  <c r="H5760" i="5"/>
  <c r="J5758" i="5"/>
  <c r="J5757" i="5"/>
  <c r="J5756" i="5"/>
  <c r="J5755" i="5"/>
  <c r="J5754" i="5"/>
  <c r="J5753" i="5"/>
  <c r="J5752" i="5"/>
  <c r="J5751" i="5"/>
  <c r="J5750" i="5"/>
  <c r="J5749" i="5"/>
  <c r="J5748" i="5"/>
  <c r="J5747" i="5"/>
  <c r="J5746" i="5"/>
  <c r="J5744" i="5"/>
  <c r="H5744" i="5"/>
  <c r="J5742" i="5"/>
  <c r="J5741" i="5"/>
  <c r="J5739" i="5"/>
  <c r="J5178" i="5"/>
  <c r="C5180" i="5"/>
  <c r="C5179" i="5"/>
  <c r="C5178" i="5"/>
  <c r="A5178" i="5"/>
  <c r="A5179" i="5" s="1"/>
  <c r="A5180" i="5" s="1"/>
  <c r="X5180" i="5"/>
  <c r="W5180" i="5"/>
  <c r="V5180" i="5"/>
  <c r="U5180" i="5"/>
  <c r="S5180" i="5"/>
  <c r="R5180" i="5"/>
  <c r="Q5180" i="5"/>
  <c r="P5180" i="5"/>
  <c r="X5179" i="5"/>
  <c r="W5179" i="5"/>
  <c r="V5179" i="5"/>
  <c r="U5179" i="5"/>
  <c r="S5179" i="5"/>
  <c r="R5179" i="5"/>
  <c r="Q5179" i="5"/>
  <c r="P5179" i="5"/>
  <c r="C5089" i="5"/>
  <c r="C5090" i="5"/>
  <c r="A5090" i="5"/>
  <c r="J5058" i="5"/>
  <c r="J5057" i="5"/>
  <c r="S5055" i="5"/>
  <c r="R5055" i="5"/>
  <c r="C5058" i="5"/>
  <c r="C5057" i="5"/>
  <c r="Q5055" i="5"/>
  <c r="P5055" i="5"/>
  <c r="O5055" i="5"/>
  <c r="P5070" i="5" s="1"/>
  <c r="A5059" i="5"/>
  <c r="A5058" i="5"/>
  <c r="A5057" i="5"/>
  <c r="A5056" i="5"/>
  <c r="A5055" i="5"/>
  <c r="J5059" i="5"/>
  <c r="C5059" i="5"/>
  <c r="J5056" i="5"/>
  <c r="C5056" i="5"/>
  <c r="J5055" i="5"/>
  <c r="C5055" i="5"/>
  <c r="R5070" i="5" l="1"/>
  <c r="S5070" i="5"/>
  <c r="T5070" i="5"/>
  <c r="Q5070" i="5"/>
  <c r="G5056" i="5"/>
  <c r="H5056" i="5" s="1"/>
  <c r="R5056" i="5"/>
  <c r="S5071" i="5" s="1"/>
  <c r="G5078" i="5" s="1"/>
  <c r="S5056" i="5"/>
  <c r="Q5056" i="5"/>
  <c r="O5056" i="5"/>
  <c r="P5056" i="5"/>
  <c r="G5059" i="5"/>
  <c r="H5059" i="5" s="1"/>
  <c r="G5057" i="5"/>
  <c r="H5057" i="5" s="1"/>
  <c r="G5058" i="5"/>
  <c r="H5058" i="5" s="1"/>
  <c r="G5055" i="5"/>
  <c r="H5055" i="5" s="1"/>
  <c r="R5071" i="5" l="1"/>
  <c r="G5077" i="5" s="1"/>
  <c r="H5077" i="5" s="1"/>
  <c r="Q5071" i="5"/>
  <c r="T5071" i="5"/>
  <c r="Z5071" i="5" s="1"/>
  <c r="F5079" i="5" s="1"/>
  <c r="P5071" i="5"/>
  <c r="Y5071" i="5"/>
  <c r="F5078" i="5" s="1"/>
  <c r="S5072" i="5"/>
  <c r="G5083" i="5" s="1"/>
  <c r="H5078" i="5"/>
  <c r="R5072" i="5"/>
  <c r="G5082" i="5" s="1"/>
  <c r="V5070" i="5"/>
  <c r="F5070" i="5" s="1"/>
  <c r="G5070" i="5"/>
  <c r="H5070" i="5" s="1"/>
  <c r="X5070" i="5"/>
  <c r="G5072" i="5"/>
  <c r="H5072" i="5" s="1"/>
  <c r="Y5070" i="5"/>
  <c r="G5073" i="5"/>
  <c r="H5073" i="5" s="1"/>
  <c r="W5070" i="5"/>
  <c r="G5071" i="5"/>
  <c r="H5071" i="5" s="1"/>
  <c r="Z5070" i="5"/>
  <c r="G5074" i="5"/>
  <c r="H5074" i="5" s="1"/>
  <c r="F5057" i="5"/>
  <c r="F5059" i="5"/>
  <c r="F5058" i="5"/>
  <c r="F5056" i="5"/>
  <c r="F5055" i="5"/>
  <c r="Q5053" i="5"/>
  <c r="P5053" i="5"/>
  <c r="O5053" i="5"/>
  <c r="F5052" i="5" s="1"/>
  <c r="C5054" i="5"/>
  <c r="C5053" i="5"/>
  <c r="C5052" i="5"/>
  <c r="A5054" i="5"/>
  <c r="A5053" i="5"/>
  <c r="A5052" i="5"/>
  <c r="J5054" i="5"/>
  <c r="H5054" i="5"/>
  <c r="J5053" i="5"/>
  <c r="H5053" i="5"/>
  <c r="J5052" i="5"/>
  <c r="H5052" i="5"/>
  <c r="H5051" i="5"/>
  <c r="X5071" i="5" l="1"/>
  <c r="F5077" i="5" s="1"/>
  <c r="P5072" i="5"/>
  <c r="G5080" i="5" s="1"/>
  <c r="H5080" i="5" s="1"/>
  <c r="G5075" i="5"/>
  <c r="H5075" i="5" s="1"/>
  <c r="T5072" i="5"/>
  <c r="G5084" i="5" s="1"/>
  <c r="H5084" i="5" s="1"/>
  <c r="G5079" i="5"/>
  <c r="H5079" i="5" s="1"/>
  <c r="W5071" i="5"/>
  <c r="F5076" i="5" s="1"/>
  <c r="G5076" i="5"/>
  <c r="H5076" i="5" s="1"/>
  <c r="Q5072" i="5"/>
  <c r="G5081" i="5" s="1"/>
  <c r="H5081" i="5" s="1"/>
  <c r="V5071" i="5"/>
  <c r="F5075" i="5" s="1"/>
  <c r="X5072" i="5"/>
  <c r="F5082" i="5" s="1"/>
  <c r="H5082" i="5"/>
  <c r="Y5072" i="5"/>
  <c r="F5083" i="5" s="1"/>
  <c r="H5083" i="5"/>
  <c r="F5071" i="5"/>
  <c r="F5073" i="5"/>
  <c r="F5072" i="5"/>
  <c r="F5074" i="5"/>
  <c r="F5053" i="5"/>
  <c r="F5054" i="5"/>
  <c r="J4512" i="5"/>
  <c r="C4512" i="5"/>
  <c r="A4512" i="5"/>
  <c r="H4511" i="5"/>
  <c r="H657" i="9"/>
  <c r="H649" i="9"/>
  <c r="H648" i="9"/>
  <c r="H647" i="9"/>
  <c r="H646" i="9"/>
  <c r="J4199" i="5"/>
  <c r="J4051" i="5"/>
  <c r="Q4051" i="5"/>
  <c r="F4051" i="5" s="1"/>
  <c r="G4051" i="5"/>
  <c r="H4051" i="5" s="1"/>
  <c r="C4051" i="5"/>
  <c r="H638" i="9"/>
  <c r="H637" i="9"/>
  <c r="C3924" i="5"/>
  <c r="C3923" i="5"/>
  <c r="C3922" i="5"/>
  <c r="J3924" i="5"/>
  <c r="J3923" i="5"/>
  <c r="J3922" i="5"/>
  <c r="G3924" i="5"/>
  <c r="H3924" i="5" s="1"/>
  <c r="Q3923" i="5"/>
  <c r="F3924" i="5" s="1"/>
  <c r="P3923" i="5"/>
  <c r="F3923" i="5" s="1"/>
  <c r="O3923" i="5"/>
  <c r="F3922" i="5" s="1"/>
  <c r="G3923" i="5"/>
  <c r="H3923" i="5" s="1"/>
  <c r="G3922" i="5"/>
  <c r="H3922" i="5" s="1"/>
  <c r="H3921" i="5"/>
  <c r="J3841" i="5"/>
  <c r="J3840" i="5"/>
  <c r="P3841" i="5"/>
  <c r="F3841" i="5" s="1"/>
  <c r="O3841" i="5"/>
  <c r="F3840" i="5" s="1"/>
  <c r="C3841" i="5"/>
  <c r="C3840" i="5"/>
  <c r="H3839" i="5"/>
  <c r="G3602" i="5"/>
  <c r="H3602" i="5" s="1"/>
  <c r="G3601" i="5"/>
  <c r="T3601" i="5"/>
  <c r="F3602" i="5" s="1"/>
  <c r="A3602" i="5"/>
  <c r="A3601" i="5"/>
  <c r="J3602" i="5"/>
  <c r="J3601" i="5"/>
  <c r="S3601" i="5"/>
  <c r="F3601" i="5" s="1"/>
  <c r="H3600" i="5"/>
  <c r="G3544" i="5"/>
  <c r="H3544" i="5" s="1"/>
  <c r="G3543" i="5"/>
  <c r="H3543" i="5" s="1"/>
  <c r="J3544" i="5"/>
  <c r="J3543" i="5"/>
  <c r="U3543" i="5"/>
  <c r="F3544" i="5" s="1"/>
  <c r="T3543" i="5"/>
  <c r="F3543" i="5" s="1"/>
  <c r="H3542" i="5"/>
  <c r="J3440" i="5"/>
  <c r="V3440" i="5"/>
  <c r="F3440" i="5" s="1"/>
  <c r="G3440" i="5"/>
  <c r="H3440" i="5" s="1"/>
  <c r="H3439" i="5"/>
  <c r="J3742" i="5"/>
  <c r="J3741" i="5"/>
  <c r="C3742" i="5"/>
  <c r="P3742" i="5"/>
  <c r="F3742" i="5" s="1"/>
  <c r="G3741" i="5"/>
  <c r="H3741" i="5" s="1"/>
  <c r="C3741" i="5"/>
  <c r="H3740" i="5"/>
  <c r="H629" i="9"/>
  <c r="H628" i="9"/>
  <c r="H433" i="9"/>
  <c r="H432" i="9"/>
  <c r="H431" i="9"/>
  <c r="H430" i="9"/>
  <c r="H429" i="9"/>
  <c r="H428" i="9"/>
  <c r="H427" i="9"/>
  <c r="H426" i="9"/>
  <c r="H425" i="9"/>
  <c r="H424" i="9"/>
  <c r="H423" i="9"/>
  <c r="H422" i="9"/>
  <c r="H421" i="9"/>
  <c r="H420" i="9"/>
  <c r="H419" i="9"/>
  <c r="H418" i="9"/>
  <c r="H417" i="9"/>
  <c r="H416" i="9"/>
  <c r="H415" i="9"/>
  <c r="H414" i="9"/>
  <c r="H413" i="9"/>
  <c r="H412" i="9"/>
  <c r="H411" i="9"/>
  <c r="H410" i="9"/>
  <c r="H409" i="9"/>
  <c r="H408" i="9"/>
  <c r="H407" i="9"/>
  <c r="H406"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A77" i="8"/>
  <c r="U262" i="5"/>
  <c r="T262" i="5"/>
  <c r="S262" i="5"/>
  <c r="R262" i="5"/>
  <c r="Q262" i="5"/>
  <c r="P262" i="5"/>
  <c r="O262" i="5"/>
  <c r="U246" i="5"/>
  <c r="U247" i="5" s="1"/>
  <c r="T246" i="5"/>
  <c r="T247" i="5" s="1"/>
  <c r="S246" i="5"/>
  <c r="S247" i="5" s="1"/>
  <c r="R246" i="5"/>
  <c r="R247" i="5" s="1"/>
  <c r="Q246" i="5"/>
  <c r="Q247" i="5" s="1"/>
  <c r="P246" i="5"/>
  <c r="P247" i="5" s="1"/>
  <c r="U253" i="5"/>
  <c r="U254" i="5" s="1"/>
  <c r="T253" i="5"/>
  <c r="T254" i="5" s="1"/>
  <c r="S253" i="5"/>
  <c r="S254" i="5" s="1"/>
  <c r="R253" i="5"/>
  <c r="R254" i="5" s="1"/>
  <c r="Q253" i="5"/>
  <c r="Q254" i="5" s="1"/>
  <c r="P253" i="5"/>
  <c r="P254" i="5" s="1"/>
  <c r="O253" i="5"/>
  <c r="O254" i="5" s="1"/>
  <c r="D259" i="5"/>
  <c r="D289" i="5" s="1"/>
  <c r="C259" i="5"/>
  <c r="C289" i="5" s="1"/>
  <c r="A259" i="5"/>
  <c r="A289" i="5" s="1"/>
  <c r="D258" i="5"/>
  <c r="D288" i="5" s="1"/>
  <c r="C258" i="5"/>
  <c r="C288" i="5" s="1"/>
  <c r="A258" i="5"/>
  <c r="A288" i="5" s="1"/>
  <c r="D257" i="5"/>
  <c r="C257" i="5"/>
  <c r="C287" i="5" s="1"/>
  <c r="A257" i="5"/>
  <c r="A287" i="5" s="1"/>
  <c r="D256" i="5"/>
  <c r="D286" i="5" s="1"/>
  <c r="C256" i="5"/>
  <c r="C286" i="5" s="1"/>
  <c r="A256" i="5"/>
  <c r="A286" i="5" s="1"/>
  <c r="D255" i="5"/>
  <c r="C255" i="5"/>
  <c r="C285" i="5" s="1"/>
  <c r="A255" i="5"/>
  <c r="A285" i="5" s="1"/>
  <c r="D254" i="5"/>
  <c r="D284" i="5" s="1"/>
  <c r="C254" i="5"/>
  <c r="C284" i="5" s="1"/>
  <c r="A254" i="5"/>
  <c r="A284" i="5" s="1"/>
  <c r="M253" i="5"/>
  <c r="D253" i="5"/>
  <c r="C253" i="5"/>
  <c r="C283" i="5" s="1"/>
  <c r="A253" i="5"/>
  <c r="A283" i="5" s="1"/>
  <c r="C252" i="5"/>
  <c r="C282" i="5" s="1"/>
  <c r="A252" i="5"/>
  <c r="A282" i="5" s="1"/>
  <c r="C251" i="5"/>
  <c r="C281" i="5" s="1"/>
  <c r="A251" i="5"/>
  <c r="A281" i="5" s="1"/>
  <c r="C250" i="5"/>
  <c r="C280" i="5" s="1"/>
  <c r="A250" i="5"/>
  <c r="A280" i="5" s="1"/>
  <c r="C249" i="5"/>
  <c r="C279" i="5" s="1"/>
  <c r="A249" i="5"/>
  <c r="A279" i="5" s="1"/>
  <c r="C248" i="5"/>
  <c r="C278" i="5" s="1"/>
  <c r="A248" i="5"/>
  <c r="A278" i="5" s="1"/>
  <c r="O247" i="5"/>
  <c r="C247" i="5"/>
  <c r="C277" i="5" s="1"/>
  <c r="A247" i="5"/>
  <c r="A277" i="5" s="1"/>
  <c r="C246" i="5"/>
  <c r="C276" i="5" s="1"/>
  <c r="A246" i="5"/>
  <c r="U245" i="5"/>
  <c r="T245" i="5"/>
  <c r="S245" i="5"/>
  <c r="R245" i="5"/>
  <c r="Q245" i="5"/>
  <c r="P245" i="5"/>
  <c r="O245" i="5"/>
  <c r="H245" i="5"/>
  <c r="A1" i="9"/>
  <c r="H27" i="9"/>
  <c r="H26" i="9"/>
  <c r="H25" i="9"/>
  <c r="H24" i="9"/>
  <c r="H23" i="9"/>
  <c r="V559" i="6"/>
  <c r="U559" i="6"/>
  <c r="T559" i="6"/>
  <c r="S559" i="6"/>
  <c r="Q559" i="6"/>
  <c r="P559" i="6"/>
  <c r="O559" i="6"/>
  <c r="N559" i="6"/>
  <c r="V558" i="6"/>
  <c r="U558" i="6"/>
  <c r="T558" i="6"/>
  <c r="S558" i="6"/>
  <c r="Q558" i="6"/>
  <c r="P558" i="6"/>
  <c r="O558" i="6"/>
  <c r="N558" i="6"/>
  <c r="V557" i="6"/>
  <c r="U557" i="6"/>
  <c r="T557" i="6"/>
  <c r="S557" i="6"/>
  <c r="Q557" i="6"/>
  <c r="P557" i="6"/>
  <c r="O557" i="6"/>
  <c r="N557" i="6"/>
  <c r="V556" i="6"/>
  <c r="U556" i="6"/>
  <c r="T556" i="6"/>
  <c r="S556" i="6"/>
  <c r="Q556" i="6"/>
  <c r="P556" i="6"/>
  <c r="O556" i="6"/>
  <c r="N556" i="6"/>
  <c r="V555" i="6"/>
  <c r="U555" i="6"/>
  <c r="T555" i="6"/>
  <c r="S555" i="6"/>
  <c r="Q555" i="6"/>
  <c r="P555" i="6"/>
  <c r="O555" i="6"/>
  <c r="N555" i="6"/>
  <c r="V554" i="6"/>
  <c r="U554" i="6"/>
  <c r="T554" i="6"/>
  <c r="S554" i="6"/>
  <c r="Q554" i="6"/>
  <c r="P554" i="6"/>
  <c r="O554" i="6"/>
  <c r="N554" i="6"/>
  <c r="V553" i="6"/>
  <c r="U553" i="6"/>
  <c r="T553" i="6"/>
  <c r="S553" i="6"/>
  <c r="Q553" i="6"/>
  <c r="P553" i="6"/>
  <c r="O553" i="6"/>
  <c r="N553" i="6"/>
  <c r="V552" i="6"/>
  <c r="U552" i="6"/>
  <c r="T552" i="6"/>
  <c r="S552" i="6"/>
  <c r="Q552" i="6"/>
  <c r="P552" i="6"/>
  <c r="O552" i="6"/>
  <c r="N552" i="6"/>
  <c r="V551" i="6"/>
  <c r="U551" i="6"/>
  <c r="T551" i="6"/>
  <c r="S551" i="6"/>
  <c r="Q551" i="6"/>
  <c r="P551" i="6"/>
  <c r="O551" i="6"/>
  <c r="N551" i="6"/>
  <c r="H6016" i="5"/>
  <c r="G5047" i="5"/>
  <c r="H5047" i="5" s="1"/>
  <c r="G5050" i="5"/>
  <c r="H5050" i="5" s="1"/>
  <c r="G5049" i="5"/>
  <c r="G5048" i="5"/>
  <c r="H5048" i="5" s="1"/>
  <c r="H5045" i="5"/>
  <c r="H5046" i="5"/>
  <c r="H5044" i="5"/>
  <c r="F5045" i="5"/>
  <c r="F5046" i="5"/>
  <c r="F5044" i="5"/>
  <c r="AZ2390" i="5"/>
  <c r="AY2390" i="5"/>
  <c r="AW2390" i="5"/>
  <c r="AX2390" i="5" s="1"/>
  <c r="AU2390" i="5"/>
  <c r="AV2390" i="5" s="1"/>
  <c r="AR2390" i="5"/>
  <c r="AS2390" i="5" s="1"/>
  <c r="AO2390" i="5"/>
  <c r="AN2390" i="5"/>
  <c r="AL2390" i="5"/>
  <c r="AK2390" i="5"/>
  <c r="AJ2390" i="5"/>
  <c r="AI2390" i="5"/>
  <c r="T2390" i="5"/>
  <c r="AP2390" i="5" s="1"/>
  <c r="T2389" i="5"/>
  <c r="M2389" i="5" s="1"/>
  <c r="F2389" i="5" s="1"/>
  <c r="G2389" i="5" s="1"/>
  <c r="H2389" i="5" s="1"/>
  <c r="T2388" i="5"/>
  <c r="M2388" i="5" s="1"/>
  <c r="F2388" i="5" s="1"/>
  <c r="G2388" i="5" s="1"/>
  <c r="H2388" i="5" s="1"/>
  <c r="T2383" i="5"/>
  <c r="M2383" i="5" s="1"/>
  <c r="F2383" i="5" s="1"/>
  <c r="G2383" i="5" s="1"/>
  <c r="H2383" i="5" s="1"/>
  <c r="F5220" i="5"/>
  <c r="G5220" i="5"/>
  <c r="H5220" i="5" s="1"/>
  <c r="P5220" i="5"/>
  <c r="Q5220" i="5"/>
  <c r="F5221" i="5"/>
  <c r="G5221" i="5"/>
  <c r="H5221" i="5" s="1"/>
  <c r="P5221" i="5"/>
  <c r="Q5221" i="5"/>
  <c r="Q5219" i="5"/>
  <c r="P5219" i="5"/>
  <c r="G5219" i="5"/>
  <c r="H5219" i="5" s="1"/>
  <c r="F5219" i="5"/>
  <c r="G5218" i="5"/>
  <c r="H5218" i="5" s="1"/>
  <c r="F5218" i="5"/>
  <c r="H5215" i="5"/>
  <c r="G172" i="5"/>
  <c r="H172" i="5" s="1"/>
  <c r="G173" i="5"/>
  <c r="H173" i="5" s="1"/>
  <c r="G174" i="5"/>
  <c r="H174" i="5" s="1"/>
  <c r="G175" i="5"/>
  <c r="H175" i="5" s="1"/>
  <c r="G176" i="5"/>
  <c r="H176" i="5" s="1"/>
  <c r="G177" i="5"/>
  <c r="H177" i="5" s="1"/>
  <c r="G171" i="5"/>
  <c r="H171" i="5" s="1"/>
  <c r="G142" i="5"/>
  <c r="H142" i="5" s="1"/>
  <c r="G143" i="5"/>
  <c r="H143" i="5" s="1"/>
  <c r="G144" i="5"/>
  <c r="H144" i="5" s="1"/>
  <c r="G145" i="5"/>
  <c r="H145" i="5" s="1"/>
  <c r="G146" i="5"/>
  <c r="H146" i="5" s="1"/>
  <c r="G147" i="5"/>
  <c r="H147" i="5" s="1"/>
  <c r="G141" i="5"/>
  <c r="H141" i="5" s="1"/>
  <c r="G127" i="5"/>
  <c r="H127" i="5" s="1"/>
  <c r="G128" i="5"/>
  <c r="H128" i="5" s="1"/>
  <c r="G129" i="5"/>
  <c r="H129" i="5" s="1"/>
  <c r="G130" i="5"/>
  <c r="H130" i="5" s="1"/>
  <c r="G131" i="5"/>
  <c r="H131" i="5" s="1"/>
  <c r="G132" i="5"/>
  <c r="H132" i="5" s="1"/>
  <c r="G126" i="5"/>
  <c r="H126" i="5" s="1"/>
  <c r="E138" i="15"/>
  <c r="D138" i="15"/>
  <c r="O118" i="15"/>
  <c r="N118" i="15"/>
  <c r="M118" i="15"/>
  <c r="L118" i="15"/>
  <c r="K118" i="15"/>
  <c r="J118" i="15"/>
  <c r="I118" i="15"/>
  <c r="H118" i="15"/>
  <c r="G118" i="15"/>
  <c r="F118" i="15"/>
  <c r="E118" i="15"/>
  <c r="D118" i="15"/>
  <c r="R116" i="15"/>
  <c r="Q116" i="15"/>
  <c r="R115" i="15"/>
  <c r="Q115" i="15"/>
  <c r="R114" i="15"/>
  <c r="Q114" i="15"/>
  <c r="R113" i="15"/>
  <c r="Q113" i="15"/>
  <c r="R112" i="15"/>
  <c r="Q112" i="15"/>
  <c r="O104" i="15"/>
  <c r="N104" i="15"/>
  <c r="M104" i="15"/>
  <c r="L104" i="15"/>
  <c r="K104" i="15"/>
  <c r="J104" i="15"/>
  <c r="I104" i="15"/>
  <c r="H104" i="15"/>
  <c r="G104" i="15"/>
  <c r="F104" i="15"/>
  <c r="E104" i="15"/>
  <c r="D104" i="15"/>
  <c r="R101" i="15"/>
  <c r="Q101" i="15"/>
  <c r="R100" i="15"/>
  <c r="Q100" i="15"/>
  <c r="R99" i="15"/>
  <c r="Q99" i="15"/>
  <c r="E41" i="15"/>
  <c r="D41" i="15"/>
  <c r="E90" i="15"/>
  <c r="D90" i="15"/>
  <c r="Q74" i="15"/>
  <c r="Q73" i="15"/>
  <c r="R74" i="15"/>
  <c r="R73" i="15"/>
  <c r="R75" i="15"/>
  <c r="Q75" i="15"/>
  <c r="R61" i="15"/>
  <c r="Q61" i="15"/>
  <c r="R27" i="15"/>
  <c r="Q27" i="15"/>
  <c r="R13" i="15"/>
  <c r="Q13" i="15"/>
  <c r="R76" i="15"/>
  <c r="Q76" i="15"/>
  <c r="O79" i="15"/>
  <c r="N79" i="15"/>
  <c r="M79" i="15"/>
  <c r="L79" i="15"/>
  <c r="K79" i="15"/>
  <c r="J79" i="15"/>
  <c r="I79" i="15"/>
  <c r="H79" i="15"/>
  <c r="G79" i="15"/>
  <c r="F79" i="15"/>
  <c r="E79" i="15"/>
  <c r="D79" i="15"/>
  <c r="R77" i="15"/>
  <c r="Q77" i="15"/>
  <c r="O65" i="15"/>
  <c r="N65" i="15"/>
  <c r="M65" i="15"/>
  <c r="L65" i="15"/>
  <c r="K65" i="15"/>
  <c r="J65" i="15"/>
  <c r="I65" i="15"/>
  <c r="H65" i="15"/>
  <c r="G65" i="15"/>
  <c r="F65" i="15"/>
  <c r="E65" i="15"/>
  <c r="D65" i="15"/>
  <c r="R62" i="15"/>
  <c r="Q62" i="15"/>
  <c r="R60" i="15"/>
  <c r="Q60" i="15"/>
  <c r="R28" i="15"/>
  <c r="R14" i="15"/>
  <c r="R12" i="15"/>
  <c r="Q14" i="15"/>
  <c r="Q12" i="15"/>
  <c r="K30" i="15"/>
  <c r="H17" i="15"/>
  <c r="I17" i="15"/>
  <c r="J17" i="15"/>
  <c r="L17" i="15"/>
  <c r="N17" i="15"/>
  <c r="D17" i="15"/>
  <c r="A6197" i="5"/>
  <c r="A6196" i="5"/>
  <c r="A6180" i="5"/>
  <c r="H6165" i="5"/>
  <c r="H6113" i="5"/>
  <c r="H6114" i="5"/>
  <c r="H6116" i="5"/>
  <c r="A6145" i="5"/>
  <c r="A6178" i="5" s="1"/>
  <c r="A6144" i="5"/>
  <c r="A6160" i="5" s="1"/>
  <c r="A6193" i="5" s="1"/>
  <c r="A6143" i="5"/>
  <c r="A6159" i="5" s="1"/>
  <c r="A6192" i="5" s="1"/>
  <c r="A6142" i="5"/>
  <c r="A6175" i="5" s="1"/>
  <c r="A6141" i="5"/>
  <c r="A6157" i="5" s="1"/>
  <c r="A6190" i="5" s="1"/>
  <c r="A6140" i="5"/>
  <c r="A6173" i="5" s="1"/>
  <c r="A6139" i="5"/>
  <c r="A6155" i="5" s="1"/>
  <c r="A6188" i="5" s="1"/>
  <c r="A6138" i="5"/>
  <c r="A6154" i="5" s="1"/>
  <c r="A6187" i="5" s="1"/>
  <c r="A6137" i="5"/>
  <c r="A6170" i="5" s="1"/>
  <c r="A6136" i="5"/>
  <c r="A6169" i="5" s="1"/>
  <c r="A6135" i="5"/>
  <c r="A6151" i="5" s="1"/>
  <c r="A6184" i="5" s="1"/>
  <c r="A6134" i="5"/>
  <c r="A6150" i="5" s="1"/>
  <c r="A6183" i="5" s="1"/>
  <c r="A6133" i="5"/>
  <c r="A6149" i="5" s="1"/>
  <c r="A6182" i="5" s="1"/>
  <c r="A6146" i="5"/>
  <c r="A6179" i="5" s="1"/>
  <c r="H6132" i="5"/>
  <c r="H5518" i="5"/>
  <c r="H5517" i="5"/>
  <c r="H5516" i="5"/>
  <c r="H5515" i="5"/>
  <c r="H5514" i="5"/>
  <c r="H5513" i="5"/>
  <c r="H5512" i="5"/>
  <c r="H5511" i="5"/>
  <c r="H5510" i="5"/>
  <c r="H5509" i="5"/>
  <c r="H5508" i="5"/>
  <c r="H5507" i="5"/>
  <c r="H5506" i="5"/>
  <c r="H5505" i="5"/>
  <c r="H5504" i="5"/>
  <c r="H5503" i="5"/>
  <c r="H5502" i="5"/>
  <c r="H5501" i="5"/>
  <c r="H5500" i="5"/>
  <c r="H5499" i="5"/>
  <c r="H5498" i="5"/>
  <c r="H5497" i="5"/>
  <c r="H5496" i="5"/>
  <c r="H5495" i="5"/>
  <c r="H5494" i="5"/>
  <c r="H5493" i="5"/>
  <c r="H5492" i="5"/>
  <c r="H5491" i="5"/>
  <c r="H5490" i="5"/>
  <c r="H5489" i="5"/>
  <c r="H5488" i="5"/>
  <c r="H5487" i="5"/>
  <c r="H5486" i="5"/>
  <c r="H5485" i="5"/>
  <c r="H5484" i="5"/>
  <c r="H5483" i="5"/>
  <c r="H5482" i="5"/>
  <c r="H5481" i="5"/>
  <c r="H5479" i="5"/>
  <c r="H5478" i="5"/>
  <c r="H5477" i="5"/>
  <c r="H5476" i="5"/>
  <c r="H5475" i="5"/>
  <c r="H5474" i="5"/>
  <c r="H5473" i="5"/>
  <c r="H5472" i="5"/>
  <c r="H5471" i="5"/>
  <c r="H5470" i="5"/>
  <c r="H5469" i="5"/>
  <c r="H5468" i="5"/>
  <c r="H5467" i="5"/>
  <c r="H5466" i="5"/>
  <c r="H5465" i="5"/>
  <c r="H5464" i="5"/>
  <c r="H5463" i="5"/>
  <c r="H5462" i="5"/>
  <c r="H5461" i="5"/>
  <c r="H5460" i="5"/>
  <c r="H5459" i="5"/>
  <c r="H5458" i="5"/>
  <c r="H5457" i="5"/>
  <c r="H5456" i="5"/>
  <c r="H5455" i="5"/>
  <c r="H5454" i="5"/>
  <c r="H5453" i="5"/>
  <c r="H5452" i="5"/>
  <c r="H5451" i="5"/>
  <c r="H5450" i="5"/>
  <c r="H5449" i="5"/>
  <c r="H5448" i="5"/>
  <c r="H5447" i="5"/>
  <c r="H5446" i="5"/>
  <c r="H5445" i="5"/>
  <c r="H5444" i="5"/>
  <c r="H5443" i="5"/>
  <c r="H5442" i="5"/>
  <c r="H5441" i="5"/>
  <c r="H5440" i="5"/>
  <c r="H5439" i="5"/>
  <c r="H5438" i="5"/>
  <c r="H5437" i="5"/>
  <c r="H5436" i="5"/>
  <c r="H5435" i="5"/>
  <c r="H5434" i="5"/>
  <c r="H5433" i="5"/>
  <c r="H5432" i="5"/>
  <c r="H5431" i="5"/>
  <c r="H5430" i="5"/>
  <c r="H5429" i="5"/>
  <c r="H5428" i="5"/>
  <c r="H5427" i="5"/>
  <c r="H5426" i="5"/>
  <c r="H5425" i="5"/>
  <c r="H5424" i="5"/>
  <c r="H5423" i="5"/>
  <c r="H5422" i="5"/>
  <c r="H5421" i="5"/>
  <c r="H5420" i="5"/>
  <c r="H5419" i="5"/>
  <c r="H5418" i="5"/>
  <c r="H5417" i="5"/>
  <c r="H5416" i="5"/>
  <c r="H5415" i="5"/>
  <c r="H5414" i="5"/>
  <c r="H5413" i="5"/>
  <c r="H5412" i="5"/>
  <c r="H5411" i="5"/>
  <c r="H5410" i="5"/>
  <c r="H5409" i="5"/>
  <c r="H5408" i="5"/>
  <c r="H5407" i="5"/>
  <c r="H5406" i="5"/>
  <c r="H5405" i="5"/>
  <c r="H5404" i="5"/>
  <c r="H5403" i="5"/>
  <c r="H5402" i="5"/>
  <c r="H5401" i="5"/>
  <c r="H5400" i="5"/>
  <c r="H5399" i="5"/>
  <c r="H5398" i="5"/>
  <c r="H5397" i="5"/>
  <c r="H5396" i="5"/>
  <c r="H5395" i="5"/>
  <c r="H5394" i="5"/>
  <c r="H5393" i="5"/>
  <c r="H5392" i="5"/>
  <c r="H5391" i="5"/>
  <c r="H5390" i="5"/>
  <c r="H5389" i="5"/>
  <c r="H5388" i="5"/>
  <c r="H5387" i="5"/>
  <c r="H5386" i="5"/>
  <c r="H5385" i="5"/>
  <c r="H5384" i="5"/>
  <c r="H5383" i="5"/>
  <c r="H5382" i="5"/>
  <c r="H5381" i="5"/>
  <c r="H5380" i="5"/>
  <c r="H5379" i="5"/>
  <c r="H5378" i="5"/>
  <c r="H5377" i="5"/>
  <c r="H5376" i="5"/>
  <c r="H5375" i="5"/>
  <c r="H5374" i="5"/>
  <c r="H5373" i="5"/>
  <c r="H5372" i="5"/>
  <c r="H5371" i="5"/>
  <c r="H5370" i="5"/>
  <c r="H5369" i="5"/>
  <c r="H5368" i="5"/>
  <c r="H5367" i="5"/>
  <c r="H5366" i="5"/>
  <c r="H5365" i="5"/>
  <c r="H5364" i="5"/>
  <c r="H5363" i="5"/>
  <c r="H5362" i="5"/>
  <c r="H5361" i="5"/>
  <c r="H5360" i="5"/>
  <c r="H5359" i="5"/>
  <c r="H5358" i="5"/>
  <c r="H5357" i="5"/>
  <c r="H5356" i="5"/>
  <c r="H5355" i="5"/>
  <c r="H5354" i="5"/>
  <c r="H5353" i="5"/>
  <c r="H5352" i="5"/>
  <c r="H5351" i="5"/>
  <c r="AA13" i="10"/>
  <c r="Q5226" i="5"/>
  <c r="P5226" i="5"/>
  <c r="G5226" i="5"/>
  <c r="H5226" i="5" s="1"/>
  <c r="F5226" i="5"/>
  <c r="H5223" i="5"/>
  <c r="V11" i="10"/>
  <c r="U11" i="10"/>
  <c r="T11" i="10"/>
  <c r="S11" i="10"/>
  <c r="R11" i="10"/>
  <c r="Q11" i="10"/>
  <c r="L12" i="10"/>
  <c r="K12" i="10"/>
  <c r="J12" i="10"/>
  <c r="I12" i="10"/>
  <c r="V12" i="10" s="1"/>
  <c r="H12" i="10"/>
  <c r="U12" i="10" s="1"/>
  <c r="G12" i="10"/>
  <c r="T12" i="10" s="1"/>
  <c r="F12" i="10"/>
  <c r="S12" i="10" s="1"/>
  <c r="E12" i="10"/>
  <c r="R12" i="10" s="1"/>
  <c r="D12" i="10"/>
  <c r="Q12" i="10" s="1"/>
  <c r="K13" i="14"/>
  <c r="J13" i="14"/>
  <c r="J14" i="14" s="1"/>
  <c r="I13" i="14"/>
  <c r="I14" i="14" s="1"/>
  <c r="V14" i="14" s="1"/>
  <c r="H13" i="14"/>
  <c r="G13" i="14"/>
  <c r="G14" i="14" s="1"/>
  <c r="T14" i="14" s="1"/>
  <c r="F13" i="14"/>
  <c r="X10" i="14"/>
  <c r="W10" i="14"/>
  <c r="V10" i="14"/>
  <c r="U10" i="14"/>
  <c r="T10" i="14"/>
  <c r="S10" i="14"/>
  <c r="P13" i="14"/>
  <c r="AC13" i="14" s="1"/>
  <c r="O13" i="14"/>
  <c r="O14" i="14" s="1"/>
  <c r="AB14" i="14" s="1"/>
  <c r="N13" i="14"/>
  <c r="AA13" i="14" s="1"/>
  <c r="M13" i="14"/>
  <c r="M14" i="14" s="1"/>
  <c r="Z14" i="14" s="1"/>
  <c r="L13" i="14"/>
  <c r="E13" i="14"/>
  <c r="R13" i="14" s="1"/>
  <c r="N12" i="10"/>
  <c r="C12" i="10"/>
  <c r="M12" i="10"/>
  <c r="X18" i="14"/>
  <c r="W18" i="14"/>
  <c r="V18" i="14"/>
  <c r="U18" i="14"/>
  <c r="T18" i="14"/>
  <c r="S18" i="14"/>
  <c r="C18" i="14"/>
  <c r="AC10" i="14"/>
  <c r="AC18" i="14" s="1"/>
  <c r="AB10" i="14"/>
  <c r="AB18" i="14" s="1"/>
  <c r="AA10" i="14"/>
  <c r="AA18" i="14" s="1"/>
  <c r="Z10" i="14"/>
  <c r="Z18" i="14" s="1"/>
  <c r="Y10" i="14"/>
  <c r="Y18" i="14" s="1"/>
  <c r="R10" i="14"/>
  <c r="R18" i="14" s="1"/>
  <c r="Q4049" i="5"/>
  <c r="F4049" i="5" s="1"/>
  <c r="G4049" i="5"/>
  <c r="H4049" i="5" s="1"/>
  <c r="C4049" i="5"/>
  <c r="A4049" i="5"/>
  <c r="A4051" i="5" s="1"/>
  <c r="A4053" i="5" s="1"/>
  <c r="Q3918" i="5"/>
  <c r="Q3919" i="5" s="1"/>
  <c r="F3920" i="5" s="1"/>
  <c r="P3918" i="5"/>
  <c r="P3919" i="5" s="1"/>
  <c r="F3919" i="5" s="1"/>
  <c r="O3918" i="5"/>
  <c r="O3919" i="5" s="1"/>
  <c r="F3918" i="5" s="1"/>
  <c r="C3920" i="5"/>
  <c r="A3918" i="5"/>
  <c r="A3922" i="5" s="1"/>
  <c r="A3926" i="5" s="1"/>
  <c r="A3920" i="5"/>
  <c r="A3924" i="5" s="1"/>
  <c r="A3928" i="5" s="1"/>
  <c r="A3919" i="5"/>
  <c r="A3923" i="5" s="1"/>
  <c r="A3927" i="5" s="1"/>
  <c r="C3919" i="5"/>
  <c r="C3918" i="5"/>
  <c r="H3917" i="5"/>
  <c r="U260" i="5"/>
  <c r="T260" i="5"/>
  <c r="S260" i="5"/>
  <c r="R260" i="5"/>
  <c r="Q260" i="5"/>
  <c r="P260" i="5"/>
  <c r="O260" i="5"/>
  <c r="D274" i="5"/>
  <c r="U267" i="5" s="1"/>
  <c r="D273" i="5"/>
  <c r="T267" i="5" s="1"/>
  <c r="D272" i="5"/>
  <c r="S267" i="5" s="1"/>
  <c r="D271" i="5"/>
  <c r="R267" i="5" s="1"/>
  <c r="D270" i="5"/>
  <c r="Q267" i="5" s="1"/>
  <c r="D269" i="5"/>
  <c r="P267" i="5" s="1"/>
  <c r="D268" i="5"/>
  <c r="C274" i="5"/>
  <c r="C273" i="5"/>
  <c r="C272" i="5"/>
  <c r="C271" i="5"/>
  <c r="C270" i="5"/>
  <c r="C269" i="5"/>
  <c r="C268" i="5"/>
  <c r="C267" i="5"/>
  <c r="C266" i="5"/>
  <c r="C265" i="5"/>
  <c r="C264" i="5"/>
  <c r="C263" i="5"/>
  <c r="C262" i="5"/>
  <c r="C261" i="5"/>
  <c r="A274" i="5"/>
  <c r="A273" i="5"/>
  <c r="A272" i="5"/>
  <c r="A271" i="5"/>
  <c r="A270" i="5"/>
  <c r="A269" i="5"/>
  <c r="A268" i="5"/>
  <c r="A267" i="5"/>
  <c r="A266" i="5"/>
  <c r="A265" i="5"/>
  <c r="A264" i="5"/>
  <c r="A263" i="5"/>
  <c r="A262" i="5"/>
  <c r="A261" i="5"/>
  <c r="C3438" i="5"/>
  <c r="A3438" i="5"/>
  <c r="C3437" i="5"/>
  <c r="A3437" i="5"/>
  <c r="C3541" i="5"/>
  <c r="C3540" i="5"/>
  <c r="C3539" i="5"/>
  <c r="C3538" i="5"/>
  <c r="A3541" i="5"/>
  <c r="A3540" i="5"/>
  <c r="A3539" i="5"/>
  <c r="A3538" i="5"/>
  <c r="G3538" i="5" s="1"/>
  <c r="H3538" i="5" s="1"/>
  <c r="C3599" i="5"/>
  <c r="A3599" i="5"/>
  <c r="C3598" i="5"/>
  <c r="A3598" i="5"/>
  <c r="C3739" i="5"/>
  <c r="A3739" i="5"/>
  <c r="A3742" i="5" s="1"/>
  <c r="A3745" i="5" s="1"/>
  <c r="C3738" i="5"/>
  <c r="A3738" i="5"/>
  <c r="A3741" i="5" s="1"/>
  <c r="A3744" i="5" s="1"/>
  <c r="C3838" i="5"/>
  <c r="A3838" i="5"/>
  <c r="A3841" i="5" s="1"/>
  <c r="A3844" i="5" s="1"/>
  <c r="C3837" i="5"/>
  <c r="A3837" i="5"/>
  <c r="A3840" i="5" s="1"/>
  <c r="A3843" i="5" s="1"/>
  <c r="P3837" i="5"/>
  <c r="P3838" i="5" s="1"/>
  <c r="F3838" i="5" s="1"/>
  <c r="O3837" i="5"/>
  <c r="O3838" i="5" s="1"/>
  <c r="F3837" i="5" s="1"/>
  <c r="H3836" i="5"/>
  <c r="P3738" i="5"/>
  <c r="G3739" i="5" s="1"/>
  <c r="H3739" i="5" s="1"/>
  <c r="O3738" i="5"/>
  <c r="O3739" i="5" s="1"/>
  <c r="F3738" i="5" s="1"/>
  <c r="H3737" i="5"/>
  <c r="P3598" i="5"/>
  <c r="H3597" i="5"/>
  <c r="P3437" i="5"/>
  <c r="H3436" i="5"/>
  <c r="Q3539" i="5"/>
  <c r="P3539" i="5"/>
  <c r="U3538" i="5"/>
  <c r="T3538" i="5"/>
  <c r="H3537" i="5"/>
  <c r="U269" i="5"/>
  <c r="T269" i="5"/>
  <c r="S269" i="5"/>
  <c r="R269" i="5"/>
  <c r="Q269" i="5"/>
  <c r="P269" i="5"/>
  <c r="O269" i="5"/>
  <c r="M268" i="5"/>
  <c r="H260" i="5"/>
  <c r="X5176" i="5"/>
  <c r="W5176" i="5"/>
  <c r="V5176" i="5"/>
  <c r="U5176" i="5"/>
  <c r="S5176" i="5"/>
  <c r="R5176" i="5"/>
  <c r="Q5176" i="5"/>
  <c r="P5176" i="5"/>
  <c r="X5175" i="5"/>
  <c r="W5175" i="5"/>
  <c r="V5175" i="5"/>
  <c r="U5175" i="5"/>
  <c r="S5175" i="5"/>
  <c r="R5175" i="5"/>
  <c r="Q5175" i="5"/>
  <c r="P5175" i="5"/>
  <c r="X5174" i="5"/>
  <c r="W5174" i="5"/>
  <c r="V5174" i="5"/>
  <c r="U5174" i="5"/>
  <c r="S5174" i="5"/>
  <c r="R5174" i="5"/>
  <c r="Q5174" i="5"/>
  <c r="P5174" i="5"/>
  <c r="X5168" i="5"/>
  <c r="W5168" i="5"/>
  <c r="V5168" i="5"/>
  <c r="U5168" i="5"/>
  <c r="S5168" i="5"/>
  <c r="R5168" i="5"/>
  <c r="Q5168" i="5"/>
  <c r="P5168" i="5"/>
  <c r="D5146" i="5"/>
  <c r="D5149" i="5" s="1"/>
  <c r="D5152" i="5" s="1"/>
  <c r="D5155" i="5" s="1"/>
  <c r="D5158" i="5" s="1"/>
  <c r="D5161" i="5" s="1"/>
  <c r="D5164" i="5" s="1"/>
  <c r="D5167" i="5" s="1"/>
  <c r="D5170" i="5" s="1"/>
  <c r="D5173" i="5" s="1"/>
  <c r="D5176" i="5" s="1"/>
  <c r="N5142" i="5"/>
  <c r="D5142" i="5"/>
  <c r="D5145" i="5" s="1"/>
  <c r="D5141" i="5"/>
  <c r="D5144" i="5" s="1"/>
  <c r="A5141" i="5"/>
  <c r="C5141" i="5" s="1"/>
  <c r="W5034" i="5"/>
  <c r="V5034" i="5"/>
  <c r="U5034" i="5"/>
  <c r="R5034" i="5"/>
  <c r="Q5034" i="5"/>
  <c r="P5034" i="5"/>
  <c r="W5033" i="5"/>
  <c r="V5033" i="5"/>
  <c r="U5033" i="5"/>
  <c r="R5033" i="5"/>
  <c r="Q5033" i="5"/>
  <c r="P5033" i="5"/>
  <c r="D5028" i="5"/>
  <c r="D5031" i="5" s="1"/>
  <c r="N5024" i="5"/>
  <c r="N5025" i="5" s="1"/>
  <c r="D5024" i="5"/>
  <c r="D5027" i="5" s="1"/>
  <c r="D5023" i="5"/>
  <c r="D5026" i="5" s="1"/>
  <c r="D5029" i="5" s="1"/>
  <c r="D5032" i="5" s="1"/>
  <c r="D5035" i="5" s="1"/>
  <c r="D5038" i="5" s="1"/>
  <c r="D5041" i="5" s="1"/>
  <c r="D545" i="6" s="1"/>
  <c r="D548" i="6" s="1"/>
  <c r="D551" i="6" s="1"/>
  <c r="D554" i="6" s="1"/>
  <c r="D557" i="6" s="1"/>
  <c r="A5023" i="5"/>
  <c r="C5023" i="5" s="1"/>
  <c r="N4500" i="5"/>
  <c r="N4501" i="5" s="1"/>
  <c r="A4499" i="5"/>
  <c r="C4499" i="5" s="1"/>
  <c r="H4498" i="5"/>
  <c r="H5705" i="5"/>
  <c r="H6028" i="5"/>
  <c r="H6027" i="5"/>
  <c r="H6026" i="5"/>
  <c r="H6024" i="5"/>
  <c r="J43" i="11"/>
  <c r="I43" i="11"/>
  <c r="H43" i="11"/>
  <c r="G43" i="11"/>
  <c r="F43" i="11"/>
  <c r="E43" i="11"/>
  <c r="D43" i="11"/>
  <c r="C43" i="11"/>
  <c r="N42" i="11"/>
  <c r="M42" i="11"/>
  <c r="L42" i="11"/>
  <c r="D42" i="11"/>
  <c r="C42" i="11"/>
  <c r="N41" i="11"/>
  <c r="M41" i="11"/>
  <c r="L41" i="11"/>
  <c r="K41" i="11"/>
  <c r="J41" i="11"/>
  <c r="I41" i="11"/>
  <c r="H41" i="11"/>
  <c r="G41" i="11"/>
  <c r="F41" i="11"/>
  <c r="R39" i="11"/>
  <c r="P39" i="11"/>
  <c r="B39" i="11"/>
  <c r="B43" i="11" s="1"/>
  <c r="R38" i="11"/>
  <c r="P38" i="11"/>
  <c r="B38" i="11"/>
  <c r="B42" i="11" s="1"/>
  <c r="R37" i="11"/>
  <c r="P37" i="11"/>
  <c r="B37" i="11"/>
  <c r="B41" i="11" s="1"/>
  <c r="D36" i="11"/>
  <c r="E36" i="11" s="1"/>
  <c r="F36" i="11" s="1"/>
  <c r="G36" i="11" s="1"/>
  <c r="H36" i="11" s="1"/>
  <c r="I36" i="11" s="1"/>
  <c r="J36" i="11" s="1"/>
  <c r="K36" i="11" s="1"/>
  <c r="L36" i="11" s="1"/>
  <c r="M36" i="11" s="1"/>
  <c r="N36" i="11" s="1"/>
  <c r="B20" i="11"/>
  <c r="B24" i="11" s="1"/>
  <c r="N19" i="11"/>
  <c r="M19" i="11"/>
  <c r="L19" i="11"/>
  <c r="K19" i="11"/>
  <c r="K20" i="11" s="1"/>
  <c r="J19" i="11"/>
  <c r="I19" i="11"/>
  <c r="H19" i="11"/>
  <c r="G19" i="11"/>
  <c r="F19" i="11"/>
  <c r="E19" i="11"/>
  <c r="D19" i="11"/>
  <c r="C19" i="11"/>
  <c r="B19" i="11"/>
  <c r="B23" i="11" s="1"/>
  <c r="N18" i="11"/>
  <c r="N20" i="11" s="1"/>
  <c r="M18" i="11"/>
  <c r="L18" i="11"/>
  <c r="K18" i="11"/>
  <c r="J18" i="11"/>
  <c r="I18" i="11"/>
  <c r="H18" i="11"/>
  <c r="G18" i="11"/>
  <c r="F18" i="11"/>
  <c r="E18" i="11"/>
  <c r="D18" i="11"/>
  <c r="C18" i="11"/>
  <c r="B18" i="11"/>
  <c r="B22" i="11" s="1"/>
  <c r="D17" i="11"/>
  <c r="E17" i="11" s="1"/>
  <c r="F17" i="11" s="1"/>
  <c r="G17" i="11" s="1"/>
  <c r="H17" i="11" s="1"/>
  <c r="I17" i="11" s="1"/>
  <c r="J17" i="11" s="1"/>
  <c r="K17" i="11" s="1"/>
  <c r="L17" i="11" s="1"/>
  <c r="M17" i="11" s="1"/>
  <c r="N17" i="11" s="1"/>
  <c r="F9" i="11"/>
  <c r="F8" i="11"/>
  <c r="F7" i="11"/>
  <c r="AA11" i="10"/>
  <c r="Z11" i="10"/>
  <c r="Y11" i="10"/>
  <c r="X11" i="10"/>
  <c r="W11" i="10"/>
  <c r="P11" i="10"/>
  <c r="H5524" i="5"/>
  <c r="H5523" i="5"/>
  <c r="H5522" i="5"/>
  <c r="H5521" i="5"/>
  <c r="H5520" i="5"/>
  <c r="H5519" i="5"/>
  <c r="H6131" i="5"/>
  <c r="G5232" i="5"/>
  <c r="H5232" i="5" s="1"/>
  <c r="F5232" i="5"/>
  <c r="F413" i="6"/>
  <c r="G4434" i="5"/>
  <c r="H4434" i="5" s="1"/>
  <c r="G4047" i="5"/>
  <c r="H4047" i="5" s="1"/>
  <c r="Q4047" i="5"/>
  <c r="F4047" i="5" s="1"/>
  <c r="U4986" i="5"/>
  <c r="P4487" i="5"/>
  <c r="P4488" i="5" s="1"/>
  <c r="Q4488" i="5" s="1"/>
  <c r="F4488" i="5" s="1"/>
  <c r="M1553" i="5"/>
  <c r="F1553" i="5" s="1"/>
  <c r="M1552" i="5"/>
  <c r="F1552" i="5" s="1"/>
  <c r="G1552" i="5" s="1"/>
  <c r="H1552" i="5" s="1"/>
  <c r="AZ1553" i="5"/>
  <c r="AY1553" i="5"/>
  <c r="AW1553" i="5"/>
  <c r="AX1553" i="5" s="1"/>
  <c r="AU1553" i="5"/>
  <c r="AV1553" i="5" s="1"/>
  <c r="AR1553" i="5"/>
  <c r="AS1553" i="5" s="1"/>
  <c r="AO1553" i="5"/>
  <c r="AN1553" i="5"/>
  <c r="AL1553" i="5"/>
  <c r="AK1553" i="5"/>
  <c r="AJ1553" i="5"/>
  <c r="AI1553" i="5"/>
  <c r="AZ1552" i="5"/>
  <c r="AY1552" i="5"/>
  <c r="AW1552" i="5"/>
  <c r="AX1552" i="5" s="1"/>
  <c r="AU1552" i="5"/>
  <c r="AV1552" i="5" s="1"/>
  <c r="AR1552" i="5"/>
  <c r="AS1552" i="5" s="1"/>
  <c r="AO1552" i="5"/>
  <c r="AN1552" i="5"/>
  <c r="AL1552" i="5"/>
  <c r="AK1552" i="5"/>
  <c r="AJ1552" i="5"/>
  <c r="AI1552" i="5"/>
  <c r="AP1552" i="5"/>
  <c r="T1963" i="5"/>
  <c r="M1963" i="5" s="1"/>
  <c r="F1963" i="5" s="1"/>
  <c r="G1963" i="5" s="1"/>
  <c r="H1963" i="5" s="1"/>
  <c r="N2836" i="5"/>
  <c r="N2834" i="5"/>
  <c r="N2835" i="5"/>
  <c r="M2838" i="5"/>
  <c r="T1968" i="5"/>
  <c r="M1968" i="5" s="1"/>
  <c r="F1968" i="5" s="1"/>
  <c r="G1968" i="5" s="1"/>
  <c r="H1968" i="5" s="1"/>
  <c r="M696" i="5"/>
  <c r="F696" i="5" s="1"/>
  <c r="G696" i="5" s="1"/>
  <c r="H696" i="5" s="1"/>
  <c r="M697" i="5"/>
  <c r="F697" i="5" s="1"/>
  <c r="G697" i="5" s="1"/>
  <c r="H697" i="5" s="1"/>
  <c r="T1122" i="5"/>
  <c r="M1122" i="5" s="1"/>
  <c r="F1122" i="5" s="1"/>
  <c r="G1122" i="5" s="1"/>
  <c r="H1122" i="5" s="1"/>
  <c r="T1121" i="5"/>
  <c r="M1121" i="5" s="1"/>
  <c r="F1121" i="5" s="1"/>
  <c r="G1121" i="5" s="1"/>
  <c r="H1121" i="5" s="1"/>
  <c r="T1120" i="5"/>
  <c r="M1120" i="5" s="1"/>
  <c r="F1120" i="5" s="1"/>
  <c r="G1120" i="5" s="1"/>
  <c r="H1120" i="5" s="1"/>
  <c r="T1119" i="5"/>
  <c r="M1119" i="5" s="1"/>
  <c r="F1119" i="5" s="1"/>
  <c r="G1119" i="5" s="1"/>
  <c r="H1119" i="5" s="1"/>
  <c r="T1118" i="5"/>
  <c r="M1118" i="5" s="1"/>
  <c r="F1118" i="5" s="1"/>
  <c r="G1118" i="5" s="1"/>
  <c r="H1118" i="5" s="1"/>
  <c r="T1982" i="5"/>
  <c r="M1982" i="5" s="1"/>
  <c r="F1982" i="5" s="1"/>
  <c r="G1982" i="5" s="1"/>
  <c r="H1982" i="5" s="1"/>
  <c r="T1981" i="5"/>
  <c r="M1981" i="5" s="1"/>
  <c r="F1981" i="5" s="1"/>
  <c r="G1981" i="5" s="1"/>
  <c r="H1981" i="5" s="1"/>
  <c r="T1980" i="5"/>
  <c r="M1980" i="5" s="1"/>
  <c r="F1980" i="5" s="1"/>
  <c r="G1980" i="5" s="1"/>
  <c r="H1980" i="5" s="1"/>
  <c r="T1979" i="5"/>
  <c r="M1979" i="5" s="1"/>
  <c r="F1979" i="5" s="1"/>
  <c r="G1979" i="5" s="1"/>
  <c r="H1979" i="5" s="1"/>
  <c r="T1978" i="5"/>
  <c r="M1978" i="5" s="1"/>
  <c r="F1978" i="5" s="1"/>
  <c r="G1978" i="5" s="1"/>
  <c r="H1978" i="5" s="1"/>
  <c r="T1977" i="5"/>
  <c r="M1977" i="5" s="1"/>
  <c r="F1977" i="5" s="1"/>
  <c r="G1977" i="5" s="1"/>
  <c r="H1977" i="5" s="1"/>
  <c r="T1976" i="5"/>
  <c r="M1976" i="5" s="1"/>
  <c r="F1976" i="5" s="1"/>
  <c r="G1976" i="5" s="1"/>
  <c r="H1976" i="5" s="1"/>
  <c r="T1975" i="5"/>
  <c r="M1975" i="5" s="1"/>
  <c r="F1975" i="5" s="1"/>
  <c r="G1975" i="5" s="1"/>
  <c r="H1975" i="5" s="1"/>
  <c r="T1974" i="5"/>
  <c r="M1974" i="5" s="1"/>
  <c r="F1974" i="5" s="1"/>
  <c r="G1974" i="5" s="1"/>
  <c r="H1974" i="5" s="1"/>
  <c r="T1973" i="5"/>
  <c r="M1973" i="5" s="1"/>
  <c r="F1973" i="5" s="1"/>
  <c r="G1973" i="5" s="1"/>
  <c r="H1973" i="5" s="1"/>
  <c r="G5231" i="5"/>
  <c r="H5231" i="5" s="1"/>
  <c r="F5231" i="5"/>
  <c r="H5228" i="5"/>
  <c r="G5201" i="5"/>
  <c r="H5201" i="5" s="1"/>
  <c r="F5201" i="5"/>
  <c r="G5200" i="5"/>
  <c r="H5200" i="5" s="1"/>
  <c r="F5200" i="5"/>
  <c r="G5199" i="5"/>
  <c r="H5199" i="5" s="1"/>
  <c r="F5199" i="5"/>
  <c r="G5198" i="5"/>
  <c r="H5198" i="5" s="1"/>
  <c r="F5198" i="5"/>
  <c r="G5197" i="5"/>
  <c r="H5197" i="5" s="1"/>
  <c r="F5197" i="5"/>
  <c r="D5104" i="5"/>
  <c r="A5104" i="5"/>
  <c r="A5105" i="5" s="1"/>
  <c r="C5105" i="5" s="1"/>
  <c r="X5139" i="5"/>
  <c r="W5139" i="5"/>
  <c r="V5139" i="5"/>
  <c r="U5139" i="5"/>
  <c r="S5139" i="5"/>
  <c r="R5139" i="5"/>
  <c r="Q5139" i="5"/>
  <c r="P5139" i="5"/>
  <c r="X5138" i="5"/>
  <c r="W5138" i="5"/>
  <c r="V5138" i="5"/>
  <c r="U5138" i="5"/>
  <c r="S5138" i="5"/>
  <c r="R5138" i="5"/>
  <c r="Q5138" i="5"/>
  <c r="P5138" i="5"/>
  <c r="X5137" i="5"/>
  <c r="W5137" i="5"/>
  <c r="V5137" i="5"/>
  <c r="U5137" i="5"/>
  <c r="S5137" i="5"/>
  <c r="R5137" i="5"/>
  <c r="Q5137" i="5"/>
  <c r="P5137" i="5"/>
  <c r="X5132" i="5"/>
  <c r="W5132" i="5"/>
  <c r="V5132" i="5"/>
  <c r="U5132" i="5"/>
  <c r="S5132" i="5"/>
  <c r="R5132" i="5"/>
  <c r="Q5132" i="5"/>
  <c r="P5132" i="5"/>
  <c r="X5131" i="5"/>
  <c r="W5131" i="5"/>
  <c r="V5131" i="5"/>
  <c r="U5131" i="5"/>
  <c r="S5131" i="5"/>
  <c r="R5131" i="5"/>
  <c r="Q5131" i="5"/>
  <c r="P5131" i="5"/>
  <c r="D5109" i="5"/>
  <c r="S5105" i="5"/>
  <c r="R5105" i="5"/>
  <c r="Q5105" i="5"/>
  <c r="Q5106" i="5" s="1"/>
  <c r="Q5107" i="5" s="1"/>
  <c r="Q5108" i="5" s="1"/>
  <c r="Q5109" i="5" s="1"/>
  <c r="Q5110" i="5" s="1"/>
  <c r="Q5111" i="5" s="1"/>
  <c r="Q5112" i="5" s="1"/>
  <c r="Q5113" i="5" s="1"/>
  <c r="Q5114" i="5" s="1"/>
  <c r="Q5115" i="5" s="1"/>
  <c r="Q5141" i="5" s="1"/>
  <c r="N5105" i="5"/>
  <c r="D5105" i="5"/>
  <c r="A4986" i="5"/>
  <c r="A4987" i="5" s="1"/>
  <c r="H6130" i="5"/>
  <c r="H6129" i="5"/>
  <c r="H6128" i="5"/>
  <c r="H6127" i="5"/>
  <c r="H6126" i="5"/>
  <c r="H6125" i="5"/>
  <c r="H6124" i="5"/>
  <c r="H6123" i="5"/>
  <c r="H6122" i="5"/>
  <c r="H6121" i="5"/>
  <c r="H6120" i="5"/>
  <c r="H6119" i="5"/>
  <c r="H6118" i="5"/>
  <c r="H6117" i="5"/>
  <c r="H25" i="5"/>
  <c r="H5" i="5"/>
  <c r="H8" i="5"/>
  <c r="H11" i="5"/>
  <c r="H17" i="5"/>
  <c r="H21" i="5"/>
  <c r="G3536" i="5"/>
  <c r="H3536" i="5" s="1"/>
  <c r="G3535" i="5"/>
  <c r="H3535" i="5" s="1"/>
  <c r="G3596" i="5"/>
  <c r="H3596" i="5" s="1"/>
  <c r="G3435" i="5"/>
  <c r="H3435" i="5" s="1"/>
  <c r="H5742" i="5"/>
  <c r="H5740" i="5"/>
  <c r="H5739" i="5"/>
  <c r="Z4989" i="5"/>
  <c r="Z4990" i="5" s="1"/>
  <c r="Z4991" i="5" s="1"/>
  <c r="Z4992" i="5" s="1"/>
  <c r="Z4993" i="5" s="1"/>
  <c r="Z4994" i="5" s="1"/>
  <c r="Z4995" i="5" s="1"/>
  <c r="Z4996" i="5" s="1"/>
  <c r="Z4997" i="5" s="1"/>
  <c r="AA4989" i="5"/>
  <c r="AA4990" i="5" s="1"/>
  <c r="AA4991" i="5" s="1"/>
  <c r="AA4992" i="5" s="1"/>
  <c r="AA4993" i="5" s="1"/>
  <c r="AA4994" i="5" s="1"/>
  <c r="AA4995" i="5" s="1"/>
  <c r="AA4996" i="5" s="1"/>
  <c r="AA4997" i="5" s="1"/>
  <c r="AB4989" i="5"/>
  <c r="AB4990" i="5" s="1"/>
  <c r="AB4991" i="5" s="1"/>
  <c r="AB4992" i="5" s="1"/>
  <c r="AB4993" i="5" s="1"/>
  <c r="AB4994" i="5" s="1"/>
  <c r="AB4995" i="5" s="1"/>
  <c r="AB4996" i="5" s="1"/>
  <c r="AB4997" i="5" s="1"/>
  <c r="X5021" i="5"/>
  <c r="W5021" i="5"/>
  <c r="V5021" i="5"/>
  <c r="U5021" i="5"/>
  <c r="S5021" i="5"/>
  <c r="R5021" i="5"/>
  <c r="Q5021" i="5"/>
  <c r="P5021" i="5"/>
  <c r="X5020" i="5"/>
  <c r="W5020" i="5"/>
  <c r="V5020" i="5"/>
  <c r="U5020" i="5"/>
  <c r="S5020" i="5"/>
  <c r="R5020" i="5"/>
  <c r="Q5020" i="5"/>
  <c r="P5020" i="5"/>
  <c r="X5019" i="5"/>
  <c r="W5019" i="5"/>
  <c r="V5019" i="5"/>
  <c r="U5019" i="5"/>
  <c r="S5019" i="5"/>
  <c r="R5019" i="5"/>
  <c r="Q5019" i="5"/>
  <c r="P5019" i="5"/>
  <c r="X5018" i="5"/>
  <c r="W5018" i="5"/>
  <c r="V5018" i="5"/>
  <c r="U5018" i="5"/>
  <c r="S5018" i="5"/>
  <c r="R5018" i="5"/>
  <c r="Q5018" i="5"/>
  <c r="P5018" i="5"/>
  <c r="X5017" i="5"/>
  <c r="W5017" i="5"/>
  <c r="V5017" i="5"/>
  <c r="U5017" i="5"/>
  <c r="S5017" i="5"/>
  <c r="R5017" i="5"/>
  <c r="Q5017" i="5"/>
  <c r="P5017" i="5"/>
  <c r="X5016" i="5"/>
  <c r="W5016" i="5"/>
  <c r="V5016" i="5"/>
  <c r="U5016" i="5"/>
  <c r="S5016" i="5"/>
  <c r="R5016" i="5"/>
  <c r="Q5016" i="5"/>
  <c r="P5016" i="5"/>
  <c r="X5015" i="5"/>
  <c r="W5015" i="5"/>
  <c r="V5015" i="5"/>
  <c r="U5015" i="5"/>
  <c r="S5015" i="5"/>
  <c r="R5015" i="5"/>
  <c r="Q5015" i="5"/>
  <c r="P5015" i="5"/>
  <c r="X5014" i="5"/>
  <c r="W5014" i="5"/>
  <c r="V5014" i="5"/>
  <c r="U5014" i="5"/>
  <c r="S5014" i="5"/>
  <c r="R5014" i="5"/>
  <c r="Q5014" i="5"/>
  <c r="P5014" i="5"/>
  <c r="X5013" i="5"/>
  <c r="W5013" i="5"/>
  <c r="V5013" i="5"/>
  <c r="U5013" i="5"/>
  <c r="S5013" i="5"/>
  <c r="R5013" i="5"/>
  <c r="Q5013" i="5"/>
  <c r="P5013" i="5"/>
  <c r="D4991" i="5"/>
  <c r="D4994" i="5" s="1"/>
  <c r="D4997" i="5" s="1"/>
  <c r="D5000" i="5" s="1"/>
  <c r="D5003" i="5" s="1"/>
  <c r="D5006" i="5" s="1"/>
  <c r="D5009" i="5" s="1"/>
  <c r="D5012" i="5" s="1"/>
  <c r="D5015" i="5" s="1"/>
  <c r="D5018" i="5" s="1"/>
  <c r="D5021" i="5" s="1"/>
  <c r="N4987" i="5"/>
  <c r="N4988" i="5" s="1"/>
  <c r="A4992" i="5" s="1"/>
  <c r="C4992" i="5" s="1"/>
  <c r="D4987" i="5"/>
  <c r="D4990" i="5" s="1"/>
  <c r="D4993" i="5" s="1"/>
  <c r="D4996" i="5" s="1"/>
  <c r="D4999" i="5" s="1"/>
  <c r="D5002" i="5" s="1"/>
  <c r="D5005" i="5" s="1"/>
  <c r="D5008" i="5" s="1"/>
  <c r="D5011" i="5" s="1"/>
  <c r="D5014" i="5" s="1"/>
  <c r="D5017" i="5" s="1"/>
  <c r="D5020" i="5" s="1"/>
  <c r="D4986" i="5"/>
  <c r="AL1573" i="5"/>
  <c r="AK1573" i="5"/>
  <c r="AJ1573" i="5"/>
  <c r="AP1572" i="5"/>
  <c r="AO1572" i="5"/>
  <c r="AN1572" i="5"/>
  <c r="AH1572" i="5"/>
  <c r="AR1572" i="5" s="1"/>
  <c r="AT1572" i="5" s="1"/>
  <c r="H1572" i="5"/>
  <c r="N4487" i="5"/>
  <c r="N4488" i="5" s="1"/>
  <c r="N4489" i="5" s="1"/>
  <c r="N4490" i="5" s="1"/>
  <c r="N4491" i="5" s="1"/>
  <c r="N4492" i="5" s="1"/>
  <c r="N4493" i="5" s="1"/>
  <c r="N4494" i="5" s="1"/>
  <c r="N4495" i="5" s="1"/>
  <c r="N4496" i="5" s="1"/>
  <c r="N4497" i="5" s="1"/>
  <c r="H4485" i="5"/>
  <c r="S3596" i="5"/>
  <c r="F3596" i="5" s="1"/>
  <c r="H3595" i="5"/>
  <c r="U3535" i="5"/>
  <c r="F3536" i="5" s="1"/>
  <c r="T3535" i="5"/>
  <c r="F3535" i="5" s="1"/>
  <c r="H3534" i="5"/>
  <c r="H3434" i="5"/>
  <c r="G3916" i="5"/>
  <c r="H3916" i="5" s="1"/>
  <c r="Q3915" i="5"/>
  <c r="F3916" i="5" s="1"/>
  <c r="P3915" i="5"/>
  <c r="F3915" i="5" s="1"/>
  <c r="O3915" i="5"/>
  <c r="F3914" i="5" s="1"/>
  <c r="G3915" i="5"/>
  <c r="H3915" i="5" s="1"/>
  <c r="G3914" i="5"/>
  <c r="H3914" i="5" s="1"/>
  <c r="H3913" i="5"/>
  <c r="P3835" i="5"/>
  <c r="F3835" i="5" s="1"/>
  <c r="O3835" i="5"/>
  <c r="F3834" i="5" s="1"/>
  <c r="G3835" i="5"/>
  <c r="H3835" i="5" s="1"/>
  <c r="G3834" i="5"/>
  <c r="H3834" i="5" s="1"/>
  <c r="H3833" i="5"/>
  <c r="P3736" i="5"/>
  <c r="F3736" i="5" s="1"/>
  <c r="O3736" i="5"/>
  <c r="F3735" i="5" s="1"/>
  <c r="G3736" i="5"/>
  <c r="H3736" i="5" s="1"/>
  <c r="G3735" i="5"/>
  <c r="H3735" i="5" s="1"/>
  <c r="H3734" i="5"/>
  <c r="H3746" i="5"/>
  <c r="H3747" i="5"/>
  <c r="H3748" i="5"/>
  <c r="G237" i="5"/>
  <c r="H237" i="5" s="1"/>
  <c r="G236" i="5"/>
  <c r="H236" i="5" s="1"/>
  <c r="G235" i="5"/>
  <c r="H235" i="5" s="1"/>
  <c r="G234" i="5"/>
  <c r="H234" i="5" s="1"/>
  <c r="G233" i="5"/>
  <c r="H233" i="5" s="1"/>
  <c r="G232" i="5"/>
  <c r="H232" i="5" s="1"/>
  <c r="G231" i="5"/>
  <c r="H231" i="5" s="1"/>
  <c r="G244" i="5"/>
  <c r="H244" i="5" s="1"/>
  <c r="G243" i="5"/>
  <c r="H243" i="5" s="1"/>
  <c r="G242" i="5"/>
  <c r="H242" i="5" s="1"/>
  <c r="G241" i="5"/>
  <c r="H241" i="5" s="1"/>
  <c r="G240" i="5"/>
  <c r="H240" i="5" s="1"/>
  <c r="G239" i="5"/>
  <c r="H239" i="5" s="1"/>
  <c r="G238" i="5"/>
  <c r="H238" i="5" s="1"/>
  <c r="U239" i="5"/>
  <c r="F244" i="5" s="1"/>
  <c r="T239" i="5"/>
  <c r="F243" i="5" s="1"/>
  <c r="S239" i="5"/>
  <c r="F242" i="5" s="1"/>
  <c r="R239" i="5"/>
  <c r="F241" i="5" s="1"/>
  <c r="Q239" i="5"/>
  <c r="F240" i="5" s="1"/>
  <c r="P239" i="5"/>
  <c r="F239" i="5" s="1"/>
  <c r="O239" i="5"/>
  <c r="F238" i="5" s="1"/>
  <c r="P232" i="5"/>
  <c r="F232" i="5" s="1"/>
  <c r="M238" i="5"/>
  <c r="Q232" i="5"/>
  <c r="F233" i="5" s="1"/>
  <c r="U232" i="5"/>
  <c r="F237" i="5" s="1"/>
  <c r="T232" i="5"/>
  <c r="F236" i="5" s="1"/>
  <c r="S232" i="5"/>
  <c r="F235" i="5" s="1"/>
  <c r="R232" i="5"/>
  <c r="F234" i="5" s="1"/>
  <c r="O232" i="5"/>
  <c r="F231" i="5" s="1"/>
  <c r="H230" i="5"/>
  <c r="AZ1110" i="5"/>
  <c r="AY1110" i="5"/>
  <c r="AW1110" i="5"/>
  <c r="AX1110" i="5" s="1"/>
  <c r="AU1110" i="5"/>
  <c r="AV1110" i="5" s="1"/>
  <c r="AR1110" i="5"/>
  <c r="AT1110" i="5" s="1"/>
  <c r="AO1110" i="5"/>
  <c r="AN1110" i="5"/>
  <c r="AL1110" i="5"/>
  <c r="AK1110" i="5"/>
  <c r="AJ1110" i="5"/>
  <c r="AI1110" i="5"/>
  <c r="AZ1106" i="5"/>
  <c r="AY1106" i="5"/>
  <c r="AW1106" i="5"/>
  <c r="AX1106" i="5" s="1"/>
  <c r="AU1106" i="5"/>
  <c r="AV1106" i="5" s="1"/>
  <c r="AR1106" i="5"/>
  <c r="AT1106" i="5" s="1"/>
  <c r="AO1106" i="5"/>
  <c r="AN1106" i="5"/>
  <c r="AL1106" i="5"/>
  <c r="AK1106" i="5"/>
  <c r="AJ1106" i="5"/>
  <c r="AI1106" i="5"/>
  <c r="T1548" i="5"/>
  <c r="M1548" i="5" s="1"/>
  <c r="F1548" i="5" s="1"/>
  <c r="G1548" i="5" s="1"/>
  <c r="H1548" i="5" s="1"/>
  <c r="M1534" i="5"/>
  <c r="F1534" i="5" s="1"/>
  <c r="G1534" i="5" s="1"/>
  <c r="H1534" i="5" s="1"/>
  <c r="M1545" i="5"/>
  <c r="F1545" i="5" s="1"/>
  <c r="G1545" i="5" s="1"/>
  <c r="H1545" i="5" s="1"/>
  <c r="M1543" i="5"/>
  <c r="F1543" i="5" s="1"/>
  <c r="G1543" i="5" s="1"/>
  <c r="H1543" i="5" s="1"/>
  <c r="M1536" i="5"/>
  <c r="F1536" i="5" s="1"/>
  <c r="G1536" i="5" s="1"/>
  <c r="H1536" i="5" s="1"/>
  <c r="T698" i="5"/>
  <c r="M698" i="5" s="1"/>
  <c r="F698" i="5" s="1"/>
  <c r="G698" i="5" s="1"/>
  <c r="H698" i="5" s="1"/>
  <c r="T1550" i="5"/>
  <c r="M1550" i="5" s="1"/>
  <c r="F1550" i="5" s="1"/>
  <c r="G1550" i="5" s="1"/>
  <c r="H1550" i="5" s="1"/>
  <c r="T1551" i="5"/>
  <c r="M1551" i="5" s="1"/>
  <c r="F1551" i="5" s="1"/>
  <c r="G1551" i="5" s="1"/>
  <c r="H1551" i="5" s="1"/>
  <c r="T1549" i="5"/>
  <c r="M1549" i="5" s="1"/>
  <c r="F1549" i="5" s="1"/>
  <c r="G1549" i="5" s="1"/>
  <c r="H1549" i="5" s="1"/>
  <c r="T1547" i="5"/>
  <c r="M1547" i="5" s="1"/>
  <c r="F1547" i="5" s="1"/>
  <c r="G1547" i="5" s="1"/>
  <c r="H1547" i="5" s="1"/>
  <c r="T2386" i="5"/>
  <c r="M2386" i="5" s="1"/>
  <c r="F2386" i="5" s="1"/>
  <c r="G2386" i="5" s="1"/>
  <c r="H2386" i="5" s="1"/>
  <c r="T2384" i="5"/>
  <c r="M2384" i="5" s="1"/>
  <c r="F2384" i="5" s="1"/>
  <c r="G2384" i="5" s="1"/>
  <c r="H2384" i="5" s="1"/>
  <c r="AH1983" i="5"/>
  <c r="AN1983" i="5"/>
  <c r="AO1983" i="5"/>
  <c r="AP1983" i="5"/>
  <c r="AR1983" i="5"/>
  <c r="AS1983" i="5" s="1"/>
  <c r="AU1983" i="5"/>
  <c r="AV1983" i="5" s="1"/>
  <c r="AW1983" i="5"/>
  <c r="AX1983" i="5" s="1"/>
  <c r="AH1984" i="5"/>
  <c r="AJ1984" i="5" s="1"/>
  <c r="AN1984" i="5"/>
  <c r="AO1984" i="5"/>
  <c r="AP1984" i="5"/>
  <c r="AR1984" i="5"/>
  <c r="AT1984" i="5" s="1"/>
  <c r="AU1984" i="5"/>
  <c r="AV1984" i="5" s="1"/>
  <c r="AW1984" i="5"/>
  <c r="AX1984" i="5" s="1"/>
  <c r="AH1985" i="5"/>
  <c r="AJ1985" i="5" s="1"/>
  <c r="AN1985" i="5"/>
  <c r="AO1985" i="5"/>
  <c r="AP1985" i="5"/>
  <c r="AR1985" i="5"/>
  <c r="AS1985" i="5" s="1"/>
  <c r="AU1985" i="5"/>
  <c r="AV1985" i="5" s="1"/>
  <c r="AW1985" i="5"/>
  <c r="AX1985" i="5" s="1"/>
  <c r="X4984" i="5"/>
  <c r="W4984" i="5"/>
  <c r="V4984" i="5"/>
  <c r="U4984" i="5"/>
  <c r="S4984" i="5"/>
  <c r="R4984" i="5"/>
  <c r="Q4984" i="5"/>
  <c r="P4984" i="5"/>
  <c r="X4983" i="5"/>
  <c r="W4983" i="5"/>
  <c r="V4983" i="5"/>
  <c r="U4983" i="5"/>
  <c r="S4983" i="5"/>
  <c r="R4983" i="5"/>
  <c r="Q4983" i="5"/>
  <c r="P4983" i="5"/>
  <c r="A4983" i="5"/>
  <c r="C4983" i="5" s="1"/>
  <c r="X4982" i="5"/>
  <c r="W4982" i="5"/>
  <c r="V4982" i="5"/>
  <c r="U4982" i="5"/>
  <c r="S4982" i="5"/>
  <c r="R4982" i="5"/>
  <c r="Q4982" i="5"/>
  <c r="P4982" i="5"/>
  <c r="C4982" i="5"/>
  <c r="X4981" i="5"/>
  <c r="W4981" i="5"/>
  <c r="V4981" i="5"/>
  <c r="U4981" i="5"/>
  <c r="S4981" i="5"/>
  <c r="R4981" i="5"/>
  <c r="Q4981" i="5"/>
  <c r="P4981" i="5"/>
  <c r="X4980" i="5"/>
  <c r="W4980" i="5"/>
  <c r="V4980" i="5"/>
  <c r="U4980" i="5"/>
  <c r="S4980" i="5"/>
  <c r="R4980" i="5"/>
  <c r="Q4980" i="5"/>
  <c r="P4980" i="5"/>
  <c r="A4980" i="5"/>
  <c r="C4980" i="5" s="1"/>
  <c r="X4979" i="5"/>
  <c r="W4979" i="5"/>
  <c r="V4979" i="5"/>
  <c r="U4979" i="5"/>
  <c r="S4979" i="5"/>
  <c r="R4979" i="5"/>
  <c r="Q4979" i="5"/>
  <c r="P4979" i="5"/>
  <c r="C4979" i="5"/>
  <c r="X4978" i="5"/>
  <c r="W4978" i="5"/>
  <c r="V4978" i="5"/>
  <c r="U4978" i="5"/>
  <c r="S4978" i="5"/>
  <c r="R4978" i="5"/>
  <c r="Q4978" i="5"/>
  <c r="P4978" i="5"/>
  <c r="X4977" i="5"/>
  <c r="W4977" i="5"/>
  <c r="V4977" i="5"/>
  <c r="U4977" i="5"/>
  <c r="S4977" i="5"/>
  <c r="R4977" i="5"/>
  <c r="Q4977" i="5"/>
  <c r="P4977" i="5"/>
  <c r="A4977" i="5"/>
  <c r="X4976" i="5"/>
  <c r="W4976" i="5"/>
  <c r="V4976" i="5"/>
  <c r="U4976" i="5"/>
  <c r="S4976" i="5"/>
  <c r="R4976" i="5"/>
  <c r="Q4976" i="5"/>
  <c r="P4976" i="5"/>
  <c r="C4976" i="5"/>
  <c r="A4974" i="5"/>
  <c r="C4974" i="5" s="1"/>
  <c r="C4973" i="5"/>
  <c r="A4971" i="5"/>
  <c r="C4971" i="5" s="1"/>
  <c r="C4970" i="5"/>
  <c r="A4968" i="5"/>
  <c r="C4968" i="5" s="1"/>
  <c r="C4967" i="5"/>
  <c r="A4965" i="5"/>
  <c r="C4965" i="5" s="1"/>
  <c r="C4964" i="5"/>
  <c r="A4962" i="5"/>
  <c r="C4962" i="5" s="1"/>
  <c r="C4961" i="5"/>
  <c r="A4959" i="5"/>
  <c r="C4959" i="5" s="1"/>
  <c r="C4958" i="5"/>
  <c r="A4956" i="5"/>
  <c r="A4957" i="5" s="1"/>
  <c r="C4957" i="5" s="1"/>
  <c r="C4955" i="5"/>
  <c r="D4954" i="5"/>
  <c r="D4957" i="5" s="1"/>
  <c r="D4960" i="5" s="1"/>
  <c r="D4963" i="5" s="1"/>
  <c r="D4966" i="5" s="1"/>
  <c r="D4969" i="5" s="1"/>
  <c r="D4972" i="5" s="1"/>
  <c r="D4975" i="5" s="1"/>
  <c r="D4978" i="5" s="1"/>
  <c r="D4981" i="5" s="1"/>
  <c r="D4984" i="5" s="1"/>
  <c r="A4953" i="5"/>
  <c r="C4953" i="5" s="1"/>
  <c r="C4952" i="5"/>
  <c r="N4950" i="5"/>
  <c r="N4951" i="5" s="1"/>
  <c r="N4952" i="5" s="1"/>
  <c r="N4953" i="5" s="1"/>
  <c r="N4954" i="5" s="1"/>
  <c r="N4955" i="5" s="1"/>
  <c r="N4956" i="5" s="1"/>
  <c r="N4957" i="5" s="1"/>
  <c r="N4958" i="5" s="1"/>
  <c r="N4959" i="5" s="1"/>
  <c r="N4960" i="5" s="1"/>
  <c r="D4950" i="5"/>
  <c r="D4953" i="5" s="1"/>
  <c r="D4956" i="5" s="1"/>
  <c r="D4959" i="5" s="1"/>
  <c r="D4962" i="5" s="1"/>
  <c r="D4965" i="5" s="1"/>
  <c r="D4968" i="5" s="1"/>
  <c r="D4971" i="5" s="1"/>
  <c r="D4974" i="5" s="1"/>
  <c r="D4977" i="5" s="1"/>
  <c r="D4980" i="5" s="1"/>
  <c r="D4983" i="5" s="1"/>
  <c r="A4950" i="5"/>
  <c r="A4951" i="5" s="1"/>
  <c r="C4951" i="5" s="1"/>
  <c r="D4949" i="5"/>
  <c r="D4952" i="5" s="1"/>
  <c r="D4955" i="5" s="1"/>
  <c r="D4958" i="5" s="1"/>
  <c r="D4961" i="5" s="1"/>
  <c r="D4964" i="5" s="1"/>
  <c r="D4967" i="5" s="1"/>
  <c r="D4970" i="5" s="1"/>
  <c r="D4973" i="5" s="1"/>
  <c r="D4976" i="5" s="1"/>
  <c r="D4979" i="5" s="1"/>
  <c r="D4982" i="5" s="1"/>
  <c r="C4949" i="5"/>
  <c r="N4474" i="5"/>
  <c r="N4475" i="5" s="1"/>
  <c r="N4476" i="5" s="1"/>
  <c r="N4477" i="5" s="1"/>
  <c r="N4478" i="5" s="1"/>
  <c r="N4479" i="5" s="1"/>
  <c r="N4480" i="5" s="1"/>
  <c r="N4481" i="5" s="1"/>
  <c r="N4482" i="5" s="1"/>
  <c r="N4483" i="5" s="1"/>
  <c r="N4484" i="5" s="1"/>
  <c r="N4448" i="5"/>
  <c r="N4449" i="5" s="1"/>
  <c r="N4450" i="5" s="1"/>
  <c r="N4451" i="5" s="1"/>
  <c r="N4452" i="5" s="1"/>
  <c r="N4453" i="5" s="1"/>
  <c r="N4454" i="5" s="1"/>
  <c r="N4455" i="5" s="1"/>
  <c r="N4456" i="5" s="1"/>
  <c r="N4457" i="5" s="1"/>
  <c r="N4458" i="5" s="1"/>
  <c r="H4472" i="5"/>
  <c r="O4295" i="5"/>
  <c r="O4299" i="5" s="1"/>
  <c r="O4303" i="5" s="1"/>
  <c r="O4304" i="5" s="1"/>
  <c r="F4303" i="5" s="1"/>
  <c r="H4302" i="5"/>
  <c r="Q4045" i="5"/>
  <c r="F4045" i="5" s="1"/>
  <c r="G4045" i="5"/>
  <c r="H4045" i="5" s="1"/>
  <c r="H3909" i="5"/>
  <c r="H3830" i="5"/>
  <c r="H3731" i="5"/>
  <c r="H3590" i="5"/>
  <c r="H3525" i="5"/>
  <c r="H3417" i="5"/>
  <c r="M223" i="5"/>
  <c r="N223" i="5"/>
  <c r="H215" i="5"/>
  <c r="H18" i="5"/>
  <c r="T1546" i="5"/>
  <c r="M1546" i="5" s="1"/>
  <c r="F1546" i="5" s="1"/>
  <c r="G1546" i="5" s="1"/>
  <c r="H1546" i="5" s="1"/>
  <c r="T1544" i="5"/>
  <c r="M1544" i="5" s="1"/>
  <c r="F1544" i="5" s="1"/>
  <c r="G1544" i="5" s="1"/>
  <c r="H1544" i="5" s="1"/>
  <c r="AP1951" i="5"/>
  <c r="M1951" i="5"/>
  <c r="G1951" i="5"/>
  <c r="H1951" i="5" s="1"/>
  <c r="M1094" i="5"/>
  <c r="F1094" i="5" s="1"/>
  <c r="AM1094" i="5" s="1"/>
  <c r="T1117" i="5"/>
  <c r="T1116" i="5"/>
  <c r="M1116" i="5" s="1"/>
  <c r="F1116" i="5" s="1"/>
  <c r="G1116" i="5" s="1"/>
  <c r="H1116" i="5" s="1"/>
  <c r="T1115" i="5"/>
  <c r="AP1115" i="5" s="1"/>
  <c r="AZ1117" i="5"/>
  <c r="AY1117" i="5"/>
  <c r="AW1117" i="5"/>
  <c r="AX1117" i="5" s="1"/>
  <c r="AU1117" i="5"/>
  <c r="AV1117" i="5" s="1"/>
  <c r="AR1117" i="5"/>
  <c r="AT1117" i="5" s="1"/>
  <c r="AO1117" i="5"/>
  <c r="AN1117" i="5"/>
  <c r="AL1117" i="5"/>
  <c r="AK1117" i="5"/>
  <c r="AJ1117" i="5"/>
  <c r="AI1117" i="5"/>
  <c r="AZ1116" i="5"/>
  <c r="AY1116" i="5"/>
  <c r="AW1116" i="5"/>
  <c r="AX1116" i="5" s="1"/>
  <c r="AU1116" i="5"/>
  <c r="AV1116" i="5" s="1"/>
  <c r="AR1116" i="5"/>
  <c r="AT1116" i="5" s="1"/>
  <c r="AO1116" i="5"/>
  <c r="AN1116" i="5"/>
  <c r="AL1116" i="5"/>
  <c r="AK1116" i="5"/>
  <c r="AJ1116" i="5"/>
  <c r="AI1116" i="5"/>
  <c r="AZ1115" i="5"/>
  <c r="AY1115" i="5"/>
  <c r="AW1115" i="5"/>
  <c r="AX1115" i="5" s="1"/>
  <c r="AU1115" i="5"/>
  <c r="AV1115" i="5" s="1"/>
  <c r="AR1115" i="5"/>
  <c r="AT1115" i="5" s="1"/>
  <c r="AO1115" i="5"/>
  <c r="AN1115" i="5"/>
  <c r="AL1115" i="5"/>
  <c r="AK1115" i="5"/>
  <c r="AJ1115" i="5"/>
  <c r="AI1115" i="5"/>
  <c r="H6057" i="5"/>
  <c r="H4289" i="5"/>
  <c r="G4043" i="5"/>
  <c r="H4043" i="5" s="1"/>
  <c r="G4041" i="5"/>
  <c r="H4041" i="5" s="1"/>
  <c r="G4039" i="5"/>
  <c r="H4039" i="5" s="1"/>
  <c r="G4037" i="5"/>
  <c r="H4037" i="5" s="1"/>
  <c r="H4036" i="5"/>
  <c r="G4035" i="5"/>
  <c r="H4035" i="5" s="1"/>
  <c r="H4034" i="5"/>
  <c r="G4033" i="5"/>
  <c r="H4033" i="5" s="1"/>
  <c r="Q4043" i="5"/>
  <c r="F4043" i="5" s="1"/>
  <c r="Q4041" i="5"/>
  <c r="F4041" i="5" s="1"/>
  <c r="Q4039" i="5"/>
  <c r="F4039" i="5" s="1"/>
  <c r="Q4037" i="5"/>
  <c r="F4037" i="5" s="1"/>
  <c r="Q4035" i="5"/>
  <c r="F4035" i="5" s="1"/>
  <c r="Q4033" i="5"/>
  <c r="F4033" i="5" s="1"/>
  <c r="A4913" i="5"/>
  <c r="A4914" i="5" s="1"/>
  <c r="C4914" i="5" s="1"/>
  <c r="X4947" i="5"/>
  <c r="W4947" i="5"/>
  <c r="V4947" i="5"/>
  <c r="U4947" i="5"/>
  <c r="S4947" i="5"/>
  <c r="R4947" i="5"/>
  <c r="Q4947" i="5"/>
  <c r="P4947" i="5"/>
  <c r="X4946" i="5"/>
  <c r="W4946" i="5"/>
  <c r="V4946" i="5"/>
  <c r="U4946" i="5"/>
  <c r="S4946" i="5"/>
  <c r="R4946" i="5"/>
  <c r="Q4946" i="5"/>
  <c r="P4946" i="5"/>
  <c r="A4946" i="5"/>
  <c r="A4947" i="5" s="1"/>
  <c r="C4947" i="5" s="1"/>
  <c r="X4945" i="5"/>
  <c r="W4945" i="5"/>
  <c r="V4945" i="5"/>
  <c r="U4945" i="5"/>
  <c r="S4945" i="5"/>
  <c r="R4945" i="5"/>
  <c r="Q4945" i="5"/>
  <c r="P4945" i="5"/>
  <c r="C4945" i="5"/>
  <c r="X4944" i="5"/>
  <c r="W4944" i="5"/>
  <c r="V4944" i="5"/>
  <c r="U4944" i="5"/>
  <c r="S4944" i="5"/>
  <c r="R4944" i="5"/>
  <c r="Q4944" i="5"/>
  <c r="P4944" i="5"/>
  <c r="X4943" i="5"/>
  <c r="W4943" i="5"/>
  <c r="V4943" i="5"/>
  <c r="U4943" i="5"/>
  <c r="S4943" i="5"/>
  <c r="R4943" i="5"/>
  <c r="Q4943" i="5"/>
  <c r="P4943" i="5"/>
  <c r="A4943" i="5"/>
  <c r="X4942" i="5"/>
  <c r="W4942" i="5"/>
  <c r="V4942" i="5"/>
  <c r="U4942" i="5"/>
  <c r="S4942" i="5"/>
  <c r="R4942" i="5"/>
  <c r="Q4942" i="5"/>
  <c r="P4942" i="5"/>
  <c r="C4942" i="5"/>
  <c r="X4941" i="5"/>
  <c r="W4941" i="5"/>
  <c r="V4941" i="5"/>
  <c r="U4941" i="5"/>
  <c r="S4941" i="5"/>
  <c r="R4941" i="5"/>
  <c r="Q4941" i="5"/>
  <c r="P4941" i="5"/>
  <c r="X4940" i="5"/>
  <c r="W4940" i="5"/>
  <c r="V4940" i="5"/>
  <c r="U4940" i="5"/>
  <c r="S4940" i="5"/>
  <c r="R4940" i="5"/>
  <c r="Q4940" i="5"/>
  <c r="P4940" i="5"/>
  <c r="A4940" i="5"/>
  <c r="A4941" i="5" s="1"/>
  <c r="C4941" i="5" s="1"/>
  <c r="X4939" i="5"/>
  <c r="W4939" i="5"/>
  <c r="V4939" i="5"/>
  <c r="U4939" i="5"/>
  <c r="S4939" i="5"/>
  <c r="R4939" i="5"/>
  <c r="Q4939" i="5"/>
  <c r="P4939" i="5"/>
  <c r="C4939" i="5"/>
  <c r="A4937" i="5"/>
  <c r="A4938" i="5" s="1"/>
  <c r="C4938" i="5" s="1"/>
  <c r="C4936" i="5"/>
  <c r="A4934" i="5"/>
  <c r="A4935" i="5" s="1"/>
  <c r="C4935" i="5" s="1"/>
  <c r="C4933" i="5"/>
  <c r="A4931" i="5"/>
  <c r="A4932" i="5" s="1"/>
  <c r="C4932" i="5" s="1"/>
  <c r="C4930" i="5"/>
  <c r="A4928" i="5"/>
  <c r="C4928" i="5" s="1"/>
  <c r="C4927" i="5"/>
  <c r="A4925" i="5"/>
  <c r="C4924" i="5"/>
  <c r="A4922" i="5"/>
  <c r="C4921" i="5"/>
  <c r="A4919" i="5"/>
  <c r="C4919" i="5" s="1"/>
  <c r="C4918" i="5"/>
  <c r="D4917" i="5"/>
  <c r="A4916" i="5"/>
  <c r="A4917" i="5" s="1"/>
  <c r="C4917" i="5" s="1"/>
  <c r="C4915" i="5"/>
  <c r="W4913" i="5"/>
  <c r="N4913" i="5"/>
  <c r="N4914" i="5" s="1"/>
  <c r="N4915" i="5" s="1"/>
  <c r="N4916" i="5" s="1"/>
  <c r="N4917" i="5" s="1"/>
  <c r="N4918" i="5" s="1"/>
  <c r="N4919" i="5" s="1"/>
  <c r="N4920" i="5" s="1"/>
  <c r="N4921" i="5" s="1"/>
  <c r="N4922" i="5" s="1"/>
  <c r="N4923" i="5" s="1"/>
  <c r="D4913" i="5"/>
  <c r="D4916" i="5" s="1"/>
  <c r="D4919" i="5" s="1"/>
  <c r="D4922" i="5" s="1"/>
  <c r="D4925" i="5" s="1"/>
  <c r="D4928" i="5" s="1"/>
  <c r="D4931" i="5" s="1"/>
  <c r="D4934" i="5" s="1"/>
  <c r="D4937" i="5" s="1"/>
  <c r="D4940" i="5" s="1"/>
  <c r="D4943" i="5" s="1"/>
  <c r="D4946" i="5" s="1"/>
  <c r="D4912" i="5"/>
  <c r="D4915" i="5" s="1"/>
  <c r="D4918" i="5" s="1"/>
  <c r="D4921" i="5" s="1"/>
  <c r="D4924" i="5" s="1"/>
  <c r="D4927" i="5" s="1"/>
  <c r="D4930" i="5" s="1"/>
  <c r="D4933" i="5" s="1"/>
  <c r="D4936" i="5" s="1"/>
  <c r="D4939" i="5" s="1"/>
  <c r="D4942" i="5" s="1"/>
  <c r="D4945" i="5" s="1"/>
  <c r="C4912" i="5"/>
  <c r="N4461" i="5"/>
  <c r="N4462" i="5" s="1"/>
  <c r="N4463" i="5" s="1"/>
  <c r="N4464" i="5" s="1"/>
  <c r="N4465" i="5" s="1"/>
  <c r="N4466" i="5" s="1"/>
  <c r="N4467" i="5" s="1"/>
  <c r="N4468" i="5" s="1"/>
  <c r="N4469" i="5" s="1"/>
  <c r="N4470" i="5" s="1"/>
  <c r="N4471" i="5" s="1"/>
  <c r="H4459" i="5"/>
  <c r="H4298" i="5"/>
  <c r="H3905" i="5"/>
  <c r="H3827" i="5"/>
  <c r="H3728" i="5"/>
  <c r="H3585" i="5"/>
  <c r="H3516" i="5"/>
  <c r="H3400" i="5"/>
  <c r="N208" i="5"/>
  <c r="H200" i="5"/>
  <c r="T1528" i="5"/>
  <c r="T1527" i="5"/>
  <c r="T1526" i="5"/>
  <c r="M1526" i="5" s="1"/>
  <c r="F1526" i="5" s="1"/>
  <c r="G1526" i="5" s="1"/>
  <c r="H1526" i="5" s="1"/>
  <c r="T1525" i="5"/>
  <c r="AP1525" i="5" s="1"/>
  <c r="T1524" i="5"/>
  <c r="T1523" i="5"/>
  <c r="M1523" i="5" s="1"/>
  <c r="F1523" i="5" s="1"/>
  <c r="G1523" i="5" s="1"/>
  <c r="H1523" i="5" s="1"/>
  <c r="T1522" i="5"/>
  <c r="M1522" i="5" s="1"/>
  <c r="F1522" i="5" s="1"/>
  <c r="G1522" i="5" s="1"/>
  <c r="H1522" i="5" s="1"/>
  <c r="T1521" i="5"/>
  <c r="M1521" i="5" s="1"/>
  <c r="F1521" i="5" s="1"/>
  <c r="G1521" i="5" s="1"/>
  <c r="H1521" i="5" s="1"/>
  <c r="T1520" i="5"/>
  <c r="M1520" i="5" s="1"/>
  <c r="F1520" i="5" s="1"/>
  <c r="G1520" i="5" s="1"/>
  <c r="H1520" i="5" s="1"/>
  <c r="T1519" i="5"/>
  <c r="M1519" i="5" s="1"/>
  <c r="F1519" i="5" s="1"/>
  <c r="G1519" i="5" s="1"/>
  <c r="H1519" i="5" s="1"/>
  <c r="T1518" i="5"/>
  <c r="T1517" i="5"/>
  <c r="M1517" i="5" s="1"/>
  <c r="F1517" i="5" s="1"/>
  <c r="AM1517" i="5" s="1"/>
  <c r="T1516" i="5"/>
  <c r="M1516" i="5" s="1"/>
  <c r="F1516" i="5" s="1"/>
  <c r="G1516" i="5" s="1"/>
  <c r="H1516" i="5" s="1"/>
  <c r="T1515" i="5"/>
  <c r="T1514" i="5"/>
  <c r="M1514" i="5" s="1"/>
  <c r="F1514" i="5" s="1"/>
  <c r="G1514" i="5" s="1"/>
  <c r="H1514" i="5" s="1"/>
  <c r="T1513" i="5"/>
  <c r="T1529" i="5"/>
  <c r="T1530" i="5"/>
  <c r="M1530" i="5" s="1"/>
  <c r="F1530" i="5" s="1"/>
  <c r="T1531" i="5"/>
  <c r="M1531" i="5" s="1"/>
  <c r="F1531" i="5" s="1"/>
  <c r="G1531" i="5" s="1"/>
  <c r="H1531" i="5" s="1"/>
  <c r="T1532" i="5"/>
  <c r="M1532" i="5" s="1"/>
  <c r="F1532" i="5" s="1"/>
  <c r="G1532" i="5" s="1"/>
  <c r="H1532" i="5" s="1"/>
  <c r="T1533" i="5"/>
  <c r="M1533" i="5" s="1"/>
  <c r="F1533" i="5" s="1"/>
  <c r="G1533" i="5" s="1"/>
  <c r="H1533" i="5" s="1"/>
  <c r="T1535" i="5"/>
  <c r="M1535" i="5" s="1"/>
  <c r="F1535" i="5" s="1"/>
  <c r="T1537" i="5"/>
  <c r="AP1537" i="5" s="1"/>
  <c r="T1538" i="5"/>
  <c r="AP1538" i="5" s="1"/>
  <c r="T1539" i="5"/>
  <c r="M1539" i="5" s="1"/>
  <c r="F1539" i="5" s="1"/>
  <c r="T1540" i="5"/>
  <c r="M1540" i="5" s="1"/>
  <c r="F1540" i="5" s="1"/>
  <c r="T1542" i="5"/>
  <c r="T1541" i="5"/>
  <c r="M1541" i="5" s="1"/>
  <c r="F1541" i="5" s="1"/>
  <c r="G1541" i="5" s="1"/>
  <c r="H1541" i="5" s="1"/>
  <c r="T1972" i="5"/>
  <c r="M1972" i="5" s="1"/>
  <c r="F1972" i="5" s="1"/>
  <c r="G1972" i="5" s="1"/>
  <c r="H1972" i="5" s="1"/>
  <c r="AZ1542" i="5"/>
  <c r="AY1542" i="5"/>
  <c r="AW1542" i="5"/>
  <c r="AX1542" i="5" s="1"/>
  <c r="AU1542" i="5"/>
  <c r="AV1542" i="5" s="1"/>
  <c r="AR1542" i="5"/>
  <c r="AS1542" i="5" s="1"/>
  <c r="AO1542" i="5"/>
  <c r="AN1542" i="5"/>
  <c r="AL1542" i="5"/>
  <c r="AK1542" i="5"/>
  <c r="AJ1542" i="5"/>
  <c r="AI1542" i="5"/>
  <c r="AZ1541" i="5"/>
  <c r="AY1541" i="5"/>
  <c r="AW1541" i="5"/>
  <c r="AX1541" i="5" s="1"/>
  <c r="AU1541" i="5"/>
  <c r="AV1541" i="5" s="1"/>
  <c r="AR1541" i="5"/>
  <c r="AO1541" i="5"/>
  <c r="AN1541" i="5"/>
  <c r="AL1541" i="5"/>
  <c r="AK1541" i="5"/>
  <c r="AJ1541" i="5"/>
  <c r="AI1541" i="5"/>
  <c r="T2373" i="5"/>
  <c r="M2373" i="5" s="1"/>
  <c r="F2373" i="5" s="1"/>
  <c r="G2373" i="5" s="1"/>
  <c r="H2373" i="5" s="1"/>
  <c r="T2374" i="5"/>
  <c r="M2374" i="5" s="1"/>
  <c r="F2374" i="5" s="1"/>
  <c r="T2375" i="5"/>
  <c r="T2379" i="5"/>
  <c r="M2379" i="5" s="1"/>
  <c r="F2379" i="5" s="1"/>
  <c r="G2379" i="5" s="1"/>
  <c r="H2379" i="5" s="1"/>
  <c r="M2381" i="5"/>
  <c r="F2381" i="5" s="1"/>
  <c r="G2381" i="5" s="1"/>
  <c r="H2381" i="5" s="1"/>
  <c r="T2387" i="5"/>
  <c r="M2387" i="5" s="1"/>
  <c r="F2387" i="5" s="1"/>
  <c r="G2387" i="5" s="1"/>
  <c r="H2387" i="5" s="1"/>
  <c r="T2385" i="5"/>
  <c r="M2385" i="5" s="1"/>
  <c r="F2385" i="5" s="1"/>
  <c r="G2385" i="5" s="1"/>
  <c r="H2385" i="5" s="1"/>
  <c r="T695" i="5"/>
  <c r="M1962" i="5"/>
  <c r="F1962" i="5" s="1"/>
  <c r="G1962" i="5" s="1"/>
  <c r="H1962" i="5" s="1"/>
  <c r="M1961" i="5"/>
  <c r="F1961" i="5" s="1"/>
  <c r="G1961" i="5" s="1"/>
  <c r="H1961" i="5" s="1"/>
  <c r="M1960" i="5"/>
  <c r="F1960" i="5" s="1"/>
  <c r="M1959" i="5"/>
  <c r="F1959" i="5" s="1"/>
  <c r="G1959" i="5" s="1"/>
  <c r="H1959" i="5" s="1"/>
  <c r="M1958" i="5"/>
  <c r="F1958" i="5" s="1"/>
  <c r="T1967" i="5"/>
  <c r="M1967" i="5" s="1"/>
  <c r="F1967" i="5" s="1"/>
  <c r="G1967" i="5" s="1"/>
  <c r="H1967" i="5" s="1"/>
  <c r="T1970" i="5"/>
  <c r="M1970" i="5" s="1"/>
  <c r="F1970" i="5" s="1"/>
  <c r="G1970" i="5" s="1"/>
  <c r="H1970" i="5" s="1"/>
  <c r="T1965" i="5"/>
  <c r="M1965" i="5" s="1"/>
  <c r="F1965" i="5" s="1"/>
  <c r="G1965" i="5" s="1"/>
  <c r="H1965" i="5" s="1"/>
  <c r="T1971" i="5"/>
  <c r="M1971" i="5" s="1"/>
  <c r="F1971" i="5" s="1"/>
  <c r="G1971" i="5" s="1"/>
  <c r="H1971" i="5" s="1"/>
  <c r="T1969" i="5"/>
  <c r="M1969" i="5" s="1"/>
  <c r="F1969" i="5" s="1"/>
  <c r="T1966" i="5"/>
  <c r="M1966" i="5" s="1"/>
  <c r="F1966" i="5" s="1"/>
  <c r="G1966" i="5" s="1"/>
  <c r="H1966" i="5" s="1"/>
  <c r="BD1098" i="5"/>
  <c r="T1098" i="5" s="1"/>
  <c r="M1098" i="5" s="1"/>
  <c r="F1098" i="5" s="1"/>
  <c r="G1098" i="5" s="1"/>
  <c r="H1098" i="5" s="1"/>
  <c r="H5668" i="5"/>
  <c r="H5672" i="5"/>
  <c r="H5671" i="5"/>
  <c r="H5669" i="5"/>
  <c r="H5670" i="5"/>
  <c r="Q4295" i="5"/>
  <c r="G5101" i="5"/>
  <c r="H5101" i="5" s="1"/>
  <c r="Q5101" i="5"/>
  <c r="P5101" i="5"/>
  <c r="F5101" i="5"/>
  <c r="H5099" i="5"/>
  <c r="H5098" i="5"/>
  <c r="H5097" i="5"/>
  <c r="H5096" i="5"/>
  <c r="H5095" i="5"/>
  <c r="C4187" i="5"/>
  <c r="C4186" i="5"/>
  <c r="C4185" i="5"/>
  <c r="C4184" i="5"/>
  <c r="C4183" i="5"/>
  <c r="C4182" i="5"/>
  <c r="C4181" i="5"/>
  <c r="C4180" i="5"/>
  <c r="C4179" i="5"/>
  <c r="C4178" i="5"/>
  <c r="C4177" i="5"/>
  <c r="C4176" i="5"/>
  <c r="C4175" i="5"/>
  <c r="C4174" i="5"/>
  <c r="C4173" i="5"/>
  <c r="C4172" i="5"/>
  <c r="C4171" i="5"/>
  <c r="C4170" i="5"/>
  <c r="C4169" i="5"/>
  <c r="C4168" i="5"/>
  <c r="C4167" i="5"/>
  <c r="C4166" i="5"/>
  <c r="C4165" i="5"/>
  <c r="C4164" i="5"/>
  <c r="C4908" i="5"/>
  <c r="C4905" i="5"/>
  <c r="C4902" i="5"/>
  <c r="C4899" i="5"/>
  <c r="C4896" i="5"/>
  <c r="A4876" i="5"/>
  <c r="A4877" i="5" s="1"/>
  <c r="C4877" i="5" s="1"/>
  <c r="A4894" i="5"/>
  <c r="X4910" i="5"/>
  <c r="W4910" i="5"/>
  <c r="V4910" i="5"/>
  <c r="U4910" i="5"/>
  <c r="S4910" i="5"/>
  <c r="R4910" i="5"/>
  <c r="Q4910" i="5"/>
  <c r="P4910" i="5"/>
  <c r="X4909" i="5"/>
  <c r="W4909" i="5"/>
  <c r="V4909" i="5"/>
  <c r="U4909" i="5"/>
  <c r="S4909" i="5"/>
  <c r="R4909" i="5"/>
  <c r="Q4909" i="5"/>
  <c r="P4909" i="5"/>
  <c r="A4909" i="5"/>
  <c r="C4909" i="5" s="1"/>
  <c r="X4908" i="5"/>
  <c r="W4908" i="5"/>
  <c r="V4908" i="5"/>
  <c r="U4908" i="5"/>
  <c r="S4908" i="5"/>
  <c r="R4908" i="5"/>
  <c r="Q4908" i="5"/>
  <c r="P4908" i="5"/>
  <c r="X4907" i="5"/>
  <c r="W4907" i="5"/>
  <c r="V4907" i="5"/>
  <c r="U4907" i="5"/>
  <c r="S4907" i="5"/>
  <c r="R4907" i="5"/>
  <c r="Q4907" i="5"/>
  <c r="P4907" i="5"/>
  <c r="X4906" i="5"/>
  <c r="W4906" i="5"/>
  <c r="V4906" i="5"/>
  <c r="U4906" i="5"/>
  <c r="S4906" i="5"/>
  <c r="R4906" i="5"/>
  <c r="Q4906" i="5"/>
  <c r="P4906" i="5"/>
  <c r="A4906" i="5"/>
  <c r="A4907" i="5" s="1"/>
  <c r="C4907" i="5" s="1"/>
  <c r="X4905" i="5"/>
  <c r="W4905" i="5"/>
  <c r="V4905" i="5"/>
  <c r="U4905" i="5"/>
  <c r="S4905" i="5"/>
  <c r="R4905" i="5"/>
  <c r="Q4905" i="5"/>
  <c r="P4905" i="5"/>
  <c r="X4904" i="5"/>
  <c r="W4904" i="5"/>
  <c r="V4904" i="5"/>
  <c r="U4904" i="5"/>
  <c r="S4904" i="5"/>
  <c r="R4904" i="5"/>
  <c r="Q4904" i="5"/>
  <c r="P4904" i="5"/>
  <c r="X4903" i="5"/>
  <c r="W4903" i="5"/>
  <c r="V4903" i="5"/>
  <c r="U4903" i="5"/>
  <c r="S4903" i="5"/>
  <c r="R4903" i="5"/>
  <c r="Q4903" i="5"/>
  <c r="P4903" i="5"/>
  <c r="A4903" i="5"/>
  <c r="C4903" i="5" s="1"/>
  <c r="X4902" i="5"/>
  <c r="W4902" i="5"/>
  <c r="V4902" i="5"/>
  <c r="U4902" i="5"/>
  <c r="S4902" i="5"/>
  <c r="R4902" i="5"/>
  <c r="Q4902" i="5"/>
  <c r="P4902" i="5"/>
  <c r="A4900" i="5"/>
  <c r="A4897" i="5"/>
  <c r="C4897" i="5" s="1"/>
  <c r="C4893" i="5"/>
  <c r="A4891" i="5"/>
  <c r="C4891" i="5" s="1"/>
  <c r="C4890" i="5"/>
  <c r="A4888" i="5"/>
  <c r="C4888" i="5" s="1"/>
  <c r="C4887" i="5"/>
  <c r="A4885" i="5"/>
  <c r="C4885" i="5" s="1"/>
  <c r="C4884" i="5"/>
  <c r="A4882" i="5"/>
  <c r="C4882" i="5" s="1"/>
  <c r="C4881" i="5"/>
  <c r="D4880" i="5"/>
  <c r="D4883" i="5" s="1"/>
  <c r="D4886" i="5" s="1"/>
  <c r="D4889" i="5" s="1"/>
  <c r="D4892" i="5" s="1"/>
  <c r="D4895" i="5" s="1"/>
  <c r="D4898" i="5" s="1"/>
  <c r="D4901" i="5" s="1"/>
  <c r="D4904" i="5" s="1"/>
  <c r="D4907" i="5" s="1"/>
  <c r="D4910" i="5" s="1"/>
  <c r="A4879" i="5"/>
  <c r="C4878" i="5"/>
  <c r="N4876" i="5"/>
  <c r="N4877" i="5" s="1"/>
  <c r="N4878" i="5" s="1"/>
  <c r="N4879" i="5" s="1"/>
  <c r="N4880" i="5" s="1"/>
  <c r="N4881" i="5" s="1"/>
  <c r="N4882" i="5" s="1"/>
  <c r="N4883" i="5" s="1"/>
  <c r="N4884" i="5" s="1"/>
  <c r="N4885" i="5" s="1"/>
  <c r="N4886" i="5" s="1"/>
  <c r="D4876" i="5"/>
  <c r="D4879" i="5" s="1"/>
  <c r="D4882" i="5" s="1"/>
  <c r="D4885" i="5" s="1"/>
  <c r="D4888" i="5" s="1"/>
  <c r="D4891" i="5" s="1"/>
  <c r="D4894" i="5" s="1"/>
  <c r="D4897" i="5" s="1"/>
  <c r="D4900" i="5" s="1"/>
  <c r="D4903" i="5" s="1"/>
  <c r="D4906" i="5" s="1"/>
  <c r="D4909" i="5" s="1"/>
  <c r="D4875" i="5"/>
  <c r="D4878" i="5" s="1"/>
  <c r="D4881" i="5" s="1"/>
  <c r="D4884" i="5" s="1"/>
  <c r="D4887" i="5" s="1"/>
  <c r="D4890" i="5" s="1"/>
  <c r="D4893" i="5" s="1"/>
  <c r="D4896" i="5" s="1"/>
  <c r="D4899" i="5" s="1"/>
  <c r="D4902" i="5" s="1"/>
  <c r="D4905" i="5" s="1"/>
  <c r="D4908" i="5" s="1"/>
  <c r="H4874" i="5"/>
  <c r="C4875" i="5"/>
  <c r="H4446" i="5"/>
  <c r="P4295" i="5"/>
  <c r="H4294" i="5"/>
  <c r="P3825" i="5"/>
  <c r="P3828" i="5" s="1"/>
  <c r="P3831" i="5" s="1"/>
  <c r="G3832" i="5" s="1"/>
  <c r="H3832" i="5" s="1"/>
  <c r="O3825" i="5"/>
  <c r="G3825" i="5" s="1"/>
  <c r="H3825" i="5" s="1"/>
  <c r="H3824" i="5"/>
  <c r="G3822" i="5"/>
  <c r="H3822" i="5" s="1"/>
  <c r="Q3902" i="5"/>
  <c r="Q3903" i="5" s="1"/>
  <c r="F3904" i="5" s="1"/>
  <c r="P3902" i="5"/>
  <c r="G3903" i="5" s="1"/>
  <c r="H3903" i="5" s="1"/>
  <c r="O3902" i="5"/>
  <c r="O3903" i="5" s="1"/>
  <c r="F3902" i="5" s="1"/>
  <c r="H3901" i="5"/>
  <c r="P3726" i="5"/>
  <c r="P3727" i="5" s="1"/>
  <c r="F3727" i="5" s="1"/>
  <c r="O3726" i="5"/>
  <c r="O3729" i="5" s="1"/>
  <c r="G3729" i="5" s="1"/>
  <c r="H3729" i="5" s="1"/>
  <c r="H3725" i="5"/>
  <c r="H3580" i="5"/>
  <c r="H3383" i="5"/>
  <c r="P3488" i="5"/>
  <c r="P3489" i="5" s="1"/>
  <c r="G3490" i="5" s="1"/>
  <c r="H3490" i="5" s="1"/>
  <c r="H3507" i="5"/>
  <c r="N193" i="5"/>
  <c r="U186" i="5"/>
  <c r="G192" i="5" s="1"/>
  <c r="H192" i="5" s="1"/>
  <c r="T186" i="5"/>
  <c r="G191" i="5" s="1"/>
  <c r="S186" i="5"/>
  <c r="G190" i="5" s="1"/>
  <c r="R186" i="5"/>
  <c r="Q186" i="5"/>
  <c r="Q201" i="5" s="1"/>
  <c r="G203" i="5" s="1"/>
  <c r="H203" i="5" s="1"/>
  <c r="P186" i="5"/>
  <c r="P201" i="5" s="1"/>
  <c r="G202" i="5" s="1"/>
  <c r="H202" i="5" s="1"/>
  <c r="O186" i="5"/>
  <c r="H185" i="5"/>
  <c r="AZ1113" i="5"/>
  <c r="AY1113" i="5"/>
  <c r="AW1113" i="5"/>
  <c r="AX1113" i="5" s="1"/>
  <c r="AU1113" i="5"/>
  <c r="AV1113" i="5" s="1"/>
  <c r="AR1113" i="5"/>
  <c r="AT1113" i="5" s="1"/>
  <c r="AO1113" i="5"/>
  <c r="AN1113" i="5"/>
  <c r="AL1113" i="5"/>
  <c r="AK1113" i="5"/>
  <c r="AJ1113" i="5"/>
  <c r="AI1113" i="5"/>
  <c r="BD1109" i="5"/>
  <c r="M1105" i="5"/>
  <c r="F1105" i="5" s="1"/>
  <c r="G1105" i="5" s="1"/>
  <c r="H1105" i="5" s="1"/>
  <c r="M1103" i="5"/>
  <c r="F1103" i="5" s="1"/>
  <c r="G1103" i="5" s="1"/>
  <c r="H1103" i="5" s="1"/>
  <c r="M1102" i="5"/>
  <c r="F1102" i="5" s="1"/>
  <c r="G1102" i="5" s="1"/>
  <c r="H1102" i="5" s="1"/>
  <c r="M1104" i="5"/>
  <c r="F1104" i="5" s="1"/>
  <c r="G1104" i="5" s="1"/>
  <c r="H1104" i="5" s="1"/>
  <c r="AZ1104" i="5"/>
  <c r="AY1104" i="5"/>
  <c r="AW1104" i="5"/>
  <c r="AX1104" i="5" s="1"/>
  <c r="AU1104" i="5"/>
  <c r="AV1104" i="5" s="1"/>
  <c r="AR1104" i="5"/>
  <c r="AT1104" i="5" s="1"/>
  <c r="AP1104" i="5"/>
  <c r="AO1104" i="5"/>
  <c r="AN1104" i="5"/>
  <c r="AL1104" i="5"/>
  <c r="AK1104" i="5"/>
  <c r="AJ1104" i="5"/>
  <c r="AI1104" i="5"/>
  <c r="AZ1102" i="5"/>
  <c r="AY1102" i="5"/>
  <c r="AW1102" i="5"/>
  <c r="AX1102" i="5" s="1"/>
  <c r="AU1102" i="5"/>
  <c r="AV1102" i="5" s="1"/>
  <c r="AR1102" i="5"/>
  <c r="AS1102" i="5" s="1"/>
  <c r="AP1102" i="5"/>
  <c r="AO1102" i="5"/>
  <c r="AN1102" i="5"/>
  <c r="AL1102" i="5"/>
  <c r="AK1102" i="5"/>
  <c r="AJ1102" i="5"/>
  <c r="AI1102" i="5"/>
  <c r="H685" i="5"/>
  <c r="M685" i="5"/>
  <c r="F685" i="5" s="1"/>
  <c r="M694" i="5"/>
  <c r="F694" i="5" s="1"/>
  <c r="G694" i="5" s="1"/>
  <c r="H694" i="5" s="1"/>
  <c r="M686" i="5"/>
  <c r="F686" i="5" s="1"/>
  <c r="G686" i="5" s="1"/>
  <c r="H686" i="5" s="1"/>
  <c r="M682" i="5"/>
  <c r="F682" i="5" s="1"/>
  <c r="AZ682" i="5"/>
  <c r="AY682" i="5"/>
  <c r="AW682" i="5"/>
  <c r="AX682" i="5" s="1"/>
  <c r="AU682" i="5"/>
  <c r="AV682" i="5" s="1"/>
  <c r="AR682" i="5"/>
  <c r="AS682" i="5" s="1"/>
  <c r="AN682" i="5"/>
  <c r="AO682" i="5"/>
  <c r="AP682" i="5"/>
  <c r="M683" i="5"/>
  <c r="F683" i="5" s="1"/>
  <c r="G683" i="5" s="1"/>
  <c r="H683" i="5" s="1"/>
  <c r="AL682" i="5"/>
  <c r="AK682" i="5"/>
  <c r="AJ682" i="5"/>
  <c r="AI682" i="5"/>
  <c r="H682" i="5"/>
  <c r="T1964" i="5"/>
  <c r="M1964" i="5" s="1"/>
  <c r="F1964" i="5" s="1"/>
  <c r="G1964" i="5" s="1"/>
  <c r="H1964" i="5" s="1"/>
  <c r="AZ1960" i="5"/>
  <c r="AY1960" i="5"/>
  <c r="AW1960" i="5"/>
  <c r="AX1960" i="5" s="1"/>
  <c r="AU1960" i="5"/>
  <c r="AV1960" i="5" s="1"/>
  <c r="AR1960" i="5"/>
  <c r="AT1960" i="5" s="1"/>
  <c r="AN1960" i="5"/>
  <c r="AO1960" i="5"/>
  <c r="AP1960" i="5"/>
  <c r="AL1960" i="5"/>
  <c r="AK1960" i="5"/>
  <c r="AJ1960" i="5"/>
  <c r="AI1960" i="5"/>
  <c r="AZ1958" i="5"/>
  <c r="AY1958" i="5"/>
  <c r="AW1958" i="5"/>
  <c r="AX1958" i="5" s="1"/>
  <c r="AU1958" i="5"/>
  <c r="AV1958" i="5" s="1"/>
  <c r="AR1958" i="5"/>
  <c r="AT1958" i="5" s="1"/>
  <c r="AN1958" i="5"/>
  <c r="AO1958" i="5"/>
  <c r="AP1958" i="5"/>
  <c r="AL1958" i="5"/>
  <c r="AK1958" i="5"/>
  <c r="AJ1958" i="5"/>
  <c r="AI1958" i="5"/>
  <c r="M1084" i="5"/>
  <c r="F1084" i="5" s="1"/>
  <c r="M1093" i="5"/>
  <c r="F1093" i="5" s="1"/>
  <c r="G1093" i="5" s="1"/>
  <c r="H1093" i="5" s="1"/>
  <c r="M1088" i="5"/>
  <c r="F1088" i="5" s="1"/>
  <c r="G1088" i="5" s="1"/>
  <c r="H1088" i="5" s="1"/>
  <c r="M1087" i="5"/>
  <c r="F1087" i="5" s="1"/>
  <c r="G1087" i="5" s="1"/>
  <c r="H1087" i="5" s="1"/>
  <c r="M1092" i="5"/>
  <c r="F1092" i="5" s="1"/>
  <c r="G1092" i="5" s="1"/>
  <c r="H1092" i="5" s="1"/>
  <c r="H5952" i="5"/>
  <c r="M1101" i="5"/>
  <c r="F1101" i="5" s="1"/>
  <c r="G1101" i="5" s="1"/>
  <c r="H1101" i="5" s="1"/>
  <c r="AH1123" i="5"/>
  <c r="AW1123" i="5"/>
  <c r="AX1123" i="5" s="1"/>
  <c r="AU1123" i="5"/>
  <c r="AV1123" i="5" s="1"/>
  <c r="AR1123" i="5"/>
  <c r="AT1123" i="5" s="1"/>
  <c r="AN1123" i="5"/>
  <c r="AO1123" i="5"/>
  <c r="AP1123" i="5"/>
  <c r="M1096" i="5"/>
  <c r="F1096" i="5" s="1"/>
  <c r="H1123" i="5"/>
  <c r="M1100" i="5"/>
  <c r="F1100" i="5" s="1"/>
  <c r="G1100" i="5" s="1"/>
  <c r="H1100" i="5" s="1"/>
  <c r="M1099" i="5"/>
  <c r="F1099" i="5" s="1"/>
  <c r="G1099" i="5" s="1"/>
  <c r="H1099" i="5" s="1"/>
  <c r="AZ1101" i="5"/>
  <c r="AY1101" i="5"/>
  <c r="AW1101" i="5"/>
  <c r="AX1101" i="5" s="1"/>
  <c r="AU1101" i="5"/>
  <c r="AV1101" i="5" s="1"/>
  <c r="AR1101" i="5"/>
  <c r="AS1101" i="5" s="1"/>
  <c r="AN1101" i="5"/>
  <c r="AO1101" i="5"/>
  <c r="AP1101" i="5"/>
  <c r="AL1101" i="5"/>
  <c r="AK1101" i="5"/>
  <c r="AJ1101" i="5"/>
  <c r="AI1101" i="5"/>
  <c r="AZ1100" i="5"/>
  <c r="AY1100" i="5"/>
  <c r="AW1100" i="5"/>
  <c r="AX1100" i="5" s="1"/>
  <c r="AU1100" i="5"/>
  <c r="AV1100" i="5" s="1"/>
  <c r="AR1100" i="5"/>
  <c r="AN1100" i="5"/>
  <c r="AO1100" i="5"/>
  <c r="AP1100" i="5"/>
  <c r="AL1100" i="5"/>
  <c r="AK1100" i="5"/>
  <c r="AJ1100" i="5"/>
  <c r="AI1100" i="5"/>
  <c r="AZ1099" i="5"/>
  <c r="AY1099" i="5"/>
  <c r="AW1099" i="5"/>
  <c r="AX1099" i="5" s="1"/>
  <c r="AU1099" i="5"/>
  <c r="AV1099" i="5" s="1"/>
  <c r="AR1099" i="5"/>
  <c r="AT1099" i="5" s="1"/>
  <c r="AN1099" i="5"/>
  <c r="AO1099" i="5"/>
  <c r="AP1099" i="5"/>
  <c r="M1097" i="5"/>
  <c r="F1097" i="5" s="1"/>
  <c r="AL1099" i="5"/>
  <c r="AK1099" i="5"/>
  <c r="AJ1099" i="5"/>
  <c r="AI1099" i="5"/>
  <c r="F5207" i="5"/>
  <c r="F5206" i="5"/>
  <c r="F5205" i="5"/>
  <c r="F5204" i="5"/>
  <c r="H5564" i="5"/>
  <c r="G5207" i="5"/>
  <c r="H5207" i="5" s="1"/>
  <c r="G5205" i="5"/>
  <c r="H5205" i="5" s="1"/>
  <c r="G5206" i="5"/>
  <c r="H5206" i="5" s="1"/>
  <c r="U4838" i="5"/>
  <c r="S3576" i="5"/>
  <c r="F3576" i="5" s="1"/>
  <c r="V3367" i="5"/>
  <c r="F3367" i="5" s="1"/>
  <c r="W3367" i="5"/>
  <c r="F3368" i="5" s="1"/>
  <c r="G3367" i="5"/>
  <c r="H3367" i="5" s="1"/>
  <c r="H5917" i="5"/>
  <c r="H5667" i="5"/>
  <c r="H5666" i="5"/>
  <c r="H5599" i="5"/>
  <c r="A4872" i="5"/>
  <c r="A4873" i="5" s="1"/>
  <c r="A4869" i="5"/>
  <c r="A4870" i="5" s="1"/>
  <c r="A4866" i="5"/>
  <c r="A4867" i="5" s="1"/>
  <c r="A4863" i="5"/>
  <c r="A4864" i="5" s="1"/>
  <c r="A4860" i="5"/>
  <c r="A4861" i="5" s="1"/>
  <c r="A4857" i="5"/>
  <c r="A4858" i="5" s="1"/>
  <c r="C4858" i="5" s="1"/>
  <c r="A4854" i="5"/>
  <c r="A4855" i="5" s="1"/>
  <c r="C4855" i="5" s="1"/>
  <c r="A4851" i="5"/>
  <c r="A4852" i="5" s="1"/>
  <c r="C4852" i="5" s="1"/>
  <c r="A4848" i="5"/>
  <c r="C4848" i="5" s="1"/>
  <c r="A4845" i="5"/>
  <c r="A4846" i="5" s="1"/>
  <c r="C4846" i="5" s="1"/>
  <c r="A4842" i="5"/>
  <c r="C4842" i="5" s="1"/>
  <c r="A4839" i="5"/>
  <c r="D4843" i="5"/>
  <c r="D4846" i="5" s="1"/>
  <c r="D4849" i="5" s="1"/>
  <c r="D4852" i="5" s="1"/>
  <c r="D4855" i="5" s="1"/>
  <c r="D4858" i="5" s="1"/>
  <c r="D4861" i="5" s="1"/>
  <c r="D4864" i="5" s="1"/>
  <c r="D4867" i="5" s="1"/>
  <c r="D4870" i="5" s="1"/>
  <c r="D4873" i="5" s="1"/>
  <c r="D4839" i="5"/>
  <c r="D4842" i="5" s="1"/>
  <c r="V4838" i="5"/>
  <c r="W4838" i="5"/>
  <c r="X4873" i="5"/>
  <c r="W4873" i="5"/>
  <c r="V4873" i="5"/>
  <c r="U4873" i="5"/>
  <c r="S4873" i="5"/>
  <c r="R4873" i="5"/>
  <c r="Q4873" i="5"/>
  <c r="P4873" i="5"/>
  <c r="X4872" i="5"/>
  <c r="W4872" i="5"/>
  <c r="V4872" i="5"/>
  <c r="U4872" i="5"/>
  <c r="S4872" i="5"/>
  <c r="R4872" i="5"/>
  <c r="Q4872" i="5"/>
  <c r="P4872" i="5"/>
  <c r="X4871" i="5"/>
  <c r="W4871" i="5"/>
  <c r="V4871" i="5"/>
  <c r="U4871" i="5"/>
  <c r="S4871" i="5"/>
  <c r="R4871" i="5"/>
  <c r="Q4871" i="5"/>
  <c r="P4871" i="5"/>
  <c r="X4870" i="5"/>
  <c r="W4870" i="5"/>
  <c r="V4870" i="5"/>
  <c r="U4870" i="5"/>
  <c r="S4870" i="5"/>
  <c r="R4870" i="5"/>
  <c r="Q4870" i="5"/>
  <c r="P4870" i="5"/>
  <c r="X4869" i="5"/>
  <c r="W4869" i="5"/>
  <c r="V4869" i="5"/>
  <c r="U4869" i="5"/>
  <c r="S4869" i="5"/>
  <c r="R4869" i="5"/>
  <c r="Q4869" i="5"/>
  <c r="P4869" i="5"/>
  <c r="X4868" i="5"/>
  <c r="W4868" i="5"/>
  <c r="V4868" i="5"/>
  <c r="U4868" i="5"/>
  <c r="S4868" i="5"/>
  <c r="R4868" i="5"/>
  <c r="Q4868" i="5"/>
  <c r="P4868" i="5"/>
  <c r="X4867" i="5"/>
  <c r="W4867" i="5"/>
  <c r="V4867" i="5"/>
  <c r="U4867" i="5"/>
  <c r="S4867" i="5"/>
  <c r="R4867" i="5"/>
  <c r="Q4867" i="5"/>
  <c r="P4867" i="5"/>
  <c r="X4866" i="5"/>
  <c r="W4866" i="5"/>
  <c r="V4866" i="5"/>
  <c r="U4866" i="5"/>
  <c r="S4866" i="5"/>
  <c r="R4866" i="5"/>
  <c r="Q4866" i="5"/>
  <c r="P4866" i="5"/>
  <c r="X4865" i="5"/>
  <c r="W4865" i="5"/>
  <c r="V4865" i="5"/>
  <c r="U4865" i="5"/>
  <c r="S4865" i="5"/>
  <c r="R4865" i="5"/>
  <c r="Q4865" i="5"/>
  <c r="P4865" i="5"/>
  <c r="C4856" i="5"/>
  <c r="C4853" i="5"/>
  <c r="C4850" i="5"/>
  <c r="C4847" i="5"/>
  <c r="C4844" i="5"/>
  <c r="C4841" i="5"/>
  <c r="N4839" i="5"/>
  <c r="N4840" i="5" s="1"/>
  <c r="N4841" i="5" s="1"/>
  <c r="N4842" i="5" s="1"/>
  <c r="N4843" i="5" s="1"/>
  <c r="N4844" i="5" s="1"/>
  <c r="N4845" i="5" s="1"/>
  <c r="N4846" i="5" s="1"/>
  <c r="N4847" i="5" s="1"/>
  <c r="N4848" i="5" s="1"/>
  <c r="N4849" i="5" s="1"/>
  <c r="R4839" i="5"/>
  <c r="Q4839" i="5"/>
  <c r="P4839" i="5"/>
  <c r="P4840" i="5" s="1"/>
  <c r="U4840" i="5" s="1"/>
  <c r="D4838" i="5"/>
  <c r="C4838" i="5"/>
  <c r="H4837" i="5"/>
  <c r="Q4434" i="5"/>
  <c r="F4434" i="5" s="1"/>
  <c r="P4435" i="5"/>
  <c r="Q4435" i="5" s="1"/>
  <c r="F4435" i="5" s="1"/>
  <c r="N4435" i="5"/>
  <c r="N4436" i="5" s="1"/>
  <c r="N4437" i="5" s="1"/>
  <c r="N4438" i="5" s="1"/>
  <c r="N4439" i="5" s="1"/>
  <c r="N4440" i="5" s="1"/>
  <c r="N4441" i="5" s="1"/>
  <c r="N4442" i="5" s="1"/>
  <c r="N4443" i="5" s="1"/>
  <c r="N4444" i="5" s="1"/>
  <c r="N4445" i="5" s="1"/>
  <c r="H4433" i="5"/>
  <c r="G4291" i="5"/>
  <c r="H4291" i="5" s="1"/>
  <c r="H4288" i="5"/>
  <c r="G4293" i="5"/>
  <c r="H4293" i="5" s="1"/>
  <c r="Q4292" i="5"/>
  <c r="F4293" i="5" s="1"/>
  <c r="P4292" i="5"/>
  <c r="F4292" i="5" s="1"/>
  <c r="O4292" i="5"/>
  <c r="F4291" i="5" s="1"/>
  <c r="G4292" i="5"/>
  <c r="H4292" i="5" s="1"/>
  <c r="H4290" i="5"/>
  <c r="G4139" i="5"/>
  <c r="H4139" i="5" s="1"/>
  <c r="Q4140" i="5"/>
  <c r="G4142" i="5" s="1"/>
  <c r="H4142" i="5" s="1"/>
  <c r="P4140" i="5"/>
  <c r="G4140" i="5"/>
  <c r="H4140" i="5" s="1"/>
  <c r="U4139" i="5"/>
  <c r="F4140" i="5" s="1"/>
  <c r="T4139" i="5"/>
  <c r="F4139" i="5" s="1"/>
  <c r="H4136" i="5"/>
  <c r="G3576" i="5"/>
  <c r="H3576" i="5" s="1"/>
  <c r="P3577" i="5"/>
  <c r="G3577" i="5" s="1"/>
  <c r="H3577" i="5" s="1"/>
  <c r="H3575" i="5"/>
  <c r="G3500" i="5"/>
  <c r="H3500" i="5" s="1"/>
  <c r="G3499" i="5"/>
  <c r="H3499" i="5" s="1"/>
  <c r="U3499" i="5"/>
  <c r="F3500" i="5" s="1"/>
  <c r="T3499" i="5"/>
  <c r="F3499" i="5" s="1"/>
  <c r="H3365" i="5"/>
  <c r="H3496" i="5"/>
  <c r="Q3500" i="5"/>
  <c r="Q3501" i="5" s="1"/>
  <c r="Q3502" i="5" s="1"/>
  <c r="U3502" i="5" s="1"/>
  <c r="F3506" i="5" s="1"/>
  <c r="P3500" i="5"/>
  <c r="P3501" i="5" s="1"/>
  <c r="G3503" i="5" s="1"/>
  <c r="H3503" i="5" s="1"/>
  <c r="H3498" i="5"/>
  <c r="G3368" i="5"/>
  <c r="H3368" i="5" s="1"/>
  <c r="G3369" i="5"/>
  <c r="H3369" i="5" s="1"/>
  <c r="G3370" i="5"/>
  <c r="H3370" i="5" s="1"/>
  <c r="X3367" i="5"/>
  <c r="F3369" i="5" s="1"/>
  <c r="Y3367" i="5"/>
  <c r="F3370" i="5" s="1"/>
  <c r="P3347" i="5"/>
  <c r="G3347" i="5" s="1"/>
  <c r="H3347" i="5" s="1"/>
  <c r="R3368" i="5"/>
  <c r="P3368" i="5"/>
  <c r="S3368" i="5"/>
  <c r="S3369" i="5" s="1"/>
  <c r="Y3369" i="5" s="1"/>
  <c r="F3378" i="5" s="1"/>
  <c r="Q3368" i="5"/>
  <c r="W3368" i="5" s="1"/>
  <c r="F3372" i="5" s="1"/>
  <c r="H3366" i="5"/>
  <c r="G3900" i="5"/>
  <c r="H3900" i="5" s="1"/>
  <c r="Q3899" i="5"/>
  <c r="F3900" i="5" s="1"/>
  <c r="P3899" i="5"/>
  <c r="F3899" i="5" s="1"/>
  <c r="O3899" i="5"/>
  <c r="F3898" i="5" s="1"/>
  <c r="G3899" i="5"/>
  <c r="H3899" i="5" s="1"/>
  <c r="G3898" i="5"/>
  <c r="H3898" i="5" s="1"/>
  <c r="H3897" i="5"/>
  <c r="P3823" i="5"/>
  <c r="F3823" i="5" s="1"/>
  <c r="O3823" i="5"/>
  <c r="F3822" i="5" s="1"/>
  <c r="G3823" i="5"/>
  <c r="H3823" i="5" s="1"/>
  <c r="H3821" i="5"/>
  <c r="P3724" i="5"/>
  <c r="F3724" i="5" s="1"/>
  <c r="O3724" i="5"/>
  <c r="F3723" i="5" s="1"/>
  <c r="G3724" i="5"/>
  <c r="H3724" i="5" s="1"/>
  <c r="G3723" i="5"/>
  <c r="H3723" i="5" s="1"/>
  <c r="H3722" i="5"/>
  <c r="G178" i="5"/>
  <c r="H178" i="5" s="1"/>
  <c r="G179" i="5"/>
  <c r="H179" i="5" s="1"/>
  <c r="G180" i="5"/>
  <c r="H180" i="5" s="1"/>
  <c r="G181" i="5"/>
  <c r="H181" i="5" s="1"/>
  <c r="G182" i="5"/>
  <c r="H182" i="5" s="1"/>
  <c r="G183" i="5"/>
  <c r="H183" i="5" s="1"/>
  <c r="G184" i="5"/>
  <c r="H184" i="5" s="1"/>
  <c r="P179" i="5"/>
  <c r="F179" i="5" s="1"/>
  <c r="Q179" i="5"/>
  <c r="F180" i="5" s="1"/>
  <c r="R179" i="5"/>
  <c r="F181" i="5" s="1"/>
  <c r="S179" i="5"/>
  <c r="F182" i="5" s="1"/>
  <c r="T179" i="5"/>
  <c r="F183" i="5" s="1"/>
  <c r="U179" i="5"/>
  <c r="F184" i="5" s="1"/>
  <c r="O179" i="5"/>
  <c r="F178" i="5" s="1"/>
  <c r="O149" i="5"/>
  <c r="F148" i="5" s="1"/>
  <c r="P172" i="5"/>
  <c r="F172" i="5" s="1"/>
  <c r="Q172" i="5"/>
  <c r="F173" i="5" s="1"/>
  <c r="R172" i="5"/>
  <c r="F174" i="5" s="1"/>
  <c r="S172" i="5"/>
  <c r="F175" i="5" s="1"/>
  <c r="T172" i="5"/>
  <c r="F176" i="5" s="1"/>
  <c r="U172" i="5"/>
  <c r="F177" i="5" s="1"/>
  <c r="O172" i="5"/>
  <c r="F171" i="5" s="1"/>
  <c r="H170" i="5"/>
  <c r="G5204" i="5"/>
  <c r="H5204" i="5" s="1"/>
  <c r="G5203" i="5"/>
  <c r="H5203" i="5" s="1"/>
  <c r="F5203" i="5"/>
  <c r="H5192" i="5"/>
  <c r="H5922" i="5"/>
  <c r="AZ693" i="5"/>
  <c r="AY693" i="5"/>
  <c r="AW693" i="5"/>
  <c r="AX693" i="5" s="1"/>
  <c r="AU693" i="5"/>
  <c r="AV693" i="5" s="1"/>
  <c r="AR693" i="5"/>
  <c r="AP693" i="5"/>
  <c r="AO693" i="5"/>
  <c r="AN693" i="5"/>
  <c r="AL693" i="5"/>
  <c r="AK693" i="5"/>
  <c r="AJ693" i="5"/>
  <c r="AI693" i="5"/>
  <c r="M693" i="5"/>
  <c r="F693" i="5" s="1"/>
  <c r="G693" i="5" s="1"/>
  <c r="H693" i="5" s="1"/>
  <c r="M687" i="5"/>
  <c r="F687" i="5" s="1"/>
  <c r="G687" i="5" s="1"/>
  <c r="H687" i="5" s="1"/>
  <c r="AJ687" i="5"/>
  <c r="AK687" i="5"/>
  <c r="AL687" i="5"/>
  <c r="AN687" i="5"/>
  <c r="AO687" i="5"/>
  <c r="AP687" i="5"/>
  <c r="AR687" i="5"/>
  <c r="AS687" i="5" s="1"/>
  <c r="AU687" i="5"/>
  <c r="AV687" i="5" s="1"/>
  <c r="AW687" i="5"/>
  <c r="AX687" i="5" s="1"/>
  <c r="AY687" i="5"/>
  <c r="AZ687" i="5"/>
  <c r="M1957" i="5"/>
  <c r="F1957" i="5" s="1"/>
  <c r="M1956" i="5"/>
  <c r="F1956" i="5" s="1"/>
  <c r="G1956" i="5" s="1"/>
  <c r="H1956" i="5" s="1"/>
  <c r="M1955" i="5"/>
  <c r="F1955" i="5" s="1"/>
  <c r="G1955" i="5" s="1"/>
  <c r="H1955" i="5" s="1"/>
  <c r="M1954" i="5"/>
  <c r="F1954" i="5" s="1"/>
  <c r="G1954" i="5" s="1"/>
  <c r="H1954" i="5" s="1"/>
  <c r="M1953" i="5"/>
  <c r="F1953" i="5" s="1"/>
  <c r="G1953" i="5" s="1"/>
  <c r="H1953" i="5" s="1"/>
  <c r="AZ1956" i="5"/>
  <c r="AY1956" i="5"/>
  <c r="AW1956" i="5"/>
  <c r="AX1956" i="5" s="1"/>
  <c r="AU1956" i="5"/>
  <c r="AV1956" i="5" s="1"/>
  <c r="AR1956" i="5"/>
  <c r="AT1956" i="5" s="1"/>
  <c r="AP1956" i="5"/>
  <c r="AO1956" i="5"/>
  <c r="AN1956" i="5"/>
  <c r="AL1956" i="5"/>
  <c r="AK1956" i="5"/>
  <c r="AJ1956" i="5"/>
  <c r="AI1956" i="5"/>
  <c r="AZ1953" i="5"/>
  <c r="AY1953" i="5"/>
  <c r="AW1953" i="5"/>
  <c r="AX1953" i="5" s="1"/>
  <c r="AU1953" i="5"/>
  <c r="AV1953" i="5" s="1"/>
  <c r="AR1953" i="5"/>
  <c r="AS1953" i="5" s="1"/>
  <c r="AP1953" i="5"/>
  <c r="AO1953" i="5"/>
  <c r="AN1953" i="5"/>
  <c r="AL1953" i="5"/>
  <c r="AK1953" i="5"/>
  <c r="AJ1953" i="5"/>
  <c r="AI1953" i="5"/>
  <c r="AZ1957" i="5"/>
  <c r="AY1957" i="5"/>
  <c r="AW1957" i="5"/>
  <c r="AX1957" i="5" s="1"/>
  <c r="AU1957" i="5"/>
  <c r="AV1957" i="5" s="1"/>
  <c r="AR1957" i="5"/>
  <c r="AS1957" i="5" s="1"/>
  <c r="AP1957" i="5"/>
  <c r="AO1957" i="5"/>
  <c r="AN1957" i="5"/>
  <c r="AL1957" i="5"/>
  <c r="AK1957" i="5"/>
  <c r="AJ1957" i="5"/>
  <c r="AI1957" i="5"/>
  <c r="AZ1954" i="5"/>
  <c r="AY1954" i="5"/>
  <c r="AW1954" i="5"/>
  <c r="AX1954" i="5" s="1"/>
  <c r="AU1954" i="5"/>
  <c r="AV1954" i="5" s="1"/>
  <c r="AR1954" i="5"/>
  <c r="AT1954" i="5" s="1"/>
  <c r="AP1954" i="5"/>
  <c r="AO1954" i="5"/>
  <c r="AN1954" i="5"/>
  <c r="AL1954" i="5"/>
  <c r="AK1954" i="5"/>
  <c r="AJ1954" i="5"/>
  <c r="AI1954" i="5"/>
  <c r="AZ1537" i="5"/>
  <c r="AY1537" i="5"/>
  <c r="AW1537" i="5"/>
  <c r="AX1537" i="5" s="1"/>
  <c r="AU1537" i="5"/>
  <c r="AV1537" i="5" s="1"/>
  <c r="AR1537" i="5"/>
  <c r="AS1537" i="5" s="1"/>
  <c r="AO1537" i="5"/>
  <c r="AN1537" i="5"/>
  <c r="AL1537" i="5"/>
  <c r="AK1537" i="5"/>
  <c r="AJ1537" i="5"/>
  <c r="AI1537" i="5"/>
  <c r="AZ1535" i="5"/>
  <c r="AY1535" i="5"/>
  <c r="AW1535" i="5"/>
  <c r="AX1535" i="5" s="1"/>
  <c r="AU1535" i="5"/>
  <c r="AV1535" i="5" s="1"/>
  <c r="AR1535" i="5"/>
  <c r="AS1535" i="5" s="1"/>
  <c r="AO1535" i="5"/>
  <c r="AN1535" i="5"/>
  <c r="AL1535" i="5"/>
  <c r="AK1535" i="5"/>
  <c r="AJ1535" i="5"/>
  <c r="AI1535" i="5"/>
  <c r="AZ1538" i="5"/>
  <c r="AY1538" i="5"/>
  <c r="AW1538" i="5"/>
  <c r="AX1538" i="5" s="1"/>
  <c r="AU1538" i="5"/>
  <c r="AV1538" i="5" s="1"/>
  <c r="AR1538" i="5"/>
  <c r="AO1538" i="5"/>
  <c r="AN1538" i="5"/>
  <c r="AL1538" i="5"/>
  <c r="AK1538" i="5"/>
  <c r="AJ1538" i="5"/>
  <c r="AI1538" i="5"/>
  <c r="G3483" i="5"/>
  <c r="H3483" i="5" s="1"/>
  <c r="G3482" i="5"/>
  <c r="H3482" i="5" s="1"/>
  <c r="U134" i="5"/>
  <c r="F139" i="5" s="1"/>
  <c r="T134" i="5"/>
  <c r="F138" i="5" s="1"/>
  <c r="S134" i="5"/>
  <c r="F137" i="5" s="1"/>
  <c r="R134" i="5"/>
  <c r="F136" i="5" s="1"/>
  <c r="Q134" i="5"/>
  <c r="F135" i="5" s="1"/>
  <c r="P134" i="5"/>
  <c r="F134" i="5" s="1"/>
  <c r="O134" i="5"/>
  <c r="F133" i="5" s="1"/>
  <c r="U149" i="5"/>
  <c r="F154" i="5" s="1"/>
  <c r="T149" i="5"/>
  <c r="S149" i="5"/>
  <c r="R149" i="5"/>
  <c r="F151" i="5" s="1"/>
  <c r="Q149" i="5"/>
  <c r="F150" i="5" s="1"/>
  <c r="P149" i="5"/>
  <c r="F149" i="5" s="1"/>
  <c r="Q3894" i="5"/>
  <c r="G3896" i="5" s="1"/>
  <c r="H3896" i="5" s="1"/>
  <c r="P3894" i="5"/>
  <c r="G3895" i="5" s="1"/>
  <c r="H3895" i="5" s="1"/>
  <c r="O156" i="5"/>
  <c r="G156" i="5" s="1"/>
  <c r="H156" i="5" s="1"/>
  <c r="N4422" i="5"/>
  <c r="N4423" i="5" s="1"/>
  <c r="N4424" i="5" s="1"/>
  <c r="N4425" i="5" s="1"/>
  <c r="N4426" i="5" s="1"/>
  <c r="N4427" i="5" s="1"/>
  <c r="N4428" i="5" s="1"/>
  <c r="N4429" i="5" s="1"/>
  <c r="N4430" i="5" s="1"/>
  <c r="N4431" i="5" s="1"/>
  <c r="N4432" i="5" s="1"/>
  <c r="H4420" i="5"/>
  <c r="X4836" i="5"/>
  <c r="W4836" i="5"/>
  <c r="V4836" i="5"/>
  <c r="U4836" i="5"/>
  <c r="S4836" i="5"/>
  <c r="R4836" i="5"/>
  <c r="Q4836" i="5"/>
  <c r="P4836" i="5"/>
  <c r="X4835" i="5"/>
  <c r="W4835" i="5"/>
  <c r="V4835" i="5"/>
  <c r="U4835" i="5"/>
  <c r="S4835" i="5"/>
  <c r="R4835" i="5"/>
  <c r="Q4835" i="5"/>
  <c r="P4835" i="5"/>
  <c r="X4834" i="5"/>
  <c r="W4834" i="5"/>
  <c r="V4834" i="5"/>
  <c r="U4834" i="5"/>
  <c r="S4834" i="5"/>
  <c r="R4834" i="5"/>
  <c r="Q4834" i="5"/>
  <c r="P4834" i="5"/>
  <c r="A4834" i="5"/>
  <c r="A4835" i="5" s="1"/>
  <c r="A4836" i="5" s="1"/>
  <c r="X4833" i="5"/>
  <c r="W4833" i="5"/>
  <c r="V4833" i="5"/>
  <c r="U4833" i="5"/>
  <c r="S4833" i="5"/>
  <c r="R4833" i="5"/>
  <c r="Q4833" i="5"/>
  <c r="P4833" i="5"/>
  <c r="X4832" i="5"/>
  <c r="W4832" i="5"/>
  <c r="V4832" i="5"/>
  <c r="U4832" i="5"/>
  <c r="S4832" i="5"/>
  <c r="R4832" i="5"/>
  <c r="Q4832" i="5"/>
  <c r="P4832" i="5"/>
  <c r="X4831" i="5"/>
  <c r="W4831" i="5"/>
  <c r="V4831" i="5"/>
  <c r="U4831" i="5"/>
  <c r="S4831" i="5"/>
  <c r="R4831" i="5"/>
  <c r="Q4831" i="5"/>
  <c r="P4831" i="5"/>
  <c r="X4830" i="5"/>
  <c r="W4830" i="5"/>
  <c r="V4830" i="5"/>
  <c r="U4830" i="5"/>
  <c r="S4830" i="5"/>
  <c r="R4830" i="5"/>
  <c r="Q4830" i="5"/>
  <c r="P4830" i="5"/>
  <c r="A4830" i="5"/>
  <c r="A4831" i="5" s="1"/>
  <c r="A4832" i="5" s="1"/>
  <c r="X4829" i="5"/>
  <c r="W4829" i="5"/>
  <c r="V4829" i="5"/>
  <c r="U4829" i="5"/>
  <c r="S4829" i="5"/>
  <c r="R4829" i="5"/>
  <c r="Q4829" i="5"/>
  <c r="P4829" i="5"/>
  <c r="X4828" i="5"/>
  <c r="W4828" i="5"/>
  <c r="V4828" i="5"/>
  <c r="U4828" i="5"/>
  <c r="S4828" i="5"/>
  <c r="R4828" i="5"/>
  <c r="Q4828" i="5"/>
  <c r="P4828" i="5"/>
  <c r="X4827" i="5"/>
  <c r="W4827" i="5"/>
  <c r="V4827" i="5"/>
  <c r="U4827" i="5"/>
  <c r="S4827" i="5"/>
  <c r="R4827" i="5"/>
  <c r="Q4827" i="5"/>
  <c r="P4827" i="5"/>
  <c r="X4826" i="5"/>
  <c r="W4826" i="5"/>
  <c r="V4826" i="5"/>
  <c r="U4826" i="5"/>
  <c r="S4826" i="5"/>
  <c r="R4826" i="5"/>
  <c r="Q4826" i="5"/>
  <c r="P4826" i="5"/>
  <c r="A4826" i="5"/>
  <c r="A4827" i="5" s="1"/>
  <c r="A4828" i="5" s="1"/>
  <c r="X4825" i="5"/>
  <c r="W4825" i="5"/>
  <c r="V4825" i="5"/>
  <c r="U4825" i="5"/>
  <c r="S4825" i="5"/>
  <c r="R4825" i="5"/>
  <c r="Q4825" i="5"/>
  <c r="P4825" i="5"/>
  <c r="X4824" i="5"/>
  <c r="W4824" i="5"/>
  <c r="V4824" i="5"/>
  <c r="U4824" i="5"/>
  <c r="S4824" i="5"/>
  <c r="R4824" i="5"/>
  <c r="Q4824" i="5"/>
  <c r="P4824" i="5"/>
  <c r="X4823" i="5"/>
  <c r="W4823" i="5"/>
  <c r="V4823" i="5"/>
  <c r="U4823" i="5"/>
  <c r="S4823" i="5"/>
  <c r="R4823" i="5"/>
  <c r="Q4823" i="5"/>
  <c r="P4823" i="5"/>
  <c r="X4822" i="5"/>
  <c r="W4822" i="5"/>
  <c r="V4822" i="5"/>
  <c r="U4822" i="5"/>
  <c r="S4822" i="5"/>
  <c r="R4822" i="5"/>
  <c r="Q4822" i="5"/>
  <c r="P4822" i="5"/>
  <c r="A4822" i="5"/>
  <c r="A4823" i="5" s="1"/>
  <c r="A4824" i="5" s="1"/>
  <c r="A4818" i="5"/>
  <c r="D4816" i="5"/>
  <c r="D4815" i="5"/>
  <c r="D4814" i="5"/>
  <c r="A4814" i="5"/>
  <c r="A4815" i="5" s="1"/>
  <c r="C4815" i="5" s="1"/>
  <c r="D4813" i="5"/>
  <c r="C4813" i="5"/>
  <c r="D4812" i="5"/>
  <c r="D4811" i="5"/>
  <c r="D4810" i="5"/>
  <c r="A4810" i="5"/>
  <c r="A4811" i="5" s="1"/>
  <c r="C4811" i="5" s="1"/>
  <c r="D4809" i="5"/>
  <c r="C4809" i="5"/>
  <c r="D4808" i="5"/>
  <c r="D4807" i="5"/>
  <c r="D4806" i="5"/>
  <c r="A4806" i="5"/>
  <c r="D4805" i="5"/>
  <c r="C4805" i="5"/>
  <c r="D4804" i="5"/>
  <c r="D4803" i="5"/>
  <c r="D4802" i="5"/>
  <c r="A4802" i="5"/>
  <c r="A4803" i="5" s="1"/>
  <c r="C4803" i="5" s="1"/>
  <c r="D4801" i="5"/>
  <c r="C4801" i="5"/>
  <c r="D4800" i="5"/>
  <c r="D4799" i="5"/>
  <c r="D4798" i="5"/>
  <c r="A4798" i="5"/>
  <c r="A4799" i="5" s="1"/>
  <c r="C4799" i="5" s="1"/>
  <c r="D4797" i="5"/>
  <c r="C4797" i="5"/>
  <c r="D4796" i="5"/>
  <c r="D4795" i="5"/>
  <c r="D4794" i="5"/>
  <c r="A4794" i="5"/>
  <c r="C4794" i="5" s="1"/>
  <c r="D4793" i="5"/>
  <c r="C4793" i="5"/>
  <c r="D4792" i="5"/>
  <c r="D4791" i="5"/>
  <c r="N4790" i="5"/>
  <c r="N4791" i="5" s="1"/>
  <c r="N4792" i="5" s="1"/>
  <c r="N4793" i="5" s="1"/>
  <c r="N4794" i="5" s="1"/>
  <c r="N4795" i="5" s="1"/>
  <c r="N4796" i="5" s="1"/>
  <c r="N4797" i="5" s="1"/>
  <c r="N4798" i="5" s="1"/>
  <c r="N4799" i="5" s="1"/>
  <c r="N4800" i="5" s="1"/>
  <c r="D4790" i="5"/>
  <c r="A4790" i="5"/>
  <c r="C4790" i="5" s="1"/>
  <c r="D4789" i="5"/>
  <c r="C4789" i="5"/>
  <c r="H4788" i="5"/>
  <c r="Q4128" i="5"/>
  <c r="Q4129" i="5" s="1"/>
  <c r="Q4130" i="5" s="1"/>
  <c r="G4133" i="5" s="1"/>
  <c r="H4133" i="5" s="1"/>
  <c r="P4128" i="5"/>
  <c r="P4129" i="5" s="1"/>
  <c r="G4130" i="5" s="1"/>
  <c r="H4130" i="5" s="1"/>
  <c r="H4127" i="5"/>
  <c r="G4287" i="5"/>
  <c r="H4287" i="5" s="1"/>
  <c r="Q4285" i="5"/>
  <c r="F4287" i="5" s="1"/>
  <c r="P4285" i="5"/>
  <c r="F4286" i="5" s="1"/>
  <c r="O4285" i="5"/>
  <c r="F4285" i="5" s="1"/>
  <c r="G4286" i="5"/>
  <c r="H4286" i="5" s="1"/>
  <c r="G4285" i="5"/>
  <c r="H4285" i="5" s="1"/>
  <c r="H4284" i="5"/>
  <c r="P3569" i="5"/>
  <c r="H3568" i="5"/>
  <c r="Q3488" i="5"/>
  <c r="S3347" i="5"/>
  <c r="G3350" i="5" s="1"/>
  <c r="H3350" i="5" s="1"/>
  <c r="R3347" i="5"/>
  <c r="Q3347" i="5"/>
  <c r="Q3348" i="5" s="1"/>
  <c r="Q3349" i="5" s="1"/>
  <c r="H3346" i="5"/>
  <c r="O3720" i="5"/>
  <c r="G3720" i="5" s="1"/>
  <c r="H3720" i="5" s="1"/>
  <c r="O3819" i="5"/>
  <c r="G3819" i="5" s="1"/>
  <c r="H3819" i="5" s="1"/>
  <c r="O3894" i="5"/>
  <c r="G3894" i="5" s="1"/>
  <c r="H3894" i="5" s="1"/>
  <c r="H3893" i="5"/>
  <c r="P3819" i="5"/>
  <c r="G3820" i="5" s="1"/>
  <c r="H3820" i="5" s="1"/>
  <c r="H3818" i="5"/>
  <c r="P3720" i="5"/>
  <c r="G3721" i="5" s="1"/>
  <c r="H3721" i="5" s="1"/>
  <c r="H3719" i="5"/>
  <c r="U156" i="5"/>
  <c r="G162" i="5" s="1"/>
  <c r="H162" i="5" s="1"/>
  <c r="T156" i="5"/>
  <c r="G161" i="5" s="1"/>
  <c r="H161" i="5" s="1"/>
  <c r="S156" i="5"/>
  <c r="R156" i="5"/>
  <c r="G159" i="5" s="1"/>
  <c r="H159" i="5" s="1"/>
  <c r="Q156" i="5"/>
  <c r="G158" i="5" s="1"/>
  <c r="H158" i="5" s="1"/>
  <c r="P156" i="5"/>
  <c r="G157" i="5" s="1"/>
  <c r="H157" i="5" s="1"/>
  <c r="N163" i="5"/>
  <c r="R163" i="5" s="1"/>
  <c r="H290" i="5"/>
  <c r="H169" i="5"/>
  <c r="H168" i="5"/>
  <c r="H167" i="5"/>
  <c r="H166" i="5"/>
  <c r="H165" i="5"/>
  <c r="H164" i="5"/>
  <c r="H163" i="5"/>
  <c r="H155" i="5"/>
  <c r="AZ692" i="5"/>
  <c r="AY692" i="5"/>
  <c r="AW692" i="5"/>
  <c r="AX692" i="5" s="1"/>
  <c r="AU692" i="5"/>
  <c r="AV692" i="5" s="1"/>
  <c r="AR692" i="5"/>
  <c r="AT692" i="5" s="1"/>
  <c r="AP692" i="5"/>
  <c r="AO692" i="5"/>
  <c r="AN692" i="5"/>
  <c r="AL692" i="5"/>
  <c r="AK692" i="5"/>
  <c r="AJ692" i="5"/>
  <c r="AI692" i="5"/>
  <c r="M692" i="5"/>
  <c r="F692" i="5" s="1"/>
  <c r="G692" i="5" s="1"/>
  <c r="H692" i="5" s="1"/>
  <c r="M691" i="5"/>
  <c r="F691" i="5" s="1"/>
  <c r="G691" i="5" s="1"/>
  <c r="H691" i="5" s="1"/>
  <c r="Q5195" i="5"/>
  <c r="P5195" i="5"/>
  <c r="G5195" i="5"/>
  <c r="H5195" i="5" s="1"/>
  <c r="F5195" i="5"/>
  <c r="AW2391" i="5"/>
  <c r="AX2391" i="5" s="1"/>
  <c r="AU2391" i="5"/>
  <c r="AV2391" i="5" s="1"/>
  <c r="AR2391" i="5"/>
  <c r="AS2391" i="5" s="1"/>
  <c r="AP2391" i="5"/>
  <c r="AO2391" i="5"/>
  <c r="AN2391" i="5"/>
  <c r="AH2391" i="5"/>
  <c r="AL2391" i="5" s="1"/>
  <c r="AZ2375" i="5"/>
  <c r="AY2375" i="5"/>
  <c r="AW2375" i="5"/>
  <c r="AX2375" i="5" s="1"/>
  <c r="AU2375" i="5"/>
  <c r="AV2375" i="5" s="1"/>
  <c r="AR2375" i="5"/>
  <c r="AT2375" i="5" s="1"/>
  <c r="AO2375" i="5"/>
  <c r="AN2375" i="5"/>
  <c r="AL2375" i="5"/>
  <c r="AK2375" i="5"/>
  <c r="AJ2375" i="5"/>
  <c r="AI2375" i="5"/>
  <c r="AZ1097" i="5"/>
  <c r="AY1097" i="5"/>
  <c r="AW1097" i="5"/>
  <c r="AX1097" i="5" s="1"/>
  <c r="AU1097" i="5"/>
  <c r="AV1097" i="5" s="1"/>
  <c r="AR1097" i="5"/>
  <c r="AT1097" i="5" s="1"/>
  <c r="AP1097" i="5"/>
  <c r="AO1097" i="5"/>
  <c r="AN1097" i="5"/>
  <c r="AL1097" i="5"/>
  <c r="AK1097" i="5"/>
  <c r="AJ1097" i="5"/>
  <c r="AI1097" i="5"/>
  <c r="AZ1096" i="5"/>
  <c r="AY1096" i="5"/>
  <c r="AW1096" i="5"/>
  <c r="AX1096" i="5" s="1"/>
  <c r="AU1096" i="5"/>
  <c r="AV1096" i="5" s="1"/>
  <c r="AR1096" i="5"/>
  <c r="AT1096" i="5" s="1"/>
  <c r="AP1096" i="5"/>
  <c r="AO1096" i="5"/>
  <c r="AN1096" i="5"/>
  <c r="AL1096" i="5"/>
  <c r="AK1096" i="5"/>
  <c r="AJ1096" i="5"/>
  <c r="AI1096" i="5"/>
  <c r="AZ1095" i="5"/>
  <c r="AY1095" i="5"/>
  <c r="AW1095" i="5"/>
  <c r="AX1095" i="5" s="1"/>
  <c r="AU1095" i="5"/>
  <c r="AV1095" i="5" s="1"/>
  <c r="AR1095" i="5"/>
  <c r="AS1095" i="5" s="1"/>
  <c r="AP1095" i="5"/>
  <c r="AO1095" i="5"/>
  <c r="AN1095" i="5"/>
  <c r="AL1095" i="5"/>
  <c r="AK1095" i="5"/>
  <c r="AJ1095" i="5"/>
  <c r="AI1095" i="5"/>
  <c r="M1095" i="5"/>
  <c r="F1095" i="5" s="1"/>
  <c r="G1095" i="5" s="1"/>
  <c r="H1095" i="5" s="1"/>
  <c r="M1949" i="5"/>
  <c r="F1949" i="5" s="1"/>
  <c r="M1946" i="5"/>
  <c r="F1946" i="5" s="1"/>
  <c r="G1946" i="5" s="1"/>
  <c r="H1946" i="5" s="1"/>
  <c r="AZ1949" i="5"/>
  <c r="AY1949" i="5"/>
  <c r="AW1949" i="5"/>
  <c r="AX1949" i="5" s="1"/>
  <c r="AU1949" i="5"/>
  <c r="AV1949" i="5" s="1"/>
  <c r="AR1949" i="5"/>
  <c r="AT1949" i="5" s="1"/>
  <c r="AP1949" i="5"/>
  <c r="AO1949" i="5"/>
  <c r="AN1949" i="5"/>
  <c r="AL1949" i="5"/>
  <c r="AK1949" i="5"/>
  <c r="AJ1949" i="5"/>
  <c r="AI1949" i="5"/>
  <c r="AZ1946" i="5"/>
  <c r="AY1946" i="5"/>
  <c r="AW1946" i="5"/>
  <c r="AX1946" i="5" s="1"/>
  <c r="AU1946" i="5"/>
  <c r="AV1946" i="5" s="1"/>
  <c r="AR1946" i="5"/>
  <c r="AP1946" i="5"/>
  <c r="AO1946" i="5"/>
  <c r="AN1946" i="5"/>
  <c r="AL1946" i="5"/>
  <c r="AK1946" i="5"/>
  <c r="AJ1946" i="5"/>
  <c r="AI1946" i="5"/>
  <c r="M1952" i="5"/>
  <c r="F1952" i="5" s="1"/>
  <c r="AZ1955" i="5"/>
  <c r="AY1955" i="5"/>
  <c r="AW1955" i="5"/>
  <c r="AX1955" i="5" s="1"/>
  <c r="AU1955" i="5"/>
  <c r="AV1955" i="5" s="1"/>
  <c r="AR1955" i="5"/>
  <c r="AT1955" i="5" s="1"/>
  <c r="AP1955" i="5"/>
  <c r="AO1955" i="5"/>
  <c r="AN1955" i="5"/>
  <c r="AL1955" i="5"/>
  <c r="AK1955" i="5"/>
  <c r="AJ1955" i="5"/>
  <c r="AI1955" i="5"/>
  <c r="AZ1952" i="5"/>
  <c r="AY1952" i="5"/>
  <c r="AW1952" i="5"/>
  <c r="AX1952" i="5" s="1"/>
  <c r="AU1952" i="5"/>
  <c r="AV1952" i="5" s="1"/>
  <c r="AR1952" i="5"/>
  <c r="AT1952" i="5" s="1"/>
  <c r="AP1952" i="5"/>
  <c r="AO1952" i="5"/>
  <c r="AN1952" i="5"/>
  <c r="AL1952" i="5"/>
  <c r="AK1952" i="5"/>
  <c r="AJ1952" i="5"/>
  <c r="AI1952" i="5"/>
  <c r="AH694" i="5"/>
  <c r="AW694" i="5" s="1"/>
  <c r="AX694" i="5" s="1"/>
  <c r="AN694" i="5"/>
  <c r="AO694" i="5"/>
  <c r="AP694" i="5"/>
  <c r="AZ690" i="5"/>
  <c r="AY690" i="5"/>
  <c r="AW690" i="5"/>
  <c r="AX690" i="5" s="1"/>
  <c r="AU690" i="5"/>
  <c r="AV690" i="5" s="1"/>
  <c r="AR690" i="5"/>
  <c r="AT690" i="5" s="1"/>
  <c r="AP690" i="5"/>
  <c r="AO690" i="5"/>
  <c r="AN690" i="5"/>
  <c r="AL690" i="5"/>
  <c r="AK690" i="5"/>
  <c r="AJ690" i="5"/>
  <c r="AI690" i="5"/>
  <c r="M690" i="5"/>
  <c r="F690" i="5" s="1"/>
  <c r="G690" i="5" s="1"/>
  <c r="H690" i="5" s="1"/>
  <c r="M689" i="5"/>
  <c r="F689" i="5" s="1"/>
  <c r="AZ1530" i="5"/>
  <c r="AY1530" i="5"/>
  <c r="AW1530" i="5"/>
  <c r="AX1530" i="5" s="1"/>
  <c r="AU1530" i="5"/>
  <c r="AV1530" i="5" s="1"/>
  <c r="AR1530" i="5"/>
  <c r="AS1530" i="5" s="1"/>
  <c r="AO1530" i="5"/>
  <c r="AN1530" i="5"/>
  <c r="AL1530" i="5"/>
  <c r="AK1530" i="5"/>
  <c r="AJ1530" i="5"/>
  <c r="AI1530" i="5"/>
  <c r="AZ1532" i="5"/>
  <c r="AY1532" i="5"/>
  <c r="AW1532" i="5"/>
  <c r="AX1532" i="5" s="1"/>
  <c r="AU1532" i="5"/>
  <c r="AV1532" i="5" s="1"/>
  <c r="AR1532" i="5"/>
  <c r="AT1532" i="5" s="1"/>
  <c r="AO1532" i="5"/>
  <c r="AN1532" i="5"/>
  <c r="AL1532" i="5"/>
  <c r="AK1532" i="5"/>
  <c r="AJ1532" i="5"/>
  <c r="AI1532" i="5"/>
  <c r="M1090" i="5"/>
  <c r="F1090" i="5" s="1"/>
  <c r="G1090" i="5" s="1"/>
  <c r="H1090" i="5" s="1"/>
  <c r="M1085" i="5"/>
  <c r="F1085" i="5" s="1"/>
  <c r="AZ1090" i="5"/>
  <c r="AY1090" i="5"/>
  <c r="AW1090" i="5"/>
  <c r="AX1090" i="5" s="1"/>
  <c r="AU1090" i="5"/>
  <c r="AV1090" i="5" s="1"/>
  <c r="AR1090" i="5"/>
  <c r="AS1090" i="5" s="1"/>
  <c r="AP1090" i="5"/>
  <c r="AO1090" i="5"/>
  <c r="AN1090" i="5"/>
  <c r="AL1090" i="5"/>
  <c r="AK1090" i="5"/>
  <c r="AJ1090" i="5"/>
  <c r="AI1090" i="5"/>
  <c r="AZ1085" i="5"/>
  <c r="AY1085" i="5"/>
  <c r="AW1085" i="5"/>
  <c r="AX1085" i="5" s="1"/>
  <c r="AU1085" i="5"/>
  <c r="AV1085" i="5" s="1"/>
  <c r="AR1085" i="5"/>
  <c r="AT1085" i="5" s="1"/>
  <c r="AP1085" i="5"/>
  <c r="AO1085" i="5"/>
  <c r="AN1085" i="5"/>
  <c r="AL1085" i="5"/>
  <c r="AK1085" i="5"/>
  <c r="AJ1085" i="5"/>
  <c r="AI1085" i="5"/>
  <c r="H5982" i="5"/>
  <c r="H139" i="5"/>
  <c r="H138" i="5"/>
  <c r="H137" i="5"/>
  <c r="H136" i="5"/>
  <c r="H135" i="5"/>
  <c r="H134" i="5"/>
  <c r="H133" i="5"/>
  <c r="H154" i="5"/>
  <c r="H153" i="5"/>
  <c r="H152" i="5"/>
  <c r="H151" i="5"/>
  <c r="H150" i="5"/>
  <c r="H149" i="5"/>
  <c r="H148" i="5"/>
  <c r="H5538" i="5"/>
  <c r="L43" i="6"/>
  <c r="L42" i="6"/>
  <c r="L41" i="6"/>
  <c r="L40" i="6"/>
  <c r="L39" i="6"/>
  <c r="G4125" i="5"/>
  <c r="H4125" i="5" s="1"/>
  <c r="G3890" i="5"/>
  <c r="H3890" i="5" s="1"/>
  <c r="G3816" i="5"/>
  <c r="H3816" i="5" s="1"/>
  <c r="G3717" i="5"/>
  <c r="H3717" i="5" s="1"/>
  <c r="G3566" i="5"/>
  <c r="H3566" i="5" s="1"/>
  <c r="U142" i="5"/>
  <c r="F147" i="5" s="1"/>
  <c r="T142" i="5"/>
  <c r="S142" i="5"/>
  <c r="R142" i="5"/>
  <c r="F144" i="5" s="1"/>
  <c r="Q142" i="5"/>
  <c r="F143" i="5" s="1"/>
  <c r="P142" i="5"/>
  <c r="F142" i="5" s="1"/>
  <c r="O142" i="5"/>
  <c r="F141" i="5" s="1"/>
  <c r="H140" i="5"/>
  <c r="G3345" i="5"/>
  <c r="H3345" i="5" s="1"/>
  <c r="G3344" i="5"/>
  <c r="H3344" i="5" s="1"/>
  <c r="R3343" i="5"/>
  <c r="Q3343" i="5"/>
  <c r="P3343" i="5"/>
  <c r="W3347" i="5" s="1"/>
  <c r="F3348" i="5" s="1"/>
  <c r="O3343" i="5"/>
  <c r="G3343" i="5"/>
  <c r="H3343" i="5" s="1"/>
  <c r="G3342" i="5"/>
  <c r="H3342" i="5" s="1"/>
  <c r="H3341" i="5"/>
  <c r="Q3486" i="5"/>
  <c r="P3486" i="5"/>
  <c r="F3485" i="5" s="1"/>
  <c r="G3486" i="5"/>
  <c r="H3486" i="5" s="1"/>
  <c r="G3485" i="5"/>
  <c r="H3485" i="5" s="1"/>
  <c r="H3484" i="5"/>
  <c r="O3567" i="5"/>
  <c r="S3569" i="5" s="1"/>
  <c r="H3565" i="5"/>
  <c r="P3718" i="5"/>
  <c r="F3718" i="5" s="1"/>
  <c r="O3718" i="5"/>
  <c r="G3718" i="5"/>
  <c r="H3718" i="5" s="1"/>
  <c r="H3716" i="5"/>
  <c r="P3817" i="5"/>
  <c r="F3817" i="5" s="1"/>
  <c r="O3817" i="5"/>
  <c r="O3820" i="5" s="1"/>
  <c r="F3819" i="5" s="1"/>
  <c r="G3817" i="5"/>
  <c r="H3817" i="5" s="1"/>
  <c r="H3815" i="5"/>
  <c r="G3892" i="5"/>
  <c r="H3892" i="5" s="1"/>
  <c r="Q3891" i="5"/>
  <c r="P3891" i="5"/>
  <c r="F3891" i="5" s="1"/>
  <c r="O3891" i="5"/>
  <c r="F3890" i="5" s="1"/>
  <c r="G3891" i="5"/>
  <c r="H3891" i="5" s="1"/>
  <c r="H3889" i="5"/>
  <c r="P4126" i="5"/>
  <c r="F4126" i="5" s="1"/>
  <c r="O4126" i="5"/>
  <c r="T4128" i="5" s="1"/>
  <c r="G4126" i="5"/>
  <c r="H4126" i="5" s="1"/>
  <c r="H4124" i="5"/>
  <c r="G4283" i="5"/>
  <c r="H4283" i="5" s="1"/>
  <c r="Q4281" i="5"/>
  <c r="F4283" i="5" s="1"/>
  <c r="P4281" i="5"/>
  <c r="F4282" i="5" s="1"/>
  <c r="O4281" i="5"/>
  <c r="F4281" i="5" s="1"/>
  <c r="G4282" i="5"/>
  <c r="H4282" i="5" s="1"/>
  <c r="G4281" i="5"/>
  <c r="H4281" i="5" s="1"/>
  <c r="H4280" i="5"/>
  <c r="A4765" i="5"/>
  <c r="A4761" i="5"/>
  <c r="C4761" i="5" s="1"/>
  <c r="A4757" i="5"/>
  <c r="A4758" i="5" s="1"/>
  <c r="A4753" i="5"/>
  <c r="A4754" i="5" s="1"/>
  <c r="A4749" i="5"/>
  <c r="A4745" i="5"/>
  <c r="C4745" i="5" s="1"/>
  <c r="A4741" i="5"/>
  <c r="A4742" i="5" s="1"/>
  <c r="A4743" i="5" s="1"/>
  <c r="N4409" i="5"/>
  <c r="N4410" i="5" s="1"/>
  <c r="N4411" i="5" s="1"/>
  <c r="N4412" i="5" s="1"/>
  <c r="N4413" i="5" s="1"/>
  <c r="N4414" i="5" s="1"/>
  <c r="N4415" i="5" s="1"/>
  <c r="N4416" i="5" s="1"/>
  <c r="N4417" i="5" s="1"/>
  <c r="N4418" i="5" s="1"/>
  <c r="N4419" i="5" s="1"/>
  <c r="H4407" i="5"/>
  <c r="N4741" i="5"/>
  <c r="N4742" i="5" s="1"/>
  <c r="N4743" i="5" s="1"/>
  <c r="N4744" i="5" s="1"/>
  <c r="N4745" i="5" s="1"/>
  <c r="N4746" i="5" s="1"/>
  <c r="N4747" i="5" s="1"/>
  <c r="N4748" i="5" s="1"/>
  <c r="N4749" i="5" s="1"/>
  <c r="N4750" i="5" s="1"/>
  <c r="N4751" i="5" s="1"/>
  <c r="D4767" i="5"/>
  <c r="D4766" i="5"/>
  <c r="D4765" i="5"/>
  <c r="D4764" i="5"/>
  <c r="C4764" i="5"/>
  <c r="D4763" i="5"/>
  <c r="D4762" i="5"/>
  <c r="D4761" i="5"/>
  <c r="D4760" i="5"/>
  <c r="C4760" i="5"/>
  <c r="D4759" i="5"/>
  <c r="D4758" i="5"/>
  <c r="D4757" i="5"/>
  <c r="D4756" i="5"/>
  <c r="C4756" i="5"/>
  <c r="D4755" i="5"/>
  <c r="D4754" i="5"/>
  <c r="D4753" i="5"/>
  <c r="D4752" i="5"/>
  <c r="C4752" i="5"/>
  <c r="D4751" i="5"/>
  <c r="D4750" i="5"/>
  <c r="D4749" i="5"/>
  <c r="D4748" i="5"/>
  <c r="C4748" i="5"/>
  <c r="D4747" i="5"/>
  <c r="D4746" i="5"/>
  <c r="D4745" i="5"/>
  <c r="D4744" i="5"/>
  <c r="C4744" i="5"/>
  <c r="D4743" i="5"/>
  <c r="D4742" i="5"/>
  <c r="D4741" i="5"/>
  <c r="D4740" i="5"/>
  <c r="C4740" i="5"/>
  <c r="X4787" i="5"/>
  <c r="W4787" i="5"/>
  <c r="V4787" i="5"/>
  <c r="U4787" i="5"/>
  <c r="S4787" i="5"/>
  <c r="R4787" i="5"/>
  <c r="Q4787" i="5"/>
  <c r="P4787" i="5"/>
  <c r="X4786" i="5"/>
  <c r="W4786" i="5"/>
  <c r="V4786" i="5"/>
  <c r="U4786" i="5"/>
  <c r="S4786" i="5"/>
  <c r="R4786" i="5"/>
  <c r="Q4786" i="5"/>
  <c r="P4786" i="5"/>
  <c r="X4785" i="5"/>
  <c r="W4785" i="5"/>
  <c r="V4785" i="5"/>
  <c r="U4785" i="5"/>
  <c r="S4785" i="5"/>
  <c r="R4785" i="5"/>
  <c r="Q4785" i="5"/>
  <c r="P4785" i="5"/>
  <c r="A4785" i="5"/>
  <c r="A4786" i="5" s="1"/>
  <c r="A4787" i="5" s="1"/>
  <c r="X4784" i="5"/>
  <c r="W4784" i="5"/>
  <c r="V4784" i="5"/>
  <c r="U4784" i="5"/>
  <c r="S4784" i="5"/>
  <c r="R4784" i="5"/>
  <c r="Q4784" i="5"/>
  <c r="P4784" i="5"/>
  <c r="X4783" i="5"/>
  <c r="W4783" i="5"/>
  <c r="V4783" i="5"/>
  <c r="U4783" i="5"/>
  <c r="S4783" i="5"/>
  <c r="R4783" i="5"/>
  <c r="Q4783" i="5"/>
  <c r="P4783" i="5"/>
  <c r="X4782" i="5"/>
  <c r="W4782" i="5"/>
  <c r="V4782" i="5"/>
  <c r="U4782" i="5"/>
  <c r="S4782" i="5"/>
  <c r="R4782" i="5"/>
  <c r="Q4782" i="5"/>
  <c r="P4782" i="5"/>
  <c r="X4781" i="5"/>
  <c r="W4781" i="5"/>
  <c r="V4781" i="5"/>
  <c r="U4781" i="5"/>
  <c r="S4781" i="5"/>
  <c r="R4781" i="5"/>
  <c r="Q4781" i="5"/>
  <c r="P4781" i="5"/>
  <c r="A4781" i="5"/>
  <c r="A4782" i="5" s="1"/>
  <c r="A4783" i="5" s="1"/>
  <c r="X4780" i="5"/>
  <c r="W4780" i="5"/>
  <c r="V4780" i="5"/>
  <c r="U4780" i="5"/>
  <c r="S4780" i="5"/>
  <c r="R4780" i="5"/>
  <c r="Q4780" i="5"/>
  <c r="P4780" i="5"/>
  <c r="X4779" i="5"/>
  <c r="W4779" i="5"/>
  <c r="V4779" i="5"/>
  <c r="U4779" i="5"/>
  <c r="S4779" i="5"/>
  <c r="R4779" i="5"/>
  <c r="Q4779" i="5"/>
  <c r="P4779" i="5"/>
  <c r="X4778" i="5"/>
  <c r="W4778" i="5"/>
  <c r="V4778" i="5"/>
  <c r="U4778" i="5"/>
  <c r="S4778" i="5"/>
  <c r="R4778" i="5"/>
  <c r="Q4778" i="5"/>
  <c r="P4778" i="5"/>
  <c r="X4777" i="5"/>
  <c r="W4777" i="5"/>
  <c r="V4777" i="5"/>
  <c r="U4777" i="5"/>
  <c r="S4777" i="5"/>
  <c r="R4777" i="5"/>
  <c r="Q4777" i="5"/>
  <c r="P4777" i="5"/>
  <c r="A4777" i="5"/>
  <c r="A4778" i="5" s="1"/>
  <c r="A4779" i="5" s="1"/>
  <c r="X4776" i="5"/>
  <c r="W4776" i="5"/>
  <c r="V4776" i="5"/>
  <c r="U4776" i="5"/>
  <c r="S4776" i="5"/>
  <c r="R4776" i="5"/>
  <c r="Q4776" i="5"/>
  <c r="P4776" i="5"/>
  <c r="X4775" i="5"/>
  <c r="W4775" i="5"/>
  <c r="V4775" i="5"/>
  <c r="U4775" i="5"/>
  <c r="S4775" i="5"/>
  <c r="R4775" i="5"/>
  <c r="Q4775" i="5"/>
  <c r="P4775" i="5"/>
  <c r="X4774" i="5"/>
  <c r="W4774" i="5"/>
  <c r="V4774" i="5"/>
  <c r="U4774" i="5"/>
  <c r="S4774" i="5"/>
  <c r="R4774" i="5"/>
  <c r="Q4774" i="5"/>
  <c r="P4774" i="5"/>
  <c r="X4773" i="5"/>
  <c r="W4773" i="5"/>
  <c r="V4773" i="5"/>
  <c r="U4773" i="5"/>
  <c r="S4773" i="5"/>
  <c r="R4773" i="5"/>
  <c r="Q4773" i="5"/>
  <c r="P4773" i="5"/>
  <c r="A4773" i="5"/>
  <c r="A4774" i="5" s="1"/>
  <c r="A4775" i="5" s="1"/>
  <c r="A4769" i="5"/>
  <c r="A4770" i="5" s="1"/>
  <c r="A4771" i="5" s="1"/>
  <c r="H4739" i="5"/>
  <c r="H6073" i="5"/>
  <c r="H6072" i="5"/>
  <c r="H6071" i="5"/>
  <c r="H6070" i="5"/>
  <c r="H6069" i="5"/>
  <c r="H6068" i="5"/>
  <c r="H6067" i="5"/>
  <c r="H6066" i="5"/>
  <c r="H6065" i="5"/>
  <c r="H6064" i="5"/>
  <c r="H6063" i="5"/>
  <c r="H6062" i="5"/>
  <c r="H6061" i="5"/>
  <c r="H6060" i="5"/>
  <c r="H6059" i="5"/>
  <c r="H6058" i="5"/>
  <c r="H6056" i="5"/>
  <c r="H6055" i="5"/>
  <c r="H6054" i="5"/>
  <c r="H6053" i="5"/>
  <c r="H6052" i="5"/>
  <c r="H6051" i="5"/>
  <c r="H6050" i="5"/>
  <c r="H6049" i="5"/>
  <c r="H6048" i="5"/>
  <c r="H6047" i="5"/>
  <c r="H6046" i="5"/>
  <c r="H6045" i="5"/>
  <c r="H6044" i="5"/>
  <c r="H6043" i="5"/>
  <c r="H5566" i="5"/>
  <c r="H5560" i="5"/>
  <c r="H5559" i="5"/>
  <c r="H5581" i="5"/>
  <c r="H5567" i="5"/>
  <c r="H5562" i="5"/>
  <c r="H5565" i="5"/>
  <c r="H5563" i="5"/>
  <c r="H5561" i="5"/>
  <c r="H5558" i="5"/>
  <c r="H6015" i="5"/>
  <c r="H6014" i="5"/>
  <c r="H6013" i="5"/>
  <c r="H6012" i="5"/>
  <c r="H6011" i="5"/>
  <c r="H6010" i="5"/>
  <c r="H6009" i="5"/>
  <c r="H6008" i="5"/>
  <c r="H6007" i="5"/>
  <c r="H6006" i="5"/>
  <c r="H6005" i="5"/>
  <c r="H6004" i="5"/>
  <c r="H6003" i="5"/>
  <c r="H6002" i="5"/>
  <c r="H5737" i="5"/>
  <c r="H5732" i="5"/>
  <c r="A4736" i="5"/>
  <c r="A4737" i="5" s="1"/>
  <c r="A4738" i="5" s="1"/>
  <c r="A4732" i="5"/>
  <c r="A4728" i="5"/>
  <c r="A4729" i="5" s="1"/>
  <c r="A4724" i="5"/>
  <c r="A4725" i="5" s="1"/>
  <c r="A4726" i="5" s="1"/>
  <c r="A4720" i="5"/>
  <c r="G4720" i="5" s="1"/>
  <c r="H4720" i="5" s="1"/>
  <c r="H5347" i="5"/>
  <c r="G4122" i="5"/>
  <c r="H4122" i="5" s="1"/>
  <c r="H5720" i="5"/>
  <c r="H5719" i="5"/>
  <c r="H5718" i="5"/>
  <c r="H5717" i="5"/>
  <c r="H5716" i="5"/>
  <c r="H5715" i="5"/>
  <c r="H5714" i="5"/>
  <c r="H5713" i="5"/>
  <c r="H5712" i="5"/>
  <c r="H5711" i="5"/>
  <c r="H5710" i="5"/>
  <c r="H5709" i="5"/>
  <c r="H5708" i="5"/>
  <c r="H5707" i="5"/>
  <c r="H5706" i="5"/>
  <c r="G4279" i="5"/>
  <c r="H4279" i="5" s="1"/>
  <c r="H6017" i="5"/>
  <c r="H5988" i="5"/>
  <c r="H5989" i="5"/>
  <c r="H5990" i="5"/>
  <c r="H5991" i="5"/>
  <c r="H5992" i="5"/>
  <c r="H5993" i="5"/>
  <c r="H5994" i="5"/>
  <c r="H5995" i="5"/>
  <c r="H5996" i="5"/>
  <c r="H5997" i="5"/>
  <c r="H5998" i="5"/>
  <c r="H6001" i="5"/>
  <c r="H6000" i="5"/>
  <c r="H5999" i="5"/>
  <c r="H5987" i="5"/>
  <c r="H5986" i="5"/>
  <c r="H5588" i="5"/>
  <c r="H5587" i="5"/>
  <c r="H5584" i="5"/>
  <c r="H5583" i="5"/>
  <c r="H5582" i="5"/>
  <c r="H5596" i="5"/>
  <c r="H5595" i="5"/>
  <c r="H5594" i="5"/>
  <c r="H5593" i="5"/>
  <c r="H5592" i="5"/>
  <c r="H5735" i="5"/>
  <c r="H5734" i="5"/>
  <c r="H5731" i="5"/>
  <c r="H5730" i="5"/>
  <c r="H5729" i="5"/>
  <c r="H5727" i="5"/>
  <c r="H5724" i="5"/>
  <c r="H5722" i="5"/>
  <c r="H5687" i="5"/>
  <c r="X4738" i="5"/>
  <c r="W4738" i="5"/>
  <c r="V4738" i="5"/>
  <c r="U4738" i="5"/>
  <c r="S4738" i="5"/>
  <c r="R4738" i="5"/>
  <c r="Q4738" i="5"/>
  <c r="P4738" i="5"/>
  <c r="X4737" i="5"/>
  <c r="W4737" i="5"/>
  <c r="V4737" i="5"/>
  <c r="U4737" i="5"/>
  <c r="S4737" i="5"/>
  <c r="R4737" i="5"/>
  <c r="Q4737" i="5"/>
  <c r="P4737" i="5"/>
  <c r="X4736" i="5"/>
  <c r="W4736" i="5"/>
  <c r="V4736" i="5"/>
  <c r="U4736" i="5"/>
  <c r="S4736" i="5"/>
  <c r="R4736" i="5"/>
  <c r="Q4736" i="5"/>
  <c r="P4736" i="5"/>
  <c r="X4735" i="5"/>
  <c r="W4735" i="5"/>
  <c r="V4735" i="5"/>
  <c r="U4735" i="5"/>
  <c r="S4735" i="5"/>
  <c r="R4735" i="5"/>
  <c r="Q4735" i="5"/>
  <c r="P4735" i="5"/>
  <c r="X4734" i="5"/>
  <c r="W4734" i="5"/>
  <c r="V4734" i="5"/>
  <c r="U4734" i="5"/>
  <c r="S4734" i="5"/>
  <c r="R4734" i="5"/>
  <c r="Q4734" i="5"/>
  <c r="P4734" i="5"/>
  <c r="X4733" i="5"/>
  <c r="W4733" i="5"/>
  <c r="V4733" i="5"/>
  <c r="U4733" i="5"/>
  <c r="S4733" i="5"/>
  <c r="R4733" i="5"/>
  <c r="Q4733" i="5"/>
  <c r="P4733" i="5"/>
  <c r="X4732" i="5"/>
  <c r="W4732" i="5"/>
  <c r="V4732" i="5"/>
  <c r="U4732" i="5"/>
  <c r="S4732" i="5"/>
  <c r="R4732" i="5"/>
  <c r="Q4732" i="5"/>
  <c r="P4732" i="5"/>
  <c r="X4731" i="5"/>
  <c r="W4731" i="5"/>
  <c r="V4731" i="5"/>
  <c r="U4731" i="5"/>
  <c r="S4731" i="5"/>
  <c r="R4731" i="5"/>
  <c r="Q4731" i="5"/>
  <c r="P4731" i="5"/>
  <c r="X4730" i="5"/>
  <c r="W4730" i="5"/>
  <c r="V4730" i="5"/>
  <c r="U4730" i="5"/>
  <c r="S4730" i="5"/>
  <c r="R4730" i="5"/>
  <c r="Q4730" i="5"/>
  <c r="P4730" i="5"/>
  <c r="X4729" i="5"/>
  <c r="W4729" i="5"/>
  <c r="V4729" i="5"/>
  <c r="U4729" i="5"/>
  <c r="S4729" i="5"/>
  <c r="R4729" i="5"/>
  <c r="Q4729" i="5"/>
  <c r="P4729" i="5"/>
  <c r="X4728" i="5"/>
  <c r="W4728" i="5"/>
  <c r="V4728" i="5"/>
  <c r="U4728" i="5"/>
  <c r="S4728" i="5"/>
  <c r="R4728" i="5"/>
  <c r="Q4728" i="5"/>
  <c r="P4728" i="5"/>
  <c r="X4727" i="5"/>
  <c r="W4727" i="5"/>
  <c r="V4727" i="5"/>
  <c r="U4727" i="5"/>
  <c r="S4727" i="5"/>
  <c r="R4727" i="5"/>
  <c r="Q4727" i="5"/>
  <c r="P4727" i="5"/>
  <c r="X4725" i="5"/>
  <c r="W4725" i="5"/>
  <c r="V4725" i="5"/>
  <c r="U4725" i="5"/>
  <c r="S4725" i="5"/>
  <c r="R4725" i="5"/>
  <c r="Q4725" i="5"/>
  <c r="P4725" i="5"/>
  <c r="X4726" i="5"/>
  <c r="W4726" i="5"/>
  <c r="V4726" i="5"/>
  <c r="U4726" i="5"/>
  <c r="S4726" i="5"/>
  <c r="R4726" i="5"/>
  <c r="Q4726" i="5"/>
  <c r="P4726" i="5"/>
  <c r="X4724" i="5"/>
  <c r="W4724" i="5"/>
  <c r="V4724" i="5"/>
  <c r="U4724" i="5"/>
  <c r="S4724" i="5"/>
  <c r="R4724" i="5"/>
  <c r="Q4724" i="5"/>
  <c r="P4724" i="5"/>
  <c r="G4719" i="5"/>
  <c r="H4719" i="5" s="1"/>
  <c r="S4720" i="5"/>
  <c r="S4721" i="5" s="1"/>
  <c r="S4722" i="5" s="1"/>
  <c r="S4723" i="5" s="1"/>
  <c r="S4740" i="5" s="1"/>
  <c r="S4741" i="5" s="1"/>
  <c r="S4742" i="5" s="1"/>
  <c r="S4743" i="5" s="1"/>
  <c r="S4744" i="5" s="1"/>
  <c r="S4745" i="5" s="1"/>
  <c r="S4746" i="5" s="1"/>
  <c r="S4747" i="5" s="1"/>
  <c r="S4748" i="5" s="1"/>
  <c r="S4749" i="5" s="1"/>
  <c r="S4750" i="5" s="1"/>
  <c r="S4751" i="5" s="1"/>
  <c r="S4789" i="5" s="1"/>
  <c r="S4790" i="5" s="1"/>
  <c r="R4720" i="5"/>
  <c r="R4721" i="5" s="1"/>
  <c r="R4722" i="5" s="1"/>
  <c r="R4723" i="5" s="1"/>
  <c r="R4740" i="5" s="1"/>
  <c r="R4741" i="5" s="1"/>
  <c r="Q4720" i="5"/>
  <c r="X4719" i="5"/>
  <c r="X4720" i="5" s="1"/>
  <c r="X4721" i="5" s="1"/>
  <c r="X4722" i="5" s="1"/>
  <c r="X4723" i="5" s="1"/>
  <c r="W4719" i="5"/>
  <c r="W4720" i="5" s="1"/>
  <c r="W4721" i="5" s="1"/>
  <c r="W4722" i="5" s="1"/>
  <c r="W4723" i="5" s="1"/>
  <c r="W4740" i="5" s="1"/>
  <c r="W4741" i="5" s="1"/>
  <c r="V4719" i="5"/>
  <c r="P4720" i="5"/>
  <c r="P4721" i="5" s="1"/>
  <c r="U4719" i="5"/>
  <c r="F4719" i="5" s="1"/>
  <c r="H4718" i="5"/>
  <c r="H4717" i="5"/>
  <c r="H4716" i="5"/>
  <c r="P4403" i="5"/>
  <c r="G4403" i="5" s="1"/>
  <c r="H4403" i="5" s="1"/>
  <c r="G4402" i="5"/>
  <c r="H4402" i="5" s="1"/>
  <c r="Q4402" i="5"/>
  <c r="H4401" i="5"/>
  <c r="H4400" i="5"/>
  <c r="H4399" i="5"/>
  <c r="Q4277" i="5"/>
  <c r="F4279" i="5" s="1"/>
  <c r="P4277" i="5"/>
  <c r="F4278" i="5" s="1"/>
  <c r="O4277" i="5"/>
  <c r="F4277" i="5" s="1"/>
  <c r="G4278" i="5"/>
  <c r="H4278" i="5" s="1"/>
  <c r="G4277" i="5"/>
  <c r="H4277" i="5" s="1"/>
  <c r="H4276" i="5"/>
  <c r="H4275" i="5"/>
  <c r="H4274" i="5"/>
  <c r="P4123" i="5"/>
  <c r="F4123" i="5" s="1"/>
  <c r="O4123" i="5"/>
  <c r="F4122" i="5" s="1"/>
  <c r="G4123" i="5"/>
  <c r="H4123" i="5" s="1"/>
  <c r="H4121" i="5"/>
  <c r="H4120" i="5"/>
  <c r="H4119" i="5"/>
  <c r="H4032" i="5"/>
  <c r="H4031" i="5"/>
  <c r="H4030" i="5"/>
  <c r="H124" i="5"/>
  <c r="G3340" i="5"/>
  <c r="H3340" i="5" s="1"/>
  <c r="G3339" i="5"/>
  <c r="H3339" i="5" s="1"/>
  <c r="G3338" i="5"/>
  <c r="H3338" i="5" s="1"/>
  <c r="R3338" i="5"/>
  <c r="F3340" i="5" s="1"/>
  <c r="Q3338" i="5"/>
  <c r="F3339" i="5" s="1"/>
  <c r="P3338" i="5"/>
  <c r="F3338" i="5" s="1"/>
  <c r="G3337" i="5"/>
  <c r="H3337" i="5" s="1"/>
  <c r="O3338" i="5"/>
  <c r="F3337" i="5" s="1"/>
  <c r="H3336" i="5"/>
  <c r="O3564" i="5"/>
  <c r="F3563" i="5" s="1"/>
  <c r="G3563" i="5"/>
  <c r="H3563" i="5" s="1"/>
  <c r="H3562" i="5"/>
  <c r="Q3483" i="5"/>
  <c r="F3483" i="5" s="1"/>
  <c r="P3483" i="5"/>
  <c r="F3482" i="5" s="1"/>
  <c r="H3481" i="5"/>
  <c r="H3883" i="5"/>
  <c r="G3888" i="5"/>
  <c r="H3888" i="5" s="1"/>
  <c r="G3887" i="5"/>
  <c r="H3887" i="5" s="1"/>
  <c r="G3886" i="5"/>
  <c r="H3886" i="5" s="1"/>
  <c r="Q3887" i="5"/>
  <c r="F3888" i="5" s="1"/>
  <c r="G3814" i="5"/>
  <c r="H3814" i="5" s="1"/>
  <c r="G3813" i="5"/>
  <c r="H3813" i="5" s="1"/>
  <c r="G3715" i="5"/>
  <c r="H3715" i="5" s="1"/>
  <c r="G3714" i="5"/>
  <c r="H3714" i="5" s="1"/>
  <c r="H3929" i="5"/>
  <c r="P3887" i="5"/>
  <c r="F3887" i="5" s="1"/>
  <c r="O3887" i="5"/>
  <c r="F3886" i="5" s="1"/>
  <c r="H3885" i="5"/>
  <c r="H3884" i="5"/>
  <c r="H3845" i="5"/>
  <c r="P3814" i="5"/>
  <c r="F3814" i="5" s="1"/>
  <c r="O3814" i="5"/>
  <c r="F3813" i="5" s="1"/>
  <c r="H3812" i="5"/>
  <c r="H3811" i="5"/>
  <c r="H3712" i="5"/>
  <c r="P3715" i="5"/>
  <c r="F3715" i="5" s="1"/>
  <c r="O3715" i="5"/>
  <c r="F3714" i="5" s="1"/>
  <c r="H3713" i="5"/>
  <c r="U127" i="5"/>
  <c r="F132" i="5" s="1"/>
  <c r="T127" i="5"/>
  <c r="F131" i="5" s="1"/>
  <c r="S127" i="5"/>
  <c r="F130" i="5" s="1"/>
  <c r="R127" i="5"/>
  <c r="F129" i="5" s="1"/>
  <c r="Q127" i="5"/>
  <c r="F128" i="5" s="1"/>
  <c r="P127" i="5"/>
  <c r="F127" i="5" s="1"/>
  <c r="O127" i="5"/>
  <c r="F126" i="5" s="1"/>
  <c r="H6110" i="5"/>
  <c r="H6109" i="5"/>
  <c r="H6108" i="5"/>
  <c r="H6107" i="5"/>
  <c r="H6106" i="5"/>
  <c r="H6105" i="5"/>
  <c r="H6104" i="5"/>
  <c r="H6103" i="5"/>
  <c r="H6102" i="5"/>
  <c r="H6101" i="5"/>
  <c r="H6100" i="5"/>
  <c r="H6099" i="5"/>
  <c r="H6098" i="5"/>
  <c r="H6097" i="5"/>
  <c r="H6096" i="5"/>
  <c r="H6095" i="5"/>
  <c r="H6094" i="5"/>
  <c r="H6093" i="5"/>
  <c r="H6092" i="5"/>
  <c r="H6091" i="5"/>
  <c r="H6090" i="5"/>
  <c r="H6089" i="5"/>
  <c r="H6088" i="5"/>
  <c r="H6087" i="5"/>
  <c r="H6086" i="5"/>
  <c r="H6085" i="5"/>
  <c r="H6084" i="5"/>
  <c r="H6083" i="5"/>
  <c r="H6082" i="5"/>
  <c r="H6081" i="5"/>
  <c r="H6080" i="5"/>
  <c r="H6079" i="5"/>
  <c r="H6078" i="5"/>
  <c r="H6077" i="5"/>
  <c r="H6076" i="5"/>
  <c r="H6075" i="5"/>
  <c r="H6074" i="5"/>
  <c r="H5985" i="5"/>
  <c r="H5983" i="5"/>
  <c r="H6022" i="5"/>
  <c r="H5702" i="5"/>
  <c r="H5699" i="5"/>
  <c r="H5698" i="5"/>
  <c r="H5697" i="5"/>
  <c r="H5693" i="5"/>
  <c r="H5692" i="5"/>
  <c r="H5691" i="5"/>
  <c r="H5688" i="5"/>
  <c r="H5604" i="5"/>
  <c r="H5602" i="5"/>
  <c r="H5601" i="5"/>
  <c r="H5600" i="5"/>
  <c r="H5557" i="5"/>
  <c r="H5556" i="5"/>
  <c r="H5555" i="5"/>
  <c r="H5554" i="5"/>
  <c r="H5553" i="5"/>
  <c r="H5552" i="5"/>
  <c r="H5551" i="5"/>
  <c r="H5550" i="5"/>
  <c r="H5549" i="5"/>
  <c r="H5548" i="5"/>
  <c r="H5547" i="5"/>
  <c r="H5546" i="5"/>
  <c r="H5545" i="5"/>
  <c r="H5544" i="5"/>
  <c r="H5543" i="5"/>
  <c r="H5542" i="5"/>
  <c r="H5541" i="5"/>
  <c r="H5540" i="5"/>
  <c r="H5539" i="5"/>
  <c r="H5350" i="5"/>
  <c r="H5349" i="5"/>
  <c r="H5348" i="5"/>
  <c r="H5346" i="5"/>
  <c r="H5345" i="5"/>
  <c r="H5344" i="5"/>
  <c r="H5343" i="5"/>
  <c r="H5342" i="5"/>
  <c r="H5341" i="5"/>
  <c r="H5340" i="5"/>
  <c r="H5339" i="5"/>
  <c r="H5338" i="5"/>
  <c r="H5337" i="5"/>
  <c r="H5336" i="5"/>
  <c r="H5335" i="5"/>
  <c r="H5334" i="5"/>
  <c r="H5333" i="5"/>
  <c r="H5332" i="5"/>
  <c r="H5331" i="5"/>
  <c r="H5330" i="5"/>
  <c r="H5329" i="5"/>
  <c r="H5328" i="5"/>
  <c r="H5327" i="5"/>
  <c r="H5321" i="5"/>
  <c r="H5320" i="5"/>
  <c r="H5319" i="5"/>
  <c r="H5318" i="5"/>
  <c r="H5317" i="5"/>
  <c r="H5316" i="5"/>
  <c r="H5315" i="5"/>
  <c r="H5314" i="5"/>
  <c r="H5313" i="5"/>
  <c r="H5312" i="5"/>
  <c r="H5311" i="5"/>
  <c r="H5310" i="5"/>
  <c r="H5309" i="5"/>
  <c r="H5308" i="5"/>
  <c r="H5307" i="5"/>
  <c r="H5306" i="5"/>
  <c r="H5305" i="5"/>
  <c r="H5304" i="5"/>
  <c r="H5303" i="5"/>
  <c r="H5302" i="5"/>
  <c r="H5301" i="5"/>
  <c r="H5300" i="5"/>
  <c r="H5299" i="5"/>
  <c r="H5298" i="5"/>
  <c r="H5297" i="5"/>
  <c r="H5296" i="5"/>
  <c r="H5295" i="5"/>
  <c r="H5294" i="5"/>
  <c r="H5293" i="5"/>
  <c r="H5292" i="5"/>
  <c r="H5291" i="5"/>
  <c r="H5290" i="5"/>
  <c r="H5289" i="5"/>
  <c r="H5288" i="5"/>
  <c r="H5287" i="5"/>
  <c r="H5286" i="5"/>
  <c r="H5285" i="5"/>
  <c r="H5284" i="5"/>
  <c r="H5283" i="5"/>
  <c r="H5282" i="5"/>
  <c r="H5281" i="5"/>
  <c r="H5280" i="5"/>
  <c r="H5279" i="5"/>
  <c r="H5278" i="5"/>
  <c r="H5277" i="5"/>
  <c r="H5276" i="5"/>
  <c r="H5275" i="5"/>
  <c r="H5274" i="5"/>
  <c r="H5273" i="5"/>
  <c r="H5272" i="5"/>
  <c r="H5271" i="5"/>
  <c r="H5270" i="5"/>
  <c r="H5269" i="5"/>
  <c r="H5268" i="5"/>
  <c r="H5267" i="5"/>
  <c r="H5266" i="5"/>
  <c r="H5265" i="5"/>
  <c r="H4715" i="5"/>
  <c r="H4714" i="5"/>
  <c r="H4713" i="5"/>
  <c r="H4712" i="5"/>
  <c r="H4711" i="5"/>
  <c r="H4710" i="5"/>
  <c r="H4709" i="5"/>
  <c r="H4708" i="5"/>
  <c r="H4707" i="5"/>
  <c r="H4706" i="5"/>
  <c r="H4705" i="5"/>
  <c r="H4704" i="5"/>
  <c r="H4703" i="5"/>
  <c r="H4702" i="5"/>
  <c r="H4701" i="5"/>
  <c r="H4700" i="5"/>
  <c r="H4699" i="5"/>
  <c r="H4698" i="5"/>
  <c r="H4697" i="5"/>
  <c r="H4696" i="5"/>
  <c r="H4695" i="5"/>
  <c r="H4694" i="5"/>
  <c r="H4693" i="5"/>
  <c r="H4692" i="5"/>
  <c r="H4691" i="5"/>
  <c r="H4690" i="5"/>
  <c r="H4689" i="5"/>
  <c r="H4688" i="5"/>
  <c r="H4687" i="5"/>
  <c r="H4686" i="5"/>
  <c r="H4685" i="5"/>
  <c r="H4684" i="5"/>
  <c r="H4683" i="5"/>
  <c r="H4682" i="5"/>
  <c r="H4681" i="5"/>
  <c r="H4680" i="5"/>
  <c r="H4679" i="5"/>
  <c r="H4678" i="5"/>
  <c r="H4677" i="5"/>
  <c r="H4676" i="5"/>
  <c r="H4675" i="5"/>
  <c r="H4674" i="5"/>
  <c r="H4673" i="5"/>
  <c r="H4672" i="5"/>
  <c r="H4671" i="5"/>
  <c r="H4670" i="5"/>
  <c r="H4669" i="5"/>
  <c r="H4668" i="5"/>
  <c r="H4667" i="5"/>
  <c r="H4666" i="5"/>
  <c r="H4665" i="5"/>
  <c r="H4664" i="5"/>
  <c r="H4663" i="5"/>
  <c r="H4662" i="5"/>
  <c r="H4661" i="5"/>
  <c r="H4660" i="5"/>
  <c r="H4659" i="5"/>
  <c r="H4658" i="5"/>
  <c r="H4657" i="5"/>
  <c r="H4656" i="5"/>
  <c r="H4655" i="5"/>
  <c r="H4654" i="5"/>
  <c r="H4653" i="5"/>
  <c r="H4652" i="5"/>
  <c r="H4651" i="5"/>
  <c r="H4650" i="5"/>
  <c r="H4649" i="5"/>
  <c r="H4648" i="5"/>
  <c r="H4647" i="5"/>
  <c r="H4646" i="5"/>
  <c r="H4645" i="5"/>
  <c r="H4644" i="5"/>
  <c r="H4643" i="5"/>
  <c r="H4642" i="5"/>
  <c r="H4641" i="5"/>
  <c r="H4640" i="5"/>
  <c r="H4639" i="5"/>
  <c r="H4638" i="5"/>
  <c r="H4637" i="5"/>
  <c r="H4636" i="5"/>
  <c r="H4635" i="5"/>
  <c r="H4634" i="5"/>
  <c r="H4633" i="5"/>
  <c r="H4632" i="5"/>
  <c r="H4631" i="5"/>
  <c r="H4630" i="5"/>
  <c r="H4629" i="5"/>
  <c r="H4628" i="5"/>
  <c r="H4627" i="5"/>
  <c r="H4626" i="5"/>
  <c r="H4625" i="5"/>
  <c r="H4624" i="5"/>
  <c r="H4623" i="5"/>
  <c r="H4622" i="5"/>
  <c r="H4621" i="5"/>
  <c r="H4620" i="5"/>
  <c r="H4619" i="5"/>
  <c r="H4618" i="5"/>
  <c r="H4617" i="5"/>
  <c r="H4616" i="5"/>
  <c r="H4615" i="5"/>
  <c r="H4614" i="5"/>
  <c r="H4613" i="5"/>
  <c r="H4612" i="5"/>
  <c r="H4611" i="5"/>
  <c r="H4610" i="5"/>
  <c r="H4609" i="5"/>
  <c r="H4608" i="5"/>
  <c r="H4607" i="5"/>
  <c r="H4606" i="5"/>
  <c r="H4605" i="5"/>
  <c r="H4604" i="5"/>
  <c r="H4603" i="5"/>
  <c r="H4602" i="5"/>
  <c r="H4601" i="5"/>
  <c r="H4591" i="5"/>
  <c r="H4590" i="5"/>
  <c r="H4589" i="5"/>
  <c r="H4588" i="5"/>
  <c r="H4587" i="5"/>
  <c r="H4577" i="5"/>
  <c r="H4576" i="5"/>
  <c r="H4575" i="5"/>
  <c r="H4574" i="5"/>
  <c r="H4573" i="5"/>
  <c r="H4563" i="5"/>
  <c r="H4562" i="5"/>
  <c r="H4561" i="5"/>
  <c r="H4560" i="5"/>
  <c r="H4559" i="5"/>
  <c r="H4549" i="5"/>
  <c r="H4548" i="5"/>
  <c r="H4547" i="5"/>
  <c r="H4546" i="5"/>
  <c r="H4545" i="5"/>
  <c r="H4535" i="5"/>
  <c r="H4534" i="5"/>
  <c r="H4533" i="5"/>
  <c r="H4532" i="5"/>
  <c r="H4531" i="5"/>
  <c r="H4528" i="5"/>
  <c r="H4527" i="5"/>
  <c r="H4526" i="5"/>
  <c r="H4525" i="5"/>
  <c r="H4524" i="5"/>
  <c r="H4521" i="5"/>
  <c r="H4520" i="5"/>
  <c r="H4519" i="5"/>
  <c r="H4518" i="5"/>
  <c r="H4398" i="5"/>
  <c r="H4397" i="5"/>
  <c r="H4396" i="5"/>
  <c r="H4395" i="5"/>
  <c r="H4394" i="5"/>
  <c r="H4393" i="5"/>
  <c r="H4392" i="5"/>
  <c r="H4391" i="5"/>
  <c r="H4390" i="5"/>
  <c r="H4389" i="5"/>
  <c r="H4388" i="5"/>
  <c r="H4387" i="5"/>
  <c r="H4386" i="5"/>
  <c r="H4385" i="5"/>
  <c r="H4384" i="5"/>
  <c r="H4383" i="5"/>
  <c r="H4382" i="5"/>
  <c r="H4381" i="5"/>
  <c r="H4380" i="5"/>
  <c r="H4379" i="5"/>
  <c r="H4378" i="5"/>
  <c r="H4377" i="5"/>
  <c r="H4376" i="5"/>
  <c r="H4375" i="5"/>
  <c r="H4374" i="5"/>
  <c r="H4373" i="5"/>
  <c r="H4372" i="5"/>
  <c r="H4371" i="5"/>
  <c r="H4370" i="5"/>
  <c r="H4369" i="5"/>
  <c r="H4368" i="5"/>
  <c r="H4367" i="5"/>
  <c r="H4366" i="5"/>
  <c r="H4365" i="5"/>
  <c r="H4364" i="5"/>
  <c r="H4363" i="5"/>
  <c r="H4362" i="5"/>
  <c r="H4361" i="5"/>
  <c r="H4360" i="5"/>
  <c r="H4359" i="5"/>
  <c r="H4358" i="5"/>
  <c r="H4357" i="5"/>
  <c r="H4356" i="5"/>
  <c r="H4355" i="5"/>
  <c r="H4354" i="5"/>
  <c r="H4353" i="5"/>
  <c r="H4352" i="5"/>
  <c r="H4351" i="5"/>
  <c r="H4350" i="5"/>
  <c r="H4349" i="5"/>
  <c r="H4348" i="5"/>
  <c r="H4347" i="5"/>
  <c r="H4346" i="5"/>
  <c r="H4345" i="5"/>
  <c r="H4344" i="5"/>
  <c r="H4343" i="5"/>
  <c r="H4342" i="5"/>
  <c r="H4341" i="5"/>
  <c r="H4340" i="5"/>
  <c r="H4339" i="5"/>
  <c r="H4338" i="5"/>
  <c r="H4337" i="5"/>
  <c r="H4336" i="5"/>
  <c r="H4335" i="5"/>
  <c r="H4334" i="5"/>
  <c r="H4333" i="5"/>
  <c r="H4332" i="5"/>
  <c r="H4331" i="5"/>
  <c r="H4330" i="5"/>
  <c r="H4329" i="5"/>
  <c r="H4328" i="5"/>
  <c r="H4327" i="5"/>
  <c r="H4326" i="5"/>
  <c r="H4325" i="5"/>
  <c r="H4324" i="5"/>
  <c r="H4323" i="5"/>
  <c r="H4322" i="5"/>
  <c r="H4321" i="5"/>
  <c r="H4320" i="5"/>
  <c r="H4319" i="5"/>
  <c r="H4318" i="5"/>
  <c r="H4317" i="5"/>
  <c r="H4316" i="5"/>
  <c r="H4315" i="5"/>
  <c r="H4314" i="5"/>
  <c r="H4313" i="5"/>
  <c r="H4312" i="5"/>
  <c r="H4311" i="5"/>
  <c r="H4310" i="5"/>
  <c r="H4309" i="5"/>
  <c r="H4308" i="5"/>
  <c r="H4307" i="5"/>
  <c r="H4306" i="5"/>
  <c r="H4237" i="5"/>
  <c r="H4273" i="5"/>
  <c r="H4272" i="5"/>
  <c r="H4271" i="5"/>
  <c r="H4270" i="5"/>
  <c r="H4269" i="5"/>
  <c r="H4268" i="5"/>
  <c r="H4267" i="5"/>
  <c r="H4266" i="5"/>
  <c r="H4265" i="5"/>
  <c r="H4264" i="5"/>
  <c r="H4263" i="5"/>
  <c r="H4262" i="5"/>
  <c r="H4261" i="5"/>
  <c r="H4260" i="5"/>
  <c r="H4259" i="5"/>
  <c r="H4258" i="5"/>
  <c r="H4257" i="5"/>
  <c r="H4256" i="5"/>
  <c r="H4255" i="5"/>
  <c r="H4254" i="5"/>
  <c r="H4253" i="5"/>
  <c r="H4252" i="5"/>
  <c r="H4251" i="5"/>
  <c r="H4250" i="5"/>
  <c r="H4249" i="5"/>
  <c r="H4248" i="5"/>
  <c r="H4247" i="5"/>
  <c r="H4246" i="5"/>
  <c r="H4245" i="5"/>
  <c r="H4244" i="5"/>
  <c r="H4243" i="5"/>
  <c r="H4242" i="5"/>
  <c r="H4241" i="5"/>
  <c r="H4240" i="5"/>
  <c r="H4239" i="5"/>
  <c r="H4236" i="5"/>
  <c r="H4235" i="5"/>
  <c r="H4234" i="5"/>
  <c r="H4233" i="5"/>
  <c r="H4232" i="5"/>
  <c r="H4231" i="5"/>
  <c r="H4230" i="5"/>
  <c r="H4229" i="5"/>
  <c r="H4228" i="5"/>
  <c r="H4227" i="5"/>
  <c r="H4226" i="5"/>
  <c r="H4225" i="5"/>
  <c r="H4224" i="5"/>
  <c r="H4223" i="5"/>
  <c r="H4222" i="5"/>
  <c r="H4221" i="5"/>
  <c r="H4220" i="5"/>
  <c r="H4219" i="5"/>
  <c r="H4218" i="5"/>
  <c r="H4217" i="5"/>
  <c r="H4216" i="5"/>
  <c r="H4215" i="5"/>
  <c r="H4214" i="5"/>
  <c r="H4213" i="5"/>
  <c r="H4212" i="5"/>
  <c r="H4211" i="5"/>
  <c r="H4210" i="5"/>
  <c r="H4209" i="5"/>
  <c r="H4118" i="5"/>
  <c r="H4117" i="5"/>
  <c r="H4116" i="5"/>
  <c r="H4115" i="5"/>
  <c r="H4114" i="5"/>
  <c r="H4113" i="5"/>
  <c r="H4112" i="5"/>
  <c r="H4111" i="5"/>
  <c r="H4110" i="5"/>
  <c r="H4109" i="5"/>
  <c r="H4108" i="5"/>
  <c r="H4107" i="5"/>
  <c r="H4106" i="5"/>
  <c r="H4105" i="5"/>
  <c r="H4104" i="5"/>
  <c r="H4103" i="5"/>
  <c r="H4102" i="5"/>
  <c r="H4101" i="5"/>
  <c r="H4100" i="5"/>
  <c r="H4099" i="5"/>
  <c r="H4098" i="5"/>
  <c r="H4097" i="5"/>
  <c r="H4096" i="5"/>
  <c r="H4095" i="5"/>
  <c r="H4094" i="5"/>
  <c r="H4093" i="5"/>
  <c r="H4092" i="5"/>
  <c r="H4091" i="5"/>
  <c r="H4090" i="5"/>
  <c r="H4089" i="5"/>
  <c r="H4088" i="5"/>
  <c r="H4087" i="5"/>
  <c r="H4086" i="5"/>
  <c r="H4085" i="5"/>
  <c r="H4084" i="5"/>
  <c r="H4083" i="5"/>
  <c r="H4082" i="5"/>
  <c r="H4081" i="5"/>
  <c r="H4080" i="5"/>
  <c r="H4079" i="5"/>
  <c r="H4078" i="5"/>
  <c r="H4077" i="5"/>
  <c r="H4076" i="5"/>
  <c r="H4075" i="5"/>
  <c r="H4074" i="5"/>
  <c r="H4073" i="5"/>
  <c r="H4072" i="5"/>
  <c r="H4071" i="5"/>
  <c r="H4070" i="5"/>
  <c r="H4069" i="5"/>
  <c r="H4068" i="5"/>
  <c r="H4067" i="5"/>
  <c r="H4066" i="5"/>
  <c r="H4065" i="5"/>
  <c r="H4064" i="5"/>
  <c r="H4063" i="5"/>
  <c r="H4062" i="5"/>
  <c r="H4061" i="5"/>
  <c r="H4060" i="5"/>
  <c r="H4059" i="5"/>
  <c r="H4058" i="5"/>
  <c r="H4057" i="5"/>
  <c r="H4056" i="5"/>
  <c r="H4029" i="5"/>
  <c r="H4028" i="5"/>
  <c r="H4027" i="5"/>
  <c r="H4026" i="5"/>
  <c r="H4025" i="5"/>
  <c r="H4024" i="5"/>
  <c r="H4023" i="5"/>
  <c r="H4022" i="5"/>
  <c r="H4021" i="5"/>
  <c r="H4020" i="5"/>
  <c r="H4019" i="5"/>
  <c r="H4018" i="5"/>
  <c r="H4017" i="5"/>
  <c r="H4016" i="5"/>
  <c r="H4015" i="5"/>
  <c r="H4014" i="5"/>
  <c r="H4013" i="5"/>
  <c r="H4012" i="5"/>
  <c r="H4011" i="5"/>
  <c r="H4010" i="5"/>
  <c r="H4009" i="5"/>
  <c r="H4008" i="5"/>
  <c r="H4007" i="5"/>
  <c r="H4006" i="5"/>
  <c r="H4005" i="5"/>
  <c r="H4004" i="5"/>
  <c r="H4003" i="5"/>
  <c r="H4002" i="5"/>
  <c r="H4001" i="5"/>
  <c r="H4000" i="5"/>
  <c r="H3999" i="5"/>
  <c r="H3998" i="5"/>
  <c r="H3997" i="5"/>
  <c r="H3996" i="5"/>
  <c r="H3995" i="5"/>
  <c r="H3994" i="5"/>
  <c r="H3993" i="5"/>
  <c r="H3992" i="5"/>
  <c r="H3991" i="5"/>
  <c r="H3990" i="5"/>
  <c r="H3989" i="5"/>
  <c r="H3988" i="5"/>
  <c r="H3987" i="5"/>
  <c r="H3986" i="5"/>
  <c r="H3985" i="5"/>
  <c r="H3984" i="5"/>
  <c r="H3983" i="5"/>
  <c r="H3982" i="5"/>
  <c r="H3981" i="5"/>
  <c r="H3980" i="5"/>
  <c r="H3979" i="5"/>
  <c r="H3978" i="5"/>
  <c r="H3977" i="5"/>
  <c r="H3976" i="5"/>
  <c r="H3975" i="5"/>
  <c r="H3974" i="5"/>
  <c r="H3973" i="5"/>
  <c r="H3972" i="5"/>
  <c r="H3971" i="5"/>
  <c r="H3970" i="5"/>
  <c r="H3969" i="5"/>
  <c r="H3968" i="5"/>
  <c r="H3967" i="5"/>
  <c r="H3966" i="5"/>
  <c r="H3965" i="5"/>
  <c r="H3964" i="5"/>
  <c r="H3963" i="5"/>
  <c r="H3962" i="5"/>
  <c r="H3961" i="5"/>
  <c r="H3960" i="5"/>
  <c r="H3959" i="5"/>
  <c r="H3958" i="5"/>
  <c r="H3957" i="5"/>
  <c r="H3956" i="5"/>
  <c r="H3955" i="5"/>
  <c r="H3954" i="5"/>
  <c r="H3953" i="5"/>
  <c r="H3952" i="5"/>
  <c r="H3951" i="5"/>
  <c r="H3950" i="5"/>
  <c r="H3949" i="5"/>
  <c r="H3948" i="5"/>
  <c r="H3947" i="5"/>
  <c r="H3946" i="5"/>
  <c r="H3945" i="5"/>
  <c r="H3944" i="5"/>
  <c r="H3943" i="5"/>
  <c r="H3942" i="5"/>
  <c r="H3941" i="5"/>
  <c r="H3940" i="5"/>
  <c r="H3939" i="5"/>
  <c r="H3938" i="5"/>
  <c r="H3937" i="5"/>
  <c r="H3936" i="5"/>
  <c r="H3882" i="5"/>
  <c r="H3881" i="5"/>
  <c r="H3880" i="5"/>
  <c r="H3879" i="5"/>
  <c r="H3878" i="5"/>
  <c r="H3877" i="5"/>
  <c r="H3876" i="5"/>
  <c r="H3875" i="5"/>
  <c r="H3874" i="5"/>
  <c r="H3873" i="5"/>
  <c r="H3872" i="5"/>
  <c r="H3871" i="5"/>
  <c r="H3870" i="5"/>
  <c r="H3869" i="5"/>
  <c r="H3868" i="5"/>
  <c r="H3867" i="5"/>
  <c r="H3866" i="5"/>
  <c r="H3865" i="5"/>
  <c r="H3864" i="5"/>
  <c r="H3863" i="5"/>
  <c r="H3862" i="5"/>
  <c r="H3861" i="5"/>
  <c r="H3860" i="5"/>
  <c r="H3859" i="5"/>
  <c r="H3858" i="5"/>
  <c r="H3857" i="5"/>
  <c r="H3856" i="5"/>
  <c r="H3855" i="5"/>
  <c r="H3854" i="5"/>
  <c r="H3853" i="5"/>
  <c r="H3852" i="5"/>
  <c r="H3851" i="5"/>
  <c r="H3850" i="5"/>
  <c r="H3849" i="5"/>
  <c r="H3848" i="5"/>
  <c r="H3847" i="5"/>
  <c r="H3846" i="5"/>
  <c r="H3810" i="5"/>
  <c r="H3809" i="5"/>
  <c r="H3808" i="5"/>
  <c r="H3807" i="5"/>
  <c r="H3806" i="5"/>
  <c r="H3805" i="5"/>
  <c r="H3804" i="5"/>
  <c r="H3803" i="5"/>
  <c r="H3802" i="5"/>
  <c r="H3801" i="5"/>
  <c r="H3800" i="5"/>
  <c r="H3799" i="5"/>
  <c r="H3798" i="5"/>
  <c r="H3797" i="5"/>
  <c r="H3796" i="5"/>
  <c r="H3795" i="5"/>
  <c r="H3794" i="5"/>
  <c r="H3793" i="5"/>
  <c r="H3792" i="5"/>
  <c r="H3791" i="5"/>
  <c r="H3790" i="5"/>
  <c r="H3789" i="5"/>
  <c r="H3788" i="5"/>
  <c r="H3787" i="5"/>
  <c r="H3786" i="5"/>
  <c r="H3785" i="5"/>
  <c r="H3784" i="5"/>
  <c r="H3783" i="5"/>
  <c r="H3782" i="5"/>
  <c r="H3781" i="5"/>
  <c r="H3780" i="5"/>
  <c r="H3779" i="5"/>
  <c r="H3778" i="5"/>
  <c r="H3777" i="5"/>
  <c r="H3776" i="5"/>
  <c r="H3775" i="5"/>
  <c r="H3774" i="5"/>
  <c r="H3773" i="5"/>
  <c r="H3772" i="5"/>
  <c r="H3771" i="5"/>
  <c r="H3770" i="5"/>
  <c r="H3769" i="5"/>
  <c r="H3768" i="5"/>
  <c r="H3767" i="5"/>
  <c r="H3766" i="5"/>
  <c r="H3765" i="5"/>
  <c r="H3764" i="5"/>
  <c r="H3763" i="5"/>
  <c r="H3762" i="5"/>
  <c r="H3761" i="5"/>
  <c r="H3760" i="5"/>
  <c r="H3759" i="5"/>
  <c r="H3758" i="5"/>
  <c r="H3757" i="5"/>
  <c r="H3756" i="5"/>
  <c r="H3755" i="5"/>
  <c r="H3754" i="5"/>
  <c r="H3753" i="5"/>
  <c r="H3752" i="5"/>
  <c r="H3751" i="5"/>
  <c r="H3750" i="5"/>
  <c r="H3749" i="5"/>
  <c r="H3711" i="5"/>
  <c r="H3710" i="5"/>
  <c r="H3709" i="5"/>
  <c r="H3708" i="5"/>
  <c r="H3707" i="5"/>
  <c r="H3706" i="5"/>
  <c r="H3705" i="5"/>
  <c r="H3704" i="5"/>
  <c r="H3703" i="5"/>
  <c r="H3702" i="5"/>
  <c r="H3701" i="5"/>
  <c r="H3700" i="5"/>
  <c r="H3699" i="5"/>
  <c r="H3698" i="5"/>
  <c r="H3697" i="5"/>
  <c r="H3696" i="5"/>
  <c r="H3695" i="5"/>
  <c r="H3694" i="5"/>
  <c r="H3693" i="5"/>
  <c r="H3692" i="5"/>
  <c r="H3691" i="5"/>
  <c r="H3690" i="5"/>
  <c r="H3689" i="5"/>
  <c r="H3688" i="5"/>
  <c r="H3687" i="5"/>
  <c r="H3686" i="5"/>
  <c r="H3685" i="5"/>
  <c r="H3684" i="5"/>
  <c r="H3683" i="5"/>
  <c r="H3682" i="5"/>
  <c r="H3681" i="5"/>
  <c r="H3680" i="5"/>
  <c r="H3679" i="5"/>
  <c r="H3678" i="5"/>
  <c r="H3677" i="5"/>
  <c r="H3676" i="5"/>
  <c r="H3675" i="5"/>
  <c r="H3674" i="5"/>
  <c r="H3673" i="5"/>
  <c r="H3672" i="5"/>
  <c r="H3671" i="5"/>
  <c r="H3670" i="5"/>
  <c r="H3669" i="5"/>
  <c r="H3668" i="5"/>
  <c r="H3667" i="5"/>
  <c r="H3666" i="5"/>
  <c r="H3665" i="5"/>
  <c r="H3664" i="5"/>
  <c r="H3663" i="5"/>
  <c r="H3662" i="5"/>
  <c r="H3661" i="5"/>
  <c r="H3660" i="5"/>
  <c r="H3659" i="5"/>
  <c r="H3658" i="5"/>
  <c r="H3657" i="5"/>
  <c r="H3656" i="5"/>
  <c r="H3655" i="5"/>
  <c r="H3654" i="5"/>
  <c r="H3653" i="5"/>
  <c r="H3652" i="5"/>
  <c r="H3651" i="5"/>
  <c r="H3650" i="5"/>
  <c r="H3649" i="5"/>
  <c r="H3648" i="5"/>
  <c r="H3647" i="5"/>
  <c r="H3646" i="5"/>
  <c r="H3645" i="5"/>
  <c r="H3644" i="5"/>
  <c r="H3643" i="5"/>
  <c r="H3642" i="5"/>
  <c r="H3641" i="5"/>
  <c r="H3640" i="5"/>
  <c r="H3639" i="5"/>
  <c r="H3638" i="5"/>
  <c r="H3637" i="5"/>
  <c r="H3636" i="5"/>
  <c r="H3635" i="5"/>
  <c r="H3634" i="5"/>
  <c r="H3633" i="5"/>
  <c r="H3632" i="5"/>
  <c r="H3631" i="5"/>
  <c r="H3630" i="5"/>
  <c r="H3629" i="5"/>
  <c r="H3628" i="5"/>
  <c r="H3627" i="5"/>
  <c r="H3626" i="5"/>
  <c r="H3625" i="5"/>
  <c r="H3624" i="5"/>
  <c r="H3623" i="5"/>
  <c r="H3622" i="5"/>
  <c r="H3621" i="5"/>
  <c r="H3620" i="5"/>
  <c r="H3619" i="5"/>
  <c r="H3618" i="5"/>
  <c r="H3617" i="5"/>
  <c r="H3616" i="5"/>
  <c r="H3615" i="5"/>
  <c r="H3614" i="5"/>
  <c r="H3613" i="5"/>
  <c r="H3612" i="5"/>
  <c r="H3611" i="5"/>
  <c r="H3610" i="5"/>
  <c r="H3559" i="5"/>
  <c r="H3558" i="5"/>
  <c r="H3557" i="5"/>
  <c r="H3556" i="5"/>
  <c r="H3555" i="5"/>
  <c r="H3554" i="5"/>
  <c r="H3553" i="5"/>
  <c r="H3552" i="5"/>
  <c r="H3487" i="5"/>
  <c r="H3478" i="5"/>
  <c r="H3477" i="5"/>
  <c r="H3476" i="5"/>
  <c r="H3475" i="5"/>
  <c r="H3474" i="5"/>
  <c r="H3473" i="5"/>
  <c r="H3472" i="5"/>
  <c r="H3471" i="5"/>
  <c r="H3470" i="5"/>
  <c r="H3469" i="5"/>
  <c r="H3468" i="5"/>
  <c r="H3467" i="5"/>
  <c r="H3466" i="5"/>
  <c r="H3465" i="5"/>
  <c r="H3464" i="5"/>
  <c r="H3463" i="5"/>
  <c r="H3462" i="5"/>
  <c r="H3461" i="5"/>
  <c r="H3460" i="5"/>
  <c r="H3459" i="5"/>
  <c r="H3458" i="5"/>
  <c r="H3457" i="5"/>
  <c r="H3456" i="5"/>
  <c r="H3455" i="5"/>
  <c r="H3454" i="5"/>
  <c r="H3453" i="5"/>
  <c r="H3452" i="5"/>
  <c r="H3451" i="5"/>
  <c r="H3450" i="5"/>
  <c r="H3333" i="5"/>
  <c r="H3332" i="5"/>
  <c r="H3331" i="5"/>
  <c r="H3330" i="5"/>
  <c r="H3329" i="5"/>
  <c r="H3328" i="5"/>
  <c r="H3327" i="5"/>
  <c r="H3326" i="5"/>
  <c r="H3325" i="5"/>
  <c r="H3324" i="5"/>
  <c r="H3323" i="5"/>
  <c r="H3322" i="5"/>
  <c r="H3321" i="5"/>
  <c r="H3320" i="5"/>
  <c r="H3319" i="5"/>
  <c r="H3318" i="5"/>
  <c r="H3317" i="5"/>
  <c r="H3316" i="5"/>
  <c r="H3315" i="5"/>
  <c r="H3314" i="5"/>
  <c r="H3313" i="5"/>
  <c r="H3312" i="5"/>
  <c r="H3311" i="5"/>
  <c r="H3310" i="5"/>
  <c r="H3309" i="5"/>
  <c r="H3308" i="5"/>
  <c r="H3307" i="5"/>
  <c r="H3306" i="5"/>
  <c r="H3305" i="5"/>
  <c r="H3304" i="5"/>
  <c r="H3303" i="5"/>
  <c r="H3302" i="5"/>
  <c r="H3301" i="5"/>
  <c r="H3300" i="5"/>
  <c r="H3299" i="5"/>
  <c r="H3298" i="5"/>
  <c r="H3297" i="5"/>
  <c r="H3296" i="5"/>
  <c r="H3295" i="5"/>
  <c r="H3294" i="5"/>
  <c r="H3293" i="5"/>
  <c r="H3292" i="5"/>
  <c r="H3291" i="5"/>
  <c r="H3290" i="5"/>
  <c r="H3289" i="5"/>
  <c r="H3288" i="5"/>
  <c r="H3287" i="5"/>
  <c r="H3286" i="5"/>
  <c r="H3285" i="5"/>
  <c r="H3284" i="5"/>
  <c r="H3283" i="5"/>
  <c r="H3282" i="5"/>
  <c r="H3281" i="5"/>
  <c r="H3280" i="5"/>
  <c r="H3279" i="5"/>
  <c r="H3278" i="5"/>
  <c r="H3277" i="5"/>
  <c r="H3276" i="5"/>
  <c r="H3275" i="5"/>
  <c r="H3274" i="5"/>
  <c r="H3273" i="5"/>
  <c r="H3272" i="5"/>
  <c r="H3271" i="5"/>
  <c r="H3270" i="5"/>
  <c r="H3269" i="5"/>
  <c r="H3268" i="5"/>
  <c r="H3267" i="5"/>
  <c r="H3266" i="5"/>
  <c r="H3265" i="5"/>
  <c r="H3264" i="5"/>
  <c r="H3263" i="5"/>
  <c r="H3262" i="5"/>
  <c r="H3261" i="5"/>
  <c r="H3254" i="5"/>
  <c r="H3253" i="5"/>
  <c r="H3252" i="5"/>
  <c r="H3251" i="5"/>
  <c r="H3250" i="5"/>
  <c r="H3249" i="5"/>
  <c r="H3248" i="5"/>
  <c r="H3247" i="5"/>
  <c r="H3246" i="5"/>
  <c r="H3245" i="5"/>
  <c r="H3244" i="5"/>
  <c r="H3243" i="5"/>
  <c r="H3242" i="5"/>
  <c r="H3241" i="5"/>
  <c r="H3240" i="5"/>
  <c r="H3239" i="5"/>
  <c r="H3238" i="5"/>
  <c r="H3237" i="5"/>
  <c r="H3236" i="5"/>
  <c r="H3235" i="5"/>
  <c r="H3234" i="5"/>
  <c r="H3233" i="5"/>
  <c r="H3232" i="5"/>
  <c r="H3231" i="5"/>
  <c r="H3230" i="5"/>
  <c r="H3229" i="5"/>
  <c r="H3228" i="5"/>
  <c r="H3227" i="5"/>
  <c r="H3226" i="5"/>
  <c r="H3225" i="5"/>
  <c r="H3224" i="5"/>
  <c r="H3223" i="5"/>
  <c r="H3222" i="5"/>
  <c r="H3221" i="5"/>
  <c r="H3220" i="5"/>
  <c r="H3219" i="5"/>
  <c r="H3218" i="5"/>
  <c r="H3217" i="5"/>
  <c r="H3216" i="5"/>
  <c r="H3215" i="5"/>
  <c r="H3214" i="5"/>
  <c r="H3213" i="5"/>
  <c r="H3212" i="5"/>
  <c r="H3211" i="5"/>
  <c r="H3210" i="5"/>
  <c r="H3209" i="5"/>
  <c r="H3208" i="5"/>
  <c r="H3207" i="5"/>
  <c r="H3206" i="5"/>
  <c r="H3205" i="5"/>
  <c r="H3204" i="5"/>
  <c r="H3203" i="5"/>
  <c r="H3202" i="5"/>
  <c r="H3201" i="5"/>
  <c r="H3200" i="5"/>
  <c r="H3199" i="5"/>
  <c r="H3198" i="5"/>
  <c r="H3197" i="5"/>
  <c r="H3196" i="5"/>
  <c r="H3195" i="5"/>
  <c r="H3194" i="5"/>
  <c r="H3193" i="5"/>
  <c r="H3192" i="5"/>
  <c r="H3191" i="5"/>
  <c r="H3190" i="5"/>
  <c r="H3189" i="5"/>
  <c r="H3188" i="5"/>
  <c r="H3187" i="5"/>
  <c r="H3186" i="5"/>
  <c r="H3185" i="5"/>
  <c r="H3184" i="5"/>
  <c r="H3183" i="5"/>
  <c r="H3182" i="5"/>
  <c r="H3175" i="5"/>
  <c r="H3174" i="5"/>
  <c r="H3173" i="5"/>
  <c r="H3172" i="5"/>
  <c r="H3171" i="5"/>
  <c r="H3170" i="5"/>
  <c r="H3169" i="5"/>
  <c r="H3168" i="5"/>
  <c r="H3167" i="5"/>
  <c r="H3166" i="5"/>
  <c r="H3165" i="5"/>
  <c r="H3164" i="5"/>
  <c r="H3163" i="5"/>
  <c r="H3162" i="5"/>
  <c r="H3161" i="5"/>
  <c r="H3160" i="5"/>
  <c r="H3159" i="5"/>
  <c r="H3158" i="5"/>
  <c r="H3157" i="5"/>
  <c r="H3156" i="5"/>
  <c r="H3155" i="5"/>
  <c r="H3154" i="5"/>
  <c r="H3153" i="5"/>
  <c r="H3152" i="5"/>
  <c r="H3151" i="5"/>
  <c r="H3150" i="5"/>
  <c r="H3149" i="5"/>
  <c r="H3148" i="5"/>
  <c r="H3147" i="5"/>
  <c r="H3146" i="5"/>
  <c r="H3145" i="5"/>
  <c r="H3144" i="5"/>
  <c r="H3143" i="5"/>
  <c r="H3142" i="5"/>
  <c r="H3141" i="5"/>
  <c r="H3140" i="5"/>
  <c r="H3139" i="5"/>
  <c r="H3138" i="5"/>
  <c r="H3137" i="5"/>
  <c r="H3136" i="5"/>
  <c r="H3135" i="5"/>
  <c r="H3134" i="5"/>
  <c r="H3133" i="5"/>
  <c r="H3132" i="5"/>
  <c r="H3131" i="5"/>
  <c r="H3130" i="5"/>
  <c r="H3129" i="5"/>
  <c r="H3128" i="5"/>
  <c r="H3127" i="5"/>
  <c r="H3126" i="5"/>
  <c r="H3125" i="5"/>
  <c r="H3124" i="5"/>
  <c r="H3123" i="5"/>
  <c r="H3122" i="5"/>
  <c r="H3121" i="5"/>
  <c r="H3120" i="5"/>
  <c r="H3119" i="5"/>
  <c r="H3118" i="5"/>
  <c r="H3117" i="5"/>
  <c r="H3116" i="5"/>
  <c r="H3115" i="5"/>
  <c r="H3114" i="5"/>
  <c r="H3113" i="5"/>
  <c r="H3112" i="5"/>
  <c r="H3111" i="5"/>
  <c r="H3110" i="5"/>
  <c r="H3109" i="5"/>
  <c r="H3108" i="5"/>
  <c r="H3107" i="5"/>
  <c r="H3106" i="5"/>
  <c r="H3105" i="5"/>
  <c r="H3104" i="5"/>
  <c r="H3103" i="5"/>
  <c r="H3096" i="5"/>
  <c r="H3095" i="5"/>
  <c r="H3094" i="5"/>
  <c r="H3093" i="5"/>
  <c r="H3092" i="5"/>
  <c r="H3091" i="5"/>
  <c r="H3090" i="5"/>
  <c r="H3089" i="5"/>
  <c r="H3088" i="5"/>
  <c r="H3087" i="5"/>
  <c r="H3086" i="5"/>
  <c r="H3085" i="5"/>
  <c r="H3084" i="5"/>
  <c r="H3083" i="5"/>
  <c r="H3082" i="5"/>
  <c r="H3081" i="5"/>
  <c r="H3080" i="5"/>
  <c r="H3079" i="5"/>
  <c r="H3078" i="5"/>
  <c r="H3077" i="5"/>
  <c r="H3076" i="5"/>
  <c r="H3075" i="5"/>
  <c r="H3074" i="5"/>
  <c r="H3073" i="5"/>
  <c r="H3072" i="5"/>
  <c r="H3071" i="5"/>
  <c r="H3070" i="5"/>
  <c r="H3069" i="5"/>
  <c r="H3068" i="5"/>
  <c r="H3059" i="5"/>
  <c r="H3058" i="5"/>
  <c r="H3057" i="5"/>
  <c r="H3056" i="5"/>
  <c r="H3055" i="5"/>
  <c r="H3054" i="5"/>
  <c r="H3053" i="5"/>
  <c r="H3052" i="5"/>
  <c r="H3051" i="5"/>
  <c r="H3050" i="5"/>
  <c r="H3049" i="5"/>
  <c r="H3048" i="5"/>
  <c r="H3047" i="5"/>
  <c r="H3046" i="5"/>
  <c r="H3045" i="5"/>
  <c r="H3044" i="5"/>
  <c r="H3043" i="5"/>
  <c r="H3042" i="5"/>
  <c r="H3041" i="5"/>
  <c r="H3040" i="5"/>
  <c r="H3039" i="5"/>
  <c r="H3038" i="5"/>
  <c r="H3037" i="5"/>
  <c r="H3036" i="5"/>
  <c r="H3035" i="5"/>
  <c r="H3034" i="5"/>
  <c r="H3033" i="5"/>
  <c r="H3032" i="5"/>
  <c r="H3031" i="5"/>
  <c r="H3030" i="5"/>
  <c r="H3029" i="5"/>
  <c r="H3028" i="5"/>
  <c r="H3027" i="5"/>
  <c r="H3026" i="5"/>
  <c r="H3025" i="5"/>
  <c r="H3024" i="5"/>
  <c r="H3023" i="5"/>
  <c r="H3022" i="5"/>
  <c r="H3021" i="5"/>
  <c r="H3020" i="5"/>
  <c r="H3019" i="5"/>
  <c r="H3018" i="5"/>
  <c r="H3017" i="5"/>
  <c r="H3016" i="5"/>
  <c r="H3015" i="5"/>
  <c r="H3014" i="5"/>
  <c r="H3013" i="5"/>
  <c r="H3012" i="5"/>
  <c r="H3011" i="5"/>
  <c r="H3010" i="5"/>
  <c r="H3009" i="5"/>
  <c r="H3008" i="5"/>
  <c r="H3007" i="5"/>
  <c r="H3006" i="5"/>
  <c r="H3005" i="5"/>
  <c r="H3004" i="5"/>
  <c r="H3003" i="5"/>
  <c r="H3002" i="5"/>
  <c r="H3001" i="5"/>
  <c r="H3000" i="5"/>
  <c r="H2999" i="5"/>
  <c r="H2998" i="5"/>
  <c r="H2997" i="5"/>
  <c r="H2996" i="5"/>
  <c r="H2995" i="5"/>
  <c r="H2994" i="5"/>
  <c r="H2993" i="5"/>
  <c r="H2992" i="5"/>
  <c r="H2991" i="5"/>
  <c r="H2990" i="5"/>
  <c r="H2989" i="5"/>
  <c r="H2988" i="5"/>
  <c r="H2987" i="5"/>
  <c r="H2986" i="5"/>
  <c r="H2985" i="5"/>
  <c r="H2984" i="5"/>
  <c r="H2983" i="5"/>
  <c r="H2982" i="5"/>
  <c r="H2981" i="5"/>
  <c r="H2980" i="5"/>
  <c r="H2979" i="5"/>
  <c r="H2978" i="5"/>
  <c r="H2977" i="5"/>
  <c r="H2976" i="5"/>
  <c r="H2975" i="5"/>
  <c r="H2974" i="5"/>
  <c r="H2973" i="5"/>
  <c r="H2972" i="5"/>
  <c r="H2971" i="5"/>
  <c r="H2970" i="5"/>
  <c r="H2969" i="5"/>
  <c r="H2968" i="5"/>
  <c r="H2967" i="5"/>
  <c r="H2966" i="5"/>
  <c r="H2965" i="5"/>
  <c r="H2964" i="5"/>
  <c r="H2963" i="5"/>
  <c r="H2962" i="5"/>
  <c r="H2961" i="5"/>
  <c r="H2960" i="5"/>
  <c r="H2959" i="5"/>
  <c r="H2958" i="5"/>
  <c r="H2957" i="5"/>
  <c r="H2956" i="5"/>
  <c r="H2955" i="5"/>
  <c r="H2954" i="5"/>
  <c r="H2953" i="5"/>
  <c r="H2952" i="5"/>
  <c r="H2951" i="5"/>
  <c r="H2950" i="5"/>
  <c r="H2949" i="5"/>
  <c r="H2948" i="5"/>
  <c r="H2947" i="5"/>
  <c r="H2946" i="5"/>
  <c r="H2945" i="5"/>
  <c r="H2944" i="5"/>
  <c r="H2943" i="5"/>
  <c r="H2942" i="5"/>
  <c r="H2941" i="5"/>
  <c r="H2940" i="5"/>
  <c r="H2939" i="5"/>
  <c r="H2938" i="5"/>
  <c r="H2937" i="5"/>
  <c r="H2936" i="5"/>
  <c r="H2935" i="5"/>
  <c r="H2934" i="5"/>
  <c r="H2933" i="5"/>
  <c r="H2932" i="5"/>
  <c r="H2931" i="5"/>
  <c r="H2930" i="5"/>
  <c r="H2929" i="5"/>
  <c r="H2928" i="5"/>
  <c r="H2927" i="5"/>
  <c r="H2926" i="5"/>
  <c r="H2925" i="5"/>
  <c r="H2924" i="5"/>
  <c r="H2923" i="5"/>
  <c r="H2922" i="5"/>
  <c r="H2921" i="5"/>
  <c r="H2920" i="5"/>
  <c r="H2919" i="5"/>
  <c r="H2918" i="5"/>
  <c r="H2917" i="5"/>
  <c r="H2916" i="5"/>
  <c r="H2915" i="5"/>
  <c r="H2914" i="5"/>
  <c r="H2913" i="5"/>
  <c r="H2912" i="5"/>
  <c r="H2911" i="5"/>
  <c r="H2910" i="5"/>
  <c r="H2909" i="5"/>
  <c r="H2908" i="5"/>
  <c r="H2907" i="5"/>
  <c r="H2906" i="5"/>
  <c r="H2905" i="5"/>
  <c r="H2904" i="5"/>
  <c r="H2903" i="5"/>
  <c r="H2902" i="5"/>
  <c r="H2901" i="5"/>
  <c r="H2900" i="5"/>
  <c r="H2899" i="5"/>
  <c r="H2898" i="5"/>
  <c r="H2897" i="5"/>
  <c r="H2896" i="5"/>
  <c r="H2895" i="5"/>
  <c r="H2894" i="5"/>
  <c r="H2893" i="5"/>
  <c r="H2892" i="5"/>
  <c r="H2891" i="5"/>
  <c r="H2890" i="5"/>
  <c r="H2889" i="5"/>
  <c r="H2888" i="5"/>
  <c r="H2887" i="5"/>
  <c r="H2886" i="5"/>
  <c r="H2885" i="5"/>
  <c r="H2884" i="5"/>
  <c r="H2883" i="5"/>
  <c r="H2882" i="5"/>
  <c r="H2881" i="5"/>
  <c r="H2880" i="5"/>
  <c r="H2879" i="5"/>
  <c r="H2878" i="5"/>
  <c r="H2877" i="5"/>
  <c r="H2876" i="5"/>
  <c r="H2875" i="5"/>
  <c r="H2874" i="5"/>
  <c r="H2873" i="5"/>
  <c r="H2872" i="5"/>
  <c r="H2871" i="5"/>
  <c r="H2870" i="5"/>
  <c r="H2869" i="5"/>
  <c r="H2868" i="5"/>
  <c r="H2867" i="5"/>
  <c r="H2866" i="5"/>
  <c r="H2865" i="5"/>
  <c r="H2864" i="5"/>
  <c r="H2863" i="5"/>
  <c r="H2862" i="5"/>
  <c r="H2861" i="5"/>
  <c r="H2860" i="5"/>
  <c r="H2859" i="5"/>
  <c r="H2858" i="5"/>
  <c r="H2857" i="5"/>
  <c r="H2856" i="5"/>
  <c r="H2855" i="5"/>
  <c r="H2854" i="5"/>
  <c r="H2853" i="5"/>
  <c r="H2852" i="5"/>
  <c r="H2851" i="5"/>
  <c r="H2850" i="5"/>
  <c r="H2849" i="5"/>
  <c r="H2848" i="5"/>
  <c r="H2847" i="5"/>
  <c r="H2846" i="5"/>
  <c r="H2845" i="5"/>
  <c r="H2844" i="5"/>
  <c r="H2843" i="5"/>
  <c r="H2836" i="5"/>
  <c r="H2835" i="5"/>
  <c r="H2834" i="5"/>
  <c r="H2833" i="5"/>
  <c r="H2832" i="5"/>
  <c r="H2831" i="5"/>
  <c r="H2830" i="5"/>
  <c r="H2829" i="5"/>
  <c r="H2828" i="5"/>
  <c r="H2827" i="5"/>
  <c r="H2826" i="5"/>
  <c r="H2825" i="5"/>
  <c r="H2824" i="5"/>
  <c r="H2823" i="5"/>
  <c r="H2822" i="5"/>
  <c r="H2821" i="5"/>
  <c r="H2820" i="5"/>
  <c r="H2819" i="5"/>
  <c r="H2818" i="5"/>
  <c r="H2817" i="5"/>
  <c r="H2816" i="5"/>
  <c r="H2815" i="5"/>
  <c r="H2814" i="5"/>
  <c r="H2813" i="5"/>
  <c r="H2812" i="5"/>
  <c r="H2811" i="5"/>
  <c r="H2810" i="5"/>
  <c r="H2809" i="5"/>
  <c r="H2808" i="5"/>
  <c r="H2807" i="5"/>
  <c r="H2806" i="5"/>
  <c r="H2805" i="5"/>
  <c r="H2804" i="5"/>
  <c r="H2803" i="5"/>
  <c r="H2802" i="5"/>
  <c r="H2801" i="5"/>
  <c r="H2800" i="5"/>
  <c r="H2799" i="5"/>
  <c r="H2798" i="5"/>
  <c r="H2797" i="5"/>
  <c r="H2796" i="5"/>
  <c r="H2795" i="5"/>
  <c r="H2794" i="5"/>
  <c r="H2793" i="5"/>
  <c r="H2792" i="5"/>
  <c r="H2791" i="5"/>
  <c r="H2790" i="5"/>
  <c r="H2789" i="5"/>
  <c r="H2788" i="5"/>
  <c r="H2787" i="5"/>
  <c r="H2786" i="5"/>
  <c r="H2785" i="5"/>
  <c r="H2784" i="5"/>
  <c r="H2783" i="5"/>
  <c r="H2782" i="5"/>
  <c r="H2781" i="5"/>
  <c r="H2780" i="5"/>
  <c r="H2779" i="5"/>
  <c r="H2778" i="5"/>
  <c r="H2777" i="5"/>
  <c r="H2776" i="5"/>
  <c r="H2775" i="5"/>
  <c r="H2774" i="5"/>
  <c r="H2773" i="5"/>
  <c r="H2772" i="5"/>
  <c r="H2771" i="5"/>
  <c r="H2770" i="5"/>
  <c r="H2769" i="5"/>
  <c r="H2768" i="5"/>
  <c r="H2767" i="5"/>
  <c r="H2766" i="5"/>
  <c r="H2765" i="5"/>
  <c r="H2764" i="5"/>
  <c r="H2763" i="5"/>
  <c r="H2762" i="5"/>
  <c r="H2761" i="5"/>
  <c r="H2760" i="5"/>
  <c r="H2759" i="5"/>
  <c r="H2758" i="5"/>
  <c r="H2757" i="5"/>
  <c r="H2756" i="5"/>
  <c r="H2755" i="5"/>
  <c r="H2754" i="5"/>
  <c r="H2753" i="5"/>
  <c r="H2752" i="5"/>
  <c r="H2751" i="5"/>
  <c r="H2750" i="5"/>
  <c r="H2749" i="5"/>
  <c r="H2748" i="5"/>
  <c r="H2747" i="5"/>
  <c r="H2746" i="5"/>
  <c r="H2745" i="5"/>
  <c r="H2744" i="5"/>
  <c r="H2743" i="5"/>
  <c r="H2742" i="5"/>
  <c r="H2741" i="5"/>
  <c r="H2740" i="5"/>
  <c r="H2739" i="5"/>
  <c r="H2738" i="5"/>
  <c r="H2737" i="5"/>
  <c r="H2736" i="5"/>
  <c r="H2735" i="5"/>
  <c r="H2734" i="5"/>
  <c r="H2733" i="5"/>
  <c r="H2732" i="5"/>
  <c r="H2731" i="5"/>
  <c r="H2730" i="5"/>
  <c r="H2729" i="5"/>
  <c r="H2728" i="5"/>
  <c r="H2727" i="5"/>
  <c r="H2726" i="5"/>
  <c r="H2725" i="5"/>
  <c r="H2724" i="5"/>
  <c r="H2723" i="5"/>
  <c r="H2722" i="5"/>
  <c r="H2721" i="5"/>
  <c r="H2720" i="5"/>
  <c r="H2719" i="5"/>
  <c r="H2718" i="5"/>
  <c r="H2717" i="5"/>
  <c r="H2716" i="5"/>
  <c r="H2715" i="5"/>
  <c r="H2714" i="5"/>
  <c r="H2713" i="5"/>
  <c r="H2712" i="5"/>
  <c r="H2711" i="5"/>
  <c r="H2710" i="5"/>
  <c r="H2709" i="5"/>
  <c r="H2708" i="5"/>
  <c r="H2707" i="5"/>
  <c r="H2706" i="5"/>
  <c r="H2705" i="5"/>
  <c r="H2704" i="5"/>
  <c r="H2703" i="5"/>
  <c r="H2702" i="5"/>
  <c r="H2701" i="5"/>
  <c r="H2700" i="5"/>
  <c r="H2699" i="5"/>
  <c r="H2698" i="5"/>
  <c r="H2697" i="5"/>
  <c r="H2696" i="5"/>
  <c r="H2695" i="5"/>
  <c r="H2694" i="5"/>
  <c r="H2693" i="5"/>
  <c r="H2692" i="5"/>
  <c r="H2691" i="5"/>
  <c r="H2690" i="5"/>
  <c r="H2689" i="5"/>
  <c r="H2688" i="5"/>
  <c r="H2687" i="5"/>
  <c r="H2686" i="5"/>
  <c r="H2685" i="5"/>
  <c r="H2684" i="5"/>
  <c r="H2683" i="5"/>
  <c r="H2682" i="5"/>
  <c r="H2681" i="5"/>
  <c r="H2680" i="5"/>
  <c r="H2679" i="5"/>
  <c r="H2678" i="5"/>
  <c r="H2677" i="5"/>
  <c r="H2676" i="5"/>
  <c r="H2675" i="5"/>
  <c r="H2674" i="5"/>
  <c r="H2673" i="5"/>
  <c r="H2672" i="5"/>
  <c r="H2671" i="5"/>
  <c r="H2670" i="5"/>
  <c r="H2669" i="5"/>
  <c r="H2668" i="5"/>
  <c r="H2667" i="5"/>
  <c r="H2666" i="5"/>
  <c r="H2665" i="5"/>
  <c r="H2664" i="5"/>
  <c r="H2663" i="5"/>
  <c r="H2662" i="5"/>
  <c r="H2661" i="5"/>
  <c r="H2660" i="5"/>
  <c r="H2659" i="5"/>
  <c r="H2658" i="5"/>
  <c r="H2657" i="5"/>
  <c r="H2656" i="5"/>
  <c r="H2655" i="5"/>
  <c r="H2654" i="5"/>
  <c r="H2653" i="5"/>
  <c r="H2652" i="5"/>
  <c r="H2651" i="5"/>
  <c r="H2650" i="5"/>
  <c r="H2649" i="5"/>
  <c r="H2648" i="5"/>
  <c r="H2647" i="5"/>
  <c r="H2646" i="5"/>
  <c r="H2645" i="5"/>
  <c r="H2644" i="5"/>
  <c r="H2643" i="5"/>
  <c r="H2642" i="5"/>
  <c r="H2641" i="5"/>
  <c r="H2640" i="5"/>
  <c r="H2639" i="5"/>
  <c r="H2638" i="5"/>
  <c r="H2637" i="5"/>
  <c r="H2636" i="5"/>
  <c r="H2635" i="5"/>
  <c r="H2634" i="5"/>
  <c r="H2633" i="5"/>
  <c r="H2632" i="5"/>
  <c r="H2631" i="5"/>
  <c r="H2630" i="5"/>
  <c r="H2629" i="5"/>
  <c r="H2628" i="5"/>
  <c r="H2627" i="5"/>
  <c r="H2626" i="5"/>
  <c r="H2625" i="5"/>
  <c r="H2624" i="5"/>
  <c r="H2623" i="5"/>
  <c r="H2622" i="5"/>
  <c r="H2621" i="5"/>
  <c r="H2620" i="5"/>
  <c r="H2613" i="5"/>
  <c r="H2612" i="5"/>
  <c r="H2611" i="5"/>
  <c r="H2610" i="5"/>
  <c r="H2609" i="5"/>
  <c r="H2608" i="5"/>
  <c r="H2607" i="5"/>
  <c r="H2606" i="5"/>
  <c r="H2605" i="5"/>
  <c r="H2604" i="5"/>
  <c r="H2603" i="5"/>
  <c r="H2602" i="5"/>
  <c r="H2601" i="5"/>
  <c r="H2600" i="5"/>
  <c r="H2599" i="5"/>
  <c r="H2598" i="5"/>
  <c r="H2597" i="5"/>
  <c r="H2596" i="5"/>
  <c r="H2595" i="5"/>
  <c r="H2594" i="5"/>
  <c r="H2593" i="5"/>
  <c r="H2592" i="5"/>
  <c r="H2591" i="5"/>
  <c r="H2590" i="5"/>
  <c r="H2589" i="5"/>
  <c r="H2588" i="5"/>
  <c r="H2587" i="5"/>
  <c r="H2586" i="5"/>
  <c r="H2585" i="5"/>
  <c r="H2584" i="5"/>
  <c r="H2583" i="5"/>
  <c r="H2582" i="5"/>
  <c r="H2581" i="5"/>
  <c r="H2580" i="5"/>
  <c r="H2579" i="5"/>
  <c r="H2578" i="5"/>
  <c r="H2577" i="5"/>
  <c r="H2576" i="5"/>
  <c r="H2575" i="5"/>
  <c r="H2574" i="5"/>
  <c r="H2573" i="5"/>
  <c r="H2572" i="5"/>
  <c r="H2571" i="5"/>
  <c r="H2570" i="5"/>
  <c r="H2569" i="5"/>
  <c r="H2568" i="5"/>
  <c r="H2567" i="5"/>
  <c r="H2566" i="5"/>
  <c r="H2565" i="5"/>
  <c r="H2564" i="5"/>
  <c r="H2563" i="5"/>
  <c r="H2562" i="5"/>
  <c r="H2561" i="5"/>
  <c r="H2560" i="5"/>
  <c r="H2559" i="5"/>
  <c r="H2558" i="5"/>
  <c r="H2557" i="5"/>
  <c r="H2556" i="5"/>
  <c r="H2555" i="5"/>
  <c r="H2554" i="5"/>
  <c r="H2553" i="5"/>
  <c r="H2552" i="5"/>
  <c r="H2551" i="5"/>
  <c r="H2550" i="5"/>
  <c r="H2549" i="5"/>
  <c r="H2548" i="5"/>
  <c r="H2547" i="5"/>
  <c r="H2546" i="5"/>
  <c r="H2545" i="5"/>
  <c r="H2544" i="5"/>
  <c r="H2543" i="5"/>
  <c r="H2542" i="5"/>
  <c r="H2541" i="5"/>
  <c r="H2540" i="5"/>
  <c r="H2539" i="5"/>
  <c r="H2538" i="5"/>
  <c r="H2537" i="5"/>
  <c r="H2536" i="5"/>
  <c r="H2535" i="5"/>
  <c r="H2534" i="5"/>
  <c r="H2533" i="5"/>
  <c r="H2532" i="5"/>
  <c r="H2531" i="5"/>
  <c r="H2530" i="5"/>
  <c r="H2529" i="5"/>
  <c r="H2528" i="5"/>
  <c r="H2527" i="5"/>
  <c r="H2526" i="5"/>
  <c r="H2525" i="5"/>
  <c r="H2524" i="5"/>
  <c r="H2523" i="5"/>
  <c r="H2522" i="5"/>
  <c r="H2521" i="5"/>
  <c r="H2520" i="5"/>
  <c r="H2519" i="5"/>
  <c r="H2518" i="5"/>
  <c r="H2517" i="5"/>
  <c r="H2516" i="5"/>
  <c r="H2515" i="5"/>
  <c r="H2514" i="5"/>
  <c r="H2513" i="5"/>
  <c r="H2512" i="5"/>
  <c r="H2511" i="5"/>
  <c r="H2510" i="5"/>
  <c r="H2509" i="5"/>
  <c r="H2508" i="5"/>
  <c r="H2507" i="5"/>
  <c r="H2506" i="5"/>
  <c r="H2505" i="5"/>
  <c r="H2504" i="5"/>
  <c r="H2503" i="5"/>
  <c r="H2502" i="5"/>
  <c r="H2501" i="5"/>
  <c r="H2500" i="5"/>
  <c r="H2499" i="5"/>
  <c r="H2498" i="5"/>
  <c r="H2497" i="5"/>
  <c r="H2496" i="5"/>
  <c r="H2495" i="5"/>
  <c r="H2494" i="5"/>
  <c r="H2493" i="5"/>
  <c r="H2492" i="5"/>
  <c r="H2491" i="5"/>
  <c r="H2490" i="5"/>
  <c r="H2489" i="5"/>
  <c r="H2488" i="5"/>
  <c r="H2487" i="5"/>
  <c r="H2486" i="5"/>
  <c r="H2485" i="5"/>
  <c r="H2484" i="5"/>
  <c r="H2483" i="5"/>
  <c r="H2482" i="5"/>
  <c r="H2481" i="5"/>
  <c r="H2480" i="5"/>
  <c r="H2479" i="5"/>
  <c r="H2478" i="5"/>
  <c r="H2477" i="5"/>
  <c r="H2476" i="5"/>
  <c r="H2475" i="5"/>
  <c r="H2474" i="5"/>
  <c r="H2473" i="5"/>
  <c r="H2472" i="5"/>
  <c r="H2471" i="5"/>
  <c r="H2470" i="5"/>
  <c r="H2469" i="5"/>
  <c r="H2468" i="5"/>
  <c r="H2467" i="5"/>
  <c r="H2466" i="5"/>
  <c r="H2465" i="5"/>
  <c r="H2464" i="5"/>
  <c r="H2463" i="5"/>
  <c r="H2462" i="5"/>
  <c r="H2461" i="5"/>
  <c r="H2460" i="5"/>
  <c r="H2459" i="5"/>
  <c r="H2458" i="5"/>
  <c r="H2457" i="5"/>
  <c r="H2456" i="5"/>
  <c r="H2455" i="5"/>
  <c r="H2454" i="5"/>
  <c r="H2453" i="5"/>
  <c r="H2452" i="5"/>
  <c r="H2451" i="5"/>
  <c r="H2450" i="5"/>
  <c r="H2449" i="5"/>
  <c r="H2448" i="5"/>
  <c r="H2447" i="5"/>
  <c r="H2446" i="5"/>
  <c r="H2445" i="5"/>
  <c r="H2444" i="5"/>
  <c r="H2443" i="5"/>
  <c r="H2442" i="5"/>
  <c r="H2441" i="5"/>
  <c r="H2440" i="5"/>
  <c r="H2439" i="5"/>
  <c r="H2438" i="5"/>
  <c r="H2437" i="5"/>
  <c r="H2436" i="5"/>
  <c r="H2435" i="5"/>
  <c r="H2434" i="5"/>
  <c r="H2433" i="5"/>
  <c r="H2432" i="5"/>
  <c r="H2431" i="5"/>
  <c r="H2430" i="5"/>
  <c r="H2429" i="5"/>
  <c r="H2428" i="5"/>
  <c r="H2427" i="5"/>
  <c r="H2426" i="5"/>
  <c r="H2425" i="5"/>
  <c r="H2424" i="5"/>
  <c r="H2423" i="5"/>
  <c r="H2422" i="5"/>
  <c r="H2421" i="5"/>
  <c r="H2420" i="5"/>
  <c r="H2419" i="5"/>
  <c r="H2418" i="5"/>
  <c r="H2417" i="5"/>
  <c r="H2416" i="5"/>
  <c r="H2415" i="5"/>
  <c r="H2414" i="5"/>
  <c r="H2413" i="5"/>
  <c r="H2412" i="5"/>
  <c r="H2411" i="5"/>
  <c r="H2410" i="5"/>
  <c r="H2409" i="5"/>
  <c r="H2408" i="5"/>
  <c r="H2407" i="5"/>
  <c r="H2406" i="5"/>
  <c r="H2405" i="5"/>
  <c r="H2404" i="5"/>
  <c r="H2403" i="5"/>
  <c r="H2402" i="5"/>
  <c r="H2401" i="5"/>
  <c r="H2400" i="5"/>
  <c r="H2399" i="5"/>
  <c r="H2398" i="5"/>
  <c r="H2397" i="5"/>
  <c r="H2371" i="5"/>
  <c r="H2370" i="5"/>
  <c r="H2369" i="5"/>
  <c r="H2368" i="5"/>
  <c r="H2367" i="5"/>
  <c r="H2366" i="5"/>
  <c r="H2365" i="5"/>
  <c r="H2364" i="5"/>
  <c r="H2363" i="5"/>
  <c r="H2362" i="5"/>
  <c r="H2361" i="5"/>
  <c r="H2360" i="5"/>
  <c r="H2359" i="5"/>
  <c r="H2358" i="5"/>
  <c r="H2357" i="5"/>
  <c r="H2356" i="5"/>
  <c r="H2355" i="5"/>
  <c r="H2354" i="5"/>
  <c r="H2353" i="5"/>
  <c r="H2352" i="5"/>
  <c r="H2351" i="5"/>
  <c r="H2350" i="5"/>
  <c r="H2349" i="5"/>
  <c r="H2348" i="5"/>
  <c r="H2347" i="5"/>
  <c r="H2346" i="5"/>
  <c r="H2345" i="5"/>
  <c r="H2344" i="5"/>
  <c r="H2343" i="5"/>
  <c r="H2342" i="5"/>
  <c r="H2341" i="5"/>
  <c r="H2340" i="5"/>
  <c r="H2339" i="5"/>
  <c r="H2338" i="5"/>
  <c r="H2337" i="5"/>
  <c r="H2336" i="5"/>
  <c r="H2335" i="5"/>
  <c r="H2334" i="5"/>
  <c r="H2333" i="5"/>
  <c r="H2332" i="5"/>
  <c r="H2331" i="5"/>
  <c r="H2330" i="5"/>
  <c r="H2329" i="5"/>
  <c r="H2328" i="5"/>
  <c r="H2327" i="5"/>
  <c r="H2326" i="5"/>
  <c r="H2325" i="5"/>
  <c r="H2324" i="5"/>
  <c r="H2323" i="5"/>
  <c r="H2322" i="5"/>
  <c r="H2321" i="5"/>
  <c r="H2320" i="5"/>
  <c r="H2319" i="5"/>
  <c r="H2318" i="5"/>
  <c r="H2317" i="5"/>
  <c r="H2316" i="5"/>
  <c r="H2315" i="5"/>
  <c r="H2314" i="5"/>
  <c r="H2313" i="5"/>
  <c r="H2312" i="5"/>
  <c r="H2311" i="5"/>
  <c r="H2310" i="5"/>
  <c r="H2309" i="5"/>
  <c r="H2308" i="5"/>
  <c r="H2307" i="5"/>
  <c r="H2306" i="5"/>
  <c r="H2305" i="5"/>
  <c r="H2304" i="5"/>
  <c r="H2303" i="5"/>
  <c r="H2302" i="5"/>
  <c r="H2301" i="5"/>
  <c r="H2300" i="5"/>
  <c r="H2299" i="5"/>
  <c r="H2298" i="5"/>
  <c r="H2297" i="5"/>
  <c r="H2296" i="5"/>
  <c r="H2295" i="5"/>
  <c r="H2294" i="5"/>
  <c r="H2293" i="5"/>
  <c r="H2292" i="5"/>
  <c r="H2291" i="5"/>
  <c r="H2290" i="5"/>
  <c r="H2289" i="5"/>
  <c r="H2288" i="5"/>
  <c r="H2287" i="5"/>
  <c r="H2286" i="5"/>
  <c r="H2285" i="5"/>
  <c r="H2284" i="5"/>
  <c r="H2283" i="5"/>
  <c r="H2282" i="5"/>
  <c r="H2281" i="5"/>
  <c r="H2280" i="5"/>
  <c r="H2279" i="5"/>
  <c r="H2278" i="5"/>
  <c r="H2277" i="5"/>
  <c r="H2276" i="5"/>
  <c r="H2275" i="5"/>
  <c r="H2274" i="5"/>
  <c r="H2273" i="5"/>
  <c r="H2272" i="5"/>
  <c r="H2271" i="5"/>
  <c r="H2270" i="5"/>
  <c r="H2269" i="5"/>
  <c r="H2268" i="5"/>
  <c r="H2267" i="5"/>
  <c r="H2266" i="5"/>
  <c r="H2265" i="5"/>
  <c r="H2264" i="5"/>
  <c r="H2263" i="5"/>
  <c r="H2262" i="5"/>
  <c r="H2261" i="5"/>
  <c r="H2260" i="5"/>
  <c r="H2259" i="5"/>
  <c r="H2258" i="5"/>
  <c r="H2257" i="5"/>
  <c r="H2256" i="5"/>
  <c r="H2255" i="5"/>
  <c r="H2254" i="5"/>
  <c r="H2253" i="5"/>
  <c r="H2252" i="5"/>
  <c r="H2251" i="5"/>
  <c r="H2250" i="5"/>
  <c r="H2249" i="5"/>
  <c r="H2248" i="5"/>
  <c r="H2247" i="5"/>
  <c r="H2246" i="5"/>
  <c r="H2245" i="5"/>
  <c r="H2244" i="5"/>
  <c r="H2243" i="5"/>
  <c r="H2242" i="5"/>
  <c r="H2241" i="5"/>
  <c r="H2240" i="5"/>
  <c r="H2239" i="5"/>
  <c r="H2238" i="5"/>
  <c r="H2237" i="5"/>
  <c r="H2236" i="5"/>
  <c r="H2235" i="5"/>
  <c r="H2234" i="5"/>
  <c r="H2233" i="5"/>
  <c r="H2232" i="5"/>
  <c r="H2231" i="5"/>
  <c r="H2230" i="5"/>
  <c r="H2229" i="5"/>
  <c r="H2228" i="5"/>
  <c r="H2227" i="5"/>
  <c r="H2226" i="5"/>
  <c r="H2225" i="5"/>
  <c r="H2224" i="5"/>
  <c r="H2223" i="5"/>
  <c r="H2222" i="5"/>
  <c r="H2221" i="5"/>
  <c r="H2220" i="5"/>
  <c r="H2219" i="5"/>
  <c r="H2218" i="5"/>
  <c r="H2217" i="5"/>
  <c r="H2216" i="5"/>
  <c r="H2215" i="5"/>
  <c r="H2214" i="5"/>
  <c r="H2213" i="5"/>
  <c r="H2212" i="5"/>
  <c r="H2211" i="5"/>
  <c r="H2210" i="5"/>
  <c r="H2209" i="5"/>
  <c r="H2208" i="5"/>
  <c r="H2207" i="5"/>
  <c r="H2206" i="5"/>
  <c r="H2205" i="5"/>
  <c r="H2204" i="5"/>
  <c r="H2203" i="5"/>
  <c r="H2202" i="5"/>
  <c r="H2201" i="5"/>
  <c r="H2200" i="5"/>
  <c r="H2199" i="5"/>
  <c r="H2198" i="5"/>
  <c r="H2197" i="5"/>
  <c r="H2196" i="5"/>
  <c r="H2195" i="5"/>
  <c r="H2194" i="5"/>
  <c r="H2193" i="5"/>
  <c r="H2192" i="5"/>
  <c r="H2191" i="5"/>
  <c r="H2190" i="5"/>
  <c r="H2189" i="5"/>
  <c r="H2188" i="5"/>
  <c r="H2187" i="5"/>
  <c r="H2186" i="5"/>
  <c r="H2185" i="5"/>
  <c r="H2184" i="5"/>
  <c r="H2183" i="5"/>
  <c r="H2182" i="5"/>
  <c r="H2181" i="5"/>
  <c r="H2180" i="5"/>
  <c r="H2179" i="5"/>
  <c r="H2178" i="5"/>
  <c r="H2177" i="5"/>
  <c r="H2176" i="5"/>
  <c r="H2175" i="5"/>
  <c r="H2174" i="5"/>
  <c r="H2173" i="5"/>
  <c r="H2172" i="5"/>
  <c r="H2171" i="5"/>
  <c r="H2170" i="5"/>
  <c r="H2169" i="5"/>
  <c r="H2168" i="5"/>
  <c r="H2167" i="5"/>
  <c r="H2166" i="5"/>
  <c r="H2165" i="5"/>
  <c r="H2164" i="5"/>
  <c r="H2163" i="5"/>
  <c r="H2162" i="5"/>
  <c r="H2161" i="5"/>
  <c r="H2160" i="5"/>
  <c r="H2159" i="5"/>
  <c r="H2158" i="5"/>
  <c r="H2157" i="5"/>
  <c r="H2156" i="5"/>
  <c r="H2155" i="5"/>
  <c r="H2154" i="5"/>
  <c r="H2153" i="5"/>
  <c r="H2152" i="5"/>
  <c r="H2151" i="5"/>
  <c r="H2150" i="5"/>
  <c r="H2149" i="5"/>
  <c r="H2148" i="5"/>
  <c r="H2147" i="5"/>
  <c r="H2146" i="5"/>
  <c r="H2145" i="5"/>
  <c r="H2144" i="5"/>
  <c r="H2143" i="5"/>
  <c r="H2142" i="5"/>
  <c r="H2141" i="5"/>
  <c r="H2140" i="5"/>
  <c r="H2139" i="5"/>
  <c r="H2138" i="5"/>
  <c r="H2137" i="5"/>
  <c r="H2136" i="5"/>
  <c r="H2135" i="5"/>
  <c r="H2134" i="5"/>
  <c r="H2133" i="5"/>
  <c r="H2132" i="5"/>
  <c r="H2131" i="5"/>
  <c r="H2130" i="5"/>
  <c r="H2129" i="5"/>
  <c r="H2128" i="5"/>
  <c r="H2127" i="5"/>
  <c r="H2126" i="5"/>
  <c r="H2125" i="5"/>
  <c r="H2124" i="5"/>
  <c r="H2123" i="5"/>
  <c r="H2122" i="5"/>
  <c r="H2121" i="5"/>
  <c r="H2120" i="5"/>
  <c r="H2119" i="5"/>
  <c r="H2118" i="5"/>
  <c r="H2117" i="5"/>
  <c r="H2116" i="5"/>
  <c r="H2115" i="5"/>
  <c r="H2114" i="5"/>
  <c r="H2113" i="5"/>
  <c r="H2112" i="5"/>
  <c r="H2111" i="5"/>
  <c r="H2110" i="5"/>
  <c r="H2109" i="5"/>
  <c r="H2108" i="5"/>
  <c r="H2107" i="5"/>
  <c r="H2106" i="5"/>
  <c r="H2105" i="5"/>
  <c r="H2104" i="5"/>
  <c r="H2103" i="5"/>
  <c r="H2102" i="5"/>
  <c r="H2101" i="5"/>
  <c r="H2100" i="5"/>
  <c r="H2099" i="5"/>
  <c r="H2098" i="5"/>
  <c r="H2097" i="5"/>
  <c r="H2096" i="5"/>
  <c r="H2095" i="5"/>
  <c r="H2094" i="5"/>
  <c r="H2093" i="5"/>
  <c r="H2092" i="5"/>
  <c r="H2091" i="5"/>
  <c r="H2090" i="5"/>
  <c r="H2089" i="5"/>
  <c r="H2088" i="5"/>
  <c r="H2087" i="5"/>
  <c r="H2086" i="5"/>
  <c r="H2085" i="5"/>
  <c r="H2084" i="5"/>
  <c r="H2083" i="5"/>
  <c r="H2082" i="5"/>
  <c r="H2081" i="5"/>
  <c r="H2080" i="5"/>
  <c r="H2079" i="5"/>
  <c r="H2078" i="5"/>
  <c r="H2077" i="5"/>
  <c r="H2076" i="5"/>
  <c r="H2075" i="5"/>
  <c r="H2074" i="5"/>
  <c r="H2073" i="5"/>
  <c r="H2072" i="5"/>
  <c r="H2071" i="5"/>
  <c r="H2070" i="5"/>
  <c r="H2069" i="5"/>
  <c r="H2068" i="5"/>
  <c r="H2067" i="5"/>
  <c r="H2066" i="5"/>
  <c r="H2065" i="5"/>
  <c r="H2064" i="5"/>
  <c r="H2063" i="5"/>
  <c r="H2062" i="5"/>
  <c r="H2061" i="5"/>
  <c r="H2060" i="5"/>
  <c r="H2059" i="5"/>
  <c r="H2058" i="5"/>
  <c r="H2057" i="5"/>
  <c r="H2056" i="5"/>
  <c r="H2055" i="5"/>
  <c r="H2054" i="5"/>
  <c r="H2053" i="5"/>
  <c r="H2052" i="5"/>
  <c r="H2051" i="5"/>
  <c r="H2050" i="5"/>
  <c r="H2049" i="5"/>
  <c r="H2048" i="5"/>
  <c r="H2047" i="5"/>
  <c r="H2046" i="5"/>
  <c r="H2045" i="5"/>
  <c r="H2044" i="5"/>
  <c r="H2043" i="5"/>
  <c r="H2042" i="5"/>
  <c r="H2041" i="5"/>
  <c r="H2040" i="5"/>
  <c r="H2039" i="5"/>
  <c r="H2038" i="5"/>
  <c r="H2037" i="5"/>
  <c r="H2036" i="5"/>
  <c r="H2035" i="5"/>
  <c r="H2034" i="5"/>
  <c r="H2033" i="5"/>
  <c r="H2032" i="5"/>
  <c r="H2031" i="5"/>
  <c r="H2030" i="5"/>
  <c r="H2029" i="5"/>
  <c r="H2028" i="5"/>
  <c r="H2027" i="5"/>
  <c r="H2026" i="5"/>
  <c r="H2025" i="5"/>
  <c r="H2024" i="5"/>
  <c r="H2023" i="5"/>
  <c r="H2022" i="5"/>
  <c r="H2021" i="5"/>
  <c r="H2020" i="5"/>
  <c r="H2019" i="5"/>
  <c r="H2018" i="5"/>
  <c r="H2017" i="5"/>
  <c r="H2016" i="5"/>
  <c r="H2015" i="5"/>
  <c r="H2014" i="5"/>
  <c r="H2013" i="5"/>
  <c r="H2012" i="5"/>
  <c r="H2011" i="5"/>
  <c r="H2010" i="5"/>
  <c r="H2009" i="5"/>
  <c r="H2008" i="5"/>
  <c r="H2007" i="5"/>
  <c r="H2006" i="5"/>
  <c r="H2005" i="5"/>
  <c r="H2004" i="5"/>
  <c r="H2003" i="5"/>
  <c r="H2002" i="5"/>
  <c r="H2001" i="5"/>
  <c r="H2000" i="5"/>
  <c r="H1999" i="5"/>
  <c r="H1998" i="5"/>
  <c r="H1997" i="5"/>
  <c r="H1996" i="5"/>
  <c r="H1995" i="5"/>
  <c r="H1994" i="5"/>
  <c r="H1993" i="5"/>
  <c r="H1992" i="5"/>
  <c r="H1991" i="5"/>
  <c r="H1990" i="5"/>
  <c r="H1989" i="5"/>
  <c r="H1943" i="5"/>
  <c r="H1942" i="5"/>
  <c r="H1941" i="5"/>
  <c r="H1940" i="5"/>
  <c r="H1939" i="5"/>
  <c r="H1938" i="5"/>
  <c r="H1937" i="5"/>
  <c r="H1936" i="5"/>
  <c r="H1935" i="5"/>
  <c r="H1934" i="5"/>
  <c r="H1933" i="5"/>
  <c r="H1932" i="5"/>
  <c r="H1931" i="5"/>
  <c r="H1930" i="5"/>
  <c r="H1929" i="5"/>
  <c r="H1928" i="5"/>
  <c r="H1927" i="5"/>
  <c r="H1926" i="5"/>
  <c r="H1925" i="5"/>
  <c r="H1924" i="5"/>
  <c r="H1923" i="5"/>
  <c r="H1922" i="5"/>
  <c r="H1921" i="5"/>
  <c r="H1920" i="5"/>
  <c r="H1919" i="5"/>
  <c r="H1918" i="5"/>
  <c r="H1917" i="5"/>
  <c r="H1916" i="5"/>
  <c r="H1915" i="5"/>
  <c r="H1914" i="5"/>
  <c r="H1913" i="5"/>
  <c r="H1912" i="5"/>
  <c r="H1911" i="5"/>
  <c r="H1910" i="5"/>
  <c r="H1909" i="5"/>
  <c r="H1908" i="5"/>
  <c r="H1907" i="5"/>
  <c r="H1906" i="5"/>
  <c r="H1905" i="5"/>
  <c r="H1904" i="5"/>
  <c r="H1903" i="5"/>
  <c r="H1902" i="5"/>
  <c r="H1901" i="5"/>
  <c r="H1900" i="5"/>
  <c r="H1899" i="5"/>
  <c r="H1898" i="5"/>
  <c r="H1897" i="5"/>
  <c r="H1896" i="5"/>
  <c r="H1895" i="5"/>
  <c r="H1894" i="5"/>
  <c r="H1893" i="5"/>
  <c r="H1892" i="5"/>
  <c r="H1891" i="5"/>
  <c r="H1890" i="5"/>
  <c r="H1889" i="5"/>
  <c r="H1888" i="5"/>
  <c r="H1887" i="5"/>
  <c r="H1886" i="5"/>
  <c r="H1885" i="5"/>
  <c r="H1884" i="5"/>
  <c r="H1883" i="5"/>
  <c r="H1882" i="5"/>
  <c r="H1881" i="5"/>
  <c r="H1880" i="5"/>
  <c r="H1879" i="5"/>
  <c r="H1878" i="5"/>
  <c r="H1877" i="5"/>
  <c r="H1876" i="5"/>
  <c r="H1875" i="5"/>
  <c r="H1874" i="5"/>
  <c r="H1873" i="5"/>
  <c r="H1872" i="5"/>
  <c r="H1871" i="5"/>
  <c r="H1870" i="5"/>
  <c r="H1869" i="5"/>
  <c r="H1868" i="5"/>
  <c r="H1867" i="5"/>
  <c r="H1866" i="5"/>
  <c r="H1865" i="5"/>
  <c r="H1864" i="5"/>
  <c r="H1863" i="5"/>
  <c r="H1862" i="5"/>
  <c r="H1861" i="5"/>
  <c r="H1860" i="5"/>
  <c r="H1859" i="5"/>
  <c r="H1858" i="5"/>
  <c r="H1857" i="5"/>
  <c r="H1856" i="5"/>
  <c r="H1855" i="5"/>
  <c r="H1854" i="5"/>
  <c r="H1853" i="5"/>
  <c r="H1852" i="5"/>
  <c r="H1851" i="5"/>
  <c r="H1850" i="5"/>
  <c r="H1849" i="5"/>
  <c r="H1848" i="5"/>
  <c r="H1847" i="5"/>
  <c r="H1846" i="5"/>
  <c r="H1845" i="5"/>
  <c r="H1844" i="5"/>
  <c r="H1843" i="5"/>
  <c r="H1842" i="5"/>
  <c r="H1841" i="5"/>
  <c r="H1840" i="5"/>
  <c r="H1839" i="5"/>
  <c r="H1838" i="5"/>
  <c r="H1837" i="5"/>
  <c r="H1836" i="5"/>
  <c r="H1835" i="5"/>
  <c r="H1834" i="5"/>
  <c r="H1833" i="5"/>
  <c r="H1832" i="5"/>
  <c r="H1831" i="5"/>
  <c r="H1830" i="5"/>
  <c r="H1829" i="5"/>
  <c r="H1828" i="5"/>
  <c r="H1827" i="5"/>
  <c r="H1826" i="5"/>
  <c r="H1825" i="5"/>
  <c r="H1824" i="5"/>
  <c r="H1823" i="5"/>
  <c r="H1822" i="5"/>
  <c r="H1821" i="5"/>
  <c r="H1820" i="5"/>
  <c r="H1819" i="5"/>
  <c r="H1818" i="5"/>
  <c r="H1817" i="5"/>
  <c r="H1816" i="5"/>
  <c r="H1815" i="5"/>
  <c r="H1814" i="5"/>
  <c r="H1813" i="5"/>
  <c r="H1812" i="5"/>
  <c r="H1811" i="5"/>
  <c r="H1810" i="5"/>
  <c r="H1809" i="5"/>
  <c r="H1808" i="5"/>
  <c r="H1807" i="5"/>
  <c r="H1806" i="5"/>
  <c r="H1805" i="5"/>
  <c r="H1804" i="5"/>
  <c r="H1803" i="5"/>
  <c r="H1802" i="5"/>
  <c r="H1801" i="5"/>
  <c r="H1800" i="5"/>
  <c r="H1799" i="5"/>
  <c r="H1798" i="5"/>
  <c r="H1797" i="5"/>
  <c r="H1796" i="5"/>
  <c r="H1795" i="5"/>
  <c r="H1794" i="5"/>
  <c r="H1793" i="5"/>
  <c r="H1792" i="5"/>
  <c r="H1791" i="5"/>
  <c r="H1790" i="5"/>
  <c r="H1789" i="5"/>
  <c r="H1788" i="5"/>
  <c r="H1787" i="5"/>
  <c r="H1786" i="5"/>
  <c r="H1785" i="5"/>
  <c r="H1784" i="5"/>
  <c r="H1783" i="5"/>
  <c r="H1782" i="5"/>
  <c r="H1781" i="5"/>
  <c r="H1780" i="5"/>
  <c r="H1779" i="5"/>
  <c r="H1778" i="5"/>
  <c r="H1777" i="5"/>
  <c r="H1776" i="5"/>
  <c r="H1775" i="5"/>
  <c r="H1774" i="5"/>
  <c r="H1773" i="5"/>
  <c r="H1772" i="5"/>
  <c r="H1771" i="5"/>
  <c r="H1770" i="5"/>
  <c r="H1769" i="5"/>
  <c r="H1768" i="5"/>
  <c r="H1767" i="5"/>
  <c r="H1766" i="5"/>
  <c r="H1765" i="5"/>
  <c r="H1764" i="5"/>
  <c r="H1763" i="5"/>
  <c r="H1762" i="5"/>
  <c r="H1761" i="5"/>
  <c r="H1760" i="5"/>
  <c r="H1759" i="5"/>
  <c r="H1758" i="5"/>
  <c r="H1757" i="5"/>
  <c r="H1756" i="5"/>
  <c r="H1755" i="5"/>
  <c r="H1754" i="5"/>
  <c r="H1753" i="5"/>
  <c r="H1752" i="5"/>
  <c r="H1751" i="5"/>
  <c r="H1750" i="5"/>
  <c r="H1749" i="5"/>
  <c r="H1748" i="5"/>
  <c r="H1747" i="5"/>
  <c r="H1746" i="5"/>
  <c r="H1745" i="5"/>
  <c r="H1744" i="5"/>
  <c r="H1743" i="5"/>
  <c r="H1742" i="5"/>
  <c r="H1741" i="5"/>
  <c r="H1740" i="5"/>
  <c r="H1739" i="5"/>
  <c r="H1738" i="5"/>
  <c r="H1737" i="5"/>
  <c r="H1736" i="5"/>
  <c r="H1735" i="5"/>
  <c r="H1734" i="5"/>
  <c r="H1733" i="5"/>
  <c r="H1732" i="5"/>
  <c r="H1731" i="5"/>
  <c r="H1730" i="5"/>
  <c r="H1729" i="5"/>
  <c r="H1728" i="5"/>
  <c r="H1727" i="5"/>
  <c r="H1726" i="5"/>
  <c r="H1725" i="5"/>
  <c r="H1724" i="5"/>
  <c r="H1723" i="5"/>
  <c r="H1722" i="5"/>
  <c r="H1721" i="5"/>
  <c r="H1720" i="5"/>
  <c r="H1719" i="5"/>
  <c r="H1718" i="5"/>
  <c r="H1717" i="5"/>
  <c r="H1716" i="5"/>
  <c r="H1715" i="5"/>
  <c r="H1714" i="5"/>
  <c r="H1713" i="5"/>
  <c r="H1712" i="5"/>
  <c r="H1711" i="5"/>
  <c r="H1710" i="5"/>
  <c r="H1709" i="5"/>
  <c r="H1708" i="5"/>
  <c r="H1707" i="5"/>
  <c r="H1706" i="5"/>
  <c r="H1705" i="5"/>
  <c r="H1704" i="5"/>
  <c r="H1703" i="5"/>
  <c r="H1702" i="5"/>
  <c r="H1701" i="5"/>
  <c r="H1700" i="5"/>
  <c r="H1699" i="5"/>
  <c r="H1698" i="5"/>
  <c r="H1697" i="5"/>
  <c r="H1696" i="5"/>
  <c r="H1695" i="5"/>
  <c r="H1694" i="5"/>
  <c r="H1693" i="5"/>
  <c r="H1692" i="5"/>
  <c r="H1691" i="5"/>
  <c r="H1690" i="5"/>
  <c r="H1689" i="5"/>
  <c r="H1688" i="5"/>
  <c r="H1687" i="5"/>
  <c r="H1686" i="5"/>
  <c r="H1685" i="5"/>
  <c r="H1684" i="5"/>
  <c r="H1683" i="5"/>
  <c r="H1682" i="5"/>
  <c r="H1681" i="5"/>
  <c r="H1680" i="5"/>
  <c r="H1679" i="5"/>
  <c r="H1678" i="5"/>
  <c r="H1677" i="5"/>
  <c r="H1676" i="5"/>
  <c r="H1675" i="5"/>
  <c r="H1674" i="5"/>
  <c r="H1673" i="5"/>
  <c r="H1672" i="5"/>
  <c r="H1671" i="5"/>
  <c r="H1670" i="5"/>
  <c r="H1669" i="5"/>
  <c r="H1668" i="5"/>
  <c r="H1667" i="5"/>
  <c r="H1666" i="5"/>
  <c r="H1665" i="5"/>
  <c r="H1664" i="5"/>
  <c r="H1663" i="5"/>
  <c r="H1662" i="5"/>
  <c r="H1661" i="5"/>
  <c r="H1660" i="5"/>
  <c r="H1659" i="5"/>
  <c r="H1658" i="5"/>
  <c r="H1657" i="5"/>
  <c r="H1656" i="5"/>
  <c r="H1655" i="5"/>
  <c r="H1654" i="5"/>
  <c r="H1653" i="5"/>
  <c r="H1652" i="5"/>
  <c r="H1651" i="5"/>
  <c r="H1650" i="5"/>
  <c r="H1649" i="5"/>
  <c r="H1648" i="5"/>
  <c r="H1647" i="5"/>
  <c r="H1646" i="5"/>
  <c r="H1645" i="5"/>
  <c r="H1644" i="5"/>
  <c r="H1643" i="5"/>
  <c r="H1642" i="5"/>
  <c r="H1641" i="5"/>
  <c r="H1640" i="5"/>
  <c r="H1639" i="5"/>
  <c r="H1638" i="5"/>
  <c r="H1637" i="5"/>
  <c r="H1636" i="5"/>
  <c r="H1635" i="5"/>
  <c r="H1634" i="5"/>
  <c r="H1633" i="5"/>
  <c r="H1632" i="5"/>
  <c r="H1631" i="5"/>
  <c r="H1630" i="5"/>
  <c r="H1629" i="5"/>
  <c r="H1628" i="5"/>
  <c r="H1627" i="5"/>
  <c r="H1626" i="5"/>
  <c r="H1625" i="5"/>
  <c r="H1624" i="5"/>
  <c r="H1623" i="5"/>
  <c r="H1622" i="5"/>
  <c r="H1621" i="5"/>
  <c r="H1620" i="5"/>
  <c r="H1619" i="5"/>
  <c r="H1618" i="5"/>
  <c r="H1617" i="5"/>
  <c r="H1616" i="5"/>
  <c r="H1615" i="5"/>
  <c r="H1614" i="5"/>
  <c r="H1613" i="5"/>
  <c r="H1612" i="5"/>
  <c r="H1611" i="5"/>
  <c r="H1610" i="5"/>
  <c r="H1609" i="5"/>
  <c r="H1608" i="5"/>
  <c r="H1607" i="5"/>
  <c r="H1606" i="5"/>
  <c r="H1605" i="5"/>
  <c r="H1604" i="5"/>
  <c r="H1603" i="5"/>
  <c r="H1602" i="5"/>
  <c r="H1601" i="5"/>
  <c r="H1600" i="5"/>
  <c r="H1599" i="5"/>
  <c r="H1598" i="5"/>
  <c r="H1597" i="5"/>
  <c r="H1596" i="5"/>
  <c r="H1595" i="5"/>
  <c r="H1594" i="5"/>
  <c r="H1593" i="5"/>
  <c r="H1592" i="5"/>
  <c r="H1591" i="5"/>
  <c r="H1590" i="5"/>
  <c r="H1589" i="5"/>
  <c r="H1588" i="5"/>
  <c r="H1587" i="5"/>
  <c r="H1586" i="5"/>
  <c r="H1585" i="5"/>
  <c r="H1584" i="5"/>
  <c r="H1583" i="5"/>
  <c r="H1582" i="5"/>
  <c r="H1581" i="5"/>
  <c r="H1580" i="5"/>
  <c r="H1579" i="5"/>
  <c r="H1578" i="5"/>
  <c r="H1577" i="5"/>
  <c r="H1576" i="5"/>
  <c r="H1575" i="5"/>
  <c r="H1574" i="5"/>
  <c r="H1573" i="5"/>
  <c r="H1571" i="5"/>
  <c r="H1570" i="5"/>
  <c r="H1569" i="5"/>
  <c r="H1568" i="5"/>
  <c r="H1567" i="5"/>
  <c r="H1566" i="5"/>
  <c r="H1565" i="5"/>
  <c r="H1564" i="5"/>
  <c r="H1563" i="5"/>
  <c r="H1562" i="5"/>
  <c r="H1561" i="5"/>
  <c r="H1560" i="5"/>
  <c r="H1512" i="5"/>
  <c r="H1511" i="5"/>
  <c r="H1510" i="5"/>
  <c r="H1509" i="5"/>
  <c r="H1508" i="5"/>
  <c r="H1507" i="5"/>
  <c r="H1506" i="5"/>
  <c r="H1505" i="5"/>
  <c r="H1504" i="5"/>
  <c r="H1503" i="5"/>
  <c r="H1502" i="5"/>
  <c r="H1501" i="5"/>
  <c r="H1500" i="5"/>
  <c r="H1499" i="5"/>
  <c r="H1498" i="5"/>
  <c r="H1497" i="5"/>
  <c r="H1496" i="5"/>
  <c r="H1495" i="5"/>
  <c r="H1494" i="5"/>
  <c r="H1493" i="5"/>
  <c r="H1492" i="5"/>
  <c r="H1491" i="5"/>
  <c r="H1490" i="5"/>
  <c r="H1489" i="5"/>
  <c r="H1488" i="5"/>
  <c r="H1487" i="5"/>
  <c r="H1486" i="5"/>
  <c r="H1485" i="5"/>
  <c r="H1484" i="5"/>
  <c r="H1483" i="5"/>
  <c r="H1482" i="5"/>
  <c r="H1481" i="5"/>
  <c r="H1480" i="5"/>
  <c r="H1479" i="5"/>
  <c r="H1478" i="5"/>
  <c r="H1477" i="5"/>
  <c r="H1476" i="5"/>
  <c r="H1475" i="5"/>
  <c r="H1474" i="5"/>
  <c r="H1473" i="5"/>
  <c r="H1472" i="5"/>
  <c r="H1471" i="5"/>
  <c r="H1470" i="5"/>
  <c r="H1469" i="5"/>
  <c r="H1468" i="5"/>
  <c r="H1467" i="5"/>
  <c r="H1466" i="5"/>
  <c r="H1465" i="5"/>
  <c r="H1464" i="5"/>
  <c r="H1463" i="5"/>
  <c r="H1462" i="5"/>
  <c r="H1461" i="5"/>
  <c r="H1460" i="5"/>
  <c r="H1459" i="5"/>
  <c r="H1458" i="5"/>
  <c r="H1457" i="5"/>
  <c r="H1456" i="5"/>
  <c r="H1455" i="5"/>
  <c r="H1454" i="5"/>
  <c r="H1453" i="5"/>
  <c r="H1452" i="5"/>
  <c r="H1451" i="5"/>
  <c r="H1450" i="5"/>
  <c r="H1449" i="5"/>
  <c r="H1448" i="5"/>
  <c r="H1447" i="5"/>
  <c r="H1446" i="5"/>
  <c r="H1445" i="5"/>
  <c r="H1444" i="5"/>
  <c r="H1443" i="5"/>
  <c r="H1442" i="5"/>
  <c r="H1441" i="5"/>
  <c r="H1440" i="5"/>
  <c r="H1439" i="5"/>
  <c r="H1438" i="5"/>
  <c r="H1437" i="5"/>
  <c r="H1436" i="5"/>
  <c r="H1435" i="5"/>
  <c r="H1434" i="5"/>
  <c r="H1433" i="5"/>
  <c r="H1432" i="5"/>
  <c r="H1431" i="5"/>
  <c r="H1430" i="5"/>
  <c r="H1429" i="5"/>
  <c r="H1428" i="5"/>
  <c r="H1427" i="5"/>
  <c r="H1426" i="5"/>
  <c r="H1425" i="5"/>
  <c r="H1424" i="5"/>
  <c r="H1423" i="5"/>
  <c r="H1422" i="5"/>
  <c r="H1421" i="5"/>
  <c r="H1420" i="5"/>
  <c r="H1419" i="5"/>
  <c r="H1418" i="5"/>
  <c r="H1417" i="5"/>
  <c r="H1416" i="5"/>
  <c r="H1415" i="5"/>
  <c r="H1414" i="5"/>
  <c r="H1413" i="5"/>
  <c r="H1412" i="5"/>
  <c r="H1411" i="5"/>
  <c r="H1410" i="5"/>
  <c r="H1409" i="5"/>
  <c r="H1408" i="5"/>
  <c r="H1407" i="5"/>
  <c r="H1406" i="5"/>
  <c r="H1405" i="5"/>
  <c r="H1404" i="5"/>
  <c r="H1403" i="5"/>
  <c r="H1402" i="5"/>
  <c r="H1401" i="5"/>
  <c r="H1400" i="5"/>
  <c r="H1399" i="5"/>
  <c r="H1398" i="5"/>
  <c r="H1397" i="5"/>
  <c r="H1396" i="5"/>
  <c r="H1395" i="5"/>
  <c r="H1394" i="5"/>
  <c r="H1393" i="5"/>
  <c r="H1392" i="5"/>
  <c r="H1391" i="5"/>
  <c r="H1390" i="5"/>
  <c r="H1389" i="5"/>
  <c r="H1388" i="5"/>
  <c r="H1387" i="5"/>
  <c r="H1386" i="5"/>
  <c r="H1385" i="5"/>
  <c r="H1384" i="5"/>
  <c r="H1383" i="5"/>
  <c r="H1382" i="5"/>
  <c r="H1381" i="5"/>
  <c r="H1380" i="5"/>
  <c r="H1379" i="5"/>
  <c r="H1378" i="5"/>
  <c r="H1377" i="5"/>
  <c r="H1376" i="5"/>
  <c r="H1375" i="5"/>
  <c r="H1374" i="5"/>
  <c r="H1373" i="5"/>
  <c r="H1372" i="5"/>
  <c r="H1371" i="5"/>
  <c r="H1370" i="5"/>
  <c r="H1369" i="5"/>
  <c r="H1368" i="5"/>
  <c r="H1367" i="5"/>
  <c r="H1366" i="5"/>
  <c r="H1365" i="5"/>
  <c r="H1364" i="5"/>
  <c r="H1363" i="5"/>
  <c r="H1362" i="5"/>
  <c r="H1361" i="5"/>
  <c r="H1360" i="5"/>
  <c r="H1359" i="5"/>
  <c r="H1358" i="5"/>
  <c r="H1357" i="5"/>
  <c r="H1356" i="5"/>
  <c r="H1355" i="5"/>
  <c r="H1354" i="5"/>
  <c r="H1353" i="5"/>
  <c r="H1352" i="5"/>
  <c r="H1351" i="5"/>
  <c r="H1350" i="5"/>
  <c r="H1349" i="5"/>
  <c r="H1348" i="5"/>
  <c r="H1347" i="5"/>
  <c r="H1346" i="5"/>
  <c r="H1345" i="5"/>
  <c r="H1344" i="5"/>
  <c r="H1343" i="5"/>
  <c r="H1342" i="5"/>
  <c r="H1341" i="5"/>
  <c r="H1340" i="5"/>
  <c r="H1339" i="5"/>
  <c r="H1338" i="5"/>
  <c r="H1337" i="5"/>
  <c r="H1336" i="5"/>
  <c r="H1335" i="5"/>
  <c r="H1334" i="5"/>
  <c r="H1333" i="5"/>
  <c r="H1332" i="5"/>
  <c r="H1331" i="5"/>
  <c r="H1330" i="5"/>
  <c r="H1329" i="5"/>
  <c r="H1328" i="5"/>
  <c r="H1327" i="5"/>
  <c r="H1326" i="5"/>
  <c r="H1325" i="5"/>
  <c r="H1324" i="5"/>
  <c r="H1323" i="5"/>
  <c r="H1322" i="5"/>
  <c r="H1321" i="5"/>
  <c r="H1320" i="5"/>
  <c r="H1319" i="5"/>
  <c r="H1318" i="5"/>
  <c r="H1317" i="5"/>
  <c r="H1316" i="5"/>
  <c r="H1315" i="5"/>
  <c r="H1314" i="5"/>
  <c r="H1313" i="5"/>
  <c r="H1312" i="5"/>
  <c r="H1311" i="5"/>
  <c r="H1310" i="5"/>
  <c r="H1309" i="5"/>
  <c r="H1308" i="5"/>
  <c r="H1307" i="5"/>
  <c r="H1306" i="5"/>
  <c r="H1305" i="5"/>
  <c r="H1304" i="5"/>
  <c r="H1303" i="5"/>
  <c r="H1302" i="5"/>
  <c r="H1301" i="5"/>
  <c r="H1300" i="5"/>
  <c r="H1299" i="5"/>
  <c r="H1298" i="5"/>
  <c r="H1297" i="5"/>
  <c r="H1296" i="5"/>
  <c r="H1295" i="5"/>
  <c r="H1294" i="5"/>
  <c r="H1293" i="5"/>
  <c r="H1292" i="5"/>
  <c r="H1291" i="5"/>
  <c r="H1290" i="5"/>
  <c r="H1289" i="5"/>
  <c r="H1288" i="5"/>
  <c r="H1287" i="5"/>
  <c r="H1286" i="5"/>
  <c r="H1285" i="5"/>
  <c r="H1284" i="5"/>
  <c r="H1283" i="5"/>
  <c r="H1282" i="5"/>
  <c r="H1281" i="5"/>
  <c r="H1280" i="5"/>
  <c r="H1279" i="5"/>
  <c r="H1278" i="5"/>
  <c r="H1277" i="5"/>
  <c r="H1276" i="5"/>
  <c r="H1275" i="5"/>
  <c r="H1274" i="5"/>
  <c r="H1273" i="5"/>
  <c r="H1272" i="5"/>
  <c r="H1271" i="5"/>
  <c r="H1270" i="5"/>
  <c r="H1269" i="5"/>
  <c r="H1268" i="5"/>
  <c r="H1267" i="5"/>
  <c r="H1266" i="5"/>
  <c r="H1265" i="5"/>
  <c r="H1264" i="5"/>
  <c r="H1263" i="5"/>
  <c r="H1262" i="5"/>
  <c r="H1261" i="5"/>
  <c r="H1260" i="5"/>
  <c r="H1259" i="5"/>
  <c r="H1258" i="5"/>
  <c r="H1257" i="5"/>
  <c r="H1256" i="5"/>
  <c r="H1255" i="5"/>
  <c r="H1254" i="5"/>
  <c r="H1253" i="5"/>
  <c r="H1252" i="5"/>
  <c r="H1251" i="5"/>
  <c r="H1250" i="5"/>
  <c r="H1249" i="5"/>
  <c r="H1248" i="5"/>
  <c r="H1247" i="5"/>
  <c r="H1246" i="5"/>
  <c r="H1245" i="5"/>
  <c r="H1244" i="5"/>
  <c r="H1243" i="5"/>
  <c r="H1242" i="5"/>
  <c r="H1241" i="5"/>
  <c r="H1240" i="5"/>
  <c r="H1239" i="5"/>
  <c r="H1238" i="5"/>
  <c r="H1237" i="5"/>
  <c r="H1236" i="5"/>
  <c r="H1235" i="5"/>
  <c r="H1234" i="5"/>
  <c r="H1233" i="5"/>
  <c r="H1232" i="5"/>
  <c r="H1231" i="5"/>
  <c r="H1230" i="5"/>
  <c r="H1229" i="5"/>
  <c r="H1228" i="5"/>
  <c r="H1227" i="5"/>
  <c r="H1226" i="5"/>
  <c r="H1225" i="5"/>
  <c r="H1224" i="5"/>
  <c r="H1223" i="5"/>
  <c r="H1222" i="5"/>
  <c r="H1221" i="5"/>
  <c r="H1220" i="5"/>
  <c r="H1219" i="5"/>
  <c r="H1218" i="5"/>
  <c r="H1217" i="5"/>
  <c r="H1216" i="5"/>
  <c r="H1215" i="5"/>
  <c r="H1214" i="5"/>
  <c r="H1213" i="5"/>
  <c r="H1212" i="5"/>
  <c r="H1211" i="5"/>
  <c r="H1210" i="5"/>
  <c r="H1209" i="5"/>
  <c r="H1208" i="5"/>
  <c r="H1207" i="5"/>
  <c r="H1206" i="5"/>
  <c r="H1205" i="5"/>
  <c r="H1204" i="5"/>
  <c r="H1203" i="5"/>
  <c r="H1202" i="5"/>
  <c r="H1201" i="5"/>
  <c r="H1200" i="5"/>
  <c r="H1199" i="5"/>
  <c r="H1198" i="5"/>
  <c r="H1197" i="5"/>
  <c r="H1196" i="5"/>
  <c r="H1195" i="5"/>
  <c r="H1194" i="5"/>
  <c r="H1193" i="5"/>
  <c r="H1192" i="5"/>
  <c r="H1191" i="5"/>
  <c r="H1190" i="5"/>
  <c r="H1189" i="5"/>
  <c r="H1188" i="5"/>
  <c r="H1187" i="5"/>
  <c r="H1186" i="5"/>
  <c r="H1185" i="5"/>
  <c r="H1184" i="5"/>
  <c r="H1183" i="5"/>
  <c r="H1182" i="5"/>
  <c r="H1181" i="5"/>
  <c r="H1180" i="5"/>
  <c r="H1179" i="5"/>
  <c r="H1178" i="5"/>
  <c r="H1177" i="5"/>
  <c r="H1176" i="5"/>
  <c r="H1175" i="5"/>
  <c r="H1174" i="5"/>
  <c r="H1173" i="5"/>
  <c r="H1172" i="5"/>
  <c r="H1171" i="5"/>
  <c r="H1170" i="5"/>
  <c r="H1169" i="5"/>
  <c r="H1168" i="5"/>
  <c r="H1167" i="5"/>
  <c r="H1166" i="5"/>
  <c r="H1165" i="5"/>
  <c r="H1164" i="5"/>
  <c r="H1163" i="5"/>
  <c r="H1162" i="5"/>
  <c r="H1161" i="5"/>
  <c r="H1160" i="5"/>
  <c r="H1159" i="5"/>
  <c r="H1158" i="5"/>
  <c r="H1157" i="5"/>
  <c r="H1156" i="5"/>
  <c r="H1155" i="5"/>
  <c r="H1154" i="5"/>
  <c r="H1153" i="5"/>
  <c r="H1152" i="5"/>
  <c r="H1151" i="5"/>
  <c r="H1150" i="5"/>
  <c r="H1149" i="5"/>
  <c r="H1148" i="5"/>
  <c r="H1147" i="5"/>
  <c r="H1146" i="5"/>
  <c r="H1145" i="5"/>
  <c r="H1144" i="5"/>
  <c r="H1143" i="5"/>
  <c r="H1142" i="5"/>
  <c r="H1141" i="5"/>
  <c r="H1140" i="5"/>
  <c r="H1139" i="5"/>
  <c r="H1138" i="5"/>
  <c r="H1137" i="5"/>
  <c r="H1136" i="5"/>
  <c r="H1135" i="5"/>
  <c r="H1134" i="5"/>
  <c r="H1133" i="5"/>
  <c r="H1132" i="5"/>
  <c r="H1131" i="5"/>
  <c r="H1130" i="5"/>
  <c r="H1129" i="5"/>
  <c r="H1083" i="5"/>
  <c r="H1082" i="5"/>
  <c r="H1081" i="5"/>
  <c r="H1080" i="5"/>
  <c r="H1079" i="5"/>
  <c r="H1078" i="5"/>
  <c r="H1077" i="5"/>
  <c r="H1076" i="5"/>
  <c r="H1075" i="5"/>
  <c r="H1074" i="5"/>
  <c r="H1073" i="5"/>
  <c r="H1072" i="5"/>
  <c r="H1071" i="5"/>
  <c r="H1070" i="5"/>
  <c r="H1069" i="5"/>
  <c r="H1068" i="5"/>
  <c r="H1067" i="5"/>
  <c r="H1066" i="5"/>
  <c r="H1065" i="5"/>
  <c r="H1064" i="5"/>
  <c r="H1063" i="5"/>
  <c r="H1062" i="5"/>
  <c r="H1061" i="5"/>
  <c r="H1060" i="5"/>
  <c r="H1059" i="5"/>
  <c r="H1058" i="5"/>
  <c r="H1057" i="5"/>
  <c r="H1056" i="5"/>
  <c r="H1055" i="5"/>
  <c r="H1054" i="5"/>
  <c r="H1053" i="5"/>
  <c r="H1052" i="5"/>
  <c r="H1051" i="5"/>
  <c r="H1050" i="5"/>
  <c r="H1049" i="5"/>
  <c r="H1048" i="5"/>
  <c r="H1047" i="5"/>
  <c r="H1046" i="5"/>
  <c r="H1045" i="5"/>
  <c r="H1044" i="5"/>
  <c r="H1043" i="5"/>
  <c r="H1042" i="5"/>
  <c r="H1041" i="5"/>
  <c r="H1040" i="5"/>
  <c r="H1039" i="5"/>
  <c r="H1038" i="5"/>
  <c r="H1037" i="5"/>
  <c r="H1036" i="5"/>
  <c r="H1035" i="5"/>
  <c r="H1034" i="5"/>
  <c r="H1033" i="5"/>
  <c r="H1032" i="5"/>
  <c r="H1031" i="5"/>
  <c r="H1030" i="5"/>
  <c r="H1029" i="5"/>
  <c r="H1028" i="5"/>
  <c r="H1027" i="5"/>
  <c r="H1026" i="5"/>
  <c r="H1025" i="5"/>
  <c r="H1024" i="5"/>
  <c r="H1023" i="5"/>
  <c r="H1022" i="5"/>
  <c r="H1021" i="5"/>
  <c r="H1020" i="5"/>
  <c r="H1019" i="5"/>
  <c r="H1018" i="5"/>
  <c r="H1017" i="5"/>
  <c r="H1016" i="5"/>
  <c r="H1015" i="5"/>
  <c r="H1014" i="5"/>
  <c r="H1013" i="5"/>
  <c r="H1012" i="5"/>
  <c r="H1011" i="5"/>
  <c r="H1010" i="5"/>
  <c r="H1009" i="5"/>
  <c r="H1008" i="5"/>
  <c r="H1007" i="5"/>
  <c r="H1006" i="5"/>
  <c r="H1005" i="5"/>
  <c r="H1004" i="5"/>
  <c r="H1003" i="5"/>
  <c r="H1002" i="5"/>
  <c r="H1001" i="5"/>
  <c r="H1000" i="5"/>
  <c r="H999" i="5"/>
  <c r="H998" i="5"/>
  <c r="H997" i="5"/>
  <c r="H996" i="5"/>
  <c r="H995" i="5"/>
  <c r="H994" i="5"/>
  <c r="H993" i="5"/>
  <c r="H992" i="5"/>
  <c r="H991" i="5"/>
  <c r="H990" i="5"/>
  <c r="H989" i="5"/>
  <c r="H988" i="5"/>
  <c r="H987" i="5"/>
  <c r="H986" i="5"/>
  <c r="H985" i="5"/>
  <c r="H984" i="5"/>
  <c r="H983" i="5"/>
  <c r="H982" i="5"/>
  <c r="H981" i="5"/>
  <c r="H980" i="5"/>
  <c r="H979" i="5"/>
  <c r="H978" i="5"/>
  <c r="H977" i="5"/>
  <c r="H976" i="5"/>
  <c r="H975" i="5"/>
  <c r="H974" i="5"/>
  <c r="H973" i="5"/>
  <c r="H972" i="5"/>
  <c r="H971" i="5"/>
  <c r="H970" i="5"/>
  <c r="H969" i="5"/>
  <c r="H968" i="5"/>
  <c r="H967" i="5"/>
  <c r="H966" i="5"/>
  <c r="H965" i="5"/>
  <c r="H964" i="5"/>
  <c r="H963" i="5"/>
  <c r="H962" i="5"/>
  <c r="H961" i="5"/>
  <c r="H960" i="5"/>
  <c r="H959" i="5"/>
  <c r="H958" i="5"/>
  <c r="H957" i="5"/>
  <c r="H956" i="5"/>
  <c r="H955" i="5"/>
  <c r="H954" i="5"/>
  <c r="H953" i="5"/>
  <c r="H952" i="5"/>
  <c r="H951" i="5"/>
  <c r="H950" i="5"/>
  <c r="H949" i="5"/>
  <c r="H948" i="5"/>
  <c r="H947" i="5"/>
  <c r="H946" i="5"/>
  <c r="H945" i="5"/>
  <c r="H944" i="5"/>
  <c r="H943" i="5"/>
  <c r="H942" i="5"/>
  <c r="H941" i="5"/>
  <c r="H940" i="5"/>
  <c r="H939" i="5"/>
  <c r="H938" i="5"/>
  <c r="H937" i="5"/>
  <c r="H936" i="5"/>
  <c r="H935" i="5"/>
  <c r="H934" i="5"/>
  <c r="H933" i="5"/>
  <c r="H932" i="5"/>
  <c r="H931" i="5"/>
  <c r="H930" i="5"/>
  <c r="H929" i="5"/>
  <c r="H928" i="5"/>
  <c r="H927" i="5"/>
  <c r="H926" i="5"/>
  <c r="H925" i="5"/>
  <c r="H924" i="5"/>
  <c r="H923" i="5"/>
  <c r="H922" i="5"/>
  <c r="H921" i="5"/>
  <c r="H920" i="5"/>
  <c r="H919" i="5"/>
  <c r="H918" i="5"/>
  <c r="H917" i="5"/>
  <c r="H916" i="5"/>
  <c r="H915" i="5"/>
  <c r="H914" i="5"/>
  <c r="H913" i="5"/>
  <c r="H912" i="5"/>
  <c r="H911" i="5"/>
  <c r="H910" i="5"/>
  <c r="H909" i="5"/>
  <c r="H908" i="5"/>
  <c r="H907" i="5"/>
  <c r="H906" i="5"/>
  <c r="H905" i="5"/>
  <c r="H904" i="5"/>
  <c r="H903" i="5"/>
  <c r="H902" i="5"/>
  <c r="H901" i="5"/>
  <c r="H900" i="5"/>
  <c r="H899" i="5"/>
  <c r="H898" i="5"/>
  <c r="H897" i="5"/>
  <c r="H896" i="5"/>
  <c r="H895" i="5"/>
  <c r="H894" i="5"/>
  <c r="H893" i="5"/>
  <c r="H892" i="5"/>
  <c r="H891" i="5"/>
  <c r="H890" i="5"/>
  <c r="H889" i="5"/>
  <c r="H888" i="5"/>
  <c r="H887" i="5"/>
  <c r="H886" i="5"/>
  <c r="H885" i="5"/>
  <c r="H884" i="5"/>
  <c r="H883" i="5"/>
  <c r="H882" i="5"/>
  <c r="H881" i="5"/>
  <c r="H880" i="5"/>
  <c r="H879" i="5"/>
  <c r="H878" i="5"/>
  <c r="H877" i="5"/>
  <c r="H876" i="5"/>
  <c r="H875" i="5"/>
  <c r="H874" i="5"/>
  <c r="H873" i="5"/>
  <c r="H872" i="5"/>
  <c r="H871" i="5"/>
  <c r="H870" i="5"/>
  <c r="H869" i="5"/>
  <c r="H868" i="5"/>
  <c r="H867" i="5"/>
  <c r="H866" i="5"/>
  <c r="H865" i="5"/>
  <c r="H864" i="5"/>
  <c r="H863" i="5"/>
  <c r="H862" i="5"/>
  <c r="H861" i="5"/>
  <c r="H860" i="5"/>
  <c r="H859" i="5"/>
  <c r="H858" i="5"/>
  <c r="H857" i="5"/>
  <c r="H856" i="5"/>
  <c r="H855" i="5"/>
  <c r="H854" i="5"/>
  <c r="H853" i="5"/>
  <c r="H852" i="5"/>
  <c r="H851" i="5"/>
  <c r="H850" i="5"/>
  <c r="H849" i="5"/>
  <c r="H848" i="5"/>
  <c r="H847" i="5"/>
  <c r="H846" i="5"/>
  <c r="H845" i="5"/>
  <c r="H844" i="5"/>
  <c r="H843" i="5"/>
  <c r="H842" i="5"/>
  <c r="H841" i="5"/>
  <c r="H840" i="5"/>
  <c r="H839" i="5"/>
  <c r="H838" i="5"/>
  <c r="H837" i="5"/>
  <c r="H836" i="5"/>
  <c r="H835" i="5"/>
  <c r="H834" i="5"/>
  <c r="H833" i="5"/>
  <c r="H832" i="5"/>
  <c r="H831" i="5"/>
  <c r="H830" i="5"/>
  <c r="H829" i="5"/>
  <c r="H828" i="5"/>
  <c r="H827" i="5"/>
  <c r="H826" i="5"/>
  <c r="H825" i="5"/>
  <c r="H824" i="5"/>
  <c r="H823" i="5"/>
  <c r="H822" i="5"/>
  <c r="H821" i="5"/>
  <c r="H820" i="5"/>
  <c r="H819" i="5"/>
  <c r="H818" i="5"/>
  <c r="H817" i="5"/>
  <c r="H816" i="5"/>
  <c r="H815" i="5"/>
  <c r="H814" i="5"/>
  <c r="H813" i="5"/>
  <c r="H812" i="5"/>
  <c r="H811" i="5"/>
  <c r="H810" i="5"/>
  <c r="H809" i="5"/>
  <c r="H808" i="5"/>
  <c r="H807" i="5"/>
  <c r="H806" i="5"/>
  <c r="H805" i="5"/>
  <c r="H804" i="5"/>
  <c r="H803" i="5"/>
  <c r="H802" i="5"/>
  <c r="H801" i="5"/>
  <c r="H800" i="5"/>
  <c r="H799" i="5"/>
  <c r="H798" i="5"/>
  <c r="H797" i="5"/>
  <c r="H796" i="5"/>
  <c r="H795" i="5"/>
  <c r="H794" i="5"/>
  <c r="H793" i="5"/>
  <c r="H792" i="5"/>
  <c r="H791" i="5"/>
  <c r="H790" i="5"/>
  <c r="H789" i="5"/>
  <c r="H788" i="5"/>
  <c r="H787" i="5"/>
  <c r="H786" i="5"/>
  <c r="H785" i="5"/>
  <c r="H784" i="5"/>
  <c r="H783" i="5"/>
  <c r="H782" i="5"/>
  <c r="H781" i="5"/>
  <c r="H780" i="5"/>
  <c r="H779" i="5"/>
  <c r="H778" i="5"/>
  <c r="H777" i="5"/>
  <c r="H776" i="5"/>
  <c r="H775" i="5"/>
  <c r="H774" i="5"/>
  <c r="H773" i="5"/>
  <c r="H772" i="5"/>
  <c r="H771" i="5"/>
  <c r="H770" i="5"/>
  <c r="H769" i="5"/>
  <c r="H768" i="5"/>
  <c r="H767" i="5"/>
  <c r="H766" i="5"/>
  <c r="H765" i="5"/>
  <c r="H764" i="5"/>
  <c r="H763" i="5"/>
  <c r="H762" i="5"/>
  <c r="H761" i="5"/>
  <c r="H760" i="5"/>
  <c r="H759" i="5"/>
  <c r="H758" i="5"/>
  <c r="H757" i="5"/>
  <c r="H756" i="5"/>
  <c r="H755" i="5"/>
  <c r="H754" i="5"/>
  <c r="H753" i="5"/>
  <c r="H752" i="5"/>
  <c r="H751" i="5"/>
  <c r="H750" i="5"/>
  <c r="H749" i="5"/>
  <c r="H748" i="5"/>
  <c r="H747" i="5"/>
  <c r="H746" i="5"/>
  <c r="H745" i="5"/>
  <c r="H744" i="5"/>
  <c r="H743" i="5"/>
  <c r="H742" i="5"/>
  <c r="H741" i="5"/>
  <c r="H740" i="5"/>
  <c r="H739" i="5"/>
  <c r="H738" i="5"/>
  <c r="H737" i="5"/>
  <c r="H736" i="5"/>
  <c r="H735" i="5"/>
  <c r="H734" i="5"/>
  <c r="H733" i="5"/>
  <c r="H732" i="5"/>
  <c r="H731" i="5"/>
  <c r="H730" i="5"/>
  <c r="H729" i="5"/>
  <c r="H728" i="5"/>
  <c r="H727" i="5"/>
  <c r="H726" i="5"/>
  <c r="H725" i="5"/>
  <c r="H724" i="5"/>
  <c r="H723" i="5"/>
  <c r="H722" i="5"/>
  <c r="H721" i="5"/>
  <c r="H720" i="5"/>
  <c r="H719" i="5"/>
  <c r="H718" i="5"/>
  <c r="H717" i="5"/>
  <c r="H716" i="5"/>
  <c r="H715" i="5"/>
  <c r="H714" i="5"/>
  <c r="H713" i="5"/>
  <c r="H712" i="5"/>
  <c r="H711" i="5"/>
  <c r="H710" i="5"/>
  <c r="H709" i="5"/>
  <c r="H708" i="5"/>
  <c r="H707" i="5"/>
  <c r="H706" i="5"/>
  <c r="H705" i="5"/>
  <c r="H680" i="5"/>
  <c r="H679" i="5"/>
  <c r="H678" i="5"/>
  <c r="H677" i="5"/>
  <c r="H676" i="5"/>
  <c r="H675" i="5"/>
  <c r="H674" i="5"/>
  <c r="H673" i="5"/>
  <c r="H672" i="5"/>
  <c r="H671" i="5"/>
  <c r="H670" i="5"/>
  <c r="H669" i="5"/>
  <c r="H668" i="5"/>
  <c r="H667" i="5"/>
  <c r="H666" i="5"/>
  <c r="H665" i="5"/>
  <c r="H664" i="5"/>
  <c r="H663" i="5"/>
  <c r="H662" i="5"/>
  <c r="H661" i="5"/>
  <c r="H660" i="5"/>
  <c r="H659" i="5"/>
  <c r="H658" i="5"/>
  <c r="H657" i="5"/>
  <c r="H656" i="5"/>
  <c r="H655" i="5"/>
  <c r="H654" i="5"/>
  <c r="H653" i="5"/>
  <c r="H652" i="5"/>
  <c r="H651" i="5"/>
  <c r="H650" i="5"/>
  <c r="H649" i="5"/>
  <c r="H648" i="5"/>
  <c r="H647" i="5"/>
  <c r="H646" i="5"/>
  <c r="H645" i="5"/>
  <c r="H644" i="5"/>
  <c r="H643" i="5"/>
  <c r="H642" i="5"/>
  <c r="H641" i="5"/>
  <c r="H640" i="5"/>
  <c r="H639" i="5"/>
  <c r="H638" i="5"/>
  <c r="H637" i="5"/>
  <c r="H636" i="5"/>
  <c r="H635" i="5"/>
  <c r="H634" i="5"/>
  <c r="H633" i="5"/>
  <c r="H632" i="5"/>
  <c r="H631" i="5"/>
  <c r="H630" i="5"/>
  <c r="H629" i="5"/>
  <c r="H628" i="5"/>
  <c r="H627" i="5"/>
  <c r="H626" i="5"/>
  <c r="H625" i="5"/>
  <c r="H624" i="5"/>
  <c r="H623" i="5"/>
  <c r="H622" i="5"/>
  <c r="H621" i="5"/>
  <c r="H620" i="5"/>
  <c r="H619" i="5"/>
  <c r="H618" i="5"/>
  <c r="H617" i="5"/>
  <c r="H616" i="5"/>
  <c r="H615" i="5"/>
  <c r="H614" i="5"/>
  <c r="H613" i="5"/>
  <c r="H612" i="5"/>
  <c r="H611" i="5"/>
  <c r="H610" i="5"/>
  <c r="H609" i="5"/>
  <c r="H608" i="5"/>
  <c r="H607" i="5"/>
  <c r="H606" i="5"/>
  <c r="H605" i="5"/>
  <c r="H604" i="5"/>
  <c r="H603" i="5"/>
  <c r="H602" i="5"/>
  <c r="H601" i="5"/>
  <c r="H600" i="5"/>
  <c r="H599" i="5"/>
  <c r="H598" i="5"/>
  <c r="H597" i="5"/>
  <c r="H596" i="5"/>
  <c r="H595" i="5"/>
  <c r="H594" i="5"/>
  <c r="H593" i="5"/>
  <c r="H592" i="5"/>
  <c r="H591" i="5"/>
  <c r="H590" i="5"/>
  <c r="H589" i="5"/>
  <c r="H588" i="5"/>
  <c r="H587" i="5"/>
  <c r="H586" i="5"/>
  <c r="H585" i="5"/>
  <c r="H584" i="5"/>
  <c r="H583" i="5"/>
  <c r="H582" i="5"/>
  <c r="H581" i="5"/>
  <c r="H580" i="5"/>
  <c r="H579" i="5"/>
  <c r="H578" i="5"/>
  <c r="H577" i="5"/>
  <c r="H576" i="5"/>
  <c r="H575" i="5"/>
  <c r="H574" i="5"/>
  <c r="H573" i="5"/>
  <c r="H572" i="5"/>
  <c r="H571" i="5"/>
  <c r="H570" i="5"/>
  <c r="H569" i="5"/>
  <c r="H568" i="5"/>
  <c r="H567" i="5"/>
  <c r="H566" i="5"/>
  <c r="H565" i="5"/>
  <c r="H564" i="5"/>
  <c r="H563" i="5"/>
  <c r="H562" i="5"/>
  <c r="H561" i="5"/>
  <c r="H560" i="5"/>
  <c r="H559" i="5"/>
  <c r="H558" i="5"/>
  <c r="H557" i="5"/>
  <c r="H556" i="5"/>
  <c r="H555" i="5"/>
  <c r="H554" i="5"/>
  <c r="H553" i="5"/>
  <c r="H552" i="5"/>
  <c r="H551" i="5"/>
  <c r="H550" i="5"/>
  <c r="H549" i="5"/>
  <c r="H548" i="5"/>
  <c r="H547" i="5"/>
  <c r="H546" i="5"/>
  <c r="H545" i="5"/>
  <c r="H544" i="5"/>
  <c r="H543" i="5"/>
  <c r="H542" i="5"/>
  <c r="H541" i="5"/>
  <c r="H540" i="5"/>
  <c r="H539" i="5"/>
  <c r="H538" i="5"/>
  <c r="H537" i="5"/>
  <c r="H536" i="5"/>
  <c r="H535" i="5"/>
  <c r="H534" i="5"/>
  <c r="H533" i="5"/>
  <c r="H532" i="5"/>
  <c r="H531" i="5"/>
  <c r="H530" i="5"/>
  <c r="H529" i="5"/>
  <c r="H528" i="5"/>
  <c r="H527" i="5"/>
  <c r="H526" i="5"/>
  <c r="H525" i="5"/>
  <c r="H524" i="5"/>
  <c r="H523" i="5"/>
  <c r="H522" i="5"/>
  <c r="H521" i="5"/>
  <c r="H520" i="5"/>
  <c r="H519" i="5"/>
  <c r="H518" i="5"/>
  <c r="H517" i="5"/>
  <c r="H516" i="5"/>
  <c r="H515" i="5"/>
  <c r="H514" i="5"/>
  <c r="H513" i="5"/>
  <c r="H512" i="5"/>
  <c r="H511" i="5"/>
  <c r="H510" i="5"/>
  <c r="H509" i="5"/>
  <c r="H508" i="5"/>
  <c r="H507" i="5"/>
  <c r="H506" i="5"/>
  <c r="H505" i="5"/>
  <c r="H504" i="5"/>
  <c r="H503" i="5"/>
  <c r="H502" i="5"/>
  <c r="H501" i="5"/>
  <c r="H500" i="5"/>
  <c r="H499" i="5"/>
  <c r="H498" i="5"/>
  <c r="H497" i="5"/>
  <c r="H496" i="5"/>
  <c r="H495" i="5"/>
  <c r="H494" i="5"/>
  <c r="H493" i="5"/>
  <c r="H492" i="5"/>
  <c r="H491" i="5"/>
  <c r="H490" i="5"/>
  <c r="H489" i="5"/>
  <c r="H488" i="5"/>
  <c r="H487" i="5"/>
  <c r="H486" i="5"/>
  <c r="H485" i="5"/>
  <c r="H484" i="5"/>
  <c r="H483" i="5"/>
  <c r="H482" i="5"/>
  <c r="H481" i="5"/>
  <c r="H480" i="5"/>
  <c r="H479" i="5"/>
  <c r="H478" i="5"/>
  <c r="H477" i="5"/>
  <c r="H476" i="5"/>
  <c r="H475" i="5"/>
  <c r="H474" i="5"/>
  <c r="H473" i="5"/>
  <c r="H472" i="5"/>
  <c r="H471" i="5"/>
  <c r="H470" i="5"/>
  <c r="H469" i="5"/>
  <c r="H468" i="5"/>
  <c r="H467" i="5"/>
  <c r="H466" i="5"/>
  <c r="H465" i="5"/>
  <c r="H464" i="5"/>
  <c r="H463" i="5"/>
  <c r="H462" i="5"/>
  <c r="H461" i="5"/>
  <c r="H460" i="5"/>
  <c r="H459" i="5"/>
  <c r="H458" i="5"/>
  <c r="H457" i="5"/>
  <c r="H456" i="5"/>
  <c r="H455" i="5"/>
  <c r="H454" i="5"/>
  <c r="H453" i="5"/>
  <c r="H452" i="5"/>
  <c r="H451" i="5"/>
  <c r="H450" i="5"/>
  <c r="H449" i="5"/>
  <c r="H448" i="5"/>
  <c r="H447" i="5"/>
  <c r="H446" i="5"/>
  <c r="H445" i="5"/>
  <c r="H444" i="5"/>
  <c r="H443" i="5"/>
  <c r="H442" i="5"/>
  <c r="H441" i="5"/>
  <c r="H440" i="5"/>
  <c r="H439" i="5"/>
  <c r="H438" i="5"/>
  <c r="H437" i="5"/>
  <c r="H436" i="5"/>
  <c r="H435" i="5"/>
  <c r="H434" i="5"/>
  <c r="H433" i="5"/>
  <c r="H432" i="5"/>
  <c r="H431" i="5"/>
  <c r="H430" i="5"/>
  <c r="H429" i="5"/>
  <c r="H428" i="5"/>
  <c r="H427" i="5"/>
  <c r="H426" i="5"/>
  <c r="H425" i="5"/>
  <c r="H424" i="5"/>
  <c r="H423" i="5"/>
  <c r="H422" i="5"/>
  <c r="H421" i="5"/>
  <c r="H420" i="5"/>
  <c r="H419" i="5"/>
  <c r="H418" i="5"/>
  <c r="H417" i="5"/>
  <c r="H416" i="5"/>
  <c r="H415" i="5"/>
  <c r="H414" i="5"/>
  <c r="H413" i="5"/>
  <c r="H412" i="5"/>
  <c r="H411" i="5"/>
  <c r="H410" i="5"/>
  <c r="H409" i="5"/>
  <c r="H408" i="5"/>
  <c r="H407" i="5"/>
  <c r="H406" i="5"/>
  <c r="H405" i="5"/>
  <c r="H404" i="5"/>
  <c r="H403" i="5"/>
  <c r="H402" i="5"/>
  <c r="H401" i="5"/>
  <c r="H400" i="5"/>
  <c r="H399" i="5"/>
  <c r="H398" i="5"/>
  <c r="H397" i="5"/>
  <c r="H396" i="5"/>
  <c r="H395" i="5"/>
  <c r="H394" i="5"/>
  <c r="H393" i="5"/>
  <c r="H392" i="5"/>
  <c r="H391" i="5"/>
  <c r="H390" i="5"/>
  <c r="H389" i="5"/>
  <c r="H388" i="5"/>
  <c r="H387" i="5"/>
  <c r="H386" i="5"/>
  <c r="H385" i="5"/>
  <c r="H384" i="5"/>
  <c r="H383" i="5"/>
  <c r="H382" i="5"/>
  <c r="H381" i="5"/>
  <c r="H380" i="5"/>
  <c r="H379" i="5"/>
  <c r="H378" i="5"/>
  <c r="H377" i="5"/>
  <c r="H376" i="5"/>
  <c r="H375" i="5"/>
  <c r="H374" i="5"/>
  <c r="H373" i="5"/>
  <c r="H372" i="5"/>
  <c r="H371" i="5"/>
  <c r="H370" i="5"/>
  <c r="H369" i="5"/>
  <c r="H368" i="5"/>
  <c r="H367" i="5"/>
  <c r="H366" i="5"/>
  <c r="H365" i="5"/>
  <c r="H364" i="5"/>
  <c r="H363" i="5"/>
  <c r="H362" i="5"/>
  <c r="H361" i="5"/>
  <c r="H360" i="5"/>
  <c r="H359" i="5"/>
  <c r="H358" i="5"/>
  <c r="H357" i="5"/>
  <c r="H356" i="5"/>
  <c r="H355" i="5"/>
  <c r="H354" i="5"/>
  <c r="H353" i="5"/>
  <c r="H352" i="5"/>
  <c r="H351" i="5"/>
  <c r="H350" i="5"/>
  <c r="H349" i="5"/>
  <c r="H348" i="5"/>
  <c r="H347" i="5"/>
  <c r="H346" i="5"/>
  <c r="H345" i="5"/>
  <c r="H344" i="5"/>
  <c r="H343" i="5"/>
  <c r="H342" i="5"/>
  <c r="H341" i="5"/>
  <c r="H340" i="5"/>
  <c r="H339" i="5"/>
  <c r="H338" i="5"/>
  <c r="H337" i="5"/>
  <c r="H336" i="5"/>
  <c r="H335" i="5"/>
  <c r="H334" i="5"/>
  <c r="H333" i="5"/>
  <c r="H332" i="5"/>
  <c r="H331" i="5"/>
  <c r="H330" i="5"/>
  <c r="H329" i="5"/>
  <c r="H328" i="5"/>
  <c r="H327" i="5"/>
  <c r="H326" i="5"/>
  <c r="H325" i="5"/>
  <c r="H324" i="5"/>
  <c r="H323" i="5"/>
  <c r="H322" i="5"/>
  <c r="H321" i="5"/>
  <c r="H320" i="5"/>
  <c r="H319" i="5"/>
  <c r="H318" i="5"/>
  <c r="H317" i="5"/>
  <c r="H316" i="5"/>
  <c r="H315" i="5"/>
  <c r="H314" i="5"/>
  <c r="H313" i="5"/>
  <c r="H312" i="5"/>
  <c r="H311" i="5"/>
  <c r="H310" i="5"/>
  <c r="H309" i="5"/>
  <c r="H308" i="5"/>
  <c r="H307" i="5"/>
  <c r="H306" i="5"/>
  <c r="H305" i="5"/>
  <c r="H304" i="5"/>
  <c r="H303" i="5"/>
  <c r="H302" i="5"/>
  <c r="H301" i="5"/>
  <c r="H300" i="5"/>
  <c r="H299" i="5"/>
  <c r="H298" i="5"/>
  <c r="H297" i="5"/>
  <c r="H125" i="5"/>
  <c r="H123" i="5"/>
  <c r="H122" i="5"/>
  <c r="H121" i="5"/>
  <c r="H120" i="5"/>
  <c r="H119" i="5"/>
  <c r="H118" i="5"/>
  <c r="H117" i="5"/>
  <c r="H116" i="5"/>
  <c r="H115" i="5"/>
  <c r="H114" i="5"/>
  <c r="H113" i="5"/>
  <c r="H112" i="5"/>
  <c r="H111" i="5"/>
  <c r="H110" i="5"/>
  <c r="H109" i="5"/>
  <c r="H108" i="5"/>
  <c r="H107" i="5"/>
  <c r="H106" i="5"/>
  <c r="H105" i="5"/>
  <c r="H104" i="5"/>
  <c r="H103" i="5"/>
  <c r="H102" i="5"/>
  <c r="H101" i="5"/>
  <c r="H100" i="5"/>
  <c r="H99" i="5"/>
  <c r="H98" i="5"/>
  <c r="H97" i="5"/>
  <c r="H96" i="5"/>
  <c r="H95" i="5"/>
  <c r="H94" i="5"/>
  <c r="H93" i="5"/>
  <c r="H92" i="5"/>
  <c r="H91" i="5"/>
  <c r="H90" i="5"/>
  <c r="H89" i="5"/>
  <c r="H88" i="5"/>
  <c r="H87" i="5"/>
  <c r="H86" i="5"/>
  <c r="H85" i="5"/>
  <c r="H84" i="5"/>
  <c r="H83" i="5"/>
  <c r="H82" i="5"/>
  <c r="H81" i="5"/>
  <c r="H80" i="5"/>
  <c r="H79" i="5"/>
  <c r="H78" i="5"/>
  <c r="H77" i="5"/>
  <c r="H76" i="5"/>
  <c r="H75" i="5"/>
  <c r="H74" i="5"/>
  <c r="H73" i="5"/>
  <c r="H72" i="5"/>
  <c r="H71" i="5"/>
  <c r="H70" i="5"/>
  <c r="H69" i="5"/>
  <c r="H68" i="5"/>
  <c r="H67" i="5"/>
  <c r="H66" i="5"/>
  <c r="H65" i="5"/>
  <c r="H64" i="5"/>
  <c r="H63" i="5"/>
  <c r="H62" i="5"/>
  <c r="H61" i="5"/>
  <c r="H60" i="5"/>
  <c r="H59" i="5"/>
  <c r="H58" i="5"/>
  <c r="H57" i="5"/>
  <c r="H56" i="5"/>
  <c r="H55" i="5"/>
  <c r="H54" i="5"/>
  <c r="H53" i="5"/>
  <c r="H52" i="5"/>
  <c r="H51" i="5"/>
  <c r="H50" i="5"/>
  <c r="H49" i="5"/>
  <c r="H48" i="5"/>
  <c r="H47" i="5"/>
  <c r="H46" i="5"/>
  <c r="H45" i="5"/>
  <c r="H44" i="5"/>
  <c r="H43" i="5"/>
  <c r="H42" i="5"/>
  <c r="H41" i="5"/>
  <c r="H40" i="5"/>
  <c r="H39" i="5"/>
  <c r="H38" i="5"/>
  <c r="H37" i="5"/>
  <c r="H36" i="5"/>
  <c r="H34" i="5"/>
  <c r="H33" i="5"/>
  <c r="H32" i="5"/>
  <c r="H30" i="5"/>
  <c r="H29" i="5"/>
  <c r="H28" i="5"/>
  <c r="H26" i="5"/>
  <c r="H24" i="5"/>
  <c r="H22" i="5"/>
  <c r="H20" i="5"/>
  <c r="H15" i="5"/>
  <c r="H14" i="5"/>
  <c r="H13" i="5"/>
  <c r="H12" i="5"/>
  <c r="H10" i="5"/>
  <c r="H9" i="5"/>
  <c r="H7" i="5"/>
  <c r="H6" i="5"/>
  <c r="AZ688" i="5"/>
  <c r="AY688" i="5"/>
  <c r="AW688" i="5"/>
  <c r="AX688" i="5" s="1"/>
  <c r="AU688" i="5"/>
  <c r="AV688" i="5" s="1"/>
  <c r="AR688" i="5"/>
  <c r="AT688" i="5" s="1"/>
  <c r="AN688" i="5"/>
  <c r="AO688" i="5"/>
  <c r="AP688" i="5"/>
  <c r="M688" i="5"/>
  <c r="F688" i="5" s="1"/>
  <c r="G688" i="5" s="1"/>
  <c r="H688" i="5" s="1"/>
  <c r="AL688" i="5"/>
  <c r="AK688" i="5"/>
  <c r="AJ688" i="5"/>
  <c r="AZ684" i="5"/>
  <c r="AY684" i="5"/>
  <c r="AW684" i="5"/>
  <c r="AX684" i="5" s="1"/>
  <c r="AU684" i="5"/>
  <c r="AV684" i="5" s="1"/>
  <c r="AR684" i="5"/>
  <c r="AS684" i="5" s="1"/>
  <c r="AN684" i="5"/>
  <c r="AO684" i="5"/>
  <c r="AP684" i="5"/>
  <c r="M684" i="5"/>
  <c r="F684" i="5" s="1"/>
  <c r="G684" i="5" s="1"/>
  <c r="H684" i="5" s="1"/>
  <c r="M681" i="5"/>
  <c r="F681" i="5" s="1"/>
  <c r="AL684" i="5"/>
  <c r="AK684" i="5"/>
  <c r="AJ684" i="5"/>
  <c r="AI684" i="5"/>
  <c r="AH680" i="5"/>
  <c r="AW680" i="5"/>
  <c r="AX680" i="5" s="1"/>
  <c r="AU680" i="5"/>
  <c r="AV680" i="5" s="1"/>
  <c r="AR680" i="5"/>
  <c r="AN680" i="5"/>
  <c r="AO680" i="5"/>
  <c r="AP680" i="5"/>
  <c r="AZ1529" i="5"/>
  <c r="AY1529" i="5"/>
  <c r="AW1529" i="5"/>
  <c r="AX1529" i="5" s="1"/>
  <c r="AU1529" i="5"/>
  <c r="AV1529" i="5" s="1"/>
  <c r="AR1529" i="5"/>
  <c r="AN1529" i="5"/>
  <c r="AO1529" i="5"/>
  <c r="AL1529" i="5"/>
  <c r="AK1529" i="5"/>
  <c r="AJ1529" i="5"/>
  <c r="AI1529" i="5"/>
  <c r="AZ1522" i="5"/>
  <c r="AY1522" i="5"/>
  <c r="AW1522" i="5"/>
  <c r="AX1522" i="5" s="1"/>
  <c r="AU1522" i="5"/>
  <c r="AV1522" i="5" s="1"/>
  <c r="AR1522" i="5"/>
  <c r="AS1522" i="5" s="1"/>
  <c r="AN1522" i="5"/>
  <c r="AO1522" i="5"/>
  <c r="AL1522" i="5"/>
  <c r="AK1522" i="5"/>
  <c r="AJ1522" i="5"/>
  <c r="AI1522" i="5"/>
  <c r="AZ1515" i="5"/>
  <c r="AY1515" i="5"/>
  <c r="AW1515" i="5"/>
  <c r="AX1515" i="5" s="1"/>
  <c r="AU1515" i="5"/>
  <c r="AV1515" i="5" s="1"/>
  <c r="AR1515" i="5"/>
  <c r="AS1515" i="5" s="1"/>
  <c r="AN1515" i="5"/>
  <c r="AO1515" i="5"/>
  <c r="AL1515" i="5"/>
  <c r="AK1515" i="5"/>
  <c r="AJ1515" i="5"/>
  <c r="AI1515" i="5"/>
  <c r="M1091" i="5"/>
  <c r="F1091" i="5" s="1"/>
  <c r="M1086" i="5"/>
  <c r="F1086" i="5" s="1"/>
  <c r="AZ1091" i="5"/>
  <c r="AY1091" i="5"/>
  <c r="AW1091" i="5"/>
  <c r="AX1091" i="5" s="1"/>
  <c r="AU1091" i="5"/>
  <c r="AV1091" i="5" s="1"/>
  <c r="AR1091" i="5"/>
  <c r="AT1091" i="5" s="1"/>
  <c r="AN1091" i="5"/>
  <c r="AO1091" i="5"/>
  <c r="AP1091" i="5"/>
  <c r="AL1091" i="5"/>
  <c r="AK1091" i="5"/>
  <c r="AJ1091" i="5"/>
  <c r="AI1091" i="5"/>
  <c r="AZ1086" i="5"/>
  <c r="AY1086" i="5"/>
  <c r="AW1086" i="5"/>
  <c r="AX1086" i="5" s="1"/>
  <c r="AU1086" i="5"/>
  <c r="AV1086" i="5" s="1"/>
  <c r="AR1086" i="5"/>
  <c r="AT1086" i="5" s="1"/>
  <c r="AN1086" i="5"/>
  <c r="AO1086" i="5"/>
  <c r="AP1086" i="5"/>
  <c r="AL1086" i="5"/>
  <c r="AK1086" i="5"/>
  <c r="AJ1086" i="5"/>
  <c r="AI1086" i="5"/>
  <c r="AZ1527" i="5"/>
  <c r="AY1527" i="5"/>
  <c r="AW1527" i="5"/>
  <c r="AX1527" i="5" s="1"/>
  <c r="AU1527" i="5"/>
  <c r="AV1527" i="5" s="1"/>
  <c r="AR1527" i="5"/>
  <c r="AT1527" i="5" s="1"/>
  <c r="AN1527" i="5"/>
  <c r="AO1527" i="5"/>
  <c r="AL1527" i="5"/>
  <c r="AK1527" i="5"/>
  <c r="AJ1527" i="5"/>
  <c r="AI1527" i="5"/>
  <c r="AZ1520" i="5"/>
  <c r="AY1520" i="5"/>
  <c r="AW1520" i="5"/>
  <c r="AX1520" i="5" s="1"/>
  <c r="AU1520" i="5"/>
  <c r="AV1520" i="5" s="1"/>
  <c r="AR1520" i="5"/>
  <c r="AS1520" i="5" s="1"/>
  <c r="AN1520" i="5"/>
  <c r="AO1520" i="5"/>
  <c r="AL1520" i="5"/>
  <c r="AK1520" i="5"/>
  <c r="AJ1520" i="5"/>
  <c r="AI1520" i="5"/>
  <c r="AZ1513" i="5"/>
  <c r="AY1513" i="5"/>
  <c r="AW1513" i="5"/>
  <c r="AX1513" i="5" s="1"/>
  <c r="AU1513" i="5"/>
  <c r="AV1513" i="5" s="1"/>
  <c r="AR1513" i="5"/>
  <c r="AT1513" i="5" s="1"/>
  <c r="AN1513" i="5"/>
  <c r="AO1513" i="5"/>
  <c r="AL1513" i="5"/>
  <c r="AK1513" i="5"/>
  <c r="AJ1513" i="5"/>
  <c r="M1089" i="5"/>
  <c r="F1089" i="5" s="1"/>
  <c r="G1089" i="5" s="1"/>
  <c r="H1089" i="5" s="1"/>
  <c r="AZ1092" i="5"/>
  <c r="AY1092" i="5"/>
  <c r="AW1092" i="5"/>
  <c r="AX1092" i="5" s="1"/>
  <c r="AU1092" i="5"/>
  <c r="AV1092" i="5" s="1"/>
  <c r="AR1092" i="5"/>
  <c r="AT1092" i="5" s="1"/>
  <c r="AN1092" i="5"/>
  <c r="AO1092" i="5"/>
  <c r="AP1092" i="5"/>
  <c r="T704" i="5"/>
  <c r="M1019" i="5" s="1"/>
  <c r="F1019" i="5" s="1"/>
  <c r="AL1092" i="5"/>
  <c r="AK1092" i="5"/>
  <c r="AJ1092" i="5"/>
  <c r="AI1092" i="5"/>
  <c r="AZ1087" i="5"/>
  <c r="AY1087" i="5"/>
  <c r="AW1087" i="5"/>
  <c r="AX1087" i="5" s="1"/>
  <c r="AU1087" i="5"/>
  <c r="AV1087" i="5" s="1"/>
  <c r="AR1087" i="5"/>
  <c r="AT1087" i="5" s="1"/>
  <c r="AN1087" i="5"/>
  <c r="AO1087" i="5"/>
  <c r="AP1087" i="5"/>
  <c r="AL1087" i="5"/>
  <c r="AK1087" i="5"/>
  <c r="AJ1087" i="5"/>
  <c r="AI1087" i="5"/>
  <c r="M1950" i="5"/>
  <c r="F1950" i="5" s="1"/>
  <c r="G1950" i="5" s="1"/>
  <c r="H1950" i="5" s="1"/>
  <c r="M1948" i="5"/>
  <c r="F1948" i="5" s="1"/>
  <c r="M1947" i="5"/>
  <c r="F1947" i="5" s="1"/>
  <c r="G1947" i="5" s="1"/>
  <c r="H1947" i="5" s="1"/>
  <c r="M1945" i="5"/>
  <c r="F1945" i="5" s="1"/>
  <c r="G1945" i="5" s="1"/>
  <c r="H1945" i="5" s="1"/>
  <c r="M1944" i="5"/>
  <c r="F1944" i="5" s="1"/>
  <c r="G1944" i="5" s="1"/>
  <c r="H1944" i="5" s="1"/>
  <c r="AZ1094" i="5"/>
  <c r="AY1094" i="5"/>
  <c r="AW1094" i="5"/>
  <c r="AX1094" i="5" s="1"/>
  <c r="AU1094" i="5"/>
  <c r="AV1094" i="5" s="1"/>
  <c r="AR1094" i="5"/>
  <c r="AS1094" i="5" s="1"/>
  <c r="AN1094" i="5"/>
  <c r="AO1094" i="5"/>
  <c r="AP1094" i="5"/>
  <c r="AL1094" i="5"/>
  <c r="AK1094" i="5"/>
  <c r="AJ1094" i="5"/>
  <c r="AH1126" i="5"/>
  <c r="AI1094" i="5" s="1"/>
  <c r="AZ1089" i="5"/>
  <c r="AY1089" i="5"/>
  <c r="AW1089" i="5"/>
  <c r="AX1089" i="5" s="1"/>
  <c r="AU1089" i="5"/>
  <c r="AV1089" i="5" s="1"/>
  <c r="AR1089" i="5"/>
  <c r="AS1089" i="5" s="1"/>
  <c r="AN1089" i="5"/>
  <c r="AO1089" i="5"/>
  <c r="AP1089" i="5"/>
  <c r="AL1089" i="5"/>
  <c r="AK1089" i="5"/>
  <c r="AJ1089" i="5"/>
  <c r="AI1089" i="5"/>
  <c r="AH1083" i="5"/>
  <c r="AJ1083" i="5" s="1"/>
  <c r="AW1083" i="5"/>
  <c r="AX1083" i="5" s="1"/>
  <c r="AU1083" i="5"/>
  <c r="AV1083" i="5" s="1"/>
  <c r="AR1083" i="5"/>
  <c r="AT1083" i="5" s="1"/>
  <c r="AN1083" i="5"/>
  <c r="AO1083" i="5"/>
  <c r="AP1083" i="5"/>
  <c r="M1078" i="5"/>
  <c r="F1078" i="5" s="1"/>
  <c r="AH1078" i="5"/>
  <c r="AJ1078" i="5" s="1"/>
  <c r="AH1943" i="5"/>
  <c r="AZ1943" i="5" s="1"/>
  <c r="AW1943" i="5"/>
  <c r="AX1943" i="5" s="1"/>
  <c r="AU1943" i="5"/>
  <c r="AV1943" i="5" s="1"/>
  <c r="AR1943" i="5"/>
  <c r="AT1943" i="5" s="1"/>
  <c r="AN1943" i="5"/>
  <c r="AO1943" i="5"/>
  <c r="AP1943" i="5"/>
  <c r="M1938" i="5"/>
  <c r="F1938" i="5" s="1"/>
  <c r="AH1938" i="5"/>
  <c r="AJ1938" i="5" s="1"/>
  <c r="AP1950" i="5"/>
  <c r="AH1907" i="5"/>
  <c r="T1559" i="5"/>
  <c r="M1650" i="5" s="1"/>
  <c r="F1650" i="5" s="1"/>
  <c r="D4715" i="5"/>
  <c r="D4714" i="5"/>
  <c r="D4713" i="5"/>
  <c r="D4712" i="5"/>
  <c r="D4711" i="5"/>
  <c r="D4710" i="5"/>
  <c r="D4709" i="5"/>
  <c r="D4708" i="5"/>
  <c r="D4707" i="5"/>
  <c r="D4706" i="5"/>
  <c r="D4705" i="5"/>
  <c r="D4704" i="5"/>
  <c r="D4703" i="5"/>
  <c r="D4702" i="5"/>
  <c r="D4701" i="5"/>
  <c r="D4700" i="5"/>
  <c r="D4699" i="5"/>
  <c r="D4698" i="5"/>
  <c r="D4697" i="5"/>
  <c r="D4696" i="5"/>
  <c r="D4695" i="5"/>
  <c r="D4694" i="5"/>
  <c r="D4693" i="5"/>
  <c r="D4692" i="5"/>
  <c r="D4691" i="5"/>
  <c r="D4690" i="5"/>
  <c r="D4689" i="5"/>
  <c r="D4688" i="5"/>
  <c r="A4713" i="5"/>
  <c r="A4714" i="5" s="1"/>
  <c r="C4714" i="5" s="1"/>
  <c r="C4712" i="5"/>
  <c r="A4709" i="5"/>
  <c r="C4709" i="5" s="1"/>
  <c r="C4708" i="5"/>
  <c r="A4705" i="5"/>
  <c r="C4705" i="5" s="1"/>
  <c r="C4704" i="5"/>
  <c r="A4701" i="5"/>
  <c r="C4700" i="5"/>
  <c r="A4697" i="5"/>
  <c r="A4698" i="5" s="1"/>
  <c r="C4698" i="5" s="1"/>
  <c r="C4696" i="5"/>
  <c r="A4693" i="5"/>
  <c r="A4694" i="5" s="1"/>
  <c r="A4695" i="5" s="1"/>
  <c r="C4695" i="5" s="1"/>
  <c r="C4692" i="5"/>
  <c r="O4689" i="5"/>
  <c r="O4690" i="5" s="1"/>
  <c r="O4691" i="5" s="1"/>
  <c r="O4692" i="5" s="1"/>
  <c r="O4693" i="5" s="1"/>
  <c r="O4694" i="5" s="1"/>
  <c r="O4695" i="5" s="1"/>
  <c r="O4696" i="5" s="1"/>
  <c r="O4697" i="5" s="1"/>
  <c r="O4698" i="5" s="1"/>
  <c r="O4699" i="5" s="1"/>
  <c r="A4689" i="5"/>
  <c r="C4689" i="5" s="1"/>
  <c r="C4688" i="5"/>
  <c r="D4392" i="5"/>
  <c r="D4393" i="5" s="1"/>
  <c r="D4394" i="5" s="1"/>
  <c r="D4395" i="5" s="1"/>
  <c r="D4396" i="5" s="1"/>
  <c r="D4397" i="5" s="1"/>
  <c r="D4398" i="5" s="1"/>
  <c r="C4398" i="5"/>
  <c r="C4397" i="5"/>
  <c r="C4396" i="5"/>
  <c r="B4396" i="5"/>
  <c r="B4397" i="5" s="1"/>
  <c r="B4398" i="5" s="1"/>
  <c r="C4395" i="5"/>
  <c r="C4394" i="5"/>
  <c r="O4393" i="5"/>
  <c r="O4394" i="5" s="1"/>
  <c r="O4395" i="5" s="1"/>
  <c r="O4396" i="5" s="1"/>
  <c r="O4397" i="5" s="1"/>
  <c r="O4398" i="5" s="1"/>
  <c r="C4393" i="5"/>
  <c r="B4393" i="5"/>
  <c r="B4394" i="5" s="1"/>
  <c r="C4392" i="5"/>
  <c r="C4236" i="5"/>
  <c r="C4235" i="5"/>
  <c r="C4234" i="5"/>
  <c r="T4232" i="5"/>
  <c r="C4118" i="5"/>
  <c r="C4117" i="5"/>
  <c r="C4116" i="5"/>
  <c r="T4115" i="5"/>
  <c r="R4111" i="5"/>
  <c r="R4115" i="5" s="1"/>
  <c r="O4115" i="5" s="1"/>
  <c r="A4029" i="5"/>
  <c r="A4028" i="5"/>
  <c r="C4029" i="5"/>
  <c r="C4028" i="5"/>
  <c r="R4027" i="5"/>
  <c r="C3882" i="5"/>
  <c r="C3881" i="5"/>
  <c r="C3880" i="5"/>
  <c r="AM3809" i="5"/>
  <c r="AL3809" i="5"/>
  <c r="AK3809" i="5"/>
  <c r="AM3808" i="5"/>
  <c r="AL3808" i="5"/>
  <c r="AK3808" i="5"/>
  <c r="AM3807" i="5"/>
  <c r="AL3807" i="5"/>
  <c r="AK3807" i="5"/>
  <c r="AM3806" i="5"/>
  <c r="AL3806" i="5"/>
  <c r="AK3806" i="5"/>
  <c r="AM3805" i="5"/>
  <c r="AL3805" i="5"/>
  <c r="AK3805" i="5"/>
  <c r="AM3804" i="5"/>
  <c r="AL3804" i="5"/>
  <c r="AK3804" i="5"/>
  <c r="AM3803" i="5"/>
  <c r="AL3803" i="5"/>
  <c r="AK3803" i="5"/>
  <c r="AM3802" i="5"/>
  <c r="AL3802" i="5"/>
  <c r="AK3802" i="5"/>
  <c r="C3809" i="5"/>
  <c r="C3808" i="5"/>
  <c r="C3807" i="5"/>
  <c r="C3806" i="5"/>
  <c r="C3805" i="5"/>
  <c r="C3804" i="5"/>
  <c r="C3803" i="5"/>
  <c r="C3802" i="5"/>
  <c r="AQ3806" i="5"/>
  <c r="D3806" i="5"/>
  <c r="AQ3802" i="5"/>
  <c r="D3802" i="5"/>
  <c r="V3801" i="5"/>
  <c r="R3850" i="5"/>
  <c r="M3851" i="5"/>
  <c r="L3851" i="5" s="1"/>
  <c r="M3852" i="5"/>
  <c r="L3852" i="5" s="1"/>
  <c r="M3853" i="5"/>
  <c r="L3853" i="5" s="1"/>
  <c r="N3694" i="5"/>
  <c r="M3694" i="5" s="1"/>
  <c r="F3694" i="5" s="1"/>
  <c r="L3694" i="5" s="1"/>
  <c r="C3710" i="5"/>
  <c r="C3709" i="5"/>
  <c r="C3708" i="5"/>
  <c r="C3707" i="5"/>
  <c r="C3706" i="5"/>
  <c r="C3705" i="5"/>
  <c r="C3704" i="5"/>
  <c r="C3703" i="5"/>
  <c r="AM3710" i="5"/>
  <c r="AL3710" i="5"/>
  <c r="AK3710" i="5"/>
  <c r="AM3709" i="5"/>
  <c r="AL3709" i="5"/>
  <c r="AK3709" i="5"/>
  <c r="AM3708" i="5"/>
  <c r="AL3708" i="5"/>
  <c r="AK3708" i="5"/>
  <c r="AM3707" i="5"/>
  <c r="AL3707" i="5"/>
  <c r="AK3707" i="5"/>
  <c r="AM3706" i="5"/>
  <c r="AL3706" i="5"/>
  <c r="AK3706" i="5"/>
  <c r="AM3705" i="5"/>
  <c r="AL3705" i="5"/>
  <c r="AK3705" i="5"/>
  <c r="AM3704" i="5"/>
  <c r="AL3704" i="5"/>
  <c r="AK3704" i="5"/>
  <c r="AM3703" i="5"/>
  <c r="AL3703" i="5"/>
  <c r="AK3703" i="5"/>
  <c r="AQ3707" i="5"/>
  <c r="D3707" i="5"/>
  <c r="AQ3703" i="5"/>
  <c r="D3703" i="5"/>
  <c r="V3702" i="5"/>
  <c r="C3333" i="5"/>
  <c r="C3332" i="5"/>
  <c r="C3331" i="5"/>
  <c r="C3330" i="5"/>
  <c r="C3329" i="5"/>
  <c r="C3328" i="5"/>
  <c r="C3327" i="5"/>
  <c r="C3326" i="5"/>
  <c r="C3325" i="5"/>
  <c r="C3324" i="5"/>
  <c r="C3323" i="5"/>
  <c r="C3322" i="5"/>
  <c r="C3321" i="5"/>
  <c r="C3320" i="5"/>
  <c r="C3319" i="5"/>
  <c r="C3318" i="5"/>
  <c r="C3317" i="5"/>
  <c r="C3316" i="5"/>
  <c r="C3315" i="5"/>
  <c r="C3314" i="5"/>
  <c r="C3313" i="5"/>
  <c r="C3312" i="5"/>
  <c r="C3311" i="5"/>
  <c r="C3310" i="5"/>
  <c r="C3309" i="5"/>
  <c r="C3308" i="5"/>
  <c r="C3307" i="5"/>
  <c r="C3306" i="5"/>
  <c r="C3305" i="5"/>
  <c r="C3304" i="5"/>
  <c r="C3303" i="5"/>
  <c r="C3302" i="5"/>
  <c r="C3301" i="5"/>
  <c r="C3300" i="5"/>
  <c r="C3299" i="5"/>
  <c r="C3298" i="5"/>
  <c r="C3297" i="5"/>
  <c r="C3296" i="5"/>
  <c r="C3295" i="5"/>
  <c r="C3294" i="5"/>
  <c r="C3293" i="5"/>
  <c r="C3292" i="5"/>
  <c r="C3291" i="5"/>
  <c r="C3290" i="5"/>
  <c r="C3289" i="5"/>
  <c r="C3288" i="5"/>
  <c r="C3287" i="5"/>
  <c r="C3286" i="5"/>
  <c r="C3285" i="5"/>
  <c r="C3284" i="5"/>
  <c r="C3283" i="5"/>
  <c r="C3282" i="5"/>
  <c r="C3281" i="5"/>
  <c r="C3280" i="5"/>
  <c r="C3279" i="5"/>
  <c r="C3278" i="5"/>
  <c r="C3277" i="5"/>
  <c r="C3276" i="5"/>
  <c r="C3275" i="5"/>
  <c r="C3274" i="5"/>
  <c r="C3273" i="5"/>
  <c r="C3272" i="5"/>
  <c r="C3271" i="5"/>
  <c r="C3270" i="5"/>
  <c r="C3269" i="5"/>
  <c r="C3268" i="5"/>
  <c r="C3267" i="5"/>
  <c r="C3266" i="5"/>
  <c r="C3265" i="5"/>
  <c r="C3264" i="5"/>
  <c r="C3263" i="5"/>
  <c r="C3262" i="5"/>
  <c r="C3261" i="5"/>
  <c r="N3460" i="5"/>
  <c r="M3460" i="5" s="1"/>
  <c r="F3460" i="5" s="1"/>
  <c r="L3460" i="5" s="1"/>
  <c r="AM3478" i="5"/>
  <c r="AL3478" i="5"/>
  <c r="AK3478" i="5"/>
  <c r="AM3477" i="5"/>
  <c r="AL3477" i="5"/>
  <c r="AK3477" i="5"/>
  <c r="AM3476" i="5"/>
  <c r="AL3476" i="5"/>
  <c r="AK3476" i="5"/>
  <c r="AM3475" i="5"/>
  <c r="AL3475" i="5"/>
  <c r="AK3475" i="5"/>
  <c r="AM3474" i="5"/>
  <c r="AL3474" i="5"/>
  <c r="AK3474" i="5"/>
  <c r="AM3473" i="5"/>
  <c r="AL3473" i="5"/>
  <c r="AK3473" i="5"/>
  <c r="AM3472" i="5"/>
  <c r="AL3472" i="5"/>
  <c r="AK3472" i="5"/>
  <c r="AM3471" i="5"/>
  <c r="AL3471" i="5"/>
  <c r="AK3471" i="5"/>
  <c r="AM3470" i="5"/>
  <c r="AL3470" i="5"/>
  <c r="AK3470" i="5"/>
  <c r="S3459" i="5"/>
  <c r="S3469" i="5" s="1"/>
  <c r="O3469" i="5" s="1"/>
  <c r="AQ3478" i="5"/>
  <c r="D3478" i="5"/>
  <c r="AQ3474" i="5"/>
  <c r="D3474" i="5"/>
  <c r="AQ3470" i="5"/>
  <c r="D3470" i="5"/>
  <c r="V3469" i="5"/>
  <c r="AT3333" i="5"/>
  <c r="AS3333" i="5"/>
  <c r="AR3333" i="5"/>
  <c r="AQ3333" i="5"/>
  <c r="AP3333" i="5"/>
  <c r="AO3333" i="5"/>
  <c r="AN3333" i="5"/>
  <c r="AM3333" i="5"/>
  <c r="AL3333" i="5"/>
  <c r="AK3333" i="5"/>
  <c r="AT3332" i="5"/>
  <c r="AS3332" i="5"/>
  <c r="AR3332" i="5"/>
  <c r="AQ3332" i="5"/>
  <c r="AP3332" i="5"/>
  <c r="AO3332" i="5"/>
  <c r="AN3332" i="5"/>
  <c r="AM3332" i="5"/>
  <c r="AL3332" i="5"/>
  <c r="AK3332" i="5"/>
  <c r="AT3331" i="5"/>
  <c r="AS3331" i="5"/>
  <c r="AR3331" i="5"/>
  <c r="AQ3331" i="5"/>
  <c r="AP3331" i="5"/>
  <c r="AO3331" i="5"/>
  <c r="AN3331" i="5"/>
  <c r="AM3331" i="5"/>
  <c r="AL3331" i="5"/>
  <c r="AK3331" i="5"/>
  <c r="AT3330" i="5"/>
  <c r="AS3330" i="5"/>
  <c r="AR3330" i="5"/>
  <c r="AQ3330" i="5"/>
  <c r="AP3330" i="5"/>
  <c r="AO3330" i="5"/>
  <c r="AN3330" i="5"/>
  <c r="AM3330" i="5"/>
  <c r="AL3330" i="5"/>
  <c r="AK3330" i="5"/>
  <c r="AT3329" i="5"/>
  <c r="AS3329" i="5"/>
  <c r="AR3329" i="5"/>
  <c r="AQ3329" i="5"/>
  <c r="AP3329" i="5"/>
  <c r="AO3329" i="5"/>
  <c r="AN3329" i="5"/>
  <c r="AM3329" i="5"/>
  <c r="AL3329" i="5"/>
  <c r="AK3329" i="5"/>
  <c r="AT3328" i="5"/>
  <c r="AS3328" i="5"/>
  <c r="AR3328" i="5"/>
  <c r="AQ3328" i="5"/>
  <c r="AP3328" i="5"/>
  <c r="AO3328" i="5"/>
  <c r="AN3328" i="5"/>
  <c r="AM3328" i="5"/>
  <c r="AL3328" i="5"/>
  <c r="AK3328" i="5"/>
  <c r="AT3327" i="5"/>
  <c r="AS3327" i="5"/>
  <c r="AR3327" i="5"/>
  <c r="AQ3327" i="5"/>
  <c r="AP3327" i="5"/>
  <c r="AO3327" i="5"/>
  <c r="AN3327" i="5"/>
  <c r="AM3327" i="5"/>
  <c r="AL3327" i="5"/>
  <c r="AK3327" i="5"/>
  <c r="AT3326" i="5"/>
  <c r="AS3326" i="5"/>
  <c r="AR3326" i="5"/>
  <c r="AQ3326" i="5"/>
  <c r="AP3326" i="5"/>
  <c r="AO3326" i="5"/>
  <c r="AN3326" i="5"/>
  <c r="AM3326" i="5"/>
  <c r="AL3326" i="5"/>
  <c r="AK3326" i="5"/>
  <c r="AT3325" i="5"/>
  <c r="AS3325" i="5"/>
  <c r="AR3325" i="5"/>
  <c r="AQ3325" i="5"/>
  <c r="AP3325" i="5"/>
  <c r="AO3325" i="5"/>
  <c r="AN3325" i="5"/>
  <c r="AM3325" i="5"/>
  <c r="AL3325" i="5"/>
  <c r="AK3325" i="5"/>
  <c r="AT3324" i="5"/>
  <c r="AS3324" i="5"/>
  <c r="AR3324" i="5"/>
  <c r="AQ3324" i="5"/>
  <c r="AP3324" i="5"/>
  <c r="AO3324" i="5"/>
  <c r="AN3324" i="5"/>
  <c r="AM3324" i="5"/>
  <c r="AL3324" i="5"/>
  <c r="AK3324" i="5"/>
  <c r="AT3323" i="5"/>
  <c r="AS3323" i="5"/>
  <c r="AR3323" i="5"/>
  <c r="AQ3323" i="5"/>
  <c r="AP3323" i="5"/>
  <c r="AO3323" i="5"/>
  <c r="AN3323" i="5"/>
  <c r="AM3323" i="5"/>
  <c r="AL3323" i="5"/>
  <c r="AK3323" i="5"/>
  <c r="AT3322" i="5"/>
  <c r="AS3322" i="5"/>
  <c r="AR3322" i="5"/>
  <c r="AQ3322" i="5"/>
  <c r="AP3322" i="5"/>
  <c r="AO3322" i="5"/>
  <c r="AN3322" i="5"/>
  <c r="AM3322" i="5"/>
  <c r="AL3322" i="5"/>
  <c r="AK3322" i="5"/>
  <c r="AT3321" i="5"/>
  <c r="AS3321" i="5"/>
  <c r="AR3321" i="5"/>
  <c r="AQ3321" i="5"/>
  <c r="AP3321" i="5"/>
  <c r="AO3321" i="5"/>
  <c r="AN3321" i="5"/>
  <c r="AM3321" i="5"/>
  <c r="AL3321" i="5"/>
  <c r="AK3321" i="5"/>
  <c r="AT3320" i="5"/>
  <c r="AS3320" i="5"/>
  <c r="AR3320" i="5"/>
  <c r="AQ3320" i="5"/>
  <c r="AP3320" i="5"/>
  <c r="AO3320" i="5"/>
  <c r="AN3320" i="5"/>
  <c r="AM3320" i="5"/>
  <c r="AL3320" i="5"/>
  <c r="AK3320" i="5"/>
  <c r="AT3319" i="5"/>
  <c r="AS3319" i="5"/>
  <c r="AR3319" i="5"/>
  <c r="AQ3319" i="5"/>
  <c r="AP3319" i="5"/>
  <c r="AO3319" i="5"/>
  <c r="AN3319" i="5"/>
  <c r="AM3319" i="5"/>
  <c r="AL3319" i="5"/>
  <c r="AK3319" i="5"/>
  <c r="AT3318" i="5"/>
  <c r="AS3318" i="5"/>
  <c r="AR3318" i="5"/>
  <c r="AQ3318" i="5"/>
  <c r="AP3318" i="5"/>
  <c r="AO3318" i="5"/>
  <c r="AN3318" i="5"/>
  <c r="AM3318" i="5"/>
  <c r="AL3318" i="5"/>
  <c r="AK3318" i="5"/>
  <c r="AT3317" i="5"/>
  <c r="AS3317" i="5"/>
  <c r="AR3317" i="5"/>
  <c r="AQ3317" i="5"/>
  <c r="AP3317" i="5"/>
  <c r="AO3317" i="5"/>
  <c r="AN3317" i="5"/>
  <c r="AM3317" i="5"/>
  <c r="AL3317" i="5"/>
  <c r="AK3317" i="5"/>
  <c r="AT3316" i="5"/>
  <c r="AS3316" i="5"/>
  <c r="AR3316" i="5"/>
  <c r="AQ3316" i="5"/>
  <c r="AP3316" i="5"/>
  <c r="AO3316" i="5"/>
  <c r="AN3316" i="5"/>
  <c r="AM3316" i="5"/>
  <c r="AL3316" i="5"/>
  <c r="AK3316" i="5"/>
  <c r="AT3315" i="5"/>
  <c r="AS3315" i="5"/>
  <c r="AR3315" i="5"/>
  <c r="AQ3315" i="5"/>
  <c r="AP3315" i="5"/>
  <c r="AO3315" i="5"/>
  <c r="AN3315" i="5"/>
  <c r="AM3315" i="5"/>
  <c r="AL3315" i="5"/>
  <c r="AK3315" i="5"/>
  <c r="AT3314" i="5"/>
  <c r="AS3314" i="5"/>
  <c r="AR3314" i="5"/>
  <c r="AQ3314" i="5"/>
  <c r="AP3314" i="5"/>
  <c r="AO3314" i="5"/>
  <c r="AN3314" i="5"/>
  <c r="AM3314" i="5"/>
  <c r="AL3314" i="5"/>
  <c r="AK3314" i="5"/>
  <c r="AT3313" i="5"/>
  <c r="AS3313" i="5"/>
  <c r="AR3313" i="5"/>
  <c r="AQ3313" i="5"/>
  <c r="AP3313" i="5"/>
  <c r="AO3313" i="5"/>
  <c r="AN3313" i="5"/>
  <c r="AM3313" i="5"/>
  <c r="AL3313" i="5"/>
  <c r="AK3313" i="5"/>
  <c r="AT3312" i="5"/>
  <c r="AS3312" i="5"/>
  <c r="AR3312" i="5"/>
  <c r="AQ3312" i="5"/>
  <c r="AP3312" i="5"/>
  <c r="AO3312" i="5"/>
  <c r="AN3312" i="5"/>
  <c r="AM3312" i="5"/>
  <c r="AL3312" i="5"/>
  <c r="AK3312" i="5"/>
  <c r="AT3311" i="5"/>
  <c r="AS3311" i="5"/>
  <c r="AR3311" i="5"/>
  <c r="AQ3311" i="5"/>
  <c r="AP3311" i="5"/>
  <c r="AO3311" i="5"/>
  <c r="AN3311" i="5"/>
  <c r="AM3311" i="5"/>
  <c r="AL3311" i="5"/>
  <c r="AK3311" i="5"/>
  <c r="AT3310" i="5"/>
  <c r="AS3310" i="5"/>
  <c r="AR3310" i="5"/>
  <c r="AQ3310" i="5"/>
  <c r="AP3310" i="5"/>
  <c r="AO3310" i="5"/>
  <c r="AN3310" i="5"/>
  <c r="AM3310" i="5"/>
  <c r="AL3310" i="5"/>
  <c r="AK3310" i="5"/>
  <c r="AT3309" i="5"/>
  <c r="AS3309" i="5"/>
  <c r="AR3309" i="5"/>
  <c r="AQ3309" i="5"/>
  <c r="AP3309" i="5"/>
  <c r="AO3309" i="5"/>
  <c r="AN3309" i="5"/>
  <c r="AM3309" i="5"/>
  <c r="AL3309" i="5"/>
  <c r="AK3309" i="5"/>
  <c r="AT3308" i="5"/>
  <c r="AS3308" i="5"/>
  <c r="AR3308" i="5"/>
  <c r="AQ3308" i="5"/>
  <c r="AP3308" i="5"/>
  <c r="AO3308" i="5"/>
  <c r="AN3308" i="5"/>
  <c r="AM3308" i="5"/>
  <c r="AL3308" i="5"/>
  <c r="AK3308" i="5"/>
  <c r="AT3307" i="5"/>
  <c r="AS3307" i="5"/>
  <c r="AR3307" i="5"/>
  <c r="AQ3307" i="5"/>
  <c r="AP3307" i="5"/>
  <c r="AO3307" i="5"/>
  <c r="AN3307" i="5"/>
  <c r="AM3307" i="5"/>
  <c r="AL3307" i="5"/>
  <c r="AK3307" i="5"/>
  <c r="AT3306" i="5"/>
  <c r="AS3306" i="5"/>
  <c r="AR3306" i="5"/>
  <c r="AQ3306" i="5"/>
  <c r="AP3306" i="5"/>
  <c r="AO3306" i="5"/>
  <c r="AN3306" i="5"/>
  <c r="AM3306" i="5"/>
  <c r="AL3306" i="5"/>
  <c r="AK3306" i="5"/>
  <c r="AT3305" i="5"/>
  <c r="AS3305" i="5"/>
  <c r="AR3305" i="5"/>
  <c r="AQ3305" i="5"/>
  <c r="AP3305" i="5"/>
  <c r="AO3305" i="5"/>
  <c r="AN3305" i="5"/>
  <c r="AM3305" i="5"/>
  <c r="AL3305" i="5"/>
  <c r="AK3305" i="5"/>
  <c r="AT3304" i="5"/>
  <c r="AS3304" i="5"/>
  <c r="AR3304" i="5"/>
  <c r="AQ3304" i="5"/>
  <c r="AP3304" i="5"/>
  <c r="AO3304" i="5"/>
  <c r="AN3304" i="5"/>
  <c r="AM3304" i="5"/>
  <c r="AL3304" i="5"/>
  <c r="AK3304" i="5"/>
  <c r="AT3303" i="5"/>
  <c r="AS3303" i="5"/>
  <c r="AR3303" i="5"/>
  <c r="AQ3303" i="5"/>
  <c r="AP3303" i="5"/>
  <c r="AO3303" i="5"/>
  <c r="AN3303" i="5"/>
  <c r="AM3303" i="5"/>
  <c r="AL3303" i="5"/>
  <c r="AK3303" i="5"/>
  <c r="AT3302" i="5"/>
  <c r="AS3302" i="5"/>
  <c r="AR3302" i="5"/>
  <c r="AQ3302" i="5"/>
  <c r="AP3302" i="5"/>
  <c r="AO3302" i="5"/>
  <c r="AN3302" i="5"/>
  <c r="AM3302" i="5"/>
  <c r="AL3302" i="5"/>
  <c r="AK3302" i="5"/>
  <c r="AT3301" i="5"/>
  <c r="AS3301" i="5"/>
  <c r="AR3301" i="5"/>
  <c r="AQ3301" i="5"/>
  <c r="AP3301" i="5"/>
  <c r="AO3301" i="5"/>
  <c r="AN3301" i="5"/>
  <c r="AM3301" i="5"/>
  <c r="AL3301" i="5"/>
  <c r="AK3301" i="5"/>
  <c r="AT3300" i="5"/>
  <c r="AS3300" i="5"/>
  <c r="AR3300" i="5"/>
  <c r="AQ3300" i="5"/>
  <c r="AP3300" i="5"/>
  <c r="AO3300" i="5"/>
  <c r="AN3300" i="5"/>
  <c r="AM3300" i="5"/>
  <c r="AL3300" i="5"/>
  <c r="AK3300" i="5"/>
  <c r="AT3299" i="5"/>
  <c r="AS3299" i="5"/>
  <c r="AR3299" i="5"/>
  <c r="AQ3299" i="5"/>
  <c r="AP3299" i="5"/>
  <c r="AO3299" i="5"/>
  <c r="AN3299" i="5"/>
  <c r="AM3299" i="5"/>
  <c r="AL3299" i="5"/>
  <c r="AK3299" i="5"/>
  <c r="AT3298" i="5"/>
  <c r="AS3298" i="5"/>
  <c r="AR3298" i="5"/>
  <c r="AQ3298" i="5"/>
  <c r="AP3298" i="5"/>
  <c r="AO3298" i="5"/>
  <c r="AN3298" i="5"/>
  <c r="AM3298" i="5"/>
  <c r="AL3298" i="5"/>
  <c r="AK3298" i="5"/>
  <c r="AT3297" i="5"/>
  <c r="AS3297" i="5"/>
  <c r="AR3297" i="5"/>
  <c r="AQ3297" i="5"/>
  <c r="AP3297" i="5"/>
  <c r="AO3297" i="5"/>
  <c r="AN3297" i="5"/>
  <c r="AM3297" i="5"/>
  <c r="AL3297" i="5"/>
  <c r="AK3297" i="5"/>
  <c r="AT3296" i="5"/>
  <c r="AS3296" i="5"/>
  <c r="AR3296" i="5"/>
  <c r="AQ3296" i="5"/>
  <c r="AP3296" i="5"/>
  <c r="AO3296" i="5"/>
  <c r="AN3296" i="5"/>
  <c r="AM3296" i="5"/>
  <c r="AL3296" i="5"/>
  <c r="AK3296" i="5"/>
  <c r="AT3295" i="5"/>
  <c r="AS3295" i="5"/>
  <c r="AR3295" i="5"/>
  <c r="AQ3295" i="5"/>
  <c r="AP3295" i="5"/>
  <c r="AO3295" i="5"/>
  <c r="AN3295" i="5"/>
  <c r="AM3295" i="5"/>
  <c r="AL3295" i="5"/>
  <c r="AK3295" i="5"/>
  <c r="AT3294" i="5"/>
  <c r="AS3294" i="5"/>
  <c r="AR3294" i="5"/>
  <c r="AQ3294" i="5"/>
  <c r="AP3294" i="5"/>
  <c r="AO3294" i="5"/>
  <c r="AN3294" i="5"/>
  <c r="AM3294" i="5"/>
  <c r="AL3294" i="5"/>
  <c r="AK3294" i="5"/>
  <c r="AT3293" i="5"/>
  <c r="AS3293" i="5"/>
  <c r="AR3293" i="5"/>
  <c r="AQ3293" i="5"/>
  <c r="AP3293" i="5"/>
  <c r="AO3293" i="5"/>
  <c r="AN3293" i="5"/>
  <c r="AM3293" i="5"/>
  <c r="AL3293" i="5"/>
  <c r="AK3293" i="5"/>
  <c r="AT3292" i="5"/>
  <c r="AS3292" i="5"/>
  <c r="AR3292" i="5"/>
  <c r="AQ3292" i="5"/>
  <c r="AP3292" i="5"/>
  <c r="AO3292" i="5"/>
  <c r="AN3292" i="5"/>
  <c r="AM3292" i="5"/>
  <c r="AL3292" i="5"/>
  <c r="AK3292" i="5"/>
  <c r="AT3291" i="5"/>
  <c r="AS3291" i="5"/>
  <c r="AR3291" i="5"/>
  <c r="AQ3291" i="5"/>
  <c r="AP3291" i="5"/>
  <c r="AO3291" i="5"/>
  <c r="AN3291" i="5"/>
  <c r="AM3291" i="5"/>
  <c r="AL3291" i="5"/>
  <c r="AK3291" i="5"/>
  <c r="AT3290" i="5"/>
  <c r="AS3290" i="5"/>
  <c r="AR3290" i="5"/>
  <c r="AQ3290" i="5"/>
  <c r="AP3290" i="5"/>
  <c r="AO3290" i="5"/>
  <c r="AN3290" i="5"/>
  <c r="AM3290" i="5"/>
  <c r="AL3290" i="5"/>
  <c r="AK3290" i="5"/>
  <c r="AT3289" i="5"/>
  <c r="AS3289" i="5"/>
  <c r="AR3289" i="5"/>
  <c r="AQ3289" i="5"/>
  <c r="AP3289" i="5"/>
  <c r="AO3289" i="5"/>
  <c r="AN3289" i="5"/>
  <c r="AM3289" i="5"/>
  <c r="AL3289" i="5"/>
  <c r="AK3289" i="5"/>
  <c r="AT3288" i="5"/>
  <c r="AS3288" i="5"/>
  <c r="AR3288" i="5"/>
  <c r="AQ3288" i="5"/>
  <c r="AP3288" i="5"/>
  <c r="AO3288" i="5"/>
  <c r="AN3288" i="5"/>
  <c r="AM3288" i="5"/>
  <c r="AL3288" i="5"/>
  <c r="AK3288" i="5"/>
  <c r="AT3287" i="5"/>
  <c r="AS3287" i="5"/>
  <c r="AR3287" i="5"/>
  <c r="AQ3287" i="5"/>
  <c r="AP3287" i="5"/>
  <c r="AO3287" i="5"/>
  <c r="AN3287" i="5"/>
  <c r="AM3287" i="5"/>
  <c r="AL3287" i="5"/>
  <c r="AK3287" i="5"/>
  <c r="AT3286" i="5"/>
  <c r="AS3286" i="5"/>
  <c r="AR3286" i="5"/>
  <c r="AQ3286" i="5"/>
  <c r="AP3286" i="5"/>
  <c r="AO3286" i="5"/>
  <c r="AN3286" i="5"/>
  <c r="AM3286" i="5"/>
  <c r="AL3286" i="5"/>
  <c r="AK3286" i="5"/>
  <c r="AT3285" i="5"/>
  <c r="AS3285" i="5"/>
  <c r="AR3285" i="5"/>
  <c r="AQ3285" i="5"/>
  <c r="AP3285" i="5"/>
  <c r="AO3285" i="5"/>
  <c r="AN3285" i="5"/>
  <c r="AM3285" i="5"/>
  <c r="AL3285" i="5"/>
  <c r="AK3285" i="5"/>
  <c r="AT3284" i="5"/>
  <c r="AS3284" i="5"/>
  <c r="AR3284" i="5"/>
  <c r="AQ3284" i="5"/>
  <c r="AP3284" i="5"/>
  <c r="AO3284" i="5"/>
  <c r="AN3284" i="5"/>
  <c r="AM3284" i="5"/>
  <c r="AL3284" i="5"/>
  <c r="AK3284" i="5"/>
  <c r="AT3283" i="5"/>
  <c r="AS3283" i="5"/>
  <c r="AR3283" i="5"/>
  <c r="AQ3283" i="5"/>
  <c r="AP3283" i="5"/>
  <c r="AO3283" i="5"/>
  <c r="AN3283" i="5"/>
  <c r="AM3283" i="5"/>
  <c r="AL3283" i="5"/>
  <c r="AK3283" i="5"/>
  <c r="AT3282" i="5"/>
  <c r="AS3282" i="5"/>
  <c r="AR3282" i="5"/>
  <c r="AQ3282" i="5"/>
  <c r="AP3282" i="5"/>
  <c r="AO3282" i="5"/>
  <c r="AN3282" i="5"/>
  <c r="AM3282" i="5"/>
  <c r="AL3282" i="5"/>
  <c r="AK3282" i="5"/>
  <c r="AT3281" i="5"/>
  <c r="AS3281" i="5"/>
  <c r="AR3281" i="5"/>
  <c r="AQ3281" i="5"/>
  <c r="AP3281" i="5"/>
  <c r="AO3281" i="5"/>
  <c r="AN3281" i="5"/>
  <c r="AM3281" i="5"/>
  <c r="AL3281" i="5"/>
  <c r="AK3281" i="5"/>
  <c r="AT3280" i="5"/>
  <c r="AS3280" i="5"/>
  <c r="AR3280" i="5"/>
  <c r="AQ3280" i="5"/>
  <c r="AP3280" i="5"/>
  <c r="AO3280" i="5"/>
  <c r="AN3280" i="5"/>
  <c r="AM3280" i="5"/>
  <c r="AL3280" i="5"/>
  <c r="AK3280" i="5"/>
  <c r="AT3279" i="5"/>
  <c r="AS3279" i="5"/>
  <c r="AR3279" i="5"/>
  <c r="AQ3279" i="5"/>
  <c r="AP3279" i="5"/>
  <c r="AO3279" i="5"/>
  <c r="AN3279" i="5"/>
  <c r="AM3279" i="5"/>
  <c r="AL3279" i="5"/>
  <c r="AK3279" i="5"/>
  <c r="AT3278" i="5"/>
  <c r="AS3278" i="5"/>
  <c r="AR3278" i="5"/>
  <c r="AQ3278" i="5"/>
  <c r="AP3278" i="5"/>
  <c r="AO3278" i="5"/>
  <c r="AN3278" i="5"/>
  <c r="AM3278" i="5"/>
  <c r="AL3278" i="5"/>
  <c r="AK3278" i="5"/>
  <c r="AT3277" i="5"/>
  <c r="AS3277" i="5"/>
  <c r="AR3277" i="5"/>
  <c r="AQ3277" i="5"/>
  <c r="AP3277" i="5"/>
  <c r="AO3277" i="5"/>
  <c r="AN3277" i="5"/>
  <c r="AM3277" i="5"/>
  <c r="AL3277" i="5"/>
  <c r="AK3277" i="5"/>
  <c r="AT3276" i="5"/>
  <c r="AS3276" i="5"/>
  <c r="AR3276" i="5"/>
  <c r="AQ3276" i="5"/>
  <c r="AP3276" i="5"/>
  <c r="AO3276" i="5"/>
  <c r="AN3276" i="5"/>
  <c r="AM3276" i="5"/>
  <c r="AL3276" i="5"/>
  <c r="AK3276" i="5"/>
  <c r="AT3275" i="5"/>
  <c r="AS3275" i="5"/>
  <c r="AR3275" i="5"/>
  <c r="AQ3275" i="5"/>
  <c r="AP3275" i="5"/>
  <c r="AO3275" i="5"/>
  <c r="AN3275" i="5"/>
  <c r="AM3275" i="5"/>
  <c r="AL3275" i="5"/>
  <c r="AK3275" i="5"/>
  <c r="AT3274" i="5"/>
  <c r="AS3274" i="5"/>
  <c r="AR3274" i="5"/>
  <c r="AQ3274" i="5"/>
  <c r="AP3274" i="5"/>
  <c r="AO3274" i="5"/>
  <c r="AN3274" i="5"/>
  <c r="AM3274" i="5"/>
  <c r="AL3274" i="5"/>
  <c r="AK3274" i="5"/>
  <c r="AT3273" i="5"/>
  <c r="AS3273" i="5"/>
  <c r="AR3273" i="5"/>
  <c r="AQ3273" i="5"/>
  <c r="AP3273" i="5"/>
  <c r="AO3273" i="5"/>
  <c r="AN3273" i="5"/>
  <c r="AM3273" i="5"/>
  <c r="AL3273" i="5"/>
  <c r="AK3273" i="5"/>
  <c r="AT3272" i="5"/>
  <c r="AS3272" i="5"/>
  <c r="AR3272" i="5"/>
  <c r="AQ3272" i="5"/>
  <c r="AP3272" i="5"/>
  <c r="AO3272" i="5"/>
  <c r="AN3272" i="5"/>
  <c r="AM3272" i="5"/>
  <c r="AL3272" i="5"/>
  <c r="AK3272" i="5"/>
  <c r="AT3271" i="5"/>
  <c r="AS3271" i="5"/>
  <c r="AR3271" i="5"/>
  <c r="AQ3271" i="5"/>
  <c r="AP3271" i="5"/>
  <c r="AO3271" i="5"/>
  <c r="AN3271" i="5"/>
  <c r="AM3271" i="5"/>
  <c r="AL3271" i="5"/>
  <c r="AK3271" i="5"/>
  <c r="AT3270" i="5"/>
  <c r="AS3270" i="5"/>
  <c r="AR3270" i="5"/>
  <c r="AQ3270" i="5"/>
  <c r="AP3270" i="5"/>
  <c r="AO3270" i="5"/>
  <c r="AN3270" i="5"/>
  <c r="AM3270" i="5"/>
  <c r="AL3270" i="5"/>
  <c r="AK3270" i="5"/>
  <c r="AT3269" i="5"/>
  <c r="AS3269" i="5"/>
  <c r="AR3269" i="5"/>
  <c r="AQ3269" i="5"/>
  <c r="AP3269" i="5"/>
  <c r="AO3269" i="5"/>
  <c r="AN3269" i="5"/>
  <c r="AM3269" i="5"/>
  <c r="AL3269" i="5"/>
  <c r="AK3269" i="5"/>
  <c r="AT3268" i="5"/>
  <c r="AS3268" i="5"/>
  <c r="AR3268" i="5"/>
  <c r="AQ3268" i="5"/>
  <c r="AP3268" i="5"/>
  <c r="AO3268" i="5"/>
  <c r="AN3268" i="5"/>
  <c r="AM3268" i="5"/>
  <c r="AL3268" i="5"/>
  <c r="AK3268" i="5"/>
  <c r="AT3267" i="5"/>
  <c r="AS3267" i="5"/>
  <c r="AR3267" i="5"/>
  <c r="AQ3267" i="5"/>
  <c r="AP3267" i="5"/>
  <c r="AO3267" i="5"/>
  <c r="AN3267" i="5"/>
  <c r="AM3267" i="5"/>
  <c r="AL3267" i="5"/>
  <c r="AK3267" i="5"/>
  <c r="AT3266" i="5"/>
  <c r="AS3266" i="5"/>
  <c r="AR3266" i="5"/>
  <c r="AQ3266" i="5"/>
  <c r="AP3266" i="5"/>
  <c r="AO3266" i="5"/>
  <c r="AN3266" i="5"/>
  <c r="AM3266" i="5"/>
  <c r="AL3266" i="5"/>
  <c r="AK3266" i="5"/>
  <c r="AT3265" i="5"/>
  <c r="AS3265" i="5"/>
  <c r="AR3265" i="5"/>
  <c r="AQ3265" i="5"/>
  <c r="AP3265" i="5"/>
  <c r="AO3265" i="5"/>
  <c r="AN3265" i="5"/>
  <c r="AM3265" i="5"/>
  <c r="AL3265" i="5"/>
  <c r="AK3265" i="5"/>
  <c r="AT3264" i="5"/>
  <c r="AS3264" i="5"/>
  <c r="AR3264" i="5"/>
  <c r="AQ3264" i="5"/>
  <c r="AP3264" i="5"/>
  <c r="AO3264" i="5"/>
  <c r="AS3261" i="5"/>
  <c r="AR3261" i="5"/>
  <c r="AQ3261" i="5"/>
  <c r="AP3261" i="5"/>
  <c r="AO3261" i="5"/>
  <c r="AN3264" i="5"/>
  <c r="AM3264" i="5"/>
  <c r="AL3264" i="5"/>
  <c r="AK3264" i="5"/>
  <c r="AT3263" i="5"/>
  <c r="AS3263" i="5"/>
  <c r="AR3263" i="5"/>
  <c r="AQ3263" i="5"/>
  <c r="AP3263" i="5"/>
  <c r="AO3263" i="5"/>
  <c r="AN3263" i="5"/>
  <c r="AM3263" i="5"/>
  <c r="AL3263" i="5"/>
  <c r="AK3263" i="5"/>
  <c r="AT3262" i="5"/>
  <c r="AS3262" i="5"/>
  <c r="AR3262" i="5"/>
  <c r="AQ3262" i="5"/>
  <c r="AP3262" i="5"/>
  <c r="AO3262" i="5"/>
  <c r="AT3261" i="5"/>
  <c r="AN3262" i="5"/>
  <c r="AM3262" i="5"/>
  <c r="AL3262" i="5"/>
  <c r="AK3262" i="5"/>
  <c r="AN3261" i="5"/>
  <c r="AM3261" i="5"/>
  <c r="AL3261" i="5"/>
  <c r="AK3261" i="5"/>
  <c r="AX3333" i="5"/>
  <c r="D3333" i="5"/>
  <c r="AX3313" i="5"/>
  <c r="D3313" i="5"/>
  <c r="AX3293" i="5"/>
  <c r="D3293" i="5"/>
  <c r="AX3277" i="5"/>
  <c r="D3277" i="5"/>
  <c r="AX3261" i="5"/>
  <c r="D3261" i="5"/>
  <c r="AC3260" i="5"/>
  <c r="M3256" i="5"/>
  <c r="AZ1518" i="5"/>
  <c r="AY1518" i="5"/>
  <c r="AW1518" i="5"/>
  <c r="AX1518" i="5" s="1"/>
  <c r="AU1518" i="5"/>
  <c r="AV1518" i="5" s="1"/>
  <c r="AR1518" i="5"/>
  <c r="AN1518" i="5"/>
  <c r="AO1518" i="5"/>
  <c r="AL1518" i="5"/>
  <c r="AK1518" i="5"/>
  <c r="AJ1518" i="5"/>
  <c r="AI1518" i="5"/>
  <c r="AZ1525" i="5"/>
  <c r="AY1525" i="5"/>
  <c r="AW1525" i="5"/>
  <c r="AX1525" i="5" s="1"/>
  <c r="AU1525" i="5"/>
  <c r="AV1525" i="5" s="1"/>
  <c r="AR1525" i="5"/>
  <c r="AT1525" i="5" s="1"/>
  <c r="AN1525" i="5"/>
  <c r="AO1525" i="5"/>
  <c r="AL1525" i="5"/>
  <c r="AK1525" i="5"/>
  <c r="AJ1525" i="5"/>
  <c r="AI1525" i="5"/>
  <c r="AZ1528" i="5"/>
  <c r="AY1528" i="5"/>
  <c r="AW1528" i="5"/>
  <c r="AX1528" i="5" s="1"/>
  <c r="AU1528" i="5"/>
  <c r="AV1528" i="5" s="1"/>
  <c r="AR1528" i="5"/>
  <c r="AT1528" i="5" s="1"/>
  <c r="AN1528" i="5"/>
  <c r="AO1528" i="5"/>
  <c r="AL1528" i="5"/>
  <c r="AK1528" i="5"/>
  <c r="AJ1528" i="5"/>
  <c r="AI1528" i="5"/>
  <c r="AZ1524" i="5"/>
  <c r="AY1524" i="5"/>
  <c r="AW1524" i="5"/>
  <c r="AX1524" i="5" s="1"/>
  <c r="AU1524" i="5"/>
  <c r="AV1524" i="5" s="1"/>
  <c r="AR1524" i="5"/>
  <c r="AT1524" i="5" s="1"/>
  <c r="AN1524" i="5"/>
  <c r="AO1524" i="5"/>
  <c r="AL1524" i="5"/>
  <c r="AK1524" i="5"/>
  <c r="AJ1524" i="5"/>
  <c r="AI1524" i="5"/>
  <c r="AZ1517" i="5"/>
  <c r="AY1517" i="5"/>
  <c r="AW1517" i="5"/>
  <c r="AX1517" i="5" s="1"/>
  <c r="AU1517" i="5"/>
  <c r="AV1517" i="5" s="1"/>
  <c r="AR1517" i="5"/>
  <c r="AT1517" i="5" s="1"/>
  <c r="AN1517" i="5"/>
  <c r="AO1517" i="5"/>
  <c r="AL1517" i="5"/>
  <c r="AK1517" i="5"/>
  <c r="AJ1517" i="5"/>
  <c r="AI1517" i="5"/>
  <c r="T1128" i="5"/>
  <c r="M1387" i="5" s="1"/>
  <c r="F1387" i="5" s="1"/>
  <c r="AH1512" i="5"/>
  <c r="AK1512" i="5" s="1"/>
  <c r="AW1512" i="5"/>
  <c r="AX1512" i="5" s="1"/>
  <c r="AU1512" i="5"/>
  <c r="AV1512" i="5" s="1"/>
  <c r="AR1512" i="5"/>
  <c r="AS1512" i="5" s="1"/>
  <c r="AN1512" i="5"/>
  <c r="AO1512" i="5"/>
  <c r="AP1512" i="5"/>
  <c r="M1507" i="5"/>
  <c r="F1507" i="5" s="1"/>
  <c r="AH1507" i="5"/>
  <c r="AZ1507" i="5" s="1"/>
  <c r="U95" i="5"/>
  <c r="T95" i="5"/>
  <c r="F100" i="5" s="1"/>
  <c r="S95" i="5"/>
  <c r="F99" i="5" s="1"/>
  <c r="R95" i="5"/>
  <c r="Q95" i="5"/>
  <c r="P95" i="5"/>
  <c r="P110" i="5" s="1"/>
  <c r="F111" i="5" s="1"/>
  <c r="O95" i="5"/>
  <c r="O110" i="5" s="1"/>
  <c r="F110" i="5" s="1"/>
  <c r="O4640" i="5"/>
  <c r="O4641" i="5" s="1"/>
  <c r="O4642" i="5" s="1"/>
  <c r="O4643" i="5" s="1"/>
  <c r="O4644" i="5" s="1"/>
  <c r="O4603" i="5"/>
  <c r="O4604" i="5" s="1"/>
  <c r="O4605" i="5" s="1"/>
  <c r="O4606" i="5" s="1"/>
  <c r="O4607" i="5" s="1"/>
  <c r="O4380" i="5"/>
  <c r="O4381" i="5" s="1"/>
  <c r="O4382" i="5" s="1"/>
  <c r="O4383" i="5" s="1"/>
  <c r="O4384" i="5" s="1"/>
  <c r="O4385" i="5" s="1"/>
  <c r="O4386" i="5" s="1"/>
  <c r="O4387" i="5" s="1"/>
  <c r="O4388" i="5" s="1"/>
  <c r="O4389" i="5" s="1"/>
  <c r="O4390" i="5" s="1"/>
  <c r="O4370" i="5"/>
  <c r="O4371" i="5" s="1"/>
  <c r="O4372" i="5" s="1"/>
  <c r="O4373" i="5" s="1"/>
  <c r="O4374" i="5" s="1"/>
  <c r="O4375" i="5" s="1"/>
  <c r="O4376" i="5" s="1"/>
  <c r="O4377" i="5" s="1"/>
  <c r="N4114" i="5"/>
  <c r="N4112" i="5"/>
  <c r="M4112" i="5" s="1"/>
  <c r="F4112" i="5" s="1"/>
  <c r="L4112" i="5" s="1"/>
  <c r="M4110" i="5"/>
  <c r="F4110" i="5" s="1"/>
  <c r="L4110" i="5" s="1"/>
  <c r="M4108" i="5"/>
  <c r="F4108" i="5" s="1"/>
  <c r="L4108" i="5" s="1"/>
  <c r="AC3181" i="5"/>
  <c r="V3684" i="5"/>
  <c r="V3783" i="5"/>
  <c r="M4022" i="5"/>
  <c r="F4022" i="5" s="1"/>
  <c r="L4022" i="5" s="1"/>
  <c r="M4023" i="5"/>
  <c r="F4023" i="5" s="1"/>
  <c r="L4023" i="5" s="1"/>
  <c r="C3800" i="5"/>
  <c r="C3799" i="5"/>
  <c r="C3798" i="5"/>
  <c r="C3797" i="5"/>
  <c r="C3796" i="5"/>
  <c r="C3795" i="5"/>
  <c r="C3794" i="5"/>
  <c r="C3793" i="5"/>
  <c r="C3791" i="5"/>
  <c r="C3790" i="5"/>
  <c r="C3789" i="5"/>
  <c r="C3788" i="5"/>
  <c r="C3787" i="5"/>
  <c r="C3786" i="5"/>
  <c r="C3785" i="5"/>
  <c r="C3784" i="5"/>
  <c r="C3692" i="5"/>
  <c r="C3691" i="5"/>
  <c r="C3690" i="5"/>
  <c r="C3689" i="5"/>
  <c r="C3688" i="5"/>
  <c r="C3687" i="5"/>
  <c r="C3686" i="5"/>
  <c r="C3685" i="5"/>
  <c r="M3177" i="5"/>
  <c r="Z3181" i="5"/>
  <c r="AA3181" i="5"/>
  <c r="AA3260" i="5" s="1"/>
  <c r="W3260" i="5" s="1"/>
  <c r="AB3181" i="5"/>
  <c r="X3181" i="5" s="1"/>
  <c r="C4232" i="5"/>
  <c r="C4231" i="5"/>
  <c r="C4230" i="5"/>
  <c r="C4114" i="5"/>
  <c r="C4113" i="5"/>
  <c r="C4112" i="5"/>
  <c r="N4268" i="5"/>
  <c r="N4272" i="5" s="1"/>
  <c r="M4272" i="5" s="1"/>
  <c r="F4273" i="5" s="1"/>
  <c r="N4267" i="5"/>
  <c r="N4271" i="5" s="1"/>
  <c r="M4271" i="5" s="1"/>
  <c r="F4272" i="5" s="1"/>
  <c r="N4266" i="5"/>
  <c r="M4264" i="5"/>
  <c r="F4265" i="5" s="1"/>
  <c r="M4263" i="5"/>
  <c r="F4264" i="5" s="1"/>
  <c r="M4262" i="5"/>
  <c r="F4263" i="5" s="1"/>
  <c r="S4228" i="5"/>
  <c r="S4232" i="5" s="1"/>
  <c r="P4232" i="5" s="1"/>
  <c r="R4228" i="5"/>
  <c r="O4228" i="5" s="1"/>
  <c r="N4231" i="5"/>
  <c r="N4235" i="5" s="1"/>
  <c r="M4235" i="5" s="1"/>
  <c r="F4236" i="5" s="1"/>
  <c r="L4235" i="5" s="1"/>
  <c r="N4230" i="5"/>
  <c r="N4234" i="5" s="1"/>
  <c r="N4229" i="5"/>
  <c r="N4233" i="5" s="1"/>
  <c r="T4228" i="5"/>
  <c r="S4111" i="5"/>
  <c r="S4115" i="5" s="1"/>
  <c r="P4115" i="5" s="1"/>
  <c r="N4113" i="5"/>
  <c r="N4117" i="5" s="1"/>
  <c r="T4111" i="5"/>
  <c r="C3254" i="5"/>
  <c r="C3253" i="5"/>
  <c r="C3252" i="5"/>
  <c r="C3251" i="5"/>
  <c r="C3250" i="5"/>
  <c r="C3249" i="5"/>
  <c r="C3248" i="5"/>
  <c r="C3247" i="5"/>
  <c r="C3246" i="5"/>
  <c r="C3245" i="5"/>
  <c r="C3244" i="5"/>
  <c r="C3243" i="5"/>
  <c r="C3242" i="5"/>
  <c r="C3241" i="5"/>
  <c r="C3240" i="5"/>
  <c r="C3239" i="5"/>
  <c r="C3238" i="5"/>
  <c r="C3237" i="5"/>
  <c r="C3236" i="5"/>
  <c r="C3235" i="5"/>
  <c r="C3234" i="5"/>
  <c r="C3233" i="5"/>
  <c r="C3232" i="5"/>
  <c r="C3231" i="5"/>
  <c r="C3230" i="5"/>
  <c r="C3229" i="5"/>
  <c r="C3228" i="5"/>
  <c r="C3227" i="5"/>
  <c r="C3226" i="5"/>
  <c r="C3225" i="5"/>
  <c r="C3224" i="5"/>
  <c r="C3223" i="5"/>
  <c r="C3222" i="5"/>
  <c r="C3221" i="5"/>
  <c r="C3220" i="5"/>
  <c r="C3219" i="5"/>
  <c r="C3218" i="5"/>
  <c r="C3217" i="5"/>
  <c r="C3216" i="5"/>
  <c r="C3215" i="5"/>
  <c r="C3214" i="5"/>
  <c r="C3213" i="5"/>
  <c r="C3212" i="5"/>
  <c r="C3211" i="5"/>
  <c r="C3210" i="5"/>
  <c r="C3209" i="5"/>
  <c r="C3208" i="5"/>
  <c r="C3207" i="5"/>
  <c r="C3206" i="5"/>
  <c r="C3205" i="5"/>
  <c r="C3204" i="5"/>
  <c r="C3203" i="5"/>
  <c r="C3202" i="5"/>
  <c r="C3201" i="5"/>
  <c r="C3200" i="5"/>
  <c r="C3199" i="5"/>
  <c r="C3198" i="5"/>
  <c r="C3197" i="5"/>
  <c r="C3196" i="5"/>
  <c r="C3195" i="5"/>
  <c r="C3194" i="5"/>
  <c r="C3193" i="5"/>
  <c r="C3192" i="5"/>
  <c r="C3191" i="5"/>
  <c r="C3190" i="5"/>
  <c r="C3189" i="5"/>
  <c r="C3188" i="5"/>
  <c r="C3187" i="5"/>
  <c r="C3186" i="5"/>
  <c r="C3185" i="5"/>
  <c r="C3184" i="5"/>
  <c r="C3183" i="5"/>
  <c r="C3182" i="5"/>
  <c r="N4026" i="5"/>
  <c r="M4026" i="5" s="1"/>
  <c r="F4026" i="5" s="1"/>
  <c r="L4026" i="5" s="1"/>
  <c r="N4025" i="5"/>
  <c r="M4025" i="5" s="1"/>
  <c r="F4025" i="5" s="1"/>
  <c r="L4025" i="5" s="1"/>
  <c r="R4024" i="5"/>
  <c r="C3878" i="5"/>
  <c r="C3877" i="5"/>
  <c r="C3876" i="5"/>
  <c r="N3878" i="5"/>
  <c r="N3882" i="5" s="1"/>
  <c r="M3882" i="5" s="1"/>
  <c r="F3882" i="5" s="1"/>
  <c r="L3882" i="5" s="1"/>
  <c r="N3877" i="5"/>
  <c r="M3877" i="5" s="1"/>
  <c r="F3877" i="5" s="1"/>
  <c r="L3877" i="5" s="1"/>
  <c r="N3876" i="5"/>
  <c r="N3880" i="5" s="1"/>
  <c r="M3880" i="5" s="1"/>
  <c r="F3880" i="5" s="1"/>
  <c r="L3880" i="5" s="1"/>
  <c r="S3792" i="5"/>
  <c r="O3792" i="5" s="1"/>
  <c r="N3797" i="5"/>
  <c r="N3793" i="5"/>
  <c r="U3792" i="5"/>
  <c r="Q3792" i="5" s="1"/>
  <c r="T3792" i="5"/>
  <c r="T3801" i="5" s="1"/>
  <c r="P3801" i="5" s="1"/>
  <c r="V3792" i="5"/>
  <c r="AM3800" i="5"/>
  <c r="AL3800" i="5"/>
  <c r="AK3800" i="5"/>
  <c r="AM3799" i="5"/>
  <c r="AL3799" i="5"/>
  <c r="AK3799" i="5"/>
  <c r="AM3798" i="5"/>
  <c r="AL3798" i="5"/>
  <c r="AK3798" i="5"/>
  <c r="AQ3797" i="5"/>
  <c r="AM3797" i="5"/>
  <c r="AL3797" i="5"/>
  <c r="AK3797" i="5"/>
  <c r="D3797" i="5"/>
  <c r="AM3796" i="5"/>
  <c r="AL3796" i="5"/>
  <c r="AK3796" i="5"/>
  <c r="AM3795" i="5"/>
  <c r="AL3795" i="5"/>
  <c r="AK3795" i="5"/>
  <c r="AM3794" i="5"/>
  <c r="AL3794" i="5"/>
  <c r="AK3794" i="5"/>
  <c r="AQ3793" i="5"/>
  <c r="AM3793" i="5"/>
  <c r="AL3793" i="5"/>
  <c r="AK3793" i="5"/>
  <c r="D3793" i="5"/>
  <c r="N3698" i="5"/>
  <c r="N3707" i="5" s="1"/>
  <c r="M3707" i="5" s="1"/>
  <c r="F3707" i="5" s="1"/>
  <c r="L3707" i="5" s="1"/>
  <c r="U3693" i="5"/>
  <c r="Q3693" i="5" s="1"/>
  <c r="T3693" i="5"/>
  <c r="S3693" i="5"/>
  <c r="O3693" i="5" s="1"/>
  <c r="V3693" i="5"/>
  <c r="C3701" i="5"/>
  <c r="C3700" i="5"/>
  <c r="C3699" i="5"/>
  <c r="C3698" i="5"/>
  <c r="C3697" i="5"/>
  <c r="C3696" i="5"/>
  <c r="C3695" i="5"/>
  <c r="C3694" i="5"/>
  <c r="AM3701" i="5"/>
  <c r="AL3701" i="5"/>
  <c r="AK3701" i="5"/>
  <c r="AM3700" i="5"/>
  <c r="AL3700" i="5"/>
  <c r="AK3700" i="5"/>
  <c r="AM3699" i="5"/>
  <c r="AL3699" i="5"/>
  <c r="AK3699" i="5"/>
  <c r="AQ3698" i="5"/>
  <c r="AM3698" i="5"/>
  <c r="AL3698" i="5"/>
  <c r="AK3698" i="5"/>
  <c r="D3698" i="5"/>
  <c r="AM3697" i="5"/>
  <c r="AL3697" i="5"/>
  <c r="AK3697" i="5"/>
  <c r="AM3696" i="5"/>
  <c r="AL3696" i="5"/>
  <c r="AK3696" i="5"/>
  <c r="AM3695" i="5"/>
  <c r="AL3695" i="5"/>
  <c r="AK3695" i="5"/>
  <c r="AQ3694" i="5"/>
  <c r="AM3694" i="5"/>
  <c r="AL3694" i="5"/>
  <c r="AK3694" i="5"/>
  <c r="D3694" i="5"/>
  <c r="N3557" i="5"/>
  <c r="N3559" i="5" s="1"/>
  <c r="M3559" i="5" s="1"/>
  <c r="F3559" i="5" s="1"/>
  <c r="N3464" i="5"/>
  <c r="U3459" i="5"/>
  <c r="U3469" i="5" s="1"/>
  <c r="Q3469" i="5" s="1"/>
  <c r="T3459" i="5"/>
  <c r="T3469" i="5" s="1"/>
  <c r="P3469" i="5" s="1"/>
  <c r="AQ3468" i="5"/>
  <c r="AM3468" i="5"/>
  <c r="AL3468" i="5"/>
  <c r="AK3468" i="5"/>
  <c r="D3468" i="5"/>
  <c r="AM3467" i="5"/>
  <c r="AL3467" i="5"/>
  <c r="AK3467" i="5"/>
  <c r="AM3466" i="5"/>
  <c r="AL3466" i="5"/>
  <c r="AK3466" i="5"/>
  <c r="AM3465" i="5"/>
  <c r="AL3465" i="5"/>
  <c r="AK3465" i="5"/>
  <c r="AQ3464" i="5"/>
  <c r="AM3464" i="5"/>
  <c r="AL3464" i="5"/>
  <c r="AK3464" i="5"/>
  <c r="D3464" i="5"/>
  <c r="AM3463" i="5"/>
  <c r="AL3463" i="5"/>
  <c r="AK3463" i="5"/>
  <c r="AM3462" i="5"/>
  <c r="AL3462" i="5"/>
  <c r="AK3462" i="5"/>
  <c r="AM3461" i="5"/>
  <c r="AL3461" i="5"/>
  <c r="AK3461" i="5"/>
  <c r="AQ3460" i="5"/>
  <c r="AM3460" i="5"/>
  <c r="AL3460" i="5"/>
  <c r="AK3460" i="5"/>
  <c r="D3460" i="5"/>
  <c r="V3459" i="5"/>
  <c r="N3254" i="5"/>
  <c r="N3214" i="5"/>
  <c r="N3293" i="5" s="1"/>
  <c r="M3293" i="5" s="1"/>
  <c r="F3293" i="5" s="1"/>
  <c r="L3293" i="5" s="1"/>
  <c r="N3198" i="5"/>
  <c r="M3198" i="5" s="1"/>
  <c r="F3198" i="5" s="1"/>
  <c r="L3198" i="5" s="1"/>
  <c r="N3182" i="5"/>
  <c r="N3052" i="5"/>
  <c r="AX3254" i="5"/>
  <c r="AT3254" i="5"/>
  <c r="AS3254" i="5"/>
  <c r="AR3254" i="5"/>
  <c r="AQ3254" i="5"/>
  <c r="AP3254" i="5"/>
  <c r="AO3254" i="5"/>
  <c r="AN3254" i="5"/>
  <c r="AM3254" i="5"/>
  <c r="AL3254" i="5"/>
  <c r="AK3254" i="5"/>
  <c r="D3254" i="5"/>
  <c r="AT3253" i="5"/>
  <c r="AS3253" i="5"/>
  <c r="AR3253" i="5"/>
  <c r="AQ3253" i="5"/>
  <c r="AP3253" i="5"/>
  <c r="AO3253" i="5"/>
  <c r="AN3253" i="5"/>
  <c r="AM3253" i="5"/>
  <c r="AL3253" i="5"/>
  <c r="AK3253" i="5"/>
  <c r="AT3252" i="5"/>
  <c r="AS3252" i="5"/>
  <c r="AR3252" i="5"/>
  <c r="AQ3252" i="5"/>
  <c r="AP3252" i="5"/>
  <c r="AO3252" i="5"/>
  <c r="AN3252" i="5"/>
  <c r="AM3252" i="5"/>
  <c r="AL3252" i="5"/>
  <c r="AK3252" i="5"/>
  <c r="AT3251" i="5"/>
  <c r="AS3251" i="5"/>
  <c r="AR3251" i="5"/>
  <c r="AQ3251" i="5"/>
  <c r="AP3251" i="5"/>
  <c r="AO3251" i="5"/>
  <c r="AN3251" i="5"/>
  <c r="AM3251" i="5"/>
  <c r="AL3251" i="5"/>
  <c r="AK3251" i="5"/>
  <c r="AT3250" i="5"/>
  <c r="AS3250" i="5"/>
  <c r="AR3250" i="5"/>
  <c r="AQ3250" i="5"/>
  <c r="AP3250" i="5"/>
  <c r="AO3250" i="5"/>
  <c r="AN3250" i="5"/>
  <c r="AM3250" i="5"/>
  <c r="AL3250" i="5"/>
  <c r="AK3250" i="5"/>
  <c r="AT3249" i="5"/>
  <c r="AS3249" i="5"/>
  <c r="AR3249" i="5"/>
  <c r="AQ3249" i="5"/>
  <c r="AP3249" i="5"/>
  <c r="AO3249" i="5"/>
  <c r="AN3249" i="5"/>
  <c r="AM3249" i="5"/>
  <c r="AL3249" i="5"/>
  <c r="AK3249" i="5"/>
  <c r="AT3248" i="5"/>
  <c r="AS3248" i="5"/>
  <c r="AR3248" i="5"/>
  <c r="AQ3248" i="5"/>
  <c r="AP3248" i="5"/>
  <c r="AO3248" i="5"/>
  <c r="AN3248" i="5"/>
  <c r="AM3248" i="5"/>
  <c r="AL3248" i="5"/>
  <c r="AK3248" i="5"/>
  <c r="AT3247" i="5"/>
  <c r="AS3247" i="5"/>
  <c r="AR3247" i="5"/>
  <c r="AQ3247" i="5"/>
  <c r="AP3247" i="5"/>
  <c r="AO3247" i="5"/>
  <c r="AN3247" i="5"/>
  <c r="AM3247" i="5"/>
  <c r="AL3247" i="5"/>
  <c r="AK3247" i="5"/>
  <c r="AT3246" i="5"/>
  <c r="AS3246" i="5"/>
  <c r="AR3246" i="5"/>
  <c r="AQ3246" i="5"/>
  <c r="AP3246" i="5"/>
  <c r="AO3246" i="5"/>
  <c r="AN3246" i="5"/>
  <c r="AM3246" i="5"/>
  <c r="AL3246" i="5"/>
  <c r="AK3246" i="5"/>
  <c r="AT3245" i="5"/>
  <c r="AS3245" i="5"/>
  <c r="AR3245" i="5"/>
  <c r="AQ3245" i="5"/>
  <c r="AP3245" i="5"/>
  <c r="AO3245" i="5"/>
  <c r="AN3245" i="5"/>
  <c r="AM3245" i="5"/>
  <c r="AL3245" i="5"/>
  <c r="AK3245" i="5"/>
  <c r="AT3244" i="5"/>
  <c r="AS3244" i="5"/>
  <c r="AR3244" i="5"/>
  <c r="AQ3244" i="5"/>
  <c r="AP3244" i="5"/>
  <c r="AO3244" i="5"/>
  <c r="AN3244" i="5"/>
  <c r="AM3244" i="5"/>
  <c r="AL3244" i="5"/>
  <c r="AK3244" i="5"/>
  <c r="AT3243" i="5"/>
  <c r="AS3243" i="5"/>
  <c r="AR3243" i="5"/>
  <c r="AQ3243" i="5"/>
  <c r="AP3243" i="5"/>
  <c r="AO3243" i="5"/>
  <c r="AN3243" i="5"/>
  <c r="AM3243" i="5"/>
  <c r="AL3243" i="5"/>
  <c r="AK3243" i="5"/>
  <c r="AT3242" i="5"/>
  <c r="AS3242" i="5"/>
  <c r="AR3242" i="5"/>
  <c r="AQ3242" i="5"/>
  <c r="AP3242" i="5"/>
  <c r="AO3242" i="5"/>
  <c r="AN3242" i="5"/>
  <c r="AM3242" i="5"/>
  <c r="AL3242" i="5"/>
  <c r="AK3242" i="5"/>
  <c r="AT3241" i="5"/>
  <c r="AS3241" i="5"/>
  <c r="AR3241" i="5"/>
  <c r="AQ3241" i="5"/>
  <c r="AP3241" i="5"/>
  <c r="AO3241" i="5"/>
  <c r="AN3241" i="5"/>
  <c r="AM3241" i="5"/>
  <c r="AL3241" i="5"/>
  <c r="AK3241" i="5"/>
  <c r="AT3240" i="5"/>
  <c r="AS3240" i="5"/>
  <c r="AR3240" i="5"/>
  <c r="AQ3240" i="5"/>
  <c r="AP3240" i="5"/>
  <c r="AO3240" i="5"/>
  <c r="AN3240" i="5"/>
  <c r="AM3240" i="5"/>
  <c r="AL3240" i="5"/>
  <c r="AK3240" i="5"/>
  <c r="AT3239" i="5"/>
  <c r="AS3239" i="5"/>
  <c r="AR3239" i="5"/>
  <c r="AQ3239" i="5"/>
  <c r="AP3239" i="5"/>
  <c r="AO3239" i="5"/>
  <c r="AN3239" i="5"/>
  <c r="AM3239" i="5"/>
  <c r="AL3239" i="5"/>
  <c r="AK3239" i="5"/>
  <c r="AT3238" i="5"/>
  <c r="AS3238" i="5"/>
  <c r="AR3238" i="5"/>
  <c r="AQ3238" i="5"/>
  <c r="AP3238" i="5"/>
  <c r="AO3238" i="5"/>
  <c r="AN3238" i="5"/>
  <c r="AM3238" i="5"/>
  <c r="AL3238" i="5"/>
  <c r="AK3238" i="5"/>
  <c r="AT3237" i="5"/>
  <c r="AS3237" i="5"/>
  <c r="AR3237" i="5"/>
  <c r="AQ3237" i="5"/>
  <c r="AP3237" i="5"/>
  <c r="AO3237" i="5"/>
  <c r="AN3237" i="5"/>
  <c r="AM3237" i="5"/>
  <c r="AL3237" i="5"/>
  <c r="AK3237" i="5"/>
  <c r="AT3236" i="5"/>
  <c r="AS3236" i="5"/>
  <c r="AR3236" i="5"/>
  <c r="AQ3236" i="5"/>
  <c r="AP3236" i="5"/>
  <c r="AO3236" i="5"/>
  <c r="AN3236" i="5"/>
  <c r="AM3236" i="5"/>
  <c r="AL3236" i="5"/>
  <c r="AK3236" i="5"/>
  <c r="AT3235" i="5"/>
  <c r="AS3235" i="5"/>
  <c r="AR3235" i="5"/>
  <c r="AQ3235" i="5"/>
  <c r="AP3235" i="5"/>
  <c r="AO3235" i="5"/>
  <c r="AN3235" i="5"/>
  <c r="AM3235" i="5"/>
  <c r="AL3235" i="5"/>
  <c r="AK3235" i="5"/>
  <c r="AX3234" i="5"/>
  <c r="AT3234" i="5"/>
  <c r="AS3234" i="5"/>
  <c r="AR3234" i="5"/>
  <c r="AQ3234" i="5"/>
  <c r="AP3234" i="5"/>
  <c r="AO3234" i="5"/>
  <c r="AN3234" i="5"/>
  <c r="AM3234" i="5"/>
  <c r="AL3234" i="5"/>
  <c r="AK3234" i="5"/>
  <c r="D3234" i="5"/>
  <c r="AT3233" i="5"/>
  <c r="AS3233" i="5"/>
  <c r="AR3233" i="5"/>
  <c r="AQ3233" i="5"/>
  <c r="AP3233" i="5"/>
  <c r="AO3233" i="5"/>
  <c r="AN3233" i="5"/>
  <c r="AM3233" i="5"/>
  <c r="AL3233" i="5"/>
  <c r="AK3233" i="5"/>
  <c r="AT3232" i="5"/>
  <c r="AS3232" i="5"/>
  <c r="AR3232" i="5"/>
  <c r="AQ3232" i="5"/>
  <c r="AP3232" i="5"/>
  <c r="AO3232" i="5"/>
  <c r="AN3232" i="5"/>
  <c r="AM3232" i="5"/>
  <c r="AL3232" i="5"/>
  <c r="AK3232" i="5"/>
  <c r="AT3231" i="5"/>
  <c r="AS3231" i="5"/>
  <c r="AR3231" i="5"/>
  <c r="AQ3231" i="5"/>
  <c r="AP3231" i="5"/>
  <c r="AO3231" i="5"/>
  <c r="AN3231" i="5"/>
  <c r="AM3231" i="5"/>
  <c r="AL3231" i="5"/>
  <c r="AK3231" i="5"/>
  <c r="AT3230" i="5"/>
  <c r="AS3230" i="5"/>
  <c r="AR3230" i="5"/>
  <c r="AQ3230" i="5"/>
  <c r="AP3230" i="5"/>
  <c r="AO3230" i="5"/>
  <c r="AN3230" i="5"/>
  <c r="AM3230" i="5"/>
  <c r="AL3230" i="5"/>
  <c r="AK3230" i="5"/>
  <c r="AT3229" i="5"/>
  <c r="AS3229" i="5"/>
  <c r="AR3229" i="5"/>
  <c r="AQ3229" i="5"/>
  <c r="AP3229" i="5"/>
  <c r="AO3229" i="5"/>
  <c r="AN3229" i="5"/>
  <c r="AM3229" i="5"/>
  <c r="AL3229" i="5"/>
  <c r="AK3229" i="5"/>
  <c r="AT3228" i="5"/>
  <c r="AS3228" i="5"/>
  <c r="AR3228" i="5"/>
  <c r="AQ3228" i="5"/>
  <c r="AP3228" i="5"/>
  <c r="AO3228" i="5"/>
  <c r="AN3228" i="5"/>
  <c r="AM3228" i="5"/>
  <c r="AL3228" i="5"/>
  <c r="AK3228" i="5"/>
  <c r="AT3227" i="5"/>
  <c r="AS3227" i="5"/>
  <c r="AR3227" i="5"/>
  <c r="AQ3227" i="5"/>
  <c r="AP3227" i="5"/>
  <c r="AO3227" i="5"/>
  <c r="AN3227" i="5"/>
  <c r="AM3227" i="5"/>
  <c r="AL3227" i="5"/>
  <c r="AK3227" i="5"/>
  <c r="AT3226" i="5"/>
  <c r="AS3226" i="5"/>
  <c r="AR3226" i="5"/>
  <c r="AQ3226" i="5"/>
  <c r="AP3226" i="5"/>
  <c r="AO3226" i="5"/>
  <c r="AN3226" i="5"/>
  <c r="AM3226" i="5"/>
  <c r="AL3226" i="5"/>
  <c r="AK3226" i="5"/>
  <c r="AT3225" i="5"/>
  <c r="AS3225" i="5"/>
  <c r="AR3225" i="5"/>
  <c r="AQ3225" i="5"/>
  <c r="AP3225" i="5"/>
  <c r="AO3225" i="5"/>
  <c r="AN3225" i="5"/>
  <c r="AM3225" i="5"/>
  <c r="AL3225" i="5"/>
  <c r="AK3225" i="5"/>
  <c r="AT3224" i="5"/>
  <c r="AS3224" i="5"/>
  <c r="AR3224" i="5"/>
  <c r="AQ3224" i="5"/>
  <c r="AP3224" i="5"/>
  <c r="AO3224" i="5"/>
  <c r="AN3224" i="5"/>
  <c r="AM3224" i="5"/>
  <c r="AL3224" i="5"/>
  <c r="AK3224" i="5"/>
  <c r="AT3223" i="5"/>
  <c r="AS3223" i="5"/>
  <c r="AR3223" i="5"/>
  <c r="AQ3223" i="5"/>
  <c r="AP3223" i="5"/>
  <c r="AO3223" i="5"/>
  <c r="AN3223" i="5"/>
  <c r="AM3223" i="5"/>
  <c r="AL3223" i="5"/>
  <c r="AK3223" i="5"/>
  <c r="AT3222" i="5"/>
  <c r="AS3222" i="5"/>
  <c r="AR3222" i="5"/>
  <c r="AQ3222" i="5"/>
  <c r="AP3222" i="5"/>
  <c r="AO3222" i="5"/>
  <c r="AN3222" i="5"/>
  <c r="AM3222" i="5"/>
  <c r="AL3222" i="5"/>
  <c r="AK3222" i="5"/>
  <c r="AT3221" i="5"/>
  <c r="AS3221" i="5"/>
  <c r="AR3221" i="5"/>
  <c r="AQ3221" i="5"/>
  <c r="AP3221" i="5"/>
  <c r="AO3221" i="5"/>
  <c r="AN3221" i="5"/>
  <c r="AM3221" i="5"/>
  <c r="AL3221" i="5"/>
  <c r="AK3221" i="5"/>
  <c r="AT3220" i="5"/>
  <c r="AS3220" i="5"/>
  <c r="AR3220" i="5"/>
  <c r="AQ3220" i="5"/>
  <c r="AP3220" i="5"/>
  <c r="AO3220" i="5"/>
  <c r="AN3220" i="5"/>
  <c r="AM3220" i="5"/>
  <c r="AL3220" i="5"/>
  <c r="AK3220" i="5"/>
  <c r="AT3219" i="5"/>
  <c r="AS3219" i="5"/>
  <c r="AR3219" i="5"/>
  <c r="AQ3219" i="5"/>
  <c r="AP3219" i="5"/>
  <c r="AO3219" i="5"/>
  <c r="AN3219" i="5"/>
  <c r="AM3219" i="5"/>
  <c r="AL3219" i="5"/>
  <c r="AK3219" i="5"/>
  <c r="AT3218" i="5"/>
  <c r="AS3218" i="5"/>
  <c r="AR3218" i="5"/>
  <c r="AQ3218" i="5"/>
  <c r="AP3218" i="5"/>
  <c r="AO3218" i="5"/>
  <c r="AN3218" i="5"/>
  <c r="AM3218" i="5"/>
  <c r="AL3218" i="5"/>
  <c r="AK3218" i="5"/>
  <c r="AT3217" i="5"/>
  <c r="AS3217" i="5"/>
  <c r="AR3217" i="5"/>
  <c r="AQ3217" i="5"/>
  <c r="AP3217" i="5"/>
  <c r="AO3217" i="5"/>
  <c r="AN3217" i="5"/>
  <c r="AM3217" i="5"/>
  <c r="AL3217" i="5"/>
  <c r="AK3217" i="5"/>
  <c r="AT3216" i="5"/>
  <c r="AS3216" i="5"/>
  <c r="AR3216" i="5"/>
  <c r="AQ3216" i="5"/>
  <c r="AP3216" i="5"/>
  <c r="AO3216" i="5"/>
  <c r="AN3216" i="5"/>
  <c r="AM3216" i="5"/>
  <c r="AL3216" i="5"/>
  <c r="AK3216" i="5"/>
  <c r="AT3215" i="5"/>
  <c r="AS3215" i="5"/>
  <c r="AR3215" i="5"/>
  <c r="AQ3215" i="5"/>
  <c r="AP3215" i="5"/>
  <c r="AO3215" i="5"/>
  <c r="AN3215" i="5"/>
  <c r="AM3215" i="5"/>
  <c r="AL3215" i="5"/>
  <c r="AK3215" i="5"/>
  <c r="AX3214" i="5"/>
  <c r="AT3214" i="5"/>
  <c r="AS3214" i="5"/>
  <c r="AR3214" i="5"/>
  <c r="AQ3214" i="5"/>
  <c r="AP3214" i="5"/>
  <c r="AO3214" i="5"/>
  <c r="AN3214" i="5"/>
  <c r="AM3214" i="5"/>
  <c r="AL3214" i="5"/>
  <c r="AK3214" i="5"/>
  <c r="D3214" i="5"/>
  <c r="AT3213" i="5"/>
  <c r="AS3213" i="5"/>
  <c r="AR3213" i="5"/>
  <c r="AQ3213" i="5"/>
  <c r="AP3213" i="5"/>
  <c r="AO3213" i="5"/>
  <c r="AN3213" i="5"/>
  <c r="AM3213" i="5"/>
  <c r="AL3213" i="5"/>
  <c r="AK3213" i="5"/>
  <c r="AT3212" i="5"/>
  <c r="AS3212" i="5"/>
  <c r="AR3212" i="5"/>
  <c r="AQ3212" i="5"/>
  <c r="AP3212" i="5"/>
  <c r="AO3212" i="5"/>
  <c r="AN3212" i="5"/>
  <c r="AM3212" i="5"/>
  <c r="AL3212" i="5"/>
  <c r="AK3212" i="5"/>
  <c r="AT3211" i="5"/>
  <c r="AS3211" i="5"/>
  <c r="AR3211" i="5"/>
  <c r="AQ3211" i="5"/>
  <c r="AP3211" i="5"/>
  <c r="AO3211" i="5"/>
  <c r="AN3211" i="5"/>
  <c r="AM3211" i="5"/>
  <c r="AL3211" i="5"/>
  <c r="AK3211" i="5"/>
  <c r="AT3210" i="5"/>
  <c r="AS3210" i="5"/>
  <c r="AR3210" i="5"/>
  <c r="AQ3210" i="5"/>
  <c r="AP3210" i="5"/>
  <c r="AO3210" i="5"/>
  <c r="AN3210" i="5"/>
  <c r="AM3210" i="5"/>
  <c r="AL3210" i="5"/>
  <c r="AK3210" i="5"/>
  <c r="AT3209" i="5"/>
  <c r="AS3209" i="5"/>
  <c r="AR3209" i="5"/>
  <c r="AQ3209" i="5"/>
  <c r="AP3209" i="5"/>
  <c r="AO3209" i="5"/>
  <c r="AN3209" i="5"/>
  <c r="AM3209" i="5"/>
  <c r="AL3209" i="5"/>
  <c r="AK3209" i="5"/>
  <c r="AT3208" i="5"/>
  <c r="AS3208" i="5"/>
  <c r="AR3208" i="5"/>
  <c r="AQ3208" i="5"/>
  <c r="AP3208" i="5"/>
  <c r="AO3208" i="5"/>
  <c r="AN3208" i="5"/>
  <c r="AM3208" i="5"/>
  <c r="AL3208" i="5"/>
  <c r="AK3208" i="5"/>
  <c r="AT3207" i="5"/>
  <c r="AS3207" i="5"/>
  <c r="AR3207" i="5"/>
  <c r="AQ3207" i="5"/>
  <c r="AP3207" i="5"/>
  <c r="AO3207" i="5"/>
  <c r="AN3207" i="5"/>
  <c r="AM3207" i="5"/>
  <c r="AL3207" i="5"/>
  <c r="AK3207" i="5"/>
  <c r="AT3206" i="5"/>
  <c r="AS3206" i="5"/>
  <c r="AR3206" i="5"/>
  <c r="AQ3206" i="5"/>
  <c r="AP3206" i="5"/>
  <c r="AO3206" i="5"/>
  <c r="AN3206" i="5"/>
  <c r="AM3206" i="5"/>
  <c r="AL3206" i="5"/>
  <c r="AK3206" i="5"/>
  <c r="AT3205" i="5"/>
  <c r="AS3205" i="5"/>
  <c r="AR3205" i="5"/>
  <c r="AQ3205" i="5"/>
  <c r="AP3205" i="5"/>
  <c r="AO3205" i="5"/>
  <c r="AN3205" i="5"/>
  <c r="AM3205" i="5"/>
  <c r="AL3205" i="5"/>
  <c r="AK3205" i="5"/>
  <c r="AT3204" i="5"/>
  <c r="AS3204" i="5"/>
  <c r="AR3204" i="5"/>
  <c r="AQ3204" i="5"/>
  <c r="AP3204" i="5"/>
  <c r="AO3204" i="5"/>
  <c r="AN3204" i="5"/>
  <c r="AM3204" i="5"/>
  <c r="AL3204" i="5"/>
  <c r="AK3204" i="5"/>
  <c r="AT3203" i="5"/>
  <c r="AS3203" i="5"/>
  <c r="AR3203" i="5"/>
  <c r="AQ3203" i="5"/>
  <c r="AP3203" i="5"/>
  <c r="AO3203" i="5"/>
  <c r="AN3203" i="5"/>
  <c r="AM3203" i="5"/>
  <c r="AL3203" i="5"/>
  <c r="AK3203" i="5"/>
  <c r="AT3202" i="5"/>
  <c r="AS3202" i="5"/>
  <c r="AR3202" i="5"/>
  <c r="AQ3202" i="5"/>
  <c r="AP3202" i="5"/>
  <c r="AO3202" i="5"/>
  <c r="AN3202" i="5"/>
  <c r="AM3202" i="5"/>
  <c r="AL3202" i="5"/>
  <c r="AK3202" i="5"/>
  <c r="AT3201" i="5"/>
  <c r="AS3201" i="5"/>
  <c r="AR3201" i="5"/>
  <c r="AQ3201" i="5"/>
  <c r="AP3201" i="5"/>
  <c r="AO3201" i="5"/>
  <c r="AN3201" i="5"/>
  <c r="AM3201" i="5"/>
  <c r="AL3201" i="5"/>
  <c r="AK3201" i="5"/>
  <c r="AT3200" i="5"/>
  <c r="AS3200" i="5"/>
  <c r="AR3200" i="5"/>
  <c r="AQ3200" i="5"/>
  <c r="AP3200" i="5"/>
  <c r="AO3200" i="5"/>
  <c r="AN3200" i="5"/>
  <c r="AM3200" i="5"/>
  <c r="AL3200" i="5"/>
  <c r="AK3200" i="5"/>
  <c r="AT3199" i="5"/>
  <c r="AS3199" i="5"/>
  <c r="AR3199" i="5"/>
  <c r="AQ3199" i="5"/>
  <c r="AP3199" i="5"/>
  <c r="AO3199" i="5"/>
  <c r="AN3199" i="5"/>
  <c r="AM3199" i="5"/>
  <c r="AL3199" i="5"/>
  <c r="AK3199" i="5"/>
  <c r="AX3198" i="5"/>
  <c r="AT3198" i="5"/>
  <c r="AS3198" i="5"/>
  <c r="AR3198" i="5"/>
  <c r="AQ3198" i="5"/>
  <c r="AP3198" i="5"/>
  <c r="AO3198" i="5"/>
  <c r="AN3198" i="5"/>
  <c r="AM3198" i="5"/>
  <c r="AL3198" i="5"/>
  <c r="AK3198" i="5"/>
  <c r="D3198" i="5"/>
  <c r="AT3197" i="5"/>
  <c r="AS3197" i="5"/>
  <c r="AR3197" i="5"/>
  <c r="AQ3197" i="5"/>
  <c r="AP3197" i="5"/>
  <c r="AO3197" i="5"/>
  <c r="AN3197" i="5"/>
  <c r="AM3197" i="5"/>
  <c r="AL3197" i="5"/>
  <c r="AK3197" i="5"/>
  <c r="AT3196" i="5"/>
  <c r="AS3196" i="5"/>
  <c r="AR3196" i="5"/>
  <c r="AQ3196" i="5"/>
  <c r="AP3196" i="5"/>
  <c r="AO3196" i="5"/>
  <c r="AN3196" i="5"/>
  <c r="AM3196" i="5"/>
  <c r="AL3196" i="5"/>
  <c r="AK3196" i="5"/>
  <c r="AT3195" i="5"/>
  <c r="AS3195" i="5"/>
  <c r="AR3195" i="5"/>
  <c r="AQ3195" i="5"/>
  <c r="AP3195" i="5"/>
  <c r="AO3195" i="5"/>
  <c r="AN3195" i="5"/>
  <c r="AM3195" i="5"/>
  <c r="AL3195" i="5"/>
  <c r="AK3195" i="5"/>
  <c r="AT3194" i="5"/>
  <c r="AS3194" i="5"/>
  <c r="AR3194" i="5"/>
  <c r="AQ3194" i="5"/>
  <c r="AP3194" i="5"/>
  <c r="AO3194" i="5"/>
  <c r="AN3194" i="5"/>
  <c r="AM3194" i="5"/>
  <c r="AL3194" i="5"/>
  <c r="AK3194" i="5"/>
  <c r="AT3193" i="5"/>
  <c r="AS3193" i="5"/>
  <c r="AR3193" i="5"/>
  <c r="AQ3193" i="5"/>
  <c r="AP3193" i="5"/>
  <c r="AO3193" i="5"/>
  <c r="AN3193" i="5"/>
  <c r="AM3193" i="5"/>
  <c r="AL3193" i="5"/>
  <c r="AK3193" i="5"/>
  <c r="AT3192" i="5"/>
  <c r="AS3192" i="5"/>
  <c r="AR3192" i="5"/>
  <c r="AQ3192" i="5"/>
  <c r="AP3192" i="5"/>
  <c r="AO3192" i="5"/>
  <c r="AN3192" i="5"/>
  <c r="AM3192" i="5"/>
  <c r="AL3192" i="5"/>
  <c r="AK3192" i="5"/>
  <c r="AT3191" i="5"/>
  <c r="AS3191" i="5"/>
  <c r="AR3191" i="5"/>
  <c r="AQ3191" i="5"/>
  <c r="AP3191" i="5"/>
  <c r="AO3191" i="5"/>
  <c r="AN3191" i="5"/>
  <c r="AM3191" i="5"/>
  <c r="AL3191" i="5"/>
  <c r="AK3191" i="5"/>
  <c r="AT3190" i="5"/>
  <c r="AS3190" i="5"/>
  <c r="AR3190" i="5"/>
  <c r="AQ3190" i="5"/>
  <c r="AP3190" i="5"/>
  <c r="AO3190" i="5"/>
  <c r="AN3190" i="5"/>
  <c r="AM3190" i="5"/>
  <c r="AL3190" i="5"/>
  <c r="AK3190" i="5"/>
  <c r="AT3189" i="5"/>
  <c r="AS3189" i="5"/>
  <c r="AR3189" i="5"/>
  <c r="AQ3189" i="5"/>
  <c r="AP3189" i="5"/>
  <c r="AO3189" i="5"/>
  <c r="AN3189" i="5"/>
  <c r="AM3189" i="5"/>
  <c r="AL3189" i="5"/>
  <c r="AK3189" i="5"/>
  <c r="AT3188" i="5"/>
  <c r="AS3188" i="5"/>
  <c r="AR3188" i="5"/>
  <c r="AQ3188" i="5"/>
  <c r="AP3188" i="5"/>
  <c r="AO3188" i="5"/>
  <c r="AN3188" i="5"/>
  <c r="AM3188" i="5"/>
  <c r="AL3188" i="5"/>
  <c r="AK3188" i="5"/>
  <c r="AT3187" i="5"/>
  <c r="AS3187" i="5"/>
  <c r="AR3187" i="5"/>
  <c r="AQ3187" i="5"/>
  <c r="AP3187" i="5"/>
  <c r="AO3187" i="5"/>
  <c r="AN3187" i="5"/>
  <c r="AM3187" i="5"/>
  <c r="AL3187" i="5"/>
  <c r="AK3187" i="5"/>
  <c r="AT3186" i="5"/>
  <c r="AS3186" i="5"/>
  <c r="AR3186" i="5"/>
  <c r="AQ3186" i="5"/>
  <c r="AP3186" i="5"/>
  <c r="AO3186" i="5"/>
  <c r="AN3186" i="5"/>
  <c r="AM3186" i="5"/>
  <c r="AL3186" i="5"/>
  <c r="AK3186" i="5"/>
  <c r="AT3185" i="5"/>
  <c r="AS3185" i="5"/>
  <c r="AR3185" i="5"/>
  <c r="AQ3185" i="5"/>
  <c r="AP3185" i="5"/>
  <c r="AO3185" i="5"/>
  <c r="AN3185" i="5"/>
  <c r="AM3185" i="5"/>
  <c r="AL3185" i="5"/>
  <c r="AK3185" i="5"/>
  <c r="AT3184" i="5"/>
  <c r="AS3184" i="5"/>
  <c r="AR3184" i="5"/>
  <c r="AQ3184" i="5"/>
  <c r="AP3184" i="5"/>
  <c r="AO3184" i="5"/>
  <c r="AN3184" i="5"/>
  <c r="AM3184" i="5"/>
  <c r="AL3184" i="5"/>
  <c r="AK3184" i="5"/>
  <c r="AT3183" i="5"/>
  <c r="AS3183" i="5"/>
  <c r="AR3183" i="5"/>
  <c r="AQ3183" i="5"/>
  <c r="AP3183" i="5"/>
  <c r="AO3183" i="5"/>
  <c r="AN3183" i="5"/>
  <c r="AM3183" i="5"/>
  <c r="AL3183" i="5"/>
  <c r="AK3183" i="5"/>
  <c r="AX3182" i="5"/>
  <c r="AT3182" i="5"/>
  <c r="AS3182" i="5"/>
  <c r="AR3182" i="5"/>
  <c r="AQ3182" i="5"/>
  <c r="AP3182" i="5"/>
  <c r="AO3182" i="5"/>
  <c r="AN3182" i="5"/>
  <c r="AM3182" i="5"/>
  <c r="AL3182" i="5"/>
  <c r="AK3182" i="5"/>
  <c r="D3182" i="5"/>
  <c r="O102" i="5"/>
  <c r="P102" i="5"/>
  <c r="F103" i="5" s="1"/>
  <c r="Q102" i="5"/>
  <c r="F104" i="5" s="1"/>
  <c r="R102" i="5"/>
  <c r="F105" i="5" s="1"/>
  <c r="S102" i="5"/>
  <c r="F106" i="5" s="1"/>
  <c r="T102" i="5"/>
  <c r="T117" i="5" s="1"/>
  <c r="F122" i="5" s="1"/>
  <c r="U102" i="5"/>
  <c r="U117" i="5" s="1"/>
  <c r="F123" i="5" s="1"/>
  <c r="Q4370" i="5"/>
  <c r="Q4371" i="5" s="1"/>
  <c r="Q4372" i="5" s="1"/>
  <c r="Q4373" i="5" s="1"/>
  <c r="D4379" i="5"/>
  <c r="D4380" i="5" s="1"/>
  <c r="D4381" i="5" s="1"/>
  <c r="D4382" i="5"/>
  <c r="D4383" i="5" s="1"/>
  <c r="D4384" i="5" s="1"/>
  <c r="D4385" i="5" s="1"/>
  <c r="D4386" i="5" s="1"/>
  <c r="D4387" i="5" s="1"/>
  <c r="D4388" i="5" s="1"/>
  <c r="D4389" i="5" s="1"/>
  <c r="D4390" i="5" s="1"/>
  <c r="C4381" i="5"/>
  <c r="C4380" i="5"/>
  <c r="B4380" i="5"/>
  <c r="B4381" i="5" s="1"/>
  <c r="C4379" i="5"/>
  <c r="C4390" i="5"/>
  <c r="C4389" i="5"/>
  <c r="C4388" i="5"/>
  <c r="C4387" i="5"/>
  <c r="C4386" i="5"/>
  <c r="C4385" i="5"/>
  <c r="C4384" i="5"/>
  <c r="C4383" i="5"/>
  <c r="B4383" i="5"/>
  <c r="B4384" i="5" s="1"/>
  <c r="B4385" i="5" s="1"/>
  <c r="B4386" i="5" s="1"/>
  <c r="B4387" i="5" s="1"/>
  <c r="B4388" i="5" s="1"/>
  <c r="B4389" i="5" s="1"/>
  <c r="B4390" i="5" s="1"/>
  <c r="C4382" i="5"/>
  <c r="D4686" i="5"/>
  <c r="D4685" i="5"/>
  <c r="D4684" i="5"/>
  <c r="D4683" i="5"/>
  <c r="D4682" i="5"/>
  <c r="D4681" i="5"/>
  <c r="D4680" i="5"/>
  <c r="D4679" i="5"/>
  <c r="D4678" i="5"/>
  <c r="D4677" i="5"/>
  <c r="D4676" i="5"/>
  <c r="D4675" i="5"/>
  <c r="D4674" i="5"/>
  <c r="D4673" i="5"/>
  <c r="D4672" i="5"/>
  <c r="D4671" i="5"/>
  <c r="D4670" i="5"/>
  <c r="D4669" i="5"/>
  <c r="D4668" i="5"/>
  <c r="D4667" i="5"/>
  <c r="D4666" i="5"/>
  <c r="D4665" i="5"/>
  <c r="D4664" i="5"/>
  <c r="D4663" i="5"/>
  <c r="D4662" i="5"/>
  <c r="D4661" i="5"/>
  <c r="D4660" i="5"/>
  <c r="D4659" i="5"/>
  <c r="D4658" i="5"/>
  <c r="D4657" i="5"/>
  <c r="D4656" i="5"/>
  <c r="D4655" i="5"/>
  <c r="D4654" i="5"/>
  <c r="D4653" i="5"/>
  <c r="D4652" i="5"/>
  <c r="D4651" i="5"/>
  <c r="D4650" i="5"/>
  <c r="D4649" i="5"/>
  <c r="D4648" i="5"/>
  <c r="D4647" i="5"/>
  <c r="D4646" i="5"/>
  <c r="D4645" i="5"/>
  <c r="D4644" i="5"/>
  <c r="D4643" i="5"/>
  <c r="D4642" i="5"/>
  <c r="D4641" i="5"/>
  <c r="D4640" i="5"/>
  <c r="D4639" i="5"/>
  <c r="C4647" i="5"/>
  <c r="C4643" i="5"/>
  <c r="C4639" i="5"/>
  <c r="Q4603" i="5"/>
  <c r="Q4604" i="5" s="1"/>
  <c r="Q4605" i="5" s="1"/>
  <c r="Q4606" i="5" s="1"/>
  <c r="Q4607" i="5" s="1"/>
  <c r="Q4608" i="5" s="1"/>
  <c r="Q4609" i="5" s="1"/>
  <c r="Q4610" i="5" s="1"/>
  <c r="Q4639" i="5" s="1"/>
  <c r="Q4640" i="5" s="1"/>
  <c r="Q4641" i="5" s="1"/>
  <c r="Q4642" i="5" s="1"/>
  <c r="T4603" i="5"/>
  <c r="T4604" i="5" s="1"/>
  <c r="T4605" i="5" s="1"/>
  <c r="T4606" i="5" s="1"/>
  <c r="T4607" i="5" s="1"/>
  <c r="T4608" i="5" s="1"/>
  <c r="T4609" i="5" s="1"/>
  <c r="T4610" i="5" s="1"/>
  <c r="T4639" i="5" s="1"/>
  <c r="T4640" i="5" s="1"/>
  <c r="T4641" i="5" s="1"/>
  <c r="T4642" i="5" s="1"/>
  <c r="T4643" i="5" s="1"/>
  <c r="T4644" i="5" s="1"/>
  <c r="T4645" i="5" s="1"/>
  <c r="T4646" i="5" s="1"/>
  <c r="T4647" i="5" s="1"/>
  <c r="T4648" i="5" s="1"/>
  <c r="T4649" i="5" s="1"/>
  <c r="T4650" i="5" s="1"/>
  <c r="T4688" i="5" s="1"/>
  <c r="T4689" i="5" s="1"/>
  <c r="T4690" i="5" s="1"/>
  <c r="T4691" i="5" s="1"/>
  <c r="T4692" i="5" s="1"/>
  <c r="T4693" i="5" s="1"/>
  <c r="T4694" i="5" s="1"/>
  <c r="A4644" i="5"/>
  <c r="A4645" i="5" s="1"/>
  <c r="A4656" i="5"/>
  <c r="A4657" i="5" s="1"/>
  <c r="C4657" i="5" s="1"/>
  <c r="A4664" i="5"/>
  <c r="A4668" i="5"/>
  <c r="C4668" i="5" s="1"/>
  <c r="A4676" i="5"/>
  <c r="C4676" i="5" s="1"/>
  <c r="A4680" i="5"/>
  <c r="S4603" i="5"/>
  <c r="S4604" i="5" s="1"/>
  <c r="S4605" i="5" s="1"/>
  <c r="S4606" i="5" s="1"/>
  <c r="S4607" i="5" s="1"/>
  <c r="S4608" i="5" s="1"/>
  <c r="S4609" i="5" s="1"/>
  <c r="S4610" i="5" s="1"/>
  <c r="S4639" i="5" s="1"/>
  <c r="S4640" i="5" s="1"/>
  <c r="S4641" i="5" s="1"/>
  <c r="S4642" i="5" s="1"/>
  <c r="S4643" i="5" s="1"/>
  <c r="A4672" i="5"/>
  <c r="R4603" i="5"/>
  <c r="R4604" i="5" s="1"/>
  <c r="R4605" i="5" s="1"/>
  <c r="R4606" i="5" s="1"/>
  <c r="R4607" i="5" s="1"/>
  <c r="R4608" i="5" s="1"/>
  <c r="R4609" i="5" s="1"/>
  <c r="R4610" i="5" s="1"/>
  <c r="R4639" i="5" s="1"/>
  <c r="R4640" i="5" s="1"/>
  <c r="R4641" i="5" s="1"/>
  <c r="A4648" i="5"/>
  <c r="C4648" i="5" s="1"/>
  <c r="A4684" i="5"/>
  <c r="A4640" i="5"/>
  <c r="C4640" i="5" s="1"/>
  <c r="C4683" i="5"/>
  <c r="C4679" i="5"/>
  <c r="C4675" i="5"/>
  <c r="C4671" i="5"/>
  <c r="C4667" i="5"/>
  <c r="C4663" i="5"/>
  <c r="A4660" i="5"/>
  <c r="C4659" i="5"/>
  <c r="C4655" i="5"/>
  <c r="A4652" i="5"/>
  <c r="C4651" i="5"/>
  <c r="C4377" i="5"/>
  <c r="C4376" i="5"/>
  <c r="C4375" i="5"/>
  <c r="C4374" i="5"/>
  <c r="C4373" i="5"/>
  <c r="C4372" i="5"/>
  <c r="C4371" i="5"/>
  <c r="C4370" i="5"/>
  <c r="C4369" i="5"/>
  <c r="C4634" i="5"/>
  <c r="C4630" i="5"/>
  <c r="C4626" i="5"/>
  <c r="C4622" i="5"/>
  <c r="C4618" i="5"/>
  <c r="C4614" i="5"/>
  <c r="C4610" i="5"/>
  <c r="C4606" i="5"/>
  <c r="C4602" i="5"/>
  <c r="A4635" i="5"/>
  <c r="C4635" i="5" s="1"/>
  <c r="A4631" i="5"/>
  <c r="A4627" i="5"/>
  <c r="A4628" i="5" s="1"/>
  <c r="C4628" i="5" s="1"/>
  <c r="A4623" i="5"/>
  <c r="C4623" i="5" s="1"/>
  <c r="A4619" i="5"/>
  <c r="A4615" i="5"/>
  <c r="A4616" i="5" s="1"/>
  <c r="C4616" i="5" s="1"/>
  <c r="A4611" i="5"/>
  <c r="A4612" i="5" s="1"/>
  <c r="A4607" i="5"/>
  <c r="C4607" i="5" s="1"/>
  <c r="A4603" i="5"/>
  <c r="C4603" i="5" s="1"/>
  <c r="D4591" i="5"/>
  <c r="D4590" i="5"/>
  <c r="D4589" i="5"/>
  <c r="D4588" i="5"/>
  <c r="F4600" i="5"/>
  <c r="D4605" i="5"/>
  <c r="D4609" i="5" s="1"/>
  <c r="D4613" i="5" s="1"/>
  <c r="D4617" i="5" s="1"/>
  <c r="D4621" i="5" s="1"/>
  <c r="D4625" i="5" s="1"/>
  <c r="D4629" i="5" s="1"/>
  <c r="D4633" i="5" s="1"/>
  <c r="D4637" i="5" s="1"/>
  <c r="D4604" i="5"/>
  <c r="D4608" i="5" s="1"/>
  <c r="D4612" i="5" s="1"/>
  <c r="D4616" i="5" s="1"/>
  <c r="D4620" i="5" s="1"/>
  <c r="D4624" i="5" s="1"/>
  <c r="D4628" i="5" s="1"/>
  <c r="D4632" i="5" s="1"/>
  <c r="D4636" i="5" s="1"/>
  <c r="D4603" i="5"/>
  <c r="D4607" i="5" s="1"/>
  <c r="D4611" i="5" s="1"/>
  <c r="D4615" i="5" s="1"/>
  <c r="D4619" i="5" s="1"/>
  <c r="D4602" i="5"/>
  <c r="F4599" i="5"/>
  <c r="F4597" i="5"/>
  <c r="F4596" i="5"/>
  <c r="F4594" i="5"/>
  <c r="F4593" i="5"/>
  <c r="B4370" i="5"/>
  <c r="B4371" i="5" s="1"/>
  <c r="B4372" i="5" s="1"/>
  <c r="B4373" i="5" s="1"/>
  <c r="B4374" i="5" s="1"/>
  <c r="B4375" i="5" s="1"/>
  <c r="B4376" i="5" s="1"/>
  <c r="B4377" i="5" s="1"/>
  <c r="D4369" i="5"/>
  <c r="D4370" i="5" s="1"/>
  <c r="D4371" i="5" s="1"/>
  <c r="D4372" i="5" s="1"/>
  <c r="D4373" i="5" s="1"/>
  <c r="D4374" i="5" s="1"/>
  <c r="D4375" i="5" s="1"/>
  <c r="D4376" i="5" s="1"/>
  <c r="D4377" i="5" s="1"/>
  <c r="F4367" i="5"/>
  <c r="M4366" i="5"/>
  <c r="F4366" i="5" s="1"/>
  <c r="M4365" i="5"/>
  <c r="F4365" i="5" s="1"/>
  <c r="AH292" i="5"/>
  <c r="AN292" i="5"/>
  <c r="AO292" i="5"/>
  <c r="AP292" i="5"/>
  <c r="AR292" i="5"/>
  <c r="AU292" i="5"/>
  <c r="AV292" i="5" s="1"/>
  <c r="AW292" i="5"/>
  <c r="AX292" i="5" s="1"/>
  <c r="AH293" i="5"/>
  <c r="AN293" i="5"/>
  <c r="AO293" i="5"/>
  <c r="AP293" i="5"/>
  <c r="AR293" i="5"/>
  <c r="AU293" i="5"/>
  <c r="AV293" i="5" s="1"/>
  <c r="AW293" i="5"/>
  <c r="AX293" i="5" s="1"/>
  <c r="AH294" i="5"/>
  <c r="AZ294" i="5" s="1"/>
  <c r="AN294" i="5"/>
  <c r="AO294" i="5"/>
  <c r="AP294" i="5"/>
  <c r="AR294" i="5"/>
  <c r="AU294" i="5"/>
  <c r="AV294" i="5" s="1"/>
  <c r="AW294" i="5"/>
  <c r="AX294" i="5" s="1"/>
  <c r="AH295" i="5"/>
  <c r="AM295" i="5" s="1"/>
  <c r="AN295" i="5"/>
  <c r="AO295" i="5"/>
  <c r="AP295" i="5"/>
  <c r="AR295" i="5"/>
  <c r="AU295" i="5"/>
  <c r="AV295" i="5" s="1"/>
  <c r="AW295" i="5"/>
  <c r="AX295" i="5" s="1"/>
  <c r="AH296" i="5"/>
  <c r="AJ296" i="5" s="1"/>
  <c r="AN296" i="5"/>
  <c r="AO296" i="5"/>
  <c r="AR296" i="5"/>
  <c r="AU296" i="5"/>
  <c r="AV296" i="5" s="1"/>
  <c r="AW296" i="5"/>
  <c r="AX296" i="5" s="1"/>
  <c r="AH297" i="5"/>
  <c r="AJ297" i="5" s="1"/>
  <c r="AN297" i="5"/>
  <c r="AO297" i="5"/>
  <c r="AP297" i="5"/>
  <c r="AR297" i="5"/>
  <c r="AT297" i="5" s="1"/>
  <c r="AU297" i="5"/>
  <c r="AV297" i="5" s="1"/>
  <c r="AW297" i="5"/>
  <c r="AX297" i="5" s="1"/>
  <c r="AH298" i="5"/>
  <c r="AL298" i="5" s="1"/>
  <c r="AN298" i="5"/>
  <c r="AO298" i="5"/>
  <c r="AP298" i="5"/>
  <c r="AR298" i="5"/>
  <c r="AT298" i="5" s="1"/>
  <c r="AU298" i="5"/>
  <c r="AV298" i="5" s="1"/>
  <c r="AW298" i="5"/>
  <c r="AX298" i="5" s="1"/>
  <c r="AH299" i="5"/>
  <c r="AZ299" i="5" s="1"/>
  <c r="AN299" i="5"/>
  <c r="AO299" i="5"/>
  <c r="AP299" i="5"/>
  <c r="AR299" i="5"/>
  <c r="AS299" i="5" s="1"/>
  <c r="AU299" i="5"/>
  <c r="AV299" i="5" s="1"/>
  <c r="AW299" i="5"/>
  <c r="AX299" i="5" s="1"/>
  <c r="AH300" i="5"/>
  <c r="AK300" i="5" s="1"/>
  <c r="AN300" i="5"/>
  <c r="AO300" i="5"/>
  <c r="AP300" i="5"/>
  <c r="AR300" i="5"/>
  <c r="AU300" i="5"/>
  <c r="AV300" i="5" s="1"/>
  <c r="AW300" i="5"/>
  <c r="AX300" i="5" s="1"/>
  <c r="AH301" i="5"/>
  <c r="AU301" i="5" s="1"/>
  <c r="AV301" i="5" s="1"/>
  <c r="AN301" i="5"/>
  <c r="AO301" i="5"/>
  <c r="AP301" i="5"/>
  <c r="AH302" i="5"/>
  <c r="AJ302" i="5" s="1"/>
  <c r="AN302" i="5"/>
  <c r="AO302" i="5"/>
  <c r="AP302" i="5"/>
  <c r="AJ303" i="5"/>
  <c r="AK303" i="5"/>
  <c r="AL303" i="5"/>
  <c r="AN303" i="5"/>
  <c r="AO303" i="5"/>
  <c r="AP303" i="5"/>
  <c r="AR303" i="5"/>
  <c r="AT303" i="5" s="1"/>
  <c r="AU303" i="5"/>
  <c r="AV303" i="5" s="1"/>
  <c r="AW303" i="5"/>
  <c r="AX303" i="5" s="1"/>
  <c r="AH304" i="5"/>
  <c r="AJ304" i="5" s="1"/>
  <c r="AN304" i="5"/>
  <c r="AO304" i="5"/>
  <c r="AP304" i="5"/>
  <c r="AR304" i="5"/>
  <c r="AU304" i="5"/>
  <c r="AV304" i="5" s="1"/>
  <c r="AW304" i="5"/>
  <c r="AX304" i="5" s="1"/>
  <c r="AH305" i="5"/>
  <c r="AN305" i="5"/>
  <c r="AO305" i="5"/>
  <c r="AP305" i="5"/>
  <c r="AR305" i="5"/>
  <c r="AU305" i="5"/>
  <c r="AV305" i="5" s="1"/>
  <c r="AW305" i="5"/>
  <c r="AX305" i="5" s="1"/>
  <c r="AH306" i="5"/>
  <c r="AJ306" i="5" s="1"/>
  <c r="AN306" i="5"/>
  <c r="AO306" i="5"/>
  <c r="AP306" i="5"/>
  <c r="AR306" i="5"/>
  <c r="AS306" i="5" s="1"/>
  <c r="AU306" i="5"/>
  <c r="AV306" i="5" s="1"/>
  <c r="AW306" i="5"/>
  <c r="AX306" i="5" s="1"/>
  <c r="AH307" i="5"/>
  <c r="AL307" i="5" s="1"/>
  <c r="AN307" i="5"/>
  <c r="AO307" i="5"/>
  <c r="AP307" i="5"/>
  <c r="AR307" i="5"/>
  <c r="AT307" i="5" s="1"/>
  <c r="AU307" i="5"/>
  <c r="AV307" i="5" s="1"/>
  <c r="AW307" i="5"/>
  <c r="AX307" i="5" s="1"/>
  <c r="AH308" i="5"/>
  <c r="AN308" i="5"/>
  <c r="AO308" i="5"/>
  <c r="AP308" i="5"/>
  <c r="AH309" i="5"/>
  <c r="AN309" i="5"/>
  <c r="AO309" i="5"/>
  <c r="AP309" i="5"/>
  <c r="AJ310" i="5"/>
  <c r="AK310" i="5"/>
  <c r="AL310" i="5"/>
  <c r="AN310" i="5"/>
  <c r="AO310" i="5"/>
  <c r="AP310" i="5"/>
  <c r="AR310" i="5"/>
  <c r="AT310" i="5" s="1"/>
  <c r="AU310" i="5"/>
  <c r="AV310" i="5" s="1"/>
  <c r="AW310" i="5"/>
  <c r="AX310" i="5" s="1"/>
  <c r="AH311" i="5"/>
  <c r="AL311" i="5" s="1"/>
  <c r="AN311" i="5"/>
  <c r="AO311" i="5"/>
  <c r="AP311" i="5"/>
  <c r="AR311" i="5"/>
  <c r="AT311" i="5" s="1"/>
  <c r="AU311" i="5"/>
  <c r="AV311" i="5" s="1"/>
  <c r="AW311" i="5"/>
  <c r="AX311" i="5" s="1"/>
  <c r="AH312" i="5"/>
  <c r="AZ312" i="5" s="1"/>
  <c r="AN312" i="5"/>
  <c r="AO312" i="5"/>
  <c r="AP312" i="5"/>
  <c r="AR312" i="5"/>
  <c r="AU312" i="5"/>
  <c r="AV312" i="5" s="1"/>
  <c r="AW312" i="5"/>
  <c r="AX312" i="5" s="1"/>
  <c r="AH313" i="5"/>
  <c r="AN313" i="5"/>
  <c r="AO313" i="5"/>
  <c r="AP313" i="5"/>
  <c r="AR313" i="5"/>
  <c r="AT313" i="5" s="1"/>
  <c r="AU313" i="5"/>
  <c r="AV313" i="5" s="1"/>
  <c r="AW313" i="5"/>
  <c r="AX313" i="5" s="1"/>
  <c r="AH314" i="5"/>
  <c r="AY314" i="5" s="1"/>
  <c r="AN314" i="5"/>
  <c r="AO314" i="5"/>
  <c r="AP314" i="5"/>
  <c r="AR314" i="5"/>
  <c r="AT314" i="5" s="1"/>
  <c r="AU314" i="5"/>
  <c r="AV314" i="5" s="1"/>
  <c r="AW314" i="5"/>
  <c r="AX314" i="5" s="1"/>
  <c r="AH315" i="5"/>
  <c r="AN315" i="5"/>
  <c r="AO315" i="5"/>
  <c r="AP315" i="5"/>
  <c r="AH316" i="5"/>
  <c r="AJ316" i="5" s="1"/>
  <c r="AN316" i="5"/>
  <c r="AO316" i="5"/>
  <c r="AP316" i="5"/>
  <c r="AJ317" i="5"/>
  <c r="AK317" i="5"/>
  <c r="AL317" i="5"/>
  <c r="AN317" i="5"/>
  <c r="AO317" i="5"/>
  <c r="AP317" i="5"/>
  <c r="AR317" i="5"/>
  <c r="AT317" i="5" s="1"/>
  <c r="AU317" i="5"/>
  <c r="AV317" i="5" s="1"/>
  <c r="AW317" i="5"/>
  <c r="AX317" i="5" s="1"/>
  <c r="AH318" i="5"/>
  <c r="AI318" i="5" s="1"/>
  <c r="AH319" i="5"/>
  <c r="AN318" i="5"/>
  <c r="AO318" i="5"/>
  <c r="AP318" i="5"/>
  <c r="AR318" i="5"/>
  <c r="AS318" i="5" s="1"/>
  <c r="AU318" i="5"/>
  <c r="AV318" i="5" s="1"/>
  <c r="AW318" i="5"/>
  <c r="AX318" i="5" s="1"/>
  <c r="AN319" i="5"/>
  <c r="AO319" i="5"/>
  <c r="AP319" i="5"/>
  <c r="AR319" i="5"/>
  <c r="AS319" i="5" s="1"/>
  <c r="AU319" i="5"/>
  <c r="AV319" i="5" s="1"/>
  <c r="AW319" i="5"/>
  <c r="AX319" i="5" s="1"/>
  <c r="AH320" i="5"/>
  <c r="AN320" i="5"/>
  <c r="AO320" i="5"/>
  <c r="AP320" i="5"/>
  <c r="AR320" i="5"/>
  <c r="AU320" i="5"/>
  <c r="AV320" i="5" s="1"/>
  <c r="AW320" i="5"/>
  <c r="AX320" i="5" s="1"/>
  <c r="AH321" i="5"/>
  <c r="AL321" i="5" s="1"/>
  <c r="AN321" i="5"/>
  <c r="AO321" i="5"/>
  <c r="AP321" i="5"/>
  <c r="AR321" i="5"/>
  <c r="AT321" i="5" s="1"/>
  <c r="AU321" i="5"/>
  <c r="AV321" i="5" s="1"/>
  <c r="AW321" i="5"/>
  <c r="AX321" i="5" s="1"/>
  <c r="AH322" i="5"/>
  <c r="AU322" i="5" s="1"/>
  <c r="AV322" i="5" s="1"/>
  <c r="AN322" i="5"/>
  <c r="AO322" i="5"/>
  <c r="AP322" i="5"/>
  <c r="AH323" i="5"/>
  <c r="AU323" i="5" s="1"/>
  <c r="AV323" i="5" s="1"/>
  <c r="AN323" i="5"/>
  <c r="AO323" i="5"/>
  <c r="AP323" i="5"/>
  <c r="AJ324" i="5"/>
  <c r="AK324" i="5"/>
  <c r="AL324" i="5"/>
  <c r="AN324" i="5"/>
  <c r="AO324" i="5"/>
  <c r="AP324" i="5"/>
  <c r="AR324" i="5"/>
  <c r="AU324" i="5"/>
  <c r="AV324" i="5" s="1"/>
  <c r="AW324" i="5"/>
  <c r="AX324" i="5" s="1"/>
  <c r="AH325" i="5"/>
  <c r="AY325" i="5" s="1"/>
  <c r="AN325" i="5"/>
  <c r="AO325" i="5"/>
  <c r="AP325" i="5"/>
  <c r="AR325" i="5"/>
  <c r="AS325" i="5" s="1"/>
  <c r="AU325" i="5"/>
  <c r="AV325" i="5" s="1"/>
  <c r="AW325" i="5"/>
  <c r="AX325" i="5" s="1"/>
  <c r="AH326" i="5"/>
  <c r="AZ326" i="5" s="1"/>
  <c r="AN326" i="5"/>
  <c r="AO326" i="5"/>
  <c r="AP326" i="5"/>
  <c r="AR326" i="5"/>
  <c r="AS326" i="5" s="1"/>
  <c r="AU326" i="5"/>
  <c r="AV326" i="5" s="1"/>
  <c r="AW326" i="5"/>
  <c r="AX326" i="5" s="1"/>
  <c r="AH327" i="5"/>
  <c r="AJ327" i="5" s="1"/>
  <c r="AN327" i="5"/>
  <c r="AO327" i="5"/>
  <c r="AP327" i="5"/>
  <c r="AR327" i="5"/>
  <c r="AU327" i="5"/>
  <c r="AV327" i="5" s="1"/>
  <c r="AW327" i="5"/>
  <c r="AX327" i="5" s="1"/>
  <c r="AH328" i="5"/>
  <c r="AN328" i="5"/>
  <c r="AO328" i="5"/>
  <c r="AP328" i="5"/>
  <c r="AR328" i="5"/>
  <c r="AT328" i="5" s="1"/>
  <c r="AU328" i="5"/>
  <c r="AV328" i="5" s="1"/>
  <c r="AW328" i="5"/>
  <c r="AX328" i="5" s="1"/>
  <c r="AH329" i="5"/>
  <c r="AN329" i="5"/>
  <c r="AO329" i="5"/>
  <c r="AP329" i="5"/>
  <c r="AH330" i="5"/>
  <c r="AY330" i="5" s="1"/>
  <c r="AN330" i="5"/>
  <c r="AO330" i="5"/>
  <c r="AP330" i="5"/>
  <c r="AJ331" i="5"/>
  <c r="AK331" i="5"/>
  <c r="AL331" i="5"/>
  <c r="AN331" i="5"/>
  <c r="AO331" i="5"/>
  <c r="AP331" i="5"/>
  <c r="AR331" i="5"/>
  <c r="AU331" i="5"/>
  <c r="AV331" i="5" s="1"/>
  <c r="AW331" i="5"/>
  <c r="AX331" i="5" s="1"/>
  <c r="AH332" i="5"/>
  <c r="AN332" i="5"/>
  <c r="AO332" i="5"/>
  <c r="AP332" i="5"/>
  <c r="AR332" i="5"/>
  <c r="AU332" i="5"/>
  <c r="AV332" i="5" s="1"/>
  <c r="AW332" i="5"/>
  <c r="AX332" i="5" s="1"/>
  <c r="AH333" i="5"/>
  <c r="AN333" i="5"/>
  <c r="AO333" i="5"/>
  <c r="AP333" i="5"/>
  <c r="AR333" i="5"/>
  <c r="AS333" i="5" s="1"/>
  <c r="AU333" i="5"/>
  <c r="AV333" i="5" s="1"/>
  <c r="AW333" i="5"/>
  <c r="AX333" i="5" s="1"/>
  <c r="AH334" i="5"/>
  <c r="AL334" i="5" s="1"/>
  <c r="AN334" i="5"/>
  <c r="AO334" i="5"/>
  <c r="AP334" i="5"/>
  <c r="AR334" i="5"/>
  <c r="AS334" i="5" s="1"/>
  <c r="AU334" i="5"/>
  <c r="AV334" i="5" s="1"/>
  <c r="AW334" i="5"/>
  <c r="AX334" i="5" s="1"/>
  <c r="AH335" i="5"/>
  <c r="AN335" i="5"/>
  <c r="AO335" i="5"/>
  <c r="AP335" i="5"/>
  <c r="AR335" i="5"/>
  <c r="AS335" i="5" s="1"/>
  <c r="AU335" i="5"/>
  <c r="AV335" i="5" s="1"/>
  <c r="AW335" i="5"/>
  <c r="AX335" i="5" s="1"/>
  <c r="AH336" i="5"/>
  <c r="AU336" i="5" s="1"/>
  <c r="AV336" i="5" s="1"/>
  <c r="AN336" i="5"/>
  <c r="AO336" i="5"/>
  <c r="AP336" i="5"/>
  <c r="AH337" i="5"/>
  <c r="AN337" i="5"/>
  <c r="AO337" i="5"/>
  <c r="AP337" i="5"/>
  <c r="AJ338" i="5"/>
  <c r="AK338" i="5"/>
  <c r="AL338" i="5"/>
  <c r="AN338" i="5"/>
  <c r="AO338" i="5"/>
  <c r="AP338" i="5"/>
  <c r="AR338" i="5"/>
  <c r="AS338" i="5" s="1"/>
  <c r="AU338" i="5"/>
  <c r="AV338" i="5" s="1"/>
  <c r="AW338" i="5"/>
  <c r="AX338" i="5" s="1"/>
  <c r="AH339" i="5"/>
  <c r="AL339" i="5" s="1"/>
  <c r="AN339" i="5"/>
  <c r="AO339" i="5"/>
  <c r="AP339" i="5"/>
  <c r="AR339" i="5"/>
  <c r="AS339" i="5" s="1"/>
  <c r="AU339" i="5"/>
  <c r="AV339" i="5" s="1"/>
  <c r="AW339" i="5"/>
  <c r="AX339" i="5" s="1"/>
  <c r="AH340" i="5"/>
  <c r="AZ340" i="5" s="1"/>
  <c r="AN340" i="5"/>
  <c r="AO340" i="5"/>
  <c r="AP340" i="5"/>
  <c r="AR340" i="5"/>
  <c r="AS340" i="5" s="1"/>
  <c r="AU340" i="5"/>
  <c r="AV340" i="5" s="1"/>
  <c r="AW340" i="5"/>
  <c r="AX340" i="5" s="1"/>
  <c r="AH341" i="5"/>
  <c r="AJ341" i="5" s="1"/>
  <c r="AN341" i="5"/>
  <c r="AO341" i="5"/>
  <c r="AP341" i="5"/>
  <c r="AR341" i="5"/>
  <c r="AS341" i="5" s="1"/>
  <c r="AU341" i="5"/>
  <c r="AV341" i="5" s="1"/>
  <c r="AW341" i="5"/>
  <c r="AX341" i="5" s="1"/>
  <c r="AH342" i="5"/>
  <c r="AJ342" i="5" s="1"/>
  <c r="AN342" i="5"/>
  <c r="AO342" i="5"/>
  <c r="AP342" i="5"/>
  <c r="AR342" i="5"/>
  <c r="AS342" i="5" s="1"/>
  <c r="AU342" i="5"/>
  <c r="AV342" i="5" s="1"/>
  <c r="AW342" i="5"/>
  <c r="AX342" i="5" s="1"/>
  <c r="AH343" i="5"/>
  <c r="AL343" i="5" s="1"/>
  <c r="AN343" i="5"/>
  <c r="AO343" i="5"/>
  <c r="AP343" i="5"/>
  <c r="AH344" i="5"/>
  <c r="AN344" i="5"/>
  <c r="AO344" i="5"/>
  <c r="AP344" i="5"/>
  <c r="AJ345" i="5"/>
  <c r="AK345" i="5"/>
  <c r="AL345" i="5"/>
  <c r="AN345" i="5"/>
  <c r="AO345" i="5"/>
  <c r="AP345" i="5"/>
  <c r="AR345" i="5"/>
  <c r="AU345" i="5"/>
  <c r="AV345" i="5" s="1"/>
  <c r="AW345" i="5"/>
  <c r="AX345" i="5" s="1"/>
  <c r="AH346" i="5"/>
  <c r="AJ346" i="5" s="1"/>
  <c r="AN346" i="5"/>
  <c r="AO346" i="5"/>
  <c r="AP346" i="5"/>
  <c r="AR346" i="5"/>
  <c r="AT346" i="5" s="1"/>
  <c r="AU346" i="5"/>
  <c r="AV346" i="5" s="1"/>
  <c r="AW346" i="5"/>
  <c r="AX346" i="5" s="1"/>
  <c r="AH347" i="5"/>
  <c r="AY347" i="5" s="1"/>
  <c r="AN347" i="5"/>
  <c r="AO347" i="5"/>
  <c r="AP347" i="5"/>
  <c r="AR347" i="5"/>
  <c r="AU347" i="5"/>
  <c r="AV347" i="5" s="1"/>
  <c r="AW347" i="5"/>
  <c r="AX347" i="5" s="1"/>
  <c r="AH348" i="5"/>
  <c r="AN348" i="5"/>
  <c r="AO348" i="5"/>
  <c r="AP348" i="5"/>
  <c r="AR348" i="5"/>
  <c r="AU348" i="5"/>
  <c r="AV348" i="5" s="1"/>
  <c r="AW348" i="5"/>
  <c r="AX348" i="5" s="1"/>
  <c r="AH349" i="5"/>
  <c r="AN349" i="5"/>
  <c r="AO349" i="5"/>
  <c r="AP349" i="5"/>
  <c r="AR349" i="5"/>
  <c r="AT349" i="5" s="1"/>
  <c r="AU349" i="5"/>
  <c r="AV349" i="5" s="1"/>
  <c r="AW349" i="5"/>
  <c r="AX349" i="5" s="1"/>
  <c r="AH350" i="5"/>
  <c r="AJ350" i="5" s="1"/>
  <c r="AN350" i="5"/>
  <c r="AO350" i="5"/>
  <c r="AP350" i="5"/>
  <c r="AH351" i="5"/>
  <c r="AZ351" i="5" s="1"/>
  <c r="AN351" i="5"/>
  <c r="AO351" i="5"/>
  <c r="AP351" i="5"/>
  <c r="AJ352" i="5"/>
  <c r="AK352" i="5"/>
  <c r="AL352" i="5"/>
  <c r="AN352" i="5"/>
  <c r="AO352" i="5"/>
  <c r="AP352" i="5"/>
  <c r="AR352" i="5"/>
  <c r="AU352" i="5"/>
  <c r="AV352" i="5" s="1"/>
  <c r="AW352" i="5"/>
  <c r="AX352" i="5" s="1"/>
  <c r="AH353" i="5"/>
  <c r="AZ353" i="5" s="1"/>
  <c r="AN353" i="5"/>
  <c r="AO353" i="5"/>
  <c r="AP353" i="5"/>
  <c r="AR353" i="5"/>
  <c r="AT353" i="5" s="1"/>
  <c r="AU353" i="5"/>
  <c r="AV353" i="5" s="1"/>
  <c r="AW353" i="5"/>
  <c r="AX353" i="5" s="1"/>
  <c r="AH354" i="5"/>
  <c r="AK354" i="5" s="1"/>
  <c r="AN354" i="5"/>
  <c r="AO354" i="5"/>
  <c r="AP354" i="5"/>
  <c r="AR354" i="5"/>
  <c r="AT354" i="5" s="1"/>
  <c r="AU354" i="5"/>
  <c r="AV354" i="5" s="1"/>
  <c r="AW354" i="5"/>
  <c r="AX354" i="5" s="1"/>
  <c r="AH355" i="5"/>
  <c r="AN355" i="5"/>
  <c r="AO355" i="5"/>
  <c r="AP355" i="5"/>
  <c r="AR355" i="5"/>
  <c r="AS355" i="5" s="1"/>
  <c r="AU355" i="5"/>
  <c r="AV355" i="5" s="1"/>
  <c r="AW355" i="5"/>
  <c r="AX355" i="5" s="1"/>
  <c r="AH356" i="5"/>
  <c r="AN356" i="5"/>
  <c r="AO356" i="5"/>
  <c r="AP356" i="5"/>
  <c r="AR356" i="5"/>
  <c r="AU356" i="5"/>
  <c r="AV356" i="5" s="1"/>
  <c r="AW356" i="5"/>
  <c r="AX356" i="5" s="1"/>
  <c r="AH357" i="5"/>
  <c r="AL357" i="5" s="1"/>
  <c r="AN357" i="5"/>
  <c r="AO357" i="5"/>
  <c r="AP357" i="5"/>
  <c r="AH358" i="5"/>
  <c r="AY358" i="5" s="1"/>
  <c r="AN358" i="5"/>
  <c r="AO358" i="5"/>
  <c r="AP358" i="5"/>
  <c r="AJ359" i="5"/>
  <c r="AK359" i="5"/>
  <c r="AL359" i="5"/>
  <c r="AN359" i="5"/>
  <c r="AO359" i="5"/>
  <c r="AP359" i="5"/>
  <c r="AR359" i="5"/>
  <c r="AT359" i="5" s="1"/>
  <c r="AU359" i="5"/>
  <c r="AV359" i="5" s="1"/>
  <c r="AW359" i="5"/>
  <c r="AX359" i="5" s="1"/>
  <c r="AH360" i="5"/>
  <c r="AJ360" i="5" s="1"/>
  <c r="AN360" i="5"/>
  <c r="AO360" i="5"/>
  <c r="AP360" i="5"/>
  <c r="AR360" i="5"/>
  <c r="AT360" i="5" s="1"/>
  <c r="AU360" i="5"/>
  <c r="AV360" i="5" s="1"/>
  <c r="AW360" i="5"/>
  <c r="AX360" i="5" s="1"/>
  <c r="AH361" i="5"/>
  <c r="AK361" i="5" s="1"/>
  <c r="AN361" i="5"/>
  <c r="AO361" i="5"/>
  <c r="AP361" i="5"/>
  <c r="AR361" i="5"/>
  <c r="AT361" i="5" s="1"/>
  <c r="AU361" i="5"/>
  <c r="AV361" i="5" s="1"/>
  <c r="AW361" i="5"/>
  <c r="AX361" i="5" s="1"/>
  <c r="AH362" i="5"/>
  <c r="AJ362" i="5" s="1"/>
  <c r="AN362" i="5"/>
  <c r="AO362" i="5"/>
  <c r="AP362" i="5"/>
  <c r="AR362" i="5"/>
  <c r="AT362" i="5" s="1"/>
  <c r="AU362" i="5"/>
  <c r="AV362" i="5" s="1"/>
  <c r="AW362" i="5"/>
  <c r="AX362" i="5" s="1"/>
  <c r="AH363" i="5"/>
  <c r="AZ363" i="5" s="1"/>
  <c r="AN363" i="5"/>
  <c r="AO363" i="5"/>
  <c r="AP363" i="5"/>
  <c r="AR363" i="5"/>
  <c r="AT363" i="5" s="1"/>
  <c r="AU363" i="5"/>
  <c r="AV363" i="5" s="1"/>
  <c r="AW363" i="5"/>
  <c r="AX363" i="5" s="1"/>
  <c r="AH364" i="5"/>
  <c r="AY364" i="5" s="1"/>
  <c r="AN364" i="5"/>
  <c r="AO364" i="5"/>
  <c r="AP364" i="5"/>
  <c r="AH365" i="5"/>
  <c r="AW365" i="5" s="1"/>
  <c r="AX365" i="5" s="1"/>
  <c r="AN365" i="5"/>
  <c r="AO365" i="5"/>
  <c r="AP365" i="5"/>
  <c r="AJ366" i="5"/>
  <c r="AK366" i="5"/>
  <c r="AL366" i="5"/>
  <c r="AN366" i="5"/>
  <c r="AO366" i="5"/>
  <c r="AP366" i="5"/>
  <c r="AR366" i="5"/>
  <c r="AU366" i="5"/>
  <c r="AV366" i="5" s="1"/>
  <c r="AW366" i="5"/>
  <c r="AX366" i="5" s="1"/>
  <c r="AH367" i="5"/>
  <c r="AY367" i="5" s="1"/>
  <c r="AN367" i="5"/>
  <c r="AO367" i="5"/>
  <c r="AP367" i="5"/>
  <c r="AR367" i="5"/>
  <c r="AT367" i="5" s="1"/>
  <c r="AU367" i="5"/>
  <c r="AV367" i="5" s="1"/>
  <c r="AW367" i="5"/>
  <c r="AX367" i="5" s="1"/>
  <c r="AH368" i="5"/>
  <c r="AN368" i="5"/>
  <c r="AO368" i="5"/>
  <c r="AP368" i="5"/>
  <c r="AR368" i="5"/>
  <c r="AU368" i="5"/>
  <c r="AV368" i="5" s="1"/>
  <c r="AW368" i="5"/>
  <c r="AX368" i="5" s="1"/>
  <c r="AH369" i="5"/>
  <c r="AY369" i="5" s="1"/>
  <c r="AN369" i="5"/>
  <c r="AO369" i="5"/>
  <c r="AP369" i="5"/>
  <c r="AR369" i="5"/>
  <c r="AT369" i="5" s="1"/>
  <c r="AU369" i="5"/>
  <c r="AV369" i="5" s="1"/>
  <c r="AW369" i="5"/>
  <c r="AX369" i="5" s="1"/>
  <c r="AH370" i="5"/>
  <c r="AJ370" i="5" s="1"/>
  <c r="AN370" i="5"/>
  <c r="AO370" i="5"/>
  <c r="AP370" i="5"/>
  <c r="AR370" i="5"/>
  <c r="AT370" i="5" s="1"/>
  <c r="AU370" i="5"/>
  <c r="AV370" i="5" s="1"/>
  <c r="AW370" i="5"/>
  <c r="AX370" i="5" s="1"/>
  <c r="AH371" i="5"/>
  <c r="AN371" i="5"/>
  <c r="AO371" i="5"/>
  <c r="AP371" i="5"/>
  <c r="AH372" i="5"/>
  <c r="AJ372" i="5" s="1"/>
  <c r="AN372" i="5"/>
  <c r="AO372" i="5"/>
  <c r="AP372" i="5"/>
  <c r="AJ373" i="5"/>
  <c r="AK373" i="5"/>
  <c r="AL373" i="5"/>
  <c r="AN373" i="5"/>
  <c r="AO373" i="5"/>
  <c r="AP373" i="5"/>
  <c r="AR373" i="5"/>
  <c r="AT373" i="5" s="1"/>
  <c r="AU373" i="5"/>
  <c r="AV373" i="5" s="1"/>
  <c r="AW373" i="5"/>
  <c r="AX373" i="5" s="1"/>
  <c r="AH374" i="5"/>
  <c r="AK374" i="5" s="1"/>
  <c r="AN374" i="5"/>
  <c r="AO374" i="5"/>
  <c r="AP374" i="5"/>
  <c r="AR374" i="5"/>
  <c r="AS374" i="5" s="1"/>
  <c r="AU374" i="5"/>
  <c r="AV374" i="5" s="1"/>
  <c r="AW374" i="5"/>
  <c r="AX374" i="5" s="1"/>
  <c r="AH375" i="5"/>
  <c r="AN375" i="5"/>
  <c r="AO375" i="5"/>
  <c r="AP375" i="5"/>
  <c r="AR375" i="5"/>
  <c r="AU375" i="5"/>
  <c r="AV375" i="5" s="1"/>
  <c r="AW375" i="5"/>
  <c r="AX375" i="5" s="1"/>
  <c r="AH376" i="5"/>
  <c r="AJ376" i="5" s="1"/>
  <c r="AN376" i="5"/>
  <c r="AO376" i="5"/>
  <c r="AP376" i="5"/>
  <c r="AR376" i="5"/>
  <c r="AS376" i="5" s="1"/>
  <c r="AU376" i="5"/>
  <c r="AV376" i="5" s="1"/>
  <c r="AW376" i="5"/>
  <c r="AX376" i="5" s="1"/>
  <c r="AH377" i="5"/>
  <c r="AJ377" i="5" s="1"/>
  <c r="AN377" i="5"/>
  <c r="AO377" i="5"/>
  <c r="AP377" i="5"/>
  <c r="AR377" i="5"/>
  <c r="AS377" i="5" s="1"/>
  <c r="AU377" i="5"/>
  <c r="AV377" i="5" s="1"/>
  <c r="AW377" i="5"/>
  <c r="AX377" i="5" s="1"/>
  <c r="AH378" i="5"/>
  <c r="AR378" i="5" s="1"/>
  <c r="AT378" i="5" s="1"/>
  <c r="AN378" i="5"/>
  <c r="AO378" i="5"/>
  <c r="AP378" i="5"/>
  <c r="AH379" i="5"/>
  <c r="AW379" i="5" s="1"/>
  <c r="AX379" i="5" s="1"/>
  <c r="AN379" i="5"/>
  <c r="AO379" i="5"/>
  <c r="AP379" i="5"/>
  <c r="AJ380" i="5"/>
  <c r="AK380" i="5"/>
  <c r="AL380" i="5"/>
  <c r="AN380" i="5"/>
  <c r="AO380" i="5"/>
  <c r="AP380" i="5"/>
  <c r="AR380" i="5"/>
  <c r="AU380" i="5"/>
  <c r="AV380" i="5" s="1"/>
  <c r="AW380" i="5"/>
  <c r="AX380" i="5" s="1"/>
  <c r="AH381" i="5"/>
  <c r="AK381" i="5" s="1"/>
  <c r="AN381" i="5"/>
  <c r="AO381" i="5"/>
  <c r="AP381" i="5"/>
  <c r="AR381" i="5"/>
  <c r="AU381" i="5"/>
  <c r="AV381" i="5" s="1"/>
  <c r="AW381" i="5"/>
  <c r="AX381" i="5" s="1"/>
  <c r="AH382" i="5"/>
  <c r="AY382" i="5" s="1"/>
  <c r="AN382" i="5"/>
  <c r="AO382" i="5"/>
  <c r="AP382" i="5"/>
  <c r="AR382" i="5"/>
  <c r="AS382" i="5" s="1"/>
  <c r="AU382" i="5"/>
  <c r="AV382" i="5" s="1"/>
  <c r="AW382" i="5"/>
  <c r="AX382" i="5" s="1"/>
  <c r="AH383" i="5"/>
  <c r="AJ383" i="5" s="1"/>
  <c r="AN383" i="5"/>
  <c r="AO383" i="5"/>
  <c r="AP383" i="5"/>
  <c r="AR383" i="5"/>
  <c r="AU383" i="5"/>
  <c r="AV383" i="5" s="1"/>
  <c r="AW383" i="5"/>
  <c r="AX383" i="5" s="1"/>
  <c r="AH384" i="5"/>
  <c r="AN384" i="5"/>
  <c r="AO384" i="5"/>
  <c r="AP384" i="5"/>
  <c r="AR384" i="5"/>
  <c r="AU384" i="5"/>
  <c r="AV384" i="5" s="1"/>
  <c r="AW384" i="5"/>
  <c r="AX384" i="5" s="1"/>
  <c r="AH385" i="5"/>
  <c r="AK385" i="5" s="1"/>
  <c r="AN385" i="5"/>
  <c r="AO385" i="5"/>
  <c r="AP385" i="5"/>
  <c r="AH386" i="5"/>
  <c r="AJ386" i="5" s="1"/>
  <c r="AN386" i="5"/>
  <c r="AO386" i="5"/>
  <c r="AP386" i="5"/>
  <c r="AJ387" i="5"/>
  <c r="AK387" i="5"/>
  <c r="AL387" i="5"/>
  <c r="AN387" i="5"/>
  <c r="AO387" i="5"/>
  <c r="AP387" i="5"/>
  <c r="AR387" i="5"/>
  <c r="AU387" i="5"/>
  <c r="AV387" i="5" s="1"/>
  <c r="AW387" i="5"/>
  <c r="AX387" i="5" s="1"/>
  <c r="AH388" i="5"/>
  <c r="AN388" i="5"/>
  <c r="AO388" i="5"/>
  <c r="AP388" i="5"/>
  <c r="AR388" i="5"/>
  <c r="AU388" i="5"/>
  <c r="AV388" i="5" s="1"/>
  <c r="AW388" i="5"/>
  <c r="AX388" i="5" s="1"/>
  <c r="AH389" i="5"/>
  <c r="AN389" i="5"/>
  <c r="AO389" i="5"/>
  <c r="AP389" i="5"/>
  <c r="AR389" i="5"/>
  <c r="AS389" i="5" s="1"/>
  <c r="AU389" i="5"/>
  <c r="AV389" i="5" s="1"/>
  <c r="AW389" i="5"/>
  <c r="AX389" i="5" s="1"/>
  <c r="AH390" i="5"/>
  <c r="AL390" i="5" s="1"/>
  <c r="AN390" i="5"/>
  <c r="AO390" i="5"/>
  <c r="AP390" i="5"/>
  <c r="AR390" i="5"/>
  <c r="AT390" i="5" s="1"/>
  <c r="AU390" i="5"/>
  <c r="AV390" i="5" s="1"/>
  <c r="AW390" i="5"/>
  <c r="AX390" i="5" s="1"/>
  <c r="AH391" i="5"/>
  <c r="AZ391" i="5" s="1"/>
  <c r="AN391" i="5"/>
  <c r="AO391" i="5"/>
  <c r="AP391" i="5"/>
  <c r="AR391" i="5"/>
  <c r="AU391" i="5"/>
  <c r="AV391" i="5" s="1"/>
  <c r="AW391" i="5"/>
  <c r="AX391" i="5" s="1"/>
  <c r="AH392" i="5"/>
  <c r="AJ392" i="5" s="1"/>
  <c r="AN392" i="5"/>
  <c r="AO392" i="5"/>
  <c r="AP392" i="5"/>
  <c r="AH393" i="5"/>
  <c r="AN393" i="5"/>
  <c r="AO393" i="5"/>
  <c r="AP393" i="5"/>
  <c r="AJ394" i="5"/>
  <c r="AK394" i="5"/>
  <c r="AL394" i="5"/>
  <c r="AN394" i="5"/>
  <c r="AO394" i="5"/>
  <c r="AP394" i="5"/>
  <c r="AR394" i="5"/>
  <c r="AT394" i="5" s="1"/>
  <c r="AU394" i="5"/>
  <c r="AV394" i="5" s="1"/>
  <c r="AW394" i="5"/>
  <c r="AX394" i="5" s="1"/>
  <c r="AH395" i="5"/>
  <c r="AN395" i="5"/>
  <c r="AO395" i="5"/>
  <c r="AP395" i="5"/>
  <c r="AR395" i="5"/>
  <c r="AU395" i="5"/>
  <c r="AV395" i="5" s="1"/>
  <c r="AW395" i="5"/>
  <c r="AX395" i="5" s="1"/>
  <c r="AH396" i="5"/>
  <c r="AY396" i="5" s="1"/>
  <c r="AN396" i="5"/>
  <c r="AO396" i="5"/>
  <c r="AP396" i="5"/>
  <c r="AR396" i="5"/>
  <c r="AU396" i="5"/>
  <c r="AV396" i="5" s="1"/>
  <c r="AW396" i="5"/>
  <c r="AX396" i="5" s="1"/>
  <c r="AH397" i="5"/>
  <c r="AK397" i="5" s="1"/>
  <c r="AN397" i="5"/>
  <c r="AO397" i="5"/>
  <c r="AP397" i="5"/>
  <c r="AR397" i="5"/>
  <c r="AT397" i="5" s="1"/>
  <c r="AU397" i="5"/>
  <c r="AV397" i="5" s="1"/>
  <c r="AW397" i="5"/>
  <c r="AX397" i="5" s="1"/>
  <c r="AH398" i="5"/>
  <c r="AZ398" i="5" s="1"/>
  <c r="AN398" i="5"/>
  <c r="AO398" i="5"/>
  <c r="AP398" i="5"/>
  <c r="AR398" i="5"/>
  <c r="AU398" i="5"/>
  <c r="AV398" i="5" s="1"/>
  <c r="AW398" i="5"/>
  <c r="AX398" i="5" s="1"/>
  <c r="AH399" i="5"/>
  <c r="AR399" i="5" s="1"/>
  <c r="AT399" i="5" s="1"/>
  <c r="AN399" i="5"/>
  <c r="AO399" i="5"/>
  <c r="AP399" i="5"/>
  <c r="AH400" i="5"/>
  <c r="AN400" i="5"/>
  <c r="AO400" i="5"/>
  <c r="AP400" i="5"/>
  <c r="AJ401" i="5"/>
  <c r="AK401" i="5"/>
  <c r="AL401" i="5"/>
  <c r="AN401" i="5"/>
  <c r="AO401" i="5"/>
  <c r="AP401" i="5"/>
  <c r="AR401" i="5"/>
  <c r="AS401" i="5" s="1"/>
  <c r="AU401" i="5"/>
  <c r="AV401" i="5" s="1"/>
  <c r="AW401" i="5"/>
  <c r="AX401" i="5" s="1"/>
  <c r="AH402" i="5"/>
  <c r="AL402" i="5" s="1"/>
  <c r="AN402" i="5"/>
  <c r="AO402" i="5"/>
  <c r="AP402" i="5"/>
  <c r="AR402" i="5"/>
  <c r="AS402" i="5" s="1"/>
  <c r="AU402" i="5"/>
  <c r="AV402" i="5" s="1"/>
  <c r="AW402" i="5"/>
  <c r="AX402" i="5" s="1"/>
  <c r="AH403" i="5"/>
  <c r="AK403" i="5" s="1"/>
  <c r="AN403" i="5"/>
  <c r="AO403" i="5"/>
  <c r="AP403" i="5"/>
  <c r="AR403" i="5"/>
  <c r="AU403" i="5"/>
  <c r="AV403" i="5" s="1"/>
  <c r="AW403" i="5"/>
  <c r="AX403" i="5" s="1"/>
  <c r="AH404" i="5"/>
  <c r="AK404" i="5" s="1"/>
  <c r="AN404" i="5"/>
  <c r="AO404" i="5"/>
  <c r="AP404" i="5"/>
  <c r="AR404" i="5"/>
  <c r="AU404" i="5"/>
  <c r="AV404" i="5" s="1"/>
  <c r="AW404" i="5"/>
  <c r="AX404" i="5" s="1"/>
  <c r="AH405" i="5"/>
  <c r="AK405" i="5" s="1"/>
  <c r="AN405" i="5"/>
  <c r="AO405" i="5"/>
  <c r="AP405" i="5"/>
  <c r="AR405" i="5"/>
  <c r="AS405" i="5" s="1"/>
  <c r="AU405" i="5"/>
  <c r="AV405" i="5" s="1"/>
  <c r="AW405" i="5"/>
  <c r="AX405" i="5" s="1"/>
  <c r="AH406" i="5"/>
  <c r="AK406" i="5" s="1"/>
  <c r="AN406" i="5"/>
  <c r="AO406" i="5"/>
  <c r="AP406" i="5"/>
  <c r="AH407" i="5"/>
  <c r="AW407" i="5" s="1"/>
  <c r="AX407" i="5" s="1"/>
  <c r="AN407" i="5"/>
  <c r="AO407" i="5"/>
  <c r="AP407" i="5"/>
  <c r="AJ408" i="5"/>
  <c r="AK408" i="5"/>
  <c r="AL408" i="5"/>
  <c r="AN408" i="5"/>
  <c r="AO408" i="5"/>
  <c r="AP408" i="5"/>
  <c r="AR408" i="5"/>
  <c r="AU408" i="5"/>
  <c r="AV408" i="5" s="1"/>
  <c r="AW408" i="5"/>
  <c r="AX408" i="5" s="1"/>
  <c r="AH409" i="5"/>
  <c r="AY409" i="5" s="1"/>
  <c r="AN409" i="5"/>
  <c r="AO409" i="5"/>
  <c r="AP409" i="5"/>
  <c r="AR409" i="5"/>
  <c r="AS409" i="5" s="1"/>
  <c r="AU409" i="5"/>
  <c r="AV409" i="5" s="1"/>
  <c r="AW409" i="5"/>
  <c r="AX409" i="5" s="1"/>
  <c r="AH410" i="5"/>
  <c r="AY410" i="5" s="1"/>
  <c r="AN410" i="5"/>
  <c r="AO410" i="5"/>
  <c r="AP410" i="5"/>
  <c r="AR410" i="5"/>
  <c r="AS410" i="5" s="1"/>
  <c r="AU410" i="5"/>
  <c r="AV410" i="5" s="1"/>
  <c r="AW410" i="5"/>
  <c r="AX410" i="5" s="1"/>
  <c r="AH411" i="5"/>
  <c r="AJ411" i="5" s="1"/>
  <c r="AN411" i="5"/>
  <c r="AO411" i="5"/>
  <c r="AP411" i="5"/>
  <c r="AR411" i="5"/>
  <c r="AS411" i="5" s="1"/>
  <c r="AU411" i="5"/>
  <c r="AV411" i="5" s="1"/>
  <c r="AW411" i="5"/>
  <c r="AX411" i="5" s="1"/>
  <c r="AH412" i="5"/>
  <c r="AL412" i="5" s="1"/>
  <c r="AN412" i="5"/>
  <c r="AO412" i="5"/>
  <c r="AP412" i="5"/>
  <c r="AR412" i="5"/>
  <c r="AU412" i="5"/>
  <c r="AV412" i="5" s="1"/>
  <c r="AW412" i="5"/>
  <c r="AX412" i="5" s="1"/>
  <c r="AH413" i="5"/>
  <c r="AU413" i="5" s="1"/>
  <c r="AV413" i="5" s="1"/>
  <c r="AN413" i="5"/>
  <c r="AO413" i="5"/>
  <c r="AP413" i="5"/>
  <c r="AH414" i="5"/>
  <c r="AN414" i="5"/>
  <c r="AO414" i="5"/>
  <c r="AP414" i="5"/>
  <c r="AJ415" i="5"/>
  <c r="AK415" i="5"/>
  <c r="AL415" i="5"/>
  <c r="AN415" i="5"/>
  <c r="AO415" i="5"/>
  <c r="AP415" i="5"/>
  <c r="AR415" i="5"/>
  <c r="AU415" i="5"/>
  <c r="AV415" i="5" s="1"/>
  <c r="AW415" i="5"/>
  <c r="AX415" i="5" s="1"/>
  <c r="AH416" i="5"/>
  <c r="AN416" i="5"/>
  <c r="AO416" i="5"/>
  <c r="AP416" i="5"/>
  <c r="AR416" i="5"/>
  <c r="AS416" i="5" s="1"/>
  <c r="AU416" i="5"/>
  <c r="AV416" i="5" s="1"/>
  <c r="AW416" i="5"/>
  <c r="AX416" i="5" s="1"/>
  <c r="AH417" i="5"/>
  <c r="AY417" i="5" s="1"/>
  <c r="AN417" i="5"/>
  <c r="AO417" i="5"/>
  <c r="AP417" i="5"/>
  <c r="AR417" i="5"/>
  <c r="AT417" i="5" s="1"/>
  <c r="AU417" i="5"/>
  <c r="AV417" i="5" s="1"/>
  <c r="AW417" i="5"/>
  <c r="AX417" i="5" s="1"/>
  <c r="AH418" i="5"/>
  <c r="AY418" i="5" s="1"/>
  <c r="AN418" i="5"/>
  <c r="AO418" i="5"/>
  <c r="AP418" i="5"/>
  <c r="AR418" i="5"/>
  <c r="AS418" i="5" s="1"/>
  <c r="AU418" i="5"/>
  <c r="AV418" i="5" s="1"/>
  <c r="AW418" i="5"/>
  <c r="AX418" i="5" s="1"/>
  <c r="AH419" i="5"/>
  <c r="AJ419" i="5" s="1"/>
  <c r="AN419" i="5"/>
  <c r="AO419" i="5"/>
  <c r="AP419" i="5"/>
  <c r="AR419" i="5"/>
  <c r="AT419" i="5" s="1"/>
  <c r="AU419" i="5"/>
  <c r="AV419" i="5" s="1"/>
  <c r="AW419" i="5"/>
  <c r="AX419" i="5" s="1"/>
  <c r="AH420" i="5"/>
  <c r="AW420" i="5" s="1"/>
  <c r="AX420" i="5" s="1"/>
  <c r="AN420" i="5"/>
  <c r="AO420" i="5"/>
  <c r="AP420" i="5"/>
  <c r="AH421" i="5"/>
  <c r="AN421" i="5"/>
  <c r="AO421" i="5"/>
  <c r="AP421" i="5"/>
  <c r="AJ422" i="5"/>
  <c r="AK422" i="5"/>
  <c r="AL422" i="5"/>
  <c r="AN422" i="5"/>
  <c r="AO422" i="5"/>
  <c r="AP422" i="5"/>
  <c r="AR422" i="5"/>
  <c r="AT422" i="5" s="1"/>
  <c r="AU422" i="5"/>
  <c r="AV422" i="5" s="1"/>
  <c r="AW422" i="5"/>
  <c r="AX422" i="5" s="1"/>
  <c r="AH423" i="5"/>
  <c r="AL423" i="5" s="1"/>
  <c r="AN423" i="5"/>
  <c r="AO423" i="5"/>
  <c r="AP423" i="5"/>
  <c r="AR423" i="5"/>
  <c r="AT423" i="5" s="1"/>
  <c r="AU423" i="5"/>
  <c r="AV423" i="5" s="1"/>
  <c r="AW423" i="5"/>
  <c r="AX423" i="5" s="1"/>
  <c r="AH424" i="5"/>
  <c r="AN424" i="5"/>
  <c r="AO424" i="5"/>
  <c r="AP424" i="5"/>
  <c r="AR424" i="5"/>
  <c r="AS424" i="5" s="1"/>
  <c r="AU424" i="5"/>
  <c r="AV424" i="5" s="1"/>
  <c r="AW424" i="5"/>
  <c r="AX424" i="5" s="1"/>
  <c r="AH425" i="5"/>
  <c r="AJ425" i="5" s="1"/>
  <c r="AN425" i="5"/>
  <c r="AO425" i="5"/>
  <c r="AP425" i="5"/>
  <c r="AR425" i="5"/>
  <c r="AS425" i="5" s="1"/>
  <c r="AU425" i="5"/>
  <c r="AV425" i="5" s="1"/>
  <c r="AW425" i="5"/>
  <c r="AX425" i="5" s="1"/>
  <c r="AH426" i="5"/>
  <c r="AZ426" i="5" s="1"/>
  <c r="AN426" i="5"/>
  <c r="AO426" i="5"/>
  <c r="AP426" i="5"/>
  <c r="AR426" i="5"/>
  <c r="AT426" i="5" s="1"/>
  <c r="AU426" i="5"/>
  <c r="AV426" i="5" s="1"/>
  <c r="AW426" i="5"/>
  <c r="AX426" i="5" s="1"/>
  <c r="AH427" i="5"/>
  <c r="AY427" i="5" s="1"/>
  <c r="AN427" i="5"/>
  <c r="AO427" i="5"/>
  <c r="AP427" i="5"/>
  <c r="AH428" i="5"/>
  <c r="AK428" i="5" s="1"/>
  <c r="AN428" i="5"/>
  <c r="AO428" i="5"/>
  <c r="AP428" i="5"/>
  <c r="AJ429" i="5"/>
  <c r="AK429" i="5"/>
  <c r="AL429" i="5"/>
  <c r="AN429" i="5"/>
  <c r="AO429" i="5"/>
  <c r="AP429" i="5"/>
  <c r="AR429" i="5"/>
  <c r="AS429" i="5" s="1"/>
  <c r="AU429" i="5"/>
  <c r="AV429" i="5" s="1"/>
  <c r="AW429" i="5"/>
  <c r="AX429" i="5" s="1"/>
  <c r="AH430" i="5"/>
  <c r="AJ430" i="5" s="1"/>
  <c r="AN430" i="5"/>
  <c r="AO430" i="5"/>
  <c r="AP430" i="5"/>
  <c r="AR430" i="5"/>
  <c r="AT430" i="5" s="1"/>
  <c r="AU430" i="5"/>
  <c r="AV430" i="5" s="1"/>
  <c r="AW430" i="5"/>
  <c r="AX430" i="5" s="1"/>
  <c r="AH431" i="5"/>
  <c r="AJ431" i="5" s="1"/>
  <c r="AN431" i="5"/>
  <c r="AO431" i="5"/>
  <c r="AP431" i="5"/>
  <c r="AR431" i="5"/>
  <c r="AU431" i="5"/>
  <c r="AV431" i="5" s="1"/>
  <c r="AW431" i="5"/>
  <c r="AX431" i="5" s="1"/>
  <c r="AH432" i="5"/>
  <c r="AZ432" i="5" s="1"/>
  <c r="AN432" i="5"/>
  <c r="AO432" i="5"/>
  <c r="AP432" i="5"/>
  <c r="AR432" i="5"/>
  <c r="AU432" i="5"/>
  <c r="AV432" i="5" s="1"/>
  <c r="AW432" i="5"/>
  <c r="AX432" i="5" s="1"/>
  <c r="AH433" i="5"/>
  <c r="AL433" i="5" s="1"/>
  <c r="AN433" i="5"/>
  <c r="AO433" i="5"/>
  <c r="AP433" i="5"/>
  <c r="AR433" i="5"/>
  <c r="AU433" i="5"/>
  <c r="AV433" i="5" s="1"/>
  <c r="AW433" i="5"/>
  <c r="AX433" i="5" s="1"/>
  <c r="AH434" i="5"/>
  <c r="AW434" i="5" s="1"/>
  <c r="AX434" i="5" s="1"/>
  <c r="AN434" i="5"/>
  <c r="AO434" i="5"/>
  <c r="AP434" i="5"/>
  <c r="AH435" i="5"/>
  <c r="AR435" i="5" s="1"/>
  <c r="AT435" i="5" s="1"/>
  <c r="AN435" i="5"/>
  <c r="AO435" i="5"/>
  <c r="AP435" i="5"/>
  <c r="AJ436" i="5"/>
  <c r="AK436" i="5"/>
  <c r="AL436" i="5"/>
  <c r="AN436" i="5"/>
  <c r="AO436" i="5"/>
  <c r="AP436" i="5"/>
  <c r="AR436" i="5"/>
  <c r="AU436" i="5"/>
  <c r="AV436" i="5" s="1"/>
  <c r="AW436" i="5"/>
  <c r="AX436" i="5" s="1"/>
  <c r="AH437" i="5"/>
  <c r="AY437" i="5" s="1"/>
  <c r="AN437" i="5"/>
  <c r="AO437" i="5"/>
  <c r="AP437" i="5"/>
  <c r="AR437" i="5"/>
  <c r="AS437" i="5" s="1"/>
  <c r="AU437" i="5"/>
  <c r="AV437" i="5" s="1"/>
  <c r="AW437" i="5"/>
  <c r="AX437" i="5" s="1"/>
  <c r="AH438" i="5"/>
  <c r="AK438" i="5" s="1"/>
  <c r="AN438" i="5"/>
  <c r="AO438" i="5"/>
  <c r="AP438" i="5"/>
  <c r="AR438" i="5"/>
  <c r="AT438" i="5" s="1"/>
  <c r="AU438" i="5"/>
  <c r="AV438" i="5" s="1"/>
  <c r="AW438" i="5"/>
  <c r="AX438" i="5" s="1"/>
  <c r="AH439" i="5"/>
  <c r="AY439" i="5" s="1"/>
  <c r="AN439" i="5"/>
  <c r="AO439" i="5"/>
  <c r="AP439" i="5"/>
  <c r="AR439" i="5"/>
  <c r="AS439" i="5" s="1"/>
  <c r="AU439" i="5"/>
  <c r="AV439" i="5" s="1"/>
  <c r="AW439" i="5"/>
  <c r="AX439" i="5" s="1"/>
  <c r="AH440" i="5"/>
  <c r="AZ440" i="5" s="1"/>
  <c r="AN440" i="5"/>
  <c r="AO440" i="5"/>
  <c r="AP440" i="5"/>
  <c r="AR440" i="5"/>
  <c r="AS440" i="5" s="1"/>
  <c r="AU440" i="5"/>
  <c r="AV440" i="5" s="1"/>
  <c r="AW440" i="5"/>
  <c r="AX440" i="5" s="1"/>
  <c r="AH441" i="5"/>
  <c r="AK441" i="5" s="1"/>
  <c r="AN441" i="5"/>
  <c r="AO441" i="5"/>
  <c r="AP441" i="5"/>
  <c r="AH442" i="5"/>
  <c r="AJ442" i="5" s="1"/>
  <c r="AN442" i="5"/>
  <c r="AO442" i="5"/>
  <c r="AP442" i="5"/>
  <c r="AJ443" i="5"/>
  <c r="AK443" i="5"/>
  <c r="AL443" i="5"/>
  <c r="AN443" i="5"/>
  <c r="AO443" i="5"/>
  <c r="AP443" i="5"/>
  <c r="AR443" i="5"/>
  <c r="AS443" i="5" s="1"/>
  <c r="AU443" i="5"/>
  <c r="AV443" i="5" s="1"/>
  <c r="AW443" i="5"/>
  <c r="AX443" i="5" s="1"/>
  <c r="AH444" i="5"/>
  <c r="AN444" i="5"/>
  <c r="AO444" i="5"/>
  <c r="AP444" i="5"/>
  <c r="AR444" i="5"/>
  <c r="AU444" i="5"/>
  <c r="AV444" i="5" s="1"/>
  <c r="AW444" i="5"/>
  <c r="AX444" i="5" s="1"/>
  <c r="AH445" i="5"/>
  <c r="AN445" i="5"/>
  <c r="AO445" i="5"/>
  <c r="AP445" i="5"/>
  <c r="AR445" i="5"/>
  <c r="AS445" i="5" s="1"/>
  <c r="AU445" i="5"/>
  <c r="AV445" i="5" s="1"/>
  <c r="AW445" i="5"/>
  <c r="AX445" i="5" s="1"/>
  <c r="AH446" i="5"/>
  <c r="AK446" i="5" s="1"/>
  <c r="AN446" i="5"/>
  <c r="AO446" i="5"/>
  <c r="AP446" i="5"/>
  <c r="AR446" i="5"/>
  <c r="AU446" i="5"/>
  <c r="AV446" i="5" s="1"/>
  <c r="AW446" i="5"/>
  <c r="AX446" i="5" s="1"/>
  <c r="AH447" i="5"/>
  <c r="AK447" i="5" s="1"/>
  <c r="AN447" i="5"/>
  <c r="AO447" i="5"/>
  <c r="AP447" i="5"/>
  <c r="AR447" i="5"/>
  <c r="AU447" i="5"/>
  <c r="AV447" i="5" s="1"/>
  <c r="AW447" i="5"/>
  <c r="AX447" i="5" s="1"/>
  <c r="AH448" i="5"/>
  <c r="AN448" i="5"/>
  <c r="AO448" i="5"/>
  <c r="AP448" i="5"/>
  <c r="AH449" i="5"/>
  <c r="AN449" i="5"/>
  <c r="AO449" i="5"/>
  <c r="AP449" i="5"/>
  <c r="AJ450" i="5"/>
  <c r="AK450" i="5"/>
  <c r="AL450" i="5"/>
  <c r="AN450" i="5"/>
  <c r="AO450" i="5"/>
  <c r="AP450" i="5"/>
  <c r="AR450" i="5"/>
  <c r="AT450" i="5" s="1"/>
  <c r="AU450" i="5"/>
  <c r="AV450" i="5" s="1"/>
  <c r="AW450" i="5"/>
  <c r="AX450" i="5" s="1"/>
  <c r="AH451" i="5"/>
  <c r="AN451" i="5"/>
  <c r="AO451" i="5"/>
  <c r="AP451" i="5"/>
  <c r="AR451" i="5"/>
  <c r="AS451" i="5" s="1"/>
  <c r="AU451" i="5"/>
  <c r="AV451" i="5" s="1"/>
  <c r="AW451" i="5"/>
  <c r="AX451" i="5" s="1"/>
  <c r="AH452" i="5"/>
  <c r="AZ452" i="5" s="1"/>
  <c r="AN452" i="5"/>
  <c r="AO452" i="5"/>
  <c r="AP452" i="5"/>
  <c r="AR452" i="5"/>
  <c r="AT452" i="5" s="1"/>
  <c r="AU452" i="5"/>
  <c r="AV452" i="5" s="1"/>
  <c r="AW452" i="5"/>
  <c r="AX452" i="5" s="1"/>
  <c r="AH453" i="5"/>
  <c r="AJ453" i="5" s="1"/>
  <c r="AN453" i="5"/>
  <c r="AO453" i="5"/>
  <c r="AP453" i="5"/>
  <c r="AR453" i="5"/>
  <c r="AU453" i="5"/>
  <c r="AV453" i="5" s="1"/>
  <c r="AW453" i="5"/>
  <c r="AX453" i="5" s="1"/>
  <c r="AH454" i="5"/>
  <c r="AZ454" i="5" s="1"/>
  <c r="AN454" i="5"/>
  <c r="AO454" i="5"/>
  <c r="AP454" i="5"/>
  <c r="AR454" i="5"/>
  <c r="AS454" i="5" s="1"/>
  <c r="AU454" i="5"/>
  <c r="AV454" i="5" s="1"/>
  <c r="AW454" i="5"/>
  <c r="AX454" i="5" s="1"/>
  <c r="AH455" i="5"/>
  <c r="AK455" i="5" s="1"/>
  <c r="AN455" i="5"/>
  <c r="AO455" i="5"/>
  <c r="AP455" i="5"/>
  <c r="AH456" i="5"/>
  <c r="AN456" i="5"/>
  <c r="AO456" i="5"/>
  <c r="AP456" i="5"/>
  <c r="AJ457" i="5"/>
  <c r="AK457" i="5"/>
  <c r="AL457" i="5"/>
  <c r="AN457" i="5"/>
  <c r="AO457" i="5"/>
  <c r="AP457" i="5"/>
  <c r="AR457" i="5"/>
  <c r="AT457" i="5" s="1"/>
  <c r="AU457" i="5"/>
  <c r="AV457" i="5" s="1"/>
  <c r="AW457" i="5"/>
  <c r="AX457" i="5" s="1"/>
  <c r="AH458" i="5"/>
  <c r="AK458" i="5" s="1"/>
  <c r="AN458" i="5"/>
  <c r="AO458" i="5"/>
  <c r="AP458" i="5"/>
  <c r="AR458" i="5"/>
  <c r="AS458" i="5" s="1"/>
  <c r="AU458" i="5"/>
  <c r="AV458" i="5" s="1"/>
  <c r="AW458" i="5"/>
  <c r="AX458" i="5" s="1"/>
  <c r="AH459" i="5"/>
  <c r="AZ459" i="5" s="1"/>
  <c r="AN459" i="5"/>
  <c r="AO459" i="5"/>
  <c r="AP459" i="5"/>
  <c r="AR459" i="5"/>
  <c r="AU459" i="5"/>
  <c r="AV459" i="5" s="1"/>
  <c r="AW459" i="5"/>
  <c r="AX459" i="5" s="1"/>
  <c r="AH460" i="5"/>
  <c r="AN460" i="5"/>
  <c r="AO460" i="5"/>
  <c r="AP460" i="5"/>
  <c r="AR460" i="5"/>
  <c r="AS460" i="5" s="1"/>
  <c r="AU460" i="5"/>
  <c r="AV460" i="5" s="1"/>
  <c r="AW460" i="5"/>
  <c r="AX460" i="5" s="1"/>
  <c r="AH461" i="5"/>
  <c r="AL461" i="5" s="1"/>
  <c r="AN461" i="5"/>
  <c r="AO461" i="5"/>
  <c r="AP461" i="5"/>
  <c r="AR461" i="5"/>
  <c r="AS461" i="5" s="1"/>
  <c r="AU461" i="5"/>
  <c r="AV461" i="5" s="1"/>
  <c r="AW461" i="5"/>
  <c r="AX461" i="5" s="1"/>
  <c r="AH462" i="5"/>
  <c r="AU462" i="5" s="1"/>
  <c r="AV462" i="5" s="1"/>
  <c r="AN462" i="5"/>
  <c r="AO462" i="5"/>
  <c r="AP462" i="5"/>
  <c r="AH463" i="5"/>
  <c r="AU463" i="5" s="1"/>
  <c r="AV463" i="5" s="1"/>
  <c r="AN463" i="5"/>
  <c r="AO463" i="5"/>
  <c r="AP463" i="5"/>
  <c r="AJ464" i="5"/>
  <c r="AK464" i="5"/>
  <c r="AL464" i="5"/>
  <c r="AN464" i="5"/>
  <c r="AO464" i="5"/>
  <c r="AP464" i="5"/>
  <c r="AR464" i="5"/>
  <c r="AU464" i="5"/>
  <c r="AV464" i="5" s="1"/>
  <c r="AW464" i="5"/>
  <c r="AX464" i="5" s="1"/>
  <c r="AH465" i="5"/>
  <c r="AK465" i="5" s="1"/>
  <c r="AN465" i="5"/>
  <c r="AO465" i="5"/>
  <c r="AP465" i="5"/>
  <c r="AR465" i="5"/>
  <c r="AS465" i="5" s="1"/>
  <c r="AU465" i="5"/>
  <c r="AV465" i="5" s="1"/>
  <c r="AW465" i="5"/>
  <c r="AX465" i="5" s="1"/>
  <c r="AH466" i="5"/>
  <c r="AY466" i="5" s="1"/>
  <c r="AN466" i="5"/>
  <c r="AO466" i="5"/>
  <c r="AP466" i="5"/>
  <c r="AR466" i="5"/>
  <c r="AT466" i="5" s="1"/>
  <c r="AU466" i="5"/>
  <c r="AV466" i="5" s="1"/>
  <c r="AW466" i="5"/>
  <c r="AX466" i="5" s="1"/>
  <c r="AH467" i="5"/>
  <c r="AN467" i="5"/>
  <c r="AO467" i="5"/>
  <c r="AP467" i="5"/>
  <c r="AR467" i="5"/>
  <c r="AS467" i="5" s="1"/>
  <c r="AU467" i="5"/>
  <c r="AV467" i="5" s="1"/>
  <c r="AW467" i="5"/>
  <c r="AX467" i="5" s="1"/>
  <c r="AH468" i="5"/>
  <c r="AN468" i="5"/>
  <c r="AO468" i="5"/>
  <c r="AP468" i="5"/>
  <c r="AR468" i="5"/>
  <c r="AS468" i="5" s="1"/>
  <c r="AU468" i="5"/>
  <c r="AV468" i="5" s="1"/>
  <c r="AW468" i="5"/>
  <c r="AX468" i="5" s="1"/>
  <c r="AH469" i="5"/>
  <c r="AL469" i="5" s="1"/>
  <c r="AN469" i="5"/>
  <c r="AO469" i="5"/>
  <c r="AP469" i="5"/>
  <c r="AH470" i="5"/>
  <c r="AJ470" i="5" s="1"/>
  <c r="AN470" i="5"/>
  <c r="AO470" i="5"/>
  <c r="AP470" i="5"/>
  <c r="AJ471" i="5"/>
  <c r="AK471" i="5"/>
  <c r="AL471" i="5"/>
  <c r="AN471" i="5"/>
  <c r="AO471" i="5"/>
  <c r="AP471" i="5"/>
  <c r="AR471" i="5"/>
  <c r="AS471" i="5" s="1"/>
  <c r="AU471" i="5"/>
  <c r="AV471" i="5" s="1"/>
  <c r="AW471" i="5"/>
  <c r="AX471" i="5" s="1"/>
  <c r="AH472" i="5"/>
  <c r="AK472" i="5" s="1"/>
  <c r="AN472" i="5"/>
  <c r="AO472" i="5"/>
  <c r="AP472" i="5"/>
  <c r="AR472" i="5"/>
  <c r="AU472" i="5"/>
  <c r="AV472" i="5" s="1"/>
  <c r="AW472" i="5"/>
  <c r="AX472" i="5" s="1"/>
  <c r="AH473" i="5"/>
  <c r="AK473" i="5" s="1"/>
  <c r="AN473" i="5"/>
  <c r="AO473" i="5"/>
  <c r="AP473" i="5"/>
  <c r="AR473" i="5"/>
  <c r="AT473" i="5" s="1"/>
  <c r="AU473" i="5"/>
  <c r="AV473" i="5" s="1"/>
  <c r="AW473" i="5"/>
  <c r="AX473" i="5" s="1"/>
  <c r="AH474" i="5"/>
  <c r="AK474" i="5" s="1"/>
  <c r="AN474" i="5"/>
  <c r="AO474" i="5"/>
  <c r="AP474" i="5"/>
  <c r="AR474" i="5"/>
  <c r="AT474" i="5" s="1"/>
  <c r="AU474" i="5"/>
  <c r="AV474" i="5" s="1"/>
  <c r="AW474" i="5"/>
  <c r="AX474" i="5" s="1"/>
  <c r="AH475" i="5"/>
  <c r="AZ475" i="5" s="1"/>
  <c r="AN475" i="5"/>
  <c r="AO475" i="5"/>
  <c r="AP475" i="5"/>
  <c r="AR475" i="5"/>
  <c r="AU475" i="5"/>
  <c r="AV475" i="5" s="1"/>
  <c r="AW475" i="5"/>
  <c r="AX475" i="5" s="1"/>
  <c r="AH476" i="5"/>
  <c r="AY476" i="5" s="1"/>
  <c r="AN476" i="5"/>
  <c r="AO476" i="5"/>
  <c r="AP476" i="5"/>
  <c r="AH477" i="5"/>
  <c r="AN477" i="5"/>
  <c r="AO477" i="5"/>
  <c r="AP477" i="5"/>
  <c r="AJ478" i="5"/>
  <c r="AK478" i="5"/>
  <c r="AL478" i="5"/>
  <c r="AN478" i="5"/>
  <c r="AO478" i="5"/>
  <c r="AP478" i="5"/>
  <c r="AR478" i="5"/>
  <c r="AT478" i="5" s="1"/>
  <c r="AU478" i="5"/>
  <c r="AV478" i="5" s="1"/>
  <c r="AW478" i="5"/>
  <c r="AX478" i="5" s="1"/>
  <c r="AH479" i="5"/>
  <c r="AN479" i="5"/>
  <c r="AO479" i="5"/>
  <c r="AP479" i="5"/>
  <c r="AR479" i="5"/>
  <c r="AU479" i="5"/>
  <c r="AV479" i="5" s="1"/>
  <c r="AW479" i="5"/>
  <c r="AX479" i="5" s="1"/>
  <c r="AH480" i="5"/>
  <c r="AN480" i="5"/>
  <c r="AO480" i="5"/>
  <c r="AP480" i="5"/>
  <c r="AR480" i="5"/>
  <c r="AU480" i="5"/>
  <c r="AV480" i="5" s="1"/>
  <c r="AW480" i="5"/>
  <c r="AX480" i="5" s="1"/>
  <c r="AH481" i="5"/>
  <c r="AN481" i="5"/>
  <c r="AO481" i="5"/>
  <c r="AP481" i="5"/>
  <c r="AR481" i="5"/>
  <c r="AT481" i="5" s="1"/>
  <c r="AU481" i="5"/>
  <c r="AV481" i="5" s="1"/>
  <c r="AW481" i="5"/>
  <c r="AX481" i="5" s="1"/>
  <c r="AH482" i="5"/>
  <c r="AY482" i="5" s="1"/>
  <c r="AN482" i="5"/>
  <c r="AO482" i="5"/>
  <c r="AP482" i="5"/>
  <c r="AR482" i="5"/>
  <c r="AT482" i="5" s="1"/>
  <c r="AU482" i="5"/>
  <c r="AV482" i="5" s="1"/>
  <c r="AW482" i="5"/>
  <c r="AX482" i="5" s="1"/>
  <c r="AH483" i="5"/>
  <c r="AN483" i="5"/>
  <c r="AO483" i="5"/>
  <c r="AP483" i="5"/>
  <c r="AH484" i="5"/>
  <c r="AU484" i="5" s="1"/>
  <c r="AV484" i="5" s="1"/>
  <c r="AN484" i="5"/>
  <c r="AO484" i="5"/>
  <c r="AP484" i="5"/>
  <c r="AJ485" i="5"/>
  <c r="AK485" i="5"/>
  <c r="AL485" i="5"/>
  <c r="AN485" i="5"/>
  <c r="AO485" i="5"/>
  <c r="AP485" i="5"/>
  <c r="AR485" i="5"/>
  <c r="AT485" i="5" s="1"/>
  <c r="AU485" i="5"/>
  <c r="AV485" i="5" s="1"/>
  <c r="AW485" i="5"/>
  <c r="AX485" i="5" s="1"/>
  <c r="AH486" i="5"/>
  <c r="AK486" i="5" s="1"/>
  <c r="AN486" i="5"/>
  <c r="AO486" i="5"/>
  <c r="AP486" i="5"/>
  <c r="AR486" i="5"/>
  <c r="AS486" i="5" s="1"/>
  <c r="AU486" i="5"/>
  <c r="AV486" i="5" s="1"/>
  <c r="AW486" i="5"/>
  <c r="AX486" i="5" s="1"/>
  <c r="AH487" i="5"/>
  <c r="AK487" i="5" s="1"/>
  <c r="AH488" i="5"/>
  <c r="AL488" i="5" s="1"/>
  <c r="AN487" i="5"/>
  <c r="AO487" i="5"/>
  <c r="AP487" i="5"/>
  <c r="AR487" i="5"/>
  <c r="AS487" i="5" s="1"/>
  <c r="AU487" i="5"/>
  <c r="AV487" i="5" s="1"/>
  <c r="AW487" i="5"/>
  <c r="AX487" i="5" s="1"/>
  <c r="AN488" i="5"/>
  <c r="AO488" i="5"/>
  <c r="AP488" i="5"/>
  <c r="AR488" i="5"/>
  <c r="AT488" i="5" s="1"/>
  <c r="AU488" i="5"/>
  <c r="AV488" i="5" s="1"/>
  <c r="AW488" i="5"/>
  <c r="AX488" i="5" s="1"/>
  <c r="AH489" i="5"/>
  <c r="AL489" i="5" s="1"/>
  <c r="AN489" i="5"/>
  <c r="AO489" i="5"/>
  <c r="AP489" i="5"/>
  <c r="AR489" i="5"/>
  <c r="AS489" i="5" s="1"/>
  <c r="AU489" i="5"/>
  <c r="AV489" i="5" s="1"/>
  <c r="AW489" i="5"/>
  <c r="AX489" i="5" s="1"/>
  <c r="AH490" i="5"/>
  <c r="AL490" i="5" s="1"/>
  <c r="AN490" i="5"/>
  <c r="AO490" i="5"/>
  <c r="AP490" i="5"/>
  <c r="AH491" i="5"/>
  <c r="AL491" i="5" s="1"/>
  <c r="AN491" i="5"/>
  <c r="AO491" i="5"/>
  <c r="AP491" i="5"/>
  <c r="AJ492" i="5"/>
  <c r="AK492" i="5"/>
  <c r="AL492" i="5"/>
  <c r="AN492" i="5"/>
  <c r="AO492" i="5"/>
  <c r="AP492" i="5"/>
  <c r="AR492" i="5"/>
  <c r="AU492" i="5"/>
  <c r="AV492" i="5" s="1"/>
  <c r="AW492" i="5"/>
  <c r="AX492" i="5" s="1"/>
  <c r="AH493" i="5"/>
  <c r="AL493" i="5" s="1"/>
  <c r="AN493" i="5"/>
  <c r="AO493" i="5"/>
  <c r="AP493" i="5"/>
  <c r="AR493" i="5"/>
  <c r="AU493" i="5"/>
  <c r="AV493" i="5" s="1"/>
  <c r="AW493" i="5"/>
  <c r="AX493" i="5" s="1"/>
  <c r="AH494" i="5"/>
  <c r="AL494" i="5" s="1"/>
  <c r="AN494" i="5"/>
  <c r="AO494" i="5"/>
  <c r="AP494" i="5"/>
  <c r="AR494" i="5"/>
  <c r="AS494" i="5" s="1"/>
  <c r="AU494" i="5"/>
  <c r="AV494" i="5" s="1"/>
  <c r="AW494" i="5"/>
  <c r="AX494" i="5" s="1"/>
  <c r="AH495" i="5"/>
  <c r="AN495" i="5"/>
  <c r="AO495" i="5"/>
  <c r="AP495" i="5"/>
  <c r="AR495" i="5"/>
  <c r="AU495" i="5"/>
  <c r="AV495" i="5" s="1"/>
  <c r="AW495" i="5"/>
  <c r="AX495" i="5" s="1"/>
  <c r="AH496" i="5"/>
  <c r="AK496" i="5" s="1"/>
  <c r="AN496" i="5"/>
  <c r="AO496" i="5"/>
  <c r="AP496" i="5"/>
  <c r="AR496" i="5"/>
  <c r="AS496" i="5" s="1"/>
  <c r="AU496" i="5"/>
  <c r="AV496" i="5" s="1"/>
  <c r="AW496" i="5"/>
  <c r="AX496" i="5" s="1"/>
  <c r="AH497" i="5"/>
  <c r="AU497" i="5" s="1"/>
  <c r="AV497" i="5" s="1"/>
  <c r="AN497" i="5"/>
  <c r="AO497" i="5"/>
  <c r="AP497" i="5"/>
  <c r="AH498" i="5"/>
  <c r="AK498" i="5" s="1"/>
  <c r="AN498" i="5"/>
  <c r="AO498" i="5"/>
  <c r="AP498" i="5"/>
  <c r="AJ499" i="5"/>
  <c r="AK499" i="5"/>
  <c r="AL499" i="5"/>
  <c r="AN499" i="5"/>
  <c r="AO499" i="5"/>
  <c r="AP499" i="5"/>
  <c r="AR499" i="5"/>
  <c r="AU499" i="5"/>
  <c r="AV499" i="5" s="1"/>
  <c r="AW499" i="5"/>
  <c r="AX499" i="5" s="1"/>
  <c r="AH500" i="5"/>
  <c r="AN500" i="5"/>
  <c r="AO500" i="5"/>
  <c r="AP500" i="5"/>
  <c r="AR500" i="5"/>
  <c r="AT500" i="5" s="1"/>
  <c r="AU500" i="5"/>
  <c r="AV500" i="5" s="1"/>
  <c r="AW500" i="5"/>
  <c r="AX500" i="5" s="1"/>
  <c r="AH501" i="5"/>
  <c r="AN501" i="5"/>
  <c r="AO501" i="5"/>
  <c r="AP501" i="5"/>
  <c r="AR501" i="5"/>
  <c r="AS501" i="5" s="1"/>
  <c r="AU501" i="5"/>
  <c r="AV501" i="5" s="1"/>
  <c r="AW501" i="5"/>
  <c r="AX501" i="5" s="1"/>
  <c r="AH502" i="5"/>
  <c r="AL502" i="5" s="1"/>
  <c r="AN502" i="5"/>
  <c r="AO502" i="5"/>
  <c r="AP502" i="5"/>
  <c r="AR502" i="5"/>
  <c r="AU502" i="5"/>
  <c r="AV502" i="5" s="1"/>
  <c r="AW502" i="5"/>
  <c r="AX502" i="5" s="1"/>
  <c r="AH503" i="5"/>
  <c r="AK503" i="5" s="1"/>
  <c r="AN503" i="5"/>
  <c r="AO503" i="5"/>
  <c r="AP503" i="5"/>
  <c r="AR503" i="5"/>
  <c r="AU503" i="5"/>
  <c r="AV503" i="5" s="1"/>
  <c r="AW503" i="5"/>
  <c r="AX503" i="5" s="1"/>
  <c r="AH504" i="5"/>
  <c r="AL504" i="5" s="1"/>
  <c r="AN504" i="5"/>
  <c r="AO504" i="5"/>
  <c r="AP504" i="5"/>
  <c r="AH505" i="5"/>
  <c r="AN505" i="5"/>
  <c r="AO505" i="5"/>
  <c r="AP505" i="5"/>
  <c r="AJ506" i="5"/>
  <c r="AK506" i="5"/>
  <c r="AL506" i="5"/>
  <c r="AN506" i="5"/>
  <c r="AO506" i="5"/>
  <c r="AP506" i="5"/>
  <c r="AR506" i="5"/>
  <c r="AT506" i="5" s="1"/>
  <c r="AU506" i="5"/>
  <c r="AV506" i="5" s="1"/>
  <c r="AW506" i="5"/>
  <c r="AX506" i="5" s="1"/>
  <c r="AH507" i="5"/>
  <c r="AJ507" i="5" s="1"/>
  <c r="AN507" i="5"/>
  <c r="AO507" i="5"/>
  <c r="AP507" i="5"/>
  <c r="AR507" i="5"/>
  <c r="AU507" i="5"/>
  <c r="AV507" i="5" s="1"/>
  <c r="AW507" i="5"/>
  <c r="AX507" i="5" s="1"/>
  <c r="AH508" i="5"/>
  <c r="AZ508" i="5" s="1"/>
  <c r="AN508" i="5"/>
  <c r="AO508" i="5"/>
  <c r="AP508" i="5"/>
  <c r="AR508" i="5"/>
  <c r="AS508" i="5" s="1"/>
  <c r="AU508" i="5"/>
  <c r="AV508" i="5" s="1"/>
  <c r="AW508" i="5"/>
  <c r="AX508" i="5" s="1"/>
  <c r="AH509" i="5"/>
  <c r="AJ509" i="5" s="1"/>
  <c r="AN509" i="5"/>
  <c r="AO509" i="5"/>
  <c r="AP509" i="5"/>
  <c r="AR509" i="5"/>
  <c r="AU509" i="5"/>
  <c r="AV509" i="5" s="1"/>
  <c r="AW509" i="5"/>
  <c r="AX509" i="5" s="1"/>
  <c r="AH510" i="5"/>
  <c r="AN510" i="5"/>
  <c r="AO510" i="5"/>
  <c r="AP510" i="5"/>
  <c r="AR510" i="5"/>
  <c r="AS510" i="5" s="1"/>
  <c r="AU510" i="5"/>
  <c r="AV510" i="5" s="1"/>
  <c r="AW510" i="5"/>
  <c r="AX510" i="5" s="1"/>
  <c r="AH511" i="5"/>
  <c r="AN511" i="5"/>
  <c r="AO511" i="5"/>
  <c r="AP511" i="5"/>
  <c r="AH512" i="5"/>
  <c r="AN512" i="5"/>
  <c r="AO512" i="5"/>
  <c r="AP512" i="5"/>
  <c r="AJ513" i="5"/>
  <c r="AK513" i="5"/>
  <c r="AL513" i="5"/>
  <c r="AN513" i="5"/>
  <c r="AO513" i="5"/>
  <c r="AP513" i="5"/>
  <c r="AR513" i="5"/>
  <c r="AT513" i="5" s="1"/>
  <c r="AU513" i="5"/>
  <c r="AV513" i="5" s="1"/>
  <c r="AW513" i="5"/>
  <c r="AX513" i="5" s="1"/>
  <c r="AH514" i="5"/>
  <c r="AN514" i="5"/>
  <c r="AO514" i="5"/>
  <c r="AP514" i="5"/>
  <c r="AR514" i="5"/>
  <c r="AS514" i="5" s="1"/>
  <c r="AU514" i="5"/>
  <c r="AV514" i="5" s="1"/>
  <c r="AW514" i="5"/>
  <c r="AX514" i="5" s="1"/>
  <c r="AH515" i="5"/>
  <c r="AN515" i="5"/>
  <c r="AO515" i="5"/>
  <c r="AP515" i="5"/>
  <c r="AR515" i="5"/>
  <c r="AU515" i="5"/>
  <c r="AV515" i="5" s="1"/>
  <c r="AW515" i="5"/>
  <c r="AX515" i="5" s="1"/>
  <c r="AH516" i="5"/>
  <c r="AK516" i="5" s="1"/>
  <c r="AN516" i="5"/>
  <c r="AO516" i="5"/>
  <c r="AP516" i="5"/>
  <c r="AR516" i="5"/>
  <c r="AU516" i="5"/>
  <c r="AV516" i="5" s="1"/>
  <c r="AW516" i="5"/>
  <c r="AX516" i="5" s="1"/>
  <c r="AH517" i="5"/>
  <c r="AK517" i="5" s="1"/>
  <c r="AN517" i="5"/>
  <c r="AO517" i="5"/>
  <c r="AP517" i="5"/>
  <c r="AR517" i="5"/>
  <c r="AS517" i="5" s="1"/>
  <c r="AU517" i="5"/>
  <c r="AV517" i="5" s="1"/>
  <c r="AW517" i="5"/>
  <c r="AX517" i="5" s="1"/>
  <c r="AH518" i="5"/>
  <c r="AY518" i="5" s="1"/>
  <c r="AN518" i="5"/>
  <c r="AO518" i="5"/>
  <c r="AP518" i="5"/>
  <c r="AH519" i="5"/>
  <c r="AJ519" i="5" s="1"/>
  <c r="AN519" i="5"/>
  <c r="AO519" i="5"/>
  <c r="AP519" i="5"/>
  <c r="AJ520" i="5"/>
  <c r="AK520" i="5"/>
  <c r="AL520" i="5"/>
  <c r="AN520" i="5"/>
  <c r="AO520" i="5"/>
  <c r="AP520" i="5"/>
  <c r="AR520" i="5"/>
  <c r="AU520" i="5"/>
  <c r="AV520" i="5" s="1"/>
  <c r="AW520" i="5"/>
  <c r="AX520" i="5" s="1"/>
  <c r="AH521" i="5"/>
  <c r="AN521" i="5"/>
  <c r="AO521" i="5"/>
  <c r="AP521" i="5"/>
  <c r="AR521" i="5"/>
  <c r="AT521" i="5" s="1"/>
  <c r="AU521" i="5"/>
  <c r="AV521" i="5" s="1"/>
  <c r="AW521" i="5"/>
  <c r="AX521" i="5" s="1"/>
  <c r="AH522" i="5"/>
  <c r="AZ522" i="5" s="1"/>
  <c r="AN522" i="5"/>
  <c r="AO522" i="5"/>
  <c r="AP522" i="5"/>
  <c r="AR522" i="5"/>
  <c r="AU522" i="5"/>
  <c r="AV522" i="5" s="1"/>
  <c r="AW522" i="5"/>
  <c r="AX522" i="5" s="1"/>
  <c r="AH523" i="5"/>
  <c r="AN523" i="5"/>
  <c r="AO523" i="5"/>
  <c r="AP523" i="5"/>
  <c r="AR523" i="5"/>
  <c r="AU523" i="5"/>
  <c r="AV523" i="5" s="1"/>
  <c r="AW523" i="5"/>
  <c r="AX523" i="5" s="1"/>
  <c r="AH524" i="5"/>
  <c r="AZ524" i="5" s="1"/>
  <c r="AH525" i="5"/>
  <c r="AN524" i="5"/>
  <c r="AO524" i="5"/>
  <c r="AP524" i="5"/>
  <c r="AR524" i="5"/>
  <c r="AU524" i="5"/>
  <c r="AV524" i="5" s="1"/>
  <c r="AW524" i="5"/>
  <c r="AX524" i="5" s="1"/>
  <c r="AN525" i="5"/>
  <c r="AO525" i="5"/>
  <c r="AP525" i="5"/>
  <c r="AH526" i="5"/>
  <c r="AI527" i="5" s="1"/>
  <c r="AN526" i="5"/>
  <c r="AO526" i="5"/>
  <c r="AP526" i="5"/>
  <c r="AJ527" i="5"/>
  <c r="AK527" i="5"/>
  <c r="AL527" i="5"/>
  <c r="AN527" i="5"/>
  <c r="AO527" i="5"/>
  <c r="AP527" i="5"/>
  <c r="AR527" i="5"/>
  <c r="AU527" i="5"/>
  <c r="AV527" i="5" s="1"/>
  <c r="AW527" i="5"/>
  <c r="AX527" i="5" s="1"/>
  <c r="AH528" i="5"/>
  <c r="AN528" i="5"/>
  <c r="AO528" i="5"/>
  <c r="AP528" i="5"/>
  <c r="AR528" i="5"/>
  <c r="AT528" i="5" s="1"/>
  <c r="AU528" i="5"/>
  <c r="AV528" i="5" s="1"/>
  <c r="AW528" i="5"/>
  <c r="AX528" i="5" s="1"/>
  <c r="AH529" i="5"/>
  <c r="AJ529" i="5" s="1"/>
  <c r="AN529" i="5"/>
  <c r="AO529" i="5"/>
  <c r="AP529" i="5"/>
  <c r="AR529" i="5"/>
  <c r="AT529" i="5" s="1"/>
  <c r="AU529" i="5"/>
  <c r="AV529" i="5" s="1"/>
  <c r="AW529" i="5"/>
  <c r="AX529" i="5" s="1"/>
  <c r="AH530" i="5"/>
  <c r="AN530" i="5"/>
  <c r="AO530" i="5"/>
  <c r="AP530" i="5"/>
  <c r="AR530" i="5"/>
  <c r="AS530" i="5" s="1"/>
  <c r="AU530" i="5"/>
  <c r="AV530" i="5" s="1"/>
  <c r="AW530" i="5"/>
  <c r="AX530" i="5" s="1"/>
  <c r="AH531" i="5"/>
  <c r="AN531" i="5"/>
  <c r="AO531" i="5"/>
  <c r="AP531" i="5"/>
  <c r="AR531" i="5"/>
  <c r="AU531" i="5"/>
  <c r="AV531" i="5" s="1"/>
  <c r="AW531" i="5"/>
  <c r="AX531" i="5" s="1"/>
  <c r="AH532" i="5"/>
  <c r="AN532" i="5"/>
  <c r="AO532" i="5"/>
  <c r="AP532" i="5"/>
  <c r="AH533" i="5"/>
  <c r="AN533" i="5"/>
  <c r="AO533" i="5"/>
  <c r="AP533" i="5"/>
  <c r="AJ534" i="5"/>
  <c r="AK534" i="5"/>
  <c r="AL534" i="5"/>
  <c r="AN534" i="5"/>
  <c r="AO534" i="5"/>
  <c r="AP534" i="5"/>
  <c r="AR534" i="5"/>
  <c r="AS534" i="5" s="1"/>
  <c r="AU534" i="5"/>
  <c r="AV534" i="5" s="1"/>
  <c r="AW534" i="5"/>
  <c r="AX534" i="5" s="1"/>
  <c r="AH535" i="5"/>
  <c r="AK535" i="5" s="1"/>
  <c r="AN535" i="5"/>
  <c r="AO535" i="5"/>
  <c r="AP535" i="5"/>
  <c r="AR535" i="5"/>
  <c r="AS535" i="5" s="1"/>
  <c r="AU535" i="5"/>
  <c r="AV535" i="5" s="1"/>
  <c r="AW535" i="5"/>
  <c r="AX535" i="5" s="1"/>
  <c r="AH536" i="5"/>
  <c r="AN536" i="5"/>
  <c r="AO536" i="5"/>
  <c r="AP536" i="5"/>
  <c r="AR536" i="5"/>
  <c r="AT536" i="5" s="1"/>
  <c r="AU536" i="5"/>
  <c r="AV536" i="5" s="1"/>
  <c r="AW536" i="5"/>
  <c r="AX536" i="5" s="1"/>
  <c r="AH537" i="5"/>
  <c r="AN537" i="5"/>
  <c r="AO537" i="5"/>
  <c r="AP537" i="5"/>
  <c r="AR537" i="5"/>
  <c r="AT537" i="5" s="1"/>
  <c r="AU537" i="5"/>
  <c r="AV537" i="5" s="1"/>
  <c r="AW537" i="5"/>
  <c r="AX537" i="5" s="1"/>
  <c r="AH538" i="5"/>
  <c r="AN538" i="5"/>
  <c r="AO538" i="5"/>
  <c r="AP538" i="5"/>
  <c r="AR538" i="5"/>
  <c r="AS538" i="5" s="1"/>
  <c r="AU538" i="5"/>
  <c r="AV538" i="5" s="1"/>
  <c r="AW538" i="5"/>
  <c r="AX538" i="5" s="1"/>
  <c r="AH539" i="5"/>
  <c r="AN539" i="5"/>
  <c r="AO539" i="5"/>
  <c r="AP539" i="5"/>
  <c r="AH540" i="5"/>
  <c r="AL540" i="5" s="1"/>
  <c r="AN540" i="5"/>
  <c r="AO540" i="5"/>
  <c r="AP540" i="5"/>
  <c r="AJ541" i="5"/>
  <c r="AK541" i="5"/>
  <c r="AL541" i="5"/>
  <c r="AN541" i="5"/>
  <c r="AO541" i="5"/>
  <c r="AP541" i="5"/>
  <c r="AR541" i="5"/>
  <c r="AU541" i="5"/>
  <c r="AV541" i="5" s="1"/>
  <c r="AW541" i="5"/>
  <c r="AX541" i="5" s="1"/>
  <c r="AH542" i="5"/>
  <c r="AJ542" i="5" s="1"/>
  <c r="AN542" i="5"/>
  <c r="AO542" i="5"/>
  <c r="AP542" i="5"/>
  <c r="AR542" i="5"/>
  <c r="AS542" i="5" s="1"/>
  <c r="AU542" i="5"/>
  <c r="AV542" i="5" s="1"/>
  <c r="AW542" i="5"/>
  <c r="AX542" i="5" s="1"/>
  <c r="AH543" i="5"/>
  <c r="AN543" i="5"/>
  <c r="AO543" i="5"/>
  <c r="AP543" i="5"/>
  <c r="AR543" i="5"/>
  <c r="AU543" i="5"/>
  <c r="AV543" i="5" s="1"/>
  <c r="AW543" i="5"/>
  <c r="AX543" i="5" s="1"/>
  <c r="AH544" i="5"/>
  <c r="AZ544" i="5" s="1"/>
  <c r="AN544" i="5"/>
  <c r="AO544" i="5"/>
  <c r="AP544" i="5"/>
  <c r="AR544" i="5"/>
  <c r="AS544" i="5" s="1"/>
  <c r="AU544" i="5"/>
  <c r="AV544" i="5" s="1"/>
  <c r="AW544" i="5"/>
  <c r="AX544" i="5" s="1"/>
  <c r="AH545" i="5"/>
  <c r="AJ545" i="5" s="1"/>
  <c r="AN545" i="5"/>
  <c r="AO545" i="5"/>
  <c r="AP545" i="5"/>
  <c r="AR545" i="5"/>
  <c r="AU545" i="5"/>
  <c r="AV545" i="5" s="1"/>
  <c r="AW545" i="5"/>
  <c r="AX545" i="5" s="1"/>
  <c r="AH546" i="5"/>
  <c r="AJ546" i="5" s="1"/>
  <c r="AN546" i="5"/>
  <c r="AO546" i="5"/>
  <c r="AP546" i="5"/>
  <c r="AH547" i="5"/>
  <c r="AW547" i="5" s="1"/>
  <c r="AX547" i="5" s="1"/>
  <c r="AN547" i="5"/>
  <c r="AO547" i="5"/>
  <c r="AP547" i="5"/>
  <c r="AJ548" i="5"/>
  <c r="AK548" i="5"/>
  <c r="AL548" i="5"/>
  <c r="AN548" i="5"/>
  <c r="AO548" i="5"/>
  <c r="AP548" i="5"/>
  <c r="AR548" i="5"/>
  <c r="AS548" i="5" s="1"/>
  <c r="AU548" i="5"/>
  <c r="AV548" i="5" s="1"/>
  <c r="AW548" i="5"/>
  <c r="AX548" i="5" s="1"/>
  <c r="AH549" i="5"/>
  <c r="AJ549" i="5" s="1"/>
  <c r="AN549" i="5"/>
  <c r="AO549" i="5"/>
  <c r="AP549" i="5"/>
  <c r="AR549" i="5"/>
  <c r="AT549" i="5" s="1"/>
  <c r="AU549" i="5"/>
  <c r="AV549" i="5" s="1"/>
  <c r="AW549" i="5"/>
  <c r="AX549" i="5" s="1"/>
  <c r="AH550" i="5"/>
  <c r="AN550" i="5"/>
  <c r="AO550" i="5"/>
  <c r="AP550" i="5"/>
  <c r="AR550" i="5"/>
  <c r="AU550" i="5"/>
  <c r="AV550" i="5" s="1"/>
  <c r="AW550" i="5"/>
  <c r="AX550" i="5" s="1"/>
  <c r="AH551" i="5"/>
  <c r="AZ551" i="5" s="1"/>
  <c r="AN551" i="5"/>
  <c r="AO551" i="5"/>
  <c r="AP551" i="5"/>
  <c r="AR551" i="5"/>
  <c r="AU551" i="5"/>
  <c r="AV551" i="5" s="1"/>
  <c r="AW551" i="5"/>
  <c r="AX551" i="5" s="1"/>
  <c r="AH552" i="5"/>
  <c r="AN552" i="5"/>
  <c r="AO552" i="5"/>
  <c r="AP552" i="5"/>
  <c r="AR552" i="5"/>
  <c r="AS552" i="5" s="1"/>
  <c r="AU552" i="5"/>
  <c r="AV552" i="5" s="1"/>
  <c r="AW552" i="5"/>
  <c r="AX552" i="5" s="1"/>
  <c r="AH553" i="5"/>
  <c r="AW553" i="5" s="1"/>
  <c r="AX553" i="5" s="1"/>
  <c r="AN553" i="5"/>
  <c r="AO553" i="5"/>
  <c r="AP553" i="5"/>
  <c r="AH554" i="5"/>
  <c r="AZ554" i="5" s="1"/>
  <c r="AN554" i="5"/>
  <c r="AO554" i="5"/>
  <c r="AP554" i="5"/>
  <c r="AJ555" i="5"/>
  <c r="AK555" i="5"/>
  <c r="AL555" i="5"/>
  <c r="AN555" i="5"/>
  <c r="AO555" i="5"/>
  <c r="AP555" i="5"/>
  <c r="AR555" i="5"/>
  <c r="AT555" i="5" s="1"/>
  <c r="AU555" i="5"/>
  <c r="AV555" i="5" s="1"/>
  <c r="AW555" i="5"/>
  <c r="AX555" i="5" s="1"/>
  <c r="AH556" i="5"/>
  <c r="AN556" i="5"/>
  <c r="AO556" i="5"/>
  <c r="AP556" i="5"/>
  <c r="AR556" i="5"/>
  <c r="AU556" i="5"/>
  <c r="AV556" i="5" s="1"/>
  <c r="AW556" i="5"/>
  <c r="AX556" i="5" s="1"/>
  <c r="AH557" i="5"/>
  <c r="AN557" i="5"/>
  <c r="AO557" i="5"/>
  <c r="AP557" i="5"/>
  <c r="AR557" i="5"/>
  <c r="AS557" i="5" s="1"/>
  <c r="AU557" i="5"/>
  <c r="AV557" i="5" s="1"/>
  <c r="AW557" i="5"/>
  <c r="AX557" i="5" s="1"/>
  <c r="AH558" i="5"/>
  <c r="AN558" i="5"/>
  <c r="AO558" i="5"/>
  <c r="AP558" i="5"/>
  <c r="AR558" i="5"/>
  <c r="AU558" i="5"/>
  <c r="AV558" i="5" s="1"/>
  <c r="AW558" i="5"/>
  <c r="AX558" i="5" s="1"/>
  <c r="AH559" i="5"/>
  <c r="AN559" i="5"/>
  <c r="AO559" i="5"/>
  <c r="AP559" i="5"/>
  <c r="AR559" i="5"/>
  <c r="AT559" i="5" s="1"/>
  <c r="AU559" i="5"/>
  <c r="AV559" i="5" s="1"/>
  <c r="AW559" i="5"/>
  <c r="AX559" i="5" s="1"/>
  <c r="AH560" i="5"/>
  <c r="AN560" i="5"/>
  <c r="AO560" i="5"/>
  <c r="AP560" i="5"/>
  <c r="AH561" i="5"/>
  <c r="AJ561" i="5" s="1"/>
  <c r="AN561" i="5"/>
  <c r="AO561" i="5"/>
  <c r="AP561" i="5"/>
  <c r="AJ562" i="5"/>
  <c r="AK562" i="5"/>
  <c r="AL562" i="5"/>
  <c r="AN562" i="5"/>
  <c r="AO562" i="5"/>
  <c r="AP562" i="5"/>
  <c r="AR562" i="5"/>
  <c r="AT562" i="5" s="1"/>
  <c r="AU562" i="5"/>
  <c r="AV562" i="5" s="1"/>
  <c r="AW562" i="5"/>
  <c r="AX562" i="5" s="1"/>
  <c r="AH563" i="5"/>
  <c r="AN563" i="5"/>
  <c r="AO563" i="5"/>
  <c r="AP563" i="5"/>
  <c r="AR563" i="5"/>
  <c r="AS563" i="5" s="1"/>
  <c r="AU563" i="5"/>
  <c r="AV563" i="5" s="1"/>
  <c r="AW563" i="5"/>
  <c r="AX563" i="5" s="1"/>
  <c r="AH564" i="5"/>
  <c r="AN564" i="5"/>
  <c r="AO564" i="5"/>
  <c r="AP564" i="5"/>
  <c r="AR564" i="5"/>
  <c r="AT564" i="5" s="1"/>
  <c r="AU564" i="5"/>
  <c r="AV564" i="5" s="1"/>
  <c r="AW564" i="5"/>
  <c r="AX564" i="5" s="1"/>
  <c r="AH565" i="5"/>
  <c r="AK565" i="5" s="1"/>
  <c r="AN565" i="5"/>
  <c r="AO565" i="5"/>
  <c r="AP565" i="5"/>
  <c r="AR565" i="5"/>
  <c r="AU565" i="5"/>
  <c r="AV565" i="5" s="1"/>
  <c r="AW565" i="5"/>
  <c r="AX565" i="5" s="1"/>
  <c r="AH566" i="5"/>
  <c r="AN566" i="5"/>
  <c r="AO566" i="5"/>
  <c r="AP566" i="5"/>
  <c r="AR566" i="5"/>
  <c r="AU566" i="5"/>
  <c r="AV566" i="5" s="1"/>
  <c r="AW566" i="5"/>
  <c r="AX566" i="5" s="1"/>
  <c r="AH567" i="5"/>
  <c r="AR567" i="5" s="1"/>
  <c r="AT567" i="5" s="1"/>
  <c r="AN567" i="5"/>
  <c r="AO567" i="5"/>
  <c r="AP567" i="5"/>
  <c r="AH568" i="5"/>
  <c r="AN568" i="5"/>
  <c r="AO568" i="5"/>
  <c r="AP568" i="5"/>
  <c r="AJ569" i="5"/>
  <c r="AK569" i="5"/>
  <c r="AL569" i="5"/>
  <c r="AN569" i="5"/>
  <c r="AO569" i="5"/>
  <c r="AP569" i="5"/>
  <c r="AR569" i="5"/>
  <c r="AU569" i="5"/>
  <c r="AV569" i="5" s="1"/>
  <c r="AW569" i="5"/>
  <c r="AX569" i="5" s="1"/>
  <c r="AH570" i="5"/>
  <c r="AN570" i="5"/>
  <c r="AO570" i="5"/>
  <c r="AP570" i="5"/>
  <c r="AR570" i="5"/>
  <c r="AS570" i="5" s="1"/>
  <c r="AU570" i="5"/>
  <c r="AV570" i="5" s="1"/>
  <c r="AW570" i="5"/>
  <c r="AX570" i="5" s="1"/>
  <c r="AH571" i="5"/>
  <c r="AL571" i="5" s="1"/>
  <c r="AN571" i="5"/>
  <c r="AO571" i="5"/>
  <c r="AP571" i="5"/>
  <c r="AR571" i="5"/>
  <c r="AU571" i="5"/>
  <c r="AV571" i="5" s="1"/>
  <c r="AW571" i="5"/>
  <c r="AX571" i="5" s="1"/>
  <c r="AH572" i="5"/>
  <c r="AN572" i="5"/>
  <c r="AO572" i="5"/>
  <c r="AP572" i="5"/>
  <c r="AR572" i="5"/>
  <c r="AU572" i="5"/>
  <c r="AV572" i="5" s="1"/>
  <c r="AW572" i="5"/>
  <c r="AX572" i="5" s="1"/>
  <c r="AH573" i="5"/>
  <c r="AZ573" i="5" s="1"/>
  <c r="AN573" i="5"/>
  <c r="AO573" i="5"/>
  <c r="AP573" i="5"/>
  <c r="AR573" i="5"/>
  <c r="AU573" i="5"/>
  <c r="AV573" i="5" s="1"/>
  <c r="AW573" i="5"/>
  <c r="AX573" i="5" s="1"/>
  <c r="AH574" i="5"/>
  <c r="AZ574" i="5" s="1"/>
  <c r="AN574" i="5"/>
  <c r="AO574" i="5"/>
  <c r="AP574" i="5"/>
  <c r="AH575" i="5"/>
  <c r="AN575" i="5"/>
  <c r="AO575" i="5"/>
  <c r="AP575" i="5"/>
  <c r="AJ576" i="5"/>
  <c r="AK576" i="5"/>
  <c r="AL576" i="5"/>
  <c r="AN576" i="5"/>
  <c r="AO576" i="5"/>
  <c r="AP576" i="5"/>
  <c r="AR576" i="5"/>
  <c r="AU576" i="5"/>
  <c r="AV576" i="5" s="1"/>
  <c r="AW576" i="5"/>
  <c r="AX576" i="5" s="1"/>
  <c r="AH577" i="5"/>
  <c r="AI577" i="5" s="1"/>
  <c r="AN577" i="5"/>
  <c r="AO577" i="5"/>
  <c r="AP577" i="5"/>
  <c r="AR577" i="5"/>
  <c r="AT577" i="5" s="1"/>
  <c r="AU577" i="5"/>
  <c r="AV577" i="5" s="1"/>
  <c r="AW577" i="5"/>
  <c r="AX577" i="5" s="1"/>
  <c r="AH578" i="5"/>
  <c r="AZ578" i="5" s="1"/>
  <c r="AH579" i="5"/>
  <c r="AJ579" i="5" s="1"/>
  <c r="AN578" i="5"/>
  <c r="AO578" i="5"/>
  <c r="AP578" i="5"/>
  <c r="AR578" i="5"/>
  <c r="AU578" i="5"/>
  <c r="AV578" i="5" s="1"/>
  <c r="AW578" i="5"/>
  <c r="AX578" i="5" s="1"/>
  <c r="AN579" i="5"/>
  <c r="AO579" i="5"/>
  <c r="AP579" i="5"/>
  <c r="AR579" i="5"/>
  <c r="AU579" i="5"/>
  <c r="AV579" i="5" s="1"/>
  <c r="AW579" i="5"/>
  <c r="AX579" i="5" s="1"/>
  <c r="AH580" i="5"/>
  <c r="AN580" i="5"/>
  <c r="AO580" i="5"/>
  <c r="AP580" i="5"/>
  <c r="AR580" i="5"/>
  <c r="AS580" i="5" s="1"/>
  <c r="AU580" i="5"/>
  <c r="AV580" i="5" s="1"/>
  <c r="AW580" i="5"/>
  <c r="AX580" i="5" s="1"/>
  <c r="AH581" i="5"/>
  <c r="AR581" i="5" s="1"/>
  <c r="AN581" i="5"/>
  <c r="AO581" i="5"/>
  <c r="AP581" i="5"/>
  <c r="AH582" i="5"/>
  <c r="AN582" i="5"/>
  <c r="AO582" i="5"/>
  <c r="AP582" i="5"/>
  <c r="AJ583" i="5"/>
  <c r="AK583" i="5"/>
  <c r="AL583" i="5"/>
  <c r="AN583" i="5"/>
  <c r="AO583" i="5"/>
  <c r="AP583" i="5"/>
  <c r="AR583" i="5"/>
  <c r="AS583" i="5" s="1"/>
  <c r="AU583" i="5"/>
  <c r="AV583" i="5" s="1"/>
  <c r="AW583" i="5"/>
  <c r="AX583" i="5" s="1"/>
  <c r="AH584" i="5"/>
  <c r="AI584" i="5" s="1"/>
  <c r="AN584" i="5"/>
  <c r="AO584" i="5"/>
  <c r="AP584" i="5"/>
  <c r="AR584" i="5"/>
  <c r="AT584" i="5" s="1"/>
  <c r="AU584" i="5"/>
  <c r="AV584" i="5" s="1"/>
  <c r="AW584" i="5"/>
  <c r="AX584" i="5" s="1"/>
  <c r="AH585" i="5"/>
  <c r="AY585" i="5" s="1"/>
  <c r="AN585" i="5"/>
  <c r="AO585" i="5"/>
  <c r="AP585" i="5"/>
  <c r="AR585" i="5"/>
  <c r="AS585" i="5" s="1"/>
  <c r="AU585" i="5"/>
  <c r="AV585" i="5" s="1"/>
  <c r="AW585" i="5"/>
  <c r="AX585" i="5" s="1"/>
  <c r="AH586" i="5"/>
  <c r="AN586" i="5"/>
  <c r="AO586" i="5"/>
  <c r="AP586" i="5"/>
  <c r="AR586" i="5"/>
  <c r="AS586" i="5" s="1"/>
  <c r="AU586" i="5"/>
  <c r="AV586" i="5" s="1"/>
  <c r="AW586" i="5"/>
  <c r="AX586" i="5" s="1"/>
  <c r="AH587" i="5"/>
  <c r="AN587" i="5"/>
  <c r="AO587" i="5"/>
  <c r="AP587" i="5"/>
  <c r="AR587" i="5"/>
  <c r="AU587" i="5"/>
  <c r="AV587" i="5" s="1"/>
  <c r="AW587" i="5"/>
  <c r="AX587" i="5" s="1"/>
  <c r="AH588" i="5"/>
  <c r="AN588" i="5"/>
  <c r="AO588" i="5"/>
  <c r="AP588" i="5"/>
  <c r="AH589" i="5"/>
  <c r="AW589" i="5" s="1"/>
  <c r="AX589" i="5" s="1"/>
  <c r="AN589" i="5"/>
  <c r="AO589" i="5"/>
  <c r="AP589" i="5"/>
  <c r="AJ590" i="5"/>
  <c r="AK590" i="5"/>
  <c r="AL590" i="5"/>
  <c r="AN590" i="5"/>
  <c r="AO590" i="5"/>
  <c r="AP590" i="5"/>
  <c r="AR590" i="5"/>
  <c r="AS590" i="5" s="1"/>
  <c r="AU590" i="5"/>
  <c r="AV590" i="5" s="1"/>
  <c r="AW590" i="5"/>
  <c r="AX590" i="5" s="1"/>
  <c r="AH591" i="5"/>
  <c r="AN591" i="5"/>
  <c r="AO591" i="5"/>
  <c r="AP591" i="5"/>
  <c r="AR591" i="5"/>
  <c r="AU591" i="5"/>
  <c r="AV591" i="5" s="1"/>
  <c r="AW591" i="5"/>
  <c r="AX591" i="5" s="1"/>
  <c r="AH592" i="5"/>
  <c r="AL592" i="5" s="1"/>
  <c r="AN592" i="5"/>
  <c r="AO592" i="5"/>
  <c r="AP592" i="5"/>
  <c r="AR592" i="5"/>
  <c r="AU592" i="5"/>
  <c r="AV592" i="5" s="1"/>
  <c r="AW592" i="5"/>
  <c r="AX592" i="5" s="1"/>
  <c r="AH593" i="5"/>
  <c r="AL593" i="5" s="1"/>
  <c r="AN593" i="5"/>
  <c r="AO593" i="5"/>
  <c r="AP593" i="5"/>
  <c r="AR593" i="5"/>
  <c r="AT593" i="5" s="1"/>
  <c r="AU593" i="5"/>
  <c r="AV593" i="5" s="1"/>
  <c r="AW593" i="5"/>
  <c r="AX593" i="5" s="1"/>
  <c r="AH594" i="5"/>
  <c r="AK594" i="5" s="1"/>
  <c r="AN594" i="5"/>
  <c r="AO594" i="5"/>
  <c r="AP594" i="5"/>
  <c r="AR594" i="5"/>
  <c r="AU594" i="5"/>
  <c r="AV594" i="5" s="1"/>
  <c r="AW594" i="5"/>
  <c r="AX594" i="5" s="1"/>
  <c r="AH595" i="5"/>
  <c r="AN595" i="5"/>
  <c r="AO595" i="5"/>
  <c r="AP595" i="5"/>
  <c r="AH596" i="5"/>
  <c r="AN596" i="5"/>
  <c r="AO596" i="5"/>
  <c r="AP596" i="5"/>
  <c r="AJ597" i="5"/>
  <c r="AK597" i="5"/>
  <c r="AL597" i="5"/>
  <c r="AN597" i="5"/>
  <c r="AO597" i="5"/>
  <c r="AP597" i="5"/>
  <c r="AR597" i="5"/>
  <c r="AS597" i="5" s="1"/>
  <c r="AU597" i="5"/>
  <c r="AV597" i="5" s="1"/>
  <c r="AW597" i="5"/>
  <c r="AX597" i="5" s="1"/>
  <c r="AH598" i="5"/>
  <c r="AJ598" i="5" s="1"/>
  <c r="AN598" i="5"/>
  <c r="AO598" i="5"/>
  <c r="AP598" i="5"/>
  <c r="AR598" i="5"/>
  <c r="AU598" i="5"/>
  <c r="AV598" i="5" s="1"/>
  <c r="AW598" i="5"/>
  <c r="AX598" i="5" s="1"/>
  <c r="AH599" i="5"/>
  <c r="AN599" i="5"/>
  <c r="AO599" i="5"/>
  <c r="AP599" i="5"/>
  <c r="AR599" i="5"/>
  <c r="AT599" i="5" s="1"/>
  <c r="AU599" i="5"/>
  <c r="AV599" i="5" s="1"/>
  <c r="AW599" i="5"/>
  <c r="AX599" i="5" s="1"/>
  <c r="AH600" i="5"/>
  <c r="AY600" i="5" s="1"/>
  <c r="AN600" i="5"/>
  <c r="AO600" i="5"/>
  <c r="AP600" i="5"/>
  <c r="AR600" i="5"/>
  <c r="AT600" i="5" s="1"/>
  <c r="AU600" i="5"/>
  <c r="AV600" i="5" s="1"/>
  <c r="AW600" i="5"/>
  <c r="AX600" i="5" s="1"/>
  <c r="AH601" i="5"/>
  <c r="AL601" i="5" s="1"/>
  <c r="AN601" i="5"/>
  <c r="AO601" i="5"/>
  <c r="AP601" i="5"/>
  <c r="AR601" i="5"/>
  <c r="AT601" i="5" s="1"/>
  <c r="AU601" i="5"/>
  <c r="AV601" i="5" s="1"/>
  <c r="AW601" i="5"/>
  <c r="AX601" i="5" s="1"/>
  <c r="AH602" i="5"/>
  <c r="AN602" i="5"/>
  <c r="AO602" i="5"/>
  <c r="AP602" i="5"/>
  <c r="AH603" i="5"/>
  <c r="AY603" i="5" s="1"/>
  <c r="AN603" i="5"/>
  <c r="AO603" i="5"/>
  <c r="AP603" i="5"/>
  <c r="AJ604" i="5"/>
  <c r="AK604" i="5"/>
  <c r="AL604" i="5"/>
  <c r="AN604" i="5"/>
  <c r="AO604" i="5"/>
  <c r="AP604" i="5"/>
  <c r="AR604" i="5"/>
  <c r="AT604" i="5" s="1"/>
  <c r="AU604" i="5"/>
  <c r="AV604" i="5" s="1"/>
  <c r="AW604" i="5"/>
  <c r="AX604" i="5" s="1"/>
  <c r="AH605" i="5"/>
  <c r="AY605" i="5" s="1"/>
  <c r="AN605" i="5"/>
  <c r="AO605" i="5"/>
  <c r="AP605" i="5"/>
  <c r="AR605" i="5"/>
  <c r="AT605" i="5" s="1"/>
  <c r="AU605" i="5"/>
  <c r="AV605" i="5" s="1"/>
  <c r="AW605" i="5"/>
  <c r="AX605" i="5" s="1"/>
  <c r="AH606" i="5"/>
  <c r="AN606" i="5"/>
  <c r="AO606" i="5"/>
  <c r="AP606" i="5"/>
  <c r="AR606" i="5"/>
  <c r="AT606" i="5" s="1"/>
  <c r="AU606" i="5"/>
  <c r="AV606" i="5" s="1"/>
  <c r="AW606" i="5"/>
  <c r="AX606" i="5" s="1"/>
  <c r="AH607" i="5"/>
  <c r="AN607" i="5"/>
  <c r="AO607" i="5"/>
  <c r="AP607" i="5"/>
  <c r="AR607" i="5"/>
  <c r="AU607" i="5"/>
  <c r="AV607" i="5" s="1"/>
  <c r="AW607" i="5"/>
  <c r="AX607" i="5" s="1"/>
  <c r="AH608" i="5"/>
  <c r="AN608" i="5"/>
  <c r="AO608" i="5"/>
  <c r="AP608" i="5"/>
  <c r="AR608" i="5"/>
  <c r="AU608" i="5"/>
  <c r="AV608" i="5" s="1"/>
  <c r="AW608" i="5"/>
  <c r="AX608" i="5" s="1"/>
  <c r="AH609" i="5"/>
  <c r="AW609" i="5" s="1"/>
  <c r="AX609" i="5" s="1"/>
  <c r="AN609" i="5"/>
  <c r="AO609" i="5"/>
  <c r="AP609" i="5"/>
  <c r="AH610" i="5"/>
  <c r="AK610" i="5" s="1"/>
  <c r="AN610" i="5"/>
  <c r="AO610" i="5"/>
  <c r="AP610" i="5"/>
  <c r="AJ611" i="5"/>
  <c r="AK611" i="5"/>
  <c r="AL611" i="5"/>
  <c r="AN611" i="5"/>
  <c r="AO611" i="5"/>
  <c r="AP611" i="5"/>
  <c r="AR611" i="5"/>
  <c r="AU611" i="5"/>
  <c r="AV611" i="5" s="1"/>
  <c r="AW611" i="5"/>
  <c r="AX611" i="5" s="1"/>
  <c r="AH612" i="5"/>
  <c r="AN612" i="5"/>
  <c r="AO612" i="5"/>
  <c r="AP612" i="5"/>
  <c r="AR612" i="5"/>
  <c r="AS612" i="5" s="1"/>
  <c r="AU612" i="5"/>
  <c r="AV612" i="5" s="1"/>
  <c r="AW612" i="5"/>
  <c r="AX612" i="5" s="1"/>
  <c r="AH613" i="5"/>
  <c r="AZ613" i="5" s="1"/>
  <c r="AN613" i="5"/>
  <c r="AO613" i="5"/>
  <c r="AP613" i="5"/>
  <c r="AR613" i="5"/>
  <c r="AU613" i="5"/>
  <c r="AV613" i="5" s="1"/>
  <c r="AW613" i="5"/>
  <c r="AX613" i="5" s="1"/>
  <c r="AH614" i="5"/>
  <c r="AZ614" i="5" s="1"/>
  <c r="AN614" i="5"/>
  <c r="AO614" i="5"/>
  <c r="AP614" i="5"/>
  <c r="AR614" i="5"/>
  <c r="AT614" i="5" s="1"/>
  <c r="AU614" i="5"/>
  <c r="AV614" i="5" s="1"/>
  <c r="AW614" i="5"/>
  <c r="AX614" i="5" s="1"/>
  <c r="AH615" i="5"/>
  <c r="AN615" i="5"/>
  <c r="AO615" i="5"/>
  <c r="AP615" i="5"/>
  <c r="AR615" i="5"/>
  <c r="AU615" i="5"/>
  <c r="AV615" i="5" s="1"/>
  <c r="AW615" i="5"/>
  <c r="AX615" i="5" s="1"/>
  <c r="AH616" i="5"/>
  <c r="AL616" i="5" s="1"/>
  <c r="AN616" i="5"/>
  <c r="AO616" i="5"/>
  <c r="AP616" i="5"/>
  <c r="AH617" i="5"/>
  <c r="AU617" i="5" s="1"/>
  <c r="AV617" i="5" s="1"/>
  <c r="AN617" i="5"/>
  <c r="AO617" i="5"/>
  <c r="AP617" i="5"/>
  <c r="AJ618" i="5"/>
  <c r="AK618" i="5"/>
  <c r="AL618" i="5"/>
  <c r="AN618" i="5"/>
  <c r="AO618" i="5"/>
  <c r="AP618" i="5"/>
  <c r="AR618" i="5"/>
  <c r="AS618" i="5" s="1"/>
  <c r="AU618" i="5"/>
  <c r="AV618" i="5" s="1"/>
  <c r="AW618" i="5"/>
  <c r="AX618" i="5" s="1"/>
  <c r="AH619" i="5"/>
  <c r="AN619" i="5"/>
  <c r="AO619" i="5"/>
  <c r="AP619" i="5"/>
  <c r="AR619" i="5"/>
  <c r="AS619" i="5" s="1"/>
  <c r="AU619" i="5"/>
  <c r="AV619" i="5" s="1"/>
  <c r="AW619" i="5"/>
  <c r="AX619" i="5" s="1"/>
  <c r="AH620" i="5"/>
  <c r="AN620" i="5"/>
  <c r="AO620" i="5"/>
  <c r="AP620" i="5"/>
  <c r="AR620" i="5"/>
  <c r="AS620" i="5" s="1"/>
  <c r="AU620" i="5"/>
  <c r="AV620" i="5" s="1"/>
  <c r="AW620" i="5"/>
  <c r="AX620" i="5" s="1"/>
  <c r="AH621" i="5"/>
  <c r="AK621" i="5" s="1"/>
  <c r="AN621" i="5"/>
  <c r="AO621" i="5"/>
  <c r="AP621" i="5"/>
  <c r="AR621" i="5"/>
  <c r="AT621" i="5" s="1"/>
  <c r="AU621" i="5"/>
  <c r="AV621" i="5" s="1"/>
  <c r="AW621" i="5"/>
  <c r="AX621" i="5" s="1"/>
  <c r="AH622" i="5"/>
  <c r="AN622" i="5"/>
  <c r="AO622" i="5"/>
  <c r="AP622" i="5"/>
  <c r="AR622" i="5"/>
  <c r="AT622" i="5" s="1"/>
  <c r="AU622" i="5"/>
  <c r="AV622" i="5" s="1"/>
  <c r="AW622" i="5"/>
  <c r="AX622" i="5" s="1"/>
  <c r="AH623" i="5"/>
  <c r="AU623" i="5" s="1"/>
  <c r="AV623" i="5" s="1"/>
  <c r="AN623" i="5"/>
  <c r="AO623" i="5"/>
  <c r="AP623" i="5"/>
  <c r="AH624" i="5"/>
  <c r="AJ624" i="5" s="1"/>
  <c r="AN624" i="5"/>
  <c r="AO624" i="5"/>
  <c r="AP624" i="5"/>
  <c r="AJ625" i="5"/>
  <c r="AK625" i="5"/>
  <c r="AL625" i="5"/>
  <c r="AN625" i="5"/>
  <c r="AO625" i="5"/>
  <c r="AP625" i="5"/>
  <c r="AR625" i="5"/>
  <c r="AT625" i="5" s="1"/>
  <c r="AU625" i="5"/>
  <c r="AV625" i="5" s="1"/>
  <c r="AW625" i="5"/>
  <c r="AX625" i="5" s="1"/>
  <c r="AH626" i="5"/>
  <c r="AZ626" i="5" s="1"/>
  <c r="AN626" i="5"/>
  <c r="AO626" i="5"/>
  <c r="AP626" i="5"/>
  <c r="AR626" i="5"/>
  <c r="AT626" i="5" s="1"/>
  <c r="AU626" i="5"/>
  <c r="AV626" i="5" s="1"/>
  <c r="AW626" i="5"/>
  <c r="AX626" i="5" s="1"/>
  <c r="AH627" i="5"/>
  <c r="AK627" i="5" s="1"/>
  <c r="AN627" i="5"/>
  <c r="AO627" i="5"/>
  <c r="AP627" i="5"/>
  <c r="AR627" i="5"/>
  <c r="AU627" i="5"/>
  <c r="AV627" i="5" s="1"/>
  <c r="AW627" i="5"/>
  <c r="AX627" i="5" s="1"/>
  <c r="AH628" i="5"/>
  <c r="AN628" i="5"/>
  <c r="AO628" i="5"/>
  <c r="AP628" i="5"/>
  <c r="AR628" i="5"/>
  <c r="AS628" i="5" s="1"/>
  <c r="AU628" i="5"/>
  <c r="AV628" i="5" s="1"/>
  <c r="AW628" i="5"/>
  <c r="AX628" i="5" s="1"/>
  <c r="AH629" i="5"/>
  <c r="AJ629" i="5" s="1"/>
  <c r="AN629" i="5"/>
  <c r="AO629" i="5"/>
  <c r="AP629" i="5"/>
  <c r="AR629" i="5"/>
  <c r="AT629" i="5" s="1"/>
  <c r="AU629" i="5"/>
  <c r="AV629" i="5" s="1"/>
  <c r="AW629" i="5"/>
  <c r="AX629" i="5" s="1"/>
  <c r="AH630" i="5"/>
  <c r="AW630" i="5" s="1"/>
  <c r="AX630" i="5" s="1"/>
  <c r="AN630" i="5"/>
  <c r="AO630" i="5"/>
  <c r="AP630" i="5"/>
  <c r="AH631" i="5"/>
  <c r="AN631" i="5"/>
  <c r="AO631" i="5"/>
  <c r="AP631" i="5"/>
  <c r="AJ632" i="5"/>
  <c r="AK632" i="5"/>
  <c r="AL632" i="5"/>
  <c r="AN632" i="5"/>
  <c r="AO632" i="5"/>
  <c r="AP632" i="5"/>
  <c r="AR632" i="5"/>
  <c r="AU632" i="5"/>
  <c r="AV632" i="5" s="1"/>
  <c r="AW632" i="5"/>
  <c r="AX632" i="5" s="1"/>
  <c r="AH633" i="5"/>
  <c r="AZ633" i="5" s="1"/>
  <c r="AN633" i="5"/>
  <c r="AO633" i="5"/>
  <c r="AP633" i="5"/>
  <c r="AR633" i="5"/>
  <c r="AT633" i="5" s="1"/>
  <c r="AU633" i="5"/>
  <c r="AV633" i="5" s="1"/>
  <c r="AW633" i="5"/>
  <c r="AX633" i="5" s="1"/>
  <c r="AH634" i="5"/>
  <c r="AJ634" i="5" s="1"/>
  <c r="AN634" i="5"/>
  <c r="AO634" i="5"/>
  <c r="AP634" i="5"/>
  <c r="AR634" i="5"/>
  <c r="AT634" i="5" s="1"/>
  <c r="AU634" i="5"/>
  <c r="AV634" i="5" s="1"/>
  <c r="AW634" i="5"/>
  <c r="AX634" i="5" s="1"/>
  <c r="AH635" i="5"/>
  <c r="AN635" i="5"/>
  <c r="AO635" i="5"/>
  <c r="AP635" i="5"/>
  <c r="AR635" i="5"/>
  <c r="AT635" i="5" s="1"/>
  <c r="AU635" i="5"/>
  <c r="AV635" i="5" s="1"/>
  <c r="AW635" i="5"/>
  <c r="AX635" i="5" s="1"/>
  <c r="AH636" i="5"/>
  <c r="AN636" i="5"/>
  <c r="AO636" i="5"/>
  <c r="AP636" i="5"/>
  <c r="AH637" i="5"/>
  <c r="AK637" i="5" s="1"/>
  <c r="AN637" i="5"/>
  <c r="AO637" i="5"/>
  <c r="AP637" i="5"/>
  <c r="AJ638" i="5"/>
  <c r="AK638" i="5"/>
  <c r="AL638" i="5"/>
  <c r="AN638" i="5"/>
  <c r="AO638" i="5"/>
  <c r="AP638" i="5"/>
  <c r="AR638" i="5"/>
  <c r="AT638" i="5" s="1"/>
  <c r="AU638" i="5"/>
  <c r="AV638" i="5" s="1"/>
  <c r="AW638" i="5"/>
  <c r="AX638" i="5" s="1"/>
  <c r="AH639" i="5"/>
  <c r="AN639" i="5"/>
  <c r="AO639" i="5"/>
  <c r="AP639" i="5"/>
  <c r="AR639" i="5"/>
  <c r="AU639" i="5"/>
  <c r="AV639" i="5" s="1"/>
  <c r="AW639" i="5"/>
  <c r="AX639" i="5" s="1"/>
  <c r="AH640" i="5"/>
  <c r="AL640" i="5" s="1"/>
  <c r="AN640" i="5"/>
  <c r="AO640" i="5"/>
  <c r="AP640" i="5"/>
  <c r="AR640" i="5"/>
  <c r="AT640" i="5" s="1"/>
  <c r="AU640" i="5"/>
  <c r="AV640" i="5" s="1"/>
  <c r="AW640" i="5"/>
  <c r="AX640" i="5" s="1"/>
  <c r="AH641" i="5"/>
  <c r="AY641" i="5" s="1"/>
  <c r="AN641" i="5"/>
  <c r="AO641" i="5"/>
  <c r="AP641" i="5"/>
  <c r="AR641" i="5"/>
  <c r="AU641" i="5"/>
  <c r="AV641" i="5" s="1"/>
  <c r="AW641" i="5"/>
  <c r="AX641" i="5" s="1"/>
  <c r="AH642" i="5"/>
  <c r="AU642" i="5" s="1"/>
  <c r="AV642" i="5" s="1"/>
  <c r="AN642" i="5"/>
  <c r="AO642" i="5"/>
  <c r="AP642" i="5"/>
  <c r="AH643" i="5"/>
  <c r="AI644" i="5" s="1"/>
  <c r="AN643" i="5"/>
  <c r="AO643" i="5"/>
  <c r="AP643" i="5"/>
  <c r="AJ644" i="5"/>
  <c r="AK644" i="5"/>
  <c r="AL644" i="5"/>
  <c r="AN644" i="5"/>
  <c r="AO644" i="5"/>
  <c r="AP644" i="5"/>
  <c r="AR644" i="5"/>
  <c r="AT644" i="5" s="1"/>
  <c r="AU644" i="5"/>
  <c r="AV644" i="5" s="1"/>
  <c r="AW644" i="5"/>
  <c r="AX644" i="5" s="1"/>
  <c r="AH645" i="5"/>
  <c r="AK645" i="5" s="1"/>
  <c r="AN645" i="5"/>
  <c r="AO645" i="5"/>
  <c r="AP645" i="5"/>
  <c r="AR645" i="5"/>
  <c r="AS645" i="5" s="1"/>
  <c r="AU645" i="5"/>
  <c r="AV645" i="5" s="1"/>
  <c r="AW645" i="5"/>
  <c r="AX645" i="5" s="1"/>
  <c r="AH646" i="5"/>
  <c r="AY646" i="5" s="1"/>
  <c r="AN646" i="5"/>
  <c r="AO646" i="5"/>
  <c r="AP646" i="5"/>
  <c r="AR646" i="5"/>
  <c r="AT646" i="5" s="1"/>
  <c r="AU646" i="5"/>
  <c r="AV646" i="5" s="1"/>
  <c r="AW646" i="5"/>
  <c r="AX646" i="5" s="1"/>
  <c r="AH647" i="5"/>
  <c r="AK647" i="5" s="1"/>
  <c r="AN647" i="5"/>
  <c r="AO647" i="5"/>
  <c r="AP647" i="5"/>
  <c r="AR647" i="5"/>
  <c r="AU647" i="5"/>
  <c r="AV647" i="5" s="1"/>
  <c r="AW647" i="5"/>
  <c r="AX647" i="5" s="1"/>
  <c r="AH648" i="5"/>
  <c r="AR648" i="5" s="1"/>
  <c r="AT648" i="5" s="1"/>
  <c r="AN648" i="5"/>
  <c r="AO648" i="5"/>
  <c r="AP648" i="5"/>
  <c r="AH649" i="5"/>
  <c r="AN649" i="5"/>
  <c r="AO649" i="5"/>
  <c r="AP649" i="5"/>
  <c r="AJ650" i="5"/>
  <c r="AK650" i="5"/>
  <c r="AL650" i="5"/>
  <c r="AN650" i="5"/>
  <c r="AO650" i="5"/>
  <c r="AP650" i="5"/>
  <c r="AR650" i="5"/>
  <c r="AS650" i="5" s="1"/>
  <c r="AU650" i="5"/>
  <c r="AV650" i="5" s="1"/>
  <c r="AW650" i="5"/>
  <c r="AX650" i="5" s="1"/>
  <c r="AH651" i="5"/>
  <c r="AL651" i="5" s="1"/>
  <c r="AN651" i="5"/>
  <c r="AO651" i="5"/>
  <c r="AP651" i="5"/>
  <c r="AR651" i="5"/>
  <c r="AU651" i="5"/>
  <c r="AV651" i="5" s="1"/>
  <c r="AW651" i="5"/>
  <c r="AX651" i="5" s="1"/>
  <c r="AH652" i="5"/>
  <c r="AL652" i="5" s="1"/>
  <c r="AN652" i="5"/>
  <c r="AO652" i="5"/>
  <c r="AP652" i="5"/>
  <c r="AR652" i="5"/>
  <c r="AU652" i="5"/>
  <c r="AV652" i="5" s="1"/>
  <c r="AW652" i="5"/>
  <c r="AX652" i="5" s="1"/>
  <c r="AH653" i="5"/>
  <c r="AZ653" i="5" s="1"/>
  <c r="AN653" i="5"/>
  <c r="AO653" i="5"/>
  <c r="AP653" i="5"/>
  <c r="AR653" i="5"/>
  <c r="AS653" i="5" s="1"/>
  <c r="AU653" i="5"/>
  <c r="AV653" i="5" s="1"/>
  <c r="AW653" i="5"/>
  <c r="AX653" i="5" s="1"/>
  <c r="AH654" i="5"/>
  <c r="AJ654" i="5" s="1"/>
  <c r="AN654" i="5"/>
  <c r="AO654" i="5"/>
  <c r="AP654" i="5"/>
  <c r="AH655" i="5"/>
  <c r="AW655" i="5" s="1"/>
  <c r="AX655" i="5" s="1"/>
  <c r="AN655" i="5"/>
  <c r="AO655" i="5"/>
  <c r="AP655" i="5"/>
  <c r="AJ656" i="5"/>
  <c r="AK656" i="5"/>
  <c r="AL656" i="5"/>
  <c r="AN656" i="5"/>
  <c r="AO656" i="5"/>
  <c r="AP656" i="5"/>
  <c r="AR656" i="5"/>
  <c r="AT656" i="5" s="1"/>
  <c r="AU656" i="5"/>
  <c r="AV656" i="5" s="1"/>
  <c r="AW656" i="5"/>
  <c r="AX656" i="5" s="1"/>
  <c r="AH657" i="5"/>
  <c r="AZ657" i="5" s="1"/>
  <c r="AN657" i="5"/>
  <c r="AO657" i="5"/>
  <c r="AP657" i="5"/>
  <c r="AR657" i="5"/>
  <c r="AU657" i="5"/>
  <c r="AV657" i="5" s="1"/>
  <c r="AW657" i="5"/>
  <c r="AX657" i="5" s="1"/>
  <c r="AH658" i="5"/>
  <c r="AL658" i="5" s="1"/>
  <c r="AN658" i="5"/>
  <c r="AO658" i="5"/>
  <c r="AP658" i="5"/>
  <c r="AR658" i="5"/>
  <c r="AT658" i="5" s="1"/>
  <c r="AU658" i="5"/>
  <c r="AV658" i="5" s="1"/>
  <c r="AW658" i="5"/>
  <c r="AX658" i="5" s="1"/>
  <c r="AH659" i="5"/>
  <c r="AN659" i="5"/>
  <c r="AO659" i="5"/>
  <c r="AP659" i="5"/>
  <c r="AR659" i="5"/>
  <c r="AS659" i="5" s="1"/>
  <c r="AU659" i="5"/>
  <c r="AV659" i="5" s="1"/>
  <c r="AW659" i="5"/>
  <c r="AX659" i="5" s="1"/>
  <c r="AH660" i="5"/>
  <c r="AZ660" i="5" s="1"/>
  <c r="AN660" i="5"/>
  <c r="AO660" i="5"/>
  <c r="AP660" i="5"/>
  <c r="AH661" i="5"/>
  <c r="AW661" i="5" s="1"/>
  <c r="AX661" i="5" s="1"/>
  <c r="AN661" i="5"/>
  <c r="AO661" i="5"/>
  <c r="AP661" i="5"/>
  <c r="AJ662" i="5"/>
  <c r="AK662" i="5"/>
  <c r="AL662" i="5"/>
  <c r="AN662" i="5"/>
  <c r="AO662" i="5"/>
  <c r="AP662" i="5"/>
  <c r="AR662" i="5"/>
  <c r="AU662" i="5"/>
  <c r="AV662" i="5" s="1"/>
  <c r="AW662" i="5"/>
  <c r="AX662" i="5" s="1"/>
  <c r="AH663" i="5"/>
  <c r="AL663" i="5" s="1"/>
  <c r="AN663" i="5"/>
  <c r="AO663" i="5"/>
  <c r="AP663" i="5"/>
  <c r="AR663" i="5"/>
  <c r="AU663" i="5"/>
  <c r="AV663" i="5" s="1"/>
  <c r="AW663" i="5"/>
  <c r="AX663" i="5" s="1"/>
  <c r="AH664" i="5"/>
  <c r="AY664" i="5" s="1"/>
  <c r="AN664" i="5"/>
  <c r="AO664" i="5"/>
  <c r="AP664" i="5"/>
  <c r="AR664" i="5"/>
  <c r="AS664" i="5" s="1"/>
  <c r="AU664" i="5"/>
  <c r="AV664" i="5" s="1"/>
  <c r="AW664" i="5"/>
  <c r="AX664" i="5" s="1"/>
  <c r="AH665" i="5"/>
  <c r="AN665" i="5"/>
  <c r="AO665" i="5"/>
  <c r="AP665" i="5"/>
  <c r="AR665" i="5"/>
  <c r="AT665" i="5" s="1"/>
  <c r="AU665" i="5"/>
  <c r="AV665" i="5" s="1"/>
  <c r="AW665" i="5"/>
  <c r="AX665" i="5" s="1"/>
  <c r="AH666" i="5"/>
  <c r="AU666" i="5" s="1"/>
  <c r="AV666" i="5" s="1"/>
  <c r="AN666" i="5"/>
  <c r="AO666" i="5"/>
  <c r="AP666" i="5"/>
  <c r="AH667" i="5"/>
  <c r="AU667" i="5" s="1"/>
  <c r="AV667" i="5" s="1"/>
  <c r="AN667" i="5"/>
  <c r="AO667" i="5"/>
  <c r="AP667" i="5"/>
  <c r="AJ668" i="5"/>
  <c r="AK668" i="5"/>
  <c r="AL668" i="5"/>
  <c r="AN668" i="5"/>
  <c r="AO668" i="5"/>
  <c r="AP668" i="5"/>
  <c r="AR668" i="5"/>
  <c r="AU668" i="5"/>
  <c r="AV668" i="5" s="1"/>
  <c r="AW668" i="5"/>
  <c r="AX668" i="5" s="1"/>
  <c r="AH669" i="5"/>
  <c r="AY669" i="5" s="1"/>
  <c r="AN669" i="5"/>
  <c r="AO669" i="5"/>
  <c r="AP669" i="5"/>
  <c r="AR669" i="5"/>
  <c r="AT669" i="5" s="1"/>
  <c r="AU669" i="5"/>
  <c r="AV669" i="5" s="1"/>
  <c r="AW669" i="5"/>
  <c r="AX669" i="5" s="1"/>
  <c r="AH670" i="5"/>
  <c r="AN670" i="5"/>
  <c r="AO670" i="5"/>
  <c r="AP670" i="5"/>
  <c r="AR670" i="5"/>
  <c r="AT670" i="5" s="1"/>
  <c r="AU670" i="5"/>
  <c r="AV670" i="5" s="1"/>
  <c r="AW670" i="5"/>
  <c r="AX670" i="5" s="1"/>
  <c r="AH671" i="5"/>
  <c r="AY671" i="5" s="1"/>
  <c r="AN671" i="5"/>
  <c r="AO671" i="5"/>
  <c r="AP671" i="5"/>
  <c r="AR671" i="5"/>
  <c r="AU671" i="5"/>
  <c r="AV671" i="5" s="1"/>
  <c r="AW671" i="5"/>
  <c r="AX671" i="5" s="1"/>
  <c r="AH672" i="5"/>
  <c r="AN672" i="5"/>
  <c r="AO672" i="5"/>
  <c r="AP672" i="5"/>
  <c r="AH673" i="5"/>
  <c r="AJ673" i="5" s="1"/>
  <c r="AN673" i="5"/>
  <c r="AO673" i="5"/>
  <c r="AP673" i="5"/>
  <c r="AJ674" i="5"/>
  <c r="AK674" i="5"/>
  <c r="AL674" i="5"/>
  <c r="AN674" i="5"/>
  <c r="AO674" i="5"/>
  <c r="AP674" i="5"/>
  <c r="AR674" i="5"/>
  <c r="AT674" i="5" s="1"/>
  <c r="AU674" i="5"/>
  <c r="AV674" i="5" s="1"/>
  <c r="AW674" i="5"/>
  <c r="AX674" i="5" s="1"/>
  <c r="AH675" i="5"/>
  <c r="AJ675" i="5" s="1"/>
  <c r="AN675" i="5"/>
  <c r="AO675" i="5"/>
  <c r="AP675" i="5"/>
  <c r="AR675" i="5"/>
  <c r="AS675" i="5" s="1"/>
  <c r="AU675" i="5"/>
  <c r="AV675" i="5" s="1"/>
  <c r="AW675" i="5"/>
  <c r="AX675" i="5" s="1"/>
  <c r="AH676" i="5"/>
  <c r="AN676" i="5"/>
  <c r="AO676" i="5"/>
  <c r="AP676" i="5"/>
  <c r="AR676" i="5"/>
  <c r="AU676" i="5"/>
  <c r="AV676" i="5" s="1"/>
  <c r="AW676" i="5"/>
  <c r="AX676" i="5" s="1"/>
  <c r="AH677" i="5"/>
  <c r="AK677" i="5" s="1"/>
  <c r="AN677" i="5"/>
  <c r="AO677" i="5"/>
  <c r="AP677" i="5"/>
  <c r="AH678" i="5"/>
  <c r="AR678" i="5" s="1"/>
  <c r="AT678" i="5" s="1"/>
  <c r="AN678" i="5"/>
  <c r="AO678" i="5"/>
  <c r="AP678" i="5"/>
  <c r="AJ679" i="5"/>
  <c r="AK679" i="5"/>
  <c r="AL679" i="5"/>
  <c r="AN679" i="5"/>
  <c r="AO679" i="5"/>
  <c r="AP679" i="5"/>
  <c r="AR679" i="5"/>
  <c r="AU679" i="5"/>
  <c r="AV679" i="5" s="1"/>
  <c r="AW679" i="5"/>
  <c r="AX679" i="5" s="1"/>
  <c r="AH700" i="5"/>
  <c r="AN700" i="5"/>
  <c r="AO700" i="5"/>
  <c r="AP700" i="5"/>
  <c r="AR700" i="5"/>
  <c r="AT700" i="5" s="1"/>
  <c r="AU700" i="5"/>
  <c r="AV700" i="5" s="1"/>
  <c r="AW700" i="5"/>
  <c r="AX700" i="5" s="1"/>
  <c r="AH701" i="5"/>
  <c r="AN701" i="5"/>
  <c r="AO701" i="5"/>
  <c r="AP701" i="5"/>
  <c r="AR701" i="5"/>
  <c r="AT701" i="5" s="1"/>
  <c r="AU701" i="5"/>
  <c r="AV701" i="5" s="1"/>
  <c r="AW701" i="5"/>
  <c r="AX701" i="5" s="1"/>
  <c r="AH702" i="5"/>
  <c r="AL702" i="5" s="1"/>
  <c r="AN702" i="5"/>
  <c r="AO702" i="5"/>
  <c r="AP702" i="5"/>
  <c r="AR702" i="5"/>
  <c r="AT702" i="5" s="1"/>
  <c r="AU702" i="5"/>
  <c r="AV702" i="5" s="1"/>
  <c r="AW702" i="5"/>
  <c r="AX702" i="5" s="1"/>
  <c r="AH703" i="5"/>
  <c r="AJ703" i="5" s="1"/>
  <c r="AN703" i="5"/>
  <c r="AO703" i="5"/>
  <c r="AP703" i="5"/>
  <c r="AR703" i="5"/>
  <c r="AU703" i="5"/>
  <c r="AV703" i="5" s="1"/>
  <c r="AW703" i="5"/>
  <c r="AX703" i="5" s="1"/>
  <c r="AH704" i="5"/>
  <c r="AN704" i="5"/>
  <c r="AO704" i="5"/>
  <c r="AR704" i="5"/>
  <c r="AT704" i="5" s="1"/>
  <c r="AU704" i="5"/>
  <c r="AV704" i="5" s="1"/>
  <c r="AW704" i="5"/>
  <c r="AX704" i="5" s="1"/>
  <c r="AH705" i="5"/>
  <c r="AK705" i="5" s="1"/>
  <c r="AN705" i="5"/>
  <c r="AO705" i="5"/>
  <c r="AP705" i="5"/>
  <c r="AR705" i="5"/>
  <c r="AT705" i="5" s="1"/>
  <c r="AU705" i="5"/>
  <c r="AV705" i="5" s="1"/>
  <c r="AW705" i="5"/>
  <c r="AX705" i="5" s="1"/>
  <c r="AH706" i="5"/>
  <c r="AN706" i="5"/>
  <c r="AO706" i="5"/>
  <c r="AP706" i="5"/>
  <c r="AR706" i="5"/>
  <c r="AU706" i="5"/>
  <c r="AV706" i="5" s="1"/>
  <c r="AW706" i="5"/>
  <c r="AX706" i="5" s="1"/>
  <c r="AH707" i="5"/>
  <c r="AZ707" i="5" s="1"/>
  <c r="AN707" i="5"/>
  <c r="AO707" i="5"/>
  <c r="AP707" i="5"/>
  <c r="AR707" i="5"/>
  <c r="AU707" i="5"/>
  <c r="AV707" i="5" s="1"/>
  <c r="AW707" i="5"/>
  <c r="AX707" i="5" s="1"/>
  <c r="AH708" i="5"/>
  <c r="AN708" i="5"/>
  <c r="AO708" i="5"/>
  <c r="AP708" i="5"/>
  <c r="AR708" i="5"/>
  <c r="AS708" i="5" s="1"/>
  <c r="AU708" i="5"/>
  <c r="AV708" i="5" s="1"/>
  <c r="AW708" i="5"/>
  <c r="AX708" i="5" s="1"/>
  <c r="AH709" i="5"/>
  <c r="AK709" i="5" s="1"/>
  <c r="AN709" i="5"/>
  <c r="AO709" i="5"/>
  <c r="AP709" i="5"/>
  <c r="AH710" i="5"/>
  <c r="AZ710" i="5" s="1"/>
  <c r="AN710" i="5"/>
  <c r="AO710" i="5"/>
  <c r="AP710" i="5"/>
  <c r="AJ711" i="5"/>
  <c r="AK711" i="5"/>
  <c r="AL711" i="5"/>
  <c r="AN711" i="5"/>
  <c r="AO711" i="5"/>
  <c r="AP711" i="5"/>
  <c r="AR711" i="5"/>
  <c r="AS711" i="5" s="1"/>
  <c r="AU711" i="5"/>
  <c r="AV711" i="5" s="1"/>
  <c r="AW711" i="5"/>
  <c r="AX711" i="5" s="1"/>
  <c r="AH712" i="5"/>
  <c r="AI712" i="5" s="1"/>
  <c r="AN712" i="5"/>
  <c r="AO712" i="5"/>
  <c r="AP712" i="5"/>
  <c r="AR712" i="5"/>
  <c r="AU712" i="5"/>
  <c r="AV712" i="5" s="1"/>
  <c r="AW712" i="5"/>
  <c r="AX712" i="5" s="1"/>
  <c r="AH713" i="5"/>
  <c r="AN713" i="5"/>
  <c r="AO713" i="5"/>
  <c r="AP713" i="5"/>
  <c r="AR713" i="5"/>
  <c r="AS713" i="5" s="1"/>
  <c r="AU713" i="5"/>
  <c r="AV713" i="5" s="1"/>
  <c r="AW713" i="5"/>
  <c r="AX713" i="5" s="1"/>
  <c r="AH714" i="5"/>
  <c r="AN714" i="5"/>
  <c r="AO714" i="5"/>
  <c r="AP714" i="5"/>
  <c r="AR714" i="5"/>
  <c r="AU714" i="5"/>
  <c r="AV714" i="5" s="1"/>
  <c r="AW714" i="5"/>
  <c r="AX714" i="5" s="1"/>
  <c r="AH715" i="5"/>
  <c r="AN715" i="5"/>
  <c r="AO715" i="5"/>
  <c r="AP715" i="5"/>
  <c r="AR715" i="5"/>
  <c r="AS715" i="5" s="1"/>
  <c r="AU715" i="5"/>
  <c r="AV715" i="5" s="1"/>
  <c r="AW715" i="5"/>
  <c r="AX715" i="5" s="1"/>
  <c r="AH716" i="5"/>
  <c r="AZ716" i="5" s="1"/>
  <c r="AN716" i="5"/>
  <c r="AO716" i="5"/>
  <c r="AP716" i="5"/>
  <c r="AH717" i="5"/>
  <c r="AN717" i="5"/>
  <c r="AO717" i="5"/>
  <c r="AP717" i="5"/>
  <c r="AJ718" i="5"/>
  <c r="AK718" i="5"/>
  <c r="AL718" i="5"/>
  <c r="AN718" i="5"/>
  <c r="AO718" i="5"/>
  <c r="AP718" i="5"/>
  <c r="AR718" i="5"/>
  <c r="AU718" i="5"/>
  <c r="AV718" i="5" s="1"/>
  <c r="AW718" i="5"/>
  <c r="AX718" i="5" s="1"/>
  <c r="AH719" i="5"/>
  <c r="AN719" i="5"/>
  <c r="AO719" i="5"/>
  <c r="AP719" i="5"/>
  <c r="AR719" i="5"/>
  <c r="AU719" i="5"/>
  <c r="AV719" i="5" s="1"/>
  <c r="AW719" i="5"/>
  <c r="AX719" i="5" s="1"/>
  <c r="AH720" i="5"/>
  <c r="AZ720" i="5" s="1"/>
  <c r="AN720" i="5"/>
  <c r="AO720" i="5"/>
  <c r="AP720" i="5"/>
  <c r="AR720" i="5"/>
  <c r="AT720" i="5" s="1"/>
  <c r="AU720" i="5"/>
  <c r="AV720" i="5" s="1"/>
  <c r="AW720" i="5"/>
  <c r="AX720" i="5" s="1"/>
  <c r="AH721" i="5"/>
  <c r="AN721" i="5"/>
  <c r="AO721" i="5"/>
  <c r="AP721" i="5"/>
  <c r="AR721" i="5"/>
  <c r="AT721" i="5" s="1"/>
  <c r="AU721" i="5"/>
  <c r="AV721" i="5" s="1"/>
  <c r="AW721" i="5"/>
  <c r="AX721" i="5" s="1"/>
  <c r="AH722" i="5"/>
  <c r="AN722" i="5"/>
  <c r="AO722" i="5"/>
  <c r="AP722" i="5"/>
  <c r="AR722" i="5"/>
  <c r="AT722" i="5" s="1"/>
  <c r="AU722" i="5"/>
  <c r="AV722" i="5" s="1"/>
  <c r="AW722" i="5"/>
  <c r="AX722" i="5" s="1"/>
  <c r="AH723" i="5"/>
  <c r="AL723" i="5" s="1"/>
  <c r="AN723" i="5"/>
  <c r="AO723" i="5"/>
  <c r="AP723" i="5"/>
  <c r="AH724" i="5"/>
  <c r="AJ724" i="5" s="1"/>
  <c r="AN724" i="5"/>
  <c r="AO724" i="5"/>
  <c r="AP724" i="5"/>
  <c r="AJ725" i="5"/>
  <c r="AK725" i="5"/>
  <c r="AL725" i="5"/>
  <c r="AN725" i="5"/>
  <c r="AO725" i="5"/>
  <c r="AP725" i="5"/>
  <c r="AR725" i="5"/>
  <c r="AS725" i="5" s="1"/>
  <c r="AU725" i="5"/>
  <c r="AV725" i="5" s="1"/>
  <c r="AW725" i="5"/>
  <c r="AX725" i="5" s="1"/>
  <c r="AH726" i="5"/>
  <c r="AY726" i="5" s="1"/>
  <c r="AN726" i="5"/>
  <c r="AO726" i="5"/>
  <c r="AP726" i="5"/>
  <c r="AR726" i="5"/>
  <c r="AU726" i="5"/>
  <c r="AV726" i="5" s="1"/>
  <c r="AW726" i="5"/>
  <c r="AX726" i="5" s="1"/>
  <c r="AH727" i="5"/>
  <c r="AY727" i="5" s="1"/>
  <c r="AN727" i="5"/>
  <c r="AO727" i="5"/>
  <c r="AP727" i="5"/>
  <c r="AR727" i="5"/>
  <c r="AU727" i="5"/>
  <c r="AV727" i="5" s="1"/>
  <c r="AW727" i="5"/>
  <c r="AX727" i="5" s="1"/>
  <c r="AH728" i="5"/>
  <c r="AL728" i="5" s="1"/>
  <c r="AN728" i="5"/>
  <c r="AO728" i="5"/>
  <c r="AP728" i="5"/>
  <c r="AR728" i="5"/>
  <c r="AU728" i="5"/>
  <c r="AV728" i="5" s="1"/>
  <c r="AW728" i="5"/>
  <c r="AX728" i="5" s="1"/>
  <c r="AH729" i="5"/>
  <c r="AL729" i="5" s="1"/>
  <c r="AN729" i="5"/>
  <c r="AO729" i="5"/>
  <c r="AP729" i="5"/>
  <c r="AR729" i="5"/>
  <c r="AU729" i="5"/>
  <c r="AV729" i="5" s="1"/>
  <c r="AW729" i="5"/>
  <c r="AX729" i="5" s="1"/>
  <c r="AH730" i="5"/>
  <c r="AR730" i="5" s="1"/>
  <c r="AT730" i="5" s="1"/>
  <c r="AN730" i="5"/>
  <c r="AO730" i="5"/>
  <c r="AP730" i="5"/>
  <c r="AH731" i="5"/>
  <c r="AW731" i="5" s="1"/>
  <c r="AX731" i="5" s="1"/>
  <c r="AN731" i="5"/>
  <c r="AO731" i="5"/>
  <c r="AP731" i="5"/>
  <c r="AJ732" i="5"/>
  <c r="AK732" i="5"/>
  <c r="AL732" i="5"/>
  <c r="AN732" i="5"/>
  <c r="AO732" i="5"/>
  <c r="AP732" i="5"/>
  <c r="AR732" i="5"/>
  <c r="AU732" i="5"/>
  <c r="AV732" i="5" s="1"/>
  <c r="AW732" i="5"/>
  <c r="AX732" i="5" s="1"/>
  <c r="AH733" i="5"/>
  <c r="AI733" i="5" s="1"/>
  <c r="AN733" i="5"/>
  <c r="AO733" i="5"/>
  <c r="AP733" i="5"/>
  <c r="AR733" i="5"/>
  <c r="AU733" i="5"/>
  <c r="AV733" i="5" s="1"/>
  <c r="AW733" i="5"/>
  <c r="AX733" i="5" s="1"/>
  <c r="AH734" i="5"/>
  <c r="AN734" i="5"/>
  <c r="AO734" i="5"/>
  <c r="AP734" i="5"/>
  <c r="AR734" i="5"/>
  <c r="AT734" i="5" s="1"/>
  <c r="AU734" i="5"/>
  <c r="AV734" i="5" s="1"/>
  <c r="AW734" i="5"/>
  <c r="AX734" i="5" s="1"/>
  <c r="AH735" i="5"/>
  <c r="AZ735" i="5" s="1"/>
  <c r="AN735" i="5"/>
  <c r="AO735" i="5"/>
  <c r="AP735" i="5"/>
  <c r="AR735" i="5"/>
  <c r="AU735" i="5"/>
  <c r="AV735" i="5" s="1"/>
  <c r="AW735" i="5"/>
  <c r="AX735" i="5" s="1"/>
  <c r="AH736" i="5"/>
  <c r="AJ736" i="5" s="1"/>
  <c r="AN736" i="5"/>
  <c r="AO736" i="5"/>
  <c r="AP736" i="5"/>
  <c r="AR736" i="5"/>
  <c r="AS736" i="5" s="1"/>
  <c r="AU736" i="5"/>
  <c r="AV736" i="5" s="1"/>
  <c r="AW736" i="5"/>
  <c r="AX736" i="5" s="1"/>
  <c r="AH737" i="5"/>
  <c r="AU737" i="5" s="1"/>
  <c r="AV737" i="5" s="1"/>
  <c r="AN737" i="5"/>
  <c r="AO737" i="5"/>
  <c r="AP737" i="5"/>
  <c r="AH738" i="5"/>
  <c r="AU738" i="5" s="1"/>
  <c r="AV738" i="5" s="1"/>
  <c r="AN738" i="5"/>
  <c r="AO738" i="5"/>
  <c r="AP738" i="5"/>
  <c r="AJ739" i="5"/>
  <c r="AK739" i="5"/>
  <c r="AL739" i="5"/>
  <c r="AN739" i="5"/>
  <c r="AO739" i="5"/>
  <c r="AP739" i="5"/>
  <c r="AR739" i="5"/>
  <c r="AT739" i="5" s="1"/>
  <c r="AU739" i="5"/>
  <c r="AV739" i="5" s="1"/>
  <c r="AW739" i="5"/>
  <c r="AX739" i="5" s="1"/>
  <c r="AH740" i="5"/>
  <c r="AZ740" i="5" s="1"/>
  <c r="AN740" i="5"/>
  <c r="AO740" i="5"/>
  <c r="AP740" i="5"/>
  <c r="AR740" i="5"/>
  <c r="AT740" i="5" s="1"/>
  <c r="AU740" i="5"/>
  <c r="AV740" i="5" s="1"/>
  <c r="AW740" i="5"/>
  <c r="AX740" i="5" s="1"/>
  <c r="AH741" i="5"/>
  <c r="AZ741" i="5" s="1"/>
  <c r="AN741" i="5"/>
  <c r="AO741" i="5"/>
  <c r="AP741" i="5"/>
  <c r="AR741" i="5"/>
  <c r="AS741" i="5" s="1"/>
  <c r="AU741" i="5"/>
  <c r="AV741" i="5" s="1"/>
  <c r="AW741" i="5"/>
  <c r="AX741" i="5" s="1"/>
  <c r="AH742" i="5"/>
  <c r="AN742" i="5"/>
  <c r="AO742" i="5"/>
  <c r="AP742" i="5"/>
  <c r="AR742" i="5"/>
  <c r="AU742" i="5"/>
  <c r="AV742" i="5" s="1"/>
  <c r="AW742" i="5"/>
  <c r="AX742" i="5" s="1"/>
  <c r="AH743" i="5"/>
  <c r="AK743" i="5" s="1"/>
  <c r="AN743" i="5"/>
  <c r="AO743" i="5"/>
  <c r="AP743" i="5"/>
  <c r="AR743" i="5"/>
  <c r="AS743" i="5" s="1"/>
  <c r="AU743" i="5"/>
  <c r="AV743" i="5" s="1"/>
  <c r="AW743" i="5"/>
  <c r="AX743" i="5" s="1"/>
  <c r="AH744" i="5"/>
  <c r="AJ744" i="5" s="1"/>
  <c r="AN744" i="5"/>
  <c r="AO744" i="5"/>
  <c r="AP744" i="5"/>
  <c r="AH745" i="5"/>
  <c r="AW745" i="5" s="1"/>
  <c r="AX745" i="5" s="1"/>
  <c r="AN745" i="5"/>
  <c r="AO745" i="5"/>
  <c r="AP745" i="5"/>
  <c r="AJ746" i="5"/>
  <c r="AK746" i="5"/>
  <c r="AL746" i="5"/>
  <c r="AN746" i="5"/>
  <c r="AO746" i="5"/>
  <c r="AP746" i="5"/>
  <c r="AR746" i="5"/>
  <c r="AT746" i="5" s="1"/>
  <c r="AU746" i="5"/>
  <c r="AV746" i="5" s="1"/>
  <c r="AW746" i="5"/>
  <c r="AX746" i="5" s="1"/>
  <c r="AH747" i="5"/>
  <c r="AN747" i="5"/>
  <c r="AO747" i="5"/>
  <c r="AP747" i="5"/>
  <c r="AR747" i="5"/>
  <c r="AS747" i="5" s="1"/>
  <c r="AU747" i="5"/>
  <c r="AV747" i="5" s="1"/>
  <c r="AW747" i="5"/>
  <c r="AX747" i="5" s="1"/>
  <c r="AH748" i="5"/>
  <c r="AK748" i="5" s="1"/>
  <c r="AN748" i="5"/>
  <c r="AO748" i="5"/>
  <c r="AP748" i="5"/>
  <c r="AR748" i="5"/>
  <c r="AS748" i="5" s="1"/>
  <c r="AU748" i="5"/>
  <c r="AV748" i="5" s="1"/>
  <c r="AW748" i="5"/>
  <c r="AX748" i="5" s="1"/>
  <c r="AH749" i="5"/>
  <c r="AY749" i="5" s="1"/>
  <c r="AN749" i="5"/>
  <c r="AO749" i="5"/>
  <c r="AP749" i="5"/>
  <c r="AR749" i="5"/>
  <c r="AU749" i="5"/>
  <c r="AV749" i="5" s="1"/>
  <c r="AW749" i="5"/>
  <c r="AX749" i="5" s="1"/>
  <c r="AH750" i="5"/>
  <c r="AN750" i="5"/>
  <c r="AO750" i="5"/>
  <c r="AP750" i="5"/>
  <c r="AR750" i="5"/>
  <c r="AS750" i="5" s="1"/>
  <c r="AU750" i="5"/>
  <c r="AV750" i="5" s="1"/>
  <c r="AW750" i="5"/>
  <c r="AX750" i="5" s="1"/>
  <c r="AH751" i="5"/>
  <c r="AN751" i="5"/>
  <c r="AO751" i="5"/>
  <c r="AP751" i="5"/>
  <c r="AH752" i="5"/>
  <c r="AL752" i="5" s="1"/>
  <c r="AN752" i="5"/>
  <c r="AO752" i="5"/>
  <c r="AP752" i="5"/>
  <c r="AJ753" i="5"/>
  <c r="AK753" i="5"/>
  <c r="AL753" i="5"/>
  <c r="AN753" i="5"/>
  <c r="AO753" i="5"/>
  <c r="AP753" i="5"/>
  <c r="AR753" i="5"/>
  <c r="AU753" i="5"/>
  <c r="AV753" i="5" s="1"/>
  <c r="AW753" i="5"/>
  <c r="AX753" i="5" s="1"/>
  <c r="AH754" i="5"/>
  <c r="AN754" i="5"/>
  <c r="AO754" i="5"/>
  <c r="AP754" i="5"/>
  <c r="AR754" i="5"/>
  <c r="AU754" i="5"/>
  <c r="AV754" i="5" s="1"/>
  <c r="AW754" i="5"/>
  <c r="AX754" i="5" s="1"/>
  <c r="AH755" i="5"/>
  <c r="AK755" i="5" s="1"/>
  <c r="AN755" i="5"/>
  <c r="AO755" i="5"/>
  <c r="AP755" i="5"/>
  <c r="AR755" i="5"/>
  <c r="AT755" i="5" s="1"/>
  <c r="AU755" i="5"/>
  <c r="AV755" i="5" s="1"/>
  <c r="AW755" i="5"/>
  <c r="AX755" i="5" s="1"/>
  <c r="AH756" i="5"/>
  <c r="AL756" i="5" s="1"/>
  <c r="AN756" i="5"/>
  <c r="AO756" i="5"/>
  <c r="AP756" i="5"/>
  <c r="AR756" i="5"/>
  <c r="AU756" i="5"/>
  <c r="AV756" i="5" s="1"/>
  <c r="AW756" i="5"/>
  <c r="AX756" i="5" s="1"/>
  <c r="AH757" i="5"/>
  <c r="AJ757" i="5" s="1"/>
  <c r="AN757" i="5"/>
  <c r="AO757" i="5"/>
  <c r="AP757" i="5"/>
  <c r="AR757" i="5"/>
  <c r="AU757" i="5"/>
  <c r="AV757" i="5" s="1"/>
  <c r="AW757" i="5"/>
  <c r="AX757" i="5" s="1"/>
  <c r="AH758" i="5"/>
  <c r="AY758" i="5" s="1"/>
  <c r="AN758" i="5"/>
  <c r="AO758" i="5"/>
  <c r="AP758" i="5"/>
  <c r="AH759" i="5"/>
  <c r="AZ759" i="5" s="1"/>
  <c r="AN759" i="5"/>
  <c r="AO759" i="5"/>
  <c r="AP759" i="5"/>
  <c r="AJ760" i="5"/>
  <c r="AK760" i="5"/>
  <c r="AL760" i="5"/>
  <c r="AN760" i="5"/>
  <c r="AO760" i="5"/>
  <c r="AP760" i="5"/>
  <c r="AR760" i="5"/>
  <c r="AT760" i="5" s="1"/>
  <c r="AU760" i="5"/>
  <c r="AV760" i="5" s="1"/>
  <c r="AW760" i="5"/>
  <c r="AX760" i="5" s="1"/>
  <c r="AH761" i="5"/>
  <c r="AI761" i="5" s="1"/>
  <c r="AN761" i="5"/>
  <c r="AO761" i="5"/>
  <c r="AP761" i="5"/>
  <c r="AR761" i="5"/>
  <c r="AT761" i="5" s="1"/>
  <c r="AU761" i="5"/>
  <c r="AV761" i="5" s="1"/>
  <c r="AW761" i="5"/>
  <c r="AX761" i="5" s="1"/>
  <c r="AH762" i="5"/>
  <c r="AK762" i="5" s="1"/>
  <c r="AN762" i="5"/>
  <c r="AO762" i="5"/>
  <c r="AP762" i="5"/>
  <c r="AR762" i="5"/>
  <c r="AU762" i="5"/>
  <c r="AV762" i="5" s="1"/>
  <c r="AW762" i="5"/>
  <c r="AX762" i="5" s="1"/>
  <c r="AH763" i="5"/>
  <c r="AY763" i="5" s="1"/>
  <c r="AN763" i="5"/>
  <c r="AO763" i="5"/>
  <c r="AP763" i="5"/>
  <c r="AR763" i="5"/>
  <c r="AT763" i="5" s="1"/>
  <c r="AU763" i="5"/>
  <c r="AV763" i="5" s="1"/>
  <c r="AW763" i="5"/>
  <c r="AX763" i="5" s="1"/>
  <c r="AH764" i="5"/>
  <c r="AN764" i="5"/>
  <c r="AO764" i="5"/>
  <c r="AP764" i="5"/>
  <c r="AR764" i="5"/>
  <c r="AU764" i="5"/>
  <c r="AV764" i="5" s="1"/>
  <c r="AW764" i="5"/>
  <c r="AX764" i="5" s="1"/>
  <c r="AH765" i="5"/>
  <c r="AR765" i="5" s="1"/>
  <c r="AN765" i="5"/>
  <c r="AO765" i="5"/>
  <c r="AP765" i="5"/>
  <c r="AH766" i="5"/>
  <c r="AW766" i="5" s="1"/>
  <c r="AX766" i="5" s="1"/>
  <c r="AN766" i="5"/>
  <c r="AO766" i="5"/>
  <c r="AP766" i="5"/>
  <c r="AJ767" i="5"/>
  <c r="AK767" i="5"/>
  <c r="AL767" i="5"/>
  <c r="AN767" i="5"/>
  <c r="AO767" i="5"/>
  <c r="AP767" i="5"/>
  <c r="AR767" i="5"/>
  <c r="AU767" i="5"/>
  <c r="AV767" i="5" s="1"/>
  <c r="AW767" i="5"/>
  <c r="AX767" i="5" s="1"/>
  <c r="AH768" i="5"/>
  <c r="AN768" i="5"/>
  <c r="AO768" i="5"/>
  <c r="AP768" i="5"/>
  <c r="AR768" i="5"/>
  <c r="AT768" i="5" s="1"/>
  <c r="AU768" i="5"/>
  <c r="AV768" i="5" s="1"/>
  <c r="AW768" i="5"/>
  <c r="AX768" i="5" s="1"/>
  <c r="AH769" i="5"/>
  <c r="AN769" i="5"/>
  <c r="AO769" i="5"/>
  <c r="AP769" i="5"/>
  <c r="AR769" i="5"/>
  <c r="AT769" i="5" s="1"/>
  <c r="AU769" i="5"/>
  <c r="AV769" i="5" s="1"/>
  <c r="AW769" i="5"/>
  <c r="AX769" i="5" s="1"/>
  <c r="AH770" i="5"/>
  <c r="AN770" i="5"/>
  <c r="AO770" i="5"/>
  <c r="AP770" i="5"/>
  <c r="AR770" i="5"/>
  <c r="AU770" i="5"/>
  <c r="AV770" i="5" s="1"/>
  <c r="AW770" i="5"/>
  <c r="AX770" i="5" s="1"/>
  <c r="AH771" i="5"/>
  <c r="AK771" i="5" s="1"/>
  <c r="AN771" i="5"/>
  <c r="AO771" i="5"/>
  <c r="AP771" i="5"/>
  <c r="AR771" i="5"/>
  <c r="AU771" i="5"/>
  <c r="AV771" i="5" s="1"/>
  <c r="AW771" i="5"/>
  <c r="AX771" i="5" s="1"/>
  <c r="AH772" i="5"/>
  <c r="AN772" i="5"/>
  <c r="AO772" i="5"/>
  <c r="AP772" i="5"/>
  <c r="AH773" i="5"/>
  <c r="AY773" i="5" s="1"/>
  <c r="AN773" i="5"/>
  <c r="AO773" i="5"/>
  <c r="AP773" i="5"/>
  <c r="AJ774" i="5"/>
  <c r="AK774" i="5"/>
  <c r="AL774" i="5"/>
  <c r="AN774" i="5"/>
  <c r="AO774" i="5"/>
  <c r="AP774" i="5"/>
  <c r="AR774" i="5"/>
  <c r="AU774" i="5"/>
  <c r="AV774" i="5" s="1"/>
  <c r="AW774" i="5"/>
  <c r="AX774" i="5" s="1"/>
  <c r="AH775" i="5"/>
  <c r="AN775" i="5"/>
  <c r="AO775" i="5"/>
  <c r="AP775" i="5"/>
  <c r="AR775" i="5"/>
  <c r="AU775" i="5"/>
  <c r="AV775" i="5" s="1"/>
  <c r="AW775" i="5"/>
  <c r="AX775" i="5" s="1"/>
  <c r="AH776" i="5"/>
  <c r="AL776" i="5" s="1"/>
  <c r="AN776" i="5"/>
  <c r="AO776" i="5"/>
  <c r="AP776" i="5"/>
  <c r="AR776" i="5"/>
  <c r="AU776" i="5"/>
  <c r="AV776" i="5" s="1"/>
  <c r="AW776" i="5"/>
  <c r="AX776" i="5" s="1"/>
  <c r="AH777" i="5"/>
  <c r="AN777" i="5"/>
  <c r="AO777" i="5"/>
  <c r="AP777" i="5"/>
  <c r="AR777" i="5"/>
  <c r="AS777" i="5" s="1"/>
  <c r="AU777" i="5"/>
  <c r="AV777" i="5" s="1"/>
  <c r="AW777" i="5"/>
  <c r="AX777" i="5" s="1"/>
  <c r="AH778" i="5"/>
  <c r="AK778" i="5" s="1"/>
  <c r="AN778" i="5"/>
  <c r="AO778" i="5"/>
  <c r="AP778" i="5"/>
  <c r="AR778" i="5"/>
  <c r="AU778" i="5"/>
  <c r="AV778" i="5" s="1"/>
  <c r="AW778" i="5"/>
  <c r="AX778" i="5" s="1"/>
  <c r="AH779" i="5"/>
  <c r="AN779" i="5"/>
  <c r="AO779" i="5"/>
  <c r="AP779" i="5"/>
  <c r="AH780" i="5"/>
  <c r="AW780" i="5" s="1"/>
  <c r="AX780" i="5" s="1"/>
  <c r="AN780" i="5"/>
  <c r="AO780" i="5"/>
  <c r="AP780" i="5"/>
  <c r="AJ781" i="5"/>
  <c r="AK781" i="5"/>
  <c r="AL781" i="5"/>
  <c r="AN781" i="5"/>
  <c r="AO781" i="5"/>
  <c r="AP781" i="5"/>
  <c r="AR781" i="5"/>
  <c r="AU781" i="5"/>
  <c r="AV781" i="5" s="1"/>
  <c r="AW781" i="5"/>
  <c r="AX781" i="5" s="1"/>
  <c r="AH782" i="5"/>
  <c r="AN782" i="5"/>
  <c r="AO782" i="5"/>
  <c r="AP782" i="5"/>
  <c r="AR782" i="5"/>
  <c r="AU782" i="5"/>
  <c r="AV782" i="5" s="1"/>
  <c r="AW782" i="5"/>
  <c r="AX782" i="5" s="1"/>
  <c r="AH783" i="5"/>
  <c r="AZ783" i="5" s="1"/>
  <c r="AN783" i="5"/>
  <c r="AO783" i="5"/>
  <c r="AP783" i="5"/>
  <c r="AR783" i="5"/>
  <c r="AU783" i="5"/>
  <c r="AV783" i="5" s="1"/>
  <c r="AW783" i="5"/>
  <c r="AX783" i="5" s="1"/>
  <c r="AH784" i="5"/>
  <c r="AK784" i="5" s="1"/>
  <c r="AN784" i="5"/>
  <c r="AO784" i="5"/>
  <c r="AP784" i="5"/>
  <c r="AR784" i="5"/>
  <c r="AT784" i="5" s="1"/>
  <c r="AU784" i="5"/>
  <c r="AV784" i="5" s="1"/>
  <c r="AW784" i="5"/>
  <c r="AX784" i="5" s="1"/>
  <c r="AH785" i="5"/>
  <c r="AY785" i="5" s="1"/>
  <c r="AN785" i="5"/>
  <c r="AO785" i="5"/>
  <c r="AP785" i="5"/>
  <c r="AR785" i="5"/>
  <c r="AS785" i="5" s="1"/>
  <c r="AU785" i="5"/>
  <c r="AV785" i="5" s="1"/>
  <c r="AW785" i="5"/>
  <c r="AX785" i="5" s="1"/>
  <c r="AH786" i="5"/>
  <c r="AN786" i="5"/>
  <c r="AO786" i="5"/>
  <c r="AP786" i="5"/>
  <c r="AH787" i="5"/>
  <c r="AN787" i="5"/>
  <c r="AO787" i="5"/>
  <c r="AP787" i="5"/>
  <c r="AJ788" i="5"/>
  <c r="AK788" i="5"/>
  <c r="AL788" i="5"/>
  <c r="AN788" i="5"/>
  <c r="AO788" i="5"/>
  <c r="AP788" i="5"/>
  <c r="AR788" i="5"/>
  <c r="AS788" i="5" s="1"/>
  <c r="AU788" i="5"/>
  <c r="AV788" i="5" s="1"/>
  <c r="AW788" i="5"/>
  <c r="AX788" i="5" s="1"/>
  <c r="AH789" i="5"/>
  <c r="AY789" i="5" s="1"/>
  <c r="AN789" i="5"/>
  <c r="AO789" i="5"/>
  <c r="AP789" i="5"/>
  <c r="AR789" i="5"/>
  <c r="AU789" i="5"/>
  <c r="AV789" i="5" s="1"/>
  <c r="AW789" i="5"/>
  <c r="AX789" i="5" s="1"/>
  <c r="AH790" i="5"/>
  <c r="AN790" i="5"/>
  <c r="AO790" i="5"/>
  <c r="AP790" i="5"/>
  <c r="AR790" i="5"/>
  <c r="AU790" i="5"/>
  <c r="AV790" i="5" s="1"/>
  <c r="AW790" i="5"/>
  <c r="AX790" i="5" s="1"/>
  <c r="AH791" i="5"/>
  <c r="AL791" i="5" s="1"/>
  <c r="AN791" i="5"/>
  <c r="AO791" i="5"/>
  <c r="AP791" i="5"/>
  <c r="AR791" i="5"/>
  <c r="AT791" i="5" s="1"/>
  <c r="AU791" i="5"/>
  <c r="AV791" i="5" s="1"/>
  <c r="AW791" i="5"/>
  <c r="AX791" i="5" s="1"/>
  <c r="AH792" i="5"/>
  <c r="AZ792" i="5" s="1"/>
  <c r="AN792" i="5"/>
  <c r="AO792" i="5"/>
  <c r="AP792" i="5"/>
  <c r="AR792" i="5"/>
  <c r="AU792" i="5"/>
  <c r="AV792" i="5" s="1"/>
  <c r="AW792" i="5"/>
  <c r="AX792" i="5" s="1"/>
  <c r="AH793" i="5"/>
  <c r="AN793" i="5"/>
  <c r="AO793" i="5"/>
  <c r="AP793" i="5"/>
  <c r="AH794" i="5"/>
  <c r="AJ794" i="5" s="1"/>
  <c r="AN794" i="5"/>
  <c r="AO794" i="5"/>
  <c r="AP794" i="5"/>
  <c r="AJ795" i="5"/>
  <c r="AK795" i="5"/>
  <c r="AL795" i="5"/>
  <c r="AN795" i="5"/>
  <c r="AO795" i="5"/>
  <c r="AP795" i="5"/>
  <c r="AR795" i="5"/>
  <c r="AS795" i="5" s="1"/>
  <c r="AU795" i="5"/>
  <c r="AV795" i="5" s="1"/>
  <c r="AW795" i="5"/>
  <c r="AX795" i="5" s="1"/>
  <c r="AH796" i="5"/>
  <c r="AJ796" i="5" s="1"/>
  <c r="AN796" i="5"/>
  <c r="AO796" i="5"/>
  <c r="AP796" i="5"/>
  <c r="AR796" i="5"/>
  <c r="AU796" i="5"/>
  <c r="AV796" i="5" s="1"/>
  <c r="AW796" i="5"/>
  <c r="AX796" i="5" s="1"/>
  <c r="AH797" i="5"/>
  <c r="AN797" i="5"/>
  <c r="AO797" i="5"/>
  <c r="AP797" i="5"/>
  <c r="AR797" i="5"/>
  <c r="AT797" i="5" s="1"/>
  <c r="AU797" i="5"/>
  <c r="AV797" i="5" s="1"/>
  <c r="AW797" i="5"/>
  <c r="AX797" i="5" s="1"/>
  <c r="AH798" i="5"/>
  <c r="AN798" i="5"/>
  <c r="AO798" i="5"/>
  <c r="AP798" i="5"/>
  <c r="AR798" i="5"/>
  <c r="AU798" i="5"/>
  <c r="AV798" i="5" s="1"/>
  <c r="AW798" i="5"/>
  <c r="AX798" i="5" s="1"/>
  <c r="AH799" i="5"/>
  <c r="AK799" i="5" s="1"/>
  <c r="AN799" i="5"/>
  <c r="AO799" i="5"/>
  <c r="AP799" i="5"/>
  <c r="AR799" i="5"/>
  <c r="AU799" i="5"/>
  <c r="AV799" i="5" s="1"/>
  <c r="AW799" i="5"/>
  <c r="AX799" i="5" s="1"/>
  <c r="AH800" i="5"/>
  <c r="AW800" i="5" s="1"/>
  <c r="AX800" i="5" s="1"/>
  <c r="AN800" i="5"/>
  <c r="AO800" i="5"/>
  <c r="AP800" i="5"/>
  <c r="AH801" i="5"/>
  <c r="AN801" i="5"/>
  <c r="AO801" i="5"/>
  <c r="AP801" i="5"/>
  <c r="AJ802" i="5"/>
  <c r="AK802" i="5"/>
  <c r="AL802" i="5"/>
  <c r="AN802" i="5"/>
  <c r="AO802" i="5"/>
  <c r="AP802" i="5"/>
  <c r="AR802" i="5"/>
  <c r="AU802" i="5"/>
  <c r="AV802" i="5" s="1"/>
  <c r="AW802" i="5"/>
  <c r="AX802" i="5" s="1"/>
  <c r="AH803" i="5"/>
  <c r="AL803" i="5" s="1"/>
  <c r="AN803" i="5"/>
  <c r="AO803" i="5"/>
  <c r="AP803" i="5"/>
  <c r="AR803" i="5"/>
  <c r="AS803" i="5" s="1"/>
  <c r="AU803" i="5"/>
  <c r="AV803" i="5" s="1"/>
  <c r="AW803" i="5"/>
  <c r="AX803" i="5" s="1"/>
  <c r="AH804" i="5"/>
  <c r="AN804" i="5"/>
  <c r="AO804" i="5"/>
  <c r="AP804" i="5"/>
  <c r="AR804" i="5"/>
  <c r="AT804" i="5" s="1"/>
  <c r="AU804" i="5"/>
  <c r="AV804" i="5" s="1"/>
  <c r="AW804" i="5"/>
  <c r="AX804" i="5" s="1"/>
  <c r="AH805" i="5"/>
  <c r="AZ805" i="5" s="1"/>
  <c r="AN805" i="5"/>
  <c r="AO805" i="5"/>
  <c r="AP805" i="5"/>
  <c r="AR805" i="5"/>
  <c r="AU805" i="5"/>
  <c r="AV805" i="5" s="1"/>
  <c r="AW805" i="5"/>
  <c r="AX805" i="5" s="1"/>
  <c r="AH806" i="5"/>
  <c r="AN806" i="5"/>
  <c r="AO806" i="5"/>
  <c r="AP806" i="5"/>
  <c r="AR806" i="5"/>
  <c r="AU806" i="5"/>
  <c r="AV806" i="5" s="1"/>
  <c r="AW806" i="5"/>
  <c r="AX806" i="5" s="1"/>
  <c r="AH807" i="5"/>
  <c r="AL807" i="5" s="1"/>
  <c r="AN807" i="5"/>
  <c r="AO807" i="5"/>
  <c r="AP807" i="5"/>
  <c r="AH808" i="5"/>
  <c r="AI809" i="5" s="1"/>
  <c r="AN808" i="5"/>
  <c r="AO808" i="5"/>
  <c r="AP808" i="5"/>
  <c r="AJ809" i="5"/>
  <c r="AK809" i="5"/>
  <c r="AL809" i="5"/>
  <c r="AN809" i="5"/>
  <c r="AO809" i="5"/>
  <c r="AP809" i="5"/>
  <c r="AR809" i="5"/>
  <c r="AT809" i="5" s="1"/>
  <c r="AU809" i="5"/>
  <c r="AV809" i="5" s="1"/>
  <c r="AW809" i="5"/>
  <c r="AX809" i="5" s="1"/>
  <c r="AH810" i="5"/>
  <c r="AN810" i="5"/>
  <c r="AO810" i="5"/>
  <c r="AP810" i="5"/>
  <c r="AR810" i="5"/>
  <c r="AU810" i="5"/>
  <c r="AV810" i="5" s="1"/>
  <c r="AW810" i="5"/>
  <c r="AX810" i="5" s="1"/>
  <c r="AH811" i="5"/>
  <c r="AN811" i="5"/>
  <c r="AO811" i="5"/>
  <c r="AP811" i="5"/>
  <c r="AR811" i="5"/>
  <c r="AT811" i="5" s="1"/>
  <c r="AU811" i="5"/>
  <c r="AV811" i="5" s="1"/>
  <c r="AW811" i="5"/>
  <c r="AX811" i="5" s="1"/>
  <c r="AH812" i="5"/>
  <c r="AJ812" i="5" s="1"/>
  <c r="AN812" i="5"/>
  <c r="AO812" i="5"/>
  <c r="AP812" i="5"/>
  <c r="AR812" i="5"/>
  <c r="AS812" i="5" s="1"/>
  <c r="AU812" i="5"/>
  <c r="AV812" i="5" s="1"/>
  <c r="AW812" i="5"/>
  <c r="AX812" i="5" s="1"/>
  <c r="AH813" i="5"/>
  <c r="AY813" i="5" s="1"/>
  <c r="AN813" i="5"/>
  <c r="AO813" i="5"/>
  <c r="AP813" i="5"/>
  <c r="AR813" i="5"/>
  <c r="AT813" i="5" s="1"/>
  <c r="AU813" i="5"/>
  <c r="AV813" i="5" s="1"/>
  <c r="AW813" i="5"/>
  <c r="AX813" i="5" s="1"/>
  <c r="AH814" i="5"/>
  <c r="AN814" i="5"/>
  <c r="AO814" i="5"/>
  <c r="AP814" i="5"/>
  <c r="AH815" i="5"/>
  <c r="AW815" i="5" s="1"/>
  <c r="AX815" i="5" s="1"/>
  <c r="AN815" i="5"/>
  <c r="AO815" i="5"/>
  <c r="AP815" i="5"/>
  <c r="AJ816" i="5"/>
  <c r="AK816" i="5"/>
  <c r="AL816" i="5"/>
  <c r="AN816" i="5"/>
  <c r="AO816" i="5"/>
  <c r="AP816" i="5"/>
  <c r="AR816" i="5"/>
  <c r="AT816" i="5" s="1"/>
  <c r="AU816" i="5"/>
  <c r="AV816" i="5" s="1"/>
  <c r="AW816" i="5"/>
  <c r="AX816" i="5" s="1"/>
  <c r="AH817" i="5"/>
  <c r="AJ817" i="5" s="1"/>
  <c r="AN817" i="5"/>
  <c r="AO817" i="5"/>
  <c r="AP817" i="5"/>
  <c r="AR817" i="5"/>
  <c r="AU817" i="5"/>
  <c r="AV817" i="5" s="1"/>
  <c r="AW817" i="5"/>
  <c r="AX817" i="5" s="1"/>
  <c r="AH818" i="5"/>
  <c r="AN818" i="5"/>
  <c r="AO818" i="5"/>
  <c r="AP818" i="5"/>
  <c r="AR818" i="5"/>
  <c r="AU818" i="5"/>
  <c r="AV818" i="5" s="1"/>
  <c r="AW818" i="5"/>
  <c r="AX818" i="5" s="1"/>
  <c r="AH819" i="5"/>
  <c r="AL819" i="5" s="1"/>
  <c r="AN819" i="5"/>
  <c r="AO819" i="5"/>
  <c r="AP819" i="5"/>
  <c r="AR819" i="5"/>
  <c r="AT819" i="5" s="1"/>
  <c r="AU819" i="5"/>
  <c r="AV819" i="5" s="1"/>
  <c r="AW819" i="5"/>
  <c r="AX819" i="5" s="1"/>
  <c r="AH820" i="5"/>
  <c r="AZ820" i="5" s="1"/>
  <c r="AN820" i="5"/>
  <c r="AO820" i="5"/>
  <c r="AP820" i="5"/>
  <c r="AR820" i="5"/>
  <c r="AS820" i="5" s="1"/>
  <c r="AU820" i="5"/>
  <c r="AV820" i="5" s="1"/>
  <c r="AW820" i="5"/>
  <c r="AX820" i="5" s="1"/>
  <c r="AH821" i="5"/>
  <c r="AZ821" i="5" s="1"/>
  <c r="AN821" i="5"/>
  <c r="AO821" i="5"/>
  <c r="AP821" i="5"/>
  <c r="AH822" i="5"/>
  <c r="AL822" i="5" s="1"/>
  <c r="AN822" i="5"/>
  <c r="AO822" i="5"/>
  <c r="AP822" i="5"/>
  <c r="AJ823" i="5"/>
  <c r="AK823" i="5"/>
  <c r="AL823" i="5"/>
  <c r="AN823" i="5"/>
  <c r="AO823" i="5"/>
  <c r="AP823" i="5"/>
  <c r="AR823" i="5"/>
  <c r="AU823" i="5"/>
  <c r="AV823" i="5" s="1"/>
  <c r="AW823" i="5"/>
  <c r="AX823" i="5" s="1"/>
  <c r="AH824" i="5"/>
  <c r="AZ824" i="5" s="1"/>
  <c r="AN824" i="5"/>
  <c r="AO824" i="5"/>
  <c r="AP824" i="5"/>
  <c r="AR824" i="5"/>
  <c r="AT824" i="5" s="1"/>
  <c r="AU824" i="5"/>
  <c r="AV824" i="5" s="1"/>
  <c r="AW824" i="5"/>
  <c r="AX824" i="5" s="1"/>
  <c r="AH825" i="5"/>
  <c r="AJ825" i="5" s="1"/>
  <c r="AN825" i="5"/>
  <c r="AO825" i="5"/>
  <c r="AP825" i="5"/>
  <c r="AR825" i="5"/>
  <c r="AT825" i="5" s="1"/>
  <c r="AU825" i="5"/>
  <c r="AV825" i="5" s="1"/>
  <c r="AW825" i="5"/>
  <c r="AX825" i="5" s="1"/>
  <c r="AH826" i="5"/>
  <c r="AN826" i="5"/>
  <c r="AO826" i="5"/>
  <c r="AP826" i="5"/>
  <c r="AR826" i="5"/>
  <c r="AT826" i="5" s="1"/>
  <c r="AU826" i="5"/>
  <c r="AV826" i="5" s="1"/>
  <c r="AW826" i="5"/>
  <c r="AX826" i="5" s="1"/>
  <c r="AH827" i="5"/>
  <c r="AN827" i="5"/>
  <c r="AO827" i="5"/>
  <c r="AP827" i="5"/>
  <c r="AR827" i="5"/>
  <c r="AS827" i="5" s="1"/>
  <c r="AU827" i="5"/>
  <c r="AV827" i="5" s="1"/>
  <c r="AW827" i="5"/>
  <c r="AX827" i="5" s="1"/>
  <c r="AH828" i="5"/>
  <c r="AY828" i="5" s="1"/>
  <c r="AN828" i="5"/>
  <c r="AO828" i="5"/>
  <c r="AP828" i="5"/>
  <c r="AH829" i="5"/>
  <c r="AR829" i="5" s="1"/>
  <c r="AT829" i="5" s="1"/>
  <c r="AN829" i="5"/>
  <c r="AO829" i="5"/>
  <c r="AP829" i="5"/>
  <c r="AJ830" i="5"/>
  <c r="AK830" i="5"/>
  <c r="AL830" i="5"/>
  <c r="AN830" i="5"/>
  <c r="AO830" i="5"/>
  <c r="AP830" i="5"/>
  <c r="AR830" i="5"/>
  <c r="AU830" i="5"/>
  <c r="AV830" i="5" s="1"/>
  <c r="AW830" i="5"/>
  <c r="AX830" i="5" s="1"/>
  <c r="AH831" i="5"/>
  <c r="AJ831" i="5" s="1"/>
  <c r="AN831" i="5"/>
  <c r="AO831" i="5"/>
  <c r="AP831" i="5"/>
  <c r="AR831" i="5"/>
  <c r="AT831" i="5" s="1"/>
  <c r="AU831" i="5"/>
  <c r="AV831" i="5" s="1"/>
  <c r="AW831" i="5"/>
  <c r="AX831" i="5" s="1"/>
  <c r="AH832" i="5"/>
  <c r="AZ832" i="5" s="1"/>
  <c r="AN832" i="5"/>
  <c r="AO832" i="5"/>
  <c r="AP832" i="5"/>
  <c r="AR832" i="5"/>
  <c r="AS832" i="5" s="1"/>
  <c r="AU832" i="5"/>
  <c r="AV832" i="5" s="1"/>
  <c r="AW832" i="5"/>
  <c r="AX832" i="5" s="1"/>
  <c r="AH833" i="5"/>
  <c r="AL833" i="5" s="1"/>
  <c r="AN833" i="5"/>
  <c r="AO833" i="5"/>
  <c r="AP833" i="5"/>
  <c r="AR833" i="5"/>
  <c r="AU833" i="5"/>
  <c r="AV833" i="5" s="1"/>
  <c r="AW833" i="5"/>
  <c r="AX833" i="5" s="1"/>
  <c r="AH834" i="5"/>
  <c r="AN834" i="5"/>
  <c r="AO834" i="5"/>
  <c r="AP834" i="5"/>
  <c r="AR834" i="5"/>
  <c r="AU834" i="5"/>
  <c r="AV834" i="5" s="1"/>
  <c r="AW834" i="5"/>
  <c r="AX834" i="5" s="1"/>
  <c r="AH835" i="5"/>
  <c r="AJ835" i="5" s="1"/>
  <c r="AN835" i="5"/>
  <c r="AO835" i="5"/>
  <c r="AP835" i="5"/>
  <c r="AH836" i="5"/>
  <c r="AJ836" i="5" s="1"/>
  <c r="AN836" i="5"/>
  <c r="AO836" i="5"/>
  <c r="AP836" i="5"/>
  <c r="AJ837" i="5"/>
  <c r="AK837" i="5"/>
  <c r="AL837" i="5"/>
  <c r="AN837" i="5"/>
  <c r="AO837" i="5"/>
  <c r="AP837" i="5"/>
  <c r="AR837" i="5"/>
  <c r="AU837" i="5"/>
  <c r="AV837" i="5" s="1"/>
  <c r="AW837" i="5"/>
  <c r="AX837" i="5" s="1"/>
  <c r="AH838" i="5"/>
  <c r="AN838" i="5"/>
  <c r="AO838" i="5"/>
  <c r="AP838" i="5"/>
  <c r="AR838" i="5"/>
  <c r="AT838" i="5" s="1"/>
  <c r="AU838" i="5"/>
  <c r="AV838" i="5" s="1"/>
  <c r="AW838" i="5"/>
  <c r="AX838" i="5" s="1"/>
  <c r="AH839" i="5"/>
  <c r="AN839" i="5"/>
  <c r="AO839" i="5"/>
  <c r="AP839" i="5"/>
  <c r="AR839" i="5"/>
  <c r="AS839" i="5" s="1"/>
  <c r="AU839" i="5"/>
  <c r="AV839" i="5" s="1"/>
  <c r="AW839" i="5"/>
  <c r="AX839" i="5" s="1"/>
  <c r="AH840" i="5"/>
  <c r="AN840" i="5"/>
  <c r="AO840" i="5"/>
  <c r="AP840" i="5"/>
  <c r="AR840" i="5"/>
  <c r="AT840" i="5" s="1"/>
  <c r="AU840" i="5"/>
  <c r="AV840" i="5" s="1"/>
  <c r="AW840" i="5"/>
  <c r="AX840" i="5" s="1"/>
  <c r="AH841" i="5"/>
  <c r="AZ841" i="5" s="1"/>
  <c r="AN841" i="5"/>
  <c r="AO841" i="5"/>
  <c r="AP841" i="5"/>
  <c r="AR841" i="5"/>
  <c r="AS841" i="5" s="1"/>
  <c r="AU841" i="5"/>
  <c r="AV841" i="5" s="1"/>
  <c r="AW841" i="5"/>
  <c r="AX841" i="5" s="1"/>
  <c r="AH842" i="5"/>
  <c r="AN842" i="5"/>
  <c r="AO842" i="5"/>
  <c r="AP842" i="5"/>
  <c r="AH843" i="5"/>
  <c r="AN843" i="5"/>
  <c r="AO843" i="5"/>
  <c r="AP843" i="5"/>
  <c r="AJ844" i="5"/>
  <c r="AK844" i="5"/>
  <c r="AL844" i="5"/>
  <c r="AN844" i="5"/>
  <c r="AO844" i="5"/>
  <c r="AP844" i="5"/>
  <c r="AR844" i="5"/>
  <c r="AS844" i="5" s="1"/>
  <c r="AU844" i="5"/>
  <c r="AV844" i="5" s="1"/>
  <c r="AW844" i="5"/>
  <c r="AX844" i="5" s="1"/>
  <c r="AH845" i="5"/>
  <c r="AN845" i="5"/>
  <c r="AO845" i="5"/>
  <c r="AP845" i="5"/>
  <c r="AR845" i="5"/>
  <c r="AU845" i="5"/>
  <c r="AV845" i="5" s="1"/>
  <c r="AW845" i="5"/>
  <c r="AX845" i="5" s="1"/>
  <c r="AH846" i="5"/>
  <c r="AN846" i="5"/>
  <c r="AO846" i="5"/>
  <c r="AP846" i="5"/>
  <c r="AR846" i="5"/>
  <c r="AU846" i="5"/>
  <c r="AV846" i="5" s="1"/>
  <c r="AW846" i="5"/>
  <c r="AX846" i="5" s="1"/>
  <c r="AH847" i="5"/>
  <c r="AN847" i="5"/>
  <c r="AO847" i="5"/>
  <c r="AP847" i="5"/>
  <c r="AR847" i="5"/>
  <c r="AU847" i="5"/>
  <c r="AV847" i="5" s="1"/>
  <c r="AW847" i="5"/>
  <c r="AX847" i="5" s="1"/>
  <c r="AH848" i="5"/>
  <c r="AK848" i="5" s="1"/>
  <c r="AN848" i="5"/>
  <c r="AO848" i="5"/>
  <c r="AP848" i="5"/>
  <c r="AR848" i="5"/>
  <c r="AT848" i="5" s="1"/>
  <c r="AU848" i="5"/>
  <c r="AV848" i="5" s="1"/>
  <c r="AW848" i="5"/>
  <c r="AX848" i="5" s="1"/>
  <c r="AH849" i="5"/>
  <c r="AN849" i="5"/>
  <c r="AO849" i="5"/>
  <c r="AP849" i="5"/>
  <c r="AH850" i="5"/>
  <c r="AN850" i="5"/>
  <c r="AO850" i="5"/>
  <c r="AP850" i="5"/>
  <c r="AJ851" i="5"/>
  <c r="AK851" i="5"/>
  <c r="AL851" i="5"/>
  <c r="AN851" i="5"/>
  <c r="AO851" i="5"/>
  <c r="AP851" i="5"/>
  <c r="AR851" i="5"/>
  <c r="AU851" i="5"/>
  <c r="AV851" i="5" s="1"/>
  <c r="AW851" i="5"/>
  <c r="AX851" i="5" s="1"/>
  <c r="AH852" i="5"/>
  <c r="AN852" i="5"/>
  <c r="AO852" i="5"/>
  <c r="AP852" i="5"/>
  <c r="AR852" i="5"/>
  <c r="AS852" i="5" s="1"/>
  <c r="AU852" i="5"/>
  <c r="AV852" i="5" s="1"/>
  <c r="AW852" i="5"/>
  <c r="AX852" i="5" s="1"/>
  <c r="AH853" i="5"/>
  <c r="AN853" i="5"/>
  <c r="AO853" i="5"/>
  <c r="AP853" i="5"/>
  <c r="AR853" i="5"/>
  <c r="AU853" i="5"/>
  <c r="AV853" i="5" s="1"/>
  <c r="AW853" i="5"/>
  <c r="AX853" i="5" s="1"/>
  <c r="AH854" i="5"/>
  <c r="AN854" i="5"/>
  <c r="AO854" i="5"/>
  <c r="AP854" i="5"/>
  <c r="AR854" i="5"/>
  <c r="AU854" i="5"/>
  <c r="AV854" i="5" s="1"/>
  <c r="AW854" i="5"/>
  <c r="AX854" i="5" s="1"/>
  <c r="AH855" i="5"/>
  <c r="AY855" i="5" s="1"/>
  <c r="AH856" i="5"/>
  <c r="AW856" i="5" s="1"/>
  <c r="AX856" i="5" s="1"/>
  <c r="AN855" i="5"/>
  <c r="AO855" i="5"/>
  <c r="AP855" i="5"/>
  <c r="AR855" i="5"/>
  <c r="AU855" i="5"/>
  <c r="AV855" i="5" s="1"/>
  <c r="AW855" i="5"/>
  <c r="AX855" i="5" s="1"/>
  <c r="AN856" i="5"/>
  <c r="AO856" i="5"/>
  <c r="AP856" i="5"/>
  <c r="AH857" i="5"/>
  <c r="AJ857" i="5" s="1"/>
  <c r="AN857" i="5"/>
  <c r="AO857" i="5"/>
  <c r="AP857" i="5"/>
  <c r="AJ858" i="5"/>
  <c r="AK858" i="5"/>
  <c r="AL858" i="5"/>
  <c r="AN858" i="5"/>
  <c r="AO858" i="5"/>
  <c r="AP858" i="5"/>
  <c r="AR858" i="5"/>
  <c r="AT858" i="5" s="1"/>
  <c r="AU858" i="5"/>
  <c r="AV858" i="5" s="1"/>
  <c r="AW858" i="5"/>
  <c r="AX858" i="5" s="1"/>
  <c r="AH859" i="5"/>
  <c r="AK859" i="5" s="1"/>
  <c r="AN859" i="5"/>
  <c r="AO859" i="5"/>
  <c r="AP859" i="5"/>
  <c r="AR859" i="5"/>
  <c r="AT859" i="5" s="1"/>
  <c r="AU859" i="5"/>
  <c r="AV859" i="5" s="1"/>
  <c r="AW859" i="5"/>
  <c r="AX859" i="5" s="1"/>
  <c r="AH860" i="5"/>
  <c r="AY860" i="5" s="1"/>
  <c r="AN860" i="5"/>
  <c r="AO860" i="5"/>
  <c r="AP860" i="5"/>
  <c r="AR860" i="5"/>
  <c r="AS860" i="5" s="1"/>
  <c r="AU860" i="5"/>
  <c r="AV860" i="5" s="1"/>
  <c r="AW860" i="5"/>
  <c r="AX860" i="5" s="1"/>
  <c r="AH861" i="5"/>
  <c r="AZ861" i="5" s="1"/>
  <c r="AN861" i="5"/>
  <c r="AO861" i="5"/>
  <c r="AP861" i="5"/>
  <c r="AR861" i="5"/>
  <c r="AT861" i="5" s="1"/>
  <c r="AU861" i="5"/>
  <c r="AV861" i="5" s="1"/>
  <c r="AW861" i="5"/>
  <c r="AX861" i="5" s="1"/>
  <c r="AH862" i="5"/>
  <c r="AN862" i="5"/>
  <c r="AO862" i="5"/>
  <c r="AP862" i="5"/>
  <c r="AR862" i="5"/>
  <c r="AS862" i="5" s="1"/>
  <c r="AU862" i="5"/>
  <c r="AV862" i="5" s="1"/>
  <c r="AW862" i="5"/>
  <c r="AX862" i="5" s="1"/>
  <c r="AH863" i="5"/>
  <c r="AK863" i="5" s="1"/>
  <c r="AN863" i="5"/>
  <c r="AO863" i="5"/>
  <c r="AP863" i="5"/>
  <c r="AH864" i="5"/>
  <c r="AK864" i="5" s="1"/>
  <c r="AN864" i="5"/>
  <c r="AO864" i="5"/>
  <c r="AP864" i="5"/>
  <c r="AJ865" i="5"/>
  <c r="AK865" i="5"/>
  <c r="AL865" i="5"/>
  <c r="AN865" i="5"/>
  <c r="AO865" i="5"/>
  <c r="AP865" i="5"/>
  <c r="AR865" i="5"/>
  <c r="AU865" i="5"/>
  <c r="AV865" i="5" s="1"/>
  <c r="AW865" i="5"/>
  <c r="AX865" i="5" s="1"/>
  <c r="AH866" i="5"/>
  <c r="AN866" i="5"/>
  <c r="AO866" i="5"/>
  <c r="AP866" i="5"/>
  <c r="AR866" i="5"/>
  <c r="AT866" i="5" s="1"/>
  <c r="AU866" i="5"/>
  <c r="AV866" i="5" s="1"/>
  <c r="AW866" i="5"/>
  <c r="AX866" i="5" s="1"/>
  <c r="AH867" i="5"/>
  <c r="AN867" i="5"/>
  <c r="AO867" i="5"/>
  <c r="AP867" i="5"/>
  <c r="AR867" i="5"/>
  <c r="AS867" i="5" s="1"/>
  <c r="AU867" i="5"/>
  <c r="AV867" i="5" s="1"/>
  <c r="AW867" i="5"/>
  <c r="AX867" i="5" s="1"/>
  <c r="AH868" i="5"/>
  <c r="AN868" i="5"/>
  <c r="AO868" i="5"/>
  <c r="AP868" i="5"/>
  <c r="AR868" i="5"/>
  <c r="AU868" i="5"/>
  <c r="AV868" i="5" s="1"/>
  <c r="AW868" i="5"/>
  <c r="AX868" i="5" s="1"/>
  <c r="AH869" i="5"/>
  <c r="AY869" i="5" s="1"/>
  <c r="AN869" i="5"/>
  <c r="AO869" i="5"/>
  <c r="AP869" i="5"/>
  <c r="AR869" i="5"/>
  <c r="AU869" i="5"/>
  <c r="AV869" i="5" s="1"/>
  <c r="AW869" i="5"/>
  <c r="AX869" i="5" s="1"/>
  <c r="AH870" i="5"/>
  <c r="AN870" i="5"/>
  <c r="AO870" i="5"/>
  <c r="AP870" i="5"/>
  <c r="AH871" i="5"/>
  <c r="AJ871" i="5" s="1"/>
  <c r="AN871" i="5"/>
  <c r="AO871" i="5"/>
  <c r="AP871" i="5"/>
  <c r="AJ872" i="5"/>
  <c r="AK872" i="5"/>
  <c r="AL872" i="5"/>
  <c r="AN872" i="5"/>
  <c r="AO872" i="5"/>
  <c r="AP872" i="5"/>
  <c r="AR872" i="5"/>
  <c r="AS872" i="5" s="1"/>
  <c r="AU872" i="5"/>
  <c r="AV872" i="5" s="1"/>
  <c r="AW872" i="5"/>
  <c r="AX872" i="5" s="1"/>
  <c r="AH873" i="5"/>
  <c r="AZ873" i="5" s="1"/>
  <c r="AN873" i="5"/>
  <c r="AO873" i="5"/>
  <c r="AP873" i="5"/>
  <c r="AR873" i="5"/>
  <c r="AU873" i="5"/>
  <c r="AV873" i="5" s="1"/>
  <c r="AW873" i="5"/>
  <c r="AX873" i="5" s="1"/>
  <c r="AH874" i="5"/>
  <c r="AJ874" i="5" s="1"/>
  <c r="AN874" i="5"/>
  <c r="AO874" i="5"/>
  <c r="AP874" i="5"/>
  <c r="AR874" i="5"/>
  <c r="AS874" i="5" s="1"/>
  <c r="AU874" i="5"/>
  <c r="AV874" i="5" s="1"/>
  <c r="AW874" i="5"/>
  <c r="AX874" i="5" s="1"/>
  <c r="AH875" i="5"/>
  <c r="AJ875" i="5" s="1"/>
  <c r="AH876" i="5"/>
  <c r="AY876" i="5" s="1"/>
  <c r="AN875" i="5"/>
  <c r="AO875" i="5"/>
  <c r="AP875" i="5"/>
  <c r="AR875" i="5"/>
  <c r="AU875" i="5"/>
  <c r="AV875" i="5" s="1"/>
  <c r="AW875" i="5"/>
  <c r="AX875" i="5" s="1"/>
  <c r="AN876" i="5"/>
  <c r="AO876" i="5"/>
  <c r="AP876" i="5"/>
  <c r="AR876" i="5"/>
  <c r="AS876" i="5" s="1"/>
  <c r="AU876" i="5"/>
  <c r="AV876" i="5" s="1"/>
  <c r="AW876" i="5"/>
  <c r="AX876" i="5" s="1"/>
  <c r="AH877" i="5"/>
  <c r="AY877" i="5" s="1"/>
  <c r="AN877" i="5"/>
  <c r="AO877" i="5"/>
  <c r="AP877" i="5"/>
  <c r="AH878" i="5"/>
  <c r="AN878" i="5"/>
  <c r="AO878" i="5"/>
  <c r="AP878" i="5"/>
  <c r="AJ879" i="5"/>
  <c r="AK879" i="5"/>
  <c r="AL879" i="5"/>
  <c r="AN879" i="5"/>
  <c r="AO879" i="5"/>
  <c r="AP879" i="5"/>
  <c r="AR879" i="5"/>
  <c r="AU879" i="5"/>
  <c r="AV879" i="5" s="1"/>
  <c r="AW879" i="5"/>
  <c r="AX879" i="5" s="1"/>
  <c r="AH880" i="5"/>
  <c r="AK880" i="5" s="1"/>
  <c r="AN880" i="5"/>
  <c r="AO880" i="5"/>
  <c r="AP880" i="5"/>
  <c r="AR880" i="5"/>
  <c r="AU880" i="5"/>
  <c r="AV880" i="5" s="1"/>
  <c r="AW880" i="5"/>
  <c r="AX880" i="5" s="1"/>
  <c r="AH881" i="5"/>
  <c r="AY881" i="5" s="1"/>
  <c r="AN881" i="5"/>
  <c r="AO881" i="5"/>
  <c r="AP881" i="5"/>
  <c r="AR881" i="5"/>
  <c r="AU881" i="5"/>
  <c r="AV881" i="5" s="1"/>
  <c r="AW881" i="5"/>
  <c r="AX881" i="5" s="1"/>
  <c r="AH882" i="5"/>
  <c r="AL882" i="5" s="1"/>
  <c r="AN882" i="5"/>
  <c r="AO882" i="5"/>
  <c r="AP882" i="5"/>
  <c r="AR882" i="5"/>
  <c r="AU882" i="5"/>
  <c r="AV882" i="5" s="1"/>
  <c r="AW882" i="5"/>
  <c r="AX882" i="5" s="1"/>
  <c r="AH883" i="5"/>
  <c r="AH884" i="5"/>
  <c r="AY884" i="5" s="1"/>
  <c r="AN883" i="5"/>
  <c r="AO883" i="5"/>
  <c r="AP883" i="5"/>
  <c r="AR883" i="5"/>
  <c r="AU883" i="5"/>
  <c r="AV883" i="5" s="1"/>
  <c r="AW883" i="5"/>
  <c r="AX883" i="5" s="1"/>
  <c r="AN884" i="5"/>
  <c r="AO884" i="5"/>
  <c r="AP884" i="5"/>
  <c r="AH885" i="5"/>
  <c r="AZ885" i="5" s="1"/>
  <c r="AN885" i="5"/>
  <c r="AO885" i="5"/>
  <c r="AP885" i="5"/>
  <c r="AJ886" i="5"/>
  <c r="AK886" i="5"/>
  <c r="AL886" i="5"/>
  <c r="AN886" i="5"/>
  <c r="AO886" i="5"/>
  <c r="AP886" i="5"/>
  <c r="AR886" i="5"/>
  <c r="AU886" i="5"/>
  <c r="AV886" i="5" s="1"/>
  <c r="AW886" i="5"/>
  <c r="AX886" i="5" s="1"/>
  <c r="AH887" i="5"/>
  <c r="AI887" i="5" s="1"/>
  <c r="AN887" i="5"/>
  <c r="AO887" i="5"/>
  <c r="AP887" i="5"/>
  <c r="AR887" i="5"/>
  <c r="AT887" i="5" s="1"/>
  <c r="AU887" i="5"/>
  <c r="AV887" i="5" s="1"/>
  <c r="AW887" i="5"/>
  <c r="AX887" i="5" s="1"/>
  <c r="AH888" i="5"/>
  <c r="AY888" i="5" s="1"/>
  <c r="AN888" i="5"/>
  <c r="AO888" i="5"/>
  <c r="AP888" i="5"/>
  <c r="AR888" i="5"/>
  <c r="AS888" i="5" s="1"/>
  <c r="AU888" i="5"/>
  <c r="AV888" i="5" s="1"/>
  <c r="AW888" i="5"/>
  <c r="AX888" i="5" s="1"/>
  <c r="AH889" i="5"/>
  <c r="AN889" i="5"/>
  <c r="AO889" i="5"/>
  <c r="AP889" i="5"/>
  <c r="AR889" i="5"/>
  <c r="AT889" i="5" s="1"/>
  <c r="AU889" i="5"/>
  <c r="AV889" i="5" s="1"/>
  <c r="AW889" i="5"/>
  <c r="AX889" i="5" s="1"/>
  <c r="AH890" i="5"/>
  <c r="AL890" i="5" s="1"/>
  <c r="AN890" i="5"/>
  <c r="AO890" i="5"/>
  <c r="AP890" i="5"/>
  <c r="AR890" i="5"/>
  <c r="AS890" i="5" s="1"/>
  <c r="AU890" i="5"/>
  <c r="AV890" i="5" s="1"/>
  <c r="AW890" i="5"/>
  <c r="AX890" i="5" s="1"/>
  <c r="AH891" i="5"/>
  <c r="AU891" i="5" s="1"/>
  <c r="AV891" i="5" s="1"/>
  <c r="AN891" i="5"/>
  <c r="AO891" i="5"/>
  <c r="AP891" i="5"/>
  <c r="AH892" i="5"/>
  <c r="AN892" i="5"/>
  <c r="AO892" i="5"/>
  <c r="AP892" i="5"/>
  <c r="AJ893" i="5"/>
  <c r="AK893" i="5"/>
  <c r="AL893" i="5"/>
  <c r="AN893" i="5"/>
  <c r="AO893" i="5"/>
  <c r="AP893" i="5"/>
  <c r="AR893" i="5"/>
  <c r="AS893" i="5" s="1"/>
  <c r="AU893" i="5"/>
  <c r="AV893" i="5" s="1"/>
  <c r="AW893" i="5"/>
  <c r="AX893" i="5" s="1"/>
  <c r="AH894" i="5"/>
  <c r="AN894" i="5"/>
  <c r="AO894" i="5"/>
  <c r="AP894" i="5"/>
  <c r="AR894" i="5"/>
  <c r="AU894" i="5"/>
  <c r="AV894" i="5" s="1"/>
  <c r="AW894" i="5"/>
  <c r="AX894" i="5" s="1"/>
  <c r="AH895" i="5"/>
  <c r="AN895" i="5"/>
  <c r="AO895" i="5"/>
  <c r="AP895" i="5"/>
  <c r="AR895" i="5"/>
  <c r="AU895" i="5"/>
  <c r="AV895" i="5" s="1"/>
  <c r="AW895" i="5"/>
  <c r="AX895" i="5" s="1"/>
  <c r="AH896" i="5"/>
  <c r="AK896" i="5" s="1"/>
  <c r="AN896" i="5"/>
  <c r="AO896" i="5"/>
  <c r="AP896" i="5"/>
  <c r="AR896" i="5"/>
  <c r="AS896" i="5" s="1"/>
  <c r="AU896" i="5"/>
  <c r="AV896" i="5" s="1"/>
  <c r="AW896" i="5"/>
  <c r="AX896" i="5" s="1"/>
  <c r="AH897" i="5"/>
  <c r="AZ897" i="5" s="1"/>
  <c r="AN897" i="5"/>
  <c r="AO897" i="5"/>
  <c r="AP897" i="5"/>
  <c r="AR897" i="5"/>
  <c r="AU897" i="5"/>
  <c r="AV897" i="5" s="1"/>
  <c r="AW897" i="5"/>
  <c r="AX897" i="5" s="1"/>
  <c r="AH898" i="5"/>
  <c r="AU898" i="5" s="1"/>
  <c r="AV898" i="5" s="1"/>
  <c r="AN898" i="5"/>
  <c r="AO898" i="5"/>
  <c r="AP898" i="5"/>
  <c r="AH899" i="5"/>
  <c r="AN899" i="5"/>
  <c r="AO899" i="5"/>
  <c r="AP899" i="5"/>
  <c r="AJ900" i="5"/>
  <c r="AK900" i="5"/>
  <c r="AL900" i="5"/>
  <c r="AN900" i="5"/>
  <c r="AO900" i="5"/>
  <c r="AP900" i="5"/>
  <c r="AR900" i="5"/>
  <c r="AS900" i="5" s="1"/>
  <c r="AU900" i="5"/>
  <c r="AV900" i="5" s="1"/>
  <c r="AW900" i="5"/>
  <c r="AX900" i="5" s="1"/>
  <c r="AH901" i="5"/>
  <c r="AN901" i="5"/>
  <c r="AO901" i="5"/>
  <c r="AP901" i="5"/>
  <c r="AR901" i="5"/>
  <c r="AU901" i="5"/>
  <c r="AV901" i="5" s="1"/>
  <c r="AW901" i="5"/>
  <c r="AX901" i="5" s="1"/>
  <c r="AH902" i="5"/>
  <c r="AN902" i="5"/>
  <c r="AO902" i="5"/>
  <c r="AP902" i="5"/>
  <c r="AR902" i="5"/>
  <c r="AU902" i="5"/>
  <c r="AV902" i="5" s="1"/>
  <c r="AW902" i="5"/>
  <c r="AX902" i="5" s="1"/>
  <c r="AH903" i="5"/>
  <c r="AN903" i="5"/>
  <c r="AO903" i="5"/>
  <c r="AP903" i="5"/>
  <c r="AR903" i="5"/>
  <c r="AT903" i="5" s="1"/>
  <c r="AU903" i="5"/>
  <c r="AV903" i="5" s="1"/>
  <c r="AW903" i="5"/>
  <c r="AX903" i="5" s="1"/>
  <c r="AH904" i="5"/>
  <c r="AJ904" i="5" s="1"/>
  <c r="AN904" i="5"/>
  <c r="AO904" i="5"/>
  <c r="AP904" i="5"/>
  <c r="AR904" i="5"/>
  <c r="AT904" i="5" s="1"/>
  <c r="AU904" i="5"/>
  <c r="AV904" i="5" s="1"/>
  <c r="AW904" i="5"/>
  <c r="AX904" i="5" s="1"/>
  <c r="AH905" i="5"/>
  <c r="AN905" i="5"/>
  <c r="AO905" i="5"/>
  <c r="AP905" i="5"/>
  <c r="AH906" i="5"/>
  <c r="AN906" i="5"/>
  <c r="AO906" i="5"/>
  <c r="AP906" i="5"/>
  <c r="AJ907" i="5"/>
  <c r="AK907" i="5"/>
  <c r="AL907" i="5"/>
  <c r="AN907" i="5"/>
  <c r="AO907" i="5"/>
  <c r="AP907" i="5"/>
  <c r="AR907" i="5"/>
  <c r="AS907" i="5" s="1"/>
  <c r="AU907" i="5"/>
  <c r="AV907" i="5" s="1"/>
  <c r="AW907" i="5"/>
  <c r="AX907" i="5" s="1"/>
  <c r="AH908" i="5"/>
  <c r="AY908" i="5" s="1"/>
  <c r="AN908" i="5"/>
  <c r="AO908" i="5"/>
  <c r="AP908" i="5"/>
  <c r="AR908" i="5"/>
  <c r="AT908" i="5" s="1"/>
  <c r="AU908" i="5"/>
  <c r="AV908" i="5" s="1"/>
  <c r="AW908" i="5"/>
  <c r="AX908" i="5" s="1"/>
  <c r="AH909" i="5"/>
  <c r="AZ909" i="5" s="1"/>
  <c r="AN909" i="5"/>
  <c r="AO909" i="5"/>
  <c r="AP909" i="5"/>
  <c r="AR909" i="5"/>
  <c r="AS909" i="5" s="1"/>
  <c r="AU909" i="5"/>
  <c r="AV909" i="5" s="1"/>
  <c r="AW909" i="5"/>
  <c r="AX909" i="5" s="1"/>
  <c r="AH910" i="5"/>
  <c r="AL910" i="5" s="1"/>
  <c r="AN910" i="5"/>
  <c r="AO910" i="5"/>
  <c r="AP910" i="5"/>
  <c r="AR910" i="5"/>
  <c r="AT910" i="5" s="1"/>
  <c r="AU910" i="5"/>
  <c r="AV910" i="5" s="1"/>
  <c r="AW910" i="5"/>
  <c r="AX910" i="5" s="1"/>
  <c r="AH911" i="5"/>
  <c r="AK911" i="5" s="1"/>
  <c r="AN911" i="5"/>
  <c r="AO911" i="5"/>
  <c r="AP911" i="5"/>
  <c r="AR911" i="5"/>
  <c r="AS911" i="5" s="1"/>
  <c r="AU911" i="5"/>
  <c r="AV911" i="5" s="1"/>
  <c r="AW911" i="5"/>
  <c r="AX911" i="5" s="1"/>
  <c r="AH912" i="5"/>
  <c r="AN912" i="5"/>
  <c r="AO912" i="5"/>
  <c r="AP912" i="5"/>
  <c r="AH913" i="5"/>
  <c r="AW913" i="5" s="1"/>
  <c r="AX913" i="5" s="1"/>
  <c r="AN913" i="5"/>
  <c r="AO913" i="5"/>
  <c r="AP913" i="5"/>
  <c r="AJ914" i="5"/>
  <c r="AK914" i="5"/>
  <c r="AL914" i="5"/>
  <c r="AN914" i="5"/>
  <c r="AO914" i="5"/>
  <c r="AP914" i="5"/>
  <c r="AR914" i="5"/>
  <c r="AU914" i="5"/>
  <c r="AV914" i="5" s="1"/>
  <c r="AW914" i="5"/>
  <c r="AX914" i="5" s="1"/>
  <c r="AH915" i="5"/>
  <c r="AZ915" i="5" s="1"/>
  <c r="AN915" i="5"/>
  <c r="AO915" i="5"/>
  <c r="AP915" i="5"/>
  <c r="AR915" i="5"/>
  <c r="AU915" i="5"/>
  <c r="AV915" i="5" s="1"/>
  <c r="AW915" i="5"/>
  <c r="AX915" i="5" s="1"/>
  <c r="AH916" i="5"/>
  <c r="AN916" i="5"/>
  <c r="AO916" i="5"/>
  <c r="AP916" i="5"/>
  <c r="AR916" i="5"/>
  <c r="AU916" i="5"/>
  <c r="AV916" i="5" s="1"/>
  <c r="AW916" i="5"/>
  <c r="AX916" i="5" s="1"/>
  <c r="AH917" i="5"/>
  <c r="AL917" i="5" s="1"/>
  <c r="AN917" i="5"/>
  <c r="AO917" i="5"/>
  <c r="AP917" i="5"/>
  <c r="AR917" i="5"/>
  <c r="AU917" i="5"/>
  <c r="AV917" i="5" s="1"/>
  <c r="AW917" i="5"/>
  <c r="AX917" i="5" s="1"/>
  <c r="AH918" i="5"/>
  <c r="AZ918" i="5" s="1"/>
  <c r="AN918" i="5"/>
  <c r="AO918" i="5"/>
  <c r="AP918" i="5"/>
  <c r="AR918" i="5"/>
  <c r="AU918" i="5"/>
  <c r="AV918" i="5" s="1"/>
  <c r="AW918" i="5"/>
  <c r="AX918" i="5" s="1"/>
  <c r="AH919" i="5"/>
  <c r="AN919" i="5"/>
  <c r="AO919" i="5"/>
  <c r="AP919" i="5"/>
  <c r="AH920" i="5"/>
  <c r="AN920" i="5"/>
  <c r="AO920" i="5"/>
  <c r="AP920" i="5"/>
  <c r="AJ921" i="5"/>
  <c r="AK921" i="5"/>
  <c r="AL921" i="5"/>
  <c r="AN921" i="5"/>
  <c r="AO921" i="5"/>
  <c r="AP921" i="5"/>
  <c r="AR921" i="5"/>
  <c r="AU921" i="5"/>
  <c r="AV921" i="5" s="1"/>
  <c r="AW921" i="5"/>
  <c r="AX921" i="5" s="1"/>
  <c r="AH922" i="5"/>
  <c r="AN922" i="5"/>
  <c r="AO922" i="5"/>
  <c r="AP922" i="5"/>
  <c r="AR922" i="5"/>
  <c r="AU922" i="5"/>
  <c r="AV922" i="5" s="1"/>
  <c r="AW922" i="5"/>
  <c r="AX922" i="5" s="1"/>
  <c r="AH923" i="5"/>
  <c r="AJ923" i="5" s="1"/>
  <c r="AN923" i="5"/>
  <c r="AO923" i="5"/>
  <c r="AP923" i="5"/>
  <c r="AR923" i="5"/>
  <c r="AT923" i="5" s="1"/>
  <c r="AU923" i="5"/>
  <c r="AV923" i="5" s="1"/>
  <c r="AW923" i="5"/>
  <c r="AX923" i="5" s="1"/>
  <c r="AH924" i="5"/>
  <c r="AN924" i="5"/>
  <c r="AO924" i="5"/>
  <c r="AP924" i="5"/>
  <c r="AR924" i="5"/>
  <c r="AU924" i="5"/>
  <c r="AV924" i="5" s="1"/>
  <c r="AW924" i="5"/>
  <c r="AX924" i="5" s="1"/>
  <c r="AH925" i="5"/>
  <c r="AH926" i="5"/>
  <c r="AZ926" i="5" s="1"/>
  <c r="AN925" i="5"/>
  <c r="AO925" i="5"/>
  <c r="AP925" i="5"/>
  <c r="AR925" i="5"/>
  <c r="AU925" i="5"/>
  <c r="AV925" i="5" s="1"/>
  <c r="AW925" i="5"/>
  <c r="AX925" i="5" s="1"/>
  <c r="AN926" i="5"/>
  <c r="AO926" i="5"/>
  <c r="AP926" i="5"/>
  <c r="AH927" i="5"/>
  <c r="AY927" i="5" s="1"/>
  <c r="AN927" i="5"/>
  <c r="AO927" i="5"/>
  <c r="AP927" i="5"/>
  <c r="AJ928" i="5"/>
  <c r="AK928" i="5"/>
  <c r="AL928" i="5"/>
  <c r="AN928" i="5"/>
  <c r="AO928" i="5"/>
  <c r="AP928" i="5"/>
  <c r="AR928" i="5"/>
  <c r="AS928" i="5" s="1"/>
  <c r="AU928" i="5"/>
  <c r="AV928" i="5" s="1"/>
  <c r="AW928" i="5"/>
  <c r="AX928" i="5" s="1"/>
  <c r="AH929" i="5"/>
  <c r="AN929" i="5"/>
  <c r="AO929" i="5"/>
  <c r="AP929" i="5"/>
  <c r="AR929" i="5"/>
  <c r="AU929" i="5"/>
  <c r="AV929" i="5" s="1"/>
  <c r="AW929" i="5"/>
  <c r="AX929" i="5" s="1"/>
  <c r="AH930" i="5"/>
  <c r="AN930" i="5"/>
  <c r="AO930" i="5"/>
  <c r="AP930" i="5"/>
  <c r="AR930" i="5"/>
  <c r="AT930" i="5" s="1"/>
  <c r="AU930" i="5"/>
  <c r="AV930" i="5" s="1"/>
  <c r="AW930" i="5"/>
  <c r="AX930" i="5" s="1"/>
  <c r="AH931" i="5"/>
  <c r="AK931" i="5" s="1"/>
  <c r="AN931" i="5"/>
  <c r="AO931" i="5"/>
  <c r="AP931" i="5"/>
  <c r="AR931" i="5"/>
  <c r="AU931" i="5"/>
  <c r="AV931" i="5" s="1"/>
  <c r="AW931" i="5"/>
  <c r="AX931" i="5" s="1"/>
  <c r="AH932" i="5"/>
  <c r="AN932" i="5"/>
  <c r="AO932" i="5"/>
  <c r="AP932" i="5"/>
  <c r="AR932" i="5"/>
  <c r="AS932" i="5" s="1"/>
  <c r="AU932" i="5"/>
  <c r="AV932" i="5" s="1"/>
  <c r="AW932" i="5"/>
  <c r="AX932" i="5" s="1"/>
  <c r="AH933" i="5"/>
  <c r="AL933" i="5" s="1"/>
  <c r="AN933" i="5"/>
  <c r="AO933" i="5"/>
  <c r="AP933" i="5"/>
  <c r="AH934" i="5"/>
  <c r="AN934" i="5"/>
  <c r="AO934" i="5"/>
  <c r="AP934" i="5"/>
  <c r="AJ935" i="5"/>
  <c r="AK935" i="5"/>
  <c r="AL935" i="5"/>
  <c r="AN935" i="5"/>
  <c r="AO935" i="5"/>
  <c r="AP935" i="5"/>
  <c r="AR935" i="5"/>
  <c r="AT935" i="5" s="1"/>
  <c r="AU935" i="5"/>
  <c r="AV935" i="5" s="1"/>
  <c r="AW935" i="5"/>
  <c r="AX935" i="5" s="1"/>
  <c r="AH936" i="5"/>
  <c r="AI936" i="5" s="1"/>
  <c r="AN936" i="5"/>
  <c r="AO936" i="5"/>
  <c r="AP936" i="5"/>
  <c r="AR936" i="5"/>
  <c r="AT936" i="5" s="1"/>
  <c r="AU936" i="5"/>
  <c r="AV936" i="5" s="1"/>
  <c r="AW936" i="5"/>
  <c r="AX936" i="5" s="1"/>
  <c r="AH937" i="5"/>
  <c r="AN937" i="5"/>
  <c r="AO937" i="5"/>
  <c r="AP937" i="5"/>
  <c r="AR937" i="5"/>
  <c r="AT937" i="5" s="1"/>
  <c r="AU937" i="5"/>
  <c r="AV937" i="5" s="1"/>
  <c r="AW937" i="5"/>
  <c r="AX937" i="5" s="1"/>
  <c r="AH938" i="5"/>
  <c r="AY938" i="5" s="1"/>
  <c r="AN938" i="5"/>
  <c r="AO938" i="5"/>
  <c r="AP938" i="5"/>
  <c r="AR938" i="5"/>
  <c r="AT938" i="5" s="1"/>
  <c r="AU938" i="5"/>
  <c r="AV938" i="5" s="1"/>
  <c r="AW938" i="5"/>
  <c r="AX938" i="5" s="1"/>
  <c r="AH939" i="5"/>
  <c r="AJ939" i="5" s="1"/>
  <c r="AH940" i="5"/>
  <c r="AY940" i="5" s="1"/>
  <c r="AN939" i="5"/>
  <c r="AO939" i="5"/>
  <c r="AP939" i="5"/>
  <c r="AR939" i="5"/>
  <c r="AU939" i="5"/>
  <c r="AV939" i="5" s="1"/>
  <c r="AW939" i="5"/>
  <c r="AX939" i="5" s="1"/>
  <c r="AN940" i="5"/>
  <c r="AO940" i="5"/>
  <c r="AP940" i="5"/>
  <c r="AH941" i="5"/>
  <c r="AN941" i="5"/>
  <c r="AO941" i="5"/>
  <c r="AP941" i="5"/>
  <c r="AJ942" i="5"/>
  <c r="AK942" i="5"/>
  <c r="AL942" i="5"/>
  <c r="AN942" i="5"/>
  <c r="AO942" i="5"/>
  <c r="AP942" i="5"/>
  <c r="AR942" i="5"/>
  <c r="AU942" i="5"/>
  <c r="AV942" i="5" s="1"/>
  <c r="AW942" i="5"/>
  <c r="AX942" i="5" s="1"/>
  <c r="AH943" i="5"/>
  <c r="AN943" i="5"/>
  <c r="AO943" i="5"/>
  <c r="AP943" i="5"/>
  <c r="AR943" i="5"/>
  <c r="AT943" i="5" s="1"/>
  <c r="AU943" i="5"/>
  <c r="AV943" i="5" s="1"/>
  <c r="AW943" i="5"/>
  <c r="AX943" i="5" s="1"/>
  <c r="AH944" i="5"/>
  <c r="AN944" i="5"/>
  <c r="AO944" i="5"/>
  <c r="AP944" i="5"/>
  <c r="AR944" i="5"/>
  <c r="AT944" i="5" s="1"/>
  <c r="AU944" i="5"/>
  <c r="AV944" i="5" s="1"/>
  <c r="AW944" i="5"/>
  <c r="AX944" i="5" s="1"/>
  <c r="AH945" i="5"/>
  <c r="AN945" i="5"/>
  <c r="AO945" i="5"/>
  <c r="AP945" i="5"/>
  <c r="AR945" i="5"/>
  <c r="AT945" i="5" s="1"/>
  <c r="AU945" i="5"/>
  <c r="AV945" i="5" s="1"/>
  <c r="AW945" i="5"/>
  <c r="AX945" i="5" s="1"/>
  <c r="AH946" i="5"/>
  <c r="AN946" i="5"/>
  <c r="AO946" i="5"/>
  <c r="AP946" i="5"/>
  <c r="AR946" i="5"/>
  <c r="AU946" i="5"/>
  <c r="AV946" i="5" s="1"/>
  <c r="AW946" i="5"/>
  <c r="AX946" i="5" s="1"/>
  <c r="AH947" i="5"/>
  <c r="AL947" i="5" s="1"/>
  <c r="AN947" i="5"/>
  <c r="AO947" i="5"/>
  <c r="AP947" i="5"/>
  <c r="AH948" i="5"/>
  <c r="AN948" i="5"/>
  <c r="AO948" i="5"/>
  <c r="AP948" i="5"/>
  <c r="AJ949" i="5"/>
  <c r="AK949" i="5"/>
  <c r="AL949" i="5"/>
  <c r="AN949" i="5"/>
  <c r="AO949" i="5"/>
  <c r="AP949" i="5"/>
  <c r="AR949" i="5"/>
  <c r="AT949" i="5" s="1"/>
  <c r="AU949" i="5"/>
  <c r="AV949" i="5" s="1"/>
  <c r="AW949" i="5"/>
  <c r="AX949" i="5" s="1"/>
  <c r="AH950" i="5"/>
  <c r="AN950" i="5"/>
  <c r="AO950" i="5"/>
  <c r="AP950" i="5"/>
  <c r="AR950" i="5"/>
  <c r="AU950" i="5"/>
  <c r="AV950" i="5" s="1"/>
  <c r="AW950" i="5"/>
  <c r="AX950" i="5" s="1"/>
  <c r="AH951" i="5"/>
  <c r="AK951" i="5" s="1"/>
  <c r="AN951" i="5"/>
  <c r="AO951" i="5"/>
  <c r="AP951" i="5"/>
  <c r="AR951" i="5"/>
  <c r="AS951" i="5" s="1"/>
  <c r="AU951" i="5"/>
  <c r="AV951" i="5" s="1"/>
  <c r="AW951" i="5"/>
  <c r="AX951" i="5" s="1"/>
  <c r="AH952" i="5"/>
  <c r="AK952" i="5" s="1"/>
  <c r="AN952" i="5"/>
  <c r="AO952" i="5"/>
  <c r="AP952" i="5"/>
  <c r="AR952" i="5"/>
  <c r="AS952" i="5" s="1"/>
  <c r="AU952" i="5"/>
  <c r="AV952" i="5" s="1"/>
  <c r="AW952" i="5"/>
  <c r="AX952" i="5" s="1"/>
  <c r="AH953" i="5"/>
  <c r="AY953" i="5" s="1"/>
  <c r="AN953" i="5"/>
  <c r="AO953" i="5"/>
  <c r="AP953" i="5"/>
  <c r="AR953" i="5"/>
  <c r="AU953" i="5"/>
  <c r="AV953" i="5" s="1"/>
  <c r="AW953" i="5"/>
  <c r="AX953" i="5" s="1"/>
  <c r="AH954" i="5"/>
  <c r="AN954" i="5"/>
  <c r="AO954" i="5"/>
  <c r="AP954" i="5"/>
  <c r="AH955" i="5"/>
  <c r="AN955" i="5"/>
  <c r="AO955" i="5"/>
  <c r="AP955" i="5"/>
  <c r="AJ956" i="5"/>
  <c r="AK956" i="5"/>
  <c r="AL956" i="5"/>
  <c r="AN956" i="5"/>
  <c r="AO956" i="5"/>
  <c r="AP956" i="5"/>
  <c r="AR956" i="5"/>
  <c r="AT956" i="5" s="1"/>
  <c r="AU956" i="5"/>
  <c r="AV956" i="5" s="1"/>
  <c r="AW956" i="5"/>
  <c r="AX956" i="5" s="1"/>
  <c r="AH957" i="5"/>
  <c r="AI957" i="5" s="1"/>
  <c r="AN957" i="5"/>
  <c r="AO957" i="5"/>
  <c r="AP957" i="5"/>
  <c r="AR957" i="5"/>
  <c r="AU957" i="5"/>
  <c r="AV957" i="5" s="1"/>
  <c r="AW957" i="5"/>
  <c r="AX957" i="5" s="1"/>
  <c r="AH958" i="5"/>
  <c r="AN958" i="5"/>
  <c r="AO958" i="5"/>
  <c r="AP958" i="5"/>
  <c r="AR958" i="5"/>
  <c r="AU958" i="5"/>
  <c r="AV958" i="5" s="1"/>
  <c r="AW958" i="5"/>
  <c r="AX958" i="5" s="1"/>
  <c r="AH959" i="5"/>
  <c r="AH960" i="5"/>
  <c r="AK960" i="5" s="1"/>
  <c r="AN959" i="5"/>
  <c r="AO959" i="5"/>
  <c r="AP959" i="5"/>
  <c r="AR959" i="5"/>
  <c r="AU959" i="5"/>
  <c r="AV959" i="5" s="1"/>
  <c r="AW959" i="5"/>
  <c r="AX959" i="5" s="1"/>
  <c r="AN960" i="5"/>
  <c r="AO960" i="5"/>
  <c r="AP960" i="5"/>
  <c r="AR960" i="5"/>
  <c r="AU960" i="5"/>
  <c r="AV960" i="5" s="1"/>
  <c r="AW960" i="5"/>
  <c r="AX960" i="5" s="1"/>
  <c r="AH961" i="5"/>
  <c r="AN961" i="5"/>
  <c r="AO961" i="5"/>
  <c r="AP961" i="5"/>
  <c r="AH962" i="5"/>
  <c r="AI963" i="5" s="1"/>
  <c r="AN962" i="5"/>
  <c r="AO962" i="5"/>
  <c r="AP962" i="5"/>
  <c r="AJ963" i="5"/>
  <c r="AK963" i="5"/>
  <c r="AL963" i="5"/>
  <c r="AN963" i="5"/>
  <c r="AO963" i="5"/>
  <c r="AP963" i="5"/>
  <c r="AR963" i="5"/>
  <c r="AS963" i="5" s="1"/>
  <c r="AU963" i="5"/>
  <c r="AV963" i="5" s="1"/>
  <c r="AW963" i="5"/>
  <c r="AX963" i="5" s="1"/>
  <c r="AH964" i="5"/>
  <c r="AJ964" i="5" s="1"/>
  <c r="AN964" i="5"/>
  <c r="AO964" i="5"/>
  <c r="AP964" i="5"/>
  <c r="AR964" i="5"/>
  <c r="AU964" i="5"/>
  <c r="AV964" i="5" s="1"/>
  <c r="AW964" i="5"/>
  <c r="AX964" i="5" s="1"/>
  <c r="AH965" i="5"/>
  <c r="AN965" i="5"/>
  <c r="AO965" i="5"/>
  <c r="AP965" i="5"/>
  <c r="AR965" i="5"/>
  <c r="AU965" i="5"/>
  <c r="AV965" i="5" s="1"/>
  <c r="AW965" i="5"/>
  <c r="AX965" i="5" s="1"/>
  <c r="AH966" i="5"/>
  <c r="AN966" i="5"/>
  <c r="AO966" i="5"/>
  <c r="AP966" i="5"/>
  <c r="AR966" i="5"/>
  <c r="AU966" i="5"/>
  <c r="AV966" i="5" s="1"/>
  <c r="AW966" i="5"/>
  <c r="AX966" i="5" s="1"/>
  <c r="AH967" i="5"/>
  <c r="AK967" i="5" s="1"/>
  <c r="AN967" i="5"/>
  <c r="AO967" i="5"/>
  <c r="AP967" i="5"/>
  <c r="AR967" i="5"/>
  <c r="AT967" i="5" s="1"/>
  <c r="AU967" i="5"/>
  <c r="AV967" i="5" s="1"/>
  <c r="AW967" i="5"/>
  <c r="AX967" i="5" s="1"/>
  <c r="AH968" i="5"/>
  <c r="AN968" i="5"/>
  <c r="AO968" i="5"/>
  <c r="AP968" i="5"/>
  <c r="AH969" i="5"/>
  <c r="AU969" i="5" s="1"/>
  <c r="AV969" i="5" s="1"/>
  <c r="AN969" i="5"/>
  <c r="AO969" i="5"/>
  <c r="AP969" i="5"/>
  <c r="AJ970" i="5"/>
  <c r="AK970" i="5"/>
  <c r="AL970" i="5"/>
  <c r="AN970" i="5"/>
  <c r="AO970" i="5"/>
  <c r="AP970" i="5"/>
  <c r="AR970" i="5"/>
  <c r="AU970" i="5"/>
  <c r="AV970" i="5" s="1"/>
  <c r="AW970" i="5"/>
  <c r="AX970" i="5" s="1"/>
  <c r="AH971" i="5"/>
  <c r="AH972" i="5"/>
  <c r="AK972" i="5" s="1"/>
  <c r="AN971" i="5"/>
  <c r="AO971" i="5"/>
  <c r="AP971" i="5"/>
  <c r="AR971" i="5"/>
  <c r="AU971" i="5"/>
  <c r="AV971" i="5" s="1"/>
  <c r="AW971" i="5"/>
  <c r="AX971" i="5" s="1"/>
  <c r="AN972" i="5"/>
  <c r="AO972" i="5"/>
  <c r="AP972" i="5"/>
  <c r="AR972" i="5"/>
  <c r="AS972" i="5" s="1"/>
  <c r="AU972" i="5"/>
  <c r="AV972" i="5" s="1"/>
  <c r="AW972" i="5"/>
  <c r="AX972" i="5" s="1"/>
  <c r="AH973" i="5"/>
  <c r="AN973" i="5"/>
  <c r="AO973" i="5"/>
  <c r="AP973" i="5"/>
  <c r="AR973" i="5"/>
  <c r="AT973" i="5" s="1"/>
  <c r="AU973" i="5"/>
  <c r="AV973" i="5" s="1"/>
  <c r="AW973" i="5"/>
  <c r="AX973" i="5" s="1"/>
  <c r="AH974" i="5"/>
  <c r="AY974" i="5" s="1"/>
  <c r="AN974" i="5"/>
  <c r="AO974" i="5"/>
  <c r="AP974" i="5"/>
  <c r="AR974" i="5"/>
  <c r="AU974" i="5"/>
  <c r="AV974" i="5" s="1"/>
  <c r="AW974" i="5"/>
  <c r="AX974" i="5" s="1"/>
  <c r="AH975" i="5"/>
  <c r="AW975" i="5" s="1"/>
  <c r="AX975" i="5" s="1"/>
  <c r="AN975" i="5"/>
  <c r="AO975" i="5"/>
  <c r="AP975" i="5"/>
  <c r="AH976" i="5"/>
  <c r="AI977" i="5" s="1"/>
  <c r="AN976" i="5"/>
  <c r="AO976" i="5"/>
  <c r="AP976" i="5"/>
  <c r="AJ977" i="5"/>
  <c r="AK977" i="5"/>
  <c r="AL977" i="5"/>
  <c r="AN977" i="5"/>
  <c r="AO977" i="5"/>
  <c r="AP977" i="5"/>
  <c r="AR977" i="5"/>
  <c r="AS977" i="5" s="1"/>
  <c r="AU977" i="5"/>
  <c r="AV977" i="5" s="1"/>
  <c r="AW977" i="5"/>
  <c r="AX977" i="5" s="1"/>
  <c r="AH978" i="5"/>
  <c r="AN978" i="5"/>
  <c r="AO978" i="5"/>
  <c r="AP978" i="5"/>
  <c r="AR978" i="5"/>
  <c r="AU978" i="5"/>
  <c r="AV978" i="5" s="1"/>
  <c r="AW978" i="5"/>
  <c r="AX978" i="5" s="1"/>
  <c r="AH979" i="5"/>
  <c r="AL979" i="5" s="1"/>
  <c r="AN979" i="5"/>
  <c r="AO979" i="5"/>
  <c r="AP979" i="5"/>
  <c r="AR979" i="5"/>
  <c r="AT979" i="5" s="1"/>
  <c r="AU979" i="5"/>
  <c r="AV979" i="5" s="1"/>
  <c r="AW979" i="5"/>
  <c r="AX979" i="5" s="1"/>
  <c r="AH980" i="5"/>
  <c r="AN980" i="5"/>
  <c r="AO980" i="5"/>
  <c r="AP980" i="5"/>
  <c r="AR980" i="5"/>
  <c r="AU980" i="5"/>
  <c r="AV980" i="5" s="1"/>
  <c r="AW980" i="5"/>
  <c r="AX980" i="5" s="1"/>
  <c r="AH981" i="5"/>
  <c r="AN981" i="5"/>
  <c r="AO981" i="5"/>
  <c r="AP981" i="5"/>
  <c r="AR981" i="5"/>
  <c r="AT981" i="5" s="1"/>
  <c r="AU981" i="5"/>
  <c r="AV981" i="5" s="1"/>
  <c r="AW981" i="5"/>
  <c r="AX981" i="5" s="1"/>
  <c r="AH982" i="5"/>
  <c r="AW982" i="5" s="1"/>
  <c r="AX982" i="5" s="1"/>
  <c r="AN982" i="5"/>
  <c r="AO982" i="5"/>
  <c r="AP982" i="5"/>
  <c r="AH983" i="5"/>
  <c r="AU983" i="5" s="1"/>
  <c r="AV983" i="5" s="1"/>
  <c r="AN983" i="5"/>
  <c r="AO983" i="5"/>
  <c r="AP983" i="5"/>
  <c r="AJ984" i="5"/>
  <c r="AK984" i="5"/>
  <c r="AL984" i="5"/>
  <c r="AN984" i="5"/>
  <c r="AO984" i="5"/>
  <c r="AP984" i="5"/>
  <c r="AR984" i="5"/>
  <c r="AS984" i="5" s="1"/>
  <c r="AU984" i="5"/>
  <c r="AV984" i="5" s="1"/>
  <c r="AW984" i="5"/>
  <c r="AX984" i="5" s="1"/>
  <c r="AH985" i="5"/>
  <c r="AN985" i="5"/>
  <c r="AO985" i="5"/>
  <c r="AP985" i="5"/>
  <c r="AR985" i="5"/>
  <c r="AU985" i="5"/>
  <c r="AV985" i="5" s="1"/>
  <c r="AW985" i="5"/>
  <c r="AX985" i="5" s="1"/>
  <c r="AH986" i="5"/>
  <c r="AN986" i="5"/>
  <c r="AO986" i="5"/>
  <c r="AP986" i="5"/>
  <c r="AR986" i="5"/>
  <c r="AS986" i="5" s="1"/>
  <c r="AU986" i="5"/>
  <c r="AV986" i="5" s="1"/>
  <c r="AW986" i="5"/>
  <c r="AX986" i="5" s="1"/>
  <c r="AH987" i="5"/>
  <c r="AK987" i="5" s="1"/>
  <c r="AN987" i="5"/>
  <c r="AO987" i="5"/>
  <c r="AP987" i="5"/>
  <c r="AR987" i="5"/>
  <c r="AS987" i="5" s="1"/>
  <c r="AU987" i="5"/>
  <c r="AV987" i="5" s="1"/>
  <c r="AW987" i="5"/>
  <c r="AX987" i="5" s="1"/>
  <c r="AH988" i="5"/>
  <c r="AY988" i="5" s="1"/>
  <c r="AN988" i="5"/>
  <c r="AO988" i="5"/>
  <c r="AP988" i="5"/>
  <c r="AR988" i="5"/>
  <c r="AU988" i="5"/>
  <c r="AV988" i="5" s="1"/>
  <c r="AW988" i="5"/>
  <c r="AX988" i="5" s="1"/>
  <c r="AH989" i="5"/>
  <c r="AJ989" i="5" s="1"/>
  <c r="AN989" i="5"/>
  <c r="AO989" i="5"/>
  <c r="AP989" i="5"/>
  <c r="AH990" i="5"/>
  <c r="AN990" i="5"/>
  <c r="AO990" i="5"/>
  <c r="AP990" i="5"/>
  <c r="AJ991" i="5"/>
  <c r="AK991" i="5"/>
  <c r="AL991" i="5"/>
  <c r="AN991" i="5"/>
  <c r="AO991" i="5"/>
  <c r="AP991" i="5"/>
  <c r="AR991" i="5"/>
  <c r="AU991" i="5"/>
  <c r="AV991" i="5" s="1"/>
  <c r="AW991" i="5"/>
  <c r="AX991" i="5" s="1"/>
  <c r="AH992" i="5"/>
  <c r="AI992" i="5" s="1"/>
  <c r="AN992" i="5"/>
  <c r="AO992" i="5"/>
  <c r="AP992" i="5"/>
  <c r="AR992" i="5"/>
  <c r="AU992" i="5"/>
  <c r="AV992" i="5" s="1"/>
  <c r="AW992" i="5"/>
  <c r="AX992" i="5" s="1"/>
  <c r="AH993" i="5"/>
  <c r="AN993" i="5"/>
  <c r="AO993" i="5"/>
  <c r="AP993" i="5"/>
  <c r="AR993" i="5"/>
  <c r="AU993" i="5"/>
  <c r="AV993" i="5" s="1"/>
  <c r="AW993" i="5"/>
  <c r="AX993" i="5" s="1"/>
  <c r="AH994" i="5"/>
  <c r="AN994" i="5"/>
  <c r="AO994" i="5"/>
  <c r="AP994" i="5"/>
  <c r="AR994" i="5"/>
  <c r="AU994" i="5"/>
  <c r="AV994" i="5" s="1"/>
  <c r="AW994" i="5"/>
  <c r="AX994" i="5" s="1"/>
  <c r="AH995" i="5"/>
  <c r="AJ995" i="5" s="1"/>
  <c r="AN995" i="5"/>
  <c r="AO995" i="5"/>
  <c r="AP995" i="5"/>
  <c r="AR995" i="5"/>
  <c r="AS995" i="5" s="1"/>
  <c r="AU995" i="5"/>
  <c r="AV995" i="5" s="1"/>
  <c r="AW995" i="5"/>
  <c r="AX995" i="5" s="1"/>
  <c r="AH996" i="5"/>
  <c r="AJ996" i="5" s="1"/>
  <c r="AN996" i="5"/>
  <c r="AO996" i="5"/>
  <c r="AP996" i="5"/>
  <c r="AH997" i="5"/>
  <c r="AN997" i="5"/>
  <c r="AO997" i="5"/>
  <c r="AP997" i="5"/>
  <c r="AJ998" i="5"/>
  <c r="AK998" i="5"/>
  <c r="AL998" i="5"/>
  <c r="AN998" i="5"/>
  <c r="AO998" i="5"/>
  <c r="AP998" i="5"/>
  <c r="AR998" i="5"/>
  <c r="AU998" i="5"/>
  <c r="AV998" i="5" s="1"/>
  <c r="AW998" i="5"/>
  <c r="AX998" i="5" s="1"/>
  <c r="AH999" i="5"/>
  <c r="AH1000" i="5"/>
  <c r="AN999" i="5"/>
  <c r="AO999" i="5"/>
  <c r="AP999" i="5"/>
  <c r="AR999" i="5"/>
  <c r="AU999" i="5"/>
  <c r="AV999" i="5" s="1"/>
  <c r="AW999" i="5"/>
  <c r="AX999" i="5" s="1"/>
  <c r="AN1000" i="5"/>
  <c r="AO1000" i="5"/>
  <c r="AP1000" i="5"/>
  <c r="AR1000" i="5"/>
  <c r="AU1000" i="5"/>
  <c r="AV1000" i="5" s="1"/>
  <c r="AW1000" i="5"/>
  <c r="AX1000" i="5" s="1"/>
  <c r="AH1001" i="5"/>
  <c r="AN1001" i="5"/>
  <c r="AO1001" i="5"/>
  <c r="AP1001" i="5"/>
  <c r="AR1001" i="5"/>
  <c r="AU1001" i="5"/>
  <c r="AV1001" i="5" s="1"/>
  <c r="AW1001" i="5"/>
  <c r="AX1001" i="5" s="1"/>
  <c r="AH1002" i="5"/>
  <c r="AN1002" i="5"/>
  <c r="AO1002" i="5"/>
  <c r="AP1002" i="5"/>
  <c r="AR1002" i="5"/>
  <c r="AU1002" i="5"/>
  <c r="AV1002" i="5" s="1"/>
  <c r="AW1002" i="5"/>
  <c r="AX1002" i="5" s="1"/>
  <c r="AH1003" i="5"/>
  <c r="AU1003" i="5" s="1"/>
  <c r="AV1003" i="5" s="1"/>
  <c r="AN1003" i="5"/>
  <c r="AO1003" i="5"/>
  <c r="AP1003" i="5"/>
  <c r="AH1004" i="5"/>
  <c r="AN1004" i="5"/>
  <c r="AO1004" i="5"/>
  <c r="AP1004" i="5"/>
  <c r="AJ1005" i="5"/>
  <c r="AK1005" i="5"/>
  <c r="AL1005" i="5"/>
  <c r="AN1005" i="5"/>
  <c r="AO1005" i="5"/>
  <c r="AP1005" i="5"/>
  <c r="AR1005" i="5"/>
  <c r="AT1005" i="5" s="1"/>
  <c r="AU1005" i="5"/>
  <c r="AV1005" i="5" s="1"/>
  <c r="AW1005" i="5"/>
  <c r="AX1005" i="5" s="1"/>
  <c r="AH1006" i="5"/>
  <c r="AN1006" i="5"/>
  <c r="AO1006" i="5"/>
  <c r="AP1006" i="5"/>
  <c r="AR1006" i="5"/>
  <c r="AU1006" i="5"/>
  <c r="AV1006" i="5" s="1"/>
  <c r="AW1006" i="5"/>
  <c r="AX1006" i="5" s="1"/>
  <c r="AH1007" i="5"/>
  <c r="AY1007" i="5" s="1"/>
  <c r="AN1007" i="5"/>
  <c r="AO1007" i="5"/>
  <c r="AP1007" i="5"/>
  <c r="AR1007" i="5"/>
  <c r="AU1007" i="5"/>
  <c r="AV1007" i="5" s="1"/>
  <c r="AW1007" i="5"/>
  <c r="AX1007" i="5" s="1"/>
  <c r="AH1008" i="5"/>
  <c r="AY1008" i="5" s="1"/>
  <c r="AN1008" i="5"/>
  <c r="AO1008" i="5"/>
  <c r="AP1008" i="5"/>
  <c r="AR1008" i="5"/>
  <c r="AS1008" i="5" s="1"/>
  <c r="AU1008" i="5"/>
  <c r="AV1008" i="5" s="1"/>
  <c r="AW1008" i="5"/>
  <c r="AX1008" i="5" s="1"/>
  <c r="AH1009" i="5"/>
  <c r="AK1009" i="5" s="1"/>
  <c r="AN1009" i="5"/>
  <c r="AO1009" i="5"/>
  <c r="AP1009" i="5"/>
  <c r="AR1009" i="5"/>
  <c r="AU1009" i="5"/>
  <c r="AV1009" i="5" s="1"/>
  <c r="AW1009" i="5"/>
  <c r="AX1009" i="5" s="1"/>
  <c r="AH1010" i="5"/>
  <c r="AU1010" i="5" s="1"/>
  <c r="AV1010" i="5" s="1"/>
  <c r="AN1010" i="5"/>
  <c r="AO1010" i="5"/>
  <c r="AP1010" i="5"/>
  <c r="AH1011" i="5"/>
  <c r="AN1011" i="5"/>
  <c r="AO1011" i="5"/>
  <c r="AP1011" i="5"/>
  <c r="AJ1012" i="5"/>
  <c r="AK1012" i="5"/>
  <c r="AL1012" i="5"/>
  <c r="AN1012" i="5"/>
  <c r="AO1012" i="5"/>
  <c r="AP1012" i="5"/>
  <c r="AR1012" i="5"/>
  <c r="AS1012" i="5" s="1"/>
  <c r="AU1012" i="5"/>
  <c r="AV1012" i="5" s="1"/>
  <c r="AW1012" i="5"/>
  <c r="AX1012" i="5" s="1"/>
  <c r="AH1013" i="5"/>
  <c r="AY1013" i="5" s="1"/>
  <c r="AN1013" i="5"/>
  <c r="AO1013" i="5"/>
  <c r="AP1013" i="5"/>
  <c r="AR1013" i="5"/>
  <c r="AU1013" i="5"/>
  <c r="AV1013" i="5" s="1"/>
  <c r="AW1013" i="5"/>
  <c r="AX1013" i="5" s="1"/>
  <c r="AH1014" i="5"/>
  <c r="AN1014" i="5"/>
  <c r="AO1014" i="5"/>
  <c r="AP1014" i="5"/>
  <c r="AR1014" i="5"/>
  <c r="AU1014" i="5"/>
  <c r="AV1014" i="5" s="1"/>
  <c r="AW1014" i="5"/>
  <c r="AX1014" i="5" s="1"/>
  <c r="AH1015" i="5"/>
  <c r="AN1015" i="5"/>
  <c r="AO1015" i="5"/>
  <c r="AP1015" i="5"/>
  <c r="AR1015" i="5"/>
  <c r="AU1015" i="5"/>
  <c r="AV1015" i="5" s="1"/>
  <c r="AW1015" i="5"/>
  <c r="AX1015" i="5" s="1"/>
  <c r="AH1016" i="5"/>
  <c r="AL1016" i="5" s="1"/>
  <c r="AN1016" i="5"/>
  <c r="AO1016" i="5"/>
  <c r="AP1016" i="5"/>
  <c r="AR1016" i="5"/>
  <c r="AT1016" i="5" s="1"/>
  <c r="AU1016" i="5"/>
  <c r="AV1016" i="5" s="1"/>
  <c r="AW1016" i="5"/>
  <c r="AX1016" i="5" s="1"/>
  <c r="AH1017" i="5"/>
  <c r="AN1017" i="5"/>
  <c r="AO1017" i="5"/>
  <c r="AP1017" i="5"/>
  <c r="AH1018" i="5"/>
  <c r="AN1018" i="5"/>
  <c r="AO1018" i="5"/>
  <c r="AP1018" i="5"/>
  <c r="AJ1019" i="5"/>
  <c r="AK1019" i="5"/>
  <c r="AL1019" i="5"/>
  <c r="AN1019" i="5"/>
  <c r="AO1019" i="5"/>
  <c r="AP1019" i="5"/>
  <c r="AR1019" i="5"/>
  <c r="AU1019" i="5"/>
  <c r="AV1019" i="5" s="1"/>
  <c r="AW1019" i="5"/>
  <c r="AX1019" i="5" s="1"/>
  <c r="AH1020" i="5"/>
  <c r="AJ1020" i="5" s="1"/>
  <c r="AH1021" i="5"/>
  <c r="AN1020" i="5"/>
  <c r="AO1020" i="5"/>
  <c r="AP1020" i="5"/>
  <c r="AR1020" i="5"/>
  <c r="AT1020" i="5" s="1"/>
  <c r="AU1020" i="5"/>
  <c r="AV1020" i="5" s="1"/>
  <c r="AW1020" i="5"/>
  <c r="AX1020" i="5" s="1"/>
  <c r="AN1021" i="5"/>
  <c r="AO1021" i="5"/>
  <c r="AP1021" i="5"/>
  <c r="AR1021" i="5"/>
  <c r="AT1021" i="5" s="1"/>
  <c r="AU1021" i="5"/>
  <c r="AV1021" i="5" s="1"/>
  <c r="AW1021" i="5"/>
  <c r="AX1021" i="5" s="1"/>
  <c r="AH1022" i="5"/>
  <c r="AH1023" i="5"/>
  <c r="AN1022" i="5"/>
  <c r="AO1022" i="5"/>
  <c r="AP1022" i="5"/>
  <c r="AR1022" i="5"/>
  <c r="AT1022" i="5" s="1"/>
  <c r="AU1022" i="5"/>
  <c r="AV1022" i="5" s="1"/>
  <c r="AW1022" i="5"/>
  <c r="AX1022" i="5" s="1"/>
  <c r="AN1023" i="5"/>
  <c r="AO1023" i="5"/>
  <c r="AP1023" i="5"/>
  <c r="AR1023" i="5"/>
  <c r="AT1023" i="5" s="1"/>
  <c r="AU1023" i="5"/>
  <c r="AV1023" i="5" s="1"/>
  <c r="AW1023" i="5"/>
  <c r="AX1023" i="5" s="1"/>
  <c r="AH1024" i="5"/>
  <c r="AN1024" i="5"/>
  <c r="AO1024" i="5"/>
  <c r="AP1024" i="5"/>
  <c r="AH1025" i="5"/>
  <c r="AI1026" i="5" s="1"/>
  <c r="AN1025" i="5"/>
  <c r="AO1025" i="5"/>
  <c r="AP1025" i="5"/>
  <c r="AJ1026" i="5"/>
  <c r="AK1026" i="5"/>
  <c r="AL1026" i="5"/>
  <c r="AN1026" i="5"/>
  <c r="AO1026" i="5"/>
  <c r="AP1026" i="5"/>
  <c r="AR1026" i="5"/>
  <c r="AU1026" i="5"/>
  <c r="AV1026" i="5" s="1"/>
  <c r="AW1026" i="5"/>
  <c r="AX1026" i="5" s="1"/>
  <c r="AH1027" i="5"/>
  <c r="AL1027" i="5" s="1"/>
  <c r="AN1027" i="5"/>
  <c r="AO1027" i="5"/>
  <c r="AP1027" i="5"/>
  <c r="AR1027" i="5"/>
  <c r="AU1027" i="5"/>
  <c r="AV1027" i="5" s="1"/>
  <c r="AW1027" i="5"/>
  <c r="AX1027" i="5" s="1"/>
  <c r="AH1028" i="5"/>
  <c r="AZ1028" i="5" s="1"/>
  <c r="AN1028" i="5"/>
  <c r="AO1028" i="5"/>
  <c r="AP1028" i="5"/>
  <c r="AR1028" i="5"/>
  <c r="AS1028" i="5" s="1"/>
  <c r="AU1028" i="5"/>
  <c r="AV1028" i="5" s="1"/>
  <c r="AW1028" i="5"/>
  <c r="AX1028" i="5" s="1"/>
  <c r="AH1029" i="5"/>
  <c r="AN1029" i="5"/>
  <c r="AO1029" i="5"/>
  <c r="AP1029" i="5"/>
  <c r="AR1029" i="5"/>
  <c r="AU1029" i="5"/>
  <c r="AV1029" i="5" s="1"/>
  <c r="AW1029" i="5"/>
  <c r="AX1029" i="5" s="1"/>
  <c r="AH1030" i="5"/>
  <c r="AY1030" i="5" s="1"/>
  <c r="AN1030" i="5"/>
  <c r="AO1030" i="5"/>
  <c r="AP1030" i="5"/>
  <c r="AR1030" i="5"/>
  <c r="AU1030" i="5"/>
  <c r="AV1030" i="5" s="1"/>
  <c r="AW1030" i="5"/>
  <c r="AX1030" i="5" s="1"/>
  <c r="AH1031" i="5"/>
  <c r="AN1031" i="5"/>
  <c r="AO1031" i="5"/>
  <c r="AP1031" i="5"/>
  <c r="AH1032" i="5"/>
  <c r="AN1032" i="5"/>
  <c r="AO1032" i="5"/>
  <c r="AP1032" i="5"/>
  <c r="AJ1033" i="5"/>
  <c r="AK1033" i="5"/>
  <c r="AL1033" i="5"/>
  <c r="AN1033" i="5"/>
  <c r="AO1033" i="5"/>
  <c r="AP1033" i="5"/>
  <c r="AR1033" i="5"/>
  <c r="AU1033" i="5"/>
  <c r="AV1033" i="5" s="1"/>
  <c r="AW1033" i="5"/>
  <c r="AX1033" i="5" s="1"/>
  <c r="AH1034" i="5"/>
  <c r="AN1034" i="5"/>
  <c r="AO1034" i="5"/>
  <c r="AP1034" i="5"/>
  <c r="AR1034" i="5"/>
  <c r="AT1034" i="5" s="1"/>
  <c r="AU1034" i="5"/>
  <c r="AV1034" i="5" s="1"/>
  <c r="AW1034" i="5"/>
  <c r="AX1034" i="5" s="1"/>
  <c r="AH1035" i="5"/>
  <c r="AK1035" i="5" s="1"/>
  <c r="AN1035" i="5"/>
  <c r="AO1035" i="5"/>
  <c r="AP1035" i="5"/>
  <c r="AR1035" i="5"/>
  <c r="AT1035" i="5" s="1"/>
  <c r="AU1035" i="5"/>
  <c r="AV1035" i="5" s="1"/>
  <c r="AW1035" i="5"/>
  <c r="AX1035" i="5" s="1"/>
  <c r="AH1036" i="5"/>
  <c r="AY1036" i="5" s="1"/>
  <c r="AN1036" i="5"/>
  <c r="AO1036" i="5"/>
  <c r="AP1036" i="5"/>
  <c r="AR1036" i="5"/>
  <c r="AT1036" i="5" s="1"/>
  <c r="AU1036" i="5"/>
  <c r="AV1036" i="5" s="1"/>
  <c r="AW1036" i="5"/>
  <c r="AX1036" i="5" s="1"/>
  <c r="AH1037" i="5"/>
  <c r="AN1037" i="5"/>
  <c r="AO1037" i="5"/>
  <c r="AP1037" i="5"/>
  <c r="AR1037" i="5"/>
  <c r="AS1037" i="5" s="1"/>
  <c r="AU1037" i="5"/>
  <c r="AV1037" i="5" s="1"/>
  <c r="AW1037" i="5"/>
  <c r="AX1037" i="5" s="1"/>
  <c r="AH1038" i="5"/>
  <c r="AN1038" i="5"/>
  <c r="AO1038" i="5"/>
  <c r="AP1038" i="5"/>
  <c r="AH1039" i="5"/>
  <c r="AN1039" i="5"/>
  <c r="AO1039" i="5"/>
  <c r="AP1039" i="5"/>
  <c r="AJ1040" i="5"/>
  <c r="AK1040" i="5"/>
  <c r="AL1040" i="5"/>
  <c r="AN1040" i="5"/>
  <c r="AO1040" i="5"/>
  <c r="AP1040" i="5"/>
  <c r="AR1040" i="5"/>
  <c r="AT1040" i="5" s="1"/>
  <c r="AU1040" i="5"/>
  <c r="AV1040" i="5" s="1"/>
  <c r="AW1040" i="5"/>
  <c r="AX1040" i="5" s="1"/>
  <c r="AH1041" i="5"/>
  <c r="AL1041" i="5" s="1"/>
  <c r="AN1041" i="5"/>
  <c r="AO1041" i="5"/>
  <c r="AP1041" i="5"/>
  <c r="AR1041" i="5"/>
  <c r="AU1041" i="5"/>
  <c r="AV1041" i="5" s="1"/>
  <c r="AW1041" i="5"/>
  <c r="AX1041" i="5" s="1"/>
  <c r="AH1042" i="5"/>
  <c r="AZ1042" i="5" s="1"/>
  <c r="AN1042" i="5"/>
  <c r="AO1042" i="5"/>
  <c r="AP1042" i="5"/>
  <c r="AR1042" i="5"/>
  <c r="AU1042" i="5"/>
  <c r="AV1042" i="5" s="1"/>
  <c r="AW1042" i="5"/>
  <c r="AX1042" i="5" s="1"/>
  <c r="AH1043" i="5"/>
  <c r="AJ1043" i="5" s="1"/>
  <c r="AN1043" i="5"/>
  <c r="AO1043" i="5"/>
  <c r="AP1043" i="5"/>
  <c r="AR1043" i="5"/>
  <c r="AS1043" i="5" s="1"/>
  <c r="AU1043" i="5"/>
  <c r="AV1043" i="5" s="1"/>
  <c r="AW1043" i="5"/>
  <c r="AX1043" i="5" s="1"/>
  <c r="AH1044" i="5"/>
  <c r="AN1044" i="5"/>
  <c r="AO1044" i="5"/>
  <c r="AP1044" i="5"/>
  <c r="AH1045" i="5"/>
  <c r="AL1045" i="5" s="1"/>
  <c r="AN1045" i="5"/>
  <c r="AO1045" i="5"/>
  <c r="AP1045" i="5"/>
  <c r="AJ1046" i="5"/>
  <c r="AK1046" i="5"/>
  <c r="AL1046" i="5"/>
  <c r="AN1046" i="5"/>
  <c r="AO1046" i="5"/>
  <c r="AP1046" i="5"/>
  <c r="AR1046" i="5"/>
  <c r="AU1046" i="5"/>
  <c r="AV1046" i="5" s="1"/>
  <c r="AW1046" i="5"/>
  <c r="AX1046" i="5" s="1"/>
  <c r="AH1047" i="5"/>
  <c r="AY1047" i="5" s="1"/>
  <c r="AN1047" i="5"/>
  <c r="AO1047" i="5"/>
  <c r="AP1047" i="5"/>
  <c r="AR1047" i="5"/>
  <c r="AU1047" i="5"/>
  <c r="AV1047" i="5" s="1"/>
  <c r="AW1047" i="5"/>
  <c r="AX1047" i="5" s="1"/>
  <c r="AH1048" i="5"/>
  <c r="AK1048" i="5" s="1"/>
  <c r="AN1048" i="5"/>
  <c r="AO1048" i="5"/>
  <c r="AP1048" i="5"/>
  <c r="AR1048" i="5"/>
  <c r="AS1048" i="5" s="1"/>
  <c r="AU1048" i="5"/>
  <c r="AV1048" i="5" s="1"/>
  <c r="AW1048" i="5"/>
  <c r="AX1048" i="5" s="1"/>
  <c r="AH1049" i="5"/>
  <c r="AY1049" i="5" s="1"/>
  <c r="AN1049" i="5"/>
  <c r="AO1049" i="5"/>
  <c r="AP1049" i="5"/>
  <c r="AR1049" i="5"/>
  <c r="AU1049" i="5"/>
  <c r="AV1049" i="5" s="1"/>
  <c r="AW1049" i="5"/>
  <c r="AX1049" i="5" s="1"/>
  <c r="AH1050" i="5"/>
  <c r="AN1050" i="5"/>
  <c r="AO1050" i="5"/>
  <c r="AP1050" i="5"/>
  <c r="AH1051" i="5"/>
  <c r="AY1051" i="5" s="1"/>
  <c r="AN1051" i="5"/>
  <c r="AO1051" i="5"/>
  <c r="AP1051" i="5"/>
  <c r="AJ1052" i="5"/>
  <c r="AK1052" i="5"/>
  <c r="AL1052" i="5"/>
  <c r="AN1052" i="5"/>
  <c r="AO1052" i="5"/>
  <c r="AP1052" i="5"/>
  <c r="AR1052" i="5"/>
  <c r="AU1052" i="5"/>
  <c r="AV1052" i="5" s="1"/>
  <c r="AW1052" i="5"/>
  <c r="AX1052" i="5" s="1"/>
  <c r="AH1053" i="5"/>
  <c r="AZ1053" i="5" s="1"/>
  <c r="AN1053" i="5"/>
  <c r="AO1053" i="5"/>
  <c r="AP1053" i="5"/>
  <c r="AR1053" i="5"/>
  <c r="AU1053" i="5"/>
  <c r="AV1053" i="5" s="1"/>
  <c r="AW1053" i="5"/>
  <c r="AX1053" i="5" s="1"/>
  <c r="AH1054" i="5"/>
  <c r="AN1054" i="5"/>
  <c r="AO1054" i="5"/>
  <c r="AP1054" i="5"/>
  <c r="AR1054" i="5"/>
  <c r="AU1054" i="5"/>
  <c r="AV1054" i="5" s="1"/>
  <c r="AW1054" i="5"/>
  <c r="AX1054" i="5" s="1"/>
  <c r="AH1055" i="5"/>
  <c r="AN1055" i="5"/>
  <c r="AO1055" i="5"/>
  <c r="AP1055" i="5"/>
  <c r="AR1055" i="5"/>
  <c r="AU1055" i="5"/>
  <c r="AV1055" i="5" s="1"/>
  <c r="AW1055" i="5"/>
  <c r="AX1055" i="5" s="1"/>
  <c r="AH1056" i="5"/>
  <c r="AL1056" i="5" s="1"/>
  <c r="AN1056" i="5"/>
  <c r="AO1056" i="5"/>
  <c r="AP1056" i="5"/>
  <c r="AH1057" i="5"/>
  <c r="AI1058" i="5" s="1"/>
  <c r="AN1057" i="5"/>
  <c r="AO1057" i="5"/>
  <c r="AP1057" i="5"/>
  <c r="AJ1058" i="5"/>
  <c r="AK1058" i="5"/>
  <c r="AL1058" i="5"/>
  <c r="AN1058" i="5"/>
  <c r="AO1058" i="5"/>
  <c r="AP1058" i="5"/>
  <c r="AR1058" i="5"/>
  <c r="AS1058" i="5" s="1"/>
  <c r="AU1058" i="5"/>
  <c r="AV1058" i="5" s="1"/>
  <c r="AW1058" i="5"/>
  <c r="AX1058" i="5" s="1"/>
  <c r="AH1059" i="5"/>
  <c r="AI1059" i="5" s="1"/>
  <c r="AN1059" i="5"/>
  <c r="AO1059" i="5"/>
  <c r="AP1059" i="5"/>
  <c r="AR1059" i="5"/>
  <c r="AS1059" i="5" s="1"/>
  <c r="AU1059" i="5"/>
  <c r="AV1059" i="5" s="1"/>
  <c r="AW1059" i="5"/>
  <c r="AX1059" i="5" s="1"/>
  <c r="AH1060" i="5"/>
  <c r="AN1060" i="5"/>
  <c r="AO1060" i="5"/>
  <c r="AP1060" i="5"/>
  <c r="AR1060" i="5"/>
  <c r="AS1060" i="5" s="1"/>
  <c r="AU1060" i="5"/>
  <c r="AV1060" i="5" s="1"/>
  <c r="AW1060" i="5"/>
  <c r="AX1060" i="5" s="1"/>
  <c r="AH1061" i="5"/>
  <c r="AK1061" i="5" s="1"/>
  <c r="AN1061" i="5"/>
  <c r="AO1061" i="5"/>
  <c r="AP1061" i="5"/>
  <c r="AR1061" i="5"/>
  <c r="AU1061" i="5"/>
  <c r="AV1061" i="5" s="1"/>
  <c r="AW1061" i="5"/>
  <c r="AX1061" i="5" s="1"/>
  <c r="AH1062" i="5"/>
  <c r="AU1062" i="5" s="1"/>
  <c r="AV1062" i="5" s="1"/>
  <c r="AN1062" i="5"/>
  <c r="AO1062" i="5"/>
  <c r="AP1062" i="5"/>
  <c r="AH1063" i="5"/>
  <c r="AR1063" i="5" s="1"/>
  <c r="AN1063" i="5"/>
  <c r="AO1063" i="5"/>
  <c r="AP1063" i="5"/>
  <c r="AJ1064" i="5"/>
  <c r="AK1064" i="5"/>
  <c r="AL1064" i="5"/>
  <c r="AN1064" i="5"/>
  <c r="AO1064" i="5"/>
  <c r="AP1064" i="5"/>
  <c r="AR1064" i="5"/>
  <c r="AT1064" i="5" s="1"/>
  <c r="AU1064" i="5"/>
  <c r="AV1064" i="5" s="1"/>
  <c r="AW1064" i="5"/>
  <c r="AX1064" i="5" s="1"/>
  <c r="AH1065" i="5"/>
  <c r="AZ1065" i="5" s="1"/>
  <c r="AN1065" i="5"/>
  <c r="AO1065" i="5"/>
  <c r="AP1065" i="5"/>
  <c r="AR1065" i="5"/>
  <c r="AT1065" i="5" s="1"/>
  <c r="AU1065" i="5"/>
  <c r="AV1065" i="5" s="1"/>
  <c r="AW1065" i="5"/>
  <c r="AX1065" i="5" s="1"/>
  <c r="AH1066" i="5"/>
  <c r="AL1066" i="5" s="1"/>
  <c r="AN1066" i="5"/>
  <c r="AO1066" i="5"/>
  <c r="AP1066" i="5"/>
  <c r="AR1066" i="5"/>
  <c r="AS1066" i="5" s="1"/>
  <c r="AU1066" i="5"/>
  <c r="AV1066" i="5" s="1"/>
  <c r="AW1066" i="5"/>
  <c r="AX1066" i="5" s="1"/>
  <c r="AH1067" i="5"/>
  <c r="AN1067" i="5"/>
  <c r="AO1067" i="5"/>
  <c r="AP1067" i="5"/>
  <c r="AR1067" i="5"/>
  <c r="AU1067" i="5"/>
  <c r="AV1067" i="5" s="1"/>
  <c r="AW1067" i="5"/>
  <c r="AX1067" i="5" s="1"/>
  <c r="AH1068" i="5"/>
  <c r="AY1068" i="5" s="1"/>
  <c r="AN1068" i="5"/>
  <c r="AO1068" i="5"/>
  <c r="AP1068" i="5"/>
  <c r="AH1069" i="5"/>
  <c r="AY1069" i="5" s="1"/>
  <c r="AN1069" i="5"/>
  <c r="AO1069" i="5"/>
  <c r="AP1069" i="5"/>
  <c r="AJ1070" i="5"/>
  <c r="AK1070" i="5"/>
  <c r="AL1070" i="5"/>
  <c r="AN1070" i="5"/>
  <c r="AO1070" i="5"/>
  <c r="AP1070" i="5"/>
  <c r="AR1070" i="5"/>
  <c r="AT1070" i="5" s="1"/>
  <c r="AU1070" i="5"/>
  <c r="AV1070" i="5" s="1"/>
  <c r="AW1070" i="5"/>
  <c r="AX1070" i="5" s="1"/>
  <c r="AH1071" i="5"/>
  <c r="AK1071" i="5" s="1"/>
  <c r="AN1071" i="5"/>
  <c r="AO1071" i="5"/>
  <c r="AP1071" i="5"/>
  <c r="AR1071" i="5"/>
  <c r="AT1071" i="5" s="1"/>
  <c r="AU1071" i="5"/>
  <c r="AV1071" i="5" s="1"/>
  <c r="AW1071" i="5"/>
  <c r="AX1071" i="5" s="1"/>
  <c r="AH1072" i="5"/>
  <c r="AJ1072" i="5" s="1"/>
  <c r="AN1072" i="5"/>
  <c r="AO1072" i="5"/>
  <c r="AP1072" i="5"/>
  <c r="AR1072" i="5"/>
  <c r="AS1072" i="5" s="1"/>
  <c r="AU1072" i="5"/>
  <c r="AV1072" i="5" s="1"/>
  <c r="AW1072" i="5"/>
  <c r="AX1072" i="5" s="1"/>
  <c r="AH1073" i="5"/>
  <c r="AN1073" i="5"/>
  <c r="AO1073" i="5"/>
  <c r="AP1073" i="5"/>
  <c r="AR1073" i="5"/>
  <c r="AU1073" i="5"/>
  <c r="AV1073" i="5" s="1"/>
  <c r="AW1073" i="5"/>
  <c r="AX1073" i="5" s="1"/>
  <c r="AH1074" i="5"/>
  <c r="AN1074" i="5"/>
  <c r="AO1074" i="5"/>
  <c r="AP1074" i="5"/>
  <c r="AH1075" i="5"/>
  <c r="AI1076" i="5" s="1"/>
  <c r="AN1075" i="5"/>
  <c r="AO1075" i="5"/>
  <c r="AP1075" i="5"/>
  <c r="AJ1076" i="5"/>
  <c r="AK1076" i="5"/>
  <c r="AL1076" i="5"/>
  <c r="AN1076" i="5"/>
  <c r="AO1076" i="5"/>
  <c r="AP1076" i="5"/>
  <c r="AR1076" i="5"/>
  <c r="AS1076" i="5" s="1"/>
  <c r="AU1076" i="5"/>
  <c r="AV1076" i="5" s="1"/>
  <c r="AW1076" i="5"/>
  <c r="AX1076" i="5" s="1"/>
  <c r="AH1077" i="5"/>
  <c r="AI1077" i="5" s="1"/>
  <c r="AN1077" i="5"/>
  <c r="AO1077" i="5"/>
  <c r="AP1077" i="5"/>
  <c r="AR1077" i="5"/>
  <c r="AU1077" i="5"/>
  <c r="AV1077" i="5" s="1"/>
  <c r="AW1077" i="5"/>
  <c r="AX1077" i="5" s="1"/>
  <c r="AN1078" i="5"/>
  <c r="AO1078" i="5"/>
  <c r="AP1078" i="5"/>
  <c r="AR1078" i="5"/>
  <c r="AU1078" i="5"/>
  <c r="AV1078" i="5" s="1"/>
  <c r="AW1078" i="5"/>
  <c r="AX1078" i="5" s="1"/>
  <c r="AH1079" i="5"/>
  <c r="AL1079" i="5" s="1"/>
  <c r="AN1079" i="5"/>
  <c r="AO1079" i="5"/>
  <c r="AP1079" i="5"/>
  <c r="AR1079" i="5"/>
  <c r="AU1079" i="5"/>
  <c r="AV1079" i="5" s="1"/>
  <c r="AW1079" i="5"/>
  <c r="AX1079" i="5" s="1"/>
  <c r="AH1080" i="5"/>
  <c r="AU1080" i="5" s="1"/>
  <c r="AV1080" i="5" s="1"/>
  <c r="AN1080" i="5"/>
  <c r="AO1080" i="5"/>
  <c r="AP1080" i="5"/>
  <c r="AH1081" i="5"/>
  <c r="AR1081" i="5" s="1"/>
  <c r="AT1081" i="5" s="1"/>
  <c r="AN1081" i="5"/>
  <c r="AO1081" i="5"/>
  <c r="AP1081" i="5"/>
  <c r="AJ1082" i="5"/>
  <c r="AK1082" i="5"/>
  <c r="AL1082" i="5"/>
  <c r="AN1082" i="5"/>
  <c r="AO1082" i="5"/>
  <c r="AP1082" i="5"/>
  <c r="AR1082" i="5"/>
  <c r="AU1082" i="5"/>
  <c r="AV1082" i="5" s="1"/>
  <c r="AW1082" i="5"/>
  <c r="AX1082" i="5" s="1"/>
  <c r="AH1124" i="5"/>
  <c r="AN1124" i="5"/>
  <c r="AO1124" i="5"/>
  <c r="AP1124" i="5"/>
  <c r="AR1124" i="5"/>
  <c r="AU1124" i="5"/>
  <c r="AV1124" i="5" s="1"/>
  <c r="AW1124" i="5"/>
  <c r="AX1124" i="5" s="1"/>
  <c r="AH1125" i="5"/>
  <c r="AN1125" i="5"/>
  <c r="AO1125" i="5"/>
  <c r="AP1125" i="5"/>
  <c r="AR1125" i="5"/>
  <c r="AT1125" i="5" s="1"/>
  <c r="AU1125" i="5"/>
  <c r="AV1125" i="5" s="1"/>
  <c r="AW1125" i="5"/>
  <c r="AX1125" i="5" s="1"/>
  <c r="AN1126" i="5"/>
  <c r="AO1126" i="5"/>
  <c r="AP1126" i="5"/>
  <c r="AR1126" i="5"/>
  <c r="AU1126" i="5"/>
  <c r="AV1126" i="5" s="1"/>
  <c r="AW1126" i="5"/>
  <c r="AX1126" i="5" s="1"/>
  <c r="AH1127" i="5"/>
  <c r="AK1127" i="5" s="1"/>
  <c r="AN1127" i="5"/>
  <c r="AO1127" i="5"/>
  <c r="AP1127" i="5"/>
  <c r="AR1127" i="5"/>
  <c r="AU1127" i="5"/>
  <c r="AV1127" i="5" s="1"/>
  <c r="AW1127" i="5"/>
  <c r="AX1127" i="5" s="1"/>
  <c r="AH1128" i="5"/>
  <c r="AN1128" i="5"/>
  <c r="AO1128" i="5"/>
  <c r="AR1128" i="5"/>
  <c r="AU1128" i="5"/>
  <c r="AV1128" i="5" s="1"/>
  <c r="AW1128" i="5"/>
  <c r="AX1128" i="5" s="1"/>
  <c r="AH1129" i="5"/>
  <c r="AN1129" i="5"/>
  <c r="AO1129" i="5"/>
  <c r="AP1129" i="5"/>
  <c r="AR1129" i="5"/>
  <c r="AS1129" i="5" s="1"/>
  <c r="AU1129" i="5"/>
  <c r="AV1129" i="5" s="1"/>
  <c r="AW1129" i="5"/>
  <c r="AX1129" i="5" s="1"/>
  <c r="AH1130" i="5"/>
  <c r="AL1130" i="5" s="1"/>
  <c r="AN1130" i="5"/>
  <c r="AO1130" i="5"/>
  <c r="AP1130" i="5"/>
  <c r="AR1130" i="5"/>
  <c r="AT1130" i="5" s="1"/>
  <c r="AU1130" i="5"/>
  <c r="AV1130" i="5" s="1"/>
  <c r="AW1130" i="5"/>
  <c r="AX1130" i="5" s="1"/>
  <c r="AH1131" i="5"/>
  <c r="AN1131" i="5"/>
  <c r="AO1131" i="5"/>
  <c r="AP1131" i="5"/>
  <c r="AR1131" i="5"/>
  <c r="AS1131" i="5" s="1"/>
  <c r="AU1131" i="5"/>
  <c r="AV1131" i="5" s="1"/>
  <c r="AW1131" i="5"/>
  <c r="AX1131" i="5" s="1"/>
  <c r="AH1132" i="5"/>
  <c r="AN1132" i="5"/>
  <c r="AO1132" i="5"/>
  <c r="AP1132" i="5"/>
  <c r="AR1132" i="5"/>
  <c r="AU1132" i="5"/>
  <c r="AV1132" i="5" s="1"/>
  <c r="AW1132" i="5"/>
  <c r="AX1132" i="5" s="1"/>
  <c r="AH1133" i="5"/>
  <c r="AN1133" i="5"/>
  <c r="AO1133" i="5"/>
  <c r="AP1133" i="5"/>
  <c r="AH1134" i="5"/>
  <c r="AN1134" i="5"/>
  <c r="AO1134" i="5"/>
  <c r="AP1134" i="5"/>
  <c r="AJ1135" i="5"/>
  <c r="AK1135" i="5"/>
  <c r="AL1135" i="5"/>
  <c r="AN1135" i="5"/>
  <c r="AO1135" i="5"/>
  <c r="AP1135" i="5"/>
  <c r="AR1135" i="5"/>
  <c r="AT1135" i="5" s="1"/>
  <c r="AU1135" i="5"/>
  <c r="AV1135" i="5" s="1"/>
  <c r="AW1135" i="5"/>
  <c r="AX1135" i="5" s="1"/>
  <c r="AH1136" i="5"/>
  <c r="AN1136" i="5"/>
  <c r="AO1136" i="5"/>
  <c r="AP1136" i="5"/>
  <c r="AR1136" i="5"/>
  <c r="AU1136" i="5"/>
  <c r="AV1136" i="5" s="1"/>
  <c r="AW1136" i="5"/>
  <c r="AX1136" i="5" s="1"/>
  <c r="AH1137" i="5"/>
  <c r="AK1137" i="5" s="1"/>
  <c r="AN1137" i="5"/>
  <c r="AO1137" i="5"/>
  <c r="AP1137" i="5"/>
  <c r="AR1137" i="5"/>
  <c r="AS1137" i="5" s="1"/>
  <c r="AU1137" i="5"/>
  <c r="AV1137" i="5" s="1"/>
  <c r="AW1137" i="5"/>
  <c r="AX1137" i="5" s="1"/>
  <c r="AH1138" i="5"/>
  <c r="AN1138" i="5"/>
  <c r="AO1138" i="5"/>
  <c r="AP1138" i="5"/>
  <c r="AR1138" i="5"/>
  <c r="AS1138" i="5" s="1"/>
  <c r="AU1138" i="5"/>
  <c r="AV1138" i="5" s="1"/>
  <c r="AW1138" i="5"/>
  <c r="AX1138" i="5" s="1"/>
  <c r="AH1139" i="5"/>
  <c r="AJ1139" i="5" s="1"/>
  <c r="AN1139" i="5"/>
  <c r="AO1139" i="5"/>
  <c r="AP1139" i="5"/>
  <c r="AR1139" i="5"/>
  <c r="AU1139" i="5"/>
  <c r="AV1139" i="5" s="1"/>
  <c r="AW1139" i="5"/>
  <c r="AX1139" i="5" s="1"/>
  <c r="AH1140" i="5"/>
  <c r="AW1140" i="5" s="1"/>
  <c r="AX1140" i="5" s="1"/>
  <c r="AN1140" i="5"/>
  <c r="AO1140" i="5"/>
  <c r="AP1140" i="5"/>
  <c r="AH1141" i="5"/>
  <c r="AZ1141" i="5" s="1"/>
  <c r="AN1141" i="5"/>
  <c r="AO1141" i="5"/>
  <c r="AP1141" i="5"/>
  <c r="AJ1142" i="5"/>
  <c r="AK1142" i="5"/>
  <c r="AL1142" i="5"/>
  <c r="AN1142" i="5"/>
  <c r="AO1142" i="5"/>
  <c r="AP1142" i="5"/>
  <c r="AR1142" i="5"/>
  <c r="AU1142" i="5"/>
  <c r="AV1142" i="5" s="1"/>
  <c r="AW1142" i="5"/>
  <c r="AX1142" i="5" s="1"/>
  <c r="AH1143" i="5"/>
  <c r="AN1143" i="5"/>
  <c r="AO1143" i="5"/>
  <c r="AP1143" i="5"/>
  <c r="AR1143" i="5"/>
  <c r="AU1143" i="5"/>
  <c r="AV1143" i="5" s="1"/>
  <c r="AW1143" i="5"/>
  <c r="AX1143" i="5" s="1"/>
  <c r="AH1144" i="5"/>
  <c r="AN1144" i="5"/>
  <c r="AO1144" i="5"/>
  <c r="AP1144" i="5"/>
  <c r="AR1144" i="5"/>
  <c r="AU1144" i="5"/>
  <c r="AV1144" i="5" s="1"/>
  <c r="AW1144" i="5"/>
  <c r="AX1144" i="5" s="1"/>
  <c r="AH1145" i="5"/>
  <c r="AN1145" i="5"/>
  <c r="AO1145" i="5"/>
  <c r="AP1145" i="5"/>
  <c r="AR1145" i="5"/>
  <c r="AS1145" i="5" s="1"/>
  <c r="AU1145" i="5"/>
  <c r="AV1145" i="5" s="1"/>
  <c r="AW1145" i="5"/>
  <c r="AX1145" i="5" s="1"/>
  <c r="AH1146" i="5"/>
  <c r="AN1146" i="5"/>
  <c r="AO1146" i="5"/>
  <c r="AP1146" i="5"/>
  <c r="AR1146" i="5"/>
  <c r="AU1146" i="5"/>
  <c r="AV1146" i="5" s="1"/>
  <c r="AW1146" i="5"/>
  <c r="AX1146" i="5" s="1"/>
  <c r="AH1147" i="5"/>
  <c r="AN1147" i="5"/>
  <c r="AO1147" i="5"/>
  <c r="AP1147" i="5"/>
  <c r="AH1148" i="5"/>
  <c r="AN1148" i="5"/>
  <c r="AO1148" i="5"/>
  <c r="AP1148" i="5"/>
  <c r="AJ1149" i="5"/>
  <c r="AK1149" i="5"/>
  <c r="AL1149" i="5"/>
  <c r="AN1149" i="5"/>
  <c r="AO1149" i="5"/>
  <c r="AP1149" i="5"/>
  <c r="AR1149" i="5"/>
  <c r="AU1149" i="5"/>
  <c r="AV1149" i="5" s="1"/>
  <c r="AW1149" i="5"/>
  <c r="AX1149" i="5" s="1"/>
  <c r="AH1150" i="5"/>
  <c r="AY1150" i="5" s="1"/>
  <c r="AN1150" i="5"/>
  <c r="AO1150" i="5"/>
  <c r="AP1150" i="5"/>
  <c r="AR1150" i="5"/>
  <c r="AS1150" i="5" s="1"/>
  <c r="AU1150" i="5"/>
  <c r="AV1150" i="5" s="1"/>
  <c r="AW1150" i="5"/>
  <c r="AX1150" i="5" s="1"/>
  <c r="AH1151" i="5"/>
  <c r="AN1151" i="5"/>
  <c r="AO1151" i="5"/>
  <c r="AP1151" i="5"/>
  <c r="AR1151" i="5"/>
  <c r="AS1151" i="5" s="1"/>
  <c r="AU1151" i="5"/>
  <c r="AV1151" i="5" s="1"/>
  <c r="AW1151" i="5"/>
  <c r="AX1151" i="5" s="1"/>
  <c r="AH1152" i="5"/>
  <c r="AN1152" i="5"/>
  <c r="AO1152" i="5"/>
  <c r="AP1152" i="5"/>
  <c r="AR1152" i="5"/>
  <c r="AU1152" i="5"/>
  <c r="AV1152" i="5" s="1"/>
  <c r="AW1152" i="5"/>
  <c r="AX1152" i="5" s="1"/>
  <c r="AH1153" i="5"/>
  <c r="AJ1153" i="5" s="1"/>
  <c r="AN1153" i="5"/>
  <c r="AO1153" i="5"/>
  <c r="AP1153" i="5"/>
  <c r="AR1153" i="5"/>
  <c r="AS1153" i="5" s="1"/>
  <c r="AU1153" i="5"/>
  <c r="AV1153" i="5" s="1"/>
  <c r="AW1153" i="5"/>
  <c r="AX1153" i="5" s="1"/>
  <c r="AH1154" i="5"/>
  <c r="AL1154" i="5" s="1"/>
  <c r="AN1154" i="5"/>
  <c r="AO1154" i="5"/>
  <c r="AP1154" i="5"/>
  <c r="AH1155" i="5"/>
  <c r="AW1155" i="5" s="1"/>
  <c r="AX1155" i="5" s="1"/>
  <c r="AN1155" i="5"/>
  <c r="AO1155" i="5"/>
  <c r="AP1155" i="5"/>
  <c r="AJ1156" i="5"/>
  <c r="AK1156" i="5"/>
  <c r="AL1156" i="5"/>
  <c r="AN1156" i="5"/>
  <c r="AO1156" i="5"/>
  <c r="AP1156" i="5"/>
  <c r="AR1156" i="5"/>
  <c r="AT1156" i="5" s="1"/>
  <c r="AU1156" i="5"/>
  <c r="AV1156" i="5" s="1"/>
  <c r="AW1156" i="5"/>
  <c r="AX1156" i="5" s="1"/>
  <c r="AH1157" i="5"/>
  <c r="AJ1157" i="5" s="1"/>
  <c r="AN1157" i="5"/>
  <c r="AO1157" i="5"/>
  <c r="AP1157" i="5"/>
  <c r="AR1157" i="5"/>
  <c r="AU1157" i="5"/>
  <c r="AV1157" i="5" s="1"/>
  <c r="AW1157" i="5"/>
  <c r="AX1157" i="5" s="1"/>
  <c r="AH1158" i="5"/>
  <c r="AL1158" i="5" s="1"/>
  <c r="AN1158" i="5"/>
  <c r="AO1158" i="5"/>
  <c r="AP1158" i="5"/>
  <c r="AR1158" i="5"/>
  <c r="AU1158" i="5"/>
  <c r="AV1158" i="5" s="1"/>
  <c r="AW1158" i="5"/>
  <c r="AX1158" i="5" s="1"/>
  <c r="AH1159" i="5"/>
  <c r="AL1159" i="5" s="1"/>
  <c r="AN1159" i="5"/>
  <c r="AO1159" i="5"/>
  <c r="AP1159" i="5"/>
  <c r="AR1159" i="5"/>
  <c r="AU1159" i="5"/>
  <c r="AV1159" i="5" s="1"/>
  <c r="AW1159" i="5"/>
  <c r="AX1159" i="5" s="1"/>
  <c r="AH1160" i="5"/>
  <c r="AK1160" i="5" s="1"/>
  <c r="AN1160" i="5"/>
  <c r="AO1160" i="5"/>
  <c r="AP1160" i="5"/>
  <c r="AR1160" i="5"/>
  <c r="AU1160" i="5"/>
  <c r="AV1160" i="5" s="1"/>
  <c r="AW1160" i="5"/>
  <c r="AX1160" i="5" s="1"/>
  <c r="AH1161" i="5"/>
  <c r="AU1161" i="5" s="1"/>
  <c r="AV1161" i="5" s="1"/>
  <c r="AN1161" i="5"/>
  <c r="AO1161" i="5"/>
  <c r="AP1161" i="5"/>
  <c r="AH1162" i="5"/>
  <c r="AZ1162" i="5" s="1"/>
  <c r="AN1162" i="5"/>
  <c r="AO1162" i="5"/>
  <c r="AP1162" i="5"/>
  <c r="AJ1163" i="5"/>
  <c r="AK1163" i="5"/>
  <c r="AL1163" i="5"/>
  <c r="AN1163" i="5"/>
  <c r="AO1163" i="5"/>
  <c r="AP1163" i="5"/>
  <c r="AR1163" i="5"/>
  <c r="AU1163" i="5"/>
  <c r="AV1163" i="5" s="1"/>
  <c r="AW1163" i="5"/>
  <c r="AX1163" i="5" s="1"/>
  <c r="AH1164" i="5"/>
  <c r="AN1164" i="5"/>
  <c r="AO1164" i="5"/>
  <c r="AP1164" i="5"/>
  <c r="AR1164" i="5"/>
  <c r="AU1164" i="5"/>
  <c r="AV1164" i="5" s="1"/>
  <c r="AW1164" i="5"/>
  <c r="AX1164" i="5" s="1"/>
  <c r="AH1165" i="5"/>
  <c r="AZ1165" i="5" s="1"/>
  <c r="AN1165" i="5"/>
  <c r="AO1165" i="5"/>
  <c r="AP1165" i="5"/>
  <c r="AR1165" i="5"/>
  <c r="AS1165" i="5" s="1"/>
  <c r="AU1165" i="5"/>
  <c r="AV1165" i="5" s="1"/>
  <c r="AW1165" i="5"/>
  <c r="AX1165" i="5" s="1"/>
  <c r="AH1166" i="5"/>
  <c r="AK1166" i="5" s="1"/>
  <c r="AN1166" i="5"/>
  <c r="AO1166" i="5"/>
  <c r="AP1166" i="5"/>
  <c r="AR1166" i="5"/>
  <c r="AS1166" i="5" s="1"/>
  <c r="AU1166" i="5"/>
  <c r="AV1166" i="5" s="1"/>
  <c r="AW1166" i="5"/>
  <c r="AX1166" i="5" s="1"/>
  <c r="AH1167" i="5"/>
  <c r="AJ1167" i="5" s="1"/>
  <c r="AN1167" i="5"/>
  <c r="AO1167" i="5"/>
  <c r="AP1167" i="5"/>
  <c r="AR1167" i="5"/>
  <c r="AS1167" i="5" s="1"/>
  <c r="AU1167" i="5"/>
  <c r="AV1167" i="5" s="1"/>
  <c r="AW1167" i="5"/>
  <c r="AX1167" i="5" s="1"/>
  <c r="AH1168" i="5"/>
  <c r="AN1168" i="5"/>
  <c r="AO1168" i="5"/>
  <c r="AP1168" i="5"/>
  <c r="AH1169" i="5"/>
  <c r="AN1169" i="5"/>
  <c r="AO1169" i="5"/>
  <c r="AP1169" i="5"/>
  <c r="AJ1170" i="5"/>
  <c r="AK1170" i="5"/>
  <c r="AL1170" i="5"/>
  <c r="AN1170" i="5"/>
  <c r="AO1170" i="5"/>
  <c r="AP1170" i="5"/>
  <c r="AR1170" i="5"/>
  <c r="AS1170" i="5" s="1"/>
  <c r="AU1170" i="5"/>
  <c r="AV1170" i="5" s="1"/>
  <c r="AW1170" i="5"/>
  <c r="AX1170" i="5" s="1"/>
  <c r="AH1171" i="5"/>
  <c r="AN1171" i="5"/>
  <c r="AO1171" i="5"/>
  <c r="AP1171" i="5"/>
  <c r="AR1171" i="5"/>
  <c r="AT1171" i="5" s="1"/>
  <c r="AU1171" i="5"/>
  <c r="AV1171" i="5" s="1"/>
  <c r="AW1171" i="5"/>
  <c r="AX1171" i="5" s="1"/>
  <c r="AH1172" i="5"/>
  <c r="AN1172" i="5"/>
  <c r="AO1172" i="5"/>
  <c r="AP1172" i="5"/>
  <c r="AR1172" i="5"/>
  <c r="AU1172" i="5"/>
  <c r="AV1172" i="5" s="1"/>
  <c r="AW1172" i="5"/>
  <c r="AX1172" i="5" s="1"/>
  <c r="AH1173" i="5"/>
  <c r="AZ1173" i="5" s="1"/>
  <c r="AN1173" i="5"/>
  <c r="AO1173" i="5"/>
  <c r="AP1173" i="5"/>
  <c r="AR1173" i="5"/>
  <c r="AS1173" i="5" s="1"/>
  <c r="AU1173" i="5"/>
  <c r="AV1173" i="5" s="1"/>
  <c r="AW1173" i="5"/>
  <c r="AX1173" i="5" s="1"/>
  <c r="AH1174" i="5"/>
  <c r="AY1174" i="5" s="1"/>
  <c r="AN1174" i="5"/>
  <c r="AO1174" i="5"/>
  <c r="AP1174" i="5"/>
  <c r="AR1174" i="5"/>
  <c r="AS1174" i="5" s="1"/>
  <c r="AU1174" i="5"/>
  <c r="AV1174" i="5" s="1"/>
  <c r="AW1174" i="5"/>
  <c r="AX1174" i="5" s="1"/>
  <c r="AH1175" i="5"/>
  <c r="AR1175" i="5" s="1"/>
  <c r="AT1175" i="5" s="1"/>
  <c r="AN1175" i="5"/>
  <c r="AO1175" i="5"/>
  <c r="AP1175" i="5"/>
  <c r="AH1176" i="5"/>
  <c r="AN1176" i="5"/>
  <c r="AO1176" i="5"/>
  <c r="AP1176" i="5"/>
  <c r="AJ1177" i="5"/>
  <c r="AK1177" i="5"/>
  <c r="AL1177" i="5"/>
  <c r="AN1177" i="5"/>
  <c r="AO1177" i="5"/>
  <c r="AP1177" i="5"/>
  <c r="AR1177" i="5"/>
  <c r="AU1177" i="5"/>
  <c r="AV1177" i="5" s="1"/>
  <c r="AW1177" i="5"/>
  <c r="AX1177" i="5" s="1"/>
  <c r="AH1178" i="5"/>
  <c r="AL1178" i="5" s="1"/>
  <c r="AN1178" i="5"/>
  <c r="AO1178" i="5"/>
  <c r="AP1178" i="5"/>
  <c r="AR1178" i="5"/>
  <c r="AT1178" i="5" s="1"/>
  <c r="AU1178" i="5"/>
  <c r="AV1178" i="5" s="1"/>
  <c r="AW1178" i="5"/>
  <c r="AX1178" i="5" s="1"/>
  <c r="AH1179" i="5"/>
  <c r="AJ1179" i="5" s="1"/>
  <c r="AN1179" i="5"/>
  <c r="AO1179" i="5"/>
  <c r="AP1179" i="5"/>
  <c r="AR1179" i="5"/>
  <c r="AU1179" i="5"/>
  <c r="AV1179" i="5" s="1"/>
  <c r="AW1179" i="5"/>
  <c r="AX1179" i="5" s="1"/>
  <c r="AH1180" i="5"/>
  <c r="AJ1180" i="5" s="1"/>
  <c r="AN1180" i="5"/>
  <c r="AO1180" i="5"/>
  <c r="AP1180" i="5"/>
  <c r="AR1180" i="5"/>
  <c r="AU1180" i="5"/>
  <c r="AV1180" i="5" s="1"/>
  <c r="AW1180" i="5"/>
  <c r="AX1180" i="5" s="1"/>
  <c r="AH1181" i="5"/>
  <c r="AN1181" i="5"/>
  <c r="AO1181" i="5"/>
  <c r="AP1181" i="5"/>
  <c r="AR1181" i="5"/>
  <c r="AU1181" i="5"/>
  <c r="AV1181" i="5" s="1"/>
  <c r="AW1181" i="5"/>
  <c r="AX1181" i="5" s="1"/>
  <c r="AH1182" i="5"/>
  <c r="AN1182" i="5"/>
  <c r="AO1182" i="5"/>
  <c r="AP1182" i="5"/>
  <c r="AH1183" i="5"/>
  <c r="AZ1183" i="5" s="1"/>
  <c r="AN1183" i="5"/>
  <c r="AO1183" i="5"/>
  <c r="AP1183" i="5"/>
  <c r="AJ1184" i="5"/>
  <c r="AK1184" i="5"/>
  <c r="AL1184" i="5"/>
  <c r="AN1184" i="5"/>
  <c r="AO1184" i="5"/>
  <c r="AP1184" i="5"/>
  <c r="AR1184" i="5"/>
  <c r="AU1184" i="5"/>
  <c r="AV1184" i="5" s="1"/>
  <c r="AW1184" i="5"/>
  <c r="AX1184" i="5" s="1"/>
  <c r="AH1185" i="5"/>
  <c r="AN1185" i="5"/>
  <c r="AO1185" i="5"/>
  <c r="AP1185" i="5"/>
  <c r="AR1185" i="5"/>
  <c r="AU1185" i="5"/>
  <c r="AV1185" i="5" s="1"/>
  <c r="AW1185" i="5"/>
  <c r="AX1185" i="5" s="1"/>
  <c r="AH1186" i="5"/>
  <c r="AN1186" i="5"/>
  <c r="AO1186" i="5"/>
  <c r="AP1186" i="5"/>
  <c r="AR1186" i="5"/>
  <c r="AT1186" i="5" s="1"/>
  <c r="AU1186" i="5"/>
  <c r="AV1186" i="5" s="1"/>
  <c r="AW1186" i="5"/>
  <c r="AX1186" i="5" s="1"/>
  <c r="AH1187" i="5"/>
  <c r="AN1187" i="5"/>
  <c r="AO1187" i="5"/>
  <c r="AP1187" i="5"/>
  <c r="AR1187" i="5"/>
  <c r="AT1187" i="5" s="1"/>
  <c r="AU1187" i="5"/>
  <c r="AV1187" i="5" s="1"/>
  <c r="AW1187" i="5"/>
  <c r="AX1187" i="5" s="1"/>
  <c r="AH1188" i="5"/>
  <c r="AN1188" i="5"/>
  <c r="AO1188" i="5"/>
  <c r="AP1188" i="5"/>
  <c r="AR1188" i="5"/>
  <c r="AU1188" i="5"/>
  <c r="AV1188" i="5" s="1"/>
  <c r="AW1188" i="5"/>
  <c r="AX1188" i="5" s="1"/>
  <c r="AH1189" i="5"/>
  <c r="AZ1189" i="5" s="1"/>
  <c r="AN1189" i="5"/>
  <c r="AO1189" i="5"/>
  <c r="AP1189" i="5"/>
  <c r="AH1190" i="5"/>
  <c r="AN1190" i="5"/>
  <c r="AO1190" i="5"/>
  <c r="AP1190" i="5"/>
  <c r="AJ1191" i="5"/>
  <c r="AK1191" i="5"/>
  <c r="AL1191" i="5"/>
  <c r="AN1191" i="5"/>
  <c r="AO1191" i="5"/>
  <c r="AP1191" i="5"/>
  <c r="AR1191" i="5"/>
  <c r="AT1191" i="5" s="1"/>
  <c r="AU1191" i="5"/>
  <c r="AV1191" i="5" s="1"/>
  <c r="AW1191" i="5"/>
  <c r="AX1191" i="5" s="1"/>
  <c r="AH1192" i="5"/>
  <c r="AN1192" i="5"/>
  <c r="AO1192" i="5"/>
  <c r="AP1192" i="5"/>
  <c r="AR1192" i="5"/>
  <c r="AU1192" i="5"/>
  <c r="AV1192" i="5" s="1"/>
  <c r="AW1192" i="5"/>
  <c r="AX1192" i="5" s="1"/>
  <c r="AH1193" i="5"/>
  <c r="AK1193" i="5" s="1"/>
  <c r="AN1193" i="5"/>
  <c r="AO1193" i="5"/>
  <c r="AP1193" i="5"/>
  <c r="AR1193" i="5"/>
  <c r="AT1193" i="5" s="1"/>
  <c r="AU1193" i="5"/>
  <c r="AV1193" i="5" s="1"/>
  <c r="AW1193" i="5"/>
  <c r="AX1193" i="5" s="1"/>
  <c r="AH1194" i="5"/>
  <c r="AY1194" i="5" s="1"/>
  <c r="AN1194" i="5"/>
  <c r="AO1194" i="5"/>
  <c r="AP1194" i="5"/>
  <c r="AR1194" i="5"/>
  <c r="AU1194" i="5"/>
  <c r="AV1194" i="5" s="1"/>
  <c r="AW1194" i="5"/>
  <c r="AX1194" i="5" s="1"/>
  <c r="AH1195" i="5"/>
  <c r="AZ1195" i="5" s="1"/>
  <c r="AN1195" i="5"/>
  <c r="AO1195" i="5"/>
  <c r="AP1195" i="5"/>
  <c r="AR1195" i="5"/>
  <c r="AU1195" i="5"/>
  <c r="AV1195" i="5" s="1"/>
  <c r="AW1195" i="5"/>
  <c r="AX1195" i="5" s="1"/>
  <c r="AH1196" i="5"/>
  <c r="AN1196" i="5"/>
  <c r="AO1196" i="5"/>
  <c r="AP1196" i="5"/>
  <c r="AH1197" i="5"/>
  <c r="AN1197" i="5"/>
  <c r="AO1197" i="5"/>
  <c r="AP1197" i="5"/>
  <c r="AJ1198" i="5"/>
  <c r="AK1198" i="5"/>
  <c r="AL1198" i="5"/>
  <c r="AN1198" i="5"/>
  <c r="AO1198" i="5"/>
  <c r="AP1198" i="5"/>
  <c r="AR1198" i="5"/>
  <c r="AU1198" i="5"/>
  <c r="AV1198" i="5" s="1"/>
  <c r="AW1198" i="5"/>
  <c r="AX1198" i="5" s="1"/>
  <c r="AH1199" i="5"/>
  <c r="AN1199" i="5"/>
  <c r="AO1199" i="5"/>
  <c r="AP1199" i="5"/>
  <c r="AR1199" i="5"/>
  <c r="AU1199" i="5"/>
  <c r="AV1199" i="5" s="1"/>
  <c r="AW1199" i="5"/>
  <c r="AX1199" i="5" s="1"/>
  <c r="AH1200" i="5"/>
  <c r="AZ1200" i="5" s="1"/>
  <c r="AN1200" i="5"/>
  <c r="AO1200" i="5"/>
  <c r="AP1200" i="5"/>
  <c r="AR1200" i="5"/>
  <c r="AS1200" i="5" s="1"/>
  <c r="AU1200" i="5"/>
  <c r="AV1200" i="5" s="1"/>
  <c r="AW1200" i="5"/>
  <c r="AX1200" i="5" s="1"/>
  <c r="AH1201" i="5"/>
  <c r="AN1201" i="5"/>
  <c r="AO1201" i="5"/>
  <c r="AP1201" i="5"/>
  <c r="AR1201" i="5"/>
  <c r="AT1201" i="5" s="1"/>
  <c r="AU1201" i="5"/>
  <c r="AV1201" i="5" s="1"/>
  <c r="AW1201" i="5"/>
  <c r="AX1201" i="5" s="1"/>
  <c r="AH1202" i="5"/>
  <c r="AN1202" i="5"/>
  <c r="AO1202" i="5"/>
  <c r="AP1202" i="5"/>
  <c r="AR1202" i="5"/>
  <c r="AS1202" i="5" s="1"/>
  <c r="AU1202" i="5"/>
  <c r="AV1202" i="5" s="1"/>
  <c r="AW1202" i="5"/>
  <c r="AX1202" i="5" s="1"/>
  <c r="AH1203" i="5"/>
  <c r="AN1203" i="5"/>
  <c r="AO1203" i="5"/>
  <c r="AP1203" i="5"/>
  <c r="AH1204" i="5"/>
  <c r="AK1204" i="5" s="1"/>
  <c r="AN1204" i="5"/>
  <c r="AO1204" i="5"/>
  <c r="AP1204" i="5"/>
  <c r="AJ1205" i="5"/>
  <c r="AK1205" i="5"/>
  <c r="AL1205" i="5"/>
  <c r="AN1205" i="5"/>
  <c r="AO1205" i="5"/>
  <c r="AP1205" i="5"/>
  <c r="AR1205" i="5"/>
  <c r="AT1205" i="5" s="1"/>
  <c r="AU1205" i="5"/>
  <c r="AV1205" i="5" s="1"/>
  <c r="AW1205" i="5"/>
  <c r="AX1205" i="5" s="1"/>
  <c r="AH1206" i="5"/>
  <c r="AK1206" i="5" s="1"/>
  <c r="AN1206" i="5"/>
  <c r="AO1206" i="5"/>
  <c r="AP1206" i="5"/>
  <c r="AR1206" i="5"/>
  <c r="AT1206" i="5" s="1"/>
  <c r="AU1206" i="5"/>
  <c r="AV1206" i="5" s="1"/>
  <c r="AW1206" i="5"/>
  <c r="AX1206" i="5" s="1"/>
  <c r="AH1207" i="5"/>
  <c r="AN1207" i="5"/>
  <c r="AO1207" i="5"/>
  <c r="AP1207" i="5"/>
  <c r="AR1207" i="5"/>
  <c r="AT1207" i="5" s="1"/>
  <c r="AU1207" i="5"/>
  <c r="AV1207" i="5" s="1"/>
  <c r="AW1207" i="5"/>
  <c r="AX1207" i="5" s="1"/>
  <c r="AH1208" i="5"/>
  <c r="AN1208" i="5"/>
  <c r="AO1208" i="5"/>
  <c r="AP1208" i="5"/>
  <c r="AR1208" i="5"/>
  <c r="AT1208" i="5" s="1"/>
  <c r="AU1208" i="5"/>
  <c r="AV1208" i="5" s="1"/>
  <c r="AW1208" i="5"/>
  <c r="AX1208" i="5" s="1"/>
  <c r="AH1209" i="5"/>
  <c r="AN1209" i="5"/>
  <c r="AO1209" i="5"/>
  <c r="AP1209" i="5"/>
  <c r="AR1209" i="5"/>
  <c r="AT1209" i="5" s="1"/>
  <c r="AU1209" i="5"/>
  <c r="AV1209" i="5" s="1"/>
  <c r="AW1209" i="5"/>
  <c r="AX1209" i="5" s="1"/>
  <c r="AH1210" i="5"/>
  <c r="AJ1210" i="5" s="1"/>
  <c r="AN1210" i="5"/>
  <c r="AO1210" i="5"/>
  <c r="AP1210" i="5"/>
  <c r="AH1211" i="5"/>
  <c r="AN1211" i="5"/>
  <c r="AO1211" i="5"/>
  <c r="AP1211" i="5"/>
  <c r="AJ1212" i="5"/>
  <c r="AK1212" i="5"/>
  <c r="AL1212" i="5"/>
  <c r="AN1212" i="5"/>
  <c r="AO1212" i="5"/>
  <c r="AP1212" i="5"/>
  <c r="AR1212" i="5"/>
  <c r="AS1212" i="5" s="1"/>
  <c r="AU1212" i="5"/>
  <c r="AV1212" i="5" s="1"/>
  <c r="AW1212" i="5"/>
  <c r="AX1212" i="5" s="1"/>
  <c r="AH1213" i="5"/>
  <c r="AZ1213" i="5" s="1"/>
  <c r="AN1213" i="5"/>
  <c r="AO1213" i="5"/>
  <c r="AP1213" i="5"/>
  <c r="AR1213" i="5"/>
  <c r="AT1213" i="5" s="1"/>
  <c r="AU1213" i="5"/>
  <c r="AV1213" i="5" s="1"/>
  <c r="AW1213" i="5"/>
  <c r="AX1213" i="5" s="1"/>
  <c r="AH1214" i="5"/>
  <c r="AJ1214" i="5" s="1"/>
  <c r="AN1214" i="5"/>
  <c r="AO1214" i="5"/>
  <c r="AP1214" i="5"/>
  <c r="AR1214" i="5"/>
  <c r="AT1214" i="5" s="1"/>
  <c r="AU1214" i="5"/>
  <c r="AV1214" i="5" s="1"/>
  <c r="AW1214" i="5"/>
  <c r="AX1214" i="5" s="1"/>
  <c r="AH1215" i="5"/>
  <c r="AK1215" i="5" s="1"/>
  <c r="AN1215" i="5"/>
  <c r="AO1215" i="5"/>
  <c r="AP1215" i="5"/>
  <c r="AR1215" i="5"/>
  <c r="AU1215" i="5"/>
  <c r="AV1215" i="5" s="1"/>
  <c r="AW1215" i="5"/>
  <c r="AX1215" i="5" s="1"/>
  <c r="AH1216" i="5"/>
  <c r="AJ1216" i="5" s="1"/>
  <c r="AN1216" i="5"/>
  <c r="AO1216" i="5"/>
  <c r="AP1216" i="5"/>
  <c r="AR1216" i="5"/>
  <c r="AU1216" i="5"/>
  <c r="AV1216" i="5" s="1"/>
  <c r="AW1216" i="5"/>
  <c r="AX1216" i="5" s="1"/>
  <c r="AH1217" i="5"/>
  <c r="AL1217" i="5" s="1"/>
  <c r="AN1217" i="5"/>
  <c r="AO1217" i="5"/>
  <c r="AP1217" i="5"/>
  <c r="AH1218" i="5"/>
  <c r="AW1218" i="5" s="1"/>
  <c r="AX1218" i="5" s="1"/>
  <c r="AN1218" i="5"/>
  <c r="AO1218" i="5"/>
  <c r="AP1218" i="5"/>
  <c r="AJ1219" i="5"/>
  <c r="AK1219" i="5"/>
  <c r="AL1219" i="5"/>
  <c r="AN1219" i="5"/>
  <c r="AO1219" i="5"/>
  <c r="AP1219" i="5"/>
  <c r="AR1219" i="5"/>
  <c r="AU1219" i="5"/>
  <c r="AV1219" i="5" s="1"/>
  <c r="AW1219" i="5"/>
  <c r="AX1219" i="5" s="1"/>
  <c r="AH1220" i="5"/>
  <c r="AN1220" i="5"/>
  <c r="AO1220" i="5"/>
  <c r="AP1220" i="5"/>
  <c r="AR1220" i="5"/>
  <c r="AU1220" i="5"/>
  <c r="AV1220" i="5" s="1"/>
  <c r="AW1220" i="5"/>
  <c r="AX1220" i="5" s="1"/>
  <c r="AH1221" i="5"/>
  <c r="AN1221" i="5"/>
  <c r="AO1221" i="5"/>
  <c r="AP1221" i="5"/>
  <c r="AR1221" i="5"/>
  <c r="AT1221" i="5" s="1"/>
  <c r="AU1221" i="5"/>
  <c r="AV1221" i="5" s="1"/>
  <c r="AW1221" i="5"/>
  <c r="AX1221" i="5" s="1"/>
  <c r="AH1222" i="5"/>
  <c r="AN1222" i="5"/>
  <c r="AO1222" i="5"/>
  <c r="AP1222" i="5"/>
  <c r="AR1222" i="5"/>
  <c r="AS1222" i="5" s="1"/>
  <c r="AU1222" i="5"/>
  <c r="AV1222" i="5" s="1"/>
  <c r="AW1222" i="5"/>
  <c r="AX1222" i="5" s="1"/>
  <c r="AH1223" i="5"/>
  <c r="AN1223" i="5"/>
  <c r="AO1223" i="5"/>
  <c r="AP1223" i="5"/>
  <c r="AR1223" i="5"/>
  <c r="AS1223" i="5" s="1"/>
  <c r="AU1223" i="5"/>
  <c r="AV1223" i="5" s="1"/>
  <c r="AW1223" i="5"/>
  <c r="AX1223" i="5" s="1"/>
  <c r="AH1224" i="5"/>
  <c r="AN1224" i="5"/>
  <c r="AO1224" i="5"/>
  <c r="AP1224" i="5"/>
  <c r="AH1225" i="5"/>
  <c r="AN1225" i="5"/>
  <c r="AO1225" i="5"/>
  <c r="AP1225" i="5"/>
  <c r="AJ1226" i="5"/>
  <c r="AK1226" i="5"/>
  <c r="AL1226" i="5"/>
  <c r="AN1226" i="5"/>
  <c r="AO1226" i="5"/>
  <c r="AP1226" i="5"/>
  <c r="AR1226" i="5"/>
  <c r="AT1226" i="5" s="1"/>
  <c r="AU1226" i="5"/>
  <c r="AV1226" i="5" s="1"/>
  <c r="AW1226" i="5"/>
  <c r="AX1226" i="5" s="1"/>
  <c r="AH1227" i="5"/>
  <c r="AN1227" i="5"/>
  <c r="AO1227" i="5"/>
  <c r="AP1227" i="5"/>
  <c r="AR1227" i="5"/>
  <c r="AU1227" i="5"/>
  <c r="AV1227" i="5" s="1"/>
  <c r="AW1227" i="5"/>
  <c r="AX1227" i="5" s="1"/>
  <c r="AH1228" i="5"/>
  <c r="AL1228" i="5" s="1"/>
  <c r="AN1228" i="5"/>
  <c r="AO1228" i="5"/>
  <c r="AP1228" i="5"/>
  <c r="AR1228" i="5"/>
  <c r="AU1228" i="5"/>
  <c r="AV1228" i="5" s="1"/>
  <c r="AW1228" i="5"/>
  <c r="AX1228" i="5" s="1"/>
  <c r="AH1229" i="5"/>
  <c r="AN1229" i="5"/>
  <c r="AO1229" i="5"/>
  <c r="AP1229" i="5"/>
  <c r="AR1229" i="5"/>
  <c r="AU1229" i="5"/>
  <c r="AV1229" i="5" s="1"/>
  <c r="AW1229" i="5"/>
  <c r="AX1229" i="5" s="1"/>
  <c r="AH1230" i="5"/>
  <c r="AJ1230" i="5" s="1"/>
  <c r="AN1230" i="5"/>
  <c r="AO1230" i="5"/>
  <c r="AP1230" i="5"/>
  <c r="AR1230" i="5"/>
  <c r="AU1230" i="5"/>
  <c r="AV1230" i="5" s="1"/>
  <c r="AW1230" i="5"/>
  <c r="AX1230" i="5" s="1"/>
  <c r="AH1231" i="5"/>
  <c r="AN1231" i="5"/>
  <c r="AO1231" i="5"/>
  <c r="AP1231" i="5"/>
  <c r="AH1232" i="5"/>
  <c r="AJ1232" i="5" s="1"/>
  <c r="AN1232" i="5"/>
  <c r="AO1232" i="5"/>
  <c r="AP1232" i="5"/>
  <c r="AJ1233" i="5"/>
  <c r="AK1233" i="5"/>
  <c r="AL1233" i="5"/>
  <c r="AN1233" i="5"/>
  <c r="AO1233" i="5"/>
  <c r="AP1233" i="5"/>
  <c r="AR1233" i="5"/>
  <c r="AT1233" i="5" s="1"/>
  <c r="AU1233" i="5"/>
  <c r="AV1233" i="5" s="1"/>
  <c r="AW1233" i="5"/>
  <c r="AX1233" i="5" s="1"/>
  <c r="AH1234" i="5"/>
  <c r="AN1234" i="5"/>
  <c r="AO1234" i="5"/>
  <c r="AP1234" i="5"/>
  <c r="AR1234" i="5"/>
  <c r="AT1234" i="5" s="1"/>
  <c r="AU1234" i="5"/>
  <c r="AV1234" i="5" s="1"/>
  <c r="AW1234" i="5"/>
  <c r="AX1234" i="5" s="1"/>
  <c r="AH1235" i="5"/>
  <c r="AN1235" i="5"/>
  <c r="AO1235" i="5"/>
  <c r="AP1235" i="5"/>
  <c r="AR1235" i="5"/>
  <c r="AU1235" i="5"/>
  <c r="AV1235" i="5" s="1"/>
  <c r="AW1235" i="5"/>
  <c r="AX1235" i="5" s="1"/>
  <c r="AH1236" i="5"/>
  <c r="AN1236" i="5"/>
  <c r="AO1236" i="5"/>
  <c r="AP1236" i="5"/>
  <c r="AR1236" i="5"/>
  <c r="AU1236" i="5"/>
  <c r="AV1236" i="5" s="1"/>
  <c r="AW1236" i="5"/>
  <c r="AX1236" i="5" s="1"/>
  <c r="AH1237" i="5"/>
  <c r="AN1237" i="5"/>
  <c r="AO1237" i="5"/>
  <c r="AP1237" i="5"/>
  <c r="AR1237" i="5"/>
  <c r="AU1237" i="5"/>
  <c r="AV1237" i="5" s="1"/>
  <c r="AW1237" i="5"/>
  <c r="AX1237" i="5" s="1"/>
  <c r="AH1238" i="5"/>
  <c r="AR1238" i="5" s="1"/>
  <c r="AS1238" i="5" s="1"/>
  <c r="AN1238" i="5"/>
  <c r="AO1238" i="5"/>
  <c r="AP1238" i="5"/>
  <c r="AH1239" i="5"/>
  <c r="AN1239" i="5"/>
  <c r="AO1239" i="5"/>
  <c r="AP1239" i="5"/>
  <c r="AJ1240" i="5"/>
  <c r="AK1240" i="5"/>
  <c r="AL1240" i="5"/>
  <c r="AN1240" i="5"/>
  <c r="AO1240" i="5"/>
  <c r="AP1240" i="5"/>
  <c r="AR1240" i="5"/>
  <c r="AU1240" i="5"/>
  <c r="AV1240" i="5" s="1"/>
  <c r="AW1240" i="5"/>
  <c r="AX1240" i="5" s="1"/>
  <c r="AH1241" i="5"/>
  <c r="AI1241" i="5" s="1"/>
  <c r="AN1241" i="5"/>
  <c r="AO1241" i="5"/>
  <c r="AP1241" i="5"/>
  <c r="AR1241" i="5"/>
  <c r="AT1241" i="5" s="1"/>
  <c r="AU1241" i="5"/>
  <c r="AV1241" i="5" s="1"/>
  <c r="AW1241" i="5"/>
  <c r="AX1241" i="5" s="1"/>
  <c r="AH1242" i="5"/>
  <c r="AK1242" i="5" s="1"/>
  <c r="AN1242" i="5"/>
  <c r="AO1242" i="5"/>
  <c r="AP1242" i="5"/>
  <c r="AR1242" i="5"/>
  <c r="AU1242" i="5"/>
  <c r="AV1242" i="5" s="1"/>
  <c r="AW1242" i="5"/>
  <c r="AX1242" i="5" s="1"/>
  <c r="AH1243" i="5"/>
  <c r="AN1243" i="5"/>
  <c r="AO1243" i="5"/>
  <c r="AP1243" i="5"/>
  <c r="AR1243" i="5"/>
  <c r="AT1243" i="5" s="1"/>
  <c r="AU1243" i="5"/>
  <c r="AV1243" i="5" s="1"/>
  <c r="AW1243" i="5"/>
  <c r="AX1243" i="5" s="1"/>
  <c r="AH1244" i="5"/>
  <c r="AK1244" i="5" s="1"/>
  <c r="AN1244" i="5"/>
  <c r="AO1244" i="5"/>
  <c r="AP1244" i="5"/>
  <c r="AR1244" i="5"/>
  <c r="AS1244" i="5" s="1"/>
  <c r="AU1244" i="5"/>
  <c r="AV1244" i="5" s="1"/>
  <c r="AW1244" i="5"/>
  <c r="AX1244" i="5" s="1"/>
  <c r="AH1245" i="5"/>
  <c r="AL1245" i="5" s="1"/>
  <c r="AN1245" i="5"/>
  <c r="AO1245" i="5"/>
  <c r="AP1245" i="5"/>
  <c r="AH1246" i="5"/>
  <c r="AI1247" i="5" s="1"/>
  <c r="AN1246" i="5"/>
  <c r="AO1246" i="5"/>
  <c r="AP1246" i="5"/>
  <c r="AJ1247" i="5"/>
  <c r="AK1247" i="5"/>
  <c r="AL1247" i="5"/>
  <c r="AN1247" i="5"/>
  <c r="AO1247" i="5"/>
  <c r="AP1247" i="5"/>
  <c r="AR1247" i="5"/>
  <c r="AS1247" i="5" s="1"/>
  <c r="AU1247" i="5"/>
  <c r="AV1247" i="5" s="1"/>
  <c r="AW1247" i="5"/>
  <c r="AX1247" i="5" s="1"/>
  <c r="AH1248" i="5"/>
  <c r="AY1248" i="5" s="1"/>
  <c r="AN1248" i="5"/>
  <c r="AO1248" i="5"/>
  <c r="AP1248" i="5"/>
  <c r="AR1248" i="5"/>
  <c r="AT1248" i="5" s="1"/>
  <c r="AU1248" i="5"/>
  <c r="AV1248" i="5" s="1"/>
  <c r="AW1248" i="5"/>
  <c r="AX1248" i="5" s="1"/>
  <c r="AH1249" i="5"/>
  <c r="AL1249" i="5" s="1"/>
  <c r="AN1249" i="5"/>
  <c r="AO1249" i="5"/>
  <c r="AP1249" i="5"/>
  <c r="AR1249" i="5"/>
  <c r="AS1249" i="5" s="1"/>
  <c r="AU1249" i="5"/>
  <c r="AV1249" i="5" s="1"/>
  <c r="AW1249" i="5"/>
  <c r="AX1249" i="5" s="1"/>
  <c r="AH1250" i="5"/>
  <c r="AL1250" i="5" s="1"/>
  <c r="AN1250" i="5"/>
  <c r="AO1250" i="5"/>
  <c r="AP1250" i="5"/>
  <c r="AR1250" i="5"/>
  <c r="AT1250" i="5" s="1"/>
  <c r="AU1250" i="5"/>
  <c r="AV1250" i="5" s="1"/>
  <c r="AW1250" i="5"/>
  <c r="AX1250" i="5" s="1"/>
  <c r="AH1251" i="5"/>
  <c r="AK1251" i="5" s="1"/>
  <c r="AN1251" i="5"/>
  <c r="AO1251" i="5"/>
  <c r="AP1251" i="5"/>
  <c r="AR1251" i="5"/>
  <c r="AT1251" i="5" s="1"/>
  <c r="AU1251" i="5"/>
  <c r="AV1251" i="5" s="1"/>
  <c r="AW1251" i="5"/>
  <c r="AX1251" i="5" s="1"/>
  <c r="AH1252" i="5"/>
  <c r="AK1252" i="5" s="1"/>
  <c r="AN1252" i="5"/>
  <c r="AO1252" i="5"/>
  <c r="AP1252" i="5"/>
  <c r="AH1253" i="5"/>
  <c r="AI1254" i="5" s="1"/>
  <c r="AN1253" i="5"/>
  <c r="AO1253" i="5"/>
  <c r="AP1253" i="5"/>
  <c r="AJ1254" i="5"/>
  <c r="AK1254" i="5"/>
  <c r="AL1254" i="5"/>
  <c r="AN1254" i="5"/>
  <c r="AO1254" i="5"/>
  <c r="AP1254" i="5"/>
  <c r="AR1254" i="5"/>
  <c r="AU1254" i="5"/>
  <c r="AV1254" i="5" s="1"/>
  <c r="AW1254" i="5"/>
  <c r="AX1254" i="5" s="1"/>
  <c r="AH1255" i="5"/>
  <c r="AN1255" i="5"/>
  <c r="AO1255" i="5"/>
  <c r="AP1255" i="5"/>
  <c r="AR1255" i="5"/>
  <c r="AS1255" i="5" s="1"/>
  <c r="AU1255" i="5"/>
  <c r="AV1255" i="5" s="1"/>
  <c r="AW1255" i="5"/>
  <c r="AX1255" i="5" s="1"/>
  <c r="AH1256" i="5"/>
  <c r="AN1256" i="5"/>
  <c r="AO1256" i="5"/>
  <c r="AP1256" i="5"/>
  <c r="AR1256" i="5"/>
  <c r="AU1256" i="5"/>
  <c r="AV1256" i="5" s="1"/>
  <c r="AW1256" i="5"/>
  <c r="AX1256" i="5" s="1"/>
  <c r="AH1257" i="5"/>
  <c r="AN1257" i="5"/>
  <c r="AO1257" i="5"/>
  <c r="AP1257" i="5"/>
  <c r="AR1257" i="5"/>
  <c r="AT1257" i="5" s="1"/>
  <c r="AU1257" i="5"/>
  <c r="AV1257" i="5" s="1"/>
  <c r="AW1257" i="5"/>
  <c r="AX1257" i="5" s="1"/>
  <c r="AH1258" i="5"/>
  <c r="AN1258" i="5"/>
  <c r="AO1258" i="5"/>
  <c r="AP1258" i="5"/>
  <c r="AR1258" i="5"/>
  <c r="AU1258" i="5"/>
  <c r="AV1258" i="5" s="1"/>
  <c r="AW1258" i="5"/>
  <c r="AX1258" i="5" s="1"/>
  <c r="AH1259" i="5"/>
  <c r="AN1259" i="5"/>
  <c r="AO1259" i="5"/>
  <c r="AP1259" i="5"/>
  <c r="AH1260" i="5"/>
  <c r="AN1260" i="5"/>
  <c r="AO1260" i="5"/>
  <c r="AP1260" i="5"/>
  <c r="AJ1261" i="5"/>
  <c r="AK1261" i="5"/>
  <c r="AL1261" i="5"/>
  <c r="AN1261" i="5"/>
  <c r="AO1261" i="5"/>
  <c r="AP1261" i="5"/>
  <c r="AR1261" i="5"/>
  <c r="AU1261" i="5"/>
  <c r="AV1261" i="5" s="1"/>
  <c r="AW1261" i="5"/>
  <c r="AX1261" i="5" s="1"/>
  <c r="AH1262" i="5"/>
  <c r="AN1262" i="5"/>
  <c r="AO1262" i="5"/>
  <c r="AP1262" i="5"/>
  <c r="AR1262" i="5"/>
  <c r="AT1262" i="5" s="1"/>
  <c r="AU1262" i="5"/>
  <c r="AV1262" i="5" s="1"/>
  <c r="AW1262" i="5"/>
  <c r="AX1262" i="5" s="1"/>
  <c r="AH1263" i="5"/>
  <c r="AJ1263" i="5" s="1"/>
  <c r="AN1263" i="5"/>
  <c r="AO1263" i="5"/>
  <c r="AP1263" i="5"/>
  <c r="AR1263" i="5"/>
  <c r="AT1263" i="5" s="1"/>
  <c r="AU1263" i="5"/>
  <c r="AV1263" i="5" s="1"/>
  <c r="AW1263" i="5"/>
  <c r="AX1263" i="5" s="1"/>
  <c r="AH1264" i="5"/>
  <c r="AK1264" i="5" s="1"/>
  <c r="AN1264" i="5"/>
  <c r="AO1264" i="5"/>
  <c r="AP1264" i="5"/>
  <c r="AR1264" i="5"/>
  <c r="AS1264" i="5" s="1"/>
  <c r="AU1264" i="5"/>
  <c r="AV1264" i="5" s="1"/>
  <c r="AW1264" i="5"/>
  <c r="AX1264" i="5" s="1"/>
  <c r="AH1265" i="5"/>
  <c r="AZ1265" i="5" s="1"/>
  <c r="AN1265" i="5"/>
  <c r="AO1265" i="5"/>
  <c r="AP1265" i="5"/>
  <c r="AR1265" i="5"/>
  <c r="AU1265" i="5"/>
  <c r="AV1265" i="5" s="1"/>
  <c r="AW1265" i="5"/>
  <c r="AX1265" i="5" s="1"/>
  <c r="AH1266" i="5"/>
  <c r="AY1266" i="5" s="1"/>
  <c r="AN1266" i="5"/>
  <c r="AO1266" i="5"/>
  <c r="AP1266" i="5"/>
  <c r="AH1267" i="5"/>
  <c r="AJ1267" i="5" s="1"/>
  <c r="AN1267" i="5"/>
  <c r="AO1267" i="5"/>
  <c r="AP1267" i="5"/>
  <c r="AJ1268" i="5"/>
  <c r="AK1268" i="5"/>
  <c r="AL1268" i="5"/>
  <c r="AN1268" i="5"/>
  <c r="AO1268" i="5"/>
  <c r="AP1268" i="5"/>
  <c r="AR1268" i="5"/>
  <c r="AU1268" i="5"/>
  <c r="AV1268" i="5" s="1"/>
  <c r="AW1268" i="5"/>
  <c r="AX1268" i="5" s="1"/>
  <c r="AH1269" i="5"/>
  <c r="AN1269" i="5"/>
  <c r="AO1269" i="5"/>
  <c r="AP1269" i="5"/>
  <c r="AR1269" i="5"/>
  <c r="AS1269" i="5" s="1"/>
  <c r="AU1269" i="5"/>
  <c r="AV1269" i="5" s="1"/>
  <c r="AW1269" i="5"/>
  <c r="AX1269" i="5" s="1"/>
  <c r="AH1270" i="5"/>
  <c r="AJ1270" i="5" s="1"/>
  <c r="AN1270" i="5"/>
  <c r="AO1270" i="5"/>
  <c r="AP1270" i="5"/>
  <c r="AR1270" i="5"/>
  <c r="AU1270" i="5"/>
  <c r="AV1270" i="5" s="1"/>
  <c r="AW1270" i="5"/>
  <c r="AX1270" i="5" s="1"/>
  <c r="AH1271" i="5"/>
  <c r="AN1271" i="5"/>
  <c r="AO1271" i="5"/>
  <c r="AP1271" i="5"/>
  <c r="AR1271" i="5"/>
  <c r="AU1271" i="5"/>
  <c r="AV1271" i="5" s="1"/>
  <c r="AW1271" i="5"/>
  <c r="AX1271" i="5" s="1"/>
  <c r="AH1272" i="5"/>
  <c r="AK1272" i="5" s="1"/>
  <c r="AN1272" i="5"/>
  <c r="AO1272" i="5"/>
  <c r="AP1272" i="5"/>
  <c r="AR1272" i="5"/>
  <c r="AT1272" i="5" s="1"/>
  <c r="AU1272" i="5"/>
  <c r="AV1272" i="5" s="1"/>
  <c r="AW1272" i="5"/>
  <c r="AX1272" i="5" s="1"/>
  <c r="AH1273" i="5"/>
  <c r="AN1273" i="5"/>
  <c r="AO1273" i="5"/>
  <c r="AP1273" i="5"/>
  <c r="AH1274" i="5"/>
  <c r="AZ1274" i="5" s="1"/>
  <c r="AN1274" i="5"/>
  <c r="AO1274" i="5"/>
  <c r="AP1274" i="5"/>
  <c r="AJ1275" i="5"/>
  <c r="AK1275" i="5"/>
  <c r="AL1275" i="5"/>
  <c r="AN1275" i="5"/>
  <c r="AO1275" i="5"/>
  <c r="AP1275" i="5"/>
  <c r="AR1275" i="5"/>
  <c r="AU1275" i="5"/>
  <c r="AV1275" i="5" s="1"/>
  <c r="AW1275" i="5"/>
  <c r="AX1275" i="5" s="1"/>
  <c r="AH1276" i="5"/>
  <c r="AN1276" i="5"/>
  <c r="AO1276" i="5"/>
  <c r="AP1276" i="5"/>
  <c r="AR1276" i="5"/>
  <c r="AU1276" i="5"/>
  <c r="AV1276" i="5" s="1"/>
  <c r="AW1276" i="5"/>
  <c r="AX1276" i="5" s="1"/>
  <c r="AH1277" i="5"/>
  <c r="AY1277" i="5" s="1"/>
  <c r="AN1277" i="5"/>
  <c r="AO1277" i="5"/>
  <c r="AP1277" i="5"/>
  <c r="AR1277" i="5"/>
  <c r="AS1277" i="5" s="1"/>
  <c r="AU1277" i="5"/>
  <c r="AV1277" i="5" s="1"/>
  <c r="AW1277" i="5"/>
  <c r="AX1277" i="5" s="1"/>
  <c r="AH1278" i="5"/>
  <c r="AN1278" i="5"/>
  <c r="AO1278" i="5"/>
  <c r="AP1278" i="5"/>
  <c r="AR1278" i="5"/>
  <c r="AT1278" i="5" s="1"/>
  <c r="AU1278" i="5"/>
  <c r="AV1278" i="5" s="1"/>
  <c r="AW1278" i="5"/>
  <c r="AX1278" i="5" s="1"/>
  <c r="AH1279" i="5"/>
  <c r="AY1279" i="5" s="1"/>
  <c r="AN1279" i="5"/>
  <c r="AO1279" i="5"/>
  <c r="AP1279" i="5"/>
  <c r="AR1279" i="5"/>
  <c r="AS1279" i="5" s="1"/>
  <c r="AU1279" i="5"/>
  <c r="AV1279" i="5" s="1"/>
  <c r="AW1279" i="5"/>
  <c r="AX1279" i="5" s="1"/>
  <c r="AH1280" i="5"/>
  <c r="AN1280" i="5"/>
  <c r="AO1280" i="5"/>
  <c r="AP1280" i="5"/>
  <c r="AH1281" i="5"/>
  <c r="AZ1281" i="5" s="1"/>
  <c r="AN1281" i="5"/>
  <c r="AO1281" i="5"/>
  <c r="AP1281" i="5"/>
  <c r="AJ1282" i="5"/>
  <c r="AK1282" i="5"/>
  <c r="AL1282" i="5"/>
  <c r="AN1282" i="5"/>
  <c r="AO1282" i="5"/>
  <c r="AP1282" i="5"/>
  <c r="AR1282" i="5"/>
  <c r="AU1282" i="5"/>
  <c r="AV1282" i="5" s="1"/>
  <c r="AW1282" i="5"/>
  <c r="AX1282" i="5" s="1"/>
  <c r="AH1283" i="5"/>
  <c r="AN1283" i="5"/>
  <c r="AO1283" i="5"/>
  <c r="AP1283" i="5"/>
  <c r="AR1283" i="5"/>
  <c r="AS1283" i="5" s="1"/>
  <c r="AU1283" i="5"/>
  <c r="AV1283" i="5" s="1"/>
  <c r="AW1283" i="5"/>
  <c r="AX1283" i="5" s="1"/>
  <c r="AH1284" i="5"/>
  <c r="AK1284" i="5" s="1"/>
  <c r="AN1284" i="5"/>
  <c r="AO1284" i="5"/>
  <c r="AP1284" i="5"/>
  <c r="AR1284" i="5"/>
  <c r="AS1284" i="5" s="1"/>
  <c r="AU1284" i="5"/>
  <c r="AV1284" i="5" s="1"/>
  <c r="AW1284" i="5"/>
  <c r="AX1284" i="5" s="1"/>
  <c r="AH1285" i="5"/>
  <c r="AY1285" i="5" s="1"/>
  <c r="AN1285" i="5"/>
  <c r="AO1285" i="5"/>
  <c r="AP1285" i="5"/>
  <c r="AR1285" i="5"/>
  <c r="AS1285" i="5" s="1"/>
  <c r="AU1285" i="5"/>
  <c r="AV1285" i="5" s="1"/>
  <c r="AW1285" i="5"/>
  <c r="AX1285" i="5" s="1"/>
  <c r="AH1286" i="5"/>
  <c r="AJ1286" i="5" s="1"/>
  <c r="AN1286" i="5"/>
  <c r="AO1286" i="5"/>
  <c r="AP1286" i="5"/>
  <c r="AR1286" i="5"/>
  <c r="AS1286" i="5" s="1"/>
  <c r="AU1286" i="5"/>
  <c r="AV1286" i="5" s="1"/>
  <c r="AW1286" i="5"/>
  <c r="AX1286" i="5" s="1"/>
  <c r="AH1287" i="5"/>
  <c r="AL1287" i="5" s="1"/>
  <c r="AN1287" i="5"/>
  <c r="AO1287" i="5"/>
  <c r="AP1287" i="5"/>
  <c r="AH1288" i="5"/>
  <c r="AN1288" i="5"/>
  <c r="AO1288" i="5"/>
  <c r="AP1288" i="5"/>
  <c r="AJ1289" i="5"/>
  <c r="AK1289" i="5"/>
  <c r="AL1289" i="5"/>
  <c r="AN1289" i="5"/>
  <c r="AO1289" i="5"/>
  <c r="AP1289" i="5"/>
  <c r="AR1289" i="5"/>
  <c r="AS1289" i="5" s="1"/>
  <c r="AU1289" i="5"/>
  <c r="AV1289" i="5" s="1"/>
  <c r="AW1289" i="5"/>
  <c r="AX1289" i="5" s="1"/>
  <c r="AH1290" i="5"/>
  <c r="AY1290" i="5" s="1"/>
  <c r="AN1290" i="5"/>
  <c r="AO1290" i="5"/>
  <c r="AP1290" i="5"/>
  <c r="AR1290" i="5"/>
  <c r="AT1290" i="5" s="1"/>
  <c r="AU1290" i="5"/>
  <c r="AV1290" i="5" s="1"/>
  <c r="AW1290" i="5"/>
  <c r="AX1290" i="5" s="1"/>
  <c r="AH1291" i="5"/>
  <c r="AJ1291" i="5" s="1"/>
  <c r="AN1291" i="5"/>
  <c r="AO1291" i="5"/>
  <c r="AP1291" i="5"/>
  <c r="AR1291" i="5"/>
  <c r="AT1291" i="5" s="1"/>
  <c r="AU1291" i="5"/>
  <c r="AV1291" i="5" s="1"/>
  <c r="AW1291" i="5"/>
  <c r="AX1291" i="5" s="1"/>
  <c r="AH1292" i="5"/>
  <c r="AN1292" i="5"/>
  <c r="AO1292" i="5"/>
  <c r="AP1292" i="5"/>
  <c r="AR1292" i="5"/>
  <c r="AU1292" i="5"/>
  <c r="AV1292" i="5" s="1"/>
  <c r="AW1292" i="5"/>
  <c r="AX1292" i="5" s="1"/>
  <c r="AH1293" i="5"/>
  <c r="AJ1293" i="5" s="1"/>
  <c r="AN1293" i="5"/>
  <c r="AO1293" i="5"/>
  <c r="AP1293" i="5"/>
  <c r="AR1293" i="5"/>
  <c r="AS1293" i="5" s="1"/>
  <c r="AU1293" i="5"/>
  <c r="AV1293" i="5" s="1"/>
  <c r="AW1293" i="5"/>
  <c r="AX1293" i="5" s="1"/>
  <c r="AH1294" i="5"/>
  <c r="AZ1294" i="5" s="1"/>
  <c r="AN1294" i="5"/>
  <c r="AO1294" i="5"/>
  <c r="AP1294" i="5"/>
  <c r="AH1295" i="5"/>
  <c r="AY1295" i="5" s="1"/>
  <c r="AN1295" i="5"/>
  <c r="AO1295" i="5"/>
  <c r="AP1295" i="5"/>
  <c r="AJ1296" i="5"/>
  <c r="AK1296" i="5"/>
  <c r="AL1296" i="5"/>
  <c r="AN1296" i="5"/>
  <c r="AO1296" i="5"/>
  <c r="AP1296" i="5"/>
  <c r="AR1296" i="5"/>
  <c r="AT1296" i="5" s="1"/>
  <c r="AU1296" i="5"/>
  <c r="AV1296" i="5" s="1"/>
  <c r="AW1296" i="5"/>
  <c r="AX1296" i="5" s="1"/>
  <c r="AH1297" i="5"/>
  <c r="AZ1297" i="5" s="1"/>
  <c r="AN1297" i="5"/>
  <c r="AO1297" i="5"/>
  <c r="AP1297" i="5"/>
  <c r="AR1297" i="5"/>
  <c r="AT1297" i="5" s="1"/>
  <c r="AU1297" i="5"/>
  <c r="AV1297" i="5" s="1"/>
  <c r="AW1297" i="5"/>
  <c r="AX1297" i="5" s="1"/>
  <c r="AH1298" i="5"/>
  <c r="AN1298" i="5"/>
  <c r="AO1298" i="5"/>
  <c r="AP1298" i="5"/>
  <c r="AR1298" i="5"/>
  <c r="AU1298" i="5"/>
  <c r="AV1298" i="5" s="1"/>
  <c r="AW1298" i="5"/>
  <c r="AX1298" i="5" s="1"/>
  <c r="AH1299" i="5"/>
  <c r="AL1299" i="5" s="1"/>
  <c r="AN1299" i="5"/>
  <c r="AO1299" i="5"/>
  <c r="AP1299" i="5"/>
  <c r="AR1299" i="5"/>
  <c r="AT1299" i="5" s="1"/>
  <c r="AU1299" i="5"/>
  <c r="AV1299" i="5" s="1"/>
  <c r="AW1299" i="5"/>
  <c r="AX1299" i="5" s="1"/>
  <c r="AH1300" i="5"/>
  <c r="AN1300" i="5"/>
  <c r="AO1300" i="5"/>
  <c r="AP1300" i="5"/>
  <c r="AR1300" i="5"/>
  <c r="AT1300" i="5" s="1"/>
  <c r="AU1300" i="5"/>
  <c r="AV1300" i="5" s="1"/>
  <c r="AW1300" i="5"/>
  <c r="AX1300" i="5" s="1"/>
  <c r="AH1301" i="5"/>
  <c r="AK1301" i="5" s="1"/>
  <c r="AN1301" i="5"/>
  <c r="AO1301" i="5"/>
  <c r="AP1301" i="5"/>
  <c r="AH1302" i="5"/>
  <c r="AU1302" i="5" s="1"/>
  <c r="AV1302" i="5" s="1"/>
  <c r="AN1302" i="5"/>
  <c r="AO1302" i="5"/>
  <c r="AP1302" i="5"/>
  <c r="AJ1303" i="5"/>
  <c r="AK1303" i="5"/>
  <c r="AL1303" i="5"/>
  <c r="AN1303" i="5"/>
  <c r="AO1303" i="5"/>
  <c r="AP1303" i="5"/>
  <c r="AR1303" i="5"/>
  <c r="AS1303" i="5" s="1"/>
  <c r="AU1303" i="5"/>
  <c r="AV1303" i="5" s="1"/>
  <c r="AW1303" i="5"/>
  <c r="AX1303" i="5" s="1"/>
  <c r="AH1304" i="5"/>
  <c r="AK1304" i="5" s="1"/>
  <c r="AN1304" i="5"/>
  <c r="AO1304" i="5"/>
  <c r="AP1304" i="5"/>
  <c r="AR1304" i="5"/>
  <c r="AT1304" i="5" s="1"/>
  <c r="AU1304" i="5"/>
  <c r="AV1304" i="5" s="1"/>
  <c r="AW1304" i="5"/>
  <c r="AX1304" i="5" s="1"/>
  <c r="AH1305" i="5"/>
  <c r="AZ1305" i="5" s="1"/>
  <c r="AN1305" i="5"/>
  <c r="AO1305" i="5"/>
  <c r="AP1305" i="5"/>
  <c r="AR1305" i="5"/>
  <c r="AT1305" i="5" s="1"/>
  <c r="AU1305" i="5"/>
  <c r="AV1305" i="5" s="1"/>
  <c r="AW1305" i="5"/>
  <c r="AX1305" i="5" s="1"/>
  <c r="AH1306" i="5"/>
  <c r="AK1306" i="5" s="1"/>
  <c r="AN1306" i="5"/>
  <c r="AO1306" i="5"/>
  <c r="AP1306" i="5"/>
  <c r="AR1306" i="5"/>
  <c r="AT1306" i="5" s="1"/>
  <c r="AU1306" i="5"/>
  <c r="AV1306" i="5" s="1"/>
  <c r="AW1306" i="5"/>
  <c r="AX1306" i="5" s="1"/>
  <c r="AH1307" i="5"/>
  <c r="AZ1307" i="5" s="1"/>
  <c r="AN1307" i="5"/>
  <c r="AO1307" i="5"/>
  <c r="AP1307" i="5"/>
  <c r="AR1307" i="5"/>
  <c r="AU1307" i="5"/>
  <c r="AV1307" i="5" s="1"/>
  <c r="AW1307" i="5"/>
  <c r="AX1307" i="5" s="1"/>
  <c r="AH1308" i="5"/>
  <c r="AN1308" i="5"/>
  <c r="AO1308" i="5"/>
  <c r="AP1308" i="5"/>
  <c r="AH1309" i="5"/>
  <c r="AY1309" i="5" s="1"/>
  <c r="AN1309" i="5"/>
  <c r="AO1309" i="5"/>
  <c r="AP1309" i="5"/>
  <c r="AJ1310" i="5"/>
  <c r="AK1310" i="5"/>
  <c r="AL1310" i="5"/>
  <c r="AN1310" i="5"/>
  <c r="AO1310" i="5"/>
  <c r="AP1310" i="5"/>
  <c r="AR1310" i="5"/>
  <c r="AT1310" i="5" s="1"/>
  <c r="AU1310" i="5"/>
  <c r="AV1310" i="5" s="1"/>
  <c r="AW1310" i="5"/>
  <c r="AX1310" i="5" s="1"/>
  <c r="AH1311" i="5"/>
  <c r="AN1311" i="5"/>
  <c r="AO1311" i="5"/>
  <c r="AP1311" i="5"/>
  <c r="AR1311" i="5"/>
  <c r="AU1311" i="5"/>
  <c r="AV1311" i="5" s="1"/>
  <c r="AW1311" i="5"/>
  <c r="AX1311" i="5" s="1"/>
  <c r="AH1312" i="5"/>
  <c r="AZ1312" i="5" s="1"/>
  <c r="AN1312" i="5"/>
  <c r="AO1312" i="5"/>
  <c r="AP1312" i="5"/>
  <c r="AR1312" i="5"/>
  <c r="AS1312" i="5" s="1"/>
  <c r="AU1312" i="5"/>
  <c r="AV1312" i="5" s="1"/>
  <c r="AW1312" i="5"/>
  <c r="AX1312" i="5" s="1"/>
  <c r="AH1313" i="5"/>
  <c r="AZ1313" i="5" s="1"/>
  <c r="AN1313" i="5"/>
  <c r="AO1313" i="5"/>
  <c r="AP1313" i="5"/>
  <c r="AR1313" i="5"/>
  <c r="AS1313" i="5" s="1"/>
  <c r="AU1313" i="5"/>
  <c r="AV1313" i="5" s="1"/>
  <c r="AW1313" i="5"/>
  <c r="AX1313" i="5" s="1"/>
  <c r="AH1314" i="5"/>
  <c r="AY1314" i="5" s="1"/>
  <c r="AN1314" i="5"/>
  <c r="AO1314" i="5"/>
  <c r="AP1314" i="5"/>
  <c r="AR1314" i="5"/>
  <c r="AS1314" i="5" s="1"/>
  <c r="AU1314" i="5"/>
  <c r="AV1314" i="5" s="1"/>
  <c r="AW1314" i="5"/>
  <c r="AX1314" i="5" s="1"/>
  <c r="AH1315" i="5"/>
  <c r="AY1315" i="5" s="1"/>
  <c r="AN1315" i="5"/>
  <c r="AO1315" i="5"/>
  <c r="AP1315" i="5"/>
  <c r="AH1316" i="5"/>
  <c r="AI1317" i="5" s="1"/>
  <c r="AN1316" i="5"/>
  <c r="AO1316" i="5"/>
  <c r="AP1316" i="5"/>
  <c r="AJ1317" i="5"/>
  <c r="AK1317" i="5"/>
  <c r="AL1317" i="5"/>
  <c r="AN1317" i="5"/>
  <c r="AO1317" i="5"/>
  <c r="AP1317" i="5"/>
  <c r="AR1317" i="5"/>
  <c r="AT1317" i="5" s="1"/>
  <c r="AU1317" i="5"/>
  <c r="AV1317" i="5" s="1"/>
  <c r="AW1317" i="5"/>
  <c r="AX1317" i="5" s="1"/>
  <c r="AH1318" i="5"/>
  <c r="AZ1318" i="5" s="1"/>
  <c r="AN1318" i="5"/>
  <c r="AO1318" i="5"/>
  <c r="AP1318" i="5"/>
  <c r="AR1318" i="5"/>
  <c r="AT1318" i="5" s="1"/>
  <c r="AU1318" i="5"/>
  <c r="AV1318" i="5" s="1"/>
  <c r="AW1318" i="5"/>
  <c r="AX1318" i="5" s="1"/>
  <c r="AH1319" i="5"/>
  <c r="AN1319" i="5"/>
  <c r="AO1319" i="5"/>
  <c r="AP1319" i="5"/>
  <c r="AR1319" i="5"/>
  <c r="AT1319" i="5" s="1"/>
  <c r="AU1319" i="5"/>
  <c r="AV1319" i="5" s="1"/>
  <c r="AW1319" i="5"/>
  <c r="AX1319" i="5" s="1"/>
  <c r="AH1320" i="5"/>
  <c r="AN1320" i="5"/>
  <c r="AO1320" i="5"/>
  <c r="AP1320" i="5"/>
  <c r="AR1320" i="5"/>
  <c r="AU1320" i="5"/>
  <c r="AV1320" i="5" s="1"/>
  <c r="AW1320" i="5"/>
  <c r="AX1320" i="5" s="1"/>
  <c r="AH1321" i="5"/>
  <c r="AZ1321" i="5" s="1"/>
  <c r="AN1321" i="5"/>
  <c r="AO1321" i="5"/>
  <c r="AP1321" i="5"/>
  <c r="AR1321" i="5"/>
  <c r="AS1321" i="5" s="1"/>
  <c r="AU1321" i="5"/>
  <c r="AV1321" i="5" s="1"/>
  <c r="AW1321" i="5"/>
  <c r="AX1321" i="5" s="1"/>
  <c r="AH1322" i="5"/>
  <c r="AJ1322" i="5" s="1"/>
  <c r="AN1322" i="5"/>
  <c r="AO1322" i="5"/>
  <c r="AP1322" i="5"/>
  <c r="AH1323" i="5"/>
  <c r="AJ1323" i="5" s="1"/>
  <c r="AN1323" i="5"/>
  <c r="AO1323" i="5"/>
  <c r="AP1323" i="5"/>
  <c r="AJ1324" i="5"/>
  <c r="AK1324" i="5"/>
  <c r="AL1324" i="5"/>
  <c r="AN1324" i="5"/>
  <c r="AO1324" i="5"/>
  <c r="AP1324" i="5"/>
  <c r="AR1324" i="5"/>
  <c r="AU1324" i="5"/>
  <c r="AV1324" i="5" s="1"/>
  <c r="AW1324" i="5"/>
  <c r="AX1324" i="5" s="1"/>
  <c r="AH1325" i="5"/>
  <c r="AL1325" i="5" s="1"/>
  <c r="AN1325" i="5"/>
  <c r="AO1325" i="5"/>
  <c r="AP1325" i="5"/>
  <c r="AR1325" i="5"/>
  <c r="AT1325" i="5" s="1"/>
  <c r="AU1325" i="5"/>
  <c r="AV1325" i="5" s="1"/>
  <c r="AW1325" i="5"/>
  <c r="AX1325" i="5" s="1"/>
  <c r="AH1326" i="5"/>
  <c r="AJ1326" i="5" s="1"/>
  <c r="AN1326" i="5"/>
  <c r="AO1326" i="5"/>
  <c r="AP1326" i="5"/>
  <c r="AR1326" i="5"/>
  <c r="AS1326" i="5" s="1"/>
  <c r="AU1326" i="5"/>
  <c r="AV1326" i="5" s="1"/>
  <c r="AW1326" i="5"/>
  <c r="AX1326" i="5" s="1"/>
  <c r="AH1327" i="5"/>
  <c r="AK1327" i="5" s="1"/>
  <c r="AN1327" i="5"/>
  <c r="AO1327" i="5"/>
  <c r="AP1327" i="5"/>
  <c r="AR1327" i="5"/>
  <c r="AS1327" i="5" s="1"/>
  <c r="AU1327" i="5"/>
  <c r="AV1327" i="5" s="1"/>
  <c r="AW1327" i="5"/>
  <c r="AX1327" i="5" s="1"/>
  <c r="AH1328" i="5"/>
  <c r="AN1328" i="5"/>
  <c r="AO1328" i="5"/>
  <c r="AP1328" i="5"/>
  <c r="AR1328" i="5"/>
  <c r="AU1328" i="5"/>
  <c r="AV1328" i="5" s="1"/>
  <c r="AW1328" i="5"/>
  <c r="AX1328" i="5" s="1"/>
  <c r="AH1329" i="5"/>
  <c r="AN1329" i="5"/>
  <c r="AO1329" i="5"/>
  <c r="AP1329" i="5"/>
  <c r="AH1330" i="5"/>
  <c r="AZ1330" i="5" s="1"/>
  <c r="AN1330" i="5"/>
  <c r="AO1330" i="5"/>
  <c r="AP1330" i="5"/>
  <c r="AJ1331" i="5"/>
  <c r="AK1331" i="5"/>
  <c r="AL1331" i="5"/>
  <c r="AN1331" i="5"/>
  <c r="AO1331" i="5"/>
  <c r="AP1331" i="5"/>
  <c r="AR1331" i="5"/>
  <c r="AS1331" i="5" s="1"/>
  <c r="AU1331" i="5"/>
  <c r="AV1331" i="5" s="1"/>
  <c r="AW1331" i="5"/>
  <c r="AX1331" i="5" s="1"/>
  <c r="AH1332" i="5"/>
  <c r="AI1332" i="5" s="1"/>
  <c r="AN1332" i="5"/>
  <c r="AO1332" i="5"/>
  <c r="AP1332" i="5"/>
  <c r="AR1332" i="5"/>
  <c r="AU1332" i="5"/>
  <c r="AV1332" i="5" s="1"/>
  <c r="AW1332" i="5"/>
  <c r="AX1332" i="5" s="1"/>
  <c r="AH1333" i="5"/>
  <c r="AL1333" i="5" s="1"/>
  <c r="AN1333" i="5"/>
  <c r="AO1333" i="5"/>
  <c r="AP1333" i="5"/>
  <c r="AR1333" i="5"/>
  <c r="AU1333" i="5"/>
  <c r="AV1333" i="5" s="1"/>
  <c r="AW1333" i="5"/>
  <c r="AX1333" i="5" s="1"/>
  <c r="AH1334" i="5"/>
  <c r="AJ1334" i="5" s="1"/>
  <c r="AN1334" i="5"/>
  <c r="AO1334" i="5"/>
  <c r="AP1334" i="5"/>
  <c r="AR1334" i="5"/>
  <c r="AT1334" i="5" s="1"/>
  <c r="AU1334" i="5"/>
  <c r="AV1334" i="5" s="1"/>
  <c r="AW1334" i="5"/>
  <c r="AX1334" i="5" s="1"/>
  <c r="AH1335" i="5"/>
  <c r="AK1335" i="5" s="1"/>
  <c r="AN1335" i="5"/>
  <c r="AO1335" i="5"/>
  <c r="AP1335" i="5"/>
  <c r="AR1335" i="5"/>
  <c r="AT1335" i="5" s="1"/>
  <c r="AU1335" i="5"/>
  <c r="AV1335" i="5" s="1"/>
  <c r="AW1335" i="5"/>
  <c r="AX1335" i="5" s="1"/>
  <c r="AH1336" i="5"/>
  <c r="AN1336" i="5"/>
  <c r="AO1336" i="5"/>
  <c r="AP1336" i="5"/>
  <c r="AH1337" i="5"/>
  <c r="AJ1337" i="5" s="1"/>
  <c r="AN1337" i="5"/>
  <c r="AO1337" i="5"/>
  <c r="AP1337" i="5"/>
  <c r="AJ1338" i="5"/>
  <c r="AK1338" i="5"/>
  <c r="AL1338" i="5"/>
  <c r="AN1338" i="5"/>
  <c r="AO1338" i="5"/>
  <c r="AP1338" i="5"/>
  <c r="AR1338" i="5"/>
  <c r="AS1338" i="5" s="1"/>
  <c r="AU1338" i="5"/>
  <c r="AV1338" i="5" s="1"/>
  <c r="AW1338" i="5"/>
  <c r="AX1338" i="5" s="1"/>
  <c r="AH1339" i="5"/>
  <c r="AK1339" i="5" s="1"/>
  <c r="AN1339" i="5"/>
  <c r="AO1339" i="5"/>
  <c r="AP1339" i="5"/>
  <c r="AR1339" i="5"/>
  <c r="AS1339" i="5" s="1"/>
  <c r="AU1339" i="5"/>
  <c r="AV1339" i="5" s="1"/>
  <c r="AW1339" i="5"/>
  <c r="AX1339" i="5" s="1"/>
  <c r="AH1340" i="5"/>
  <c r="AN1340" i="5"/>
  <c r="AO1340" i="5"/>
  <c r="AP1340" i="5"/>
  <c r="AR1340" i="5"/>
  <c r="AU1340" i="5"/>
  <c r="AV1340" i="5" s="1"/>
  <c r="AW1340" i="5"/>
  <c r="AX1340" i="5" s="1"/>
  <c r="AH1341" i="5"/>
  <c r="AL1341" i="5" s="1"/>
  <c r="AN1341" i="5"/>
  <c r="AO1341" i="5"/>
  <c r="AP1341" i="5"/>
  <c r="AR1341" i="5"/>
  <c r="AT1341" i="5" s="1"/>
  <c r="AU1341" i="5"/>
  <c r="AV1341" i="5" s="1"/>
  <c r="AW1341" i="5"/>
  <c r="AX1341" i="5" s="1"/>
  <c r="AH1342" i="5"/>
  <c r="AJ1342" i="5" s="1"/>
  <c r="AN1342" i="5"/>
  <c r="AO1342" i="5"/>
  <c r="AP1342" i="5"/>
  <c r="AR1342" i="5"/>
  <c r="AU1342" i="5"/>
  <c r="AV1342" i="5" s="1"/>
  <c r="AW1342" i="5"/>
  <c r="AX1342" i="5" s="1"/>
  <c r="AH1343" i="5"/>
  <c r="AZ1343" i="5" s="1"/>
  <c r="AN1343" i="5"/>
  <c r="AO1343" i="5"/>
  <c r="AP1343" i="5"/>
  <c r="AH1344" i="5"/>
  <c r="AJ1344" i="5" s="1"/>
  <c r="AN1344" i="5"/>
  <c r="AO1344" i="5"/>
  <c r="AP1344" i="5"/>
  <c r="AJ1345" i="5"/>
  <c r="AK1345" i="5"/>
  <c r="AL1345" i="5"/>
  <c r="AN1345" i="5"/>
  <c r="AO1345" i="5"/>
  <c r="AP1345" i="5"/>
  <c r="AR1345" i="5"/>
  <c r="AT1345" i="5" s="1"/>
  <c r="AU1345" i="5"/>
  <c r="AV1345" i="5" s="1"/>
  <c r="AW1345" i="5"/>
  <c r="AX1345" i="5" s="1"/>
  <c r="AH1346" i="5"/>
  <c r="AN1346" i="5"/>
  <c r="AO1346" i="5"/>
  <c r="AP1346" i="5"/>
  <c r="AR1346" i="5"/>
  <c r="AU1346" i="5"/>
  <c r="AV1346" i="5" s="1"/>
  <c r="AW1346" i="5"/>
  <c r="AX1346" i="5" s="1"/>
  <c r="AH1347" i="5"/>
  <c r="AN1347" i="5"/>
  <c r="AO1347" i="5"/>
  <c r="AP1347" i="5"/>
  <c r="AR1347" i="5"/>
  <c r="AU1347" i="5"/>
  <c r="AV1347" i="5" s="1"/>
  <c r="AW1347" i="5"/>
  <c r="AX1347" i="5" s="1"/>
  <c r="AH1348" i="5"/>
  <c r="AL1348" i="5" s="1"/>
  <c r="AN1348" i="5"/>
  <c r="AO1348" i="5"/>
  <c r="AP1348" i="5"/>
  <c r="AR1348" i="5"/>
  <c r="AS1348" i="5" s="1"/>
  <c r="AU1348" i="5"/>
  <c r="AV1348" i="5" s="1"/>
  <c r="AW1348" i="5"/>
  <c r="AX1348" i="5" s="1"/>
  <c r="AH1349" i="5"/>
  <c r="AY1349" i="5" s="1"/>
  <c r="AN1349" i="5"/>
  <c r="AO1349" i="5"/>
  <c r="AP1349" i="5"/>
  <c r="AR1349" i="5"/>
  <c r="AU1349" i="5"/>
  <c r="AV1349" i="5" s="1"/>
  <c r="AW1349" i="5"/>
  <c r="AX1349" i="5" s="1"/>
  <c r="AH1350" i="5"/>
  <c r="AU1350" i="5" s="1"/>
  <c r="AV1350" i="5" s="1"/>
  <c r="AN1350" i="5"/>
  <c r="AO1350" i="5"/>
  <c r="AP1350" i="5"/>
  <c r="AH1351" i="5"/>
  <c r="AJ1351" i="5" s="1"/>
  <c r="AN1351" i="5"/>
  <c r="AO1351" i="5"/>
  <c r="AP1351" i="5"/>
  <c r="AJ1352" i="5"/>
  <c r="AK1352" i="5"/>
  <c r="AL1352" i="5"/>
  <c r="AN1352" i="5"/>
  <c r="AO1352" i="5"/>
  <c r="AP1352" i="5"/>
  <c r="AR1352" i="5"/>
  <c r="AS1352" i="5" s="1"/>
  <c r="AU1352" i="5"/>
  <c r="AV1352" i="5" s="1"/>
  <c r="AW1352" i="5"/>
  <c r="AX1352" i="5" s="1"/>
  <c r="AH1353" i="5"/>
  <c r="AZ1353" i="5" s="1"/>
  <c r="AN1353" i="5"/>
  <c r="AO1353" i="5"/>
  <c r="AP1353" i="5"/>
  <c r="AR1353" i="5"/>
  <c r="AT1353" i="5" s="1"/>
  <c r="AU1353" i="5"/>
  <c r="AV1353" i="5" s="1"/>
  <c r="AW1353" i="5"/>
  <c r="AX1353" i="5" s="1"/>
  <c r="AH1354" i="5"/>
  <c r="AY1354" i="5" s="1"/>
  <c r="AN1354" i="5"/>
  <c r="AO1354" i="5"/>
  <c r="AP1354" i="5"/>
  <c r="AR1354" i="5"/>
  <c r="AS1354" i="5" s="1"/>
  <c r="AU1354" i="5"/>
  <c r="AV1354" i="5" s="1"/>
  <c r="AW1354" i="5"/>
  <c r="AX1354" i="5" s="1"/>
  <c r="AH1355" i="5"/>
  <c r="AY1355" i="5" s="1"/>
  <c r="AN1355" i="5"/>
  <c r="AO1355" i="5"/>
  <c r="AP1355" i="5"/>
  <c r="AR1355" i="5"/>
  <c r="AS1355" i="5" s="1"/>
  <c r="AU1355" i="5"/>
  <c r="AV1355" i="5" s="1"/>
  <c r="AW1355" i="5"/>
  <c r="AX1355" i="5" s="1"/>
  <c r="AH1356" i="5"/>
  <c r="AH1357" i="5"/>
  <c r="AN1356" i="5"/>
  <c r="AO1356" i="5"/>
  <c r="AP1356" i="5"/>
  <c r="AR1356" i="5"/>
  <c r="AS1356" i="5" s="1"/>
  <c r="AU1356" i="5"/>
  <c r="AV1356" i="5" s="1"/>
  <c r="AW1356" i="5"/>
  <c r="AX1356" i="5" s="1"/>
  <c r="AN1357" i="5"/>
  <c r="AO1357" i="5"/>
  <c r="AP1357" i="5"/>
  <c r="AH1358" i="5"/>
  <c r="AW1358" i="5" s="1"/>
  <c r="AX1358" i="5" s="1"/>
  <c r="AN1358" i="5"/>
  <c r="AO1358" i="5"/>
  <c r="AP1358" i="5"/>
  <c r="AJ1359" i="5"/>
  <c r="AK1359" i="5"/>
  <c r="AL1359" i="5"/>
  <c r="AN1359" i="5"/>
  <c r="AO1359" i="5"/>
  <c r="AP1359" i="5"/>
  <c r="AR1359" i="5"/>
  <c r="AU1359" i="5"/>
  <c r="AV1359" i="5" s="1"/>
  <c r="AW1359" i="5"/>
  <c r="AX1359" i="5" s="1"/>
  <c r="AH1360" i="5"/>
  <c r="AN1360" i="5"/>
  <c r="AO1360" i="5"/>
  <c r="AP1360" i="5"/>
  <c r="AR1360" i="5"/>
  <c r="AS1360" i="5" s="1"/>
  <c r="AU1360" i="5"/>
  <c r="AV1360" i="5" s="1"/>
  <c r="AW1360" i="5"/>
  <c r="AX1360" i="5" s="1"/>
  <c r="AH1361" i="5"/>
  <c r="AL1361" i="5" s="1"/>
  <c r="AN1361" i="5"/>
  <c r="AO1361" i="5"/>
  <c r="AP1361" i="5"/>
  <c r="AR1361" i="5"/>
  <c r="AS1361" i="5" s="1"/>
  <c r="AU1361" i="5"/>
  <c r="AV1361" i="5" s="1"/>
  <c r="AW1361" i="5"/>
  <c r="AX1361" i="5" s="1"/>
  <c r="AH1362" i="5"/>
  <c r="AY1362" i="5" s="1"/>
  <c r="AN1362" i="5"/>
  <c r="AO1362" i="5"/>
  <c r="AP1362" i="5"/>
  <c r="AR1362" i="5"/>
  <c r="AU1362" i="5"/>
  <c r="AV1362" i="5" s="1"/>
  <c r="AW1362" i="5"/>
  <c r="AX1362" i="5" s="1"/>
  <c r="AH1363" i="5"/>
  <c r="AL1363" i="5" s="1"/>
  <c r="AN1363" i="5"/>
  <c r="AO1363" i="5"/>
  <c r="AP1363" i="5"/>
  <c r="AR1363" i="5"/>
  <c r="AS1363" i="5" s="1"/>
  <c r="AU1363" i="5"/>
  <c r="AV1363" i="5" s="1"/>
  <c r="AW1363" i="5"/>
  <c r="AX1363" i="5" s="1"/>
  <c r="AH1364" i="5"/>
  <c r="AN1364" i="5"/>
  <c r="AO1364" i="5"/>
  <c r="AP1364" i="5"/>
  <c r="AH1365" i="5"/>
  <c r="AW1365" i="5" s="1"/>
  <c r="AX1365" i="5" s="1"/>
  <c r="AN1365" i="5"/>
  <c r="AO1365" i="5"/>
  <c r="AP1365" i="5"/>
  <c r="AJ1366" i="5"/>
  <c r="AK1366" i="5"/>
  <c r="AL1366" i="5"/>
  <c r="AN1366" i="5"/>
  <c r="AO1366" i="5"/>
  <c r="AP1366" i="5"/>
  <c r="AR1366" i="5"/>
  <c r="AS1366" i="5" s="1"/>
  <c r="AU1366" i="5"/>
  <c r="AV1366" i="5" s="1"/>
  <c r="AW1366" i="5"/>
  <c r="AX1366" i="5" s="1"/>
  <c r="AH1367" i="5"/>
  <c r="AJ1367" i="5" s="1"/>
  <c r="AN1367" i="5"/>
  <c r="AO1367" i="5"/>
  <c r="AP1367" i="5"/>
  <c r="AR1367" i="5"/>
  <c r="AU1367" i="5"/>
  <c r="AV1367" i="5" s="1"/>
  <c r="AW1367" i="5"/>
  <c r="AX1367" i="5" s="1"/>
  <c r="AH1368" i="5"/>
  <c r="AN1368" i="5"/>
  <c r="AO1368" i="5"/>
  <c r="AP1368" i="5"/>
  <c r="AR1368" i="5"/>
  <c r="AT1368" i="5" s="1"/>
  <c r="AU1368" i="5"/>
  <c r="AV1368" i="5" s="1"/>
  <c r="AW1368" i="5"/>
  <c r="AX1368" i="5" s="1"/>
  <c r="AH1369" i="5"/>
  <c r="AK1369" i="5" s="1"/>
  <c r="AN1369" i="5"/>
  <c r="AO1369" i="5"/>
  <c r="AP1369" i="5"/>
  <c r="AR1369" i="5"/>
  <c r="AS1369" i="5" s="1"/>
  <c r="AU1369" i="5"/>
  <c r="AV1369" i="5" s="1"/>
  <c r="AW1369" i="5"/>
  <c r="AX1369" i="5" s="1"/>
  <c r="AH1370" i="5"/>
  <c r="AL1370" i="5" s="1"/>
  <c r="AN1370" i="5"/>
  <c r="AO1370" i="5"/>
  <c r="AP1370" i="5"/>
  <c r="AR1370" i="5"/>
  <c r="AT1370" i="5" s="1"/>
  <c r="AU1370" i="5"/>
  <c r="AV1370" i="5" s="1"/>
  <c r="AW1370" i="5"/>
  <c r="AX1370" i="5" s="1"/>
  <c r="AH1371" i="5"/>
  <c r="AY1371" i="5" s="1"/>
  <c r="AN1371" i="5"/>
  <c r="AO1371" i="5"/>
  <c r="AP1371" i="5"/>
  <c r="AH1372" i="5"/>
  <c r="AN1372" i="5"/>
  <c r="AO1372" i="5"/>
  <c r="AP1372" i="5"/>
  <c r="AJ1373" i="5"/>
  <c r="AK1373" i="5"/>
  <c r="AL1373" i="5"/>
  <c r="AN1373" i="5"/>
  <c r="AO1373" i="5"/>
  <c r="AP1373" i="5"/>
  <c r="AR1373" i="5"/>
  <c r="AT1373" i="5" s="1"/>
  <c r="AU1373" i="5"/>
  <c r="AV1373" i="5" s="1"/>
  <c r="AW1373" i="5"/>
  <c r="AX1373" i="5" s="1"/>
  <c r="AH1374" i="5"/>
  <c r="AN1374" i="5"/>
  <c r="AO1374" i="5"/>
  <c r="AP1374" i="5"/>
  <c r="AR1374" i="5"/>
  <c r="AT1374" i="5" s="1"/>
  <c r="AU1374" i="5"/>
  <c r="AV1374" i="5" s="1"/>
  <c r="AW1374" i="5"/>
  <c r="AX1374" i="5" s="1"/>
  <c r="AH1375" i="5"/>
  <c r="AN1375" i="5"/>
  <c r="AO1375" i="5"/>
  <c r="AP1375" i="5"/>
  <c r="AR1375" i="5"/>
  <c r="AS1375" i="5" s="1"/>
  <c r="AU1375" i="5"/>
  <c r="AV1375" i="5" s="1"/>
  <c r="AW1375" i="5"/>
  <c r="AX1375" i="5" s="1"/>
  <c r="AH1376" i="5"/>
  <c r="AL1376" i="5" s="1"/>
  <c r="AN1376" i="5"/>
  <c r="AO1376" i="5"/>
  <c r="AP1376" i="5"/>
  <c r="AR1376" i="5"/>
  <c r="AT1376" i="5" s="1"/>
  <c r="AU1376" i="5"/>
  <c r="AV1376" i="5" s="1"/>
  <c r="AW1376" i="5"/>
  <c r="AX1376" i="5" s="1"/>
  <c r="AH1377" i="5"/>
  <c r="AY1377" i="5" s="1"/>
  <c r="AN1377" i="5"/>
  <c r="AO1377" i="5"/>
  <c r="AP1377" i="5"/>
  <c r="AR1377" i="5"/>
  <c r="AT1377" i="5" s="1"/>
  <c r="AU1377" i="5"/>
  <c r="AV1377" i="5" s="1"/>
  <c r="AW1377" i="5"/>
  <c r="AX1377" i="5" s="1"/>
  <c r="AH1378" i="5"/>
  <c r="AY1378" i="5" s="1"/>
  <c r="AN1378" i="5"/>
  <c r="AO1378" i="5"/>
  <c r="AP1378" i="5"/>
  <c r="AH1379" i="5"/>
  <c r="AN1379" i="5"/>
  <c r="AO1379" i="5"/>
  <c r="AP1379" i="5"/>
  <c r="AJ1380" i="5"/>
  <c r="AK1380" i="5"/>
  <c r="AL1380" i="5"/>
  <c r="AN1380" i="5"/>
  <c r="AO1380" i="5"/>
  <c r="AP1380" i="5"/>
  <c r="AR1380" i="5"/>
  <c r="AU1380" i="5"/>
  <c r="AV1380" i="5" s="1"/>
  <c r="AW1380" i="5"/>
  <c r="AX1380" i="5" s="1"/>
  <c r="AH1381" i="5"/>
  <c r="AJ1381" i="5" s="1"/>
  <c r="AN1381" i="5"/>
  <c r="AO1381" i="5"/>
  <c r="AP1381" i="5"/>
  <c r="AR1381" i="5"/>
  <c r="AS1381" i="5" s="1"/>
  <c r="AU1381" i="5"/>
  <c r="AV1381" i="5" s="1"/>
  <c r="AW1381" i="5"/>
  <c r="AX1381" i="5" s="1"/>
  <c r="AH1382" i="5"/>
  <c r="AY1382" i="5" s="1"/>
  <c r="AN1382" i="5"/>
  <c r="AO1382" i="5"/>
  <c r="AP1382" i="5"/>
  <c r="AR1382" i="5"/>
  <c r="AT1382" i="5" s="1"/>
  <c r="AU1382" i="5"/>
  <c r="AV1382" i="5" s="1"/>
  <c r="AW1382" i="5"/>
  <c r="AX1382" i="5" s="1"/>
  <c r="AH1383" i="5"/>
  <c r="AY1383" i="5" s="1"/>
  <c r="AN1383" i="5"/>
  <c r="AO1383" i="5"/>
  <c r="AP1383" i="5"/>
  <c r="AR1383" i="5"/>
  <c r="AU1383" i="5"/>
  <c r="AV1383" i="5" s="1"/>
  <c r="AW1383" i="5"/>
  <c r="AX1383" i="5" s="1"/>
  <c r="AH1384" i="5"/>
  <c r="AY1384" i="5" s="1"/>
  <c r="M1384" i="5"/>
  <c r="F1384" i="5" s="1"/>
  <c r="M1383" i="5"/>
  <c r="F1383" i="5" s="1"/>
  <c r="AN1384" i="5"/>
  <c r="AO1384" i="5"/>
  <c r="AP1384" i="5"/>
  <c r="AR1384" i="5"/>
  <c r="AS1384" i="5" s="1"/>
  <c r="AU1384" i="5"/>
  <c r="AV1384" i="5" s="1"/>
  <c r="AW1384" i="5"/>
  <c r="AX1384" i="5" s="1"/>
  <c r="AH1385" i="5"/>
  <c r="AN1385" i="5"/>
  <c r="AO1385" i="5"/>
  <c r="AP1385" i="5"/>
  <c r="AH1386" i="5"/>
  <c r="AN1386" i="5"/>
  <c r="AO1386" i="5"/>
  <c r="AP1386" i="5"/>
  <c r="AJ1387" i="5"/>
  <c r="AK1387" i="5"/>
  <c r="AL1387" i="5"/>
  <c r="AN1387" i="5"/>
  <c r="AO1387" i="5"/>
  <c r="AP1387" i="5"/>
  <c r="AR1387" i="5"/>
  <c r="AS1387" i="5" s="1"/>
  <c r="AU1387" i="5"/>
  <c r="AV1387" i="5" s="1"/>
  <c r="AW1387" i="5"/>
  <c r="AX1387" i="5" s="1"/>
  <c r="AH1388" i="5"/>
  <c r="AY1388" i="5" s="1"/>
  <c r="M1388" i="5"/>
  <c r="F1388" i="5" s="1"/>
  <c r="AN1388" i="5"/>
  <c r="AO1388" i="5"/>
  <c r="AP1388" i="5"/>
  <c r="AR1388" i="5"/>
  <c r="AT1388" i="5" s="1"/>
  <c r="AU1388" i="5"/>
  <c r="AV1388" i="5" s="1"/>
  <c r="AW1388" i="5"/>
  <c r="AX1388" i="5" s="1"/>
  <c r="AH1389" i="5"/>
  <c r="AI1389" i="5" s="1"/>
  <c r="AN1389" i="5"/>
  <c r="AO1389" i="5"/>
  <c r="AP1389" i="5"/>
  <c r="AR1389" i="5"/>
  <c r="AU1389" i="5"/>
  <c r="AV1389" i="5" s="1"/>
  <c r="AW1389" i="5"/>
  <c r="AX1389" i="5" s="1"/>
  <c r="AH1390" i="5"/>
  <c r="AN1390" i="5"/>
  <c r="AO1390" i="5"/>
  <c r="AP1390" i="5"/>
  <c r="AR1390" i="5"/>
  <c r="AS1390" i="5" s="1"/>
  <c r="AU1390" i="5"/>
  <c r="AV1390" i="5" s="1"/>
  <c r="AW1390" i="5"/>
  <c r="AX1390" i="5" s="1"/>
  <c r="AH1391" i="5"/>
  <c r="AL1391" i="5" s="1"/>
  <c r="AN1391" i="5"/>
  <c r="AO1391" i="5"/>
  <c r="AP1391" i="5"/>
  <c r="AR1391" i="5"/>
  <c r="AU1391" i="5"/>
  <c r="AV1391" i="5" s="1"/>
  <c r="AW1391" i="5"/>
  <c r="AX1391" i="5" s="1"/>
  <c r="AH1392" i="5"/>
  <c r="AN1392" i="5"/>
  <c r="AO1392" i="5"/>
  <c r="AP1392" i="5"/>
  <c r="AH1393" i="5"/>
  <c r="AR1393" i="5" s="1"/>
  <c r="AN1393" i="5"/>
  <c r="AO1393" i="5"/>
  <c r="AP1393" i="5"/>
  <c r="AJ1394" i="5"/>
  <c r="AK1394" i="5"/>
  <c r="AL1394" i="5"/>
  <c r="AN1394" i="5"/>
  <c r="AO1394" i="5"/>
  <c r="AP1394" i="5"/>
  <c r="AR1394" i="5"/>
  <c r="AU1394" i="5"/>
  <c r="AV1394" i="5" s="1"/>
  <c r="AW1394" i="5"/>
  <c r="AX1394" i="5" s="1"/>
  <c r="AH1395" i="5"/>
  <c r="AY1395" i="5" s="1"/>
  <c r="AN1395" i="5"/>
  <c r="AO1395" i="5"/>
  <c r="AP1395" i="5"/>
  <c r="AR1395" i="5"/>
  <c r="AU1395" i="5"/>
  <c r="AV1395" i="5" s="1"/>
  <c r="AW1395" i="5"/>
  <c r="AX1395" i="5" s="1"/>
  <c r="AH1396" i="5"/>
  <c r="AK1396" i="5" s="1"/>
  <c r="AN1396" i="5"/>
  <c r="AO1396" i="5"/>
  <c r="AP1396" i="5"/>
  <c r="AR1396" i="5"/>
  <c r="AU1396" i="5"/>
  <c r="AV1396" i="5" s="1"/>
  <c r="AW1396" i="5"/>
  <c r="AX1396" i="5" s="1"/>
  <c r="AH1397" i="5"/>
  <c r="AZ1397" i="5" s="1"/>
  <c r="AN1397" i="5"/>
  <c r="AO1397" i="5"/>
  <c r="AP1397" i="5"/>
  <c r="AR1397" i="5"/>
  <c r="AT1397" i="5" s="1"/>
  <c r="AU1397" i="5"/>
  <c r="AV1397" i="5" s="1"/>
  <c r="AW1397" i="5"/>
  <c r="AX1397" i="5" s="1"/>
  <c r="AH1398" i="5"/>
  <c r="AN1398" i="5"/>
  <c r="AO1398" i="5"/>
  <c r="AP1398" i="5"/>
  <c r="AR1398" i="5"/>
  <c r="AT1398" i="5" s="1"/>
  <c r="AU1398" i="5"/>
  <c r="AV1398" i="5" s="1"/>
  <c r="AW1398" i="5"/>
  <c r="AX1398" i="5" s="1"/>
  <c r="AH1399" i="5"/>
  <c r="AN1399" i="5"/>
  <c r="AO1399" i="5"/>
  <c r="AP1399" i="5"/>
  <c r="AH1400" i="5"/>
  <c r="AK1400" i="5" s="1"/>
  <c r="AN1400" i="5"/>
  <c r="AO1400" i="5"/>
  <c r="AP1400" i="5"/>
  <c r="AJ1401" i="5"/>
  <c r="AK1401" i="5"/>
  <c r="AL1401" i="5"/>
  <c r="AN1401" i="5"/>
  <c r="AO1401" i="5"/>
  <c r="AP1401" i="5"/>
  <c r="AR1401" i="5"/>
  <c r="AT1401" i="5" s="1"/>
  <c r="AU1401" i="5"/>
  <c r="AV1401" i="5" s="1"/>
  <c r="AW1401" i="5"/>
  <c r="AX1401" i="5" s="1"/>
  <c r="AH1402" i="5"/>
  <c r="AN1402" i="5"/>
  <c r="AO1402" i="5"/>
  <c r="AP1402" i="5"/>
  <c r="AR1402" i="5"/>
  <c r="AS1402" i="5" s="1"/>
  <c r="AU1402" i="5"/>
  <c r="AV1402" i="5" s="1"/>
  <c r="AW1402" i="5"/>
  <c r="AX1402" i="5" s="1"/>
  <c r="AH1403" i="5"/>
  <c r="AN1403" i="5"/>
  <c r="AO1403" i="5"/>
  <c r="AP1403" i="5"/>
  <c r="AR1403" i="5"/>
  <c r="AT1403" i="5" s="1"/>
  <c r="AU1403" i="5"/>
  <c r="AV1403" i="5" s="1"/>
  <c r="AW1403" i="5"/>
  <c r="AX1403" i="5" s="1"/>
  <c r="AH1404" i="5"/>
  <c r="AZ1404" i="5" s="1"/>
  <c r="AN1404" i="5"/>
  <c r="AO1404" i="5"/>
  <c r="AP1404" i="5"/>
  <c r="AR1404" i="5"/>
  <c r="AT1404" i="5" s="1"/>
  <c r="AU1404" i="5"/>
  <c r="AV1404" i="5" s="1"/>
  <c r="AW1404" i="5"/>
  <c r="AX1404" i="5" s="1"/>
  <c r="AH1405" i="5"/>
  <c r="AN1405" i="5"/>
  <c r="AO1405" i="5"/>
  <c r="AP1405" i="5"/>
  <c r="AR1405" i="5"/>
  <c r="AT1405" i="5" s="1"/>
  <c r="AU1405" i="5"/>
  <c r="AV1405" i="5" s="1"/>
  <c r="AW1405" i="5"/>
  <c r="AX1405" i="5" s="1"/>
  <c r="AH1406" i="5"/>
  <c r="AN1406" i="5"/>
  <c r="AO1406" i="5"/>
  <c r="AP1406" i="5"/>
  <c r="AH1407" i="5"/>
  <c r="AN1407" i="5"/>
  <c r="AO1407" i="5"/>
  <c r="AP1407" i="5"/>
  <c r="AJ1408" i="5"/>
  <c r="AK1408" i="5"/>
  <c r="AL1408" i="5"/>
  <c r="AN1408" i="5"/>
  <c r="AO1408" i="5"/>
  <c r="AP1408" i="5"/>
  <c r="AR1408" i="5"/>
  <c r="AT1408" i="5" s="1"/>
  <c r="AU1408" i="5"/>
  <c r="AV1408" i="5" s="1"/>
  <c r="AW1408" i="5"/>
  <c r="AX1408" i="5" s="1"/>
  <c r="AH1409" i="5"/>
  <c r="AI1409" i="5" s="1"/>
  <c r="AN1409" i="5"/>
  <c r="AO1409" i="5"/>
  <c r="AP1409" i="5"/>
  <c r="AR1409" i="5"/>
  <c r="AU1409" i="5"/>
  <c r="AV1409" i="5" s="1"/>
  <c r="AW1409" i="5"/>
  <c r="AX1409" i="5" s="1"/>
  <c r="AH1410" i="5"/>
  <c r="AN1410" i="5"/>
  <c r="AO1410" i="5"/>
  <c r="AP1410" i="5"/>
  <c r="AR1410" i="5"/>
  <c r="AT1410" i="5" s="1"/>
  <c r="AU1410" i="5"/>
  <c r="AV1410" i="5" s="1"/>
  <c r="AW1410" i="5"/>
  <c r="AX1410" i="5" s="1"/>
  <c r="AH1411" i="5"/>
  <c r="AN1411" i="5"/>
  <c r="AO1411" i="5"/>
  <c r="AP1411" i="5"/>
  <c r="AR1411" i="5"/>
  <c r="AU1411" i="5"/>
  <c r="AV1411" i="5" s="1"/>
  <c r="AW1411" i="5"/>
  <c r="AX1411" i="5" s="1"/>
  <c r="AH1412" i="5"/>
  <c r="AZ1412" i="5" s="1"/>
  <c r="AN1412" i="5"/>
  <c r="AO1412" i="5"/>
  <c r="AP1412" i="5"/>
  <c r="AR1412" i="5"/>
  <c r="AT1412" i="5" s="1"/>
  <c r="AU1412" i="5"/>
  <c r="AV1412" i="5" s="1"/>
  <c r="AW1412" i="5"/>
  <c r="AX1412" i="5" s="1"/>
  <c r="AH1413" i="5"/>
  <c r="AR1413" i="5" s="1"/>
  <c r="AT1413" i="5" s="1"/>
  <c r="AN1413" i="5"/>
  <c r="AO1413" i="5"/>
  <c r="AP1413" i="5"/>
  <c r="AH1414" i="5"/>
  <c r="AW1414" i="5" s="1"/>
  <c r="AX1414" i="5" s="1"/>
  <c r="AN1414" i="5"/>
  <c r="AO1414" i="5"/>
  <c r="AP1414" i="5"/>
  <c r="AJ1415" i="5"/>
  <c r="AK1415" i="5"/>
  <c r="AL1415" i="5"/>
  <c r="AN1415" i="5"/>
  <c r="AO1415" i="5"/>
  <c r="AP1415" i="5"/>
  <c r="AR1415" i="5"/>
  <c r="AT1415" i="5" s="1"/>
  <c r="AU1415" i="5"/>
  <c r="AV1415" i="5" s="1"/>
  <c r="AW1415" i="5"/>
  <c r="AX1415" i="5" s="1"/>
  <c r="AH1416" i="5"/>
  <c r="AJ1416" i="5" s="1"/>
  <c r="AN1416" i="5"/>
  <c r="AO1416" i="5"/>
  <c r="AP1416" i="5"/>
  <c r="AR1416" i="5"/>
  <c r="AU1416" i="5"/>
  <c r="AV1416" i="5" s="1"/>
  <c r="AW1416" i="5"/>
  <c r="AX1416" i="5" s="1"/>
  <c r="AH1417" i="5"/>
  <c r="AZ1417" i="5" s="1"/>
  <c r="AN1417" i="5"/>
  <c r="AO1417" i="5"/>
  <c r="AP1417" i="5"/>
  <c r="AR1417" i="5"/>
  <c r="AT1417" i="5" s="1"/>
  <c r="AU1417" i="5"/>
  <c r="AV1417" i="5" s="1"/>
  <c r="AW1417" i="5"/>
  <c r="AX1417" i="5" s="1"/>
  <c r="AH1418" i="5"/>
  <c r="AN1418" i="5"/>
  <c r="AO1418" i="5"/>
  <c r="AP1418" i="5"/>
  <c r="AR1418" i="5"/>
  <c r="AU1418" i="5"/>
  <c r="AV1418" i="5" s="1"/>
  <c r="AW1418" i="5"/>
  <c r="AX1418" i="5" s="1"/>
  <c r="AH1419" i="5"/>
  <c r="AN1419" i="5"/>
  <c r="AO1419" i="5"/>
  <c r="AP1419" i="5"/>
  <c r="AR1419" i="5"/>
  <c r="AU1419" i="5"/>
  <c r="AV1419" i="5" s="1"/>
  <c r="AW1419" i="5"/>
  <c r="AX1419" i="5" s="1"/>
  <c r="AH1420" i="5"/>
  <c r="AY1420" i="5" s="1"/>
  <c r="AN1420" i="5"/>
  <c r="AO1420" i="5"/>
  <c r="AP1420" i="5"/>
  <c r="AH1421" i="5"/>
  <c r="AY1421" i="5" s="1"/>
  <c r="AN1421" i="5"/>
  <c r="AO1421" i="5"/>
  <c r="AP1421" i="5"/>
  <c r="AJ1422" i="5"/>
  <c r="AK1422" i="5"/>
  <c r="AL1422" i="5"/>
  <c r="AN1422" i="5"/>
  <c r="AO1422" i="5"/>
  <c r="AP1422" i="5"/>
  <c r="AR1422" i="5"/>
  <c r="AU1422" i="5"/>
  <c r="AV1422" i="5" s="1"/>
  <c r="AW1422" i="5"/>
  <c r="AX1422" i="5" s="1"/>
  <c r="AH1423" i="5"/>
  <c r="AJ1423" i="5" s="1"/>
  <c r="AN1423" i="5"/>
  <c r="AO1423" i="5"/>
  <c r="AP1423" i="5"/>
  <c r="AR1423" i="5"/>
  <c r="AT1423" i="5" s="1"/>
  <c r="AU1423" i="5"/>
  <c r="AV1423" i="5" s="1"/>
  <c r="AW1423" i="5"/>
  <c r="AX1423" i="5" s="1"/>
  <c r="AH1424" i="5"/>
  <c r="AL1424" i="5" s="1"/>
  <c r="AN1424" i="5"/>
  <c r="AO1424" i="5"/>
  <c r="AP1424" i="5"/>
  <c r="AR1424" i="5"/>
  <c r="AS1424" i="5" s="1"/>
  <c r="AU1424" i="5"/>
  <c r="AV1424" i="5" s="1"/>
  <c r="AW1424" i="5"/>
  <c r="AX1424" i="5" s="1"/>
  <c r="AH1425" i="5"/>
  <c r="AL1425" i="5" s="1"/>
  <c r="AN1425" i="5"/>
  <c r="AO1425" i="5"/>
  <c r="AP1425" i="5"/>
  <c r="AR1425" i="5"/>
  <c r="AT1425" i="5" s="1"/>
  <c r="AU1425" i="5"/>
  <c r="AV1425" i="5" s="1"/>
  <c r="AW1425" i="5"/>
  <c r="AX1425" i="5" s="1"/>
  <c r="AH1426" i="5"/>
  <c r="AL1426" i="5" s="1"/>
  <c r="AN1426" i="5"/>
  <c r="AO1426" i="5"/>
  <c r="AP1426" i="5"/>
  <c r="AR1426" i="5"/>
  <c r="AU1426" i="5"/>
  <c r="AV1426" i="5" s="1"/>
  <c r="AW1426" i="5"/>
  <c r="AX1426" i="5" s="1"/>
  <c r="AH1427" i="5"/>
  <c r="AU1427" i="5" s="1"/>
  <c r="AV1427" i="5" s="1"/>
  <c r="AN1427" i="5"/>
  <c r="AO1427" i="5"/>
  <c r="AP1427" i="5"/>
  <c r="AH1428" i="5"/>
  <c r="AL1428" i="5" s="1"/>
  <c r="AN1428" i="5"/>
  <c r="AO1428" i="5"/>
  <c r="AP1428" i="5"/>
  <c r="AJ1429" i="5"/>
  <c r="AK1429" i="5"/>
  <c r="AL1429" i="5"/>
  <c r="AN1429" i="5"/>
  <c r="AO1429" i="5"/>
  <c r="AP1429" i="5"/>
  <c r="AR1429" i="5"/>
  <c r="AU1429" i="5"/>
  <c r="AV1429" i="5" s="1"/>
  <c r="AW1429" i="5"/>
  <c r="AX1429" i="5" s="1"/>
  <c r="AH1430" i="5"/>
  <c r="AI1430" i="5" s="1"/>
  <c r="AN1430" i="5"/>
  <c r="AO1430" i="5"/>
  <c r="AP1430" i="5"/>
  <c r="AR1430" i="5"/>
  <c r="AS1430" i="5" s="1"/>
  <c r="AU1430" i="5"/>
  <c r="AV1430" i="5" s="1"/>
  <c r="AW1430" i="5"/>
  <c r="AX1430" i="5" s="1"/>
  <c r="AH1431" i="5"/>
  <c r="AL1431" i="5" s="1"/>
  <c r="AN1431" i="5"/>
  <c r="AO1431" i="5"/>
  <c r="AP1431" i="5"/>
  <c r="AR1431" i="5"/>
  <c r="AU1431" i="5"/>
  <c r="AV1431" i="5" s="1"/>
  <c r="AW1431" i="5"/>
  <c r="AX1431" i="5" s="1"/>
  <c r="AH1432" i="5"/>
  <c r="AZ1432" i="5" s="1"/>
  <c r="AN1432" i="5"/>
  <c r="AO1432" i="5"/>
  <c r="AP1432" i="5"/>
  <c r="AR1432" i="5"/>
  <c r="AT1432" i="5" s="1"/>
  <c r="AU1432" i="5"/>
  <c r="AV1432" i="5" s="1"/>
  <c r="AW1432" i="5"/>
  <c r="AX1432" i="5" s="1"/>
  <c r="AH1433" i="5"/>
  <c r="AY1433" i="5" s="1"/>
  <c r="AN1433" i="5"/>
  <c r="AO1433" i="5"/>
  <c r="AP1433" i="5"/>
  <c r="AR1433" i="5"/>
  <c r="AS1433" i="5" s="1"/>
  <c r="AU1433" i="5"/>
  <c r="AV1433" i="5" s="1"/>
  <c r="AW1433" i="5"/>
  <c r="AX1433" i="5" s="1"/>
  <c r="AH1434" i="5"/>
  <c r="AJ1434" i="5" s="1"/>
  <c r="AN1434" i="5"/>
  <c r="AO1434" i="5"/>
  <c r="AP1434" i="5"/>
  <c r="AH1435" i="5"/>
  <c r="AN1435" i="5"/>
  <c r="AO1435" i="5"/>
  <c r="AP1435" i="5"/>
  <c r="AJ1436" i="5"/>
  <c r="AK1436" i="5"/>
  <c r="AL1436" i="5"/>
  <c r="AN1436" i="5"/>
  <c r="AO1436" i="5"/>
  <c r="AP1436" i="5"/>
  <c r="AR1436" i="5"/>
  <c r="AS1436" i="5" s="1"/>
  <c r="AU1436" i="5"/>
  <c r="AV1436" i="5" s="1"/>
  <c r="AW1436" i="5"/>
  <c r="AX1436" i="5" s="1"/>
  <c r="AH1437" i="5"/>
  <c r="AY1437" i="5" s="1"/>
  <c r="AN1437" i="5"/>
  <c r="AO1437" i="5"/>
  <c r="AP1437" i="5"/>
  <c r="AR1437" i="5"/>
  <c r="AT1437" i="5" s="1"/>
  <c r="AU1437" i="5"/>
  <c r="AV1437" i="5" s="1"/>
  <c r="AW1437" i="5"/>
  <c r="AX1437" i="5" s="1"/>
  <c r="AH1438" i="5"/>
  <c r="AN1438" i="5"/>
  <c r="AO1438" i="5"/>
  <c r="AP1438" i="5"/>
  <c r="AR1438" i="5"/>
  <c r="AU1438" i="5"/>
  <c r="AV1438" i="5" s="1"/>
  <c r="AW1438" i="5"/>
  <c r="AX1438" i="5" s="1"/>
  <c r="AH1439" i="5"/>
  <c r="AL1439" i="5" s="1"/>
  <c r="AN1439" i="5"/>
  <c r="AO1439" i="5"/>
  <c r="AP1439" i="5"/>
  <c r="AR1439" i="5"/>
  <c r="AS1439" i="5" s="1"/>
  <c r="AU1439" i="5"/>
  <c r="AV1439" i="5" s="1"/>
  <c r="AW1439" i="5"/>
  <c r="AX1439" i="5" s="1"/>
  <c r="AH1440" i="5"/>
  <c r="AN1440" i="5"/>
  <c r="AO1440" i="5"/>
  <c r="AP1440" i="5"/>
  <c r="AR1440" i="5"/>
  <c r="AS1440" i="5" s="1"/>
  <c r="AU1440" i="5"/>
  <c r="AV1440" i="5" s="1"/>
  <c r="AW1440" i="5"/>
  <c r="AX1440" i="5" s="1"/>
  <c r="AH1441" i="5"/>
  <c r="AZ1441" i="5" s="1"/>
  <c r="AN1441" i="5"/>
  <c r="AO1441" i="5"/>
  <c r="AP1441" i="5"/>
  <c r="AH1442" i="5"/>
  <c r="AZ1442" i="5" s="1"/>
  <c r="AN1442" i="5"/>
  <c r="AO1442" i="5"/>
  <c r="AP1442" i="5"/>
  <c r="AJ1443" i="5"/>
  <c r="AK1443" i="5"/>
  <c r="AL1443" i="5"/>
  <c r="AN1443" i="5"/>
  <c r="AO1443" i="5"/>
  <c r="AP1443" i="5"/>
  <c r="AR1443" i="5"/>
  <c r="AU1443" i="5"/>
  <c r="AV1443" i="5" s="1"/>
  <c r="AW1443" i="5"/>
  <c r="AX1443" i="5" s="1"/>
  <c r="AH1444" i="5"/>
  <c r="AJ1444" i="5" s="1"/>
  <c r="AN1444" i="5"/>
  <c r="AO1444" i="5"/>
  <c r="AP1444" i="5"/>
  <c r="AR1444" i="5"/>
  <c r="AT1444" i="5" s="1"/>
  <c r="AU1444" i="5"/>
  <c r="AV1444" i="5" s="1"/>
  <c r="AW1444" i="5"/>
  <c r="AX1444" i="5" s="1"/>
  <c r="AH1445" i="5"/>
  <c r="AJ1445" i="5" s="1"/>
  <c r="AN1445" i="5"/>
  <c r="AO1445" i="5"/>
  <c r="AP1445" i="5"/>
  <c r="AR1445" i="5"/>
  <c r="AS1445" i="5" s="1"/>
  <c r="AU1445" i="5"/>
  <c r="AV1445" i="5" s="1"/>
  <c r="AW1445" i="5"/>
  <c r="AX1445" i="5" s="1"/>
  <c r="AH1446" i="5"/>
  <c r="AN1446" i="5"/>
  <c r="AO1446" i="5"/>
  <c r="AP1446" i="5"/>
  <c r="AR1446" i="5"/>
  <c r="AU1446" i="5"/>
  <c r="AV1446" i="5" s="1"/>
  <c r="AW1446" i="5"/>
  <c r="AX1446" i="5" s="1"/>
  <c r="AH1447" i="5"/>
  <c r="AY1447" i="5" s="1"/>
  <c r="AN1447" i="5"/>
  <c r="AO1447" i="5"/>
  <c r="AP1447" i="5"/>
  <c r="AR1447" i="5"/>
  <c r="AU1447" i="5"/>
  <c r="AV1447" i="5" s="1"/>
  <c r="AW1447" i="5"/>
  <c r="AX1447" i="5" s="1"/>
  <c r="AH1448" i="5"/>
  <c r="AW1448" i="5" s="1"/>
  <c r="AX1448" i="5" s="1"/>
  <c r="AN1448" i="5"/>
  <c r="AO1448" i="5"/>
  <c r="AP1448" i="5"/>
  <c r="AH1449" i="5"/>
  <c r="AZ1449" i="5" s="1"/>
  <c r="AN1449" i="5"/>
  <c r="AO1449" i="5"/>
  <c r="AP1449" i="5"/>
  <c r="AJ1450" i="5"/>
  <c r="AK1450" i="5"/>
  <c r="AL1450" i="5"/>
  <c r="AN1450" i="5"/>
  <c r="AO1450" i="5"/>
  <c r="AP1450" i="5"/>
  <c r="AR1450" i="5"/>
  <c r="AU1450" i="5"/>
  <c r="AV1450" i="5" s="1"/>
  <c r="AW1450" i="5"/>
  <c r="AX1450" i="5" s="1"/>
  <c r="AH1451" i="5"/>
  <c r="AK1451" i="5" s="1"/>
  <c r="AN1451" i="5"/>
  <c r="AO1451" i="5"/>
  <c r="AP1451" i="5"/>
  <c r="AR1451" i="5"/>
  <c r="AU1451" i="5"/>
  <c r="AV1451" i="5" s="1"/>
  <c r="AW1451" i="5"/>
  <c r="AX1451" i="5" s="1"/>
  <c r="AH1452" i="5"/>
  <c r="AL1452" i="5" s="1"/>
  <c r="AN1452" i="5"/>
  <c r="AO1452" i="5"/>
  <c r="AP1452" i="5"/>
  <c r="AR1452" i="5"/>
  <c r="AT1452" i="5" s="1"/>
  <c r="AU1452" i="5"/>
  <c r="AV1452" i="5" s="1"/>
  <c r="AW1452" i="5"/>
  <c r="AX1452" i="5" s="1"/>
  <c r="AH1453" i="5"/>
  <c r="AL1453" i="5" s="1"/>
  <c r="AN1453" i="5"/>
  <c r="AO1453" i="5"/>
  <c r="AP1453" i="5"/>
  <c r="AR1453" i="5"/>
  <c r="AS1453" i="5" s="1"/>
  <c r="AU1453" i="5"/>
  <c r="AV1453" i="5" s="1"/>
  <c r="AW1453" i="5"/>
  <c r="AX1453" i="5" s="1"/>
  <c r="AH1454" i="5"/>
  <c r="AN1454" i="5"/>
  <c r="AO1454" i="5"/>
  <c r="AP1454" i="5"/>
  <c r="AR1454" i="5"/>
  <c r="AU1454" i="5"/>
  <c r="AV1454" i="5" s="1"/>
  <c r="AW1454" i="5"/>
  <c r="AX1454" i="5" s="1"/>
  <c r="AH1455" i="5"/>
  <c r="AJ1455" i="5" s="1"/>
  <c r="AN1455" i="5"/>
  <c r="AO1455" i="5"/>
  <c r="AP1455" i="5"/>
  <c r="AH1456" i="5"/>
  <c r="AU1456" i="5" s="1"/>
  <c r="AV1456" i="5" s="1"/>
  <c r="AN1456" i="5"/>
  <c r="AO1456" i="5"/>
  <c r="AP1456" i="5"/>
  <c r="AJ1457" i="5"/>
  <c r="AK1457" i="5"/>
  <c r="AL1457" i="5"/>
  <c r="AN1457" i="5"/>
  <c r="AO1457" i="5"/>
  <c r="AP1457" i="5"/>
  <c r="AR1457" i="5"/>
  <c r="AT1457" i="5" s="1"/>
  <c r="AU1457" i="5"/>
  <c r="AV1457" i="5" s="1"/>
  <c r="AW1457" i="5"/>
  <c r="AX1457" i="5" s="1"/>
  <c r="AH1458" i="5"/>
  <c r="AN1458" i="5"/>
  <c r="AO1458" i="5"/>
  <c r="AP1458" i="5"/>
  <c r="AR1458" i="5"/>
  <c r="AU1458" i="5"/>
  <c r="AV1458" i="5" s="1"/>
  <c r="AW1458" i="5"/>
  <c r="AX1458" i="5" s="1"/>
  <c r="AH1459" i="5"/>
  <c r="AN1459" i="5"/>
  <c r="AO1459" i="5"/>
  <c r="AP1459" i="5"/>
  <c r="AR1459" i="5"/>
  <c r="AT1459" i="5" s="1"/>
  <c r="AU1459" i="5"/>
  <c r="AV1459" i="5" s="1"/>
  <c r="AW1459" i="5"/>
  <c r="AX1459" i="5" s="1"/>
  <c r="AH1460" i="5"/>
  <c r="AZ1460" i="5" s="1"/>
  <c r="AN1460" i="5"/>
  <c r="AO1460" i="5"/>
  <c r="AP1460" i="5"/>
  <c r="AR1460" i="5"/>
  <c r="AT1460" i="5" s="1"/>
  <c r="AU1460" i="5"/>
  <c r="AV1460" i="5" s="1"/>
  <c r="AW1460" i="5"/>
  <c r="AX1460" i="5" s="1"/>
  <c r="AH1461" i="5"/>
  <c r="AN1461" i="5"/>
  <c r="AO1461" i="5"/>
  <c r="AP1461" i="5"/>
  <c r="AR1461" i="5"/>
  <c r="AU1461" i="5"/>
  <c r="AV1461" i="5" s="1"/>
  <c r="AW1461" i="5"/>
  <c r="AX1461" i="5" s="1"/>
  <c r="AH1462" i="5"/>
  <c r="AN1462" i="5"/>
  <c r="AO1462" i="5"/>
  <c r="AP1462" i="5"/>
  <c r="AH1463" i="5"/>
  <c r="AN1463" i="5"/>
  <c r="AO1463" i="5"/>
  <c r="AP1463" i="5"/>
  <c r="AJ1464" i="5"/>
  <c r="AK1464" i="5"/>
  <c r="AL1464" i="5"/>
  <c r="AN1464" i="5"/>
  <c r="AO1464" i="5"/>
  <c r="AP1464" i="5"/>
  <c r="AR1464" i="5"/>
  <c r="AT1464" i="5" s="1"/>
  <c r="AU1464" i="5"/>
  <c r="AV1464" i="5" s="1"/>
  <c r="AW1464" i="5"/>
  <c r="AX1464" i="5" s="1"/>
  <c r="AH1465" i="5"/>
  <c r="AY1465" i="5" s="1"/>
  <c r="AN1465" i="5"/>
  <c r="AO1465" i="5"/>
  <c r="AP1465" i="5"/>
  <c r="AR1465" i="5"/>
  <c r="AT1465" i="5" s="1"/>
  <c r="AU1465" i="5"/>
  <c r="AV1465" i="5" s="1"/>
  <c r="AW1465" i="5"/>
  <c r="AX1465" i="5" s="1"/>
  <c r="AH1466" i="5"/>
  <c r="AN1466" i="5"/>
  <c r="AO1466" i="5"/>
  <c r="AP1466" i="5"/>
  <c r="AR1466" i="5"/>
  <c r="AU1466" i="5"/>
  <c r="AV1466" i="5" s="1"/>
  <c r="AW1466" i="5"/>
  <c r="AX1466" i="5" s="1"/>
  <c r="AH1467" i="5"/>
  <c r="AL1467" i="5" s="1"/>
  <c r="AN1467" i="5"/>
  <c r="AO1467" i="5"/>
  <c r="AP1467" i="5"/>
  <c r="AR1467" i="5"/>
  <c r="AU1467" i="5"/>
  <c r="AV1467" i="5" s="1"/>
  <c r="AW1467" i="5"/>
  <c r="AX1467" i="5" s="1"/>
  <c r="AH1468" i="5"/>
  <c r="AR1468" i="5" s="1"/>
  <c r="AS1468" i="5" s="1"/>
  <c r="AN1468" i="5"/>
  <c r="AO1468" i="5"/>
  <c r="AP1468" i="5"/>
  <c r="AH1469" i="5"/>
  <c r="AI1470" i="5" s="1"/>
  <c r="AN1469" i="5"/>
  <c r="AO1469" i="5"/>
  <c r="AP1469" i="5"/>
  <c r="AJ1470" i="5"/>
  <c r="AK1470" i="5"/>
  <c r="AL1470" i="5"/>
  <c r="AN1470" i="5"/>
  <c r="AO1470" i="5"/>
  <c r="AP1470" i="5"/>
  <c r="AR1470" i="5"/>
  <c r="AU1470" i="5"/>
  <c r="AV1470" i="5" s="1"/>
  <c r="AW1470" i="5"/>
  <c r="AX1470" i="5" s="1"/>
  <c r="AH1471" i="5"/>
  <c r="AK1471" i="5" s="1"/>
  <c r="AN1471" i="5"/>
  <c r="AO1471" i="5"/>
  <c r="AP1471" i="5"/>
  <c r="AR1471" i="5"/>
  <c r="AU1471" i="5"/>
  <c r="AV1471" i="5" s="1"/>
  <c r="AW1471" i="5"/>
  <c r="AX1471" i="5" s="1"/>
  <c r="AH1472" i="5"/>
  <c r="AY1472" i="5" s="1"/>
  <c r="AN1472" i="5"/>
  <c r="AO1472" i="5"/>
  <c r="AP1472" i="5"/>
  <c r="AR1472" i="5"/>
  <c r="AU1472" i="5"/>
  <c r="AV1472" i="5" s="1"/>
  <c r="AW1472" i="5"/>
  <c r="AX1472" i="5" s="1"/>
  <c r="AH1473" i="5"/>
  <c r="AN1473" i="5"/>
  <c r="AO1473" i="5"/>
  <c r="AP1473" i="5"/>
  <c r="AR1473" i="5"/>
  <c r="AS1473" i="5" s="1"/>
  <c r="AU1473" i="5"/>
  <c r="AV1473" i="5" s="1"/>
  <c r="AW1473" i="5"/>
  <c r="AX1473" i="5" s="1"/>
  <c r="AH1474" i="5"/>
  <c r="AU1474" i="5" s="1"/>
  <c r="AV1474" i="5" s="1"/>
  <c r="AN1474" i="5"/>
  <c r="AO1474" i="5"/>
  <c r="AP1474" i="5"/>
  <c r="AH1475" i="5"/>
  <c r="AN1475" i="5"/>
  <c r="AO1475" i="5"/>
  <c r="AP1475" i="5"/>
  <c r="AJ1476" i="5"/>
  <c r="AK1476" i="5"/>
  <c r="AL1476" i="5"/>
  <c r="AN1476" i="5"/>
  <c r="AO1476" i="5"/>
  <c r="AP1476" i="5"/>
  <c r="AR1476" i="5"/>
  <c r="AU1476" i="5"/>
  <c r="AV1476" i="5" s="1"/>
  <c r="AW1476" i="5"/>
  <c r="AX1476" i="5" s="1"/>
  <c r="AH1477" i="5"/>
  <c r="AZ1477" i="5" s="1"/>
  <c r="AN1477" i="5"/>
  <c r="AO1477" i="5"/>
  <c r="AP1477" i="5"/>
  <c r="AR1477" i="5"/>
  <c r="AS1477" i="5" s="1"/>
  <c r="AU1477" i="5"/>
  <c r="AV1477" i="5" s="1"/>
  <c r="AW1477" i="5"/>
  <c r="AX1477" i="5" s="1"/>
  <c r="AH1478" i="5"/>
  <c r="AY1478" i="5" s="1"/>
  <c r="AN1478" i="5"/>
  <c r="AO1478" i="5"/>
  <c r="AP1478" i="5"/>
  <c r="AR1478" i="5"/>
  <c r="AU1478" i="5"/>
  <c r="AV1478" i="5" s="1"/>
  <c r="AW1478" i="5"/>
  <c r="AX1478" i="5" s="1"/>
  <c r="AH1479" i="5"/>
  <c r="AZ1479" i="5" s="1"/>
  <c r="AN1479" i="5"/>
  <c r="AO1479" i="5"/>
  <c r="AP1479" i="5"/>
  <c r="AR1479" i="5"/>
  <c r="AU1479" i="5"/>
  <c r="AV1479" i="5" s="1"/>
  <c r="AW1479" i="5"/>
  <c r="AX1479" i="5" s="1"/>
  <c r="AH1480" i="5"/>
  <c r="AN1480" i="5"/>
  <c r="AO1480" i="5"/>
  <c r="AP1480" i="5"/>
  <c r="AH1481" i="5"/>
  <c r="AK1481" i="5" s="1"/>
  <c r="AN1481" i="5"/>
  <c r="AO1481" i="5"/>
  <c r="AP1481" i="5"/>
  <c r="AJ1482" i="5"/>
  <c r="AK1482" i="5"/>
  <c r="AL1482" i="5"/>
  <c r="AN1482" i="5"/>
  <c r="AO1482" i="5"/>
  <c r="AP1482" i="5"/>
  <c r="AR1482" i="5"/>
  <c r="AU1482" i="5"/>
  <c r="AV1482" i="5" s="1"/>
  <c r="AW1482" i="5"/>
  <c r="AX1482" i="5" s="1"/>
  <c r="AH1483" i="5"/>
  <c r="AL1483" i="5" s="1"/>
  <c r="AN1483" i="5"/>
  <c r="AO1483" i="5"/>
  <c r="AP1483" i="5"/>
  <c r="AR1483" i="5"/>
  <c r="AT1483" i="5" s="1"/>
  <c r="AU1483" i="5"/>
  <c r="AV1483" i="5" s="1"/>
  <c r="AW1483" i="5"/>
  <c r="AX1483" i="5" s="1"/>
  <c r="AH1484" i="5"/>
  <c r="AL1484" i="5" s="1"/>
  <c r="AN1484" i="5"/>
  <c r="AO1484" i="5"/>
  <c r="AP1484" i="5"/>
  <c r="AR1484" i="5"/>
  <c r="AS1484" i="5" s="1"/>
  <c r="AU1484" i="5"/>
  <c r="AV1484" i="5" s="1"/>
  <c r="AW1484" i="5"/>
  <c r="AX1484" i="5" s="1"/>
  <c r="AH1485" i="5"/>
  <c r="AL1485" i="5" s="1"/>
  <c r="AN1485" i="5"/>
  <c r="AO1485" i="5"/>
  <c r="AP1485" i="5"/>
  <c r="AR1485" i="5"/>
  <c r="AT1485" i="5" s="1"/>
  <c r="AU1485" i="5"/>
  <c r="AV1485" i="5" s="1"/>
  <c r="AW1485" i="5"/>
  <c r="AX1485" i="5" s="1"/>
  <c r="AH1486" i="5"/>
  <c r="AN1486" i="5"/>
  <c r="AO1486" i="5"/>
  <c r="AP1486" i="5"/>
  <c r="AH1487" i="5"/>
  <c r="AL1487" i="5" s="1"/>
  <c r="AN1487" i="5"/>
  <c r="AO1487" i="5"/>
  <c r="AP1487" i="5"/>
  <c r="AJ1488" i="5"/>
  <c r="AK1488" i="5"/>
  <c r="AL1488" i="5"/>
  <c r="AN1488" i="5"/>
  <c r="AO1488" i="5"/>
  <c r="AP1488" i="5"/>
  <c r="AR1488" i="5"/>
  <c r="AT1488" i="5" s="1"/>
  <c r="AU1488" i="5"/>
  <c r="AV1488" i="5" s="1"/>
  <c r="AW1488" i="5"/>
  <c r="AX1488" i="5" s="1"/>
  <c r="AH1489" i="5"/>
  <c r="AK1489" i="5" s="1"/>
  <c r="AN1489" i="5"/>
  <c r="AO1489" i="5"/>
  <c r="AP1489" i="5"/>
  <c r="AR1489" i="5"/>
  <c r="AT1489" i="5" s="1"/>
  <c r="AU1489" i="5"/>
  <c r="AV1489" i="5" s="1"/>
  <c r="AW1489" i="5"/>
  <c r="AX1489" i="5" s="1"/>
  <c r="AH1490" i="5"/>
  <c r="AN1490" i="5"/>
  <c r="AO1490" i="5"/>
  <c r="AP1490" i="5"/>
  <c r="AR1490" i="5"/>
  <c r="AU1490" i="5"/>
  <c r="AV1490" i="5" s="1"/>
  <c r="AW1490" i="5"/>
  <c r="AX1490" i="5" s="1"/>
  <c r="AH1491" i="5"/>
  <c r="AN1491" i="5"/>
  <c r="AO1491" i="5"/>
  <c r="AP1491" i="5"/>
  <c r="AR1491" i="5"/>
  <c r="AU1491" i="5"/>
  <c r="AV1491" i="5" s="1"/>
  <c r="AW1491" i="5"/>
  <c r="AX1491" i="5" s="1"/>
  <c r="AH1492" i="5"/>
  <c r="AY1492" i="5" s="1"/>
  <c r="AN1492" i="5"/>
  <c r="AO1492" i="5"/>
  <c r="AP1492" i="5"/>
  <c r="AH1493" i="5"/>
  <c r="AL1493" i="5" s="1"/>
  <c r="AN1493" i="5"/>
  <c r="AO1493" i="5"/>
  <c r="AP1493" i="5"/>
  <c r="AJ1494" i="5"/>
  <c r="AK1494" i="5"/>
  <c r="AL1494" i="5"/>
  <c r="AN1494" i="5"/>
  <c r="AO1494" i="5"/>
  <c r="AP1494" i="5"/>
  <c r="AR1494" i="5"/>
  <c r="AS1494" i="5" s="1"/>
  <c r="AU1494" i="5"/>
  <c r="AV1494" i="5" s="1"/>
  <c r="AW1494" i="5"/>
  <c r="AX1494" i="5" s="1"/>
  <c r="AH1495" i="5"/>
  <c r="AI1495" i="5" s="1"/>
  <c r="AN1495" i="5"/>
  <c r="AO1495" i="5"/>
  <c r="AP1495" i="5"/>
  <c r="AR1495" i="5"/>
  <c r="AU1495" i="5"/>
  <c r="AV1495" i="5" s="1"/>
  <c r="AW1495" i="5"/>
  <c r="AX1495" i="5" s="1"/>
  <c r="AH1496" i="5"/>
  <c r="AJ1496" i="5" s="1"/>
  <c r="AN1496" i="5"/>
  <c r="AO1496" i="5"/>
  <c r="AP1496" i="5"/>
  <c r="AR1496" i="5"/>
  <c r="AS1496" i="5" s="1"/>
  <c r="AU1496" i="5"/>
  <c r="AV1496" i="5" s="1"/>
  <c r="AW1496" i="5"/>
  <c r="AX1496" i="5" s="1"/>
  <c r="AH1497" i="5"/>
  <c r="AN1497" i="5"/>
  <c r="AO1497" i="5"/>
  <c r="AP1497" i="5"/>
  <c r="AR1497" i="5"/>
  <c r="AT1497" i="5" s="1"/>
  <c r="AU1497" i="5"/>
  <c r="AV1497" i="5" s="1"/>
  <c r="AW1497" i="5"/>
  <c r="AX1497" i="5" s="1"/>
  <c r="AH1498" i="5"/>
  <c r="AY1498" i="5" s="1"/>
  <c r="AN1498" i="5"/>
  <c r="AO1498" i="5"/>
  <c r="AP1498" i="5"/>
  <c r="AH1499" i="5"/>
  <c r="AN1499" i="5"/>
  <c r="AO1499" i="5"/>
  <c r="AP1499" i="5"/>
  <c r="AJ1500" i="5"/>
  <c r="AK1500" i="5"/>
  <c r="AL1500" i="5"/>
  <c r="AN1500" i="5"/>
  <c r="AO1500" i="5"/>
  <c r="AP1500" i="5"/>
  <c r="AR1500" i="5"/>
  <c r="AU1500" i="5"/>
  <c r="AV1500" i="5" s="1"/>
  <c r="AW1500" i="5"/>
  <c r="AX1500" i="5" s="1"/>
  <c r="AH1501" i="5"/>
  <c r="AZ1501" i="5" s="1"/>
  <c r="AN1501" i="5"/>
  <c r="AO1501" i="5"/>
  <c r="AP1501" i="5"/>
  <c r="AR1501" i="5"/>
  <c r="AU1501" i="5"/>
  <c r="AV1501" i="5" s="1"/>
  <c r="AW1501" i="5"/>
  <c r="AX1501" i="5" s="1"/>
  <c r="AH1502" i="5"/>
  <c r="AK1502" i="5" s="1"/>
  <c r="AN1502" i="5"/>
  <c r="AO1502" i="5"/>
  <c r="AP1502" i="5"/>
  <c r="AR1502" i="5"/>
  <c r="AU1502" i="5"/>
  <c r="AV1502" i="5" s="1"/>
  <c r="AW1502" i="5"/>
  <c r="AX1502" i="5" s="1"/>
  <c r="AH1503" i="5"/>
  <c r="AL1503" i="5" s="1"/>
  <c r="AN1503" i="5"/>
  <c r="AO1503" i="5"/>
  <c r="AP1503" i="5"/>
  <c r="AR1503" i="5"/>
  <c r="AU1503" i="5"/>
  <c r="AV1503" i="5" s="1"/>
  <c r="AW1503" i="5"/>
  <c r="AX1503" i="5" s="1"/>
  <c r="AH1504" i="5"/>
  <c r="AL1504" i="5" s="1"/>
  <c r="AN1504" i="5"/>
  <c r="AO1504" i="5"/>
  <c r="AP1504" i="5"/>
  <c r="AH1505" i="5"/>
  <c r="AK1505" i="5" s="1"/>
  <c r="AN1505" i="5"/>
  <c r="AO1505" i="5"/>
  <c r="AP1505" i="5"/>
  <c r="AJ1506" i="5"/>
  <c r="AK1506" i="5"/>
  <c r="AL1506" i="5"/>
  <c r="AN1506" i="5"/>
  <c r="AO1506" i="5"/>
  <c r="AP1506" i="5"/>
  <c r="AR1506" i="5"/>
  <c r="AS1506" i="5" s="1"/>
  <c r="AU1506" i="5"/>
  <c r="AV1506" i="5" s="1"/>
  <c r="AW1506" i="5"/>
  <c r="AX1506" i="5" s="1"/>
  <c r="AN1507" i="5"/>
  <c r="AO1507" i="5"/>
  <c r="AP1507" i="5"/>
  <c r="AR1507" i="5"/>
  <c r="AS1507" i="5" s="1"/>
  <c r="AU1507" i="5"/>
  <c r="AV1507" i="5" s="1"/>
  <c r="AW1507" i="5"/>
  <c r="AX1507" i="5" s="1"/>
  <c r="AH1508" i="5"/>
  <c r="AY1508" i="5" s="1"/>
  <c r="AN1508" i="5"/>
  <c r="AO1508" i="5"/>
  <c r="AP1508" i="5"/>
  <c r="AR1508" i="5"/>
  <c r="AS1508" i="5" s="1"/>
  <c r="AU1508" i="5"/>
  <c r="AV1508" i="5" s="1"/>
  <c r="AW1508" i="5"/>
  <c r="AX1508" i="5" s="1"/>
  <c r="AH1509" i="5"/>
  <c r="AN1509" i="5"/>
  <c r="AO1509" i="5"/>
  <c r="AP1509" i="5"/>
  <c r="AH1510" i="5"/>
  <c r="AZ1510" i="5" s="1"/>
  <c r="AN1510" i="5"/>
  <c r="AO1510" i="5"/>
  <c r="AP1510" i="5"/>
  <c r="AJ1511" i="5"/>
  <c r="AK1511" i="5"/>
  <c r="AL1511" i="5"/>
  <c r="AN1511" i="5"/>
  <c r="AO1511" i="5"/>
  <c r="AP1511" i="5"/>
  <c r="AR1511" i="5"/>
  <c r="AT1511" i="5" s="1"/>
  <c r="AU1511" i="5"/>
  <c r="AV1511" i="5" s="1"/>
  <c r="AW1511" i="5"/>
  <c r="AX1511" i="5" s="1"/>
  <c r="AH1554" i="5"/>
  <c r="AK1554" i="5" s="1"/>
  <c r="AN1554" i="5"/>
  <c r="AO1554" i="5"/>
  <c r="AP1554" i="5"/>
  <c r="AR1554" i="5"/>
  <c r="AT1554" i="5" s="1"/>
  <c r="AU1554" i="5"/>
  <c r="AV1554" i="5" s="1"/>
  <c r="AW1554" i="5"/>
  <c r="AX1554" i="5" s="1"/>
  <c r="AH1555" i="5"/>
  <c r="AN1555" i="5"/>
  <c r="AO1555" i="5"/>
  <c r="AP1555" i="5"/>
  <c r="AR1555" i="5"/>
  <c r="AS1555" i="5" s="1"/>
  <c r="AU1555" i="5"/>
  <c r="AV1555" i="5" s="1"/>
  <c r="AW1555" i="5"/>
  <c r="AX1555" i="5" s="1"/>
  <c r="AH1556" i="5"/>
  <c r="AM1556" i="5" s="1"/>
  <c r="AN1556" i="5"/>
  <c r="AO1556" i="5"/>
  <c r="AP1556" i="5"/>
  <c r="AR1556" i="5"/>
  <c r="AU1556" i="5"/>
  <c r="AV1556" i="5" s="1"/>
  <c r="AW1556" i="5"/>
  <c r="AX1556" i="5" s="1"/>
  <c r="AH1557" i="5"/>
  <c r="AM1557" i="5" s="1"/>
  <c r="AN1557" i="5"/>
  <c r="AO1557" i="5"/>
  <c r="AP1557" i="5"/>
  <c r="AR1557" i="5"/>
  <c r="AU1557" i="5"/>
  <c r="AV1557" i="5" s="1"/>
  <c r="AW1557" i="5"/>
  <c r="AX1557" i="5" s="1"/>
  <c r="AH1558" i="5"/>
  <c r="AN1558" i="5"/>
  <c r="AO1558" i="5"/>
  <c r="AP1558" i="5"/>
  <c r="AR1558" i="5"/>
  <c r="AS1558" i="5" s="1"/>
  <c r="AU1558" i="5"/>
  <c r="AV1558" i="5" s="1"/>
  <c r="AW1558" i="5"/>
  <c r="AX1558" i="5" s="1"/>
  <c r="AH1559" i="5"/>
  <c r="AN1559" i="5"/>
  <c r="AO1559" i="5"/>
  <c r="AR1559" i="5"/>
  <c r="AU1559" i="5"/>
  <c r="AV1559" i="5" s="1"/>
  <c r="AW1559" i="5"/>
  <c r="AX1559" i="5" s="1"/>
  <c r="AH1560" i="5"/>
  <c r="AK1560" i="5" s="1"/>
  <c r="AN1560" i="5"/>
  <c r="AO1560" i="5"/>
  <c r="AP1560" i="5"/>
  <c r="AR1560" i="5"/>
  <c r="AT1560" i="5" s="1"/>
  <c r="AU1560" i="5"/>
  <c r="AV1560" i="5" s="1"/>
  <c r="AW1560" i="5"/>
  <c r="AX1560" i="5" s="1"/>
  <c r="AH1561" i="5"/>
  <c r="AK1561" i="5" s="1"/>
  <c r="AN1561" i="5"/>
  <c r="AO1561" i="5"/>
  <c r="AP1561" i="5"/>
  <c r="AR1561" i="5"/>
  <c r="AS1561" i="5" s="1"/>
  <c r="AU1561" i="5"/>
  <c r="AV1561" i="5" s="1"/>
  <c r="AW1561" i="5"/>
  <c r="AX1561" i="5" s="1"/>
  <c r="AH1562" i="5"/>
  <c r="AN1562" i="5"/>
  <c r="AO1562" i="5"/>
  <c r="AP1562" i="5"/>
  <c r="AR1562" i="5"/>
  <c r="AT1562" i="5" s="1"/>
  <c r="AU1562" i="5"/>
  <c r="AV1562" i="5" s="1"/>
  <c r="AW1562" i="5"/>
  <c r="AX1562" i="5" s="1"/>
  <c r="AH1563" i="5"/>
  <c r="AY1563" i="5" s="1"/>
  <c r="AN1563" i="5"/>
  <c r="AO1563" i="5"/>
  <c r="AP1563" i="5"/>
  <c r="AR1563" i="5"/>
  <c r="AU1563" i="5"/>
  <c r="AV1563" i="5" s="1"/>
  <c r="AW1563" i="5"/>
  <c r="AX1563" i="5" s="1"/>
  <c r="AH1564" i="5"/>
  <c r="AU1564" i="5" s="1"/>
  <c r="AV1564" i="5" s="1"/>
  <c r="AN1564" i="5"/>
  <c r="AO1564" i="5"/>
  <c r="AP1564" i="5"/>
  <c r="AH1565" i="5"/>
  <c r="AL1565" i="5" s="1"/>
  <c r="AN1565" i="5"/>
  <c r="AO1565" i="5"/>
  <c r="AP1565" i="5"/>
  <c r="AJ1566" i="5"/>
  <c r="AK1566" i="5"/>
  <c r="AL1566" i="5"/>
  <c r="AN1566" i="5"/>
  <c r="AO1566" i="5"/>
  <c r="AP1566" i="5"/>
  <c r="AR1566" i="5"/>
  <c r="AS1566" i="5" s="1"/>
  <c r="AU1566" i="5"/>
  <c r="AV1566" i="5" s="1"/>
  <c r="AW1566" i="5"/>
  <c r="AX1566" i="5" s="1"/>
  <c r="AH1567" i="5"/>
  <c r="AL1567" i="5" s="1"/>
  <c r="AN1567" i="5"/>
  <c r="AO1567" i="5"/>
  <c r="AP1567" i="5"/>
  <c r="AR1567" i="5"/>
  <c r="AU1567" i="5"/>
  <c r="AV1567" i="5" s="1"/>
  <c r="AW1567" i="5"/>
  <c r="AX1567" i="5" s="1"/>
  <c r="AH1568" i="5"/>
  <c r="AJ1568" i="5" s="1"/>
  <c r="AN1568" i="5"/>
  <c r="AO1568" i="5"/>
  <c r="AP1568" i="5"/>
  <c r="AR1568" i="5"/>
  <c r="AU1568" i="5"/>
  <c r="AV1568" i="5" s="1"/>
  <c r="AW1568" i="5"/>
  <c r="AX1568" i="5" s="1"/>
  <c r="AH1569" i="5"/>
  <c r="AK1569" i="5" s="1"/>
  <c r="AN1569" i="5"/>
  <c r="AO1569" i="5"/>
  <c r="AP1569" i="5"/>
  <c r="AR1569" i="5"/>
  <c r="AT1569" i="5" s="1"/>
  <c r="AU1569" i="5"/>
  <c r="AV1569" i="5" s="1"/>
  <c r="AW1569" i="5"/>
  <c r="AX1569" i="5" s="1"/>
  <c r="AH1570" i="5"/>
  <c r="AN1570" i="5"/>
  <c r="AO1570" i="5"/>
  <c r="AP1570" i="5"/>
  <c r="AR1570" i="5"/>
  <c r="AU1570" i="5"/>
  <c r="AV1570" i="5" s="1"/>
  <c r="AW1570" i="5"/>
  <c r="AX1570" i="5" s="1"/>
  <c r="AH1571" i="5"/>
  <c r="AN1571" i="5"/>
  <c r="AO1571" i="5"/>
  <c r="AP1571" i="5"/>
  <c r="AN1573" i="5"/>
  <c r="AO1573" i="5"/>
  <c r="AP1573" i="5"/>
  <c r="AR1573" i="5"/>
  <c r="AU1573" i="5"/>
  <c r="AV1573" i="5" s="1"/>
  <c r="AW1573" i="5"/>
  <c r="AX1573" i="5" s="1"/>
  <c r="AH1574" i="5"/>
  <c r="AK1574" i="5" s="1"/>
  <c r="AN1574" i="5"/>
  <c r="AO1574" i="5"/>
  <c r="AP1574" i="5"/>
  <c r="AR1574" i="5"/>
  <c r="AS1574" i="5" s="1"/>
  <c r="AU1574" i="5"/>
  <c r="AV1574" i="5" s="1"/>
  <c r="AW1574" i="5"/>
  <c r="AX1574" i="5" s="1"/>
  <c r="AH1575" i="5"/>
  <c r="AN1575" i="5"/>
  <c r="AO1575" i="5"/>
  <c r="AP1575" i="5"/>
  <c r="AR1575" i="5"/>
  <c r="AU1575" i="5"/>
  <c r="AV1575" i="5" s="1"/>
  <c r="AW1575" i="5"/>
  <c r="AX1575" i="5" s="1"/>
  <c r="AH1576" i="5"/>
  <c r="AY1576" i="5" s="1"/>
  <c r="AN1576" i="5"/>
  <c r="AO1576" i="5"/>
  <c r="AP1576" i="5"/>
  <c r="AR1576" i="5"/>
  <c r="AU1576" i="5"/>
  <c r="AV1576" i="5" s="1"/>
  <c r="AW1576" i="5"/>
  <c r="AX1576" i="5" s="1"/>
  <c r="AH1577" i="5"/>
  <c r="AN1577" i="5"/>
  <c r="AO1577" i="5"/>
  <c r="AP1577" i="5"/>
  <c r="AR1577" i="5"/>
  <c r="AS1577" i="5" s="1"/>
  <c r="AU1577" i="5"/>
  <c r="AV1577" i="5" s="1"/>
  <c r="AW1577" i="5"/>
  <c r="AX1577" i="5" s="1"/>
  <c r="AH1578" i="5"/>
  <c r="AL1578" i="5" s="1"/>
  <c r="AN1578" i="5"/>
  <c r="AO1578" i="5"/>
  <c r="AP1578" i="5"/>
  <c r="AH1579" i="5"/>
  <c r="AN1579" i="5"/>
  <c r="AO1579" i="5"/>
  <c r="AP1579" i="5"/>
  <c r="AJ1580" i="5"/>
  <c r="AK1580" i="5"/>
  <c r="AL1580" i="5"/>
  <c r="AN1580" i="5"/>
  <c r="AO1580" i="5"/>
  <c r="AP1580" i="5"/>
  <c r="AR1580" i="5"/>
  <c r="AT1580" i="5" s="1"/>
  <c r="AU1580" i="5"/>
  <c r="AV1580" i="5" s="1"/>
  <c r="AW1580" i="5"/>
  <c r="AX1580" i="5" s="1"/>
  <c r="AH1581" i="5"/>
  <c r="AL1581" i="5" s="1"/>
  <c r="AN1581" i="5"/>
  <c r="AO1581" i="5"/>
  <c r="AP1581" i="5"/>
  <c r="AR1581" i="5"/>
  <c r="AS1581" i="5" s="1"/>
  <c r="AU1581" i="5"/>
  <c r="AV1581" i="5" s="1"/>
  <c r="AW1581" i="5"/>
  <c r="AX1581" i="5" s="1"/>
  <c r="AH1582" i="5"/>
  <c r="AK1582" i="5" s="1"/>
  <c r="AN1582" i="5"/>
  <c r="AO1582" i="5"/>
  <c r="AP1582" i="5"/>
  <c r="AR1582" i="5"/>
  <c r="AS1582" i="5" s="1"/>
  <c r="AU1582" i="5"/>
  <c r="AV1582" i="5" s="1"/>
  <c r="AW1582" i="5"/>
  <c r="AX1582" i="5" s="1"/>
  <c r="AH1583" i="5"/>
  <c r="AN1583" i="5"/>
  <c r="AO1583" i="5"/>
  <c r="AP1583" i="5"/>
  <c r="AR1583" i="5"/>
  <c r="AS1583" i="5" s="1"/>
  <c r="AU1583" i="5"/>
  <c r="AV1583" i="5" s="1"/>
  <c r="AW1583" i="5"/>
  <c r="AX1583" i="5" s="1"/>
  <c r="AH1584" i="5"/>
  <c r="AJ1584" i="5" s="1"/>
  <c r="AN1584" i="5"/>
  <c r="AO1584" i="5"/>
  <c r="AP1584" i="5"/>
  <c r="AR1584" i="5"/>
  <c r="AT1584" i="5" s="1"/>
  <c r="AU1584" i="5"/>
  <c r="AV1584" i="5" s="1"/>
  <c r="AW1584" i="5"/>
  <c r="AX1584" i="5" s="1"/>
  <c r="AH1585" i="5"/>
  <c r="AR1585" i="5" s="1"/>
  <c r="AT1585" i="5" s="1"/>
  <c r="AN1585" i="5"/>
  <c r="AO1585" i="5"/>
  <c r="AP1585" i="5"/>
  <c r="AH1586" i="5"/>
  <c r="AI1587" i="5" s="1"/>
  <c r="AN1586" i="5"/>
  <c r="AO1586" i="5"/>
  <c r="AP1586" i="5"/>
  <c r="AJ1587" i="5"/>
  <c r="AK1587" i="5"/>
  <c r="AL1587" i="5"/>
  <c r="AN1587" i="5"/>
  <c r="AO1587" i="5"/>
  <c r="AP1587" i="5"/>
  <c r="AR1587" i="5"/>
  <c r="AT1587" i="5" s="1"/>
  <c r="AU1587" i="5"/>
  <c r="AV1587" i="5" s="1"/>
  <c r="AW1587" i="5"/>
  <c r="AX1587" i="5" s="1"/>
  <c r="AH1588" i="5"/>
  <c r="AL1588" i="5" s="1"/>
  <c r="AN1588" i="5"/>
  <c r="AO1588" i="5"/>
  <c r="AP1588" i="5"/>
  <c r="AR1588" i="5"/>
  <c r="AT1588" i="5" s="1"/>
  <c r="AU1588" i="5"/>
  <c r="AV1588" i="5" s="1"/>
  <c r="AW1588" i="5"/>
  <c r="AX1588" i="5" s="1"/>
  <c r="AH1589" i="5"/>
  <c r="AJ1589" i="5" s="1"/>
  <c r="AN1589" i="5"/>
  <c r="AO1589" i="5"/>
  <c r="AP1589" i="5"/>
  <c r="AR1589" i="5"/>
  <c r="AU1589" i="5"/>
  <c r="AV1589" i="5" s="1"/>
  <c r="AW1589" i="5"/>
  <c r="AX1589" i="5" s="1"/>
  <c r="AH1590" i="5"/>
  <c r="AN1590" i="5"/>
  <c r="AO1590" i="5"/>
  <c r="AP1590" i="5"/>
  <c r="AR1590" i="5"/>
  <c r="AT1590" i="5" s="1"/>
  <c r="AU1590" i="5"/>
  <c r="AV1590" i="5" s="1"/>
  <c r="AW1590" i="5"/>
  <c r="AX1590" i="5" s="1"/>
  <c r="AH1591" i="5"/>
  <c r="AN1591" i="5"/>
  <c r="AO1591" i="5"/>
  <c r="AP1591" i="5"/>
  <c r="AR1591" i="5"/>
  <c r="AU1591" i="5"/>
  <c r="AV1591" i="5" s="1"/>
  <c r="AW1591" i="5"/>
  <c r="AX1591" i="5" s="1"/>
  <c r="AH1592" i="5"/>
  <c r="AN1592" i="5"/>
  <c r="AO1592" i="5"/>
  <c r="AP1592" i="5"/>
  <c r="AH1593" i="5"/>
  <c r="AR1593" i="5" s="1"/>
  <c r="AS1593" i="5" s="1"/>
  <c r="AN1593" i="5"/>
  <c r="AO1593" i="5"/>
  <c r="AP1593" i="5"/>
  <c r="AJ1594" i="5"/>
  <c r="AK1594" i="5"/>
  <c r="AL1594" i="5"/>
  <c r="AN1594" i="5"/>
  <c r="AO1594" i="5"/>
  <c r="AP1594" i="5"/>
  <c r="AR1594" i="5"/>
  <c r="AT1594" i="5" s="1"/>
  <c r="AU1594" i="5"/>
  <c r="AV1594" i="5" s="1"/>
  <c r="AW1594" i="5"/>
  <c r="AX1594" i="5" s="1"/>
  <c r="AH1595" i="5"/>
  <c r="AN1595" i="5"/>
  <c r="AO1595" i="5"/>
  <c r="AP1595" i="5"/>
  <c r="AR1595" i="5"/>
  <c r="AU1595" i="5"/>
  <c r="AV1595" i="5" s="1"/>
  <c r="AW1595" i="5"/>
  <c r="AX1595" i="5" s="1"/>
  <c r="AH1596" i="5"/>
  <c r="AJ1596" i="5" s="1"/>
  <c r="AN1596" i="5"/>
  <c r="AO1596" i="5"/>
  <c r="AP1596" i="5"/>
  <c r="AR1596" i="5"/>
  <c r="AU1596" i="5"/>
  <c r="AV1596" i="5" s="1"/>
  <c r="AW1596" i="5"/>
  <c r="AX1596" i="5" s="1"/>
  <c r="AH1597" i="5"/>
  <c r="AN1597" i="5"/>
  <c r="AO1597" i="5"/>
  <c r="AP1597" i="5"/>
  <c r="AR1597" i="5"/>
  <c r="AS1597" i="5" s="1"/>
  <c r="AU1597" i="5"/>
  <c r="AV1597" i="5" s="1"/>
  <c r="AW1597" i="5"/>
  <c r="AX1597" i="5" s="1"/>
  <c r="AH1598" i="5"/>
  <c r="AN1598" i="5"/>
  <c r="AO1598" i="5"/>
  <c r="AP1598" i="5"/>
  <c r="AR1598" i="5"/>
  <c r="AT1598" i="5" s="1"/>
  <c r="AU1598" i="5"/>
  <c r="AV1598" i="5" s="1"/>
  <c r="AW1598" i="5"/>
  <c r="AX1598" i="5" s="1"/>
  <c r="AH1599" i="5"/>
  <c r="AN1599" i="5"/>
  <c r="AO1599" i="5"/>
  <c r="AP1599" i="5"/>
  <c r="AH1600" i="5"/>
  <c r="AU1600" i="5" s="1"/>
  <c r="AV1600" i="5" s="1"/>
  <c r="AN1600" i="5"/>
  <c r="AO1600" i="5"/>
  <c r="AP1600" i="5"/>
  <c r="AJ1601" i="5"/>
  <c r="AK1601" i="5"/>
  <c r="AL1601" i="5"/>
  <c r="AN1601" i="5"/>
  <c r="AO1601" i="5"/>
  <c r="AP1601" i="5"/>
  <c r="AR1601" i="5"/>
  <c r="AS1601" i="5" s="1"/>
  <c r="AU1601" i="5"/>
  <c r="AV1601" i="5" s="1"/>
  <c r="AW1601" i="5"/>
  <c r="AX1601" i="5" s="1"/>
  <c r="AH1602" i="5"/>
  <c r="AI1602" i="5" s="1"/>
  <c r="AN1602" i="5"/>
  <c r="AO1602" i="5"/>
  <c r="AP1602" i="5"/>
  <c r="AR1602" i="5"/>
  <c r="AS1602" i="5" s="1"/>
  <c r="AU1602" i="5"/>
  <c r="AV1602" i="5" s="1"/>
  <c r="AW1602" i="5"/>
  <c r="AX1602" i="5" s="1"/>
  <c r="AH1603" i="5"/>
  <c r="AN1603" i="5"/>
  <c r="AO1603" i="5"/>
  <c r="AP1603" i="5"/>
  <c r="AR1603" i="5"/>
  <c r="AS1603" i="5" s="1"/>
  <c r="AU1603" i="5"/>
  <c r="AV1603" i="5" s="1"/>
  <c r="AW1603" i="5"/>
  <c r="AX1603" i="5" s="1"/>
  <c r="AH1604" i="5"/>
  <c r="AK1604" i="5" s="1"/>
  <c r="AN1604" i="5"/>
  <c r="AO1604" i="5"/>
  <c r="AP1604" i="5"/>
  <c r="AR1604" i="5"/>
  <c r="AU1604" i="5"/>
  <c r="AV1604" i="5" s="1"/>
  <c r="AW1604" i="5"/>
  <c r="AX1604" i="5" s="1"/>
  <c r="AH1605" i="5"/>
  <c r="AK1605" i="5" s="1"/>
  <c r="AN1605" i="5"/>
  <c r="AO1605" i="5"/>
  <c r="AP1605" i="5"/>
  <c r="AR1605" i="5"/>
  <c r="AT1605" i="5" s="1"/>
  <c r="AU1605" i="5"/>
  <c r="AV1605" i="5" s="1"/>
  <c r="AW1605" i="5"/>
  <c r="AX1605" i="5" s="1"/>
  <c r="AH1606" i="5"/>
  <c r="AZ1606" i="5" s="1"/>
  <c r="AN1606" i="5"/>
  <c r="AO1606" i="5"/>
  <c r="AP1606" i="5"/>
  <c r="AH1607" i="5"/>
  <c r="AU1607" i="5" s="1"/>
  <c r="AV1607" i="5" s="1"/>
  <c r="AN1607" i="5"/>
  <c r="AO1607" i="5"/>
  <c r="AP1607" i="5"/>
  <c r="AJ1608" i="5"/>
  <c r="AK1608" i="5"/>
  <c r="AL1608" i="5"/>
  <c r="AN1608" i="5"/>
  <c r="AO1608" i="5"/>
  <c r="AP1608" i="5"/>
  <c r="AR1608" i="5"/>
  <c r="AU1608" i="5"/>
  <c r="AV1608" i="5" s="1"/>
  <c r="AW1608" i="5"/>
  <c r="AX1608" i="5" s="1"/>
  <c r="AH1609" i="5"/>
  <c r="AL1609" i="5" s="1"/>
  <c r="AN1609" i="5"/>
  <c r="AO1609" i="5"/>
  <c r="AP1609" i="5"/>
  <c r="AR1609" i="5"/>
  <c r="AS1609" i="5" s="1"/>
  <c r="AU1609" i="5"/>
  <c r="AV1609" i="5" s="1"/>
  <c r="AW1609" i="5"/>
  <c r="AX1609" i="5" s="1"/>
  <c r="AH1610" i="5"/>
  <c r="AJ1610" i="5" s="1"/>
  <c r="AN1610" i="5"/>
  <c r="AO1610" i="5"/>
  <c r="AP1610" i="5"/>
  <c r="AR1610" i="5"/>
  <c r="AT1610" i="5" s="1"/>
  <c r="AU1610" i="5"/>
  <c r="AV1610" i="5" s="1"/>
  <c r="AW1610" i="5"/>
  <c r="AX1610" i="5" s="1"/>
  <c r="AH1611" i="5"/>
  <c r="AN1611" i="5"/>
  <c r="AO1611" i="5"/>
  <c r="AP1611" i="5"/>
  <c r="AR1611" i="5"/>
  <c r="AS1611" i="5" s="1"/>
  <c r="AU1611" i="5"/>
  <c r="AV1611" i="5" s="1"/>
  <c r="AW1611" i="5"/>
  <c r="AX1611" i="5" s="1"/>
  <c r="AH1612" i="5"/>
  <c r="AN1612" i="5"/>
  <c r="AO1612" i="5"/>
  <c r="AP1612" i="5"/>
  <c r="AR1612" i="5"/>
  <c r="AU1612" i="5"/>
  <c r="AV1612" i="5" s="1"/>
  <c r="AW1612" i="5"/>
  <c r="AX1612" i="5" s="1"/>
  <c r="AH1613" i="5"/>
  <c r="AN1613" i="5"/>
  <c r="AO1613" i="5"/>
  <c r="AP1613" i="5"/>
  <c r="AH1614" i="5"/>
  <c r="AN1614" i="5"/>
  <c r="AO1614" i="5"/>
  <c r="AP1614" i="5"/>
  <c r="AJ1615" i="5"/>
  <c r="AK1615" i="5"/>
  <c r="AL1615" i="5"/>
  <c r="AN1615" i="5"/>
  <c r="AO1615" i="5"/>
  <c r="AP1615" i="5"/>
  <c r="AR1615" i="5"/>
  <c r="AU1615" i="5"/>
  <c r="AV1615" i="5" s="1"/>
  <c r="AW1615" i="5"/>
  <c r="AX1615" i="5" s="1"/>
  <c r="AH1616" i="5"/>
  <c r="AZ1616" i="5" s="1"/>
  <c r="AN1616" i="5"/>
  <c r="AO1616" i="5"/>
  <c r="AP1616" i="5"/>
  <c r="AR1616" i="5"/>
  <c r="AT1616" i="5" s="1"/>
  <c r="AU1616" i="5"/>
  <c r="AV1616" i="5" s="1"/>
  <c r="AW1616" i="5"/>
  <c r="AX1616" i="5" s="1"/>
  <c r="AH1617" i="5"/>
  <c r="AZ1617" i="5" s="1"/>
  <c r="AN1617" i="5"/>
  <c r="AO1617" i="5"/>
  <c r="AP1617" i="5"/>
  <c r="AR1617" i="5"/>
  <c r="AS1617" i="5" s="1"/>
  <c r="AU1617" i="5"/>
  <c r="AV1617" i="5" s="1"/>
  <c r="AW1617" i="5"/>
  <c r="AX1617" i="5" s="1"/>
  <c r="AH1618" i="5"/>
  <c r="AZ1618" i="5" s="1"/>
  <c r="AN1618" i="5"/>
  <c r="AO1618" i="5"/>
  <c r="AP1618" i="5"/>
  <c r="AR1618" i="5"/>
  <c r="AS1618" i="5" s="1"/>
  <c r="AU1618" i="5"/>
  <c r="AV1618" i="5" s="1"/>
  <c r="AW1618" i="5"/>
  <c r="AX1618" i="5" s="1"/>
  <c r="AH1619" i="5"/>
  <c r="AN1619" i="5"/>
  <c r="AO1619" i="5"/>
  <c r="AP1619" i="5"/>
  <c r="AR1619" i="5"/>
  <c r="AU1619" i="5"/>
  <c r="AV1619" i="5" s="1"/>
  <c r="AW1619" i="5"/>
  <c r="AX1619" i="5" s="1"/>
  <c r="AH1620" i="5"/>
  <c r="AR1620" i="5" s="1"/>
  <c r="AN1620" i="5"/>
  <c r="AO1620" i="5"/>
  <c r="AP1620" i="5"/>
  <c r="AH1621" i="5"/>
  <c r="AN1621" i="5"/>
  <c r="AO1621" i="5"/>
  <c r="AP1621" i="5"/>
  <c r="AJ1622" i="5"/>
  <c r="AK1622" i="5"/>
  <c r="AL1622" i="5"/>
  <c r="AN1622" i="5"/>
  <c r="AO1622" i="5"/>
  <c r="AP1622" i="5"/>
  <c r="AR1622" i="5"/>
  <c r="AU1622" i="5"/>
  <c r="AV1622" i="5" s="1"/>
  <c r="AW1622" i="5"/>
  <c r="AX1622" i="5" s="1"/>
  <c r="AH1623" i="5"/>
  <c r="AN1623" i="5"/>
  <c r="AO1623" i="5"/>
  <c r="AP1623" i="5"/>
  <c r="AR1623" i="5"/>
  <c r="AS1623" i="5" s="1"/>
  <c r="AU1623" i="5"/>
  <c r="AV1623" i="5" s="1"/>
  <c r="AW1623" i="5"/>
  <c r="AX1623" i="5" s="1"/>
  <c r="AH1624" i="5"/>
  <c r="AL1624" i="5" s="1"/>
  <c r="AN1624" i="5"/>
  <c r="AO1624" i="5"/>
  <c r="AP1624" i="5"/>
  <c r="AR1624" i="5"/>
  <c r="AU1624" i="5"/>
  <c r="AV1624" i="5" s="1"/>
  <c r="AW1624" i="5"/>
  <c r="AX1624" i="5" s="1"/>
  <c r="AH1625" i="5"/>
  <c r="AJ1625" i="5" s="1"/>
  <c r="AN1625" i="5"/>
  <c r="AO1625" i="5"/>
  <c r="AP1625" i="5"/>
  <c r="AR1625" i="5"/>
  <c r="AS1625" i="5" s="1"/>
  <c r="AU1625" i="5"/>
  <c r="AV1625" i="5" s="1"/>
  <c r="AW1625" i="5"/>
  <c r="AX1625" i="5" s="1"/>
  <c r="AH1626" i="5"/>
  <c r="AN1626" i="5"/>
  <c r="AO1626" i="5"/>
  <c r="AP1626" i="5"/>
  <c r="AR1626" i="5"/>
  <c r="AT1626" i="5" s="1"/>
  <c r="AU1626" i="5"/>
  <c r="AV1626" i="5" s="1"/>
  <c r="AW1626" i="5"/>
  <c r="AX1626" i="5" s="1"/>
  <c r="AH1627" i="5"/>
  <c r="AW1627" i="5" s="1"/>
  <c r="AX1627" i="5" s="1"/>
  <c r="AN1627" i="5"/>
  <c r="AO1627" i="5"/>
  <c r="AP1627" i="5"/>
  <c r="AH1628" i="5"/>
  <c r="AN1628" i="5"/>
  <c r="AO1628" i="5"/>
  <c r="AP1628" i="5"/>
  <c r="AJ1629" i="5"/>
  <c r="AK1629" i="5"/>
  <c r="AL1629" i="5"/>
  <c r="AN1629" i="5"/>
  <c r="AO1629" i="5"/>
  <c r="AP1629" i="5"/>
  <c r="AR1629" i="5"/>
  <c r="AU1629" i="5"/>
  <c r="AV1629" i="5" s="1"/>
  <c r="AW1629" i="5"/>
  <c r="AX1629" i="5" s="1"/>
  <c r="AH1630" i="5"/>
  <c r="AN1630" i="5"/>
  <c r="AO1630" i="5"/>
  <c r="AP1630" i="5"/>
  <c r="AR1630" i="5"/>
  <c r="AU1630" i="5"/>
  <c r="AV1630" i="5" s="1"/>
  <c r="AW1630" i="5"/>
  <c r="AX1630" i="5" s="1"/>
  <c r="AH1631" i="5"/>
  <c r="AN1631" i="5"/>
  <c r="AO1631" i="5"/>
  <c r="AP1631" i="5"/>
  <c r="AR1631" i="5"/>
  <c r="AU1631" i="5"/>
  <c r="AV1631" i="5" s="1"/>
  <c r="AW1631" i="5"/>
  <c r="AX1631" i="5" s="1"/>
  <c r="AH1632" i="5"/>
  <c r="AN1632" i="5"/>
  <c r="AO1632" i="5"/>
  <c r="AP1632" i="5"/>
  <c r="AR1632" i="5"/>
  <c r="AS1632" i="5" s="1"/>
  <c r="AU1632" i="5"/>
  <c r="AV1632" i="5" s="1"/>
  <c r="AW1632" i="5"/>
  <c r="AX1632" i="5" s="1"/>
  <c r="AH1633" i="5"/>
  <c r="AY1633" i="5" s="1"/>
  <c r="AN1633" i="5"/>
  <c r="AO1633" i="5"/>
  <c r="AP1633" i="5"/>
  <c r="AR1633" i="5"/>
  <c r="AU1633" i="5"/>
  <c r="AV1633" i="5" s="1"/>
  <c r="AW1633" i="5"/>
  <c r="AX1633" i="5" s="1"/>
  <c r="AH1634" i="5"/>
  <c r="AN1634" i="5"/>
  <c r="AO1634" i="5"/>
  <c r="AP1634" i="5"/>
  <c r="AH1635" i="5"/>
  <c r="AN1635" i="5"/>
  <c r="AO1635" i="5"/>
  <c r="AP1635" i="5"/>
  <c r="AJ1636" i="5"/>
  <c r="AK1636" i="5"/>
  <c r="AL1636" i="5"/>
  <c r="AN1636" i="5"/>
  <c r="AO1636" i="5"/>
  <c r="AP1636" i="5"/>
  <c r="AR1636" i="5"/>
  <c r="AS1636" i="5" s="1"/>
  <c r="AU1636" i="5"/>
  <c r="AV1636" i="5" s="1"/>
  <c r="AW1636" i="5"/>
  <c r="AX1636" i="5" s="1"/>
  <c r="AH1637" i="5"/>
  <c r="AN1637" i="5"/>
  <c r="AO1637" i="5"/>
  <c r="AP1637" i="5"/>
  <c r="AR1637" i="5"/>
  <c r="AU1637" i="5"/>
  <c r="AV1637" i="5" s="1"/>
  <c r="AW1637" i="5"/>
  <c r="AX1637" i="5" s="1"/>
  <c r="AH1638" i="5"/>
  <c r="AY1638" i="5" s="1"/>
  <c r="AN1638" i="5"/>
  <c r="AO1638" i="5"/>
  <c r="AP1638" i="5"/>
  <c r="AR1638" i="5"/>
  <c r="AS1638" i="5" s="1"/>
  <c r="AU1638" i="5"/>
  <c r="AV1638" i="5" s="1"/>
  <c r="AW1638" i="5"/>
  <c r="AX1638" i="5" s="1"/>
  <c r="AH1639" i="5"/>
  <c r="AN1639" i="5"/>
  <c r="AO1639" i="5"/>
  <c r="AP1639" i="5"/>
  <c r="AR1639" i="5"/>
  <c r="AU1639" i="5"/>
  <c r="AV1639" i="5" s="1"/>
  <c r="AW1639" i="5"/>
  <c r="AX1639" i="5" s="1"/>
  <c r="AH1640" i="5"/>
  <c r="AL1640" i="5" s="1"/>
  <c r="AN1640" i="5"/>
  <c r="AO1640" i="5"/>
  <c r="AP1640" i="5"/>
  <c r="AR1640" i="5"/>
  <c r="AU1640" i="5"/>
  <c r="AV1640" i="5" s="1"/>
  <c r="AW1640" i="5"/>
  <c r="AX1640" i="5" s="1"/>
  <c r="AH1641" i="5"/>
  <c r="AR1641" i="5" s="1"/>
  <c r="AT1641" i="5" s="1"/>
  <c r="AN1641" i="5"/>
  <c r="AO1641" i="5"/>
  <c r="AP1641" i="5"/>
  <c r="AH1642" i="5"/>
  <c r="AN1642" i="5"/>
  <c r="AO1642" i="5"/>
  <c r="AP1642" i="5"/>
  <c r="AJ1643" i="5"/>
  <c r="AK1643" i="5"/>
  <c r="AL1643" i="5"/>
  <c r="AN1643" i="5"/>
  <c r="AO1643" i="5"/>
  <c r="AP1643" i="5"/>
  <c r="AR1643" i="5"/>
  <c r="AT1643" i="5" s="1"/>
  <c r="AU1643" i="5"/>
  <c r="AV1643" i="5" s="1"/>
  <c r="AW1643" i="5"/>
  <c r="AX1643" i="5" s="1"/>
  <c r="AH1644" i="5"/>
  <c r="AL1644" i="5" s="1"/>
  <c r="AN1644" i="5"/>
  <c r="AO1644" i="5"/>
  <c r="AP1644" i="5"/>
  <c r="AR1644" i="5"/>
  <c r="AU1644" i="5"/>
  <c r="AV1644" i="5" s="1"/>
  <c r="AW1644" i="5"/>
  <c r="AX1644" i="5" s="1"/>
  <c r="AH1645" i="5"/>
  <c r="AN1645" i="5"/>
  <c r="AO1645" i="5"/>
  <c r="AP1645" i="5"/>
  <c r="AR1645" i="5"/>
  <c r="AU1645" i="5"/>
  <c r="AV1645" i="5" s="1"/>
  <c r="AW1645" i="5"/>
  <c r="AX1645" i="5" s="1"/>
  <c r="AH1646" i="5"/>
  <c r="AY1646" i="5" s="1"/>
  <c r="AN1646" i="5"/>
  <c r="AO1646" i="5"/>
  <c r="AP1646" i="5"/>
  <c r="AR1646" i="5"/>
  <c r="AS1646" i="5" s="1"/>
  <c r="AU1646" i="5"/>
  <c r="AV1646" i="5" s="1"/>
  <c r="AW1646" i="5"/>
  <c r="AX1646" i="5" s="1"/>
  <c r="AH1647" i="5"/>
  <c r="AK1647" i="5" s="1"/>
  <c r="AN1647" i="5"/>
  <c r="AO1647" i="5"/>
  <c r="AP1647" i="5"/>
  <c r="AR1647" i="5"/>
  <c r="AS1647" i="5" s="1"/>
  <c r="AU1647" i="5"/>
  <c r="AV1647" i="5" s="1"/>
  <c r="AW1647" i="5"/>
  <c r="AX1647" i="5" s="1"/>
  <c r="AH1648" i="5"/>
  <c r="AN1648" i="5"/>
  <c r="AO1648" i="5"/>
  <c r="AP1648" i="5"/>
  <c r="AH1649" i="5"/>
  <c r="AN1649" i="5"/>
  <c r="AO1649" i="5"/>
  <c r="AP1649" i="5"/>
  <c r="AJ1650" i="5"/>
  <c r="AK1650" i="5"/>
  <c r="AL1650" i="5"/>
  <c r="AN1650" i="5"/>
  <c r="AO1650" i="5"/>
  <c r="AP1650" i="5"/>
  <c r="AR1650" i="5"/>
  <c r="AS1650" i="5" s="1"/>
  <c r="AU1650" i="5"/>
  <c r="AV1650" i="5" s="1"/>
  <c r="AW1650" i="5"/>
  <c r="AX1650" i="5" s="1"/>
  <c r="AH1651" i="5"/>
  <c r="AL1651" i="5" s="1"/>
  <c r="AN1651" i="5"/>
  <c r="AO1651" i="5"/>
  <c r="AP1651" i="5"/>
  <c r="AR1651" i="5"/>
  <c r="AT1651" i="5" s="1"/>
  <c r="AU1651" i="5"/>
  <c r="AV1651" i="5" s="1"/>
  <c r="AW1651" i="5"/>
  <c r="AX1651" i="5" s="1"/>
  <c r="AH1652" i="5"/>
  <c r="AN1652" i="5"/>
  <c r="AO1652" i="5"/>
  <c r="AP1652" i="5"/>
  <c r="AR1652" i="5"/>
  <c r="AT1652" i="5" s="1"/>
  <c r="AU1652" i="5"/>
  <c r="AV1652" i="5" s="1"/>
  <c r="AW1652" i="5"/>
  <c r="AX1652" i="5" s="1"/>
  <c r="AH1653" i="5"/>
  <c r="AN1653" i="5"/>
  <c r="AO1653" i="5"/>
  <c r="AP1653" i="5"/>
  <c r="AR1653" i="5"/>
  <c r="AT1653" i="5" s="1"/>
  <c r="AU1653" i="5"/>
  <c r="AV1653" i="5" s="1"/>
  <c r="AW1653" i="5"/>
  <c r="AX1653" i="5" s="1"/>
  <c r="AH1654" i="5"/>
  <c r="AN1654" i="5"/>
  <c r="AO1654" i="5"/>
  <c r="AP1654" i="5"/>
  <c r="AR1654" i="5"/>
  <c r="AU1654" i="5"/>
  <c r="AV1654" i="5" s="1"/>
  <c r="AW1654" i="5"/>
  <c r="AX1654" i="5" s="1"/>
  <c r="AH1655" i="5"/>
  <c r="AY1655" i="5" s="1"/>
  <c r="AN1655" i="5"/>
  <c r="AO1655" i="5"/>
  <c r="AP1655" i="5"/>
  <c r="AH1656" i="5"/>
  <c r="AW1656" i="5" s="1"/>
  <c r="AX1656" i="5" s="1"/>
  <c r="AN1656" i="5"/>
  <c r="AO1656" i="5"/>
  <c r="AP1656" i="5"/>
  <c r="AJ1657" i="5"/>
  <c r="AK1657" i="5"/>
  <c r="AL1657" i="5"/>
  <c r="AN1657" i="5"/>
  <c r="AO1657" i="5"/>
  <c r="AP1657" i="5"/>
  <c r="AR1657" i="5"/>
  <c r="AU1657" i="5"/>
  <c r="AV1657" i="5" s="1"/>
  <c r="AW1657" i="5"/>
  <c r="AX1657" i="5" s="1"/>
  <c r="AH1658" i="5"/>
  <c r="AI1658" i="5" s="1"/>
  <c r="AN1658" i="5"/>
  <c r="AO1658" i="5"/>
  <c r="AP1658" i="5"/>
  <c r="AR1658" i="5"/>
  <c r="AS1658" i="5" s="1"/>
  <c r="AU1658" i="5"/>
  <c r="AV1658" i="5" s="1"/>
  <c r="AW1658" i="5"/>
  <c r="AX1658" i="5" s="1"/>
  <c r="AH1659" i="5"/>
  <c r="AN1659" i="5"/>
  <c r="AO1659" i="5"/>
  <c r="AP1659" i="5"/>
  <c r="AR1659" i="5"/>
  <c r="AU1659" i="5"/>
  <c r="AV1659" i="5" s="1"/>
  <c r="AW1659" i="5"/>
  <c r="AX1659" i="5" s="1"/>
  <c r="AH1660" i="5"/>
  <c r="AK1660" i="5" s="1"/>
  <c r="AN1660" i="5"/>
  <c r="AO1660" i="5"/>
  <c r="AP1660" i="5"/>
  <c r="AR1660" i="5"/>
  <c r="AU1660" i="5"/>
  <c r="AV1660" i="5" s="1"/>
  <c r="AW1660" i="5"/>
  <c r="AX1660" i="5" s="1"/>
  <c r="AH1661" i="5"/>
  <c r="AN1661" i="5"/>
  <c r="AO1661" i="5"/>
  <c r="AP1661" i="5"/>
  <c r="AR1661" i="5"/>
  <c r="AU1661" i="5"/>
  <c r="AV1661" i="5" s="1"/>
  <c r="AW1661" i="5"/>
  <c r="AX1661" i="5" s="1"/>
  <c r="AH1662" i="5"/>
  <c r="AU1662" i="5" s="1"/>
  <c r="AV1662" i="5" s="1"/>
  <c r="AN1662" i="5"/>
  <c r="AO1662" i="5"/>
  <c r="AP1662" i="5"/>
  <c r="AH1663" i="5"/>
  <c r="AI1664" i="5" s="1"/>
  <c r="AN1663" i="5"/>
  <c r="AO1663" i="5"/>
  <c r="AP1663" i="5"/>
  <c r="AJ1664" i="5"/>
  <c r="AK1664" i="5"/>
  <c r="AL1664" i="5"/>
  <c r="AN1664" i="5"/>
  <c r="AO1664" i="5"/>
  <c r="AP1664" i="5"/>
  <c r="AR1664" i="5"/>
  <c r="AU1664" i="5"/>
  <c r="AV1664" i="5" s="1"/>
  <c r="AW1664" i="5"/>
  <c r="AX1664" i="5" s="1"/>
  <c r="AH1665" i="5"/>
  <c r="AN1665" i="5"/>
  <c r="AO1665" i="5"/>
  <c r="AP1665" i="5"/>
  <c r="AR1665" i="5"/>
  <c r="AU1665" i="5"/>
  <c r="AV1665" i="5" s="1"/>
  <c r="AW1665" i="5"/>
  <c r="AX1665" i="5" s="1"/>
  <c r="AH1666" i="5"/>
  <c r="AZ1666" i="5" s="1"/>
  <c r="AN1666" i="5"/>
  <c r="AO1666" i="5"/>
  <c r="AP1666" i="5"/>
  <c r="AR1666" i="5"/>
  <c r="AS1666" i="5" s="1"/>
  <c r="AU1666" i="5"/>
  <c r="AV1666" i="5" s="1"/>
  <c r="AW1666" i="5"/>
  <c r="AX1666" i="5" s="1"/>
  <c r="AH1667" i="5"/>
  <c r="AN1667" i="5"/>
  <c r="AO1667" i="5"/>
  <c r="AP1667" i="5"/>
  <c r="AR1667" i="5"/>
  <c r="AT1667" i="5" s="1"/>
  <c r="AU1667" i="5"/>
  <c r="AV1667" i="5" s="1"/>
  <c r="AW1667" i="5"/>
  <c r="AX1667" i="5" s="1"/>
  <c r="AH1668" i="5"/>
  <c r="AK1668" i="5" s="1"/>
  <c r="AN1668" i="5"/>
  <c r="AO1668" i="5"/>
  <c r="AP1668" i="5"/>
  <c r="AR1668" i="5"/>
  <c r="AT1668" i="5" s="1"/>
  <c r="AU1668" i="5"/>
  <c r="AV1668" i="5" s="1"/>
  <c r="AW1668" i="5"/>
  <c r="AX1668" i="5" s="1"/>
  <c r="AH1669" i="5"/>
  <c r="AR1669" i="5" s="1"/>
  <c r="AS1669" i="5" s="1"/>
  <c r="AN1669" i="5"/>
  <c r="AO1669" i="5"/>
  <c r="AP1669" i="5"/>
  <c r="AH1670" i="5"/>
  <c r="AW1670" i="5" s="1"/>
  <c r="AX1670" i="5" s="1"/>
  <c r="AN1670" i="5"/>
  <c r="AO1670" i="5"/>
  <c r="AP1670" i="5"/>
  <c r="AJ1671" i="5"/>
  <c r="AK1671" i="5"/>
  <c r="AL1671" i="5"/>
  <c r="AN1671" i="5"/>
  <c r="AO1671" i="5"/>
  <c r="AP1671" i="5"/>
  <c r="AR1671" i="5"/>
  <c r="AS1671" i="5" s="1"/>
  <c r="AU1671" i="5"/>
  <c r="AV1671" i="5" s="1"/>
  <c r="AW1671" i="5"/>
  <c r="AX1671" i="5" s="1"/>
  <c r="AH1672" i="5"/>
  <c r="AJ1672" i="5" s="1"/>
  <c r="AN1672" i="5"/>
  <c r="AO1672" i="5"/>
  <c r="AP1672" i="5"/>
  <c r="AR1672" i="5"/>
  <c r="AS1672" i="5" s="1"/>
  <c r="AU1672" i="5"/>
  <c r="AV1672" i="5" s="1"/>
  <c r="AW1672" i="5"/>
  <c r="AX1672" i="5" s="1"/>
  <c r="AH1673" i="5"/>
  <c r="AN1673" i="5"/>
  <c r="AO1673" i="5"/>
  <c r="AP1673" i="5"/>
  <c r="AR1673" i="5"/>
  <c r="AU1673" i="5"/>
  <c r="AV1673" i="5" s="1"/>
  <c r="AW1673" i="5"/>
  <c r="AX1673" i="5" s="1"/>
  <c r="AH1674" i="5"/>
  <c r="AK1674" i="5" s="1"/>
  <c r="AN1674" i="5"/>
  <c r="AO1674" i="5"/>
  <c r="AP1674" i="5"/>
  <c r="AR1674" i="5"/>
  <c r="AS1674" i="5" s="1"/>
  <c r="AU1674" i="5"/>
  <c r="AV1674" i="5" s="1"/>
  <c r="AW1674" i="5"/>
  <c r="AX1674" i="5" s="1"/>
  <c r="AH1675" i="5"/>
  <c r="AN1675" i="5"/>
  <c r="AO1675" i="5"/>
  <c r="AP1675" i="5"/>
  <c r="AR1675" i="5"/>
  <c r="AU1675" i="5"/>
  <c r="AV1675" i="5" s="1"/>
  <c r="AW1675" i="5"/>
  <c r="AX1675" i="5" s="1"/>
  <c r="AH1676" i="5"/>
  <c r="AU1676" i="5" s="1"/>
  <c r="AV1676" i="5" s="1"/>
  <c r="AN1676" i="5"/>
  <c r="AO1676" i="5"/>
  <c r="AP1676" i="5"/>
  <c r="AH1677" i="5"/>
  <c r="AN1677" i="5"/>
  <c r="AO1677" i="5"/>
  <c r="AP1677" i="5"/>
  <c r="AJ1678" i="5"/>
  <c r="AK1678" i="5"/>
  <c r="AL1678" i="5"/>
  <c r="AN1678" i="5"/>
  <c r="AO1678" i="5"/>
  <c r="AP1678" i="5"/>
  <c r="AR1678" i="5"/>
  <c r="AU1678" i="5"/>
  <c r="AV1678" i="5" s="1"/>
  <c r="AW1678" i="5"/>
  <c r="AX1678" i="5" s="1"/>
  <c r="AH1679" i="5"/>
  <c r="AN1679" i="5"/>
  <c r="AO1679" i="5"/>
  <c r="AP1679" i="5"/>
  <c r="AR1679" i="5"/>
  <c r="AU1679" i="5"/>
  <c r="AV1679" i="5" s="1"/>
  <c r="AW1679" i="5"/>
  <c r="AX1679" i="5" s="1"/>
  <c r="AH1680" i="5"/>
  <c r="AL1680" i="5" s="1"/>
  <c r="AN1680" i="5"/>
  <c r="AO1680" i="5"/>
  <c r="AP1680" i="5"/>
  <c r="AR1680" i="5"/>
  <c r="AU1680" i="5"/>
  <c r="AV1680" i="5" s="1"/>
  <c r="AW1680" i="5"/>
  <c r="AX1680" i="5" s="1"/>
  <c r="AH1681" i="5"/>
  <c r="AJ1681" i="5" s="1"/>
  <c r="AN1681" i="5"/>
  <c r="AO1681" i="5"/>
  <c r="AP1681" i="5"/>
  <c r="AR1681" i="5"/>
  <c r="AU1681" i="5"/>
  <c r="AV1681" i="5" s="1"/>
  <c r="AW1681" i="5"/>
  <c r="AX1681" i="5" s="1"/>
  <c r="AH1682" i="5"/>
  <c r="AN1682" i="5"/>
  <c r="AO1682" i="5"/>
  <c r="AP1682" i="5"/>
  <c r="AR1682" i="5"/>
  <c r="AU1682" i="5"/>
  <c r="AV1682" i="5" s="1"/>
  <c r="AW1682" i="5"/>
  <c r="AX1682" i="5" s="1"/>
  <c r="AH1683" i="5"/>
  <c r="AW1683" i="5" s="1"/>
  <c r="AX1683" i="5" s="1"/>
  <c r="AN1683" i="5"/>
  <c r="AO1683" i="5"/>
  <c r="AP1683" i="5"/>
  <c r="AH1684" i="5"/>
  <c r="AN1684" i="5"/>
  <c r="AO1684" i="5"/>
  <c r="AP1684" i="5"/>
  <c r="AJ1685" i="5"/>
  <c r="AK1685" i="5"/>
  <c r="AL1685" i="5"/>
  <c r="AN1685" i="5"/>
  <c r="AO1685" i="5"/>
  <c r="AP1685" i="5"/>
  <c r="AR1685" i="5"/>
  <c r="AS1685" i="5" s="1"/>
  <c r="AU1685" i="5"/>
  <c r="AV1685" i="5" s="1"/>
  <c r="AW1685" i="5"/>
  <c r="AX1685" i="5" s="1"/>
  <c r="AH1686" i="5"/>
  <c r="AL1686" i="5" s="1"/>
  <c r="AN1686" i="5"/>
  <c r="AO1686" i="5"/>
  <c r="AP1686" i="5"/>
  <c r="AR1686" i="5"/>
  <c r="AS1686" i="5" s="1"/>
  <c r="AU1686" i="5"/>
  <c r="AV1686" i="5" s="1"/>
  <c r="AW1686" i="5"/>
  <c r="AX1686" i="5" s="1"/>
  <c r="AH1687" i="5"/>
  <c r="AN1687" i="5"/>
  <c r="AO1687" i="5"/>
  <c r="AP1687" i="5"/>
  <c r="AR1687" i="5"/>
  <c r="AT1687" i="5" s="1"/>
  <c r="AU1687" i="5"/>
  <c r="AV1687" i="5" s="1"/>
  <c r="AW1687" i="5"/>
  <c r="AX1687" i="5" s="1"/>
  <c r="AH1688" i="5"/>
  <c r="AN1688" i="5"/>
  <c r="AO1688" i="5"/>
  <c r="AP1688" i="5"/>
  <c r="AR1688" i="5"/>
  <c r="AU1688" i="5"/>
  <c r="AV1688" i="5" s="1"/>
  <c r="AW1688" i="5"/>
  <c r="AX1688" i="5" s="1"/>
  <c r="AH1689" i="5"/>
  <c r="AN1689" i="5"/>
  <c r="AO1689" i="5"/>
  <c r="AP1689" i="5"/>
  <c r="AR1689" i="5"/>
  <c r="AS1689" i="5" s="1"/>
  <c r="AU1689" i="5"/>
  <c r="AV1689" i="5" s="1"/>
  <c r="AW1689" i="5"/>
  <c r="AX1689" i="5" s="1"/>
  <c r="AH1690" i="5"/>
  <c r="AU1690" i="5" s="1"/>
  <c r="AV1690" i="5" s="1"/>
  <c r="AN1690" i="5"/>
  <c r="AO1690" i="5"/>
  <c r="AP1690" i="5"/>
  <c r="AH1691" i="5"/>
  <c r="AN1691" i="5"/>
  <c r="AO1691" i="5"/>
  <c r="AP1691" i="5"/>
  <c r="AJ1692" i="5"/>
  <c r="AK1692" i="5"/>
  <c r="AL1692" i="5"/>
  <c r="AN1692" i="5"/>
  <c r="AO1692" i="5"/>
  <c r="AP1692" i="5"/>
  <c r="AR1692" i="5"/>
  <c r="AT1692" i="5" s="1"/>
  <c r="AU1692" i="5"/>
  <c r="AV1692" i="5" s="1"/>
  <c r="AW1692" i="5"/>
  <c r="AX1692" i="5" s="1"/>
  <c r="AH1693" i="5"/>
  <c r="AN1693" i="5"/>
  <c r="AO1693" i="5"/>
  <c r="AP1693" i="5"/>
  <c r="AR1693" i="5"/>
  <c r="AU1693" i="5"/>
  <c r="AV1693" i="5" s="1"/>
  <c r="AW1693" i="5"/>
  <c r="AX1693" i="5" s="1"/>
  <c r="AH1694" i="5"/>
  <c r="AZ1694" i="5" s="1"/>
  <c r="AN1694" i="5"/>
  <c r="AO1694" i="5"/>
  <c r="AP1694" i="5"/>
  <c r="AR1694" i="5"/>
  <c r="AT1694" i="5" s="1"/>
  <c r="AU1694" i="5"/>
  <c r="AV1694" i="5" s="1"/>
  <c r="AW1694" i="5"/>
  <c r="AX1694" i="5" s="1"/>
  <c r="AH1695" i="5"/>
  <c r="AY1695" i="5" s="1"/>
  <c r="AN1695" i="5"/>
  <c r="AO1695" i="5"/>
  <c r="AP1695" i="5"/>
  <c r="AR1695" i="5"/>
  <c r="AU1695" i="5"/>
  <c r="AV1695" i="5" s="1"/>
  <c r="AW1695" i="5"/>
  <c r="AX1695" i="5" s="1"/>
  <c r="AH1696" i="5"/>
  <c r="AN1696" i="5"/>
  <c r="AO1696" i="5"/>
  <c r="AP1696" i="5"/>
  <c r="AR1696" i="5"/>
  <c r="AU1696" i="5"/>
  <c r="AV1696" i="5" s="1"/>
  <c r="AW1696" i="5"/>
  <c r="AX1696" i="5" s="1"/>
  <c r="AH1697" i="5"/>
  <c r="AW1697" i="5" s="1"/>
  <c r="AX1697" i="5" s="1"/>
  <c r="AN1697" i="5"/>
  <c r="AO1697" i="5"/>
  <c r="AP1697" i="5"/>
  <c r="AH1698" i="5"/>
  <c r="AN1698" i="5"/>
  <c r="AO1698" i="5"/>
  <c r="AP1698" i="5"/>
  <c r="AJ1699" i="5"/>
  <c r="AK1699" i="5"/>
  <c r="AL1699" i="5"/>
  <c r="AN1699" i="5"/>
  <c r="AO1699" i="5"/>
  <c r="AP1699" i="5"/>
  <c r="AR1699" i="5"/>
  <c r="AU1699" i="5"/>
  <c r="AV1699" i="5" s="1"/>
  <c r="AW1699" i="5"/>
  <c r="AX1699" i="5" s="1"/>
  <c r="AH1700" i="5"/>
  <c r="AN1700" i="5"/>
  <c r="AO1700" i="5"/>
  <c r="AP1700" i="5"/>
  <c r="AR1700" i="5"/>
  <c r="AU1700" i="5"/>
  <c r="AV1700" i="5" s="1"/>
  <c r="AW1700" i="5"/>
  <c r="AX1700" i="5" s="1"/>
  <c r="AH1701" i="5"/>
  <c r="AN1701" i="5"/>
  <c r="AO1701" i="5"/>
  <c r="AP1701" i="5"/>
  <c r="AR1701" i="5"/>
  <c r="AU1701" i="5"/>
  <c r="AV1701" i="5" s="1"/>
  <c r="AW1701" i="5"/>
  <c r="AX1701" i="5" s="1"/>
  <c r="AH1702" i="5"/>
  <c r="AN1702" i="5"/>
  <c r="AO1702" i="5"/>
  <c r="AP1702" i="5"/>
  <c r="AR1702" i="5"/>
  <c r="AU1702" i="5"/>
  <c r="AV1702" i="5" s="1"/>
  <c r="AW1702" i="5"/>
  <c r="AX1702" i="5" s="1"/>
  <c r="AH1703" i="5"/>
  <c r="AK1703" i="5" s="1"/>
  <c r="AN1703" i="5"/>
  <c r="AO1703" i="5"/>
  <c r="AP1703" i="5"/>
  <c r="AR1703" i="5"/>
  <c r="AU1703" i="5"/>
  <c r="AV1703" i="5" s="1"/>
  <c r="AW1703" i="5"/>
  <c r="AX1703" i="5" s="1"/>
  <c r="AH1704" i="5"/>
  <c r="AN1704" i="5"/>
  <c r="AO1704" i="5"/>
  <c r="AP1704" i="5"/>
  <c r="AH1705" i="5"/>
  <c r="AZ1705" i="5" s="1"/>
  <c r="AN1705" i="5"/>
  <c r="AO1705" i="5"/>
  <c r="AP1705" i="5"/>
  <c r="AJ1706" i="5"/>
  <c r="AK1706" i="5"/>
  <c r="AL1706" i="5"/>
  <c r="AN1706" i="5"/>
  <c r="AO1706" i="5"/>
  <c r="AP1706" i="5"/>
  <c r="AR1706" i="5"/>
  <c r="AT1706" i="5" s="1"/>
  <c r="AU1706" i="5"/>
  <c r="AV1706" i="5" s="1"/>
  <c r="AW1706" i="5"/>
  <c r="AX1706" i="5" s="1"/>
  <c r="AH1707" i="5"/>
  <c r="AN1707" i="5"/>
  <c r="AO1707" i="5"/>
  <c r="AP1707" i="5"/>
  <c r="AR1707" i="5"/>
  <c r="AU1707" i="5"/>
  <c r="AV1707" i="5" s="1"/>
  <c r="AW1707" i="5"/>
  <c r="AX1707" i="5" s="1"/>
  <c r="AH1708" i="5"/>
  <c r="AK1708" i="5" s="1"/>
  <c r="AN1708" i="5"/>
  <c r="AO1708" i="5"/>
  <c r="AP1708" i="5"/>
  <c r="AR1708" i="5"/>
  <c r="AS1708" i="5" s="1"/>
  <c r="AU1708" i="5"/>
  <c r="AV1708" i="5" s="1"/>
  <c r="AW1708" i="5"/>
  <c r="AX1708" i="5" s="1"/>
  <c r="AH1709" i="5"/>
  <c r="AJ1709" i="5" s="1"/>
  <c r="AN1709" i="5"/>
  <c r="AO1709" i="5"/>
  <c r="AP1709" i="5"/>
  <c r="AR1709" i="5"/>
  <c r="AT1709" i="5" s="1"/>
  <c r="AU1709" i="5"/>
  <c r="AV1709" i="5" s="1"/>
  <c r="AW1709" i="5"/>
  <c r="AX1709" i="5" s="1"/>
  <c r="AH1710" i="5"/>
  <c r="AJ1710" i="5" s="1"/>
  <c r="AN1710" i="5"/>
  <c r="AO1710" i="5"/>
  <c r="AP1710" i="5"/>
  <c r="AR1710" i="5"/>
  <c r="AT1710" i="5" s="1"/>
  <c r="AU1710" i="5"/>
  <c r="AV1710" i="5" s="1"/>
  <c r="AW1710" i="5"/>
  <c r="AX1710" i="5" s="1"/>
  <c r="AH1711" i="5"/>
  <c r="AR1711" i="5" s="1"/>
  <c r="AS1711" i="5" s="1"/>
  <c r="AN1711" i="5"/>
  <c r="AO1711" i="5"/>
  <c r="AP1711" i="5"/>
  <c r="AH1712" i="5"/>
  <c r="AY1712" i="5" s="1"/>
  <c r="AN1712" i="5"/>
  <c r="AO1712" i="5"/>
  <c r="AP1712" i="5"/>
  <c r="AJ1713" i="5"/>
  <c r="AK1713" i="5"/>
  <c r="AL1713" i="5"/>
  <c r="AN1713" i="5"/>
  <c r="AO1713" i="5"/>
  <c r="AP1713" i="5"/>
  <c r="AR1713" i="5"/>
  <c r="AS1713" i="5" s="1"/>
  <c r="AU1713" i="5"/>
  <c r="AV1713" i="5" s="1"/>
  <c r="AW1713" i="5"/>
  <c r="AX1713" i="5" s="1"/>
  <c r="AH1714" i="5"/>
  <c r="AK1714" i="5" s="1"/>
  <c r="AN1714" i="5"/>
  <c r="AO1714" i="5"/>
  <c r="AP1714" i="5"/>
  <c r="AR1714" i="5"/>
  <c r="AS1714" i="5" s="1"/>
  <c r="AU1714" i="5"/>
  <c r="AV1714" i="5" s="1"/>
  <c r="AW1714" i="5"/>
  <c r="AX1714" i="5" s="1"/>
  <c r="AH1715" i="5"/>
  <c r="AH1716" i="5"/>
  <c r="AY1716" i="5" s="1"/>
  <c r="AN1715" i="5"/>
  <c r="AO1715" i="5"/>
  <c r="AP1715" i="5"/>
  <c r="AR1715" i="5"/>
  <c r="AS1715" i="5" s="1"/>
  <c r="AU1715" i="5"/>
  <c r="AV1715" i="5" s="1"/>
  <c r="AW1715" i="5"/>
  <c r="AX1715" i="5" s="1"/>
  <c r="AN1716" i="5"/>
  <c r="AO1716" i="5"/>
  <c r="AP1716" i="5"/>
  <c r="AR1716" i="5"/>
  <c r="AU1716" i="5"/>
  <c r="AV1716" i="5" s="1"/>
  <c r="AW1716" i="5"/>
  <c r="AX1716" i="5" s="1"/>
  <c r="AH1717" i="5"/>
  <c r="AN1717" i="5"/>
  <c r="AO1717" i="5"/>
  <c r="AP1717" i="5"/>
  <c r="AR1717" i="5"/>
  <c r="AU1717" i="5"/>
  <c r="AV1717" i="5" s="1"/>
  <c r="AW1717" i="5"/>
  <c r="AX1717" i="5" s="1"/>
  <c r="AH1718" i="5"/>
  <c r="AU1718" i="5" s="1"/>
  <c r="AV1718" i="5" s="1"/>
  <c r="AN1718" i="5"/>
  <c r="AO1718" i="5"/>
  <c r="AP1718" i="5"/>
  <c r="AH1719" i="5"/>
  <c r="AY1719" i="5" s="1"/>
  <c r="AN1719" i="5"/>
  <c r="AO1719" i="5"/>
  <c r="AP1719" i="5"/>
  <c r="AJ1720" i="5"/>
  <c r="AK1720" i="5"/>
  <c r="AL1720" i="5"/>
  <c r="AN1720" i="5"/>
  <c r="AO1720" i="5"/>
  <c r="AP1720" i="5"/>
  <c r="AR1720" i="5"/>
  <c r="AU1720" i="5"/>
  <c r="AV1720" i="5" s="1"/>
  <c r="AW1720" i="5"/>
  <c r="AX1720" i="5" s="1"/>
  <c r="AH1721" i="5"/>
  <c r="AN1721" i="5"/>
  <c r="AO1721" i="5"/>
  <c r="AP1721" i="5"/>
  <c r="AR1721" i="5"/>
  <c r="AU1721" i="5"/>
  <c r="AV1721" i="5" s="1"/>
  <c r="AW1721" i="5"/>
  <c r="AX1721" i="5" s="1"/>
  <c r="AH1722" i="5"/>
  <c r="AN1722" i="5"/>
  <c r="AO1722" i="5"/>
  <c r="AP1722" i="5"/>
  <c r="AR1722" i="5"/>
  <c r="AU1722" i="5"/>
  <c r="AV1722" i="5" s="1"/>
  <c r="AW1722" i="5"/>
  <c r="AX1722" i="5" s="1"/>
  <c r="AH1723" i="5"/>
  <c r="AL1723" i="5" s="1"/>
  <c r="AH1724" i="5"/>
  <c r="AK1724" i="5" s="1"/>
  <c r="AN1723" i="5"/>
  <c r="AO1723" i="5"/>
  <c r="AP1723" i="5"/>
  <c r="AR1723" i="5"/>
  <c r="AS1723" i="5" s="1"/>
  <c r="AU1723" i="5"/>
  <c r="AV1723" i="5" s="1"/>
  <c r="AW1723" i="5"/>
  <c r="AX1723" i="5" s="1"/>
  <c r="AN1724" i="5"/>
  <c r="AO1724" i="5"/>
  <c r="AP1724" i="5"/>
  <c r="AR1724" i="5"/>
  <c r="AS1724" i="5" s="1"/>
  <c r="AU1724" i="5"/>
  <c r="AV1724" i="5" s="1"/>
  <c r="AW1724" i="5"/>
  <c r="AX1724" i="5" s="1"/>
  <c r="AH1725" i="5"/>
  <c r="AN1725" i="5"/>
  <c r="AO1725" i="5"/>
  <c r="AP1725" i="5"/>
  <c r="AH1726" i="5"/>
  <c r="AN1726" i="5"/>
  <c r="AO1726" i="5"/>
  <c r="AP1726" i="5"/>
  <c r="AJ1727" i="5"/>
  <c r="AK1727" i="5"/>
  <c r="AL1727" i="5"/>
  <c r="AN1727" i="5"/>
  <c r="AO1727" i="5"/>
  <c r="AP1727" i="5"/>
  <c r="AR1727" i="5"/>
  <c r="AT1727" i="5" s="1"/>
  <c r="AU1727" i="5"/>
  <c r="AV1727" i="5" s="1"/>
  <c r="AW1727" i="5"/>
  <c r="AX1727" i="5" s="1"/>
  <c r="AH1728" i="5"/>
  <c r="AN1728" i="5"/>
  <c r="AO1728" i="5"/>
  <c r="AP1728" i="5"/>
  <c r="AR1728" i="5"/>
  <c r="AT1728" i="5" s="1"/>
  <c r="AU1728" i="5"/>
  <c r="AV1728" i="5" s="1"/>
  <c r="AW1728" i="5"/>
  <c r="AX1728" i="5" s="1"/>
  <c r="AH1729" i="5"/>
  <c r="AN1729" i="5"/>
  <c r="AO1729" i="5"/>
  <c r="AP1729" i="5"/>
  <c r="AR1729" i="5"/>
  <c r="AS1729" i="5" s="1"/>
  <c r="AU1729" i="5"/>
  <c r="AV1729" i="5" s="1"/>
  <c r="AW1729" i="5"/>
  <c r="AX1729" i="5" s="1"/>
  <c r="AH1730" i="5"/>
  <c r="AK1730" i="5" s="1"/>
  <c r="AN1730" i="5"/>
  <c r="AO1730" i="5"/>
  <c r="AP1730" i="5"/>
  <c r="AR1730" i="5"/>
  <c r="AU1730" i="5"/>
  <c r="AV1730" i="5" s="1"/>
  <c r="AW1730" i="5"/>
  <c r="AX1730" i="5" s="1"/>
  <c r="AH1731" i="5"/>
  <c r="AJ1731" i="5" s="1"/>
  <c r="AN1731" i="5"/>
  <c r="AO1731" i="5"/>
  <c r="AP1731" i="5"/>
  <c r="AR1731" i="5"/>
  <c r="AU1731" i="5"/>
  <c r="AV1731" i="5" s="1"/>
  <c r="AW1731" i="5"/>
  <c r="AX1731" i="5" s="1"/>
  <c r="AH1732" i="5"/>
  <c r="AN1732" i="5"/>
  <c r="AO1732" i="5"/>
  <c r="AP1732" i="5"/>
  <c r="AH1733" i="5"/>
  <c r="AN1733" i="5"/>
  <c r="AO1733" i="5"/>
  <c r="AP1733" i="5"/>
  <c r="AJ1734" i="5"/>
  <c r="AK1734" i="5"/>
  <c r="AL1734" i="5"/>
  <c r="AN1734" i="5"/>
  <c r="AO1734" i="5"/>
  <c r="AP1734" i="5"/>
  <c r="AR1734" i="5"/>
  <c r="AU1734" i="5"/>
  <c r="AV1734" i="5" s="1"/>
  <c r="AW1734" i="5"/>
  <c r="AX1734" i="5" s="1"/>
  <c r="AH1735" i="5"/>
  <c r="AN1735" i="5"/>
  <c r="AO1735" i="5"/>
  <c r="AP1735" i="5"/>
  <c r="AR1735" i="5"/>
  <c r="AS1735" i="5" s="1"/>
  <c r="AU1735" i="5"/>
  <c r="AV1735" i="5" s="1"/>
  <c r="AW1735" i="5"/>
  <c r="AX1735" i="5" s="1"/>
  <c r="AH1736" i="5"/>
  <c r="AN1736" i="5"/>
  <c r="AO1736" i="5"/>
  <c r="AP1736" i="5"/>
  <c r="AR1736" i="5"/>
  <c r="AU1736" i="5"/>
  <c r="AV1736" i="5" s="1"/>
  <c r="AW1736" i="5"/>
  <c r="AX1736" i="5" s="1"/>
  <c r="AH1737" i="5"/>
  <c r="AY1737" i="5" s="1"/>
  <c r="AN1737" i="5"/>
  <c r="AO1737" i="5"/>
  <c r="AP1737" i="5"/>
  <c r="AR1737" i="5"/>
  <c r="AU1737" i="5"/>
  <c r="AV1737" i="5" s="1"/>
  <c r="AW1737" i="5"/>
  <c r="AX1737" i="5" s="1"/>
  <c r="AH1738" i="5"/>
  <c r="AN1738" i="5"/>
  <c r="AO1738" i="5"/>
  <c r="AP1738" i="5"/>
  <c r="AR1738" i="5"/>
  <c r="AT1738" i="5" s="1"/>
  <c r="AU1738" i="5"/>
  <c r="AV1738" i="5" s="1"/>
  <c r="AW1738" i="5"/>
  <c r="AX1738" i="5" s="1"/>
  <c r="AH1739" i="5"/>
  <c r="AN1739" i="5"/>
  <c r="AO1739" i="5"/>
  <c r="AP1739" i="5"/>
  <c r="AH1740" i="5"/>
  <c r="AN1740" i="5"/>
  <c r="AO1740" i="5"/>
  <c r="AP1740" i="5"/>
  <c r="AJ1741" i="5"/>
  <c r="AK1741" i="5"/>
  <c r="AL1741" i="5"/>
  <c r="AN1741" i="5"/>
  <c r="AO1741" i="5"/>
  <c r="AP1741" i="5"/>
  <c r="AR1741" i="5"/>
  <c r="AU1741" i="5"/>
  <c r="AV1741" i="5" s="1"/>
  <c r="AW1741" i="5"/>
  <c r="AX1741" i="5" s="1"/>
  <c r="AH1742" i="5"/>
  <c r="AL1742" i="5" s="1"/>
  <c r="AN1742" i="5"/>
  <c r="AO1742" i="5"/>
  <c r="AP1742" i="5"/>
  <c r="AR1742" i="5"/>
  <c r="AS1742" i="5" s="1"/>
  <c r="AU1742" i="5"/>
  <c r="AV1742" i="5" s="1"/>
  <c r="AW1742" i="5"/>
  <c r="AX1742" i="5" s="1"/>
  <c r="AH1743" i="5"/>
  <c r="AN1743" i="5"/>
  <c r="AO1743" i="5"/>
  <c r="AP1743" i="5"/>
  <c r="AR1743" i="5"/>
  <c r="AU1743" i="5"/>
  <c r="AV1743" i="5" s="1"/>
  <c r="AW1743" i="5"/>
  <c r="AX1743" i="5" s="1"/>
  <c r="AH1744" i="5"/>
  <c r="AN1744" i="5"/>
  <c r="AO1744" i="5"/>
  <c r="AP1744" i="5"/>
  <c r="AR1744" i="5"/>
  <c r="AS1744" i="5" s="1"/>
  <c r="AU1744" i="5"/>
  <c r="AV1744" i="5" s="1"/>
  <c r="AW1744" i="5"/>
  <c r="AX1744" i="5" s="1"/>
  <c r="AH1745" i="5"/>
  <c r="AN1745" i="5"/>
  <c r="AO1745" i="5"/>
  <c r="AP1745" i="5"/>
  <c r="AR1745" i="5"/>
  <c r="AS1745" i="5" s="1"/>
  <c r="AU1745" i="5"/>
  <c r="AV1745" i="5" s="1"/>
  <c r="AW1745" i="5"/>
  <c r="AX1745" i="5" s="1"/>
  <c r="AH1746" i="5"/>
  <c r="AY1746" i="5" s="1"/>
  <c r="AN1746" i="5"/>
  <c r="AO1746" i="5"/>
  <c r="AP1746" i="5"/>
  <c r="AH1747" i="5"/>
  <c r="AN1747" i="5"/>
  <c r="AO1747" i="5"/>
  <c r="AP1747" i="5"/>
  <c r="AJ1748" i="5"/>
  <c r="AK1748" i="5"/>
  <c r="AL1748" i="5"/>
  <c r="AN1748" i="5"/>
  <c r="AO1748" i="5"/>
  <c r="AP1748" i="5"/>
  <c r="AR1748" i="5"/>
  <c r="AT1748" i="5" s="1"/>
  <c r="AU1748" i="5"/>
  <c r="AV1748" i="5" s="1"/>
  <c r="AW1748" i="5"/>
  <c r="AX1748" i="5" s="1"/>
  <c r="AH1749" i="5"/>
  <c r="AN1749" i="5"/>
  <c r="AO1749" i="5"/>
  <c r="AP1749" i="5"/>
  <c r="AR1749" i="5"/>
  <c r="AU1749" i="5"/>
  <c r="AV1749" i="5" s="1"/>
  <c r="AW1749" i="5"/>
  <c r="AX1749" i="5" s="1"/>
  <c r="AH1750" i="5"/>
  <c r="AJ1750" i="5" s="1"/>
  <c r="AN1750" i="5"/>
  <c r="AO1750" i="5"/>
  <c r="AP1750" i="5"/>
  <c r="AR1750" i="5"/>
  <c r="AU1750" i="5"/>
  <c r="AV1750" i="5" s="1"/>
  <c r="AW1750" i="5"/>
  <c r="AX1750" i="5" s="1"/>
  <c r="AH1751" i="5"/>
  <c r="AH1752" i="5"/>
  <c r="AY1752" i="5" s="1"/>
  <c r="AN1751" i="5"/>
  <c r="AO1751" i="5"/>
  <c r="AP1751" i="5"/>
  <c r="AR1751" i="5"/>
  <c r="AU1751" i="5"/>
  <c r="AV1751" i="5" s="1"/>
  <c r="AW1751" i="5"/>
  <c r="AX1751" i="5" s="1"/>
  <c r="AN1752" i="5"/>
  <c r="AO1752" i="5"/>
  <c r="AP1752" i="5"/>
  <c r="AR1752" i="5"/>
  <c r="AU1752" i="5"/>
  <c r="AV1752" i="5" s="1"/>
  <c r="AW1752" i="5"/>
  <c r="AX1752" i="5" s="1"/>
  <c r="AH1753" i="5"/>
  <c r="AN1753" i="5"/>
  <c r="AO1753" i="5"/>
  <c r="AP1753" i="5"/>
  <c r="AH1754" i="5"/>
  <c r="AN1754" i="5"/>
  <c r="AO1754" i="5"/>
  <c r="AP1754" i="5"/>
  <c r="AJ1755" i="5"/>
  <c r="AK1755" i="5"/>
  <c r="AL1755" i="5"/>
  <c r="AN1755" i="5"/>
  <c r="AO1755" i="5"/>
  <c r="AP1755" i="5"/>
  <c r="AR1755" i="5"/>
  <c r="AU1755" i="5"/>
  <c r="AV1755" i="5" s="1"/>
  <c r="AW1755" i="5"/>
  <c r="AX1755" i="5" s="1"/>
  <c r="AH1756" i="5"/>
  <c r="AJ1756" i="5" s="1"/>
  <c r="AN1756" i="5"/>
  <c r="AO1756" i="5"/>
  <c r="AP1756" i="5"/>
  <c r="AR1756" i="5"/>
  <c r="AU1756" i="5"/>
  <c r="AV1756" i="5" s="1"/>
  <c r="AW1756" i="5"/>
  <c r="AX1756" i="5" s="1"/>
  <c r="AH1757" i="5"/>
  <c r="AN1757" i="5"/>
  <c r="AO1757" i="5"/>
  <c r="AP1757" i="5"/>
  <c r="AR1757" i="5"/>
  <c r="AU1757" i="5"/>
  <c r="AV1757" i="5" s="1"/>
  <c r="AW1757" i="5"/>
  <c r="AX1757" i="5" s="1"/>
  <c r="AH1758" i="5"/>
  <c r="AN1758" i="5"/>
  <c r="AO1758" i="5"/>
  <c r="AP1758" i="5"/>
  <c r="AR1758" i="5"/>
  <c r="AT1758" i="5" s="1"/>
  <c r="AU1758" i="5"/>
  <c r="AV1758" i="5" s="1"/>
  <c r="AW1758" i="5"/>
  <c r="AX1758" i="5" s="1"/>
  <c r="AH1759" i="5"/>
  <c r="AN1759" i="5"/>
  <c r="AO1759" i="5"/>
  <c r="AP1759" i="5"/>
  <c r="AR1759" i="5"/>
  <c r="AU1759" i="5"/>
  <c r="AV1759" i="5" s="1"/>
  <c r="AW1759" i="5"/>
  <c r="AX1759" i="5" s="1"/>
  <c r="AH1760" i="5"/>
  <c r="AN1760" i="5"/>
  <c r="AO1760" i="5"/>
  <c r="AP1760" i="5"/>
  <c r="AH1761" i="5"/>
  <c r="AN1761" i="5"/>
  <c r="AO1761" i="5"/>
  <c r="AP1761" i="5"/>
  <c r="AJ1762" i="5"/>
  <c r="AK1762" i="5"/>
  <c r="AL1762" i="5"/>
  <c r="AN1762" i="5"/>
  <c r="AO1762" i="5"/>
  <c r="AP1762" i="5"/>
  <c r="AR1762" i="5"/>
  <c r="AT1762" i="5" s="1"/>
  <c r="AU1762" i="5"/>
  <c r="AV1762" i="5" s="1"/>
  <c r="AW1762" i="5"/>
  <c r="AX1762" i="5" s="1"/>
  <c r="AH1763" i="5"/>
  <c r="AN1763" i="5"/>
  <c r="AO1763" i="5"/>
  <c r="AP1763" i="5"/>
  <c r="AR1763" i="5"/>
  <c r="AT1763" i="5" s="1"/>
  <c r="AU1763" i="5"/>
  <c r="AV1763" i="5" s="1"/>
  <c r="AW1763" i="5"/>
  <c r="AX1763" i="5" s="1"/>
  <c r="AH1764" i="5"/>
  <c r="AN1764" i="5"/>
  <c r="AO1764" i="5"/>
  <c r="AP1764" i="5"/>
  <c r="AR1764" i="5"/>
  <c r="AT1764" i="5" s="1"/>
  <c r="AU1764" i="5"/>
  <c r="AV1764" i="5" s="1"/>
  <c r="AW1764" i="5"/>
  <c r="AX1764" i="5" s="1"/>
  <c r="AH1765" i="5"/>
  <c r="AN1765" i="5"/>
  <c r="AO1765" i="5"/>
  <c r="AP1765" i="5"/>
  <c r="AR1765" i="5"/>
  <c r="AS1765" i="5" s="1"/>
  <c r="AU1765" i="5"/>
  <c r="AV1765" i="5" s="1"/>
  <c r="AW1765" i="5"/>
  <c r="AX1765" i="5" s="1"/>
  <c r="AH1766" i="5"/>
  <c r="AK1766" i="5" s="1"/>
  <c r="AN1766" i="5"/>
  <c r="AO1766" i="5"/>
  <c r="AP1766" i="5"/>
  <c r="AR1766" i="5"/>
  <c r="AU1766" i="5"/>
  <c r="AV1766" i="5" s="1"/>
  <c r="AW1766" i="5"/>
  <c r="AX1766" i="5" s="1"/>
  <c r="AH1767" i="5"/>
  <c r="AN1767" i="5"/>
  <c r="AO1767" i="5"/>
  <c r="AP1767" i="5"/>
  <c r="AH1768" i="5"/>
  <c r="AL1768" i="5" s="1"/>
  <c r="AN1768" i="5"/>
  <c r="AO1768" i="5"/>
  <c r="AP1768" i="5"/>
  <c r="AJ1769" i="5"/>
  <c r="AK1769" i="5"/>
  <c r="AL1769" i="5"/>
  <c r="AN1769" i="5"/>
  <c r="AO1769" i="5"/>
  <c r="AP1769" i="5"/>
  <c r="AR1769" i="5"/>
  <c r="AT1769" i="5" s="1"/>
  <c r="AU1769" i="5"/>
  <c r="AV1769" i="5" s="1"/>
  <c r="AW1769" i="5"/>
  <c r="AX1769" i="5" s="1"/>
  <c r="AH1770" i="5"/>
  <c r="AJ1770" i="5" s="1"/>
  <c r="AN1770" i="5"/>
  <c r="AO1770" i="5"/>
  <c r="AP1770" i="5"/>
  <c r="AR1770" i="5"/>
  <c r="AS1770" i="5" s="1"/>
  <c r="AU1770" i="5"/>
  <c r="AV1770" i="5" s="1"/>
  <c r="AW1770" i="5"/>
  <c r="AX1770" i="5" s="1"/>
  <c r="AH1771" i="5"/>
  <c r="AN1771" i="5"/>
  <c r="AO1771" i="5"/>
  <c r="AP1771" i="5"/>
  <c r="AR1771" i="5"/>
  <c r="AU1771" i="5"/>
  <c r="AV1771" i="5" s="1"/>
  <c r="AW1771" i="5"/>
  <c r="AX1771" i="5" s="1"/>
  <c r="AH1772" i="5"/>
  <c r="AY1772" i="5" s="1"/>
  <c r="AN1772" i="5"/>
  <c r="AO1772" i="5"/>
  <c r="AP1772" i="5"/>
  <c r="AR1772" i="5"/>
  <c r="AU1772" i="5"/>
  <c r="AV1772" i="5" s="1"/>
  <c r="AW1772" i="5"/>
  <c r="AX1772" i="5" s="1"/>
  <c r="AH1773" i="5"/>
  <c r="AK1773" i="5" s="1"/>
  <c r="AN1773" i="5"/>
  <c r="AO1773" i="5"/>
  <c r="AP1773" i="5"/>
  <c r="AR1773" i="5"/>
  <c r="AT1773" i="5" s="1"/>
  <c r="AU1773" i="5"/>
  <c r="AV1773" i="5" s="1"/>
  <c r="AW1773" i="5"/>
  <c r="AX1773" i="5" s="1"/>
  <c r="AH1774" i="5"/>
  <c r="AN1774" i="5"/>
  <c r="AO1774" i="5"/>
  <c r="AP1774" i="5"/>
  <c r="AH1775" i="5"/>
  <c r="AY1775" i="5" s="1"/>
  <c r="AN1775" i="5"/>
  <c r="AO1775" i="5"/>
  <c r="AP1775" i="5"/>
  <c r="AJ1776" i="5"/>
  <c r="AK1776" i="5"/>
  <c r="AL1776" i="5"/>
  <c r="AN1776" i="5"/>
  <c r="AO1776" i="5"/>
  <c r="AP1776" i="5"/>
  <c r="AR1776" i="5"/>
  <c r="AU1776" i="5"/>
  <c r="AV1776" i="5" s="1"/>
  <c r="AW1776" i="5"/>
  <c r="AX1776" i="5" s="1"/>
  <c r="AH1777" i="5"/>
  <c r="AN1777" i="5"/>
  <c r="AO1777" i="5"/>
  <c r="AP1777" i="5"/>
  <c r="AR1777" i="5"/>
  <c r="AS1777" i="5" s="1"/>
  <c r="AU1777" i="5"/>
  <c r="AV1777" i="5" s="1"/>
  <c r="AW1777" i="5"/>
  <c r="AX1777" i="5" s="1"/>
  <c r="AH1778" i="5"/>
  <c r="AL1778" i="5" s="1"/>
  <c r="AN1778" i="5"/>
  <c r="AO1778" i="5"/>
  <c r="AP1778" i="5"/>
  <c r="AR1778" i="5"/>
  <c r="AT1778" i="5" s="1"/>
  <c r="AU1778" i="5"/>
  <c r="AV1778" i="5" s="1"/>
  <c r="AW1778" i="5"/>
  <c r="AX1778" i="5" s="1"/>
  <c r="AH1779" i="5"/>
  <c r="AN1779" i="5"/>
  <c r="AO1779" i="5"/>
  <c r="AP1779" i="5"/>
  <c r="AR1779" i="5"/>
  <c r="AU1779" i="5"/>
  <c r="AV1779" i="5" s="1"/>
  <c r="AW1779" i="5"/>
  <c r="AX1779" i="5" s="1"/>
  <c r="AH1780" i="5"/>
  <c r="AY1780" i="5" s="1"/>
  <c r="AN1780" i="5"/>
  <c r="AO1780" i="5"/>
  <c r="AP1780" i="5"/>
  <c r="AR1780" i="5"/>
  <c r="AS1780" i="5" s="1"/>
  <c r="AU1780" i="5"/>
  <c r="AV1780" i="5" s="1"/>
  <c r="AW1780" i="5"/>
  <c r="AX1780" i="5" s="1"/>
  <c r="AH1781" i="5"/>
  <c r="AN1781" i="5"/>
  <c r="AO1781" i="5"/>
  <c r="AP1781" i="5"/>
  <c r="AH1782" i="5"/>
  <c r="AN1782" i="5"/>
  <c r="AO1782" i="5"/>
  <c r="AP1782" i="5"/>
  <c r="AJ1783" i="5"/>
  <c r="AK1783" i="5"/>
  <c r="AL1783" i="5"/>
  <c r="AN1783" i="5"/>
  <c r="AO1783" i="5"/>
  <c r="AP1783" i="5"/>
  <c r="AR1783" i="5"/>
  <c r="AU1783" i="5"/>
  <c r="AV1783" i="5" s="1"/>
  <c r="AW1783" i="5"/>
  <c r="AX1783" i="5" s="1"/>
  <c r="AH1784" i="5"/>
  <c r="AN1784" i="5"/>
  <c r="AO1784" i="5"/>
  <c r="AP1784" i="5"/>
  <c r="AR1784" i="5"/>
  <c r="AS1784" i="5" s="1"/>
  <c r="AU1784" i="5"/>
  <c r="AV1784" i="5" s="1"/>
  <c r="AW1784" i="5"/>
  <c r="AX1784" i="5" s="1"/>
  <c r="AH1785" i="5"/>
  <c r="AN1785" i="5"/>
  <c r="AO1785" i="5"/>
  <c r="AP1785" i="5"/>
  <c r="AR1785" i="5"/>
  <c r="AT1785" i="5" s="1"/>
  <c r="AU1785" i="5"/>
  <c r="AV1785" i="5" s="1"/>
  <c r="AW1785" i="5"/>
  <c r="AX1785" i="5" s="1"/>
  <c r="AH1786" i="5"/>
  <c r="AK1786" i="5" s="1"/>
  <c r="AN1786" i="5"/>
  <c r="AO1786" i="5"/>
  <c r="AP1786" i="5"/>
  <c r="AR1786" i="5"/>
  <c r="AT1786" i="5" s="1"/>
  <c r="AU1786" i="5"/>
  <c r="AV1786" i="5" s="1"/>
  <c r="AW1786" i="5"/>
  <c r="AX1786" i="5" s="1"/>
  <c r="AH1787" i="5"/>
  <c r="AZ1787" i="5" s="1"/>
  <c r="AN1787" i="5"/>
  <c r="AO1787" i="5"/>
  <c r="AP1787" i="5"/>
  <c r="AR1787" i="5"/>
  <c r="AT1787" i="5" s="1"/>
  <c r="AU1787" i="5"/>
  <c r="AV1787" i="5" s="1"/>
  <c r="AW1787" i="5"/>
  <c r="AX1787" i="5" s="1"/>
  <c r="AH1788" i="5"/>
  <c r="AN1788" i="5"/>
  <c r="AO1788" i="5"/>
  <c r="AP1788" i="5"/>
  <c r="AH1789" i="5"/>
  <c r="AK1789" i="5" s="1"/>
  <c r="AN1789" i="5"/>
  <c r="AO1789" i="5"/>
  <c r="AP1789" i="5"/>
  <c r="AJ1790" i="5"/>
  <c r="AK1790" i="5"/>
  <c r="AL1790" i="5"/>
  <c r="AN1790" i="5"/>
  <c r="AO1790" i="5"/>
  <c r="AP1790" i="5"/>
  <c r="AR1790" i="5"/>
  <c r="AT1790" i="5" s="1"/>
  <c r="AU1790" i="5"/>
  <c r="AV1790" i="5" s="1"/>
  <c r="AW1790" i="5"/>
  <c r="AX1790" i="5" s="1"/>
  <c r="AH1791" i="5"/>
  <c r="AN1791" i="5"/>
  <c r="AO1791" i="5"/>
  <c r="AP1791" i="5"/>
  <c r="AR1791" i="5"/>
  <c r="AU1791" i="5"/>
  <c r="AV1791" i="5" s="1"/>
  <c r="AW1791" i="5"/>
  <c r="AX1791" i="5" s="1"/>
  <c r="AH1792" i="5"/>
  <c r="AJ1792" i="5" s="1"/>
  <c r="AN1792" i="5"/>
  <c r="AO1792" i="5"/>
  <c r="AP1792" i="5"/>
  <c r="AR1792" i="5"/>
  <c r="AU1792" i="5"/>
  <c r="AV1792" i="5" s="1"/>
  <c r="AW1792" i="5"/>
  <c r="AX1792" i="5" s="1"/>
  <c r="AH1793" i="5"/>
  <c r="AL1793" i="5" s="1"/>
  <c r="AN1793" i="5"/>
  <c r="AO1793" i="5"/>
  <c r="AP1793" i="5"/>
  <c r="AR1793" i="5"/>
  <c r="AU1793" i="5"/>
  <c r="AV1793" i="5" s="1"/>
  <c r="AW1793" i="5"/>
  <c r="AX1793" i="5" s="1"/>
  <c r="AH1794" i="5"/>
  <c r="AZ1794" i="5" s="1"/>
  <c r="AN1794" i="5"/>
  <c r="AO1794" i="5"/>
  <c r="AP1794" i="5"/>
  <c r="AR1794" i="5"/>
  <c r="AS1794" i="5" s="1"/>
  <c r="AU1794" i="5"/>
  <c r="AV1794" i="5" s="1"/>
  <c r="AW1794" i="5"/>
  <c r="AX1794" i="5" s="1"/>
  <c r="AH1795" i="5"/>
  <c r="AN1795" i="5"/>
  <c r="AO1795" i="5"/>
  <c r="AP1795" i="5"/>
  <c r="AH1796" i="5"/>
  <c r="AN1796" i="5"/>
  <c r="AO1796" i="5"/>
  <c r="AP1796" i="5"/>
  <c r="AJ1797" i="5"/>
  <c r="AK1797" i="5"/>
  <c r="AL1797" i="5"/>
  <c r="AN1797" i="5"/>
  <c r="AO1797" i="5"/>
  <c r="AP1797" i="5"/>
  <c r="AR1797" i="5"/>
  <c r="AU1797" i="5"/>
  <c r="AV1797" i="5" s="1"/>
  <c r="AW1797" i="5"/>
  <c r="AX1797" i="5" s="1"/>
  <c r="AH1798" i="5"/>
  <c r="AK1798" i="5" s="1"/>
  <c r="AN1798" i="5"/>
  <c r="AO1798" i="5"/>
  <c r="AP1798" i="5"/>
  <c r="AR1798" i="5"/>
  <c r="AS1798" i="5" s="1"/>
  <c r="AU1798" i="5"/>
  <c r="AV1798" i="5" s="1"/>
  <c r="AW1798" i="5"/>
  <c r="AX1798" i="5" s="1"/>
  <c r="AH1799" i="5"/>
  <c r="AZ1799" i="5" s="1"/>
  <c r="AN1799" i="5"/>
  <c r="AO1799" i="5"/>
  <c r="AP1799" i="5"/>
  <c r="AR1799" i="5"/>
  <c r="AU1799" i="5"/>
  <c r="AV1799" i="5" s="1"/>
  <c r="AW1799" i="5"/>
  <c r="AX1799" i="5" s="1"/>
  <c r="AH1800" i="5"/>
  <c r="AK1800" i="5" s="1"/>
  <c r="AN1800" i="5"/>
  <c r="AO1800" i="5"/>
  <c r="AP1800" i="5"/>
  <c r="AR1800" i="5"/>
  <c r="AS1800" i="5" s="1"/>
  <c r="AU1800" i="5"/>
  <c r="AV1800" i="5" s="1"/>
  <c r="AW1800" i="5"/>
  <c r="AX1800" i="5" s="1"/>
  <c r="AH1801" i="5"/>
  <c r="AN1801" i="5"/>
  <c r="AO1801" i="5"/>
  <c r="AP1801" i="5"/>
  <c r="AR1801" i="5"/>
  <c r="AT1801" i="5" s="1"/>
  <c r="AU1801" i="5"/>
  <c r="AV1801" i="5" s="1"/>
  <c r="AW1801" i="5"/>
  <c r="AX1801" i="5" s="1"/>
  <c r="AH1802" i="5"/>
  <c r="AW1802" i="5" s="1"/>
  <c r="AX1802" i="5" s="1"/>
  <c r="AN1802" i="5"/>
  <c r="AO1802" i="5"/>
  <c r="AP1802" i="5"/>
  <c r="AH1803" i="5"/>
  <c r="AI1804" i="5" s="1"/>
  <c r="AN1803" i="5"/>
  <c r="AO1803" i="5"/>
  <c r="AP1803" i="5"/>
  <c r="AJ1804" i="5"/>
  <c r="AK1804" i="5"/>
  <c r="AL1804" i="5"/>
  <c r="AN1804" i="5"/>
  <c r="AO1804" i="5"/>
  <c r="AP1804" i="5"/>
  <c r="AR1804" i="5"/>
  <c r="AT1804" i="5" s="1"/>
  <c r="AU1804" i="5"/>
  <c r="AV1804" i="5" s="1"/>
  <c r="AW1804" i="5"/>
  <c r="AX1804" i="5" s="1"/>
  <c r="AH1805" i="5"/>
  <c r="AN1805" i="5"/>
  <c r="AO1805" i="5"/>
  <c r="AP1805" i="5"/>
  <c r="AR1805" i="5"/>
  <c r="AS1805" i="5" s="1"/>
  <c r="AU1805" i="5"/>
  <c r="AV1805" i="5" s="1"/>
  <c r="AW1805" i="5"/>
  <c r="AX1805" i="5" s="1"/>
  <c r="AH1806" i="5"/>
  <c r="AL1806" i="5" s="1"/>
  <c r="AN1806" i="5"/>
  <c r="AO1806" i="5"/>
  <c r="AP1806" i="5"/>
  <c r="AR1806" i="5"/>
  <c r="AS1806" i="5" s="1"/>
  <c r="AU1806" i="5"/>
  <c r="AV1806" i="5" s="1"/>
  <c r="AW1806" i="5"/>
  <c r="AX1806" i="5" s="1"/>
  <c r="AH1807" i="5"/>
  <c r="AN1807" i="5"/>
  <c r="AO1807" i="5"/>
  <c r="AP1807" i="5"/>
  <c r="AR1807" i="5"/>
  <c r="AU1807" i="5"/>
  <c r="AV1807" i="5" s="1"/>
  <c r="AW1807" i="5"/>
  <c r="AX1807" i="5" s="1"/>
  <c r="AH1808" i="5"/>
  <c r="AL1808" i="5" s="1"/>
  <c r="AN1808" i="5"/>
  <c r="AO1808" i="5"/>
  <c r="AP1808" i="5"/>
  <c r="AR1808" i="5"/>
  <c r="AU1808" i="5"/>
  <c r="AV1808" i="5" s="1"/>
  <c r="AW1808" i="5"/>
  <c r="AX1808" i="5" s="1"/>
  <c r="AH1809" i="5"/>
  <c r="AN1809" i="5"/>
  <c r="AO1809" i="5"/>
  <c r="AP1809" i="5"/>
  <c r="AH1810" i="5"/>
  <c r="AN1810" i="5"/>
  <c r="AO1810" i="5"/>
  <c r="AP1810" i="5"/>
  <c r="AJ1811" i="5"/>
  <c r="AK1811" i="5"/>
  <c r="AL1811" i="5"/>
  <c r="AN1811" i="5"/>
  <c r="AO1811" i="5"/>
  <c r="AP1811" i="5"/>
  <c r="AR1811" i="5"/>
  <c r="AS1811" i="5" s="1"/>
  <c r="AU1811" i="5"/>
  <c r="AV1811" i="5" s="1"/>
  <c r="AW1811" i="5"/>
  <c r="AX1811" i="5" s="1"/>
  <c r="AH1812" i="5"/>
  <c r="AL1812" i="5" s="1"/>
  <c r="AN1812" i="5"/>
  <c r="AO1812" i="5"/>
  <c r="AP1812" i="5"/>
  <c r="AR1812" i="5"/>
  <c r="AU1812" i="5"/>
  <c r="AV1812" i="5" s="1"/>
  <c r="AW1812" i="5"/>
  <c r="AX1812" i="5" s="1"/>
  <c r="AH1813" i="5"/>
  <c r="AN1813" i="5"/>
  <c r="AO1813" i="5"/>
  <c r="AP1813" i="5"/>
  <c r="AR1813" i="5"/>
  <c r="AS1813" i="5" s="1"/>
  <c r="AU1813" i="5"/>
  <c r="AV1813" i="5" s="1"/>
  <c r="AW1813" i="5"/>
  <c r="AX1813" i="5" s="1"/>
  <c r="AH1814" i="5"/>
  <c r="AZ1814" i="5" s="1"/>
  <c r="AN1814" i="5"/>
  <c r="AO1814" i="5"/>
  <c r="AP1814" i="5"/>
  <c r="AR1814" i="5"/>
  <c r="AT1814" i="5" s="1"/>
  <c r="AU1814" i="5"/>
  <c r="AV1814" i="5" s="1"/>
  <c r="AW1814" i="5"/>
  <c r="AX1814" i="5" s="1"/>
  <c r="AH1815" i="5"/>
  <c r="AN1815" i="5"/>
  <c r="AO1815" i="5"/>
  <c r="AP1815" i="5"/>
  <c r="AR1815" i="5"/>
  <c r="AT1815" i="5" s="1"/>
  <c r="AU1815" i="5"/>
  <c r="AV1815" i="5" s="1"/>
  <c r="AW1815" i="5"/>
  <c r="AX1815" i="5" s="1"/>
  <c r="AH1816" i="5"/>
  <c r="AK1816" i="5" s="1"/>
  <c r="AN1816" i="5"/>
  <c r="AO1816" i="5"/>
  <c r="AP1816" i="5"/>
  <c r="AH1817" i="5"/>
  <c r="AI1818" i="5" s="1"/>
  <c r="AN1817" i="5"/>
  <c r="AO1817" i="5"/>
  <c r="AP1817" i="5"/>
  <c r="AJ1818" i="5"/>
  <c r="AK1818" i="5"/>
  <c r="AL1818" i="5"/>
  <c r="AN1818" i="5"/>
  <c r="AO1818" i="5"/>
  <c r="AP1818" i="5"/>
  <c r="AR1818" i="5"/>
  <c r="AT1818" i="5" s="1"/>
  <c r="AU1818" i="5"/>
  <c r="AV1818" i="5" s="1"/>
  <c r="AW1818" i="5"/>
  <c r="AX1818" i="5" s="1"/>
  <c r="AH1819" i="5"/>
  <c r="AN1819" i="5"/>
  <c r="AO1819" i="5"/>
  <c r="AP1819" i="5"/>
  <c r="AR1819" i="5"/>
  <c r="AU1819" i="5"/>
  <c r="AV1819" i="5" s="1"/>
  <c r="AW1819" i="5"/>
  <c r="AX1819" i="5" s="1"/>
  <c r="AH1820" i="5"/>
  <c r="AY1820" i="5" s="1"/>
  <c r="AN1820" i="5"/>
  <c r="AO1820" i="5"/>
  <c r="AP1820" i="5"/>
  <c r="AR1820" i="5"/>
  <c r="AT1820" i="5" s="1"/>
  <c r="AU1820" i="5"/>
  <c r="AV1820" i="5" s="1"/>
  <c r="AW1820" i="5"/>
  <c r="AX1820" i="5" s="1"/>
  <c r="AH1821" i="5"/>
  <c r="AY1821" i="5" s="1"/>
  <c r="AN1821" i="5"/>
  <c r="AO1821" i="5"/>
  <c r="AP1821" i="5"/>
  <c r="AR1821" i="5"/>
  <c r="AT1821" i="5" s="1"/>
  <c r="AU1821" i="5"/>
  <c r="AV1821" i="5" s="1"/>
  <c r="AW1821" i="5"/>
  <c r="AX1821" i="5" s="1"/>
  <c r="AH1822" i="5"/>
  <c r="AZ1822" i="5" s="1"/>
  <c r="AN1822" i="5"/>
  <c r="AO1822" i="5"/>
  <c r="AP1822" i="5"/>
  <c r="AR1822" i="5"/>
  <c r="AU1822" i="5"/>
  <c r="AV1822" i="5" s="1"/>
  <c r="AW1822" i="5"/>
  <c r="AX1822" i="5" s="1"/>
  <c r="AH1823" i="5"/>
  <c r="AZ1823" i="5" s="1"/>
  <c r="AN1823" i="5"/>
  <c r="AO1823" i="5"/>
  <c r="AP1823" i="5"/>
  <c r="AH1824" i="5"/>
  <c r="AR1824" i="5" s="1"/>
  <c r="AN1824" i="5"/>
  <c r="AO1824" i="5"/>
  <c r="AP1824" i="5"/>
  <c r="AJ1825" i="5"/>
  <c r="AK1825" i="5"/>
  <c r="AL1825" i="5"/>
  <c r="AN1825" i="5"/>
  <c r="AO1825" i="5"/>
  <c r="AP1825" i="5"/>
  <c r="AR1825" i="5"/>
  <c r="AS1825" i="5" s="1"/>
  <c r="AU1825" i="5"/>
  <c r="AV1825" i="5" s="1"/>
  <c r="AW1825" i="5"/>
  <c r="AX1825" i="5" s="1"/>
  <c r="AH1826" i="5"/>
  <c r="AL1826" i="5" s="1"/>
  <c r="AN1826" i="5"/>
  <c r="AO1826" i="5"/>
  <c r="AP1826" i="5"/>
  <c r="AR1826" i="5"/>
  <c r="AU1826" i="5"/>
  <c r="AV1826" i="5" s="1"/>
  <c r="AW1826" i="5"/>
  <c r="AX1826" i="5" s="1"/>
  <c r="AH1827" i="5"/>
  <c r="AZ1827" i="5" s="1"/>
  <c r="AN1827" i="5"/>
  <c r="AO1827" i="5"/>
  <c r="AP1827" i="5"/>
  <c r="AR1827" i="5"/>
  <c r="AS1827" i="5" s="1"/>
  <c r="AU1827" i="5"/>
  <c r="AV1827" i="5" s="1"/>
  <c r="AW1827" i="5"/>
  <c r="AX1827" i="5" s="1"/>
  <c r="AH1828" i="5"/>
  <c r="AY1828" i="5" s="1"/>
  <c r="AN1828" i="5"/>
  <c r="AO1828" i="5"/>
  <c r="AP1828" i="5"/>
  <c r="AR1828" i="5"/>
  <c r="AU1828" i="5"/>
  <c r="AV1828" i="5" s="1"/>
  <c r="AW1828" i="5"/>
  <c r="AX1828" i="5" s="1"/>
  <c r="AH1829" i="5"/>
  <c r="AN1829" i="5"/>
  <c r="AO1829" i="5"/>
  <c r="AP1829" i="5"/>
  <c r="AR1829" i="5"/>
  <c r="AU1829" i="5"/>
  <c r="AV1829" i="5" s="1"/>
  <c r="AW1829" i="5"/>
  <c r="AX1829" i="5" s="1"/>
  <c r="AH1830" i="5"/>
  <c r="AU1830" i="5" s="1"/>
  <c r="AV1830" i="5" s="1"/>
  <c r="AN1830" i="5"/>
  <c r="AO1830" i="5"/>
  <c r="AP1830" i="5"/>
  <c r="AH1831" i="5"/>
  <c r="AK1831" i="5" s="1"/>
  <c r="AN1831" i="5"/>
  <c r="AO1831" i="5"/>
  <c r="AP1831" i="5"/>
  <c r="AJ1832" i="5"/>
  <c r="AK1832" i="5"/>
  <c r="AL1832" i="5"/>
  <c r="AN1832" i="5"/>
  <c r="AO1832" i="5"/>
  <c r="AP1832" i="5"/>
  <c r="AR1832" i="5"/>
  <c r="AT1832" i="5" s="1"/>
  <c r="AU1832" i="5"/>
  <c r="AV1832" i="5" s="1"/>
  <c r="AW1832" i="5"/>
  <c r="AX1832" i="5" s="1"/>
  <c r="AH1833" i="5"/>
  <c r="AY1833" i="5" s="1"/>
  <c r="AN1833" i="5"/>
  <c r="AO1833" i="5"/>
  <c r="AP1833" i="5"/>
  <c r="AR1833" i="5"/>
  <c r="AU1833" i="5"/>
  <c r="AV1833" i="5" s="1"/>
  <c r="AW1833" i="5"/>
  <c r="AX1833" i="5" s="1"/>
  <c r="AH1834" i="5"/>
  <c r="AN1834" i="5"/>
  <c r="AO1834" i="5"/>
  <c r="AP1834" i="5"/>
  <c r="AR1834" i="5"/>
  <c r="AS1834" i="5" s="1"/>
  <c r="AU1834" i="5"/>
  <c r="AV1834" i="5" s="1"/>
  <c r="AW1834" i="5"/>
  <c r="AX1834" i="5" s="1"/>
  <c r="AH1835" i="5"/>
  <c r="AN1835" i="5"/>
  <c r="AO1835" i="5"/>
  <c r="AP1835" i="5"/>
  <c r="AR1835" i="5"/>
  <c r="AU1835" i="5"/>
  <c r="AV1835" i="5" s="1"/>
  <c r="AW1835" i="5"/>
  <c r="AX1835" i="5" s="1"/>
  <c r="AH1836" i="5"/>
  <c r="AK1836" i="5" s="1"/>
  <c r="AN1836" i="5"/>
  <c r="AO1836" i="5"/>
  <c r="AP1836" i="5"/>
  <c r="AR1836" i="5"/>
  <c r="AT1836" i="5" s="1"/>
  <c r="AU1836" i="5"/>
  <c r="AV1836" i="5" s="1"/>
  <c r="AW1836" i="5"/>
  <c r="AX1836" i="5" s="1"/>
  <c r="AH1837" i="5"/>
  <c r="AN1837" i="5"/>
  <c r="AO1837" i="5"/>
  <c r="AP1837" i="5"/>
  <c r="AH1838" i="5"/>
  <c r="AZ1838" i="5" s="1"/>
  <c r="AN1838" i="5"/>
  <c r="AO1838" i="5"/>
  <c r="AP1838" i="5"/>
  <c r="AJ1839" i="5"/>
  <c r="AK1839" i="5"/>
  <c r="AL1839" i="5"/>
  <c r="AN1839" i="5"/>
  <c r="AO1839" i="5"/>
  <c r="AP1839" i="5"/>
  <c r="AR1839" i="5"/>
  <c r="AU1839" i="5"/>
  <c r="AV1839" i="5" s="1"/>
  <c r="AW1839" i="5"/>
  <c r="AX1839" i="5" s="1"/>
  <c r="AH1840" i="5"/>
  <c r="AN1840" i="5"/>
  <c r="AO1840" i="5"/>
  <c r="AP1840" i="5"/>
  <c r="AR1840" i="5"/>
  <c r="AU1840" i="5"/>
  <c r="AV1840" i="5" s="1"/>
  <c r="AW1840" i="5"/>
  <c r="AX1840" i="5" s="1"/>
  <c r="AH1841" i="5"/>
  <c r="AN1841" i="5"/>
  <c r="AO1841" i="5"/>
  <c r="AP1841" i="5"/>
  <c r="AR1841" i="5"/>
  <c r="AS1841" i="5" s="1"/>
  <c r="AU1841" i="5"/>
  <c r="AV1841" i="5" s="1"/>
  <c r="AW1841" i="5"/>
  <c r="AX1841" i="5" s="1"/>
  <c r="AH1842" i="5"/>
  <c r="AL1842" i="5" s="1"/>
  <c r="AN1842" i="5"/>
  <c r="AO1842" i="5"/>
  <c r="AP1842" i="5"/>
  <c r="AR1842" i="5"/>
  <c r="AU1842" i="5"/>
  <c r="AV1842" i="5" s="1"/>
  <c r="AW1842" i="5"/>
  <c r="AX1842" i="5" s="1"/>
  <c r="AH1843" i="5"/>
  <c r="AN1843" i="5"/>
  <c r="AO1843" i="5"/>
  <c r="AP1843" i="5"/>
  <c r="AR1843" i="5"/>
  <c r="AU1843" i="5"/>
  <c r="AV1843" i="5" s="1"/>
  <c r="AW1843" i="5"/>
  <c r="AX1843" i="5" s="1"/>
  <c r="AH1844" i="5"/>
  <c r="AJ1844" i="5" s="1"/>
  <c r="AN1844" i="5"/>
  <c r="AO1844" i="5"/>
  <c r="AP1844" i="5"/>
  <c r="AH1845" i="5"/>
  <c r="AK1845" i="5" s="1"/>
  <c r="AN1845" i="5"/>
  <c r="AO1845" i="5"/>
  <c r="AP1845" i="5"/>
  <c r="AJ1846" i="5"/>
  <c r="AK1846" i="5"/>
  <c r="AL1846" i="5"/>
  <c r="AN1846" i="5"/>
  <c r="AO1846" i="5"/>
  <c r="AP1846" i="5"/>
  <c r="AR1846" i="5"/>
  <c r="AU1846" i="5"/>
  <c r="AV1846" i="5" s="1"/>
  <c r="AW1846" i="5"/>
  <c r="AX1846" i="5" s="1"/>
  <c r="AH1847" i="5"/>
  <c r="AN1847" i="5"/>
  <c r="AO1847" i="5"/>
  <c r="AP1847" i="5"/>
  <c r="AR1847" i="5"/>
  <c r="AS1847" i="5" s="1"/>
  <c r="AU1847" i="5"/>
  <c r="AV1847" i="5" s="1"/>
  <c r="AW1847" i="5"/>
  <c r="AX1847" i="5" s="1"/>
  <c r="AH1848" i="5"/>
  <c r="AJ1848" i="5" s="1"/>
  <c r="AN1848" i="5"/>
  <c r="AO1848" i="5"/>
  <c r="AP1848" i="5"/>
  <c r="AR1848" i="5"/>
  <c r="AT1848" i="5" s="1"/>
  <c r="AU1848" i="5"/>
  <c r="AV1848" i="5" s="1"/>
  <c r="AW1848" i="5"/>
  <c r="AX1848" i="5" s="1"/>
  <c r="AH1849" i="5"/>
  <c r="AL1849" i="5" s="1"/>
  <c r="AN1849" i="5"/>
  <c r="AO1849" i="5"/>
  <c r="AP1849" i="5"/>
  <c r="AR1849" i="5"/>
  <c r="AU1849" i="5"/>
  <c r="AV1849" i="5" s="1"/>
  <c r="AW1849" i="5"/>
  <c r="AX1849" i="5" s="1"/>
  <c r="AH1850" i="5"/>
  <c r="AN1850" i="5"/>
  <c r="AO1850" i="5"/>
  <c r="AP1850" i="5"/>
  <c r="AR1850" i="5"/>
  <c r="AS1850" i="5" s="1"/>
  <c r="AU1850" i="5"/>
  <c r="AV1850" i="5" s="1"/>
  <c r="AW1850" i="5"/>
  <c r="AX1850" i="5" s="1"/>
  <c r="AH1851" i="5"/>
  <c r="AN1851" i="5"/>
  <c r="AO1851" i="5"/>
  <c r="AP1851" i="5"/>
  <c r="AH1852" i="5"/>
  <c r="AL1852" i="5" s="1"/>
  <c r="AN1852" i="5"/>
  <c r="AO1852" i="5"/>
  <c r="AP1852" i="5"/>
  <c r="AJ1853" i="5"/>
  <c r="AK1853" i="5"/>
  <c r="AL1853" i="5"/>
  <c r="AN1853" i="5"/>
  <c r="AO1853" i="5"/>
  <c r="AP1853" i="5"/>
  <c r="AR1853" i="5"/>
  <c r="AT1853" i="5" s="1"/>
  <c r="AU1853" i="5"/>
  <c r="AV1853" i="5" s="1"/>
  <c r="AW1853" i="5"/>
  <c r="AX1853" i="5" s="1"/>
  <c r="AH1854" i="5"/>
  <c r="AI1854" i="5" s="1"/>
  <c r="AN1854" i="5"/>
  <c r="AO1854" i="5"/>
  <c r="AP1854" i="5"/>
  <c r="AR1854" i="5"/>
  <c r="AT1854" i="5" s="1"/>
  <c r="AU1854" i="5"/>
  <c r="AV1854" i="5" s="1"/>
  <c r="AW1854" i="5"/>
  <c r="AX1854" i="5" s="1"/>
  <c r="AH1855" i="5"/>
  <c r="AN1855" i="5"/>
  <c r="AO1855" i="5"/>
  <c r="AP1855" i="5"/>
  <c r="AR1855" i="5"/>
  <c r="AU1855" i="5"/>
  <c r="AV1855" i="5" s="1"/>
  <c r="AW1855" i="5"/>
  <c r="AX1855" i="5" s="1"/>
  <c r="AH1856" i="5"/>
  <c r="AN1856" i="5"/>
  <c r="AO1856" i="5"/>
  <c r="AP1856" i="5"/>
  <c r="AR1856" i="5"/>
  <c r="AT1856" i="5" s="1"/>
  <c r="AU1856" i="5"/>
  <c r="AV1856" i="5" s="1"/>
  <c r="AW1856" i="5"/>
  <c r="AX1856" i="5" s="1"/>
  <c r="AH1857" i="5"/>
  <c r="AN1857" i="5"/>
  <c r="AO1857" i="5"/>
  <c r="AP1857" i="5"/>
  <c r="AR1857" i="5"/>
  <c r="AT1857" i="5" s="1"/>
  <c r="AU1857" i="5"/>
  <c r="AV1857" i="5" s="1"/>
  <c r="AW1857" i="5"/>
  <c r="AX1857" i="5" s="1"/>
  <c r="AH1858" i="5"/>
  <c r="AK1858" i="5" s="1"/>
  <c r="AN1858" i="5"/>
  <c r="AO1858" i="5"/>
  <c r="AP1858" i="5"/>
  <c r="AH1859" i="5"/>
  <c r="AY1859" i="5" s="1"/>
  <c r="AN1859" i="5"/>
  <c r="AO1859" i="5"/>
  <c r="AP1859" i="5"/>
  <c r="AJ1860" i="5"/>
  <c r="AK1860" i="5"/>
  <c r="AL1860" i="5"/>
  <c r="AN1860" i="5"/>
  <c r="AO1860" i="5"/>
  <c r="AP1860" i="5"/>
  <c r="AR1860" i="5"/>
  <c r="AS1860" i="5" s="1"/>
  <c r="AU1860" i="5"/>
  <c r="AV1860" i="5" s="1"/>
  <c r="AW1860" i="5"/>
  <c r="AX1860" i="5" s="1"/>
  <c r="AH1861" i="5"/>
  <c r="AN1861" i="5"/>
  <c r="AO1861" i="5"/>
  <c r="AP1861" i="5"/>
  <c r="AR1861" i="5"/>
  <c r="AS1861" i="5" s="1"/>
  <c r="AU1861" i="5"/>
  <c r="AV1861" i="5" s="1"/>
  <c r="AW1861" i="5"/>
  <c r="AX1861" i="5" s="1"/>
  <c r="AH1862" i="5"/>
  <c r="AK1862" i="5" s="1"/>
  <c r="AN1862" i="5"/>
  <c r="AO1862" i="5"/>
  <c r="AP1862" i="5"/>
  <c r="AR1862" i="5"/>
  <c r="AU1862" i="5"/>
  <c r="AV1862" i="5" s="1"/>
  <c r="AW1862" i="5"/>
  <c r="AX1862" i="5" s="1"/>
  <c r="AH1863" i="5"/>
  <c r="AN1863" i="5"/>
  <c r="AO1863" i="5"/>
  <c r="AP1863" i="5"/>
  <c r="AR1863" i="5"/>
  <c r="AT1863" i="5" s="1"/>
  <c r="AU1863" i="5"/>
  <c r="AV1863" i="5" s="1"/>
  <c r="AW1863" i="5"/>
  <c r="AX1863" i="5" s="1"/>
  <c r="AH1864" i="5"/>
  <c r="AZ1864" i="5" s="1"/>
  <c r="AN1864" i="5"/>
  <c r="AO1864" i="5"/>
  <c r="AP1864" i="5"/>
  <c r="AR1864" i="5"/>
  <c r="AU1864" i="5"/>
  <c r="AV1864" i="5" s="1"/>
  <c r="AW1864" i="5"/>
  <c r="AX1864" i="5" s="1"/>
  <c r="AH1865" i="5"/>
  <c r="AN1865" i="5"/>
  <c r="AO1865" i="5"/>
  <c r="AP1865" i="5"/>
  <c r="AH1866" i="5"/>
  <c r="AI1867" i="5" s="1"/>
  <c r="AN1866" i="5"/>
  <c r="AO1866" i="5"/>
  <c r="AP1866" i="5"/>
  <c r="AJ1867" i="5"/>
  <c r="AK1867" i="5"/>
  <c r="AL1867" i="5"/>
  <c r="AN1867" i="5"/>
  <c r="AO1867" i="5"/>
  <c r="AP1867" i="5"/>
  <c r="AR1867" i="5"/>
  <c r="AT1867" i="5" s="1"/>
  <c r="AU1867" i="5"/>
  <c r="AV1867" i="5" s="1"/>
  <c r="AW1867" i="5"/>
  <c r="AX1867" i="5" s="1"/>
  <c r="AH1868" i="5"/>
  <c r="AZ1868" i="5" s="1"/>
  <c r="AN1868" i="5"/>
  <c r="AO1868" i="5"/>
  <c r="AP1868" i="5"/>
  <c r="AR1868" i="5"/>
  <c r="AS1868" i="5" s="1"/>
  <c r="AU1868" i="5"/>
  <c r="AV1868" i="5" s="1"/>
  <c r="AW1868" i="5"/>
  <c r="AX1868" i="5" s="1"/>
  <c r="AH1869" i="5"/>
  <c r="AY1869" i="5" s="1"/>
  <c r="AN1869" i="5"/>
  <c r="AO1869" i="5"/>
  <c r="AP1869" i="5"/>
  <c r="AR1869" i="5"/>
  <c r="AU1869" i="5"/>
  <c r="AV1869" i="5" s="1"/>
  <c r="AW1869" i="5"/>
  <c r="AX1869" i="5" s="1"/>
  <c r="AH1870" i="5"/>
  <c r="AN1870" i="5"/>
  <c r="AO1870" i="5"/>
  <c r="AP1870" i="5"/>
  <c r="AR1870" i="5"/>
  <c r="AS1870" i="5" s="1"/>
  <c r="AU1870" i="5"/>
  <c r="AV1870" i="5" s="1"/>
  <c r="AW1870" i="5"/>
  <c r="AX1870" i="5" s="1"/>
  <c r="AH1871" i="5"/>
  <c r="AN1871" i="5"/>
  <c r="AO1871" i="5"/>
  <c r="AP1871" i="5"/>
  <c r="AR1871" i="5"/>
  <c r="AU1871" i="5"/>
  <c r="AV1871" i="5" s="1"/>
  <c r="AW1871" i="5"/>
  <c r="AX1871" i="5" s="1"/>
  <c r="AH1872" i="5"/>
  <c r="AN1872" i="5"/>
  <c r="AO1872" i="5"/>
  <c r="AP1872" i="5"/>
  <c r="AH1873" i="5"/>
  <c r="AZ1873" i="5" s="1"/>
  <c r="AN1873" i="5"/>
  <c r="AO1873" i="5"/>
  <c r="AP1873" i="5"/>
  <c r="AJ1874" i="5"/>
  <c r="AK1874" i="5"/>
  <c r="AL1874" i="5"/>
  <c r="AN1874" i="5"/>
  <c r="AO1874" i="5"/>
  <c r="AP1874" i="5"/>
  <c r="AR1874" i="5"/>
  <c r="AS1874" i="5" s="1"/>
  <c r="AU1874" i="5"/>
  <c r="AV1874" i="5" s="1"/>
  <c r="AW1874" i="5"/>
  <c r="AX1874" i="5" s="1"/>
  <c r="AH1875" i="5"/>
  <c r="AI1875" i="5" s="1"/>
  <c r="AN1875" i="5"/>
  <c r="AO1875" i="5"/>
  <c r="AP1875" i="5"/>
  <c r="AR1875" i="5"/>
  <c r="AU1875" i="5"/>
  <c r="AV1875" i="5" s="1"/>
  <c r="AW1875" i="5"/>
  <c r="AX1875" i="5" s="1"/>
  <c r="AH1876" i="5"/>
  <c r="AN1876" i="5"/>
  <c r="AO1876" i="5"/>
  <c r="AP1876" i="5"/>
  <c r="AR1876" i="5"/>
  <c r="AU1876" i="5"/>
  <c r="AV1876" i="5" s="1"/>
  <c r="AW1876" i="5"/>
  <c r="AX1876" i="5" s="1"/>
  <c r="AH1877" i="5"/>
  <c r="AN1877" i="5"/>
  <c r="AO1877" i="5"/>
  <c r="AP1877" i="5"/>
  <c r="AR1877" i="5"/>
  <c r="AS1877" i="5" s="1"/>
  <c r="AU1877" i="5"/>
  <c r="AV1877" i="5" s="1"/>
  <c r="AW1877" i="5"/>
  <c r="AX1877" i="5" s="1"/>
  <c r="AH1878" i="5"/>
  <c r="AY1878" i="5" s="1"/>
  <c r="AN1878" i="5"/>
  <c r="AO1878" i="5"/>
  <c r="AP1878" i="5"/>
  <c r="AR1878" i="5"/>
  <c r="AT1878" i="5" s="1"/>
  <c r="AU1878" i="5"/>
  <c r="AV1878" i="5" s="1"/>
  <c r="AW1878" i="5"/>
  <c r="AX1878" i="5" s="1"/>
  <c r="AH1879" i="5"/>
  <c r="AK1879" i="5" s="1"/>
  <c r="AN1879" i="5"/>
  <c r="AO1879" i="5"/>
  <c r="AP1879" i="5"/>
  <c r="AH1880" i="5"/>
  <c r="AN1880" i="5"/>
  <c r="AO1880" i="5"/>
  <c r="AP1880" i="5"/>
  <c r="AJ1881" i="5"/>
  <c r="AK1881" i="5"/>
  <c r="AL1881" i="5"/>
  <c r="AN1881" i="5"/>
  <c r="AO1881" i="5"/>
  <c r="AP1881" i="5"/>
  <c r="AR1881" i="5"/>
  <c r="AS1881" i="5" s="1"/>
  <c r="AU1881" i="5"/>
  <c r="AV1881" i="5" s="1"/>
  <c r="AW1881" i="5"/>
  <c r="AX1881" i="5" s="1"/>
  <c r="AH1882" i="5"/>
  <c r="AY1882" i="5" s="1"/>
  <c r="AN1882" i="5"/>
  <c r="AO1882" i="5"/>
  <c r="AP1882" i="5"/>
  <c r="AR1882" i="5"/>
  <c r="AT1882" i="5" s="1"/>
  <c r="AU1882" i="5"/>
  <c r="AV1882" i="5" s="1"/>
  <c r="AW1882" i="5"/>
  <c r="AX1882" i="5" s="1"/>
  <c r="AH1883" i="5"/>
  <c r="AN1883" i="5"/>
  <c r="AO1883" i="5"/>
  <c r="AP1883" i="5"/>
  <c r="AR1883" i="5"/>
  <c r="AS1883" i="5" s="1"/>
  <c r="AU1883" i="5"/>
  <c r="AV1883" i="5" s="1"/>
  <c r="AW1883" i="5"/>
  <c r="AX1883" i="5" s="1"/>
  <c r="AH1884" i="5"/>
  <c r="AK1884" i="5" s="1"/>
  <c r="AN1884" i="5"/>
  <c r="AO1884" i="5"/>
  <c r="AP1884" i="5"/>
  <c r="AR1884" i="5"/>
  <c r="AU1884" i="5"/>
  <c r="AV1884" i="5" s="1"/>
  <c r="AW1884" i="5"/>
  <c r="AX1884" i="5" s="1"/>
  <c r="AH1885" i="5"/>
  <c r="AK1885" i="5" s="1"/>
  <c r="AN1885" i="5"/>
  <c r="AO1885" i="5"/>
  <c r="AP1885" i="5"/>
  <c r="AR1885" i="5"/>
  <c r="AT1885" i="5" s="1"/>
  <c r="AU1885" i="5"/>
  <c r="AV1885" i="5" s="1"/>
  <c r="AW1885" i="5"/>
  <c r="AX1885" i="5" s="1"/>
  <c r="AH1886" i="5"/>
  <c r="AN1886" i="5"/>
  <c r="AO1886" i="5"/>
  <c r="AP1886" i="5"/>
  <c r="AH1887" i="5"/>
  <c r="AU1887" i="5" s="1"/>
  <c r="AV1887" i="5" s="1"/>
  <c r="AN1887" i="5"/>
  <c r="AO1887" i="5"/>
  <c r="AP1887" i="5"/>
  <c r="AJ1888" i="5"/>
  <c r="AK1888" i="5"/>
  <c r="AL1888" i="5"/>
  <c r="AN1888" i="5"/>
  <c r="AO1888" i="5"/>
  <c r="AP1888" i="5"/>
  <c r="AR1888" i="5"/>
  <c r="AS1888" i="5" s="1"/>
  <c r="AU1888" i="5"/>
  <c r="AV1888" i="5" s="1"/>
  <c r="AW1888" i="5"/>
  <c r="AX1888" i="5" s="1"/>
  <c r="AH1889" i="5"/>
  <c r="AY1889" i="5" s="1"/>
  <c r="AN1889" i="5"/>
  <c r="AO1889" i="5"/>
  <c r="AP1889" i="5"/>
  <c r="AR1889" i="5"/>
  <c r="AU1889" i="5"/>
  <c r="AV1889" i="5" s="1"/>
  <c r="AW1889" i="5"/>
  <c r="AX1889" i="5" s="1"/>
  <c r="AH1890" i="5"/>
  <c r="AK1890" i="5" s="1"/>
  <c r="AN1890" i="5"/>
  <c r="AO1890" i="5"/>
  <c r="AP1890" i="5"/>
  <c r="AR1890" i="5"/>
  <c r="AS1890" i="5" s="1"/>
  <c r="AU1890" i="5"/>
  <c r="AV1890" i="5" s="1"/>
  <c r="AW1890" i="5"/>
  <c r="AX1890" i="5" s="1"/>
  <c r="AH1891" i="5"/>
  <c r="AN1891" i="5"/>
  <c r="AO1891" i="5"/>
  <c r="AP1891" i="5"/>
  <c r="AR1891" i="5"/>
  <c r="AS1891" i="5" s="1"/>
  <c r="AU1891" i="5"/>
  <c r="AV1891" i="5" s="1"/>
  <c r="AW1891" i="5"/>
  <c r="AX1891" i="5" s="1"/>
  <c r="AH1892" i="5"/>
  <c r="AN1892" i="5"/>
  <c r="AO1892" i="5"/>
  <c r="AP1892" i="5"/>
  <c r="AR1892" i="5"/>
  <c r="AT1892" i="5" s="1"/>
  <c r="AU1892" i="5"/>
  <c r="AV1892" i="5" s="1"/>
  <c r="AW1892" i="5"/>
  <c r="AX1892" i="5" s="1"/>
  <c r="AH1893" i="5"/>
  <c r="AK1893" i="5" s="1"/>
  <c r="AN1893" i="5"/>
  <c r="AO1893" i="5"/>
  <c r="AP1893" i="5"/>
  <c r="AH1894" i="5"/>
  <c r="AN1894" i="5"/>
  <c r="AO1894" i="5"/>
  <c r="AP1894" i="5"/>
  <c r="AJ1895" i="5"/>
  <c r="AK1895" i="5"/>
  <c r="AL1895" i="5"/>
  <c r="AN1895" i="5"/>
  <c r="AO1895" i="5"/>
  <c r="AP1895" i="5"/>
  <c r="AR1895" i="5"/>
  <c r="AU1895" i="5"/>
  <c r="AV1895" i="5" s="1"/>
  <c r="AW1895" i="5"/>
  <c r="AX1895" i="5" s="1"/>
  <c r="AH1896" i="5"/>
  <c r="AJ1896" i="5" s="1"/>
  <c r="AN1896" i="5"/>
  <c r="AO1896" i="5"/>
  <c r="AP1896" i="5"/>
  <c r="AR1896" i="5"/>
  <c r="AT1896" i="5" s="1"/>
  <c r="AU1896" i="5"/>
  <c r="AV1896" i="5" s="1"/>
  <c r="AW1896" i="5"/>
  <c r="AX1896" i="5" s="1"/>
  <c r="AH1897" i="5"/>
  <c r="AN1897" i="5"/>
  <c r="AO1897" i="5"/>
  <c r="AP1897" i="5"/>
  <c r="AR1897" i="5"/>
  <c r="AS1897" i="5" s="1"/>
  <c r="AU1897" i="5"/>
  <c r="AV1897" i="5" s="1"/>
  <c r="AW1897" i="5"/>
  <c r="AX1897" i="5" s="1"/>
  <c r="AH1898" i="5"/>
  <c r="AL1898" i="5" s="1"/>
  <c r="AN1898" i="5"/>
  <c r="AO1898" i="5"/>
  <c r="AP1898" i="5"/>
  <c r="AR1898" i="5"/>
  <c r="AT1898" i="5" s="1"/>
  <c r="AU1898" i="5"/>
  <c r="AV1898" i="5" s="1"/>
  <c r="AW1898" i="5"/>
  <c r="AX1898" i="5" s="1"/>
  <c r="AH1899" i="5"/>
  <c r="AY1899" i="5" s="1"/>
  <c r="AN1899" i="5"/>
  <c r="AO1899" i="5"/>
  <c r="AP1899" i="5"/>
  <c r="AH1900" i="5"/>
  <c r="AY1900" i="5" s="1"/>
  <c r="AN1900" i="5"/>
  <c r="AO1900" i="5"/>
  <c r="AP1900" i="5"/>
  <c r="AJ1901" i="5"/>
  <c r="AK1901" i="5"/>
  <c r="AL1901" i="5"/>
  <c r="AN1901" i="5"/>
  <c r="AO1901" i="5"/>
  <c r="AP1901" i="5"/>
  <c r="AR1901" i="5"/>
  <c r="AS1901" i="5" s="1"/>
  <c r="AU1901" i="5"/>
  <c r="AV1901" i="5" s="1"/>
  <c r="AW1901" i="5"/>
  <c r="AX1901" i="5" s="1"/>
  <c r="AH1902" i="5"/>
  <c r="AJ1902" i="5" s="1"/>
  <c r="AN1902" i="5"/>
  <c r="AO1902" i="5"/>
  <c r="AP1902" i="5"/>
  <c r="AR1902" i="5"/>
  <c r="AT1902" i="5" s="1"/>
  <c r="AU1902" i="5"/>
  <c r="AV1902" i="5" s="1"/>
  <c r="AW1902" i="5"/>
  <c r="AX1902" i="5" s="1"/>
  <c r="AH1903" i="5"/>
  <c r="AK1903" i="5" s="1"/>
  <c r="AN1903" i="5"/>
  <c r="AO1903" i="5"/>
  <c r="AP1903" i="5"/>
  <c r="AR1903" i="5"/>
  <c r="AU1903" i="5"/>
  <c r="AV1903" i="5" s="1"/>
  <c r="AW1903" i="5"/>
  <c r="AX1903" i="5" s="1"/>
  <c r="AH1904" i="5"/>
  <c r="AN1904" i="5"/>
  <c r="AO1904" i="5"/>
  <c r="AP1904" i="5"/>
  <c r="AR1904" i="5"/>
  <c r="AS1904" i="5" s="1"/>
  <c r="AU1904" i="5"/>
  <c r="AV1904" i="5" s="1"/>
  <c r="AW1904" i="5"/>
  <c r="AX1904" i="5" s="1"/>
  <c r="AH1905" i="5"/>
  <c r="AN1905" i="5"/>
  <c r="AO1905" i="5"/>
  <c r="AP1905" i="5"/>
  <c r="AH1906" i="5"/>
  <c r="AN1906" i="5"/>
  <c r="AO1906" i="5"/>
  <c r="AP1906" i="5"/>
  <c r="AN1907" i="5"/>
  <c r="AO1907" i="5"/>
  <c r="AP1907" i="5"/>
  <c r="AH1908" i="5"/>
  <c r="AY1908" i="5" s="1"/>
  <c r="AN1908" i="5"/>
  <c r="AO1908" i="5"/>
  <c r="AP1908" i="5"/>
  <c r="AR1908" i="5"/>
  <c r="AU1908" i="5"/>
  <c r="AV1908" i="5" s="1"/>
  <c r="AW1908" i="5"/>
  <c r="AX1908" i="5" s="1"/>
  <c r="AH1909" i="5"/>
  <c r="AK1909" i="5" s="1"/>
  <c r="AH1910" i="5"/>
  <c r="AK1910" i="5" s="1"/>
  <c r="AN1909" i="5"/>
  <c r="AO1909" i="5"/>
  <c r="AP1909" i="5"/>
  <c r="AR1909" i="5"/>
  <c r="AT1909" i="5" s="1"/>
  <c r="AU1909" i="5"/>
  <c r="AV1909" i="5" s="1"/>
  <c r="AW1909" i="5"/>
  <c r="AX1909" i="5" s="1"/>
  <c r="AN1910" i="5"/>
  <c r="AO1910" i="5"/>
  <c r="AP1910" i="5"/>
  <c r="AR1910" i="5"/>
  <c r="AU1910" i="5"/>
  <c r="AV1910" i="5" s="1"/>
  <c r="AW1910" i="5"/>
  <c r="AX1910" i="5" s="1"/>
  <c r="AH1911" i="5"/>
  <c r="AN1911" i="5"/>
  <c r="AO1911" i="5"/>
  <c r="AP1911" i="5"/>
  <c r="AH1912" i="5"/>
  <c r="AN1912" i="5"/>
  <c r="AO1912" i="5"/>
  <c r="AP1912" i="5"/>
  <c r="AJ1913" i="5"/>
  <c r="AK1913" i="5"/>
  <c r="AL1913" i="5"/>
  <c r="AN1913" i="5"/>
  <c r="AO1913" i="5"/>
  <c r="AP1913" i="5"/>
  <c r="AR1913" i="5"/>
  <c r="AT1913" i="5" s="1"/>
  <c r="AU1913" i="5"/>
  <c r="AV1913" i="5" s="1"/>
  <c r="AW1913" i="5"/>
  <c r="AX1913" i="5" s="1"/>
  <c r="AH1914" i="5"/>
  <c r="AL1914" i="5" s="1"/>
  <c r="AN1914" i="5"/>
  <c r="AO1914" i="5"/>
  <c r="AP1914" i="5"/>
  <c r="AR1914" i="5"/>
  <c r="AU1914" i="5"/>
  <c r="AV1914" i="5" s="1"/>
  <c r="AW1914" i="5"/>
  <c r="AX1914" i="5" s="1"/>
  <c r="AH1915" i="5"/>
  <c r="AZ1915" i="5" s="1"/>
  <c r="AN1915" i="5"/>
  <c r="AO1915" i="5"/>
  <c r="AP1915" i="5"/>
  <c r="AR1915" i="5"/>
  <c r="AU1915" i="5"/>
  <c r="AV1915" i="5" s="1"/>
  <c r="AW1915" i="5"/>
  <c r="AX1915" i="5" s="1"/>
  <c r="AH1916" i="5"/>
  <c r="AY1916" i="5" s="1"/>
  <c r="AN1916" i="5"/>
  <c r="AO1916" i="5"/>
  <c r="AP1916" i="5"/>
  <c r="AR1916" i="5"/>
  <c r="AT1916" i="5" s="1"/>
  <c r="AU1916" i="5"/>
  <c r="AV1916" i="5" s="1"/>
  <c r="AW1916" i="5"/>
  <c r="AX1916" i="5" s="1"/>
  <c r="AH1917" i="5"/>
  <c r="AR1917" i="5" s="1"/>
  <c r="AT1917" i="5" s="1"/>
  <c r="AN1917" i="5"/>
  <c r="AO1917" i="5"/>
  <c r="AP1917" i="5"/>
  <c r="AH1918" i="5"/>
  <c r="AN1918" i="5"/>
  <c r="AO1918" i="5"/>
  <c r="AP1918" i="5"/>
  <c r="AJ1919" i="5"/>
  <c r="AK1919" i="5"/>
  <c r="AL1919" i="5"/>
  <c r="AN1919" i="5"/>
  <c r="AO1919" i="5"/>
  <c r="AP1919" i="5"/>
  <c r="AR1919" i="5"/>
  <c r="AT1919" i="5" s="1"/>
  <c r="AU1919" i="5"/>
  <c r="AV1919" i="5" s="1"/>
  <c r="AW1919" i="5"/>
  <c r="AX1919" i="5" s="1"/>
  <c r="AH1920" i="5"/>
  <c r="AL1920" i="5" s="1"/>
  <c r="AN1920" i="5"/>
  <c r="AO1920" i="5"/>
  <c r="AP1920" i="5"/>
  <c r="AR1920" i="5"/>
  <c r="AS1920" i="5" s="1"/>
  <c r="AU1920" i="5"/>
  <c r="AV1920" i="5" s="1"/>
  <c r="AW1920" i="5"/>
  <c r="AX1920" i="5" s="1"/>
  <c r="AH1921" i="5"/>
  <c r="AL1921" i="5" s="1"/>
  <c r="AN1921" i="5"/>
  <c r="AO1921" i="5"/>
  <c r="AP1921" i="5"/>
  <c r="AR1921" i="5"/>
  <c r="AS1921" i="5" s="1"/>
  <c r="AU1921" i="5"/>
  <c r="AV1921" i="5" s="1"/>
  <c r="AW1921" i="5"/>
  <c r="AX1921" i="5" s="1"/>
  <c r="AH1922" i="5"/>
  <c r="AL1922" i="5" s="1"/>
  <c r="AN1922" i="5"/>
  <c r="AO1922" i="5"/>
  <c r="AP1922" i="5"/>
  <c r="AR1922" i="5"/>
  <c r="AT1922" i="5" s="1"/>
  <c r="AU1922" i="5"/>
  <c r="AV1922" i="5" s="1"/>
  <c r="AW1922" i="5"/>
  <c r="AX1922" i="5" s="1"/>
  <c r="AH1923" i="5"/>
  <c r="AN1923" i="5"/>
  <c r="AO1923" i="5"/>
  <c r="AP1923" i="5"/>
  <c r="AH1924" i="5"/>
  <c r="AN1924" i="5"/>
  <c r="AO1924" i="5"/>
  <c r="AP1924" i="5"/>
  <c r="AJ1925" i="5"/>
  <c r="AK1925" i="5"/>
  <c r="AL1925" i="5"/>
  <c r="AN1925" i="5"/>
  <c r="AO1925" i="5"/>
  <c r="AP1925" i="5"/>
  <c r="AR1925" i="5"/>
  <c r="AT1925" i="5" s="1"/>
  <c r="AU1925" i="5"/>
  <c r="AV1925" i="5" s="1"/>
  <c r="AW1925" i="5"/>
  <c r="AX1925" i="5" s="1"/>
  <c r="AH1926" i="5"/>
  <c r="AY1926" i="5" s="1"/>
  <c r="AN1926" i="5"/>
  <c r="AO1926" i="5"/>
  <c r="AP1926" i="5"/>
  <c r="AR1926" i="5"/>
  <c r="AT1926" i="5" s="1"/>
  <c r="AU1926" i="5"/>
  <c r="AV1926" i="5" s="1"/>
  <c r="AW1926" i="5"/>
  <c r="AX1926" i="5" s="1"/>
  <c r="AH1927" i="5"/>
  <c r="AY1927" i="5" s="1"/>
  <c r="AN1927" i="5"/>
  <c r="AO1927" i="5"/>
  <c r="AP1927" i="5"/>
  <c r="AR1927" i="5"/>
  <c r="AT1927" i="5" s="1"/>
  <c r="AU1927" i="5"/>
  <c r="AV1927" i="5" s="1"/>
  <c r="AW1927" i="5"/>
  <c r="AX1927" i="5" s="1"/>
  <c r="AH1928" i="5"/>
  <c r="AK1928" i="5" s="1"/>
  <c r="AN1928" i="5"/>
  <c r="AO1928" i="5"/>
  <c r="AP1928" i="5"/>
  <c r="AR1928" i="5"/>
  <c r="AU1928" i="5"/>
  <c r="AV1928" i="5" s="1"/>
  <c r="AW1928" i="5"/>
  <c r="AX1928" i="5" s="1"/>
  <c r="AH1929" i="5"/>
  <c r="AN1929" i="5"/>
  <c r="AO1929" i="5"/>
  <c r="AP1929" i="5"/>
  <c r="AH1930" i="5"/>
  <c r="AR1930" i="5" s="1"/>
  <c r="AT1930" i="5" s="1"/>
  <c r="AN1930" i="5"/>
  <c r="AO1930" i="5"/>
  <c r="AP1930" i="5"/>
  <c r="AJ1931" i="5"/>
  <c r="AK1931" i="5"/>
  <c r="AL1931" i="5"/>
  <c r="AN1931" i="5"/>
  <c r="AO1931" i="5"/>
  <c r="AP1931" i="5"/>
  <c r="AR1931" i="5"/>
  <c r="AS1931" i="5" s="1"/>
  <c r="AU1931" i="5"/>
  <c r="AV1931" i="5" s="1"/>
  <c r="AW1931" i="5"/>
  <c r="AX1931" i="5" s="1"/>
  <c r="AH1932" i="5"/>
  <c r="AI1932" i="5" s="1"/>
  <c r="AN1932" i="5"/>
  <c r="AO1932" i="5"/>
  <c r="AP1932" i="5"/>
  <c r="AR1932" i="5"/>
  <c r="AU1932" i="5"/>
  <c r="AV1932" i="5" s="1"/>
  <c r="AW1932" i="5"/>
  <c r="AX1932" i="5" s="1"/>
  <c r="AH1933" i="5"/>
  <c r="AN1933" i="5"/>
  <c r="AO1933" i="5"/>
  <c r="AP1933" i="5"/>
  <c r="AR1933" i="5"/>
  <c r="AS1933" i="5" s="1"/>
  <c r="AU1933" i="5"/>
  <c r="AV1933" i="5" s="1"/>
  <c r="AW1933" i="5"/>
  <c r="AX1933" i="5" s="1"/>
  <c r="AH1934" i="5"/>
  <c r="AK1934" i="5" s="1"/>
  <c r="AN1934" i="5"/>
  <c r="AO1934" i="5"/>
  <c r="AP1934" i="5"/>
  <c r="AR1934" i="5"/>
  <c r="AT1934" i="5" s="1"/>
  <c r="AU1934" i="5"/>
  <c r="AV1934" i="5" s="1"/>
  <c r="AW1934" i="5"/>
  <c r="AX1934" i="5" s="1"/>
  <c r="AH1935" i="5"/>
  <c r="AZ1935" i="5" s="1"/>
  <c r="AN1935" i="5"/>
  <c r="AO1935" i="5"/>
  <c r="AP1935" i="5"/>
  <c r="AH1936" i="5"/>
  <c r="AN1936" i="5"/>
  <c r="AO1936" i="5"/>
  <c r="AP1936" i="5"/>
  <c r="AJ1937" i="5"/>
  <c r="AK1937" i="5"/>
  <c r="AL1937" i="5"/>
  <c r="AN1937" i="5"/>
  <c r="AO1937" i="5"/>
  <c r="AP1937" i="5"/>
  <c r="AR1937" i="5"/>
  <c r="AT1937" i="5" s="1"/>
  <c r="AU1937" i="5"/>
  <c r="AV1937" i="5" s="1"/>
  <c r="AW1937" i="5"/>
  <c r="AX1937" i="5" s="1"/>
  <c r="AN1938" i="5"/>
  <c r="AO1938" i="5"/>
  <c r="AP1938" i="5"/>
  <c r="AR1938" i="5"/>
  <c r="AT1938" i="5" s="1"/>
  <c r="AU1938" i="5"/>
  <c r="AV1938" i="5" s="1"/>
  <c r="AW1938" i="5"/>
  <c r="AX1938" i="5" s="1"/>
  <c r="AH1939" i="5"/>
  <c r="AN1939" i="5"/>
  <c r="AO1939" i="5"/>
  <c r="AP1939" i="5"/>
  <c r="AR1939" i="5"/>
  <c r="AT1939" i="5" s="1"/>
  <c r="AU1939" i="5"/>
  <c r="AV1939" i="5" s="1"/>
  <c r="AW1939" i="5"/>
  <c r="AX1939" i="5" s="1"/>
  <c r="AH1940" i="5"/>
  <c r="AL1940" i="5" s="1"/>
  <c r="AN1940" i="5"/>
  <c r="AO1940" i="5"/>
  <c r="AP1940" i="5"/>
  <c r="AH1941" i="5"/>
  <c r="AN1941" i="5"/>
  <c r="AO1941" i="5"/>
  <c r="AP1941" i="5"/>
  <c r="AJ1942" i="5"/>
  <c r="AK1942" i="5"/>
  <c r="AL1942" i="5"/>
  <c r="AN1942" i="5"/>
  <c r="AO1942" i="5"/>
  <c r="AP1942" i="5"/>
  <c r="AR1942" i="5"/>
  <c r="AU1942" i="5"/>
  <c r="AV1942" i="5" s="1"/>
  <c r="AW1942" i="5"/>
  <c r="AX1942" i="5" s="1"/>
  <c r="AH1986" i="5"/>
  <c r="AN1986" i="5"/>
  <c r="AO1986" i="5"/>
  <c r="AP1986" i="5"/>
  <c r="AR1986" i="5"/>
  <c r="AS1986" i="5" s="1"/>
  <c r="AU1986" i="5"/>
  <c r="AV1986" i="5" s="1"/>
  <c r="AW1986" i="5"/>
  <c r="AX1986" i="5" s="1"/>
  <c r="AH1987" i="5"/>
  <c r="AK1987" i="5" s="1"/>
  <c r="AN1987" i="5"/>
  <c r="AO1987" i="5"/>
  <c r="AP1987" i="5"/>
  <c r="AR1987" i="5"/>
  <c r="AS1987" i="5" s="1"/>
  <c r="AU1987" i="5"/>
  <c r="AV1987" i="5" s="1"/>
  <c r="AW1987" i="5"/>
  <c r="AX1987" i="5" s="1"/>
  <c r="AH1988" i="5"/>
  <c r="AN1988" i="5"/>
  <c r="AO1988" i="5"/>
  <c r="AR1988" i="5"/>
  <c r="AT1988" i="5" s="1"/>
  <c r="AU1988" i="5"/>
  <c r="AV1988" i="5" s="1"/>
  <c r="AW1988" i="5"/>
  <c r="AX1988" i="5" s="1"/>
  <c r="AH1989" i="5"/>
  <c r="AJ1989" i="5" s="1"/>
  <c r="M1989" i="5"/>
  <c r="F1989" i="5" s="1"/>
  <c r="AN1989" i="5"/>
  <c r="AO1989" i="5"/>
  <c r="AP1989" i="5"/>
  <c r="AR1989" i="5"/>
  <c r="AU1989" i="5"/>
  <c r="AV1989" i="5" s="1"/>
  <c r="AW1989" i="5"/>
  <c r="AX1989" i="5" s="1"/>
  <c r="AH1990" i="5"/>
  <c r="AK1990" i="5" s="1"/>
  <c r="AN1990" i="5"/>
  <c r="AO1990" i="5"/>
  <c r="AP1990" i="5"/>
  <c r="AR1990" i="5"/>
  <c r="AU1990" i="5"/>
  <c r="AV1990" i="5" s="1"/>
  <c r="AW1990" i="5"/>
  <c r="AX1990" i="5" s="1"/>
  <c r="AH1991" i="5"/>
  <c r="AN1991" i="5"/>
  <c r="AO1991" i="5"/>
  <c r="AP1991" i="5"/>
  <c r="AR1991" i="5"/>
  <c r="AU1991" i="5"/>
  <c r="AV1991" i="5" s="1"/>
  <c r="AW1991" i="5"/>
  <c r="AX1991" i="5" s="1"/>
  <c r="AH1992" i="5"/>
  <c r="AZ1992" i="5" s="1"/>
  <c r="AN1992" i="5"/>
  <c r="AO1992" i="5"/>
  <c r="AP1992" i="5"/>
  <c r="AR1992" i="5"/>
  <c r="AU1992" i="5"/>
  <c r="AV1992" i="5" s="1"/>
  <c r="AW1992" i="5"/>
  <c r="AX1992" i="5" s="1"/>
  <c r="AH1993" i="5"/>
  <c r="AN1993" i="5"/>
  <c r="AO1993" i="5"/>
  <c r="AP1993" i="5"/>
  <c r="AH1994" i="5"/>
  <c r="AN1994" i="5"/>
  <c r="AO1994" i="5"/>
  <c r="AP1994" i="5"/>
  <c r="AJ1995" i="5"/>
  <c r="AK1995" i="5"/>
  <c r="AL1995" i="5"/>
  <c r="AN1995" i="5"/>
  <c r="AO1995" i="5"/>
  <c r="AP1995" i="5"/>
  <c r="AR1995" i="5"/>
  <c r="AT1995" i="5" s="1"/>
  <c r="AU1995" i="5"/>
  <c r="AV1995" i="5" s="1"/>
  <c r="AW1995" i="5"/>
  <c r="AX1995" i="5" s="1"/>
  <c r="AH1996" i="5"/>
  <c r="AJ1996" i="5" s="1"/>
  <c r="AN1996" i="5"/>
  <c r="AO1996" i="5"/>
  <c r="AP1996" i="5"/>
  <c r="AR1996" i="5"/>
  <c r="AU1996" i="5"/>
  <c r="AV1996" i="5" s="1"/>
  <c r="AW1996" i="5"/>
  <c r="AX1996" i="5" s="1"/>
  <c r="AH1997" i="5"/>
  <c r="AL1997" i="5" s="1"/>
  <c r="AN1997" i="5"/>
  <c r="AO1997" i="5"/>
  <c r="AP1997" i="5"/>
  <c r="AR1997" i="5"/>
  <c r="AU1997" i="5"/>
  <c r="AV1997" i="5" s="1"/>
  <c r="AW1997" i="5"/>
  <c r="AX1997" i="5" s="1"/>
  <c r="AH1998" i="5"/>
  <c r="AZ1998" i="5" s="1"/>
  <c r="AN1998" i="5"/>
  <c r="AO1998" i="5"/>
  <c r="AP1998" i="5"/>
  <c r="AR1998" i="5"/>
  <c r="AS1998" i="5" s="1"/>
  <c r="AU1998" i="5"/>
  <c r="AV1998" i="5" s="1"/>
  <c r="AW1998" i="5"/>
  <c r="AX1998" i="5" s="1"/>
  <c r="AH1999" i="5"/>
  <c r="AL1999" i="5" s="1"/>
  <c r="AN1999" i="5"/>
  <c r="AO1999" i="5"/>
  <c r="AP1999" i="5"/>
  <c r="AR1999" i="5"/>
  <c r="AU1999" i="5"/>
  <c r="AV1999" i="5" s="1"/>
  <c r="AW1999" i="5"/>
  <c r="AX1999" i="5" s="1"/>
  <c r="AH2000" i="5"/>
  <c r="AN2000" i="5"/>
  <c r="AO2000" i="5"/>
  <c r="AP2000" i="5"/>
  <c r="AH2001" i="5"/>
  <c r="AZ2001" i="5" s="1"/>
  <c r="AN2001" i="5"/>
  <c r="AO2001" i="5"/>
  <c r="AP2001" i="5"/>
  <c r="AJ2002" i="5"/>
  <c r="AK2002" i="5"/>
  <c r="AL2002" i="5"/>
  <c r="AN2002" i="5"/>
  <c r="AO2002" i="5"/>
  <c r="AP2002" i="5"/>
  <c r="AR2002" i="5"/>
  <c r="AS2002" i="5" s="1"/>
  <c r="AU2002" i="5"/>
  <c r="AV2002" i="5" s="1"/>
  <c r="AW2002" i="5"/>
  <c r="AX2002" i="5" s="1"/>
  <c r="AH2003" i="5"/>
  <c r="AI2003" i="5" s="1"/>
  <c r="AN2003" i="5"/>
  <c r="AO2003" i="5"/>
  <c r="AP2003" i="5"/>
  <c r="AR2003" i="5"/>
  <c r="AU2003" i="5"/>
  <c r="AV2003" i="5" s="1"/>
  <c r="AW2003" i="5"/>
  <c r="AX2003" i="5" s="1"/>
  <c r="AH2004" i="5"/>
  <c r="AN2004" i="5"/>
  <c r="AO2004" i="5"/>
  <c r="AP2004" i="5"/>
  <c r="AR2004" i="5"/>
  <c r="AT2004" i="5" s="1"/>
  <c r="AU2004" i="5"/>
  <c r="AV2004" i="5" s="1"/>
  <c r="AW2004" i="5"/>
  <c r="AX2004" i="5" s="1"/>
  <c r="AH2005" i="5"/>
  <c r="AN2005" i="5"/>
  <c r="AO2005" i="5"/>
  <c r="AP2005" i="5"/>
  <c r="AR2005" i="5"/>
  <c r="AT2005" i="5" s="1"/>
  <c r="AU2005" i="5"/>
  <c r="AV2005" i="5" s="1"/>
  <c r="AW2005" i="5"/>
  <c r="AX2005" i="5" s="1"/>
  <c r="AH2006" i="5"/>
  <c r="AZ2006" i="5" s="1"/>
  <c r="AN2006" i="5"/>
  <c r="AO2006" i="5"/>
  <c r="AP2006" i="5"/>
  <c r="AR2006" i="5"/>
  <c r="AT2006" i="5" s="1"/>
  <c r="AU2006" i="5"/>
  <c r="AV2006" i="5" s="1"/>
  <c r="AW2006" i="5"/>
  <c r="AX2006" i="5" s="1"/>
  <c r="AH2007" i="5"/>
  <c r="AN2007" i="5"/>
  <c r="AO2007" i="5"/>
  <c r="AP2007" i="5"/>
  <c r="AH2008" i="5"/>
  <c r="AY2008" i="5" s="1"/>
  <c r="AN2008" i="5"/>
  <c r="AO2008" i="5"/>
  <c r="AP2008" i="5"/>
  <c r="AJ2009" i="5"/>
  <c r="AK2009" i="5"/>
  <c r="AL2009" i="5"/>
  <c r="AN2009" i="5"/>
  <c r="AO2009" i="5"/>
  <c r="AP2009" i="5"/>
  <c r="AR2009" i="5"/>
  <c r="AT2009" i="5" s="1"/>
  <c r="AU2009" i="5"/>
  <c r="AV2009" i="5" s="1"/>
  <c r="AW2009" i="5"/>
  <c r="AX2009" i="5" s="1"/>
  <c r="AH2010" i="5"/>
  <c r="AY2010" i="5" s="1"/>
  <c r="AN2010" i="5"/>
  <c r="AO2010" i="5"/>
  <c r="AP2010" i="5"/>
  <c r="AR2010" i="5"/>
  <c r="AU2010" i="5"/>
  <c r="AV2010" i="5" s="1"/>
  <c r="AW2010" i="5"/>
  <c r="AX2010" i="5" s="1"/>
  <c r="AH2011" i="5"/>
  <c r="AJ2011" i="5" s="1"/>
  <c r="AN2011" i="5"/>
  <c r="AO2011" i="5"/>
  <c r="AP2011" i="5"/>
  <c r="AR2011" i="5"/>
  <c r="AT2011" i="5" s="1"/>
  <c r="AU2011" i="5"/>
  <c r="AV2011" i="5" s="1"/>
  <c r="AW2011" i="5"/>
  <c r="AX2011" i="5" s="1"/>
  <c r="AH2012" i="5"/>
  <c r="AL2012" i="5" s="1"/>
  <c r="AN2012" i="5"/>
  <c r="AO2012" i="5"/>
  <c r="AP2012" i="5"/>
  <c r="AR2012" i="5"/>
  <c r="AU2012" i="5"/>
  <c r="AV2012" i="5" s="1"/>
  <c r="AW2012" i="5"/>
  <c r="AX2012" i="5" s="1"/>
  <c r="AH2013" i="5"/>
  <c r="AJ2013" i="5" s="1"/>
  <c r="AN2013" i="5"/>
  <c r="AO2013" i="5"/>
  <c r="AP2013" i="5"/>
  <c r="AR2013" i="5"/>
  <c r="AU2013" i="5"/>
  <c r="AV2013" i="5" s="1"/>
  <c r="AW2013" i="5"/>
  <c r="AX2013" i="5" s="1"/>
  <c r="AH2014" i="5"/>
  <c r="AU2014" i="5" s="1"/>
  <c r="AV2014" i="5" s="1"/>
  <c r="AN2014" i="5"/>
  <c r="AO2014" i="5"/>
  <c r="AP2014" i="5"/>
  <c r="AH2015" i="5"/>
  <c r="AK2015" i="5" s="1"/>
  <c r="AN2015" i="5"/>
  <c r="AO2015" i="5"/>
  <c r="AP2015" i="5"/>
  <c r="AJ2016" i="5"/>
  <c r="AK2016" i="5"/>
  <c r="AL2016" i="5"/>
  <c r="AN2016" i="5"/>
  <c r="AO2016" i="5"/>
  <c r="AP2016" i="5"/>
  <c r="AR2016" i="5"/>
  <c r="AT2016" i="5" s="1"/>
  <c r="AU2016" i="5"/>
  <c r="AV2016" i="5" s="1"/>
  <c r="AW2016" i="5"/>
  <c r="AX2016" i="5" s="1"/>
  <c r="AH2017" i="5"/>
  <c r="AJ2017" i="5" s="1"/>
  <c r="AN2017" i="5"/>
  <c r="AO2017" i="5"/>
  <c r="AP2017" i="5"/>
  <c r="AR2017" i="5"/>
  <c r="AT2017" i="5" s="1"/>
  <c r="AU2017" i="5"/>
  <c r="AV2017" i="5" s="1"/>
  <c r="AW2017" i="5"/>
  <c r="AX2017" i="5" s="1"/>
  <c r="AH2018" i="5"/>
  <c r="AY2018" i="5" s="1"/>
  <c r="AN2018" i="5"/>
  <c r="AO2018" i="5"/>
  <c r="AP2018" i="5"/>
  <c r="AR2018" i="5"/>
  <c r="AT2018" i="5" s="1"/>
  <c r="AU2018" i="5"/>
  <c r="AV2018" i="5" s="1"/>
  <c r="AW2018" i="5"/>
  <c r="AX2018" i="5" s="1"/>
  <c r="AH2019" i="5"/>
  <c r="AN2019" i="5"/>
  <c r="AO2019" i="5"/>
  <c r="AP2019" i="5"/>
  <c r="AR2019" i="5"/>
  <c r="AS2019" i="5" s="1"/>
  <c r="AU2019" i="5"/>
  <c r="AV2019" i="5" s="1"/>
  <c r="AW2019" i="5"/>
  <c r="AX2019" i="5" s="1"/>
  <c r="AH2020" i="5"/>
  <c r="AN2020" i="5"/>
  <c r="AO2020" i="5"/>
  <c r="AP2020" i="5"/>
  <c r="AR2020" i="5"/>
  <c r="AS2020" i="5" s="1"/>
  <c r="AU2020" i="5"/>
  <c r="AV2020" i="5" s="1"/>
  <c r="AW2020" i="5"/>
  <c r="AX2020" i="5" s="1"/>
  <c r="AH2021" i="5"/>
  <c r="AU2021" i="5" s="1"/>
  <c r="AV2021" i="5" s="1"/>
  <c r="AN2021" i="5"/>
  <c r="AO2021" i="5"/>
  <c r="AP2021" i="5"/>
  <c r="AH2022" i="5"/>
  <c r="AN2022" i="5"/>
  <c r="AO2022" i="5"/>
  <c r="AP2022" i="5"/>
  <c r="AJ2023" i="5"/>
  <c r="AK2023" i="5"/>
  <c r="AL2023" i="5"/>
  <c r="AN2023" i="5"/>
  <c r="AO2023" i="5"/>
  <c r="AP2023" i="5"/>
  <c r="AR2023" i="5"/>
  <c r="AU2023" i="5"/>
  <c r="AV2023" i="5" s="1"/>
  <c r="AW2023" i="5"/>
  <c r="AX2023" i="5" s="1"/>
  <c r="AH2024" i="5"/>
  <c r="AN2024" i="5"/>
  <c r="AO2024" i="5"/>
  <c r="AP2024" i="5"/>
  <c r="AR2024" i="5"/>
  <c r="AS2024" i="5" s="1"/>
  <c r="AU2024" i="5"/>
  <c r="AV2024" i="5" s="1"/>
  <c r="AW2024" i="5"/>
  <c r="AX2024" i="5" s="1"/>
  <c r="AH2025" i="5"/>
  <c r="AL2025" i="5" s="1"/>
  <c r="AN2025" i="5"/>
  <c r="AO2025" i="5"/>
  <c r="AP2025" i="5"/>
  <c r="AR2025" i="5"/>
  <c r="AU2025" i="5"/>
  <c r="AV2025" i="5" s="1"/>
  <c r="AW2025" i="5"/>
  <c r="AX2025" i="5" s="1"/>
  <c r="AH2026" i="5"/>
  <c r="AZ2026" i="5" s="1"/>
  <c r="AN2026" i="5"/>
  <c r="AO2026" i="5"/>
  <c r="AP2026" i="5"/>
  <c r="AR2026" i="5"/>
  <c r="AU2026" i="5"/>
  <c r="AV2026" i="5" s="1"/>
  <c r="AW2026" i="5"/>
  <c r="AX2026" i="5" s="1"/>
  <c r="AH2027" i="5"/>
  <c r="AN2027" i="5"/>
  <c r="AO2027" i="5"/>
  <c r="AP2027" i="5"/>
  <c r="AR2027" i="5"/>
  <c r="AS2027" i="5" s="1"/>
  <c r="AU2027" i="5"/>
  <c r="AV2027" i="5" s="1"/>
  <c r="AW2027" i="5"/>
  <c r="AX2027" i="5" s="1"/>
  <c r="AH2028" i="5"/>
  <c r="AU2028" i="5" s="1"/>
  <c r="AV2028" i="5" s="1"/>
  <c r="AN2028" i="5"/>
  <c r="AO2028" i="5"/>
  <c r="AP2028" i="5"/>
  <c r="AH2029" i="5"/>
  <c r="AY2029" i="5" s="1"/>
  <c r="AN2029" i="5"/>
  <c r="AO2029" i="5"/>
  <c r="AP2029" i="5"/>
  <c r="AJ2030" i="5"/>
  <c r="AK2030" i="5"/>
  <c r="AL2030" i="5"/>
  <c r="AN2030" i="5"/>
  <c r="AO2030" i="5"/>
  <c r="AP2030" i="5"/>
  <c r="AR2030" i="5"/>
  <c r="AU2030" i="5"/>
  <c r="AV2030" i="5" s="1"/>
  <c r="AW2030" i="5"/>
  <c r="AX2030" i="5" s="1"/>
  <c r="AH2031" i="5"/>
  <c r="AN2031" i="5"/>
  <c r="AO2031" i="5"/>
  <c r="AP2031" i="5"/>
  <c r="AR2031" i="5"/>
  <c r="AU2031" i="5"/>
  <c r="AV2031" i="5" s="1"/>
  <c r="AW2031" i="5"/>
  <c r="AX2031" i="5" s="1"/>
  <c r="AH2032" i="5"/>
  <c r="AL2032" i="5" s="1"/>
  <c r="AN2032" i="5"/>
  <c r="AO2032" i="5"/>
  <c r="AP2032" i="5"/>
  <c r="AR2032" i="5"/>
  <c r="AS2032" i="5" s="1"/>
  <c r="AU2032" i="5"/>
  <c r="AV2032" i="5" s="1"/>
  <c r="AW2032" i="5"/>
  <c r="AX2032" i="5" s="1"/>
  <c r="AH2033" i="5"/>
  <c r="AN2033" i="5"/>
  <c r="AO2033" i="5"/>
  <c r="AP2033" i="5"/>
  <c r="AR2033" i="5"/>
  <c r="AU2033" i="5"/>
  <c r="AV2033" i="5" s="1"/>
  <c r="AW2033" i="5"/>
  <c r="AX2033" i="5" s="1"/>
  <c r="AH2034" i="5"/>
  <c r="AL2034" i="5" s="1"/>
  <c r="AN2034" i="5"/>
  <c r="AO2034" i="5"/>
  <c r="AP2034" i="5"/>
  <c r="AR2034" i="5"/>
  <c r="AS2034" i="5" s="1"/>
  <c r="AU2034" i="5"/>
  <c r="AV2034" i="5" s="1"/>
  <c r="AW2034" i="5"/>
  <c r="AX2034" i="5" s="1"/>
  <c r="AH2035" i="5"/>
  <c r="AW2035" i="5" s="1"/>
  <c r="AX2035" i="5" s="1"/>
  <c r="AN2035" i="5"/>
  <c r="AO2035" i="5"/>
  <c r="AP2035" i="5"/>
  <c r="AH2036" i="5"/>
  <c r="AN2036" i="5"/>
  <c r="AO2036" i="5"/>
  <c r="AP2036" i="5"/>
  <c r="AJ2037" i="5"/>
  <c r="AK2037" i="5"/>
  <c r="AL2037" i="5"/>
  <c r="AN2037" i="5"/>
  <c r="AO2037" i="5"/>
  <c r="AP2037" i="5"/>
  <c r="AR2037" i="5"/>
  <c r="AU2037" i="5"/>
  <c r="AV2037" i="5" s="1"/>
  <c r="AW2037" i="5"/>
  <c r="AX2037" i="5" s="1"/>
  <c r="AH2038" i="5"/>
  <c r="AK2038" i="5" s="1"/>
  <c r="AN2038" i="5"/>
  <c r="AO2038" i="5"/>
  <c r="AP2038" i="5"/>
  <c r="AR2038" i="5"/>
  <c r="AS2038" i="5" s="1"/>
  <c r="AU2038" i="5"/>
  <c r="AV2038" i="5" s="1"/>
  <c r="AW2038" i="5"/>
  <c r="AX2038" i="5" s="1"/>
  <c r="AH2039" i="5"/>
  <c r="AY2039" i="5" s="1"/>
  <c r="AN2039" i="5"/>
  <c r="AO2039" i="5"/>
  <c r="AP2039" i="5"/>
  <c r="AR2039" i="5"/>
  <c r="AT2039" i="5" s="1"/>
  <c r="AU2039" i="5"/>
  <c r="AV2039" i="5" s="1"/>
  <c r="AW2039" i="5"/>
  <c r="AX2039" i="5" s="1"/>
  <c r="AH2040" i="5"/>
  <c r="AN2040" i="5"/>
  <c r="AO2040" i="5"/>
  <c r="AP2040" i="5"/>
  <c r="AR2040" i="5"/>
  <c r="AT2040" i="5" s="1"/>
  <c r="AU2040" i="5"/>
  <c r="AV2040" i="5" s="1"/>
  <c r="AW2040" i="5"/>
  <c r="AX2040" i="5" s="1"/>
  <c r="AH2041" i="5"/>
  <c r="AN2041" i="5"/>
  <c r="AO2041" i="5"/>
  <c r="AP2041" i="5"/>
  <c r="AR2041" i="5"/>
  <c r="AU2041" i="5"/>
  <c r="AV2041" i="5" s="1"/>
  <c r="AW2041" i="5"/>
  <c r="AX2041" i="5" s="1"/>
  <c r="AH2042" i="5"/>
  <c r="AZ2042" i="5" s="1"/>
  <c r="AN2042" i="5"/>
  <c r="AO2042" i="5"/>
  <c r="AP2042" i="5"/>
  <c r="AH2043" i="5"/>
  <c r="AN2043" i="5"/>
  <c r="AO2043" i="5"/>
  <c r="AP2043" i="5"/>
  <c r="AJ2044" i="5"/>
  <c r="AK2044" i="5"/>
  <c r="AL2044" i="5"/>
  <c r="AN2044" i="5"/>
  <c r="AO2044" i="5"/>
  <c r="AP2044" i="5"/>
  <c r="AR2044" i="5"/>
  <c r="AT2044" i="5" s="1"/>
  <c r="AU2044" i="5"/>
  <c r="AV2044" i="5" s="1"/>
  <c r="AW2044" i="5"/>
  <c r="AX2044" i="5" s="1"/>
  <c r="AH2045" i="5"/>
  <c r="AJ2045" i="5" s="1"/>
  <c r="AN2045" i="5"/>
  <c r="AO2045" i="5"/>
  <c r="AP2045" i="5"/>
  <c r="AR2045" i="5"/>
  <c r="AU2045" i="5"/>
  <c r="AV2045" i="5" s="1"/>
  <c r="AW2045" i="5"/>
  <c r="AX2045" i="5" s="1"/>
  <c r="AH2046" i="5"/>
  <c r="AJ2046" i="5" s="1"/>
  <c r="AN2046" i="5"/>
  <c r="AO2046" i="5"/>
  <c r="AP2046" i="5"/>
  <c r="AR2046" i="5"/>
  <c r="AT2046" i="5" s="1"/>
  <c r="AU2046" i="5"/>
  <c r="AV2046" i="5" s="1"/>
  <c r="AW2046" i="5"/>
  <c r="AX2046" i="5" s="1"/>
  <c r="AH2047" i="5"/>
  <c r="AL2047" i="5" s="1"/>
  <c r="AN2047" i="5"/>
  <c r="AO2047" i="5"/>
  <c r="AP2047" i="5"/>
  <c r="AR2047" i="5"/>
  <c r="AT2047" i="5" s="1"/>
  <c r="AU2047" i="5"/>
  <c r="AV2047" i="5" s="1"/>
  <c r="AW2047" i="5"/>
  <c r="AX2047" i="5" s="1"/>
  <c r="AH2048" i="5"/>
  <c r="AZ2048" i="5" s="1"/>
  <c r="AN2048" i="5"/>
  <c r="AO2048" i="5"/>
  <c r="AP2048" i="5"/>
  <c r="AR2048" i="5"/>
  <c r="AT2048" i="5" s="1"/>
  <c r="AU2048" i="5"/>
  <c r="AV2048" i="5" s="1"/>
  <c r="AW2048" i="5"/>
  <c r="AX2048" i="5" s="1"/>
  <c r="AH2049" i="5"/>
  <c r="AZ2049" i="5" s="1"/>
  <c r="AN2049" i="5"/>
  <c r="AO2049" i="5"/>
  <c r="AP2049" i="5"/>
  <c r="AH2050" i="5"/>
  <c r="AN2050" i="5"/>
  <c r="AO2050" i="5"/>
  <c r="AP2050" i="5"/>
  <c r="AJ2051" i="5"/>
  <c r="AK2051" i="5"/>
  <c r="AL2051" i="5"/>
  <c r="AN2051" i="5"/>
  <c r="AO2051" i="5"/>
  <c r="AP2051" i="5"/>
  <c r="AR2051" i="5"/>
  <c r="AT2051" i="5" s="1"/>
  <c r="AU2051" i="5"/>
  <c r="AV2051" i="5" s="1"/>
  <c r="AW2051" i="5"/>
  <c r="AX2051" i="5" s="1"/>
  <c r="AH2052" i="5"/>
  <c r="AJ2052" i="5" s="1"/>
  <c r="AN2052" i="5"/>
  <c r="AO2052" i="5"/>
  <c r="AP2052" i="5"/>
  <c r="AR2052" i="5"/>
  <c r="AS2052" i="5" s="1"/>
  <c r="AU2052" i="5"/>
  <c r="AV2052" i="5" s="1"/>
  <c r="AW2052" i="5"/>
  <c r="AX2052" i="5" s="1"/>
  <c r="AH2053" i="5"/>
  <c r="AL2053" i="5" s="1"/>
  <c r="AN2053" i="5"/>
  <c r="AO2053" i="5"/>
  <c r="AP2053" i="5"/>
  <c r="AR2053" i="5"/>
  <c r="AS2053" i="5" s="1"/>
  <c r="AU2053" i="5"/>
  <c r="AV2053" i="5" s="1"/>
  <c r="AW2053" i="5"/>
  <c r="AX2053" i="5" s="1"/>
  <c r="AH2054" i="5"/>
  <c r="AZ2054" i="5" s="1"/>
  <c r="AN2054" i="5"/>
  <c r="AO2054" i="5"/>
  <c r="AP2054" i="5"/>
  <c r="AR2054" i="5"/>
  <c r="AS2054" i="5" s="1"/>
  <c r="AU2054" i="5"/>
  <c r="AV2054" i="5" s="1"/>
  <c r="AW2054" i="5"/>
  <c r="AX2054" i="5" s="1"/>
  <c r="AH2055" i="5"/>
  <c r="AJ2055" i="5" s="1"/>
  <c r="AN2055" i="5"/>
  <c r="AO2055" i="5"/>
  <c r="AP2055" i="5"/>
  <c r="AR2055" i="5"/>
  <c r="AT2055" i="5" s="1"/>
  <c r="AU2055" i="5"/>
  <c r="AV2055" i="5" s="1"/>
  <c r="AW2055" i="5"/>
  <c r="AX2055" i="5" s="1"/>
  <c r="AH2056" i="5"/>
  <c r="AL2056" i="5" s="1"/>
  <c r="AN2056" i="5"/>
  <c r="AO2056" i="5"/>
  <c r="AP2056" i="5"/>
  <c r="AH2057" i="5"/>
  <c r="AL2057" i="5" s="1"/>
  <c r="AN2057" i="5"/>
  <c r="AO2057" i="5"/>
  <c r="AP2057" i="5"/>
  <c r="AJ2058" i="5"/>
  <c r="AK2058" i="5"/>
  <c r="AL2058" i="5"/>
  <c r="AN2058" i="5"/>
  <c r="AO2058" i="5"/>
  <c r="AP2058" i="5"/>
  <c r="AR2058" i="5"/>
  <c r="AT2058" i="5" s="1"/>
  <c r="AU2058" i="5"/>
  <c r="AV2058" i="5" s="1"/>
  <c r="AW2058" i="5"/>
  <c r="AX2058" i="5" s="1"/>
  <c r="AH2059" i="5"/>
  <c r="AY2059" i="5" s="1"/>
  <c r="AN2059" i="5"/>
  <c r="AO2059" i="5"/>
  <c r="AP2059" i="5"/>
  <c r="AR2059" i="5"/>
  <c r="AU2059" i="5"/>
  <c r="AV2059" i="5" s="1"/>
  <c r="AW2059" i="5"/>
  <c r="AX2059" i="5" s="1"/>
  <c r="AH2060" i="5"/>
  <c r="AJ2060" i="5" s="1"/>
  <c r="AN2060" i="5"/>
  <c r="AO2060" i="5"/>
  <c r="AP2060" i="5"/>
  <c r="AR2060" i="5"/>
  <c r="AS2060" i="5" s="1"/>
  <c r="AU2060" i="5"/>
  <c r="AV2060" i="5" s="1"/>
  <c r="AW2060" i="5"/>
  <c r="AX2060" i="5" s="1"/>
  <c r="AH2061" i="5"/>
  <c r="AN2061" i="5"/>
  <c r="AO2061" i="5"/>
  <c r="AP2061" i="5"/>
  <c r="AR2061" i="5"/>
  <c r="AU2061" i="5"/>
  <c r="AV2061" i="5" s="1"/>
  <c r="AW2061" i="5"/>
  <c r="AX2061" i="5" s="1"/>
  <c r="AH2062" i="5"/>
  <c r="AL2062" i="5" s="1"/>
  <c r="AN2062" i="5"/>
  <c r="AO2062" i="5"/>
  <c r="AP2062" i="5"/>
  <c r="AR2062" i="5"/>
  <c r="AS2062" i="5" s="1"/>
  <c r="AU2062" i="5"/>
  <c r="AV2062" i="5" s="1"/>
  <c r="AW2062" i="5"/>
  <c r="AX2062" i="5" s="1"/>
  <c r="AH2063" i="5"/>
  <c r="AW2063" i="5" s="1"/>
  <c r="AX2063" i="5" s="1"/>
  <c r="AN2063" i="5"/>
  <c r="AO2063" i="5"/>
  <c r="AP2063" i="5"/>
  <c r="AH2064" i="5"/>
  <c r="AN2064" i="5"/>
  <c r="AO2064" i="5"/>
  <c r="AP2064" i="5"/>
  <c r="AJ2065" i="5"/>
  <c r="AK2065" i="5"/>
  <c r="AL2065" i="5"/>
  <c r="AN2065" i="5"/>
  <c r="AO2065" i="5"/>
  <c r="AP2065" i="5"/>
  <c r="AR2065" i="5"/>
  <c r="AU2065" i="5"/>
  <c r="AV2065" i="5" s="1"/>
  <c r="AW2065" i="5"/>
  <c r="AX2065" i="5" s="1"/>
  <c r="AH2066" i="5"/>
  <c r="AY2066" i="5" s="1"/>
  <c r="AH2067" i="5"/>
  <c r="AK2067" i="5" s="1"/>
  <c r="AN2066" i="5"/>
  <c r="AO2066" i="5"/>
  <c r="AP2066" i="5"/>
  <c r="AR2066" i="5"/>
  <c r="AS2066" i="5" s="1"/>
  <c r="AU2066" i="5"/>
  <c r="AV2066" i="5" s="1"/>
  <c r="AW2066" i="5"/>
  <c r="AX2066" i="5" s="1"/>
  <c r="AN2067" i="5"/>
  <c r="AO2067" i="5"/>
  <c r="AP2067" i="5"/>
  <c r="AR2067" i="5"/>
  <c r="AS2067" i="5" s="1"/>
  <c r="AU2067" i="5"/>
  <c r="AV2067" i="5" s="1"/>
  <c r="AW2067" i="5"/>
  <c r="AX2067" i="5" s="1"/>
  <c r="AH2068" i="5"/>
  <c r="AZ2068" i="5" s="1"/>
  <c r="AN2068" i="5"/>
  <c r="AO2068" i="5"/>
  <c r="AP2068" i="5"/>
  <c r="AR2068" i="5"/>
  <c r="AT2068" i="5" s="1"/>
  <c r="AU2068" i="5"/>
  <c r="AV2068" i="5" s="1"/>
  <c r="AW2068" i="5"/>
  <c r="AX2068" i="5" s="1"/>
  <c r="AH2069" i="5"/>
  <c r="AJ2069" i="5" s="1"/>
  <c r="AN2069" i="5"/>
  <c r="AO2069" i="5"/>
  <c r="AP2069" i="5"/>
  <c r="AR2069" i="5"/>
  <c r="AU2069" i="5"/>
  <c r="AV2069" i="5" s="1"/>
  <c r="AW2069" i="5"/>
  <c r="AX2069" i="5" s="1"/>
  <c r="AH2070" i="5"/>
  <c r="AW2070" i="5" s="1"/>
  <c r="AX2070" i="5" s="1"/>
  <c r="AN2070" i="5"/>
  <c r="AO2070" i="5"/>
  <c r="AP2070" i="5"/>
  <c r="AH2071" i="5"/>
  <c r="AJ2071" i="5" s="1"/>
  <c r="AN2071" i="5"/>
  <c r="AO2071" i="5"/>
  <c r="AP2071" i="5"/>
  <c r="AJ2072" i="5"/>
  <c r="AK2072" i="5"/>
  <c r="AL2072" i="5"/>
  <c r="AN2072" i="5"/>
  <c r="AO2072" i="5"/>
  <c r="AP2072" i="5"/>
  <c r="AR2072" i="5"/>
  <c r="AU2072" i="5"/>
  <c r="AV2072" i="5" s="1"/>
  <c r="AW2072" i="5"/>
  <c r="AX2072" i="5" s="1"/>
  <c r="AH2073" i="5"/>
  <c r="AN2073" i="5"/>
  <c r="AO2073" i="5"/>
  <c r="AP2073" i="5"/>
  <c r="AR2073" i="5"/>
  <c r="AT2073" i="5" s="1"/>
  <c r="AU2073" i="5"/>
  <c r="AV2073" i="5" s="1"/>
  <c r="AW2073" i="5"/>
  <c r="AX2073" i="5" s="1"/>
  <c r="AH2074" i="5"/>
  <c r="AN2074" i="5"/>
  <c r="AO2074" i="5"/>
  <c r="AP2074" i="5"/>
  <c r="AR2074" i="5"/>
  <c r="AT2074" i="5" s="1"/>
  <c r="AU2074" i="5"/>
  <c r="AV2074" i="5" s="1"/>
  <c r="AW2074" i="5"/>
  <c r="AX2074" i="5" s="1"/>
  <c r="AH2075" i="5"/>
  <c r="AJ2075" i="5" s="1"/>
  <c r="AN2075" i="5"/>
  <c r="AO2075" i="5"/>
  <c r="AP2075" i="5"/>
  <c r="AR2075" i="5"/>
  <c r="AU2075" i="5"/>
  <c r="AV2075" i="5" s="1"/>
  <c r="AW2075" i="5"/>
  <c r="AX2075" i="5" s="1"/>
  <c r="AH2076" i="5"/>
  <c r="AN2076" i="5"/>
  <c r="AO2076" i="5"/>
  <c r="AP2076" i="5"/>
  <c r="AR2076" i="5"/>
  <c r="AT2076" i="5" s="1"/>
  <c r="AU2076" i="5"/>
  <c r="AV2076" i="5" s="1"/>
  <c r="AW2076" i="5"/>
  <c r="AX2076" i="5" s="1"/>
  <c r="AH2077" i="5"/>
  <c r="AU2077" i="5" s="1"/>
  <c r="AV2077" i="5" s="1"/>
  <c r="AN2077" i="5"/>
  <c r="AO2077" i="5"/>
  <c r="AP2077" i="5"/>
  <c r="AH2078" i="5"/>
  <c r="AJ2078" i="5" s="1"/>
  <c r="AN2078" i="5"/>
  <c r="AO2078" i="5"/>
  <c r="AP2078" i="5"/>
  <c r="AJ2079" i="5"/>
  <c r="AK2079" i="5"/>
  <c r="AL2079" i="5"/>
  <c r="AN2079" i="5"/>
  <c r="AO2079" i="5"/>
  <c r="AP2079" i="5"/>
  <c r="AR2079" i="5"/>
  <c r="AU2079" i="5"/>
  <c r="AV2079" i="5" s="1"/>
  <c r="AW2079" i="5"/>
  <c r="AX2079" i="5" s="1"/>
  <c r="AH2080" i="5"/>
  <c r="AN2080" i="5"/>
  <c r="AO2080" i="5"/>
  <c r="AP2080" i="5"/>
  <c r="AR2080" i="5"/>
  <c r="AS2080" i="5" s="1"/>
  <c r="AU2080" i="5"/>
  <c r="AV2080" i="5" s="1"/>
  <c r="AW2080" i="5"/>
  <c r="AX2080" i="5" s="1"/>
  <c r="AH2081" i="5"/>
  <c r="AN2081" i="5"/>
  <c r="AO2081" i="5"/>
  <c r="AP2081" i="5"/>
  <c r="AR2081" i="5"/>
  <c r="AU2081" i="5"/>
  <c r="AV2081" i="5" s="1"/>
  <c r="AW2081" i="5"/>
  <c r="AX2081" i="5" s="1"/>
  <c r="AH2082" i="5"/>
  <c r="AY2082" i="5" s="1"/>
  <c r="AH2083" i="5"/>
  <c r="AN2082" i="5"/>
  <c r="AO2082" i="5"/>
  <c r="AP2082" i="5"/>
  <c r="AR2082" i="5"/>
  <c r="AT2082" i="5" s="1"/>
  <c r="AU2082" i="5"/>
  <c r="AV2082" i="5" s="1"/>
  <c r="AW2082" i="5"/>
  <c r="AX2082" i="5" s="1"/>
  <c r="AN2083" i="5"/>
  <c r="AO2083" i="5"/>
  <c r="AP2083" i="5"/>
  <c r="AR2083" i="5"/>
  <c r="AS2083" i="5" s="1"/>
  <c r="AU2083" i="5"/>
  <c r="AV2083" i="5" s="1"/>
  <c r="AW2083" i="5"/>
  <c r="AX2083" i="5" s="1"/>
  <c r="AH2084" i="5"/>
  <c r="AU2084" i="5" s="1"/>
  <c r="AV2084" i="5" s="1"/>
  <c r="AN2084" i="5"/>
  <c r="AO2084" i="5"/>
  <c r="AP2084" i="5"/>
  <c r="AH2085" i="5"/>
  <c r="AN2085" i="5"/>
  <c r="AO2085" i="5"/>
  <c r="AP2085" i="5"/>
  <c r="AJ2086" i="5"/>
  <c r="AK2086" i="5"/>
  <c r="AL2086" i="5"/>
  <c r="AN2086" i="5"/>
  <c r="AO2086" i="5"/>
  <c r="AP2086" i="5"/>
  <c r="AR2086" i="5"/>
  <c r="AT2086" i="5" s="1"/>
  <c r="AU2086" i="5"/>
  <c r="AV2086" i="5" s="1"/>
  <c r="AW2086" i="5"/>
  <c r="AX2086" i="5" s="1"/>
  <c r="AH2087" i="5"/>
  <c r="AN2087" i="5"/>
  <c r="AO2087" i="5"/>
  <c r="AP2087" i="5"/>
  <c r="AR2087" i="5"/>
  <c r="AS2087" i="5" s="1"/>
  <c r="AU2087" i="5"/>
  <c r="AV2087" i="5" s="1"/>
  <c r="AW2087" i="5"/>
  <c r="AX2087" i="5" s="1"/>
  <c r="AH2088" i="5"/>
  <c r="AN2088" i="5"/>
  <c r="AO2088" i="5"/>
  <c r="AP2088" i="5"/>
  <c r="AR2088" i="5"/>
  <c r="AT2088" i="5" s="1"/>
  <c r="AU2088" i="5"/>
  <c r="AV2088" i="5" s="1"/>
  <c r="AW2088" i="5"/>
  <c r="AX2088" i="5" s="1"/>
  <c r="AH2089" i="5"/>
  <c r="AY2089" i="5" s="1"/>
  <c r="AN2089" i="5"/>
  <c r="AO2089" i="5"/>
  <c r="AP2089" i="5"/>
  <c r="AR2089" i="5"/>
  <c r="AS2089" i="5" s="1"/>
  <c r="AU2089" i="5"/>
  <c r="AV2089" i="5" s="1"/>
  <c r="AW2089" i="5"/>
  <c r="AX2089" i="5" s="1"/>
  <c r="AH2090" i="5"/>
  <c r="AL2090" i="5" s="1"/>
  <c r="AN2090" i="5"/>
  <c r="AO2090" i="5"/>
  <c r="AP2090" i="5"/>
  <c r="AR2090" i="5"/>
  <c r="AT2090" i="5" s="1"/>
  <c r="AU2090" i="5"/>
  <c r="AV2090" i="5" s="1"/>
  <c r="AW2090" i="5"/>
  <c r="AX2090" i="5" s="1"/>
  <c r="AH2091" i="5"/>
  <c r="AZ2091" i="5" s="1"/>
  <c r="AN2091" i="5"/>
  <c r="AO2091" i="5"/>
  <c r="AP2091" i="5"/>
  <c r="AH2092" i="5"/>
  <c r="AN2092" i="5"/>
  <c r="AO2092" i="5"/>
  <c r="AP2092" i="5"/>
  <c r="AJ2093" i="5"/>
  <c r="AK2093" i="5"/>
  <c r="AL2093" i="5"/>
  <c r="AN2093" i="5"/>
  <c r="AO2093" i="5"/>
  <c r="AP2093" i="5"/>
  <c r="AR2093" i="5"/>
  <c r="AU2093" i="5"/>
  <c r="AV2093" i="5" s="1"/>
  <c r="AW2093" i="5"/>
  <c r="AX2093" i="5" s="1"/>
  <c r="AH2094" i="5"/>
  <c r="AH2095" i="5"/>
  <c r="AJ2095" i="5" s="1"/>
  <c r="AN2094" i="5"/>
  <c r="AO2094" i="5"/>
  <c r="AP2094" i="5"/>
  <c r="AR2094" i="5"/>
  <c r="AT2094" i="5" s="1"/>
  <c r="AU2094" i="5"/>
  <c r="AV2094" i="5" s="1"/>
  <c r="AW2094" i="5"/>
  <c r="AX2094" i="5" s="1"/>
  <c r="AN2095" i="5"/>
  <c r="AO2095" i="5"/>
  <c r="AP2095" i="5"/>
  <c r="AR2095" i="5"/>
  <c r="AT2095" i="5" s="1"/>
  <c r="AU2095" i="5"/>
  <c r="AV2095" i="5" s="1"/>
  <c r="AW2095" i="5"/>
  <c r="AX2095" i="5" s="1"/>
  <c r="AH2096" i="5"/>
  <c r="AJ2096" i="5" s="1"/>
  <c r="AN2096" i="5"/>
  <c r="AO2096" i="5"/>
  <c r="AP2096" i="5"/>
  <c r="AR2096" i="5"/>
  <c r="AT2096" i="5" s="1"/>
  <c r="AU2096" i="5"/>
  <c r="AV2096" i="5" s="1"/>
  <c r="AW2096" i="5"/>
  <c r="AX2096" i="5" s="1"/>
  <c r="AH2097" i="5"/>
  <c r="AZ2097" i="5" s="1"/>
  <c r="AN2097" i="5"/>
  <c r="AO2097" i="5"/>
  <c r="AP2097" i="5"/>
  <c r="AR2097" i="5"/>
  <c r="AT2097" i="5" s="1"/>
  <c r="AU2097" i="5"/>
  <c r="AV2097" i="5" s="1"/>
  <c r="AW2097" i="5"/>
  <c r="AX2097" i="5" s="1"/>
  <c r="AH2098" i="5"/>
  <c r="AY2098" i="5" s="1"/>
  <c r="AN2098" i="5"/>
  <c r="AO2098" i="5"/>
  <c r="AP2098" i="5"/>
  <c r="AH2099" i="5"/>
  <c r="AN2099" i="5"/>
  <c r="AO2099" i="5"/>
  <c r="AP2099" i="5"/>
  <c r="AJ2100" i="5"/>
  <c r="AK2100" i="5"/>
  <c r="AL2100" i="5"/>
  <c r="AN2100" i="5"/>
  <c r="AO2100" i="5"/>
  <c r="AP2100" i="5"/>
  <c r="AR2100" i="5"/>
  <c r="AT2100" i="5" s="1"/>
  <c r="AU2100" i="5"/>
  <c r="AV2100" i="5" s="1"/>
  <c r="AW2100" i="5"/>
  <c r="AX2100" i="5" s="1"/>
  <c r="AH2101" i="5"/>
  <c r="AN2101" i="5"/>
  <c r="AO2101" i="5"/>
  <c r="AP2101" i="5"/>
  <c r="AR2101" i="5"/>
  <c r="AS2101" i="5" s="1"/>
  <c r="AU2101" i="5"/>
  <c r="AV2101" i="5" s="1"/>
  <c r="AW2101" i="5"/>
  <c r="AX2101" i="5" s="1"/>
  <c r="AH2102" i="5"/>
  <c r="AJ2102" i="5" s="1"/>
  <c r="AN2102" i="5"/>
  <c r="AO2102" i="5"/>
  <c r="AP2102" i="5"/>
  <c r="AR2102" i="5"/>
  <c r="AS2102" i="5" s="1"/>
  <c r="AU2102" i="5"/>
  <c r="AV2102" i="5" s="1"/>
  <c r="AW2102" i="5"/>
  <c r="AX2102" i="5" s="1"/>
  <c r="AH2103" i="5"/>
  <c r="AN2103" i="5"/>
  <c r="AO2103" i="5"/>
  <c r="AP2103" i="5"/>
  <c r="AR2103" i="5"/>
  <c r="AT2103" i="5" s="1"/>
  <c r="AU2103" i="5"/>
  <c r="AV2103" i="5" s="1"/>
  <c r="AW2103" i="5"/>
  <c r="AX2103" i="5" s="1"/>
  <c r="AH2104" i="5"/>
  <c r="AL2104" i="5" s="1"/>
  <c r="AN2104" i="5"/>
  <c r="AO2104" i="5"/>
  <c r="AP2104" i="5"/>
  <c r="AR2104" i="5"/>
  <c r="AU2104" i="5"/>
  <c r="AV2104" i="5" s="1"/>
  <c r="AW2104" i="5"/>
  <c r="AX2104" i="5" s="1"/>
  <c r="AH2105" i="5"/>
  <c r="AN2105" i="5"/>
  <c r="AO2105" i="5"/>
  <c r="AP2105" i="5"/>
  <c r="AH2106" i="5"/>
  <c r="AN2106" i="5"/>
  <c r="AO2106" i="5"/>
  <c r="AP2106" i="5"/>
  <c r="AJ2107" i="5"/>
  <c r="AK2107" i="5"/>
  <c r="AL2107" i="5"/>
  <c r="AN2107" i="5"/>
  <c r="AO2107" i="5"/>
  <c r="AP2107" i="5"/>
  <c r="AR2107" i="5"/>
  <c r="AT2107" i="5" s="1"/>
  <c r="AU2107" i="5"/>
  <c r="AV2107" i="5" s="1"/>
  <c r="AW2107" i="5"/>
  <c r="AX2107" i="5" s="1"/>
  <c r="AH2108" i="5"/>
  <c r="AI2108" i="5" s="1"/>
  <c r="AN2108" i="5"/>
  <c r="AO2108" i="5"/>
  <c r="AP2108" i="5"/>
  <c r="AR2108" i="5"/>
  <c r="AS2108" i="5" s="1"/>
  <c r="AU2108" i="5"/>
  <c r="AV2108" i="5" s="1"/>
  <c r="AW2108" i="5"/>
  <c r="AX2108" i="5" s="1"/>
  <c r="AH2109" i="5"/>
  <c r="AZ2109" i="5" s="1"/>
  <c r="AN2109" i="5"/>
  <c r="AO2109" i="5"/>
  <c r="AP2109" i="5"/>
  <c r="AR2109" i="5"/>
  <c r="AT2109" i="5" s="1"/>
  <c r="AU2109" i="5"/>
  <c r="AV2109" i="5" s="1"/>
  <c r="AW2109" i="5"/>
  <c r="AX2109" i="5" s="1"/>
  <c r="AH2110" i="5"/>
  <c r="AZ2110" i="5" s="1"/>
  <c r="AN2110" i="5"/>
  <c r="AO2110" i="5"/>
  <c r="AP2110" i="5"/>
  <c r="AR2110" i="5"/>
  <c r="AS2110" i="5" s="1"/>
  <c r="AU2110" i="5"/>
  <c r="AV2110" i="5" s="1"/>
  <c r="AW2110" i="5"/>
  <c r="AX2110" i="5" s="1"/>
  <c r="AH2111" i="5"/>
  <c r="AJ2111" i="5" s="1"/>
  <c r="AN2111" i="5"/>
  <c r="AO2111" i="5"/>
  <c r="AP2111" i="5"/>
  <c r="AR2111" i="5"/>
  <c r="AS2111" i="5" s="1"/>
  <c r="AU2111" i="5"/>
  <c r="AV2111" i="5" s="1"/>
  <c r="AW2111" i="5"/>
  <c r="AX2111" i="5" s="1"/>
  <c r="AH2112" i="5"/>
  <c r="AL2112" i="5" s="1"/>
  <c r="AN2112" i="5"/>
  <c r="AO2112" i="5"/>
  <c r="AP2112" i="5"/>
  <c r="AH2113" i="5"/>
  <c r="AI2114" i="5" s="1"/>
  <c r="AN2113" i="5"/>
  <c r="AO2113" i="5"/>
  <c r="AP2113" i="5"/>
  <c r="AJ2114" i="5"/>
  <c r="AK2114" i="5"/>
  <c r="AL2114" i="5"/>
  <c r="AN2114" i="5"/>
  <c r="AO2114" i="5"/>
  <c r="AP2114" i="5"/>
  <c r="AR2114" i="5"/>
  <c r="AT2114" i="5" s="1"/>
  <c r="AU2114" i="5"/>
  <c r="AV2114" i="5" s="1"/>
  <c r="AW2114" i="5"/>
  <c r="AX2114" i="5" s="1"/>
  <c r="AH2115" i="5"/>
  <c r="AN2115" i="5"/>
  <c r="AO2115" i="5"/>
  <c r="AP2115" i="5"/>
  <c r="AR2115" i="5"/>
  <c r="AT2115" i="5" s="1"/>
  <c r="AU2115" i="5"/>
  <c r="AV2115" i="5" s="1"/>
  <c r="AW2115" i="5"/>
  <c r="AX2115" i="5" s="1"/>
  <c r="AH2116" i="5"/>
  <c r="AY2116" i="5" s="1"/>
  <c r="AN2116" i="5"/>
  <c r="AO2116" i="5"/>
  <c r="AP2116" i="5"/>
  <c r="AR2116" i="5"/>
  <c r="AS2116" i="5" s="1"/>
  <c r="AU2116" i="5"/>
  <c r="AV2116" i="5" s="1"/>
  <c r="AW2116" i="5"/>
  <c r="AX2116" i="5" s="1"/>
  <c r="AH2117" i="5"/>
  <c r="AY2117" i="5" s="1"/>
  <c r="AH2118" i="5"/>
  <c r="AK2118" i="5" s="1"/>
  <c r="AN2117" i="5"/>
  <c r="AO2117" i="5"/>
  <c r="AP2117" i="5"/>
  <c r="AR2117" i="5"/>
  <c r="AT2117" i="5" s="1"/>
  <c r="AU2117" i="5"/>
  <c r="AV2117" i="5" s="1"/>
  <c r="AW2117" i="5"/>
  <c r="AX2117" i="5" s="1"/>
  <c r="AH2119" i="5"/>
  <c r="AN2118" i="5"/>
  <c r="AO2118" i="5"/>
  <c r="AP2118" i="5"/>
  <c r="AR2118" i="5"/>
  <c r="AS2118" i="5" s="1"/>
  <c r="AU2118" i="5"/>
  <c r="AV2118" i="5" s="1"/>
  <c r="AW2118" i="5"/>
  <c r="AX2118" i="5" s="1"/>
  <c r="AN2119" i="5"/>
  <c r="AO2119" i="5"/>
  <c r="AP2119" i="5"/>
  <c r="AH2120" i="5"/>
  <c r="AR2120" i="5" s="1"/>
  <c r="AS2120" i="5" s="1"/>
  <c r="AN2120" i="5"/>
  <c r="AO2120" i="5"/>
  <c r="AP2120" i="5"/>
  <c r="AJ2121" i="5"/>
  <c r="AK2121" i="5"/>
  <c r="AL2121" i="5"/>
  <c r="AN2121" i="5"/>
  <c r="AO2121" i="5"/>
  <c r="AP2121" i="5"/>
  <c r="AR2121" i="5"/>
  <c r="AU2121" i="5"/>
  <c r="AV2121" i="5" s="1"/>
  <c r="AW2121" i="5"/>
  <c r="AX2121" i="5" s="1"/>
  <c r="AH2122" i="5"/>
  <c r="AY2122" i="5" s="1"/>
  <c r="AN2122" i="5"/>
  <c r="AO2122" i="5"/>
  <c r="AP2122" i="5"/>
  <c r="AR2122" i="5"/>
  <c r="AU2122" i="5"/>
  <c r="AV2122" i="5" s="1"/>
  <c r="AW2122" i="5"/>
  <c r="AX2122" i="5" s="1"/>
  <c r="AH2123" i="5"/>
  <c r="AN2123" i="5"/>
  <c r="AO2123" i="5"/>
  <c r="AP2123" i="5"/>
  <c r="AR2123" i="5"/>
  <c r="AT2123" i="5" s="1"/>
  <c r="AU2123" i="5"/>
  <c r="AV2123" i="5" s="1"/>
  <c r="AW2123" i="5"/>
  <c r="AX2123" i="5" s="1"/>
  <c r="AH2124" i="5"/>
  <c r="AL2124" i="5" s="1"/>
  <c r="AN2124" i="5"/>
  <c r="AO2124" i="5"/>
  <c r="AP2124" i="5"/>
  <c r="AR2124" i="5"/>
  <c r="AS2124" i="5" s="1"/>
  <c r="AU2124" i="5"/>
  <c r="AV2124" i="5" s="1"/>
  <c r="AW2124" i="5"/>
  <c r="AX2124" i="5" s="1"/>
  <c r="AH2125" i="5"/>
  <c r="AZ2125" i="5" s="1"/>
  <c r="AN2125" i="5"/>
  <c r="AO2125" i="5"/>
  <c r="AP2125" i="5"/>
  <c r="AR2125" i="5"/>
  <c r="AT2125" i="5" s="1"/>
  <c r="AU2125" i="5"/>
  <c r="AV2125" i="5" s="1"/>
  <c r="AW2125" i="5"/>
  <c r="AX2125" i="5" s="1"/>
  <c r="AH2126" i="5"/>
  <c r="AW2126" i="5" s="1"/>
  <c r="AX2126" i="5" s="1"/>
  <c r="AN2126" i="5"/>
  <c r="AO2126" i="5"/>
  <c r="AP2126" i="5"/>
  <c r="AH2127" i="5"/>
  <c r="AI2128" i="5" s="1"/>
  <c r="AN2127" i="5"/>
  <c r="AO2127" i="5"/>
  <c r="AP2127" i="5"/>
  <c r="AJ2128" i="5"/>
  <c r="AK2128" i="5"/>
  <c r="AL2128" i="5"/>
  <c r="AN2128" i="5"/>
  <c r="AO2128" i="5"/>
  <c r="AP2128" i="5"/>
  <c r="AR2128" i="5"/>
  <c r="AT2128" i="5" s="1"/>
  <c r="AU2128" i="5"/>
  <c r="AV2128" i="5" s="1"/>
  <c r="AW2128" i="5"/>
  <c r="AX2128" i="5" s="1"/>
  <c r="AH2129" i="5"/>
  <c r="AY2129" i="5" s="1"/>
  <c r="AN2129" i="5"/>
  <c r="AO2129" i="5"/>
  <c r="AP2129" i="5"/>
  <c r="AR2129" i="5"/>
  <c r="AT2129" i="5" s="1"/>
  <c r="AU2129" i="5"/>
  <c r="AV2129" i="5" s="1"/>
  <c r="AW2129" i="5"/>
  <c r="AX2129" i="5" s="1"/>
  <c r="AH2130" i="5"/>
  <c r="AN2130" i="5"/>
  <c r="AO2130" i="5"/>
  <c r="AP2130" i="5"/>
  <c r="AR2130" i="5"/>
  <c r="AS2130" i="5" s="1"/>
  <c r="AU2130" i="5"/>
  <c r="AV2130" i="5" s="1"/>
  <c r="AW2130" i="5"/>
  <c r="AX2130" i="5" s="1"/>
  <c r="AH2131" i="5"/>
  <c r="AY2131" i="5" s="1"/>
  <c r="AN2131" i="5"/>
  <c r="AO2131" i="5"/>
  <c r="AP2131" i="5"/>
  <c r="AR2131" i="5"/>
  <c r="AT2131" i="5" s="1"/>
  <c r="AU2131" i="5"/>
  <c r="AV2131" i="5" s="1"/>
  <c r="AW2131" i="5"/>
  <c r="AX2131" i="5" s="1"/>
  <c r="AH2132" i="5"/>
  <c r="AN2132" i="5"/>
  <c r="AO2132" i="5"/>
  <c r="AP2132" i="5"/>
  <c r="AR2132" i="5"/>
  <c r="AT2132" i="5" s="1"/>
  <c r="AU2132" i="5"/>
  <c r="AV2132" i="5" s="1"/>
  <c r="AW2132" i="5"/>
  <c r="AX2132" i="5" s="1"/>
  <c r="AH2133" i="5"/>
  <c r="AW2133" i="5" s="1"/>
  <c r="AX2133" i="5" s="1"/>
  <c r="AN2133" i="5"/>
  <c r="AO2133" i="5"/>
  <c r="AP2133" i="5"/>
  <c r="AH2134" i="5"/>
  <c r="AJ2134" i="5" s="1"/>
  <c r="AN2134" i="5"/>
  <c r="AO2134" i="5"/>
  <c r="AP2134" i="5"/>
  <c r="AJ2135" i="5"/>
  <c r="AK2135" i="5"/>
  <c r="AL2135" i="5"/>
  <c r="AN2135" i="5"/>
  <c r="AO2135" i="5"/>
  <c r="AP2135" i="5"/>
  <c r="AR2135" i="5"/>
  <c r="AS2135" i="5" s="1"/>
  <c r="AU2135" i="5"/>
  <c r="AV2135" i="5" s="1"/>
  <c r="AW2135" i="5"/>
  <c r="AX2135" i="5" s="1"/>
  <c r="AH2136" i="5"/>
  <c r="AN2136" i="5"/>
  <c r="AO2136" i="5"/>
  <c r="AP2136" i="5"/>
  <c r="AR2136" i="5"/>
  <c r="AS2136" i="5" s="1"/>
  <c r="AU2136" i="5"/>
  <c r="AV2136" i="5" s="1"/>
  <c r="AW2136" i="5"/>
  <c r="AX2136" i="5" s="1"/>
  <c r="AH2137" i="5"/>
  <c r="AH2138" i="5"/>
  <c r="AY2138" i="5" s="1"/>
  <c r="AN2137" i="5"/>
  <c r="AO2137" i="5"/>
  <c r="AP2137" i="5"/>
  <c r="AR2137" i="5"/>
  <c r="AT2137" i="5" s="1"/>
  <c r="AU2137" i="5"/>
  <c r="AV2137" i="5" s="1"/>
  <c r="AW2137" i="5"/>
  <c r="AX2137" i="5" s="1"/>
  <c r="AN2138" i="5"/>
  <c r="AO2138" i="5"/>
  <c r="AP2138" i="5"/>
  <c r="AR2138" i="5"/>
  <c r="AU2138" i="5"/>
  <c r="AV2138" i="5" s="1"/>
  <c r="AW2138" i="5"/>
  <c r="AX2138" i="5" s="1"/>
  <c r="AH2139" i="5"/>
  <c r="AN2139" i="5"/>
  <c r="AO2139" i="5"/>
  <c r="AP2139" i="5"/>
  <c r="AR2139" i="5"/>
  <c r="AU2139" i="5"/>
  <c r="AV2139" i="5" s="1"/>
  <c r="AW2139" i="5"/>
  <c r="AX2139" i="5" s="1"/>
  <c r="AH2140" i="5"/>
  <c r="AW2140" i="5" s="1"/>
  <c r="AX2140" i="5" s="1"/>
  <c r="AN2140" i="5"/>
  <c r="AO2140" i="5"/>
  <c r="AP2140" i="5"/>
  <c r="AH2141" i="5"/>
  <c r="AR2141" i="5" s="1"/>
  <c r="AT2141" i="5" s="1"/>
  <c r="AN2141" i="5"/>
  <c r="AO2141" i="5"/>
  <c r="AP2141" i="5"/>
  <c r="AJ2142" i="5"/>
  <c r="AK2142" i="5"/>
  <c r="AL2142" i="5"/>
  <c r="AN2142" i="5"/>
  <c r="AO2142" i="5"/>
  <c r="AP2142" i="5"/>
  <c r="AR2142" i="5"/>
  <c r="AS2142" i="5" s="1"/>
  <c r="AU2142" i="5"/>
  <c r="AV2142" i="5" s="1"/>
  <c r="AW2142" i="5"/>
  <c r="AX2142" i="5" s="1"/>
  <c r="AH2143" i="5"/>
  <c r="AN2143" i="5"/>
  <c r="AO2143" i="5"/>
  <c r="AP2143" i="5"/>
  <c r="AR2143" i="5"/>
  <c r="AU2143" i="5"/>
  <c r="AV2143" i="5" s="1"/>
  <c r="AW2143" i="5"/>
  <c r="AX2143" i="5" s="1"/>
  <c r="AH2144" i="5"/>
  <c r="AN2144" i="5"/>
  <c r="AO2144" i="5"/>
  <c r="AP2144" i="5"/>
  <c r="AR2144" i="5"/>
  <c r="AS2144" i="5" s="1"/>
  <c r="AU2144" i="5"/>
  <c r="AV2144" i="5" s="1"/>
  <c r="AW2144" i="5"/>
  <c r="AX2144" i="5" s="1"/>
  <c r="AH2145" i="5"/>
  <c r="AK2145" i="5" s="1"/>
  <c r="AN2145" i="5"/>
  <c r="AO2145" i="5"/>
  <c r="AP2145" i="5"/>
  <c r="AR2145" i="5"/>
  <c r="AU2145" i="5"/>
  <c r="AV2145" i="5" s="1"/>
  <c r="AW2145" i="5"/>
  <c r="AX2145" i="5" s="1"/>
  <c r="AH2146" i="5"/>
  <c r="AH2147" i="5"/>
  <c r="AK2147" i="5" s="1"/>
  <c r="AN2146" i="5"/>
  <c r="AO2146" i="5"/>
  <c r="AP2146" i="5"/>
  <c r="AR2146" i="5"/>
  <c r="AS2146" i="5" s="1"/>
  <c r="AU2146" i="5"/>
  <c r="AV2146" i="5" s="1"/>
  <c r="AW2146" i="5"/>
  <c r="AX2146" i="5" s="1"/>
  <c r="AN2147" i="5"/>
  <c r="AO2147" i="5"/>
  <c r="AP2147" i="5"/>
  <c r="AH2148" i="5"/>
  <c r="AW2148" i="5" s="1"/>
  <c r="AX2148" i="5" s="1"/>
  <c r="AN2148" i="5"/>
  <c r="AO2148" i="5"/>
  <c r="AP2148" i="5"/>
  <c r="AJ2149" i="5"/>
  <c r="AK2149" i="5"/>
  <c r="AL2149" i="5"/>
  <c r="AN2149" i="5"/>
  <c r="AO2149" i="5"/>
  <c r="AP2149" i="5"/>
  <c r="AR2149" i="5"/>
  <c r="AS2149" i="5" s="1"/>
  <c r="AU2149" i="5"/>
  <c r="AV2149" i="5" s="1"/>
  <c r="AW2149" i="5"/>
  <c r="AX2149" i="5" s="1"/>
  <c r="AH2150" i="5"/>
  <c r="AI2150" i="5" s="1"/>
  <c r="AN2150" i="5"/>
  <c r="AO2150" i="5"/>
  <c r="AP2150" i="5"/>
  <c r="AR2150" i="5"/>
  <c r="AU2150" i="5"/>
  <c r="AV2150" i="5" s="1"/>
  <c r="AW2150" i="5"/>
  <c r="AX2150" i="5" s="1"/>
  <c r="AH2151" i="5"/>
  <c r="AN2151" i="5"/>
  <c r="AO2151" i="5"/>
  <c r="AP2151" i="5"/>
  <c r="AR2151" i="5"/>
  <c r="AT2151" i="5" s="1"/>
  <c r="AU2151" i="5"/>
  <c r="AV2151" i="5" s="1"/>
  <c r="AW2151" i="5"/>
  <c r="AX2151" i="5" s="1"/>
  <c r="AH2152" i="5"/>
  <c r="AN2152" i="5"/>
  <c r="AO2152" i="5"/>
  <c r="AP2152" i="5"/>
  <c r="AR2152" i="5"/>
  <c r="AT2152" i="5" s="1"/>
  <c r="AU2152" i="5"/>
  <c r="AV2152" i="5" s="1"/>
  <c r="AW2152" i="5"/>
  <c r="AX2152" i="5" s="1"/>
  <c r="AH2153" i="5"/>
  <c r="AN2153" i="5"/>
  <c r="AO2153" i="5"/>
  <c r="AP2153" i="5"/>
  <c r="AR2153" i="5"/>
  <c r="AT2153" i="5" s="1"/>
  <c r="AU2153" i="5"/>
  <c r="AV2153" i="5" s="1"/>
  <c r="AW2153" i="5"/>
  <c r="AX2153" i="5" s="1"/>
  <c r="AH2154" i="5"/>
  <c r="AL2154" i="5" s="1"/>
  <c r="AN2154" i="5"/>
  <c r="AO2154" i="5"/>
  <c r="AP2154" i="5"/>
  <c r="AH2155" i="5"/>
  <c r="AI2156" i="5" s="1"/>
  <c r="AN2155" i="5"/>
  <c r="AO2155" i="5"/>
  <c r="AP2155" i="5"/>
  <c r="AJ2156" i="5"/>
  <c r="AK2156" i="5"/>
  <c r="AL2156" i="5"/>
  <c r="AN2156" i="5"/>
  <c r="AO2156" i="5"/>
  <c r="AP2156" i="5"/>
  <c r="AR2156" i="5"/>
  <c r="AT2156" i="5" s="1"/>
  <c r="AU2156" i="5"/>
  <c r="AV2156" i="5" s="1"/>
  <c r="AW2156" i="5"/>
  <c r="AX2156" i="5" s="1"/>
  <c r="AH2157" i="5"/>
  <c r="AN2157" i="5"/>
  <c r="AO2157" i="5"/>
  <c r="AP2157" i="5"/>
  <c r="AR2157" i="5"/>
  <c r="AS2157" i="5" s="1"/>
  <c r="AU2157" i="5"/>
  <c r="AV2157" i="5" s="1"/>
  <c r="AW2157" i="5"/>
  <c r="AX2157" i="5" s="1"/>
  <c r="AH2158" i="5"/>
  <c r="AK2158" i="5" s="1"/>
  <c r="AN2158" i="5"/>
  <c r="AO2158" i="5"/>
  <c r="AP2158" i="5"/>
  <c r="AR2158" i="5"/>
  <c r="AU2158" i="5"/>
  <c r="AV2158" i="5" s="1"/>
  <c r="AW2158" i="5"/>
  <c r="AX2158" i="5" s="1"/>
  <c r="AH2159" i="5"/>
  <c r="AN2159" i="5"/>
  <c r="AO2159" i="5"/>
  <c r="AP2159" i="5"/>
  <c r="AR2159" i="5"/>
  <c r="AU2159" i="5"/>
  <c r="AV2159" i="5" s="1"/>
  <c r="AW2159" i="5"/>
  <c r="AX2159" i="5" s="1"/>
  <c r="AH2160" i="5"/>
  <c r="AZ2160" i="5" s="1"/>
  <c r="AN2160" i="5"/>
  <c r="AO2160" i="5"/>
  <c r="AP2160" i="5"/>
  <c r="AR2160" i="5"/>
  <c r="AU2160" i="5"/>
  <c r="AV2160" i="5" s="1"/>
  <c r="AW2160" i="5"/>
  <c r="AX2160" i="5" s="1"/>
  <c r="AH2161" i="5"/>
  <c r="AZ2161" i="5" s="1"/>
  <c r="AN2161" i="5"/>
  <c r="AO2161" i="5"/>
  <c r="AP2161" i="5"/>
  <c r="AH2162" i="5"/>
  <c r="AN2162" i="5"/>
  <c r="AO2162" i="5"/>
  <c r="AP2162" i="5"/>
  <c r="AJ2163" i="5"/>
  <c r="AK2163" i="5"/>
  <c r="AL2163" i="5"/>
  <c r="AN2163" i="5"/>
  <c r="AO2163" i="5"/>
  <c r="AP2163" i="5"/>
  <c r="AR2163" i="5"/>
  <c r="AS2163" i="5" s="1"/>
  <c r="AU2163" i="5"/>
  <c r="AV2163" i="5" s="1"/>
  <c r="AW2163" i="5"/>
  <c r="AX2163" i="5" s="1"/>
  <c r="AH2164" i="5"/>
  <c r="AJ2164" i="5" s="1"/>
  <c r="AN2164" i="5"/>
  <c r="AO2164" i="5"/>
  <c r="AP2164" i="5"/>
  <c r="AR2164" i="5"/>
  <c r="AT2164" i="5" s="1"/>
  <c r="AU2164" i="5"/>
  <c r="AV2164" i="5" s="1"/>
  <c r="AW2164" i="5"/>
  <c r="AX2164" i="5" s="1"/>
  <c r="AH2165" i="5"/>
  <c r="AY2165" i="5" s="1"/>
  <c r="AN2165" i="5"/>
  <c r="AO2165" i="5"/>
  <c r="AP2165" i="5"/>
  <c r="AR2165" i="5"/>
  <c r="AU2165" i="5"/>
  <c r="AV2165" i="5" s="1"/>
  <c r="AW2165" i="5"/>
  <c r="AX2165" i="5" s="1"/>
  <c r="AH2166" i="5"/>
  <c r="AN2166" i="5"/>
  <c r="AO2166" i="5"/>
  <c r="AP2166" i="5"/>
  <c r="AR2166" i="5"/>
  <c r="AS2166" i="5" s="1"/>
  <c r="AU2166" i="5"/>
  <c r="AV2166" i="5" s="1"/>
  <c r="AW2166" i="5"/>
  <c r="AX2166" i="5" s="1"/>
  <c r="AH2167" i="5"/>
  <c r="AZ2167" i="5" s="1"/>
  <c r="AN2167" i="5"/>
  <c r="AO2167" i="5"/>
  <c r="AP2167" i="5"/>
  <c r="AR2167" i="5"/>
  <c r="AU2167" i="5"/>
  <c r="AV2167" i="5" s="1"/>
  <c r="AW2167" i="5"/>
  <c r="AX2167" i="5" s="1"/>
  <c r="AH2168" i="5"/>
  <c r="AY2168" i="5" s="1"/>
  <c r="AN2168" i="5"/>
  <c r="AO2168" i="5"/>
  <c r="AP2168" i="5"/>
  <c r="AH2169" i="5"/>
  <c r="AK2169" i="5" s="1"/>
  <c r="AN2169" i="5"/>
  <c r="AO2169" i="5"/>
  <c r="AP2169" i="5"/>
  <c r="AJ2170" i="5"/>
  <c r="AK2170" i="5"/>
  <c r="AL2170" i="5"/>
  <c r="AN2170" i="5"/>
  <c r="AO2170" i="5"/>
  <c r="AP2170" i="5"/>
  <c r="AR2170" i="5"/>
  <c r="AU2170" i="5"/>
  <c r="AV2170" i="5" s="1"/>
  <c r="AW2170" i="5"/>
  <c r="AX2170" i="5" s="1"/>
  <c r="AH2171" i="5"/>
  <c r="AY2171" i="5" s="1"/>
  <c r="AN2171" i="5"/>
  <c r="AO2171" i="5"/>
  <c r="AP2171" i="5"/>
  <c r="AR2171" i="5"/>
  <c r="AU2171" i="5"/>
  <c r="AV2171" i="5" s="1"/>
  <c r="AW2171" i="5"/>
  <c r="AX2171" i="5" s="1"/>
  <c r="AH2172" i="5"/>
  <c r="AN2172" i="5"/>
  <c r="AO2172" i="5"/>
  <c r="AP2172" i="5"/>
  <c r="AR2172" i="5"/>
  <c r="AS2172" i="5" s="1"/>
  <c r="AU2172" i="5"/>
  <c r="AV2172" i="5" s="1"/>
  <c r="AW2172" i="5"/>
  <c r="AX2172" i="5" s="1"/>
  <c r="AH2173" i="5"/>
  <c r="AJ2173" i="5" s="1"/>
  <c r="AN2173" i="5"/>
  <c r="AO2173" i="5"/>
  <c r="AP2173" i="5"/>
  <c r="AR2173" i="5"/>
  <c r="AU2173" i="5"/>
  <c r="AV2173" i="5" s="1"/>
  <c r="AW2173" i="5"/>
  <c r="AX2173" i="5" s="1"/>
  <c r="AH2174" i="5"/>
  <c r="AJ2174" i="5" s="1"/>
  <c r="AN2174" i="5"/>
  <c r="AO2174" i="5"/>
  <c r="AP2174" i="5"/>
  <c r="AR2174" i="5"/>
  <c r="AU2174" i="5"/>
  <c r="AV2174" i="5" s="1"/>
  <c r="AW2174" i="5"/>
  <c r="AX2174" i="5" s="1"/>
  <c r="AH2175" i="5"/>
  <c r="AK2175" i="5" s="1"/>
  <c r="AN2175" i="5"/>
  <c r="AO2175" i="5"/>
  <c r="AP2175" i="5"/>
  <c r="AH2176" i="5"/>
  <c r="AL2176" i="5" s="1"/>
  <c r="AN2176" i="5"/>
  <c r="AO2176" i="5"/>
  <c r="AP2176" i="5"/>
  <c r="AJ2177" i="5"/>
  <c r="AK2177" i="5"/>
  <c r="AL2177" i="5"/>
  <c r="AN2177" i="5"/>
  <c r="AO2177" i="5"/>
  <c r="AP2177" i="5"/>
  <c r="AR2177" i="5"/>
  <c r="AU2177" i="5"/>
  <c r="AV2177" i="5" s="1"/>
  <c r="AW2177" i="5"/>
  <c r="AX2177" i="5" s="1"/>
  <c r="AH2178" i="5"/>
  <c r="AZ2178" i="5" s="1"/>
  <c r="AN2178" i="5"/>
  <c r="AO2178" i="5"/>
  <c r="AP2178" i="5"/>
  <c r="AR2178" i="5"/>
  <c r="AS2178" i="5" s="1"/>
  <c r="AU2178" i="5"/>
  <c r="AV2178" i="5" s="1"/>
  <c r="AW2178" i="5"/>
  <c r="AX2178" i="5" s="1"/>
  <c r="AH2179" i="5"/>
  <c r="AN2179" i="5"/>
  <c r="AO2179" i="5"/>
  <c r="AP2179" i="5"/>
  <c r="AR2179" i="5"/>
  <c r="AT2179" i="5" s="1"/>
  <c r="AU2179" i="5"/>
  <c r="AV2179" i="5" s="1"/>
  <c r="AW2179" i="5"/>
  <c r="AX2179" i="5" s="1"/>
  <c r="AH2180" i="5"/>
  <c r="AJ2180" i="5" s="1"/>
  <c r="AN2180" i="5"/>
  <c r="AO2180" i="5"/>
  <c r="AP2180" i="5"/>
  <c r="AR2180" i="5"/>
  <c r="AU2180" i="5"/>
  <c r="AV2180" i="5" s="1"/>
  <c r="AW2180" i="5"/>
  <c r="AX2180" i="5" s="1"/>
  <c r="AH2181" i="5"/>
  <c r="AZ2181" i="5" s="1"/>
  <c r="AN2181" i="5"/>
  <c r="AO2181" i="5"/>
  <c r="AP2181" i="5"/>
  <c r="AR2181" i="5"/>
  <c r="AS2181" i="5" s="1"/>
  <c r="AU2181" i="5"/>
  <c r="AV2181" i="5" s="1"/>
  <c r="AW2181" i="5"/>
  <c r="AX2181" i="5" s="1"/>
  <c r="AH2182" i="5"/>
  <c r="AW2182" i="5" s="1"/>
  <c r="AX2182" i="5" s="1"/>
  <c r="AN2182" i="5"/>
  <c r="AO2182" i="5"/>
  <c r="AP2182" i="5"/>
  <c r="AH2183" i="5"/>
  <c r="AW2183" i="5" s="1"/>
  <c r="AX2183" i="5" s="1"/>
  <c r="AN2183" i="5"/>
  <c r="AO2183" i="5"/>
  <c r="AP2183" i="5"/>
  <c r="AJ2184" i="5"/>
  <c r="AK2184" i="5"/>
  <c r="AL2184" i="5"/>
  <c r="AN2184" i="5"/>
  <c r="AO2184" i="5"/>
  <c r="AP2184" i="5"/>
  <c r="AR2184" i="5"/>
  <c r="AT2184" i="5" s="1"/>
  <c r="AU2184" i="5"/>
  <c r="AV2184" i="5" s="1"/>
  <c r="AW2184" i="5"/>
  <c r="AX2184" i="5" s="1"/>
  <c r="AH2185" i="5"/>
  <c r="AJ2185" i="5" s="1"/>
  <c r="AN2185" i="5"/>
  <c r="AO2185" i="5"/>
  <c r="AP2185" i="5"/>
  <c r="AR2185" i="5"/>
  <c r="AT2185" i="5" s="1"/>
  <c r="AU2185" i="5"/>
  <c r="AV2185" i="5" s="1"/>
  <c r="AW2185" i="5"/>
  <c r="AX2185" i="5" s="1"/>
  <c r="AH2186" i="5"/>
  <c r="AK2186" i="5" s="1"/>
  <c r="M2186" i="5"/>
  <c r="F2186" i="5" s="1"/>
  <c r="M2185" i="5"/>
  <c r="F2185" i="5" s="1"/>
  <c r="AN2186" i="5"/>
  <c r="AO2186" i="5"/>
  <c r="AP2186" i="5"/>
  <c r="AR2186" i="5"/>
  <c r="AT2186" i="5" s="1"/>
  <c r="AU2186" i="5"/>
  <c r="AV2186" i="5" s="1"/>
  <c r="AW2186" i="5"/>
  <c r="AX2186" i="5" s="1"/>
  <c r="AH2187" i="5"/>
  <c r="AY2187" i="5" s="1"/>
  <c r="AN2187" i="5"/>
  <c r="AO2187" i="5"/>
  <c r="AP2187" i="5"/>
  <c r="AR2187" i="5"/>
  <c r="AT2187" i="5" s="1"/>
  <c r="AU2187" i="5"/>
  <c r="AV2187" i="5" s="1"/>
  <c r="AW2187" i="5"/>
  <c r="AX2187" i="5" s="1"/>
  <c r="AH2188" i="5"/>
  <c r="AZ2188" i="5" s="1"/>
  <c r="AN2188" i="5"/>
  <c r="AO2188" i="5"/>
  <c r="AP2188" i="5"/>
  <c r="AR2188" i="5"/>
  <c r="AT2188" i="5" s="1"/>
  <c r="AU2188" i="5"/>
  <c r="AV2188" i="5" s="1"/>
  <c r="AW2188" i="5"/>
  <c r="AX2188" i="5" s="1"/>
  <c r="AH2189" i="5"/>
  <c r="AK2189" i="5" s="1"/>
  <c r="AN2189" i="5"/>
  <c r="AO2189" i="5"/>
  <c r="AP2189" i="5"/>
  <c r="AH2190" i="5"/>
  <c r="AN2190" i="5"/>
  <c r="AO2190" i="5"/>
  <c r="AP2190" i="5"/>
  <c r="AJ2191" i="5"/>
  <c r="AK2191" i="5"/>
  <c r="AL2191" i="5"/>
  <c r="AN2191" i="5"/>
  <c r="AO2191" i="5"/>
  <c r="AP2191" i="5"/>
  <c r="AR2191" i="5"/>
  <c r="AT2191" i="5" s="1"/>
  <c r="AU2191" i="5"/>
  <c r="AV2191" i="5" s="1"/>
  <c r="AW2191" i="5"/>
  <c r="AX2191" i="5" s="1"/>
  <c r="AH2192" i="5"/>
  <c r="AN2192" i="5"/>
  <c r="AO2192" i="5"/>
  <c r="AP2192" i="5"/>
  <c r="AR2192" i="5"/>
  <c r="AT2192" i="5" s="1"/>
  <c r="AU2192" i="5"/>
  <c r="AV2192" i="5" s="1"/>
  <c r="AW2192" i="5"/>
  <c r="AX2192" i="5" s="1"/>
  <c r="AH2193" i="5"/>
  <c r="AJ2193" i="5" s="1"/>
  <c r="AN2193" i="5"/>
  <c r="AO2193" i="5"/>
  <c r="AP2193" i="5"/>
  <c r="AR2193" i="5"/>
  <c r="AT2193" i="5" s="1"/>
  <c r="AU2193" i="5"/>
  <c r="AV2193" i="5" s="1"/>
  <c r="AW2193" i="5"/>
  <c r="AX2193" i="5" s="1"/>
  <c r="AH2194" i="5"/>
  <c r="AK2194" i="5" s="1"/>
  <c r="AN2194" i="5"/>
  <c r="AO2194" i="5"/>
  <c r="AP2194" i="5"/>
  <c r="AR2194" i="5"/>
  <c r="AT2194" i="5" s="1"/>
  <c r="AU2194" i="5"/>
  <c r="AV2194" i="5" s="1"/>
  <c r="AW2194" i="5"/>
  <c r="AX2194" i="5" s="1"/>
  <c r="AH2195" i="5"/>
  <c r="AL2195" i="5" s="1"/>
  <c r="AN2195" i="5"/>
  <c r="AO2195" i="5"/>
  <c r="AP2195" i="5"/>
  <c r="AR2195" i="5"/>
  <c r="AU2195" i="5"/>
  <c r="AV2195" i="5" s="1"/>
  <c r="AW2195" i="5"/>
  <c r="AX2195" i="5" s="1"/>
  <c r="AH2196" i="5"/>
  <c r="AJ2196" i="5" s="1"/>
  <c r="AN2196" i="5"/>
  <c r="AO2196" i="5"/>
  <c r="AP2196" i="5"/>
  <c r="AH2197" i="5"/>
  <c r="AL2197" i="5" s="1"/>
  <c r="AN2197" i="5"/>
  <c r="AO2197" i="5"/>
  <c r="AP2197" i="5"/>
  <c r="AJ2198" i="5"/>
  <c r="AK2198" i="5"/>
  <c r="AL2198" i="5"/>
  <c r="AN2198" i="5"/>
  <c r="AO2198" i="5"/>
  <c r="AP2198" i="5"/>
  <c r="AR2198" i="5"/>
  <c r="AS2198" i="5" s="1"/>
  <c r="AU2198" i="5"/>
  <c r="AV2198" i="5" s="1"/>
  <c r="AW2198" i="5"/>
  <c r="AX2198" i="5" s="1"/>
  <c r="AH2199" i="5"/>
  <c r="AN2199" i="5"/>
  <c r="AO2199" i="5"/>
  <c r="AP2199" i="5"/>
  <c r="AR2199" i="5"/>
  <c r="AS2199" i="5" s="1"/>
  <c r="AU2199" i="5"/>
  <c r="AV2199" i="5" s="1"/>
  <c r="AW2199" i="5"/>
  <c r="AX2199" i="5" s="1"/>
  <c r="AH2200" i="5"/>
  <c r="AK2200" i="5" s="1"/>
  <c r="AN2200" i="5"/>
  <c r="AO2200" i="5"/>
  <c r="AP2200" i="5"/>
  <c r="AR2200" i="5"/>
  <c r="AU2200" i="5"/>
  <c r="AV2200" i="5" s="1"/>
  <c r="AW2200" i="5"/>
  <c r="AX2200" i="5" s="1"/>
  <c r="AH2201" i="5"/>
  <c r="AH2202" i="5"/>
  <c r="AY2202" i="5" s="1"/>
  <c r="AN2201" i="5"/>
  <c r="AO2201" i="5"/>
  <c r="AP2201" i="5"/>
  <c r="AR2201" i="5"/>
  <c r="AU2201" i="5"/>
  <c r="AV2201" i="5" s="1"/>
  <c r="AW2201" i="5"/>
  <c r="AX2201" i="5" s="1"/>
  <c r="AN2202" i="5"/>
  <c r="AO2202" i="5"/>
  <c r="AP2202" i="5"/>
  <c r="AR2202" i="5"/>
  <c r="AS2202" i="5" s="1"/>
  <c r="AU2202" i="5"/>
  <c r="AV2202" i="5" s="1"/>
  <c r="AW2202" i="5"/>
  <c r="AX2202" i="5" s="1"/>
  <c r="AH2203" i="5"/>
  <c r="AL2203" i="5" s="1"/>
  <c r="AN2203" i="5"/>
  <c r="AO2203" i="5"/>
  <c r="AP2203" i="5"/>
  <c r="AH2204" i="5"/>
  <c r="AY2204" i="5" s="1"/>
  <c r="AN2204" i="5"/>
  <c r="AO2204" i="5"/>
  <c r="AP2204" i="5"/>
  <c r="AJ2205" i="5"/>
  <c r="AK2205" i="5"/>
  <c r="AL2205" i="5"/>
  <c r="AN2205" i="5"/>
  <c r="AO2205" i="5"/>
  <c r="AP2205" i="5"/>
  <c r="AR2205" i="5"/>
  <c r="AS2205" i="5" s="1"/>
  <c r="AU2205" i="5"/>
  <c r="AV2205" i="5" s="1"/>
  <c r="AW2205" i="5"/>
  <c r="AX2205" i="5" s="1"/>
  <c r="AH2206" i="5"/>
  <c r="AK2206" i="5" s="1"/>
  <c r="AN2206" i="5"/>
  <c r="AO2206" i="5"/>
  <c r="AP2206" i="5"/>
  <c r="AR2206" i="5"/>
  <c r="AS2206" i="5" s="1"/>
  <c r="AU2206" i="5"/>
  <c r="AV2206" i="5" s="1"/>
  <c r="AW2206" i="5"/>
  <c r="AX2206" i="5" s="1"/>
  <c r="AH2207" i="5"/>
  <c r="AZ2207" i="5" s="1"/>
  <c r="AN2207" i="5"/>
  <c r="AO2207" i="5"/>
  <c r="AP2207" i="5"/>
  <c r="AR2207" i="5"/>
  <c r="AT2207" i="5" s="1"/>
  <c r="AU2207" i="5"/>
  <c r="AV2207" i="5" s="1"/>
  <c r="AW2207" i="5"/>
  <c r="AX2207" i="5" s="1"/>
  <c r="AH2208" i="5"/>
  <c r="AN2208" i="5"/>
  <c r="AO2208" i="5"/>
  <c r="AP2208" i="5"/>
  <c r="AR2208" i="5"/>
  <c r="AU2208" i="5"/>
  <c r="AV2208" i="5" s="1"/>
  <c r="AW2208" i="5"/>
  <c r="AX2208" i="5" s="1"/>
  <c r="AH2209" i="5"/>
  <c r="AZ2209" i="5" s="1"/>
  <c r="AN2209" i="5"/>
  <c r="AO2209" i="5"/>
  <c r="AP2209" i="5"/>
  <c r="AR2209" i="5"/>
  <c r="AU2209" i="5"/>
  <c r="AV2209" i="5" s="1"/>
  <c r="AW2209" i="5"/>
  <c r="AX2209" i="5" s="1"/>
  <c r="AH2210" i="5"/>
  <c r="AN2210" i="5"/>
  <c r="AO2210" i="5"/>
  <c r="AP2210" i="5"/>
  <c r="AH2211" i="5"/>
  <c r="AI2212" i="5" s="1"/>
  <c r="AN2211" i="5"/>
  <c r="AO2211" i="5"/>
  <c r="AP2211" i="5"/>
  <c r="AJ2212" i="5"/>
  <c r="AK2212" i="5"/>
  <c r="AL2212" i="5"/>
  <c r="AN2212" i="5"/>
  <c r="AO2212" i="5"/>
  <c r="AP2212" i="5"/>
  <c r="AR2212" i="5"/>
  <c r="AS2212" i="5" s="1"/>
  <c r="AU2212" i="5"/>
  <c r="AV2212" i="5" s="1"/>
  <c r="AW2212" i="5"/>
  <c r="AX2212" i="5" s="1"/>
  <c r="AH2213" i="5"/>
  <c r="AI2213" i="5" s="1"/>
  <c r="AN2213" i="5"/>
  <c r="AO2213" i="5"/>
  <c r="AP2213" i="5"/>
  <c r="AR2213" i="5"/>
  <c r="AT2213" i="5" s="1"/>
  <c r="AU2213" i="5"/>
  <c r="AV2213" i="5" s="1"/>
  <c r="AW2213" i="5"/>
  <c r="AX2213" i="5" s="1"/>
  <c r="AH2214" i="5"/>
  <c r="AH2215" i="5"/>
  <c r="AJ2215" i="5" s="1"/>
  <c r="AN2214" i="5"/>
  <c r="AO2214" i="5"/>
  <c r="AP2214" i="5"/>
  <c r="AR2214" i="5"/>
  <c r="AU2214" i="5"/>
  <c r="AV2214" i="5" s="1"/>
  <c r="AW2214" i="5"/>
  <c r="AX2214" i="5" s="1"/>
  <c r="AN2215" i="5"/>
  <c r="AO2215" i="5"/>
  <c r="AP2215" i="5"/>
  <c r="AR2215" i="5"/>
  <c r="AS2215" i="5" s="1"/>
  <c r="AU2215" i="5"/>
  <c r="AV2215" i="5" s="1"/>
  <c r="AW2215" i="5"/>
  <c r="AX2215" i="5" s="1"/>
  <c r="AH2216" i="5"/>
  <c r="AN2216" i="5"/>
  <c r="AO2216" i="5"/>
  <c r="AP2216" i="5"/>
  <c r="AR2216" i="5"/>
  <c r="AT2216" i="5" s="1"/>
  <c r="AU2216" i="5"/>
  <c r="AV2216" i="5" s="1"/>
  <c r="AW2216" i="5"/>
  <c r="AX2216" i="5" s="1"/>
  <c r="AH2217" i="5"/>
  <c r="AN2217" i="5"/>
  <c r="AO2217" i="5"/>
  <c r="AP2217" i="5"/>
  <c r="AH2218" i="5"/>
  <c r="AY2218" i="5" s="1"/>
  <c r="AN2218" i="5"/>
  <c r="AO2218" i="5"/>
  <c r="AP2218" i="5"/>
  <c r="AJ2219" i="5"/>
  <c r="AK2219" i="5"/>
  <c r="AL2219" i="5"/>
  <c r="AN2219" i="5"/>
  <c r="AO2219" i="5"/>
  <c r="AP2219" i="5"/>
  <c r="AR2219" i="5"/>
  <c r="AS2219" i="5" s="1"/>
  <c r="AU2219" i="5"/>
  <c r="AV2219" i="5" s="1"/>
  <c r="AW2219" i="5"/>
  <c r="AX2219" i="5" s="1"/>
  <c r="AH2220" i="5"/>
  <c r="AL2220" i="5" s="1"/>
  <c r="AN2220" i="5"/>
  <c r="AO2220" i="5"/>
  <c r="AP2220" i="5"/>
  <c r="AR2220" i="5"/>
  <c r="AU2220" i="5"/>
  <c r="AV2220" i="5" s="1"/>
  <c r="AW2220" i="5"/>
  <c r="AX2220" i="5" s="1"/>
  <c r="AH2221" i="5"/>
  <c r="AN2221" i="5"/>
  <c r="AO2221" i="5"/>
  <c r="AP2221" i="5"/>
  <c r="AR2221" i="5"/>
  <c r="AT2221" i="5" s="1"/>
  <c r="AU2221" i="5"/>
  <c r="AV2221" i="5" s="1"/>
  <c r="AW2221" i="5"/>
  <c r="AX2221" i="5" s="1"/>
  <c r="AH2222" i="5"/>
  <c r="AY2222" i="5" s="1"/>
  <c r="AN2222" i="5"/>
  <c r="AO2222" i="5"/>
  <c r="AP2222" i="5"/>
  <c r="AR2222" i="5"/>
  <c r="AS2222" i="5" s="1"/>
  <c r="AU2222" i="5"/>
  <c r="AV2222" i="5" s="1"/>
  <c r="AW2222" i="5"/>
  <c r="AX2222" i="5" s="1"/>
  <c r="AH2223" i="5"/>
  <c r="AY2223" i="5" s="1"/>
  <c r="AN2223" i="5"/>
  <c r="AO2223" i="5"/>
  <c r="AP2223" i="5"/>
  <c r="AR2223" i="5"/>
  <c r="AU2223" i="5"/>
  <c r="AV2223" i="5" s="1"/>
  <c r="AW2223" i="5"/>
  <c r="AX2223" i="5" s="1"/>
  <c r="AH2224" i="5"/>
  <c r="AN2224" i="5"/>
  <c r="AO2224" i="5"/>
  <c r="AP2224" i="5"/>
  <c r="AH2225" i="5"/>
  <c r="AK2225" i="5" s="1"/>
  <c r="AN2225" i="5"/>
  <c r="AO2225" i="5"/>
  <c r="AP2225" i="5"/>
  <c r="AJ2226" i="5"/>
  <c r="AK2226" i="5"/>
  <c r="AL2226" i="5"/>
  <c r="AN2226" i="5"/>
  <c r="AO2226" i="5"/>
  <c r="AP2226" i="5"/>
  <c r="AR2226" i="5"/>
  <c r="AU2226" i="5"/>
  <c r="AV2226" i="5" s="1"/>
  <c r="AW2226" i="5"/>
  <c r="AX2226" i="5" s="1"/>
  <c r="AH2227" i="5"/>
  <c r="AZ2227" i="5" s="1"/>
  <c r="AN2227" i="5"/>
  <c r="AO2227" i="5"/>
  <c r="AP2227" i="5"/>
  <c r="AR2227" i="5"/>
  <c r="AT2227" i="5" s="1"/>
  <c r="AU2227" i="5"/>
  <c r="AV2227" i="5" s="1"/>
  <c r="AW2227" i="5"/>
  <c r="AX2227" i="5" s="1"/>
  <c r="AH2228" i="5"/>
  <c r="AJ2228" i="5" s="1"/>
  <c r="AN2228" i="5"/>
  <c r="AO2228" i="5"/>
  <c r="AP2228" i="5"/>
  <c r="AR2228" i="5"/>
  <c r="AT2228" i="5" s="1"/>
  <c r="AU2228" i="5"/>
  <c r="AV2228" i="5" s="1"/>
  <c r="AW2228" i="5"/>
  <c r="AX2228" i="5" s="1"/>
  <c r="AH2229" i="5"/>
  <c r="AZ2229" i="5" s="1"/>
  <c r="AN2229" i="5"/>
  <c r="AO2229" i="5"/>
  <c r="AP2229" i="5"/>
  <c r="AR2229" i="5"/>
  <c r="AU2229" i="5"/>
  <c r="AV2229" i="5" s="1"/>
  <c r="AW2229" i="5"/>
  <c r="AX2229" i="5" s="1"/>
  <c r="AH2230" i="5"/>
  <c r="AK2230" i="5" s="1"/>
  <c r="AN2230" i="5"/>
  <c r="AO2230" i="5"/>
  <c r="AP2230" i="5"/>
  <c r="AR2230" i="5"/>
  <c r="AS2230" i="5" s="1"/>
  <c r="AU2230" i="5"/>
  <c r="AV2230" i="5" s="1"/>
  <c r="AW2230" i="5"/>
  <c r="AX2230" i="5" s="1"/>
  <c r="AH2231" i="5"/>
  <c r="AZ2231" i="5" s="1"/>
  <c r="AN2231" i="5"/>
  <c r="AO2231" i="5"/>
  <c r="AP2231" i="5"/>
  <c r="AH2232" i="5"/>
  <c r="AN2232" i="5"/>
  <c r="AO2232" i="5"/>
  <c r="AP2232" i="5"/>
  <c r="AJ2233" i="5"/>
  <c r="AK2233" i="5"/>
  <c r="AL2233" i="5"/>
  <c r="AN2233" i="5"/>
  <c r="AO2233" i="5"/>
  <c r="AP2233" i="5"/>
  <c r="AR2233" i="5"/>
  <c r="AS2233" i="5" s="1"/>
  <c r="AU2233" i="5"/>
  <c r="AV2233" i="5" s="1"/>
  <c r="AW2233" i="5"/>
  <c r="AX2233" i="5" s="1"/>
  <c r="AH2234" i="5"/>
  <c r="AI2234" i="5" s="1"/>
  <c r="AN2234" i="5"/>
  <c r="AO2234" i="5"/>
  <c r="AP2234" i="5"/>
  <c r="AR2234" i="5"/>
  <c r="AS2234" i="5" s="1"/>
  <c r="AU2234" i="5"/>
  <c r="AV2234" i="5" s="1"/>
  <c r="AW2234" i="5"/>
  <c r="AX2234" i="5" s="1"/>
  <c r="AH2235" i="5"/>
  <c r="AN2235" i="5"/>
  <c r="AO2235" i="5"/>
  <c r="AP2235" i="5"/>
  <c r="AR2235" i="5"/>
  <c r="AT2235" i="5" s="1"/>
  <c r="AU2235" i="5"/>
  <c r="AV2235" i="5" s="1"/>
  <c r="AW2235" i="5"/>
  <c r="AX2235" i="5" s="1"/>
  <c r="AH2236" i="5"/>
  <c r="AY2236" i="5" s="1"/>
  <c r="AN2236" i="5"/>
  <c r="AO2236" i="5"/>
  <c r="AP2236" i="5"/>
  <c r="AR2236" i="5"/>
  <c r="AU2236" i="5"/>
  <c r="AV2236" i="5" s="1"/>
  <c r="AW2236" i="5"/>
  <c r="AX2236" i="5" s="1"/>
  <c r="AH2237" i="5"/>
  <c r="AZ2237" i="5" s="1"/>
  <c r="AN2237" i="5"/>
  <c r="AO2237" i="5"/>
  <c r="AP2237" i="5"/>
  <c r="AR2237" i="5"/>
  <c r="AS2237" i="5" s="1"/>
  <c r="AU2237" i="5"/>
  <c r="AV2237" i="5" s="1"/>
  <c r="AW2237" i="5"/>
  <c r="AX2237" i="5" s="1"/>
  <c r="AH2238" i="5"/>
  <c r="AU2238" i="5" s="1"/>
  <c r="AV2238" i="5" s="1"/>
  <c r="AN2238" i="5"/>
  <c r="AO2238" i="5"/>
  <c r="AP2238" i="5"/>
  <c r="AH2239" i="5"/>
  <c r="AN2239" i="5"/>
  <c r="AO2239" i="5"/>
  <c r="AP2239" i="5"/>
  <c r="AJ2240" i="5"/>
  <c r="AK2240" i="5"/>
  <c r="AL2240" i="5"/>
  <c r="AN2240" i="5"/>
  <c r="AO2240" i="5"/>
  <c r="AP2240" i="5"/>
  <c r="AR2240" i="5"/>
  <c r="AS2240" i="5" s="1"/>
  <c r="AU2240" i="5"/>
  <c r="AV2240" i="5" s="1"/>
  <c r="AW2240" i="5"/>
  <c r="AX2240" i="5" s="1"/>
  <c r="AH2241" i="5"/>
  <c r="AN2241" i="5"/>
  <c r="AO2241" i="5"/>
  <c r="AP2241" i="5"/>
  <c r="AR2241" i="5"/>
  <c r="AS2241" i="5" s="1"/>
  <c r="AU2241" i="5"/>
  <c r="AV2241" i="5" s="1"/>
  <c r="AW2241" i="5"/>
  <c r="AX2241" i="5" s="1"/>
  <c r="AH2242" i="5"/>
  <c r="AK2242" i="5" s="1"/>
  <c r="AN2242" i="5"/>
  <c r="AO2242" i="5"/>
  <c r="AP2242" i="5"/>
  <c r="AR2242" i="5"/>
  <c r="AS2242" i="5" s="1"/>
  <c r="AU2242" i="5"/>
  <c r="AV2242" i="5" s="1"/>
  <c r="AW2242" i="5"/>
  <c r="AX2242" i="5" s="1"/>
  <c r="AH2243" i="5"/>
  <c r="AY2243" i="5" s="1"/>
  <c r="AN2243" i="5"/>
  <c r="AO2243" i="5"/>
  <c r="AP2243" i="5"/>
  <c r="AR2243" i="5"/>
  <c r="AU2243" i="5"/>
  <c r="AV2243" i="5" s="1"/>
  <c r="AW2243" i="5"/>
  <c r="AX2243" i="5" s="1"/>
  <c r="AH2244" i="5"/>
  <c r="AN2244" i="5"/>
  <c r="AO2244" i="5"/>
  <c r="AP2244" i="5"/>
  <c r="AR2244" i="5"/>
  <c r="AU2244" i="5"/>
  <c r="AV2244" i="5" s="1"/>
  <c r="AW2244" i="5"/>
  <c r="AX2244" i="5" s="1"/>
  <c r="AH2245" i="5"/>
  <c r="AJ2245" i="5" s="1"/>
  <c r="AN2245" i="5"/>
  <c r="AO2245" i="5"/>
  <c r="AP2245" i="5"/>
  <c r="AH2246" i="5"/>
  <c r="AK2246" i="5" s="1"/>
  <c r="AN2246" i="5"/>
  <c r="AO2246" i="5"/>
  <c r="AP2246" i="5"/>
  <c r="AJ2247" i="5"/>
  <c r="AK2247" i="5"/>
  <c r="AL2247" i="5"/>
  <c r="AN2247" i="5"/>
  <c r="AO2247" i="5"/>
  <c r="AP2247" i="5"/>
  <c r="AR2247" i="5"/>
  <c r="AS2247" i="5" s="1"/>
  <c r="AU2247" i="5"/>
  <c r="AV2247" i="5" s="1"/>
  <c r="AW2247" i="5"/>
  <c r="AX2247" i="5" s="1"/>
  <c r="AH2248" i="5"/>
  <c r="AN2248" i="5"/>
  <c r="AO2248" i="5"/>
  <c r="AP2248" i="5"/>
  <c r="AR2248" i="5"/>
  <c r="AT2248" i="5" s="1"/>
  <c r="AU2248" i="5"/>
  <c r="AV2248" i="5" s="1"/>
  <c r="AW2248" i="5"/>
  <c r="AX2248" i="5" s="1"/>
  <c r="AH2249" i="5"/>
  <c r="AN2249" i="5"/>
  <c r="AO2249" i="5"/>
  <c r="AP2249" i="5"/>
  <c r="AR2249" i="5"/>
  <c r="AU2249" i="5"/>
  <c r="AV2249" i="5" s="1"/>
  <c r="AW2249" i="5"/>
  <c r="AX2249" i="5" s="1"/>
  <c r="AH2250" i="5"/>
  <c r="AN2250" i="5"/>
  <c r="AO2250" i="5"/>
  <c r="AP2250" i="5"/>
  <c r="AR2250" i="5"/>
  <c r="AT2250" i="5" s="1"/>
  <c r="AU2250" i="5"/>
  <c r="AV2250" i="5" s="1"/>
  <c r="AW2250" i="5"/>
  <c r="AX2250" i="5" s="1"/>
  <c r="AH2251" i="5"/>
  <c r="AZ2251" i="5" s="1"/>
  <c r="AN2251" i="5"/>
  <c r="AO2251" i="5"/>
  <c r="AP2251" i="5"/>
  <c r="AR2251" i="5"/>
  <c r="AU2251" i="5"/>
  <c r="AV2251" i="5" s="1"/>
  <c r="AW2251" i="5"/>
  <c r="AX2251" i="5" s="1"/>
  <c r="AH2252" i="5"/>
  <c r="AN2252" i="5"/>
  <c r="AO2252" i="5"/>
  <c r="AP2252" i="5"/>
  <c r="AH2253" i="5"/>
  <c r="AN2253" i="5"/>
  <c r="AO2253" i="5"/>
  <c r="AP2253" i="5"/>
  <c r="AJ2254" i="5"/>
  <c r="AK2254" i="5"/>
  <c r="AL2254" i="5"/>
  <c r="AN2254" i="5"/>
  <c r="AO2254" i="5"/>
  <c r="AP2254" i="5"/>
  <c r="AR2254" i="5"/>
  <c r="AS2254" i="5" s="1"/>
  <c r="AU2254" i="5"/>
  <c r="AV2254" i="5" s="1"/>
  <c r="AW2254" i="5"/>
  <c r="AX2254" i="5" s="1"/>
  <c r="AH2255" i="5"/>
  <c r="AN2255" i="5"/>
  <c r="AO2255" i="5"/>
  <c r="AP2255" i="5"/>
  <c r="AR2255" i="5"/>
  <c r="AU2255" i="5"/>
  <c r="AV2255" i="5" s="1"/>
  <c r="AW2255" i="5"/>
  <c r="AX2255" i="5" s="1"/>
  <c r="AH2256" i="5"/>
  <c r="AZ2256" i="5" s="1"/>
  <c r="AN2256" i="5"/>
  <c r="AO2256" i="5"/>
  <c r="AP2256" i="5"/>
  <c r="AR2256" i="5"/>
  <c r="AU2256" i="5"/>
  <c r="AV2256" i="5" s="1"/>
  <c r="AW2256" i="5"/>
  <c r="AX2256" i="5" s="1"/>
  <c r="AH2257" i="5"/>
  <c r="AN2257" i="5"/>
  <c r="AO2257" i="5"/>
  <c r="AP2257" i="5"/>
  <c r="AR2257" i="5"/>
  <c r="AT2257" i="5" s="1"/>
  <c r="AU2257" i="5"/>
  <c r="AV2257" i="5" s="1"/>
  <c r="AW2257" i="5"/>
  <c r="AX2257" i="5" s="1"/>
  <c r="AH2258" i="5"/>
  <c r="AL2258" i="5" s="1"/>
  <c r="AN2258" i="5"/>
  <c r="AO2258" i="5"/>
  <c r="AP2258" i="5"/>
  <c r="AR2258" i="5"/>
  <c r="AS2258" i="5" s="1"/>
  <c r="AU2258" i="5"/>
  <c r="AV2258" i="5" s="1"/>
  <c r="AW2258" i="5"/>
  <c r="AX2258" i="5" s="1"/>
  <c r="AH2259" i="5"/>
  <c r="AN2259" i="5"/>
  <c r="AO2259" i="5"/>
  <c r="AP2259" i="5"/>
  <c r="AH2260" i="5"/>
  <c r="AW2260" i="5" s="1"/>
  <c r="AX2260" i="5" s="1"/>
  <c r="AN2260" i="5"/>
  <c r="AO2260" i="5"/>
  <c r="AP2260" i="5"/>
  <c r="AJ2261" i="5"/>
  <c r="AK2261" i="5"/>
  <c r="AL2261" i="5"/>
  <c r="AN2261" i="5"/>
  <c r="AO2261" i="5"/>
  <c r="AP2261" i="5"/>
  <c r="AR2261" i="5"/>
  <c r="AU2261" i="5"/>
  <c r="AV2261" i="5" s="1"/>
  <c r="AW2261" i="5"/>
  <c r="AX2261" i="5" s="1"/>
  <c r="AH2262" i="5"/>
  <c r="AJ2262" i="5" s="1"/>
  <c r="AN2262" i="5"/>
  <c r="AO2262" i="5"/>
  <c r="AP2262" i="5"/>
  <c r="AR2262" i="5"/>
  <c r="AS2262" i="5" s="1"/>
  <c r="AU2262" i="5"/>
  <c r="AV2262" i="5" s="1"/>
  <c r="AW2262" i="5"/>
  <c r="AX2262" i="5" s="1"/>
  <c r="AH2263" i="5"/>
  <c r="AJ2263" i="5" s="1"/>
  <c r="AN2263" i="5"/>
  <c r="AO2263" i="5"/>
  <c r="AP2263" i="5"/>
  <c r="AR2263" i="5"/>
  <c r="AU2263" i="5"/>
  <c r="AV2263" i="5" s="1"/>
  <c r="AW2263" i="5"/>
  <c r="AX2263" i="5" s="1"/>
  <c r="AH2264" i="5"/>
  <c r="AJ2264" i="5" s="1"/>
  <c r="AN2264" i="5"/>
  <c r="AO2264" i="5"/>
  <c r="AP2264" i="5"/>
  <c r="AR2264" i="5"/>
  <c r="AT2264" i="5" s="1"/>
  <c r="AU2264" i="5"/>
  <c r="AV2264" i="5" s="1"/>
  <c r="AW2264" i="5"/>
  <c r="AX2264" i="5" s="1"/>
  <c r="AH2265" i="5"/>
  <c r="AY2265" i="5" s="1"/>
  <c r="AN2265" i="5"/>
  <c r="AO2265" i="5"/>
  <c r="AP2265" i="5"/>
  <c r="AR2265" i="5"/>
  <c r="AU2265" i="5"/>
  <c r="AV2265" i="5" s="1"/>
  <c r="AW2265" i="5"/>
  <c r="AX2265" i="5" s="1"/>
  <c r="AH2266" i="5"/>
  <c r="AW2266" i="5" s="1"/>
  <c r="AX2266" i="5" s="1"/>
  <c r="AN2266" i="5"/>
  <c r="AO2266" i="5"/>
  <c r="AP2266" i="5"/>
  <c r="AH2267" i="5"/>
  <c r="AU2267" i="5" s="1"/>
  <c r="AV2267" i="5" s="1"/>
  <c r="AN2267" i="5"/>
  <c r="AO2267" i="5"/>
  <c r="AP2267" i="5"/>
  <c r="AJ2268" i="5"/>
  <c r="AK2268" i="5"/>
  <c r="AL2268" i="5"/>
  <c r="AN2268" i="5"/>
  <c r="AO2268" i="5"/>
  <c r="AP2268" i="5"/>
  <c r="AR2268" i="5"/>
  <c r="AU2268" i="5"/>
  <c r="AV2268" i="5" s="1"/>
  <c r="AW2268" i="5"/>
  <c r="AX2268" i="5" s="1"/>
  <c r="AH2269" i="5"/>
  <c r="AN2269" i="5"/>
  <c r="AO2269" i="5"/>
  <c r="AP2269" i="5"/>
  <c r="AR2269" i="5"/>
  <c r="AU2269" i="5"/>
  <c r="AV2269" i="5" s="1"/>
  <c r="AW2269" i="5"/>
  <c r="AX2269" i="5" s="1"/>
  <c r="AH2270" i="5"/>
  <c r="AK2270" i="5" s="1"/>
  <c r="AN2270" i="5"/>
  <c r="AO2270" i="5"/>
  <c r="AP2270" i="5"/>
  <c r="AR2270" i="5"/>
  <c r="AT2270" i="5" s="1"/>
  <c r="AU2270" i="5"/>
  <c r="AV2270" i="5" s="1"/>
  <c r="AW2270" i="5"/>
  <c r="AX2270" i="5" s="1"/>
  <c r="AH2271" i="5"/>
  <c r="AN2271" i="5"/>
  <c r="AO2271" i="5"/>
  <c r="AP2271" i="5"/>
  <c r="AR2271" i="5"/>
  <c r="AU2271" i="5"/>
  <c r="AV2271" i="5" s="1"/>
  <c r="AW2271" i="5"/>
  <c r="AX2271" i="5" s="1"/>
  <c r="AH2272" i="5"/>
  <c r="AJ2272" i="5" s="1"/>
  <c r="AN2272" i="5"/>
  <c r="AO2272" i="5"/>
  <c r="AP2272" i="5"/>
  <c r="AR2272" i="5"/>
  <c r="AS2272" i="5" s="1"/>
  <c r="AU2272" i="5"/>
  <c r="AV2272" i="5" s="1"/>
  <c r="AW2272" i="5"/>
  <c r="AX2272" i="5" s="1"/>
  <c r="AH2273" i="5"/>
  <c r="AN2273" i="5"/>
  <c r="AO2273" i="5"/>
  <c r="AP2273" i="5"/>
  <c r="AH2274" i="5"/>
  <c r="AU2274" i="5" s="1"/>
  <c r="AV2274" i="5" s="1"/>
  <c r="AN2274" i="5"/>
  <c r="AO2274" i="5"/>
  <c r="AP2274" i="5"/>
  <c r="AJ2275" i="5"/>
  <c r="AK2275" i="5"/>
  <c r="AL2275" i="5"/>
  <c r="AN2275" i="5"/>
  <c r="AO2275" i="5"/>
  <c r="AP2275" i="5"/>
  <c r="AR2275" i="5"/>
  <c r="AT2275" i="5" s="1"/>
  <c r="AU2275" i="5"/>
  <c r="AV2275" i="5" s="1"/>
  <c r="AW2275" i="5"/>
  <c r="AX2275" i="5" s="1"/>
  <c r="AH2276" i="5"/>
  <c r="AK2276" i="5" s="1"/>
  <c r="AN2276" i="5"/>
  <c r="AO2276" i="5"/>
  <c r="AP2276" i="5"/>
  <c r="AR2276" i="5"/>
  <c r="AS2276" i="5" s="1"/>
  <c r="AU2276" i="5"/>
  <c r="AV2276" i="5" s="1"/>
  <c r="AW2276" i="5"/>
  <c r="AX2276" i="5" s="1"/>
  <c r="AH2277" i="5"/>
  <c r="AN2277" i="5"/>
  <c r="AO2277" i="5"/>
  <c r="AP2277" i="5"/>
  <c r="AR2277" i="5"/>
  <c r="AU2277" i="5"/>
  <c r="AV2277" i="5" s="1"/>
  <c r="AW2277" i="5"/>
  <c r="AX2277" i="5" s="1"/>
  <c r="AH2278" i="5"/>
  <c r="AK2278" i="5" s="1"/>
  <c r="AN2278" i="5"/>
  <c r="AO2278" i="5"/>
  <c r="AP2278" i="5"/>
  <c r="AR2278" i="5"/>
  <c r="AS2278" i="5" s="1"/>
  <c r="AU2278" i="5"/>
  <c r="AV2278" i="5" s="1"/>
  <c r="AW2278" i="5"/>
  <c r="AX2278" i="5" s="1"/>
  <c r="AH2279" i="5"/>
  <c r="AY2279" i="5" s="1"/>
  <c r="AN2279" i="5"/>
  <c r="AO2279" i="5"/>
  <c r="AP2279" i="5"/>
  <c r="AR2279" i="5"/>
  <c r="AT2279" i="5" s="1"/>
  <c r="AU2279" i="5"/>
  <c r="AV2279" i="5" s="1"/>
  <c r="AW2279" i="5"/>
  <c r="AX2279" i="5" s="1"/>
  <c r="AH2280" i="5"/>
  <c r="AW2280" i="5" s="1"/>
  <c r="AX2280" i="5" s="1"/>
  <c r="AN2280" i="5"/>
  <c r="AO2280" i="5"/>
  <c r="AP2280" i="5"/>
  <c r="AH2281" i="5"/>
  <c r="AR2281" i="5" s="1"/>
  <c r="AS2281" i="5" s="1"/>
  <c r="AN2281" i="5"/>
  <c r="AO2281" i="5"/>
  <c r="AP2281" i="5"/>
  <c r="AJ2282" i="5"/>
  <c r="AK2282" i="5"/>
  <c r="AL2282" i="5"/>
  <c r="AN2282" i="5"/>
  <c r="AO2282" i="5"/>
  <c r="AP2282" i="5"/>
  <c r="AR2282" i="5"/>
  <c r="AS2282" i="5" s="1"/>
  <c r="AU2282" i="5"/>
  <c r="AV2282" i="5" s="1"/>
  <c r="AW2282" i="5"/>
  <c r="AX2282" i="5" s="1"/>
  <c r="AH2283" i="5"/>
  <c r="AK2283" i="5" s="1"/>
  <c r="AN2283" i="5"/>
  <c r="AO2283" i="5"/>
  <c r="AP2283" i="5"/>
  <c r="AR2283" i="5"/>
  <c r="AS2283" i="5" s="1"/>
  <c r="AU2283" i="5"/>
  <c r="AV2283" i="5" s="1"/>
  <c r="AW2283" i="5"/>
  <c r="AX2283" i="5" s="1"/>
  <c r="AH2284" i="5"/>
  <c r="AK2284" i="5" s="1"/>
  <c r="AN2284" i="5"/>
  <c r="AO2284" i="5"/>
  <c r="AP2284" i="5"/>
  <c r="AR2284" i="5"/>
  <c r="AT2284" i="5" s="1"/>
  <c r="AU2284" i="5"/>
  <c r="AV2284" i="5" s="1"/>
  <c r="AW2284" i="5"/>
  <c r="AX2284" i="5" s="1"/>
  <c r="AH2285" i="5"/>
  <c r="AZ2285" i="5" s="1"/>
  <c r="AN2285" i="5"/>
  <c r="AO2285" i="5"/>
  <c r="AP2285" i="5"/>
  <c r="AR2285" i="5"/>
  <c r="AU2285" i="5"/>
  <c r="AV2285" i="5" s="1"/>
  <c r="AW2285" i="5"/>
  <c r="AX2285" i="5" s="1"/>
  <c r="AH2286" i="5"/>
  <c r="AZ2286" i="5" s="1"/>
  <c r="AN2286" i="5"/>
  <c r="AO2286" i="5"/>
  <c r="AP2286" i="5"/>
  <c r="AR2286" i="5"/>
  <c r="AT2286" i="5" s="1"/>
  <c r="AU2286" i="5"/>
  <c r="AV2286" i="5" s="1"/>
  <c r="AW2286" i="5"/>
  <c r="AX2286" i="5" s="1"/>
  <c r="AH2287" i="5"/>
  <c r="AN2287" i="5"/>
  <c r="AO2287" i="5"/>
  <c r="AP2287" i="5"/>
  <c r="AH2288" i="5"/>
  <c r="AL2288" i="5" s="1"/>
  <c r="AN2288" i="5"/>
  <c r="AO2288" i="5"/>
  <c r="AP2288" i="5"/>
  <c r="AJ2289" i="5"/>
  <c r="AK2289" i="5"/>
  <c r="AL2289" i="5"/>
  <c r="AN2289" i="5"/>
  <c r="AO2289" i="5"/>
  <c r="AP2289" i="5"/>
  <c r="AR2289" i="5"/>
  <c r="AU2289" i="5"/>
  <c r="AV2289" i="5" s="1"/>
  <c r="AW2289" i="5"/>
  <c r="AX2289" i="5" s="1"/>
  <c r="AH2290" i="5"/>
  <c r="AN2290" i="5"/>
  <c r="AO2290" i="5"/>
  <c r="AP2290" i="5"/>
  <c r="AR2290" i="5"/>
  <c r="AT2290" i="5" s="1"/>
  <c r="AU2290" i="5"/>
  <c r="AV2290" i="5" s="1"/>
  <c r="AW2290" i="5"/>
  <c r="AX2290" i="5" s="1"/>
  <c r="AH2291" i="5"/>
  <c r="AZ2291" i="5" s="1"/>
  <c r="AN2291" i="5"/>
  <c r="AO2291" i="5"/>
  <c r="AP2291" i="5"/>
  <c r="AR2291" i="5"/>
  <c r="AU2291" i="5"/>
  <c r="AV2291" i="5" s="1"/>
  <c r="AW2291" i="5"/>
  <c r="AX2291" i="5" s="1"/>
  <c r="AH2292" i="5"/>
  <c r="AK2292" i="5" s="1"/>
  <c r="AN2292" i="5"/>
  <c r="AO2292" i="5"/>
  <c r="AP2292" i="5"/>
  <c r="AR2292" i="5"/>
  <c r="AS2292" i="5" s="1"/>
  <c r="AU2292" i="5"/>
  <c r="AV2292" i="5" s="1"/>
  <c r="AW2292" i="5"/>
  <c r="AX2292" i="5" s="1"/>
  <c r="AH2293" i="5"/>
  <c r="AN2293" i="5"/>
  <c r="AO2293" i="5"/>
  <c r="AP2293" i="5"/>
  <c r="AR2293" i="5"/>
  <c r="AS2293" i="5" s="1"/>
  <c r="AU2293" i="5"/>
  <c r="AV2293" i="5" s="1"/>
  <c r="AW2293" i="5"/>
  <c r="AX2293" i="5" s="1"/>
  <c r="AH2294" i="5"/>
  <c r="AJ2294" i="5" s="1"/>
  <c r="AN2294" i="5"/>
  <c r="AO2294" i="5"/>
  <c r="AP2294" i="5"/>
  <c r="AH2295" i="5"/>
  <c r="AN2295" i="5"/>
  <c r="AO2295" i="5"/>
  <c r="AP2295" i="5"/>
  <c r="AJ2296" i="5"/>
  <c r="AK2296" i="5"/>
  <c r="AL2296" i="5"/>
  <c r="AN2296" i="5"/>
  <c r="AO2296" i="5"/>
  <c r="AP2296" i="5"/>
  <c r="AR2296" i="5"/>
  <c r="AS2296" i="5" s="1"/>
  <c r="AU2296" i="5"/>
  <c r="AV2296" i="5" s="1"/>
  <c r="AW2296" i="5"/>
  <c r="AX2296" i="5" s="1"/>
  <c r="AH2297" i="5"/>
  <c r="AN2297" i="5"/>
  <c r="AO2297" i="5"/>
  <c r="AP2297" i="5"/>
  <c r="AR2297" i="5"/>
  <c r="AU2297" i="5"/>
  <c r="AV2297" i="5" s="1"/>
  <c r="AW2297" i="5"/>
  <c r="AX2297" i="5" s="1"/>
  <c r="AH2298" i="5"/>
  <c r="AZ2298" i="5" s="1"/>
  <c r="AN2298" i="5"/>
  <c r="AO2298" i="5"/>
  <c r="AP2298" i="5"/>
  <c r="AR2298" i="5"/>
  <c r="AU2298" i="5"/>
  <c r="AV2298" i="5" s="1"/>
  <c r="AW2298" i="5"/>
  <c r="AX2298" i="5" s="1"/>
  <c r="AH2299" i="5"/>
  <c r="AN2299" i="5"/>
  <c r="AO2299" i="5"/>
  <c r="AP2299" i="5"/>
  <c r="AR2299" i="5"/>
  <c r="AT2299" i="5" s="1"/>
  <c r="AU2299" i="5"/>
  <c r="AV2299" i="5" s="1"/>
  <c r="AW2299" i="5"/>
  <c r="AX2299" i="5" s="1"/>
  <c r="AH2300" i="5"/>
  <c r="AZ2300" i="5" s="1"/>
  <c r="AN2300" i="5"/>
  <c r="AO2300" i="5"/>
  <c r="AP2300" i="5"/>
  <c r="AR2300" i="5"/>
  <c r="AS2300" i="5" s="1"/>
  <c r="AU2300" i="5"/>
  <c r="AV2300" i="5" s="1"/>
  <c r="AW2300" i="5"/>
  <c r="AX2300" i="5" s="1"/>
  <c r="AH2301" i="5"/>
  <c r="AZ2301" i="5" s="1"/>
  <c r="AN2301" i="5"/>
  <c r="AO2301" i="5"/>
  <c r="AP2301" i="5"/>
  <c r="AH2302" i="5"/>
  <c r="AN2302" i="5"/>
  <c r="AO2302" i="5"/>
  <c r="AP2302" i="5"/>
  <c r="AJ2303" i="5"/>
  <c r="AK2303" i="5"/>
  <c r="AL2303" i="5"/>
  <c r="AN2303" i="5"/>
  <c r="AO2303" i="5"/>
  <c r="AP2303" i="5"/>
  <c r="AR2303" i="5"/>
  <c r="AT2303" i="5" s="1"/>
  <c r="AU2303" i="5"/>
  <c r="AV2303" i="5" s="1"/>
  <c r="AW2303" i="5"/>
  <c r="AX2303" i="5" s="1"/>
  <c r="AH2304" i="5"/>
  <c r="AK2304" i="5" s="1"/>
  <c r="AN2304" i="5"/>
  <c r="AO2304" i="5"/>
  <c r="AP2304" i="5"/>
  <c r="AR2304" i="5"/>
  <c r="AS2304" i="5" s="1"/>
  <c r="AU2304" i="5"/>
  <c r="AV2304" i="5" s="1"/>
  <c r="AW2304" i="5"/>
  <c r="AX2304" i="5" s="1"/>
  <c r="AH2305" i="5"/>
  <c r="AK2305" i="5" s="1"/>
  <c r="AN2305" i="5"/>
  <c r="AO2305" i="5"/>
  <c r="AP2305" i="5"/>
  <c r="AR2305" i="5"/>
  <c r="AU2305" i="5"/>
  <c r="AV2305" i="5" s="1"/>
  <c r="AW2305" i="5"/>
  <c r="AX2305" i="5" s="1"/>
  <c r="AH2306" i="5"/>
  <c r="AK2306" i="5" s="1"/>
  <c r="AN2306" i="5"/>
  <c r="AO2306" i="5"/>
  <c r="AP2306" i="5"/>
  <c r="AR2306" i="5"/>
  <c r="AS2306" i="5" s="1"/>
  <c r="AU2306" i="5"/>
  <c r="AV2306" i="5" s="1"/>
  <c r="AW2306" i="5"/>
  <c r="AX2306" i="5" s="1"/>
  <c r="AH2307" i="5"/>
  <c r="AJ2307" i="5" s="1"/>
  <c r="AN2307" i="5"/>
  <c r="AO2307" i="5"/>
  <c r="AP2307" i="5"/>
  <c r="AR2307" i="5"/>
  <c r="AU2307" i="5"/>
  <c r="AV2307" i="5" s="1"/>
  <c r="AW2307" i="5"/>
  <c r="AX2307" i="5" s="1"/>
  <c r="AH2308" i="5"/>
  <c r="AN2308" i="5"/>
  <c r="AO2308" i="5"/>
  <c r="AP2308" i="5"/>
  <c r="AH2309" i="5"/>
  <c r="AW2309" i="5" s="1"/>
  <c r="AX2309" i="5" s="1"/>
  <c r="AN2309" i="5"/>
  <c r="AO2309" i="5"/>
  <c r="AP2309" i="5"/>
  <c r="AJ2310" i="5"/>
  <c r="AK2310" i="5"/>
  <c r="AL2310" i="5"/>
  <c r="AN2310" i="5"/>
  <c r="AO2310" i="5"/>
  <c r="AP2310" i="5"/>
  <c r="AR2310" i="5"/>
  <c r="AS2310" i="5" s="1"/>
  <c r="AU2310" i="5"/>
  <c r="AV2310" i="5" s="1"/>
  <c r="AW2310" i="5"/>
  <c r="AX2310" i="5" s="1"/>
  <c r="AH2311" i="5"/>
  <c r="AN2311" i="5"/>
  <c r="AO2311" i="5"/>
  <c r="AP2311" i="5"/>
  <c r="AR2311" i="5"/>
  <c r="AS2311" i="5" s="1"/>
  <c r="AU2311" i="5"/>
  <c r="AV2311" i="5" s="1"/>
  <c r="AW2311" i="5"/>
  <c r="AX2311" i="5" s="1"/>
  <c r="AH2312" i="5"/>
  <c r="AK2312" i="5" s="1"/>
  <c r="AN2312" i="5"/>
  <c r="AO2312" i="5"/>
  <c r="AP2312" i="5"/>
  <c r="AR2312" i="5"/>
  <c r="AS2312" i="5" s="1"/>
  <c r="AU2312" i="5"/>
  <c r="AV2312" i="5" s="1"/>
  <c r="AW2312" i="5"/>
  <c r="AX2312" i="5" s="1"/>
  <c r="AH2313" i="5"/>
  <c r="AN2313" i="5"/>
  <c r="AO2313" i="5"/>
  <c r="AP2313" i="5"/>
  <c r="AR2313" i="5"/>
  <c r="AS2313" i="5" s="1"/>
  <c r="AU2313" i="5"/>
  <c r="AV2313" i="5" s="1"/>
  <c r="AW2313" i="5"/>
  <c r="AX2313" i="5" s="1"/>
  <c r="AH2314" i="5"/>
  <c r="AL2314" i="5" s="1"/>
  <c r="AN2314" i="5"/>
  <c r="AO2314" i="5"/>
  <c r="AP2314" i="5"/>
  <c r="AR2314" i="5"/>
  <c r="AU2314" i="5"/>
  <c r="AV2314" i="5" s="1"/>
  <c r="AW2314" i="5"/>
  <c r="AX2314" i="5" s="1"/>
  <c r="AH2315" i="5"/>
  <c r="AW2315" i="5" s="1"/>
  <c r="AX2315" i="5" s="1"/>
  <c r="AN2315" i="5"/>
  <c r="AO2315" i="5"/>
  <c r="AP2315" i="5"/>
  <c r="AH2316" i="5"/>
  <c r="AN2316" i="5"/>
  <c r="AO2316" i="5"/>
  <c r="AP2316" i="5"/>
  <c r="AJ2317" i="5"/>
  <c r="AK2317" i="5"/>
  <c r="AL2317" i="5"/>
  <c r="AN2317" i="5"/>
  <c r="AO2317" i="5"/>
  <c r="AP2317" i="5"/>
  <c r="AR2317" i="5"/>
  <c r="AU2317" i="5"/>
  <c r="AV2317" i="5" s="1"/>
  <c r="AW2317" i="5"/>
  <c r="AX2317" i="5" s="1"/>
  <c r="AH2318" i="5"/>
  <c r="AL2318" i="5" s="1"/>
  <c r="AH2319" i="5"/>
  <c r="AN2318" i="5"/>
  <c r="AO2318" i="5"/>
  <c r="AP2318" i="5"/>
  <c r="AR2318" i="5"/>
  <c r="AU2318" i="5"/>
  <c r="AV2318" i="5" s="1"/>
  <c r="AW2318" i="5"/>
  <c r="AX2318" i="5" s="1"/>
  <c r="AN2319" i="5"/>
  <c r="AO2319" i="5"/>
  <c r="AP2319" i="5"/>
  <c r="AR2319" i="5"/>
  <c r="AS2319" i="5" s="1"/>
  <c r="AU2319" i="5"/>
  <c r="AV2319" i="5" s="1"/>
  <c r="AW2319" i="5"/>
  <c r="AX2319" i="5" s="1"/>
  <c r="AH2320" i="5"/>
  <c r="AY2320" i="5" s="1"/>
  <c r="AN2320" i="5"/>
  <c r="AO2320" i="5"/>
  <c r="AP2320" i="5"/>
  <c r="AR2320" i="5"/>
  <c r="AT2320" i="5" s="1"/>
  <c r="AU2320" i="5"/>
  <c r="AV2320" i="5" s="1"/>
  <c r="AW2320" i="5"/>
  <c r="AX2320" i="5" s="1"/>
  <c r="AH2321" i="5"/>
  <c r="AJ2321" i="5" s="1"/>
  <c r="AN2321" i="5"/>
  <c r="AO2321" i="5"/>
  <c r="AP2321" i="5"/>
  <c r="AR2321" i="5"/>
  <c r="AU2321" i="5"/>
  <c r="AV2321" i="5" s="1"/>
  <c r="AW2321" i="5"/>
  <c r="AX2321" i="5" s="1"/>
  <c r="AH2322" i="5"/>
  <c r="AN2322" i="5"/>
  <c r="AO2322" i="5"/>
  <c r="AP2322" i="5"/>
  <c r="AH2323" i="5"/>
  <c r="AI2324" i="5" s="1"/>
  <c r="AN2323" i="5"/>
  <c r="AO2323" i="5"/>
  <c r="AP2323" i="5"/>
  <c r="AJ2324" i="5"/>
  <c r="AK2324" i="5"/>
  <c r="AL2324" i="5"/>
  <c r="AN2324" i="5"/>
  <c r="AO2324" i="5"/>
  <c r="AP2324" i="5"/>
  <c r="AR2324" i="5"/>
  <c r="AS2324" i="5" s="1"/>
  <c r="AU2324" i="5"/>
  <c r="AV2324" i="5" s="1"/>
  <c r="AW2324" i="5"/>
  <c r="AX2324" i="5" s="1"/>
  <c r="AH2325" i="5"/>
  <c r="AN2325" i="5"/>
  <c r="AO2325" i="5"/>
  <c r="AP2325" i="5"/>
  <c r="AR2325" i="5"/>
  <c r="AU2325" i="5"/>
  <c r="AV2325" i="5" s="1"/>
  <c r="AW2325" i="5"/>
  <c r="AX2325" i="5" s="1"/>
  <c r="AH2326" i="5"/>
  <c r="AZ2326" i="5" s="1"/>
  <c r="AN2326" i="5"/>
  <c r="AO2326" i="5"/>
  <c r="AP2326" i="5"/>
  <c r="AR2326" i="5"/>
  <c r="AT2326" i="5" s="1"/>
  <c r="AU2326" i="5"/>
  <c r="AV2326" i="5" s="1"/>
  <c r="AW2326" i="5"/>
  <c r="AX2326" i="5" s="1"/>
  <c r="AH2327" i="5"/>
  <c r="AN2327" i="5"/>
  <c r="AO2327" i="5"/>
  <c r="AP2327" i="5"/>
  <c r="AR2327" i="5"/>
  <c r="AU2327" i="5"/>
  <c r="AV2327" i="5" s="1"/>
  <c r="AW2327" i="5"/>
  <c r="AX2327" i="5" s="1"/>
  <c r="AH2328" i="5"/>
  <c r="AN2328" i="5"/>
  <c r="AO2328" i="5"/>
  <c r="AP2328" i="5"/>
  <c r="AH2329" i="5"/>
  <c r="AY2329" i="5" s="1"/>
  <c r="AN2329" i="5"/>
  <c r="AO2329" i="5"/>
  <c r="AP2329" i="5"/>
  <c r="AJ2330" i="5"/>
  <c r="AK2330" i="5"/>
  <c r="AL2330" i="5"/>
  <c r="AN2330" i="5"/>
  <c r="AO2330" i="5"/>
  <c r="AP2330" i="5"/>
  <c r="AR2330" i="5"/>
  <c r="AT2330" i="5" s="1"/>
  <c r="AU2330" i="5"/>
  <c r="AV2330" i="5" s="1"/>
  <c r="AW2330" i="5"/>
  <c r="AX2330" i="5" s="1"/>
  <c r="AH2331" i="5"/>
  <c r="AN2331" i="5"/>
  <c r="AO2331" i="5"/>
  <c r="AP2331" i="5"/>
  <c r="AR2331" i="5"/>
  <c r="AT2331" i="5" s="1"/>
  <c r="AU2331" i="5"/>
  <c r="AV2331" i="5" s="1"/>
  <c r="AW2331" i="5"/>
  <c r="AX2331" i="5" s="1"/>
  <c r="AH2332" i="5"/>
  <c r="AL2332" i="5" s="1"/>
  <c r="AN2332" i="5"/>
  <c r="AO2332" i="5"/>
  <c r="AP2332" i="5"/>
  <c r="AR2332" i="5"/>
  <c r="AT2332" i="5" s="1"/>
  <c r="AU2332" i="5"/>
  <c r="AV2332" i="5" s="1"/>
  <c r="AW2332" i="5"/>
  <c r="AX2332" i="5" s="1"/>
  <c r="AH2333" i="5"/>
  <c r="AN2333" i="5"/>
  <c r="AO2333" i="5"/>
  <c r="AP2333" i="5"/>
  <c r="AR2333" i="5"/>
  <c r="AU2333" i="5"/>
  <c r="AV2333" i="5" s="1"/>
  <c r="AW2333" i="5"/>
  <c r="AX2333" i="5" s="1"/>
  <c r="AH2334" i="5"/>
  <c r="AL2334" i="5" s="1"/>
  <c r="AN2334" i="5"/>
  <c r="AO2334" i="5"/>
  <c r="AP2334" i="5"/>
  <c r="AH2335" i="5"/>
  <c r="AY2335" i="5" s="1"/>
  <c r="AN2335" i="5"/>
  <c r="AO2335" i="5"/>
  <c r="AP2335" i="5"/>
  <c r="AJ2336" i="5"/>
  <c r="AK2336" i="5"/>
  <c r="AL2336" i="5"/>
  <c r="AN2336" i="5"/>
  <c r="AO2336" i="5"/>
  <c r="AP2336" i="5"/>
  <c r="AR2336" i="5"/>
  <c r="AS2336" i="5" s="1"/>
  <c r="AU2336" i="5"/>
  <c r="AV2336" i="5" s="1"/>
  <c r="AW2336" i="5"/>
  <c r="AX2336" i="5" s="1"/>
  <c r="AH2337" i="5"/>
  <c r="AN2337" i="5"/>
  <c r="AO2337" i="5"/>
  <c r="AP2337" i="5"/>
  <c r="AR2337" i="5"/>
  <c r="AU2337" i="5"/>
  <c r="AV2337" i="5" s="1"/>
  <c r="AW2337" i="5"/>
  <c r="AX2337" i="5" s="1"/>
  <c r="AH2338" i="5"/>
  <c r="AZ2338" i="5" s="1"/>
  <c r="AN2338" i="5"/>
  <c r="AO2338" i="5"/>
  <c r="AP2338" i="5"/>
  <c r="AR2338" i="5"/>
  <c r="AS2338" i="5" s="1"/>
  <c r="AU2338" i="5"/>
  <c r="AV2338" i="5" s="1"/>
  <c r="AW2338" i="5"/>
  <c r="AX2338" i="5" s="1"/>
  <c r="AH2339" i="5"/>
  <c r="AJ2339" i="5" s="1"/>
  <c r="AN2339" i="5"/>
  <c r="AO2339" i="5"/>
  <c r="AP2339" i="5"/>
  <c r="AR2339" i="5"/>
  <c r="AS2339" i="5" s="1"/>
  <c r="AU2339" i="5"/>
  <c r="AV2339" i="5" s="1"/>
  <c r="AW2339" i="5"/>
  <c r="AX2339" i="5" s="1"/>
  <c r="AH2340" i="5"/>
  <c r="AR2340" i="5" s="1"/>
  <c r="AN2340" i="5"/>
  <c r="AO2340" i="5"/>
  <c r="AP2340" i="5"/>
  <c r="AH2341" i="5"/>
  <c r="AK2341" i="5" s="1"/>
  <c r="AN2341" i="5"/>
  <c r="AO2341" i="5"/>
  <c r="AP2341" i="5"/>
  <c r="AJ2342" i="5"/>
  <c r="AK2342" i="5"/>
  <c r="AL2342" i="5"/>
  <c r="AN2342" i="5"/>
  <c r="AO2342" i="5"/>
  <c r="AP2342" i="5"/>
  <c r="AR2342" i="5"/>
  <c r="AU2342" i="5"/>
  <c r="AV2342" i="5" s="1"/>
  <c r="AW2342" i="5"/>
  <c r="AX2342" i="5" s="1"/>
  <c r="AH2343" i="5"/>
  <c r="AY2343" i="5" s="1"/>
  <c r="AN2343" i="5"/>
  <c r="AO2343" i="5"/>
  <c r="AP2343" i="5"/>
  <c r="AR2343" i="5"/>
  <c r="AU2343" i="5"/>
  <c r="AV2343" i="5" s="1"/>
  <c r="AW2343" i="5"/>
  <c r="AX2343" i="5" s="1"/>
  <c r="AH2344" i="5"/>
  <c r="AJ2344" i="5" s="1"/>
  <c r="AN2344" i="5"/>
  <c r="AO2344" i="5"/>
  <c r="AP2344" i="5"/>
  <c r="AR2344" i="5"/>
  <c r="AU2344" i="5"/>
  <c r="AV2344" i="5" s="1"/>
  <c r="AW2344" i="5"/>
  <c r="AX2344" i="5" s="1"/>
  <c r="AH2345" i="5"/>
  <c r="AN2345" i="5"/>
  <c r="AO2345" i="5"/>
  <c r="AP2345" i="5"/>
  <c r="AR2345" i="5"/>
  <c r="AS2345" i="5" s="1"/>
  <c r="AU2345" i="5"/>
  <c r="AV2345" i="5" s="1"/>
  <c r="AW2345" i="5"/>
  <c r="AX2345" i="5" s="1"/>
  <c r="AH2346" i="5"/>
  <c r="AK2346" i="5" s="1"/>
  <c r="AN2346" i="5"/>
  <c r="AO2346" i="5"/>
  <c r="AP2346" i="5"/>
  <c r="AH2347" i="5"/>
  <c r="AN2347" i="5"/>
  <c r="AO2347" i="5"/>
  <c r="AP2347" i="5"/>
  <c r="AJ2348" i="5"/>
  <c r="AK2348" i="5"/>
  <c r="AL2348" i="5"/>
  <c r="AN2348" i="5"/>
  <c r="AO2348" i="5"/>
  <c r="AP2348" i="5"/>
  <c r="AR2348" i="5"/>
  <c r="AS2348" i="5" s="1"/>
  <c r="AU2348" i="5"/>
  <c r="AV2348" i="5" s="1"/>
  <c r="AW2348" i="5"/>
  <c r="AX2348" i="5" s="1"/>
  <c r="AH2349" i="5"/>
  <c r="AN2349" i="5"/>
  <c r="AO2349" i="5"/>
  <c r="AP2349" i="5"/>
  <c r="AR2349" i="5"/>
  <c r="AU2349" i="5"/>
  <c r="AV2349" i="5" s="1"/>
  <c r="AW2349" i="5"/>
  <c r="AX2349" i="5" s="1"/>
  <c r="AH2350" i="5"/>
  <c r="AL2350" i="5" s="1"/>
  <c r="AH2351" i="5"/>
  <c r="AN2350" i="5"/>
  <c r="AO2350" i="5"/>
  <c r="AP2350" i="5"/>
  <c r="AR2350" i="5"/>
  <c r="AU2350" i="5"/>
  <c r="AV2350" i="5" s="1"/>
  <c r="AW2350" i="5"/>
  <c r="AX2350" i="5" s="1"/>
  <c r="AN2351" i="5"/>
  <c r="AO2351" i="5"/>
  <c r="AP2351" i="5"/>
  <c r="AR2351" i="5"/>
  <c r="AU2351" i="5"/>
  <c r="AV2351" i="5" s="1"/>
  <c r="AW2351" i="5"/>
  <c r="AX2351" i="5" s="1"/>
  <c r="AH2352" i="5"/>
  <c r="AZ2352" i="5" s="1"/>
  <c r="AN2352" i="5"/>
  <c r="AO2352" i="5"/>
  <c r="AP2352" i="5"/>
  <c r="AH2353" i="5"/>
  <c r="AK2353" i="5" s="1"/>
  <c r="AN2353" i="5"/>
  <c r="AO2353" i="5"/>
  <c r="AP2353" i="5"/>
  <c r="AJ2354" i="5"/>
  <c r="AK2354" i="5"/>
  <c r="AL2354" i="5"/>
  <c r="AN2354" i="5"/>
  <c r="AO2354" i="5"/>
  <c r="AP2354" i="5"/>
  <c r="AR2354" i="5"/>
  <c r="AS2354" i="5" s="1"/>
  <c r="AU2354" i="5"/>
  <c r="AV2354" i="5" s="1"/>
  <c r="AW2354" i="5"/>
  <c r="AX2354" i="5" s="1"/>
  <c r="AH2355" i="5"/>
  <c r="AJ2355" i="5" s="1"/>
  <c r="AN2355" i="5"/>
  <c r="AO2355" i="5"/>
  <c r="AP2355" i="5"/>
  <c r="AR2355" i="5"/>
  <c r="AT2355" i="5" s="1"/>
  <c r="AU2355" i="5"/>
  <c r="AV2355" i="5" s="1"/>
  <c r="AW2355" i="5"/>
  <c r="AX2355" i="5" s="1"/>
  <c r="AH2356" i="5"/>
  <c r="AL2356" i="5" s="1"/>
  <c r="AN2356" i="5"/>
  <c r="AO2356" i="5"/>
  <c r="AP2356" i="5"/>
  <c r="AR2356" i="5"/>
  <c r="AS2356" i="5" s="1"/>
  <c r="AU2356" i="5"/>
  <c r="AV2356" i="5" s="1"/>
  <c r="AW2356" i="5"/>
  <c r="AX2356" i="5" s="1"/>
  <c r="AH2357" i="5"/>
  <c r="AN2357" i="5"/>
  <c r="AO2357" i="5"/>
  <c r="AP2357" i="5"/>
  <c r="AR2357" i="5"/>
  <c r="AT2357" i="5" s="1"/>
  <c r="AU2357" i="5"/>
  <c r="AV2357" i="5" s="1"/>
  <c r="AW2357" i="5"/>
  <c r="AX2357" i="5" s="1"/>
  <c r="AH2358" i="5"/>
  <c r="AR2358" i="5" s="1"/>
  <c r="AT2358" i="5" s="1"/>
  <c r="AN2358" i="5"/>
  <c r="AO2358" i="5"/>
  <c r="AP2358" i="5"/>
  <c r="AH2359" i="5"/>
  <c r="AI2360" i="5" s="1"/>
  <c r="AN2359" i="5"/>
  <c r="AO2359" i="5"/>
  <c r="AP2359" i="5"/>
  <c r="AJ2360" i="5"/>
  <c r="AK2360" i="5"/>
  <c r="AL2360" i="5"/>
  <c r="AN2360" i="5"/>
  <c r="AO2360" i="5"/>
  <c r="AP2360" i="5"/>
  <c r="AR2360" i="5"/>
  <c r="AT2360" i="5" s="1"/>
  <c r="AU2360" i="5"/>
  <c r="AV2360" i="5" s="1"/>
  <c r="AW2360" i="5"/>
  <c r="AX2360" i="5" s="1"/>
  <c r="AH2361" i="5"/>
  <c r="AN2361" i="5"/>
  <c r="AO2361" i="5"/>
  <c r="AP2361" i="5"/>
  <c r="AR2361" i="5"/>
  <c r="AT2361" i="5" s="1"/>
  <c r="AU2361" i="5"/>
  <c r="AV2361" i="5" s="1"/>
  <c r="AW2361" i="5"/>
  <c r="AX2361" i="5" s="1"/>
  <c r="AH2362" i="5"/>
  <c r="AJ2362" i="5" s="1"/>
  <c r="AH2363" i="5"/>
  <c r="AN2362" i="5"/>
  <c r="AO2362" i="5"/>
  <c r="AP2362" i="5"/>
  <c r="AR2362" i="5"/>
  <c r="AU2362" i="5"/>
  <c r="AV2362" i="5" s="1"/>
  <c r="AW2362" i="5"/>
  <c r="AX2362" i="5" s="1"/>
  <c r="AN2363" i="5"/>
  <c r="AO2363" i="5"/>
  <c r="AP2363" i="5"/>
  <c r="AR2363" i="5"/>
  <c r="AT2363" i="5" s="1"/>
  <c r="AU2363" i="5"/>
  <c r="AV2363" i="5" s="1"/>
  <c r="AW2363" i="5"/>
  <c r="AX2363" i="5" s="1"/>
  <c r="AH2364" i="5"/>
  <c r="AL2364" i="5" s="1"/>
  <c r="AN2364" i="5"/>
  <c r="AO2364" i="5"/>
  <c r="AP2364" i="5"/>
  <c r="AH2365" i="5"/>
  <c r="AL2365" i="5" s="1"/>
  <c r="AN2365" i="5"/>
  <c r="AO2365" i="5"/>
  <c r="AP2365" i="5"/>
  <c r="AJ2366" i="5"/>
  <c r="AK2366" i="5"/>
  <c r="AL2366" i="5"/>
  <c r="AN2366" i="5"/>
  <c r="AO2366" i="5"/>
  <c r="AP2366" i="5"/>
  <c r="AR2366" i="5"/>
  <c r="AT2366" i="5" s="1"/>
  <c r="AU2366" i="5"/>
  <c r="AV2366" i="5" s="1"/>
  <c r="AW2366" i="5"/>
  <c r="AX2366" i="5" s="1"/>
  <c r="AH2367" i="5"/>
  <c r="AJ2367" i="5" s="1"/>
  <c r="AN2367" i="5"/>
  <c r="AO2367" i="5"/>
  <c r="AP2367" i="5"/>
  <c r="AR2367" i="5"/>
  <c r="AT2367" i="5" s="1"/>
  <c r="AU2367" i="5"/>
  <c r="AV2367" i="5" s="1"/>
  <c r="AW2367" i="5"/>
  <c r="AX2367" i="5" s="1"/>
  <c r="AH2368" i="5"/>
  <c r="AJ2368" i="5" s="1"/>
  <c r="AN2368" i="5"/>
  <c r="AO2368" i="5"/>
  <c r="AP2368" i="5"/>
  <c r="AR2368" i="5"/>
  <c r="AS2368" i="5" s="1"/>
  <c r="AU2368" i="5"/>
  <c r="AV2368" i="5" s="1"/>
  <c r="AW2368" i="5"/>
  <c r="AX2368" i="5" s="1"/>
  <c r="AH2369" i="5"/>
  <c r="AN2369" i="5"/>
  <c r="AO2369" i="5"/>
  <c r="AP2369" i="5"/>
  <c r="AH2370" i="5"/>
  <c r="AN2370" i="5"/>
  <c r="AO2370" i="5"/>
  <c r="AP2370" i="5"/>
  <c r="AJ2371" i="5"/>
  <c r="AK2371" i="5"/>
  <c r="AL2371" i="5"/>
  <c r="AN2371" i="5"/>
  <c r="AO2371" i="5"/>
  <c r="AP2371" i="5"/>
  <c r="AR2371" i="5"/>
  <c r="AT2371" i="5" s="1"/>
  <c r="AU2371" i="5"/>
  <c r="AV2371" i="5" s="1"/>
  <c r="AW2371" i="5"/>
  <c r="AX2371" i="5" s="1"/>
  <c r="AK3103" i="5"/>
  <c r="AL3103" i="5"/>
  <c r="AM3103" i="5"/>
  <c r="AN3103" i="5"/>
  <c r="AO3103" i="5"/>
  <c r="AP3103" i="5"/>
  <c r="AQ3103" i="5"/>
  <c r="AR3103" i="5"/>
  <c r="AS3103" i="5"/>
  <c r="AT3103" i="5"/>
  <c r="AX3103" i="5"/>
  <c r="AK3104" i="5"/>
  <c r="AL3104" i="5"/>
  <c r="AM3104" i="5"/>
  <c r="AN3104" i="5"/>
  <c r="AO3104" i="5"/>
  <c r="AP3104" i="5"/>
  <c r="AQ3104" i="5"/>
  <c r="AR3104" i="5"/>
  <c r="AS3104" i="5"/>
  <c r="AT3104" i="5"/>
  <c r="AK3105" i="5"/>
  <c r="AL3105" i="5"/>
  <c r="AM3105" i="5"/>
  <c r="AN3105" i="5"/>
  <c r="AO3105" i="5"/>
  <c r="AP3105" i="5"/>
  <c r="AQ3105" i="5"/>
  <c r="AR3105" i="5"/>
  <c r="AS3105" i="5"/>
  <c r="AT3105" i="5"/>
  <c r="AK3106" i="5"/>
  <c r="AL3106" i="5"/>
  <c r="AM3106" i="5"/>
  <c r="AN3106" i="5"/>
  <c r="AO3106" i="5"/>
  <c r="AP3106" i="5"/>
  <c r="AQ3106" i="5"/>
  <c r="AR3106" i="5"/>
  <c r="AS3106" i="5"/>
  <c r="AT3106" i="5"/>
  <c r="AK3107" i="5"/>
  <c r="AL3107" i="5"/>
  <c r="AM3107" i="5"/>
  <c r="AN3107" i="5"/>
  <c r="AO3107" i="5"/>
  <c r="AP3107" i="5"/>
  <c r="AQ3107" i="5"/>
  <c r="AR3107" i="5"/>
  <c r="AS3107" i="5"/>
  <c r="AT3107" i="5"/>
  <c r="AK3108" i="5"/>
  <c r="AL3108" i="5"/>
  <c r="AM3108" i="5"/>
  <c r="AN3108" i="5"/>
  <c r="AO3108" i="5"/>
  <c r="AP3108" i="5"/>
  <c r="AQ3108" i="5"/>
  <c r="AR3108" i="5"/>
  <c r="AS3108" i="5"/>
  <c r="AT3108" i="5"/>
  <c r="AK3109" i="5"/>
  <c r="AL3109" i="5"/>
  <c r="AM3109" i="5"/>
  <c r="AN3109" i="5"/>
  <c r="AO3109" i="5"/>
  <c r="AP3109" i="5"/>
  <c r="AQ3109" i="5"/>
  <c r="AR3109" i="5"/>
  <c r="AS3109" i="5"/>
  <c r="AT3109" i="5"/>
  <c r="AK3110" i="5"/>
  <c r="AL3110" i="5"/>
  <c r="AM3110" i="5"/>
  <c r="AN3110" i="5"/>
  <c r="AO3110" i="5"/>
  <c r="AP3110" i="5"/>
  <c r="AQ3110" i="5"/>
  <c r="AR3110" i="5"/>
  <c r="AS3110" i="5"/>
  <c r="AT3110" i="5"/>
  <c r="AK3111" i="5"/>
  <c r="AL3111" i="5"/>
  <c r="AM3111" i="5"/>
  <c r="AN3111" i="5"/>
  <c r="AO3111" i="5"/>
  <c r="AP3111" i="5"/>
  <c r="AQ3111" i="5"/>
  <c r="AR3111" i="5"/>
  <c r="AS3111" i="5"/>
  <c r="AT3111" i="5"/>
  <c r="AK3112" i="5"/>
  <c r="AL3112" i="5"/>
  <c r="AM3112" i="5"/>
  <c r="AN3112" i="5"/>
  <c r="AO3112" i="5"/>
  <c r="AP3112" i="5"/>
  <c r="AQ3112" i="5"/>
  <c r="AR3112" i="5"/>
  <c r="AS3112" i="5"/>
  <c r="AT3112" i="5"/>
  <c r="AK3113" i="5"/>
  <c r="AL3113" i="5"/>
  <c r="AM3113" i="5"/>
  <c r="AN3113" i="5"/>
  <c r="AO3113" i="5"/>
  <c r="AP3113" i="5"/>
  <c r="AQ3113" i="5"/>
  <c r="AR3113" i="5"/>
  <c r="AS3113" i="5"/>
  <c r="AT3113" i="5"/>
  <c r="AK3114" i="5"/>
  <c r="AL3114" i="5"/>
  <c r="AM3114" i="5"/>
  <c r="AN3114" i="5"/>
  <c r="AO3114" i="5"/>
  <c r="AP3114" i="5"/>
  <c r="AQ3114" i="5"/>
  <c r="AR3114" i="5"/>
  <c r="AS3114" i="5"/>
  <c r="AT3114" i="5"/>
  <c r="AK3115" i="5"/>
  <c r="AL3115" i="5"/>
  <c r="AM3115" i="5"/>
  <c r="AN3115" i="5"/>
  <c r="AO3115" i="5"/>
  <c r="AP3115" i="5"/>
  <c r="AQ3115" i="5"/>
  <c r="AR3115" i="5"/>
  <c r="AS3115" i="5"/>
  <c r="AT3115" i="5"/>
  <c r="AK3116" i="5"/>
  <c r="AL3116" i="5"/>
  <c r="AM3116" i="5"/>
  <c r="AN3116" i="5"/>
  <c r="AO3116" i="5"/>
  <c r="AP3116" i="5"/>
  <c r="AQ3116" i="5"/>
  <c r="AR3116" i="5"/>
  <c r="AS3116" i="5"/>
  <c r="AT3116" i="5"/>
  <c r="AK3117" i="5"/>
  <c r="AL3117" i="5"/>
  <c r="AM3117" i="5"/>
  <c r="AN3117" i="5"/>
  <c r="AO3117" i="5"/>
  <c r="AP3117" i="5"/>
  <c r="AQ3117" i="5"/>
  <c r="AR3117" i="5"/>
  <c r="AS3117" i="5"/>
  <c r="AT3117" i="5"/>
  <c r="AK3118" i="5"/>
  <c r="AL3118" i="5"/>
  <c r="AM3118" i="5"/>
  <c r="AN3118" i="5"/>
  <c r="AO3118" i="5"/>
  <c r="AP3118" i="5"/>
  <c r="AQ3118" i="5"/>
  <c r="AR3118" i="5"/>
  <c r="AS3118" i="5"/>
  <c r="AT3118" i="5"/>
  <c r="AK3119" i="5"/>
  <c r="AL3119" i="5"/>
  <c r="AM3119" i="5"/>
  <c r="AN3119" i="5"/>
  <c r="AO3119" i="5"/>
  <c r="AP3119" i="5"/>
  <c r="AQ3119" i="5"/>
  <c r="AR3119" i="5"/>
  <c r="AS3119" i="5"/>
  <c r="AT3119" i="5"/>
  <c r="AX3119" i="5"/>
  <c r="AK3120" i="5"/>
  <c r="AL3120" i="5"/>
  <c r="AM3120" i="5"/>
  <c r="AN3120" i="5"/>
  <c r="AO3120" i="5"/>
  <c r="AP3120" i="5"/>
  <c r="AQ3120" i="5"/>
  <c r="AR3120" i="5"/>
  <c r="AS3120" i="5"/>
  <c r="AT3120" i="5"/>
  <c r="AK3121" i="5"/>
  <c r="AL3121" i="5"/>
  <c r="AM3121" i="5"/>
  <c r="AN3121" i="5"/>
  <c r="AO3121" i="5"/>
  <c r="AP3121" i="5"/>
  <c r="AQ3121" i="5"/>
  <c r="AR3121" i="5"/>
  <c r="AS3121" i="5"/>
  <c r="AT3121" i="5"/>
  <c r="AK3122" i="5"/>
  <c r="AL3122" i="5"/>
  <c r="AM3122" i="5"/>
  <c r="AN3122" i="5"/>
  <c r="AO3122" i="5"/>
  <c r="AP3122" i="5"/>
  <c r="AQ3122" i="5"/>
  <c r="AR3122" i="5"/>
  <c r="AS3122" i="5"/>
  <c r="AT3122" i="5"/>
  <c r="AK3123" i="5"/>
  <c r="AL3123" i="5"/>
  <c r="AM3123" i="5"/>
  <c r="AN3123" i="5"/>
  <c r="AO3123" i="5"/>
  <c r="AP3123" i="5"/>
  <c r="AQ3123" i="5"/>
  <c r="AR3123" i="5"/>
  <c r="AS3123" i="5"/>
  <c r="AT3123" i="5"/>
  <c r="AK3124" i="5"/>
  <c r="AL3124" i="5"/>
  <c r="AM3124" i="5"/>
  <c r="AN3124" i="5"/>
  <c r="AO3124" i="5"/>
  <c r="AP3124" i="5"/>
  <c r="AQ3124" i="5"/>
  <c r="AR3124" i="5"/>
  <c r="AS3124" i="5"/>
  <c r="AT3124" i="5"/>
  <c r="AK3125" i="5"/>
  <c r="AL3125" i="5"/>
  <c r="AM3125" i="5"/>
  <c r="AN3125" i="5"/>
  <c r="AO3125" i="5"/>
  <c r="AP3125" i="5"/>
  <c r="AQ3125" i="5"/>
  <c r="AR3125" i="5"/>
  <c r="AS3125" i="5"/>
  <c r="AT3125" i="5"/>
  <c r="AK3126" i="5"/>
  <c r="AL3126" i="5"/>
  <c r="AM3126" i="5"/>
  <c r="AN3126" i="5"/>
  <c r="AO3126" i="5"/>
  <c r="AP3126" i="5"/>
  <c r="AQ3126" i="5"/>
  <c r="AR3126" i="5"/>
  <c r="AS3126" i="5"/>
  <c r="AT3126" i="5"/>
  <c r="AK3127" i="5"/>
  <c r="AL3127" i="5"/>
  <c r="AM3127" i="5"/>
  <c r="AN3127" i="5"/>
  <c r="AO3127" i="5"/>
  <c r="AP3127" i="5"/>
  <c r="AQ3127" i="5"/>
  <c r="AR3127" i="5"/>
  <c r="AS3127" i="5"/>
  <c r="AT3127" i="5"/>
  <c r="AK3128" i="5"/>
  <c r="AL3128" i="5"/>
  <c r="AM3128" i="5"/>
  <c r="AN3128" i="5"/>
  <c r="AO3128" i="5"/>
  <c r="AP3128" i="5"/>
  <c r="AQ3128" i="5"/>
  <c r="AR3128" i="5"/>
  <c r="AS3128" i="5"/>
  <c r="AT3128" i="5"/>
  <c r="AK3129" i="5"/>
  <c r="AL3129" i="5"/>
  <c r="AM3129" i="5"/>
  <c r="AN3129" i="5"/>
  <c r="AO3129" i="5"/>
  <c r="AP3129" i="5"/>
  <c r="AQ3129" i="5"/>
  <c r="AR3129" i="5"/>
  <c r="AS3129" i="5"/>
  <c r="AT3129" i="5"/>
  <c r="AK3130" i="5"/>
  <c r="AL3130" i="5"/>
  <c r="AM3130" i="5"/>
  <c r="AN3130" i="5"/>
  <c r="AO3130" i="5"/>
  <c r="AP3130" i="5"/>
  <c r="AQ3130" i="5"/>
  <c r="AR3130" i="5"/>
  <c r="AS3130" i="5"/>
  <c r="AT3130" i="5"/>
  <c r="AK3131" i="5"/>
  <c r="AL3131" i="5"/>
  <c r="AM3131" i="5"/>
  <c r="AN3131" i="5"/>
  <c r="AO3131" i="5"/>
  <c r="AP3131" i="5"/>
  <c r="AQ3131" i="5"/>
  <c r="AR3131" i="5"/>
  <c r="AS3131" i="5"/>
  <c r="AT3131" i="5"/>
  <c r="AK3132" i="5"/>
  <c r="AL3132" i="5"/>
  <c r="AM3132" i="5"/>
  <c r="AN3132" i="5"/>
  <c r="AO3132" i="5"/>
  <c r="AP3132" i="5"/>
  <c r="AQ3132" i="5"/>
  <c r="AR3132" i="5"/>
  <c r="AS3132" i="5"/>
  <c r="AT3132" i="5"/>
  <c r="AK3133" i="5"/>
  <c r="AL3133" i="5"/>
  <c r="AM3133" i="5"/>
  <c r="AN3133" i="5"/>
  <c r="AO3133" i="5"/>
  <c r="AP3133" i="5"/>
  <c r="AQ3133" i="5"/>
  <c r="AR3133" i="5"/>
  <c r="AS3133" i="5"/>
  <c r="AT3133" i="5"/>
  <c r="AK3134" i="5"/>
  <c r="AL3134" i="5"/>
  <c r="AM3134" i="5"/>
  <c r="AN3134" i="5"/>
  <c r="AO3134" i="5"/>
  <c r="AP3134" i="5"/>
  <c r="AQ3134" i="5"/>
  <c r="AR3134" i="5"/>
  <c r="AS3134" i="5"/>
  <c r="AT3134" i="5"/>
  <c r="AK3135" i="5"/>
  <c r="AL3135" i="5"/>
  <c r="AM3135" i="5"/>
  <c r="AN3135" i="5"/>
  <c r="AO3135" i="5"/>
  <c r="AP3135" i="5"/>
  <c r="AQ3135" i="5"/>
  <c r="AR3135" i="5"/>
  <c r="AS3135" i="5"/>
  <c r="AT3135" i="5"/>
  <c r="AX3135" i="5"/>
  <c r="AK3136" i="5"/>
  <c r="AL3136" i="5"/>
  <c r="AM3136" i="5"/>
  <c r="AN3136" i="5"/>
  <c r="AO3136" i="5"/>
  <c r="AP3136" i="5"/>
  <c r="AQ3136" i="5"/>
  <c r="AR3136" i="5"/>
  <c r="AS3136" i="5"/>
  <c r="AT3136" i="5"/>
  <c r="AK3137" i="5"/>
  <c r="AL3137" i="5"/>
  <c r="AM3137" i="5"/>
  <c r="AN3137" i="5"/>
  <c r="AO3137" i="5"/>
  <c r="AP3137" i="5"/>
  <c r="AQ3137" i="5"/>
  <c r="AR3137" i="5"/>
  <c r="AS3137" i="5"/>
  <c r="AT3137" i="5"/>
  <c r="AK3138" i="5"/>
  <c r="AL3138" i="5"/>
  <c r="AM3138" i="5"/>
  <c r="AN3138" i="5"/>
  <c r="AO3138" i="5"/>
  <c r="AP3138" i="5"/>
  <c r="AQ3138" i="5"/>
  <c r="AR3138" i="5"/>
  <c r="AS3138" i="5"/>
  <c r="AT3138" i="5"/>
  <c r="AK3139" i="5"/>
  <c r="AL3139" i="5"/>
  <c r="AM3139" i="5"/>
  <c r="AN3139" i="5"/>
  <c r="AO3139" i="5"/>
  <c r="AP3139" i="5"/>
  <c r="AQ3139" i="5"/>
  <c r="AR3139" i="5"/>
  <c r="AS3139" i="5"/>
  <c r="AT3139" i="5"/>
  <c r="AK3140" i="5"/>
  <c r="AL3140" i="5"/>
  <c r="AM3140" i="5"/>
  <c r="AN3140" i="5"/>
  <c r="AO3140" i="5"/>
  <c r="AP3140" i="5"/>
  <c r="AQ3140" i="5"/>
  <c r="AR3140" i="5"/>
  <c r="AS3140" i="5"/>
  <c r="AT3140" i="5"/>
  <c r="AK3141" i="5"/>
  <c r="AL3141" i="5"/>
  <c r="AM3141" i="5"/>
  <c r="AN3141" i="5"/>
  <c r="AO3141" i="5"/>
  <c r="AP3141" i="5"/>
  <c r="AQ3141" i="5"/>
  <c r="AR3141" i="5"/>
  <c r="AS3141" i="5"/>
  <c r="AT3141" i="5"/>
  <c r="AK3142" i="5"/>
  <c r="AL3142" i="5"/>
  <c r="AM3142" i="5"/>
  <c r="AN3142" i="5"/>
  <c r="AO3142" i="5"/>
  <c r="AP3142" i="5"/>
  <c r="AQ3142" i="5"/>
  <c r="AR3142" i="5"/>
  <c r="AS3142" i="5"/>
  <c r="AT3142" i="5"/>
  <c r="AK3143" i="5"/>
  <c r="AL3143" i="5"/>
  <c r="AM3143" i="5"/>
  <c r="AN3143" i="5"/>
  <c r="AO3143" i="5"/>
  <c r="AP3143" i="5"/>
  <c r="AQ3143" i="5"/>
  <c r="AR3143" i="5"/>
  <c r="AS3143" i="5"/>
  <c r="AT3143" i="5"/>
  <c r="AK3144" i="5"/>
  <c r="AL3144" i="5"/>
  <c r="AM3144" i="5"/>
  <c r="AN3144" i="5"/>
  <c r="AO3144" i="5"/>
  <c r="AP3144" i="5"/>
  <c r="AQ3144" i="5"/>
  <c r="AR3144" i="5"/>
  <c r="AS3144" i="5"/>
  <c r="AT3144" i="5"/>
  <c r="AK3145" i="5"/>
  <c r="AL3145" i="5"/>
  <c r="AM3145" i="5"/>
  <c r="AN3145" i="5"/>
  <c r="AO3145" i="5"/>
  <c r="AP3145" i="5"/>
  <c r="AQ3145" i="5"/>
  <c r="AR3145" i="5"/>
  <c r="AS3145" i="5"/>
  <c r="AT3145" i="5"/>
  <c r="AK3146" i="5"/>
  <c r="AL3146" i="5"/>
  <c r="AM3146" i="5"/>
  <c r="AN3146" i="5"/>
  <c r="AO3146" i="5"/>
  <c r="AP3146" i="5"/>
  <c r="AQ3146" i="5"/>
  <c r="AR3146" i="5"/>
  <c r="AS3146" i="5"/>
  <c r="AT3146" i="5"/>
  <c r="AK3147" i="5"/>
  <c r="AL3147" i="5"/>
  <c r="AM3147" i="5"/>
  <c r="AN3147" i="5"/>
  <c r="AO3147" i="5"/>
  <c r="AP3147" i="5"/>
  <c r="AQ3147" i="5"/>
  <c r="AR3147" i="5"/>
  <c r="AS3147" i="5"/>
  <c r="AT3147" i="5"/>
  <c r="AK3148" i="5"/>
  <c r="AL3148" i="5"/>
  <c r="AM3148" i="5"/>
  <c r="AN3148" i="5"/>
  <c r="AO3148" i="5"/>
  <c r="AP3148" i="5"/>
  <c r="AQ3148" i="5"/>
  <c r="AR3148" i="5"/>
  <c r="AS3148" i="5"/>
  <c r="AT3148" i="5"/>
  <c r="AK3149" i="5"/>
  <c r="AL3149" i="5"/>
  <c r="AM3149" i="5"/>
  <c r="AN3149" i="5"/>
  <c r="AO3149" i="5"/>
  <c r="AP3149" i="5"/>
  <c r="AQ3149" i="5"/>
  <c r="AR3149" i="5"/>
  <c r="AS3149" i="5"/>
  <c r="AT3149" i="5"/>
  <c r="AK3150" i="5"/>
  <c r="AL3150" i="5"/>
  <c r="AM3150" i="5"/>
  <c r="AN3150" i="5"/>
  <c r="AO3150" i="5"/>
  <c r="AP3150" i="5"/>
  <c r="AQ3150" i="5"/>
  <c r="AR3150" i="5"/>
  <c r="AS3150" i="5"/>
  <c r="AT3150" i="5"/>
  <c r="AK3151" i="5"/>
  <c r="AL3151" i="5"/>
  <c r="AM3151" i="5"/>
  <c r="AN3151" i="5"/>
  <c r="AO3151" i="5"/>
  <c r="AP3151" i="5"/>
  <c r="AQ3151" i="5"/>
  <c r="AR3151" i="5"/>
  <c r="AS3151" i="5"/>
  <c r="AT3151" i="5"/>
  <c r="AK3152" i="5"/>
  <c r="AL3152" i="5"/>
  <c r="AM3152" i="5"/>
  <c r="AN3152" i="5"/>
  <c r="AO3152" i="5"/>
  <c r="AP3152" i="5"/>
  <c r="AQ3152" i="5"/>
  <c r="AR3152" i="5"/>
  <c r="AS3152" i="5"/>
  <c r="AT3152" i="5"/>
  <c r="AK3153" i="5"/>
  <c r="AL3153" i="5"/>
  <c r="AM3153" i="5"/>
  <c r="AN3153" i="5"/>
  <c r="AO3153" i="5"/>
  <c r="AP3153" i="5"/>
  <c r="AQ3153" i="5"/>
  <c r="AR3153" i="5"/>
  <c r="AS3153" i="5"/>
  <c r="AT3153" i="5"/>
  <c r="AK3154" i="5"/>
  <c r="AL3154" i="5"/>
  <c r="AM3154" i="5"/>
  <c r="AN3154" i="5"/>
  <c r="AO3154" i="5"/>
  <c r="AP3154" i="5"/>
  <c r="AQ3154" i="5"/>
  <c r="AR3154" i="5"/>
  <c r="AS3154" i="5"/>
  <c r="AT3154" i="5"/>
  <c r="AK3155" i="5"/>
  <c r="AL3155" i="5"/>
  <c r="AM3155" i="5"/>
  <c r="AN3155" i="5"/>
  <c r="AO3155" i="5"/>
  <c r="AP3155" i="5"/>
  <c r="AQ3155" i="5"/>
  <c r="AR3155" i="5"/>
  <c r="AS3155" i="5"/>
  <c r="AT3155" i="5"/>
  <c r="AX3155" i="5"/>
  <c r="AK3156" i="5"/>
  <c r="AL3156" i="5"/>
  <c r="AM3156" i="5"/>
  <c r="AN3156" i="5"/>
  <c r="AO3156" i="5"/>
  <c r="AP3156" i="5"/>
  <c r="AQ3156" i="5"/>
  <c r="AR3156" i="5"/>
  <c r="AS3156" i="5"/>
  <c r="AT3156" i="5"/>
  <c r="AK3157" i="5"/>
  <c r="AL3157" i="5"/>
  <c r="AM3157" i="5"/>
  <c r="AN3157" i="5"/>
  <c r="AO3157" i="5"/>
  <c r="AP3157" i="5"/>
  <c r="AQ3157" i="5"/>
  <c r="AR3157" i="5"/>
  <c r="AS3157" i="5"/>
  <c r="AT3157" i="5"/>
  <c r="AK3158" i="5"/>
  <c r="AL3158" i="5"/>
  <c r="AM3158" i="5"/>
  <c r="AN3158" i="5"/>
  <c r="AO3158" i="5"/>
  <c r="AP3158" i="5"/>
  <c r="AQ3158" i="5"/>
  <c r="AR3158" i="5"/>
  <c r="AS3158" i="5"/>
  <c r="AT3158" i="5"/>
  <c r="AK3159" i="5"/>
  <c r="AL3159" i="5"/>
  <c r="AM3159" i="5"/>
  <c r="AN3159" i="5"/>
  <c r="AO3159" i="5"/>
  <c r="AP3159" i="5"/>
  <c r="AQ3159" i="5"/>
  <c r="AR3159" i="5"/>
  <c r="AS3159" i="5"/>
  <c r="AT3159" i="5"/>
  <c r="AK3160" i="5"/>
  <c r="AL3160" i="5"/>
  <c r="AM3160" i="5"/>
  <c r="AN3160" i="5"/>
  <c r="AO3160" i="5"/>
  <c r="AP3160" i="5"/>
  <c r="AQ3160" i="5"/>
  <c r="AR3160" i="5"/>
  <c r="AS3160" i="5"/>
  <c r="AT3160" i="5"/>
  <c r="AK3161" i="5"/>
  <c r="AL3161" i="5"/>
  <c r="AM3161" i="5"/>
  <c r="AN3161" i="5"/>
  <c r="AO3161" i="5"/>
  <c r="AP3161" i="5"/>
  <c r="AQ3161" i="5"/>
  <c r="AR3161" i="5"/>
  <c r="AS3161" i="5"/>
  <c r="AT3161" i="5"/>
  <c r="AK3162" i="5"/>
  <c r="AL3162" i="5"/>
  <c r="AM3162" i="5"/>
  <c r="AN3162" i="5"/>
  <c r="AO3162" i="5"/>
  <c r="AP3162" i="5"/>
  <c r="AQ3162" i="5"/>
  <c r="AR3162" i="5"/>
  <c r="AS3162" i="5"/>
  <c r="AT3162" i="5"/>
  <c r="AK3163" i="5"/>
  <c r="AL3163" i="5"/>
  <c r="AM3163" i="5"/>
  <c r="AN3163" i="5"/>
  <c r="AO3163" i="5"/>
  <c r="AP3163" i="5"/>
  <c r="AQ3163" i="5"/>
  <c r="AR3163" i="5"/>
  <c r="AS3163" i="5"/>
  <c r="AT3163" i="5"/>
  <c r="AK3164" i="5"/>
  <c r="AL3164" i="5"/>
  <c r="AM3164" i="5"/>
  <c r="AN3164" i="5"/>
  <c r="AO3164" i="5"/>
  <c r="AP3164" i="5"/>
  <c r="AQ3164" i="5"/>
  <c r="AR3164" i="5"/>
  <c r="AS3164" i="5"/>
  <c r="AT3164" i="5"/>
  <c r="AK3165" i="5"/>
  <c r="AL3165" i="5"/>
  <c r="AM3165" i="5"/>
  <c r="AN3165" i="5"/>
  <c r="AO3165" i="5"/>
  <c r="AP3165" i="5"/>
  <c r="AQ3165" i="5"/>
  <c r="AR3165" i="5"/>
  <c r="AS3165" i="5"/>
  <c r="AT3165" i="5"/>
  <c r="AK3166" i="5"/>
  <c r="AL3166" i="5"/>
  <c r="AM3166" i="5"/>
  <c r="AN3166" i="5"/>
  <c r="AO3166" i="5"/>
  <c r="AP3166" i="5"/>
  <c r="AQ3166" i="5"/>
  <c r="AR3166" i="5"/>
  <c r="AS3166" i="5"/>
  <c r="AT3166" i="5"/>
  <c r="AK3167" i="5"/>
  <c r="AL3167" i="5"/>
  <c r="AM3167" i="5"/>
  <c r="AN3167" i="5"/>
  <c r="AO3167" i="5"/>
  <c r="AP3167" i="5"/>
  <c r="AQ3167" i="5"/>
  <c r="AR3167" i="5"/>
  <c r="AS3167" i="5"/>
  <c r="AT3167" i="5"/>
  <c r="AK3168" i="5"/>
  <c r="AL3168" i="5"/>
  <c r="AM3168" i="5"/>
  <c r="AN3168" i="5"/>
  <c r="AO3168" i="5"/>
  <c r="AP3168" i="5"/>
  <c r="AQ3168" i="5"/>
  <c r="AR3168" i="5"/>
  <c r="AS3168" i="5"/>
  <c r="AT3168" i="5"/>
  <c r="AK3169" i="5"/>
  <c r="AL3169" i="5"/>
  <c r="AM3169" i="5"/>
  <c r="AN3169" i="5"/>
  <c r="AO3169" i="5"/>
  <c r="AP3169" i="5"/>
  <c r="AQ3169" i="5"/>
  <c r="AR3169" i="5"/>
  <c r="AS3169" i="5"/>
  <c r="AT3169" i="5"/>
  <c r="AK3170" i="5"/>
  <c r="AL3170" i="5"/>
  <c r="AM3170" i="5"/>
  <c r="AN3170" i="5"/>
  <c r="AO3170" i="5"/>
  <c r="AP3170" i="5"/>
  <c r="AQ3170" i="5"/>
  <c r="AR3170" i="5"/>
  <c r="AS3170" i="5"/>
  <c r="AT3170" i="5"/>
  <c r="AK3171" i="5"/>
  <c r="AL3171" i="5"/>
  <c r="AM3171" i="5"/>
  <c r="AN3171" i="5"/>
  <c r="AO3171" i="5"/>
  <c r="AP3171" i="5"/>
  <c r="AQ3171" i="5"/>
  <c r="AR3171" i="5"/>
  <c r="AS3171" i="5"/>
  <c r="AT3171" i="5"/>
  <c r="AK3172" i="5"/>
  <c r="AL3172" i="5"/>
  <c r="AM3172" i="5"/>
  <c r="AN3172" i="5"/>
  <c r="AO3172" i="5"/>
  <c r="AP3172" i="5"/>
  <c r="AQ3172" i="5"/>
  <c r="AR3172" i="5"/>
  <c r="AS3172" i="5"/>
  <c r="AT3172" i="5"/>
  <c r="AK3173" i="5"/>
  <c r="AL3173" i="5"/>
  <c r="AM3173" i="5"/>
  <c r="AN3173" i="5"/>
  <c r="AO3173" i="5"/>
  <c r="AP3173" i="5"/>
  <c r="AQ3173" i="5"/>
  <c r="AR3173" i="5"/>
  <c r="AS3173" i="5"/>
  <c r="AT3173" i="5"/>
  <c r="AK3174" i="5"/>
  <c r="AL3174" i="5"/>
  <c r="AM3174" i="5"/>
  <c r="AN3174" i="5"/>
  <c r="AO3174" i="5"/>
  <c r="AP3174" i="5"/>
  <c r="AQ3174" i="5"/>
  <c r="AR3174" i="5"/>
  <c r="AS3174" i="5"/>
  <c r="AT3174" i="5"/>
  <c r="AK3175" i="5"/>
  <c r="AL3175" i="5"/>
  <c r="AM3175" i="5"/>
  <c r="AN3175" i="5"/>
  <c r="AO3175" i="5"/>
  <c r="AP3175" i="5"/>
  <c r="AQ3175" i="5"/>
  <c r="AR3175" i="5"/>
  <c r="AS3175" i="5"/>
  <c r="AT3175" i="5"/>
  <c r="AX3175" i="5"/>
  <c r="AK3450" i="5"/>
  <c r="AL3450" i="5"/>
  <c r="AM3450" i="5"/>
  <c r="AQ3450" i="5"/>
  <c r="AK3451" i="5"/>
  <c r="AL3451" i="5"/>
  <c r="AM3451" i="5"/>
  <c r="AK3452" i="5"/>
  <c r="AL3452" i="5"/>
  <c r="AM3452" i="5"/>
  <c r="AK3453" i="5"/>
  <c r="AL3453" i="5"/>
  <c r="AM3453" i="5"/>
  <c r="AK3454" i="5"/>
  <c r="AL3454" i="5"/>
  <c r="AM3454" i="5"/>
  <c r="AQ3454" i="5"/>
  <c r="AK3455" i="5"/>
  <c r="AL3455" i="5"/>
  <c r="AM3455" i="5"/>
  <c r="AK3456" i="5"/>
  <c r="AL3456" i="5"/>
  <c r="AM3456" i="5"/>
  <c r="AK3457" i="5"/>
  <c r="AL3457" i="5"/>
  <c r="AM3457" i="5"/>
  <c r="AK3458" i="5"/>
  <c r="AL3458" i="5"/>
  <c r="AM3458" i="5"/>
  <c r="AQ3458" i="5"/>
  <c r="AK3685" i="5"/>
  <c r="AL3685" i="5"/>
  <c r="AM3685" i="5"/>
  <c r="AQ3685" i="5"/>
  <c r="AK3686" i="5"/>
  <c r="AL3686" i="5"/>
  <c r="AM3686" i="5"/>
  <c r="AK3687" i="5"/>
  <c r="AL3687" i="5"/>
  <c r="AM3687" i="5"/>
  <c r="AK3688" i="5"/>
  <c r="AL3688" i="5"/>
  <c r="AM3688" i="5"/>
  <c r="AK3689" i="5"/>
  <c r="AL3689" i="5"/>
  <c r="AM3689" i="5"/>
  <c r="AQ3689" i="5"/>
  <c r="AK3690" i="5"/>
  <c r="AL3690" i="5"/>
  <c r="AM3690" i="5"/>
  <c r="AK3691" i="5"/>
  <c r="AL3691" i="5"/>
  <c r="AM3691" i="5"/>
  <c r="AK3692" i="5"/>
  <c r="AL3692" i="5"/>
  <c r="AM3692" i="5"/>
  <c r="AK3784" i="5"/>
  <c r="AL3784" i="5"/>
  <c r="AM3784" i="5"/>
  <c r="AQ3784" i="5"/>
  <c r="AK3785" i="5"/>
  <c r="AL3785" i="5"/>
  <c r="AM3785" i="5"/>
  <c r="AK3786" i="5"/>
  <c r="AL3786" i="5"/>
  <c r="AM3786" i="5"/>
  <c r="AK3787" i="5"/>
  <c r="AL3787" i="5"/>
  <c r="AM3787" i="5"/>
  <c r="AK3788" i="5"/>
  <c r="AL3788" i="5"/>
  <c r="AM3788" i="5"/>
  <c r="AQ3788" i="5"/>
  <c r="AK3789" i="5"/>
  <c r="AL3789" i="5"/>
  <c r="AM3789" i="5"/>
  <c r="AK3790" i="5"/>
  <c r="AL3790" i="5"/>
  <c r="AM3790" i="5"/>
  <c r="AK3791" i="5"/>
  <c r="AL3791" i="5"/>
  <c r="AM3791" i="5"/>
  <c r="M3445" i="5"/>
  <c r="T1988" i="5"/>
  <c r="M2233" i="5" s="1"/>
  <c r="F2233" i="5" s="1"/>
  <c r="M2325" i="5"/>
  <c r="F2325" i="5" s="1"/>
  <c r="S1988" i="5"/>
  <c r="M2050" i="5" s="1"/>
  <c r="F2050" i="5" s="1"/>
  <c r="R1988" i="5"/>
  <c r="S1559" i="5"/>
  <c r="M1782" i="5" s="1"/>
  <c r="F1782" i="5" s="1"/>
  <c r="R1559" i="5"/>
  <c r="M1620" i="5" s="1"/>
  <c r="F1620" i="5" s="1"/>
  <c r="S1128" i="5"/>
  <c r="M1379" i="5" s="1"/>
  <c r="F1379" i="5" s="1"/>
  <c r="R1128" i="5"/>
  <c r="M1294" i="5" s="1"/>
  <c r="F1294" i="5" s="1"/>
  <c r="M1041" i="5"/>
  <c r="F1041" i="5" s="1"/>
  <c r="S704" i="5"/>
  <c r="M1069" i="5" s="1"/>
  <c r="F1069" i="5" s="1"/>
  <c r="R704" i="5"/>
  <c r="M786" i="5" s="1"/>
  <c r="F786" i="5" s="1"/>
  <c r="M1073" i="5"/>
  <c r="F1073" i="5" s="1"/>
  <c r="M1072" i="5"/>
  <c r="F1072" i="5" s="1"/>
  <c r="T296" i="5"/>
  <c r="M485" i="5" s="1"/>
  <c r="F485" i="5" s="1"/>
  <c r="S296" i="5"/>
  <c r="M372" i="5" s="1"/>
  <c r="F372" i="5" s="1"/>
  <c r="R296" i="5"/>
  <c r="M315" i="5" s="1"/>
  <c r="F315" i="5" s="1"/>
  <c r="M405" i="5"/>
  <c r="F405" i="5" s="1"/>
  <c r="N3068" i="5"/>
  <c r="M3068" i="5" s="1"/>
  <c r="F3068" i="5" s="1"/>
  <c r="L3068" i="5" s="1"/>
  <c r="C3069" i="5"/>
  <c r="C3070" i="5"/>
  <c r="C3071" i="5"/>
  <c r="C3072" i="5"/>
  <c r="C3073" i="5"/>
  <c r="C3074" i="5"/>
  <c r="C3075" i="5"/>
  <c r="C3076" i="5"/>
  <c r="C3077" i="5"/>
  <c r="C3078" i="5"/>
  <c r="C3079" i="5"/>
  <c r="C3080" i="5"/>
  <c r="C3081" i="5"/>
  <c r="C3082" i="5"/>
  <c r="C3083" i="5"/>
  <c r="C3084" i="5"/>
  <c r="C3085" i="5"/>
  <c r="C3086" i="5"/>
  <c r="C3087" i="5"/>
  <c r="C3088" i="5"/>
  <c r="C3089" i="5"/>
  <c r="C3090" i="5"/>
  <c r="C3091" i="5"/>
  <c r="C3092" i="5"/>
  <c r="C3093" i="5"/>
  <c r="C3094" i="5"/>
  <c r="C3095" i="5"/>
  <c r="C3096" i="5"/>
  <c r="C3068" i="5"/>
  <c r="N4216" i="5"/>
  <c r="M4577" i="5"/>
  <c r="F4577" i="5" s="1"/>
  <c r="F4591" i="5" s="1"/>
  <c r="M4576" i="5"/>
  <c r="F4576" i="5" s="1"/>
  <c r="F4584" i="5" s="1"/>
  <c r="W4585" i="5" s="1"/>
  <c r="M4575" i="5"/>
  <c r="F4575" i="5" s="1"/>
  <c r="F4581" i="5" s="1"/>
  <c r="W4582" i="5" s="1"/>
  <c r="M4574" i="5"/>
  <c r="F4574" i="5" s="1"/>
  <c r="M4363" i="5"/>
  <c r="F4363" i="5" s="1"/>
  <c r="M4362" i="5"/>
  <c r="F4362" i="5" s="1"/>
  <c r="M4227" i="5"/>
  <c r="F4228" i="5" s="1"/>
  <c r="L4227" i="5" s="1"/>
  <c r="M4226" i="5"/>
  <c r="F4227" i="5" s="1"/>
  <c r="L4226" i="5" s="1"/>
  <c r="M4225" i="5"/>
  <c r="F4226" i="5" s="1"/>
  <c r="L4225" i="5" s="1"/>
  <c r="C4228" i="5"/>
  <c r="C4227" i="5"/>
  <c r="C4226" i="5"/>
  <c r="R4224" i="5"/>
  <c r="M4109" i="5"/>
  <c r="F4109" i="5" s="1"/>
  <c r="L4109" i="5" s="1"/>
  <c r="C4110" i="5"/>
  <c r="C4109" i="5"/>
  <c r="C4108" i="5"/>
  <c r="T4107" i="5"/>
  <c r="M3874" i="5"/>
  <c r="L3874" i="5" s="1"/>
  <c r="M3873" i="5"/>
  <c r="L3873" i="5" s="1"/>
  <c r="M3872" i="5"/>
  <c r="L3872" i="5" s="1"/>
  <c r="C3874" i="5"/>
  <c r="C3873" i="5"/>
  <c r="C3872" i="5"/>
  <c r="R4021" i="5"/>
  <c r="M3175" i="5"/>
  <c r="F3175" i="5" s="1"/>
  <c r="L3175" i="5" s="1"/>
  <c r="M3135" i="5"/>
  <c r="F3135" i="5" s="1"/>
  <c r="L3135" i="5" s="1"/>
  <c r="M3119" i="5"/>
  <c r="F3119" i="5" s="1"/>
  <c r="L3119" i="5" s="1"/>
  <c r="M3103" i="5"/>
  <c r="F3103" i="5" s="1"/>
  <c r="L3103" i="5" s="1"/>
  <c r="M3454" i="5"/>
  <c r="F3454" i="5" s="1"/>
  <c r="L3454" i="5" s="1"/>
  <c r="M3450" i="5"/>
  <c r="F3450" i="5" s="1"/>
  <c r="L3450" i="5" s="1"/>
  <c r="M3689" i="5"/>
  <c r="F3689" i="5" s="1"/>
  <c r="L3689" i="5" s="1"/>
  <c r="M3685" i="5"/>
  <c r="F3685" i="5" s="1"/>
  <c r="L3685" i="5" s="1"/>
  <c r="M3788" i="5"/>
  <c r="F3788" i="5" s="1"/>
  <c r="L3788" i="5" s="1"/>
  <c r="M3784" i="5"/>
  <c r="F3784" i="5" s="1"/>
  <c r="L3784" i="5" s="1"/>
  <c r="N3789" i="5"/>
  <c r="D3788" i="5"/>
  <c r="N3785" i="5"/>
  <c r="D3784" i="5"/>
  <c r="N3690" i="5"/>
  <c r="N3691" i="5" s="1"/>
  <c r="N3700" i="5" s="1"/>
  <c r="N3709" i="5" s="1"/>
  <c r="D3689" i="5"/>
  <c r="N3686" i="5"/>
  <c r="D3685" i="5"/>
  <c r="D3458" i="5"/>
  <c r="D3454" i="5"/>
  <c r="D3450" i="5"/>
  <c r="N3451" i="5"/>
  <c r="V3449" i="5"/>
  <c r="D3175" i="5"/>
  <c r="C3175" i="5"/>
  <c r="C3174" i="5"/>
  <c r="C3173" i="5"/>
  <c r="C3172" i="5"/>
  <c r="C3171" i="5"/>
  <c r="C3170" i="5"/>
  <c r="C3169" i="5"/>
  <c r="C3168" i="5"/>
  <c r="C3167" i="5"/>
  <c r="C3166" i="5"/>
  <c r="C3165" i="5"/>
  <c r="C3164" i="5"/>
  <c r="C3163" i="5"/>
  <c r="C3162" i="5"/>
  <c r="C3161" i="5"/>
  <c r="C3160" i="5"/>
  <c r="C3159" i="5"/>
  <c r="C3158" i="5"/>
  <c r="C3157" i="5"/>
  <c r="C3156" i="5"/>
  <c r="D3155" i="5"/>
  <c r="C3155" i="5"/>
  <c r="C3154" i="5"/>
  <c r="C3153" i="5"/>
  <c r="C3152" i="5"/>
  <c r="C3151" i="5"/>
  <c r="C3150" i="5"/>
  <c r="C3149" i="5"/>
  <c r="C3148" i="5"/>
  <c r="C3147" i="5"/>
  <c r="C3146" i="5"/>
  <c r="C3145" i="5"/>
  <c r="C3144" i="5"/>
  <c r="C3143" i="5"/>
  <c r="C3142" i="5"/>
  <c r="C3141" i="5"/>
  <c r="C3140" i="5"/>
  <c r="C3139" i="5"/>
  <c r="C3138" i="5"/>
  <c r="C3137" i="5"/>
  <c r="C3136" i="5"/>
  <c r="D3135" i="5"/>
  <c r="C3135" i="5"/>
  <c r="C3134" i="5"/>
  <c r="C3133" i="5"/>
  <c r="C3132" i="5"/>
  <c r="C3131" i="5"/>
  <c r="C3130" i="5"/>
  <c r="C3129" i="5"/>
  <c r="C3128" i="5"/>
  <c r="C3127" i="5"/>
  <c r="C3126" i="5"/>
  <c r="C3125" i="5"/>
  <c r="C3124" i="5"/>
  <c r="C3123" i="5"/>
  <c r="C3122" i="5"/>
  <c r="C3121" i="5"/>
  <c r="C3120" i="5"/>
  <c r="D3119" i="5"/>
  <c r="C3119" i="5"/>
  <c r="C3118" i="5"/>
  <c r="C3117" i="5"/>
  <c r="C3116" i="5"/>
  <c r="C3115" i="5"/>
  <c r="C3114" i="5"/>
  <c r="C3113" i="5"/>
  <c r="C3112" i="5"/>
  <c r="C3111" i="5"/>
  <c r="C3110" i="5"/>
  <c r="D3103" i="5"/>
  <c r="C3109" i="5"/>
  <c r="C3108" i="5"/>
  <c r="C3107" i="5"/>
  <c r="C3106" i="5"/>
  <c r="C3105" i="5"/>
  <c r="C3104" i="5"/>
  <c r="C3103" i="5"/>
  <c r="N3104" i="5"/>
  <c r="M3104" i="5" s="1"/>
  <c r="F3104" i="5" s="1"/>
  <c r="L3104" i="5" s="1"/>
  <c r="M3098" i="5"/>
  <c r="Y3102" i="5"/>
  <c r="M3061" i="5"/>
  <c r="AF3096" i="5"/>
  <c r="AE3096" i="5"/>
  <c r="AF3095" i="5"/>
  <c r="AE3095" i="5"/>
  <c r="AF3094" i="5"/>
  <c r="AE3094" i="5"/>
  <c r="AF3093" i="5"/>
  <c r="AE3093" i="5"/>
  <c r="AF3092" i="5"/>
  <c r="AE3092" i="5"/>
  <c r="AF3091" i="5"/>
  <c r="AE3091" i="5"/>
  <c r="AF3090" i="5"/>
  <c r="AE3090" i="5"/>
  <c r="AF3089" i="5"/>
  <c r="AE3089" i="5"/>
  <c r="AF3088" i="5"/>
  <c r="AE3088" i="5"/>
  <c r="AF3087" i="5"/>
  <c r="AE3087" i="5"/>
  <c r="AF3086" i="5"/>
  <c r="AE3086" i="5"/>
  <c r="AF3085" i="5"/>
  <c r="AE3085" i="5"/>
  <c r="AF3084" i="5"/>
  <c r="AE3084" i="5"/>
  <c r="AF3083" i="5"/>
  <c r="AE3083" i="5"/>
  <c r="AF3082" i="5"/>
  <c r="AE3082" i="5"/>
  <c r="AF3081" i="5"/>
  <c r="AE3081" i="5"/>
  <c r="AF3080" i="5"/>
  <c r="AE3080" i="5"/>
  <c r="AF3079" i="5"/>
  <c r="AE3079" i="5"/>
  <c r="AF3078" i="5"/>
  <c r="AE3078" i="5"/>
  <c r="AF3077" i="5"/>
  <c r="AE3077" i="5"/>
  <c r="AF3076" i="5"/>
  <c r="AE3076" i="5"/>
  <c r="AF3075" i="5"/>
  <c r="AE3075" i="5"/>
  <c r="AF3074" i="5"/>
  <c r="AE3074" i="5"/>
  <c r="AF3073" i="5"/>
  <c r="AE3073" i="5"/>
  <c r="AF3072" i="5"/>
  <c r="AE3072" i="5"/>
  <c r="AF3071" i="5"/>
  <c r="AE3071" i="5"/>
  <c r="AF3070" i="5"/>
  <c r="AE3070" i="5"/>
  <c r="AF3069" i="5"/>
  <c r="AE3069" i="5"/>
  <c r="AF3068" i="5"/>
  <c r="AE3068" i="5"/>
  <c r="N3096" i="5"/>
  <c r="N3095" i="5"/>
  <c r="N3094" i="5"/>
  <c r="N3093" i="5"/>
  <c r="N3092" i="5"/>
  <c r="N3091" i="5"/>
  <c r="N3090" i="5"/>
  <c r="N3089" i="5"/>
  <c r="N3088" i="5"/>
  <c r="N3087" i="5"/>
  <c r="N3086" i="5"/>
  <c r="N3085" i="5"/>
  <c r="N3084" i="5"/>
  <c r="M3084" i="5" s="1"/>
  <c r="F3084" i="5" s="1"/>
  <c r="L3084" i="5" s="1"/>
  <c r="N3083" i="5"/>
  <c r="N3082" i="5"/>
  <c r="N3081" i="5"/>
  <c r="N3080" i="5"/>
  <c r="N3079" i="5"/>
  <c r="N3078" i="5"/>
  <c r="N3077" i="5"/>
  <c r="N3076" i="5"/>
  <c r="M3076" i="5" s="1"/>
  <c r="F3076" i="5" s="1"/>
  <c r="L3076" i="5" s="1"/>
  <c r="N3075" i="5"/>
  <c r="N3074" i="5"/>
  <c r="N3073" i="5"/>
  <c r="N3072" i="5"/>
  <c r="N3071" i="5"/>
  <c r="N3070" i="5"/>
  <c r="N3069" i="5"/>
  <c r="AD3067" i="5"/>
  <c r="AC3067" i="5"/>
  <c r="AB3067" i="5"/>
  <c r="V3067" i="5"/>
  <c r="U3067" i="5"/>
  <c r="T3067" i="5"/>
  <c r="S3067" i="5"/>
  <c r="R3067" i="5"/>
  <c r="O3067" i="5"/>
  <c r="AD2842" i="5"/>
  <c r="AC2842" i="5"/>
  <c r="N2895" i="5"/>
  <c r="S2842" i="5"/>
  <c r="AB2842" i="5"/>
  <c r="V2842" i="5"/>
  <c r="W2842" i="5" s="1"/>
  <c r="Z2842" i="5" s="1"/>
  <c r="U2842" i="5"/>
  <c r="T2842" i="5"/>
  <c r="R2842" i="5"/>
  <c r="O2842" i="5"/>
  <c r="AD2619" i="5"/>
  <c r="N2702" i="5"/>
  <c r="R2619" i="5"/>
  <c r="V2619" i="5"/>
  <c r="X2619" i="5" s="1"/>
  <c r="AC2619" i="5"/>
  <c r="AB2619" i="5"/>
  <c r="U2619" i="5"/>
  <c r="T2619" i="5"/>
  <c r="S2619" i="5"/>
  <c r="O2619" i="5"/>
  <c r="N2829" i="5"/>
  <c r="AZ2371" i="5"/>
  <c r="AY2371" i="5"/>
  <c r="AZ2366" i="5"/>
  <c r="AY2366" i="5"/>
  <c r="AZ2360" i="5"/>
  <c r="AY2360" i="5"/>
  <c r="AZ2354" i="5"/>
  <c r="AY2354" i="5"/>
  <c r="AZ2348" i="5"/>
  <c r="AY2348" i="5"/>
  <c r="AZ2342" i="5"/>
  <c r="AY2342" i="5"/>
  <c r="AZ2336" i="5"/>
  <c r="AY2336" i="5"/>
  <c r="AZ2330" i="5"/>
  <c r="AY2330" i="5"/>
  <c r="AZ2324" i="5"/>
  <c r="AY2324" i="5"/>
  <c r="AZ2317" i="5"/>
  <c r="AY2317" i="5"/>
  <c r="AZ2310" i="5"/>
  <c r="AY2310" i="5"/>
  <c r="AZ2303" i="5"/>
  <c r="AY2303" i="5"/>
  <c r="AZ2296" i="5"/>
  <c r="AY2296" i="5"/>
  <c r="AZ2289" i="5"/>
  <c r="AY2289" i="5"/>
  <c r="AZ2282" i="5"/>
  <c r="AY2282" i="5"/>
  <c r="AZ2275" i="5"/>
  <c r="AY2275" i="5"/>
  <c r="AZ2268" i="5"/>
  <c r="AY2268" i="5"/>
  <c r="AZ2261" i="5"/>
  <c r="AY2261" i="5"/>
  <c r="AZ2254" i="5"/>
  <c r="AY2254" i="5"/>
  <c r="AZ2247" i="5"/>
  <c r="AY2247" i="5"/>
  <c r="AZ2240" i="5"/>
  <c r="AY2240" i="5"/>
  <c r="AZ2233" i="5"/>
  <c r="AY2233" i="5"/>
  <c r="AZ2226" i="5"/>
  <c r="AY2226" i="5"/>
  <c r="AZ2219" i="5"/>
  <c r="AY2219" i="5"/>
  <c r="AZ2212" i="5"/>
  <c r="AY2212" i="5"/>
  <c r="AZ2205" i="5"/>
  <c r="AY2205" i="5"/>
  <c r="AZ2198" i="5"/>
  <c r="AY2198" i="5"/>
  <c r="AZ2191" i="5"/>
  <c r="AY2191" i="5"/>
  <c r="AZ2184" i="5"/>
  <c r="AY2184" i="5"/>
  <c r="AZ2177" i="5"/>
  <c r="AY2177" i="5"/>
  <c r="AZ2170" i="5"/>
  <c r="AY2170" i="5"/>
  <c r="AZ2163" i="5"/>
  <c r="AY2163" i="5"/>
  <c r="AZ2156" i="5"/>
  <c r="AY2156" i="5"/>
  <c r="AZ2149" i="5"/>
  <c r="AY2149" i="5"/>
  <c r="AZ2142" i="5"/>
  <c r="AY2142" i="5"/>
  <c r="AZ2135" i="5"/>
  <c r="AY2135" i="5"/>
  <c r="AZ2128" i="5"/>
  <c r="AY2128" i="5"/>
  <c r="AZ2121" i="5"/>
  <c r="AY2121" i="5"/>
  <c r="AZ2114" i="5"/>
  <c r="AY2114" i="5"/>
  <c r="AZ2107" i="5"/>
  <c r="AY2107" i="5"/>
  <c r="AZ2100" i="5"/>
  <c r="AY2100" i="5"/>
  <c r="AZ2093" i="5"/>
  <c r="AY2093" i="5"/>
  <c r="AZ2086" i="5"/>
  <c r="AY2086" i="5"/>
  <c r="AZ2079" i="5"/>
  <c r="AY2079" i="5"/>
  <c r="AZ2072" i="5"/>
  <c r="AY2072" i="5"/>
  <c r="AZ2065" i="5"/>
  <c r="AY2065" i="5"/>
  <c r="AZ2058" i="5"/>
  <c r="AY2058" i="5"/>
  <c r="AZ2051" i="5"/>
  <c r="AY2051" i="5"/>
  <c r="AZ2044" i="5"/>
  <c r="AY2044" i="5"/>
  <c r="AZ2037" i="5"/>
  <c r="AY2037" i="5"/>
  <c r="AZ2030" i="5"/>
  <c r="AY2030" i="5"/>
  <c r="AZ2023" i="5"/>
  <c r="AY2023" i="5"/>
  <c r="AZ2016" i="5"/>
  <c r="AY2016" i="5"/>
  <c r="AZ2009" i="5"/>
  <c r="AY2009" i="5"/>
  <c r="AZ2002" i="5"/>
  <c r="AY2002" i="5"/>
  <c r="AZ1995" i="5"/>
  <c r="AY1995" i="5"/>
  <c r="AZ1942" i="5"/>
  <c r="AY1942" i="5"/>
  <c r="AZ1937" i="5"/>
  <c r="AY1937" i="5"/>
  <c r="AZ1931" i="5"/>
  <c r="AY1931" i="5"/>
  <c r="AZ1925" i="5"/>
  <c r="AY1925" i="5"/>
  <c r="AZ1919" i="5"/>
  <c r="AY1919" i="5"/>
  <c r="AZ1913" i="5"/>
  <c r="AY1913" i="5"/>
  <c r="AZ1901" i="5"/>
  <c r="AY1901" i="5"/>
  <c r="AZ1895" i="5"/>
  <c r="AY1895" i="5"/>
  <c r="AZ1888" i="5"/>
  <c r="AY1888" i="5"/>
  <c r="AZ1881" i="5"/>
  <c r="AY1881" i="5"/>
  <c r="AZ1874" i="5"/>
  <c r="AY1874" i="5"/>
  <c r="AZ1867" i="5"/>
  <c r="AY1867" i="5"/>
  <c r="AZ1860" i="5"/>
  <c r="AY1860" i="5"/>
  <c r="AZ1853" i="5"/>
  <c r="AY1853" i="5"/>
  <c r="AZ1846" i="5"/>
  <c r="AY1846" i="5"/>
  <c r="AZ1839" i="5"/>
  <c r="AY1839" i="5"/>
  <c r="AZ1832" i="5"/>
  <c r="AY1832" i="5"/>
  <c r="AZ1825" i="5"/>
  <c r="AY1825" i="5"/>
  <c r="AZ1818" i="5"/>
  <c r="AY1818" i="5"/>
  <c r="AZ1811" i="5"/>
  <c r="AY1811" i="5"/>
  <c r="AZ1804" i="5"/>
  <c r="AY1804" i="5"/>
  <c r="AZ1797" i="5"/>
  <c r="AY1797" i="5"/>
  <c r="AZ1790" i="5"/>
  <c r="AY1790" i="5"/>
  <c r="AZ1783" i="5"/>
  <c r="AY1783" i="5"/>
  <c r="AZ1776" i="5"/>
  <c r="AY1776" i="5"/>
  <c r="AZ1769" i="5"/>
  <c r="AY1769" i="5"/>
  <c r="AZ1762" i="5"/>
  <c r="AY1762" i="5"/>
  <c r="AZ1755" i="5"/>
  <c r="AY1755" i="5"/>
  <c r="AZ1748" i="5"/>
  <c r="AY1748" i="5"/>
  <c r="AZ1741" i="5"/>
  <c r="AY1741" i="5"/>
  <c r="AZ1734" i="5"/>
  <c r="AY1734" i="5"/>
  <c r="AZ1727" i="5"/>
  <c r="AY1727" i="5"/>
  <c r="AZ1720" i="5"/>
  <c r="AY1720" i="5"/>
  <c r="AZ1713" i="5"/>
  <c r="AY1713" i="5"/>
  <c r="AZ1706" i="5"/>
  <c r="AY1706" i="5"/>
  <c r="AZ1699" i="5"/>
  <c r="AY1699" i="5"/>
  <c r="AZ1692" i="5"/>
  <c r="AY1692" i="5"/>
  <c r="AZ1685" i="5"/>
  <c r="AY1685" i="5"/>
  <c r="AZ1678" i="5"/>
  <c r="AY1678" i="5"/>
  <c r="AZ1671" i="5"/>
  <c r="AY1671" i="5"/>
  <c r="AZ1664" i="5"/>
  <c r="AY1664" i="5"/>
  <c r="AZ1657" i="5"/>
  <c r="AY1657" i="5"/>
  <c r="AZ1650" i="5"/>
  <c r="AY1650" i="5"/>
  <c r="AZ1643" i="5"/>
  <c r="AY1643" i="5"/>
  <c r="AZ1636" i="5"/>
  <c r="AY1636" i="5"/>
  <c r="AZ1629" i="5"/>
  <c r="AY1629" i="5"/>
  <c r="AZ1622" i="5"/>
  <c r="AY1622" i="5"/>
  <c r="AZ1615" i="5"/>
  <c r="AY1615" i="5"/>
  <c r="AZ1608" i="5"/>
  <c r="AY1608" i="5"/>
  <c r="AZ1601" i="5"/>
  <c r="AY1601" i="5"/>
  <c r="AZ1594" i="5"/>
  <c r="AY1594" i="5"/>
  <c r="AZ1587" i="5"/>
  <c r="AY1587" i="5"/>
  <c r="AZ1580" i="5"/>
  <c r="AY1580" i="5"/>
  <c r="AZ1573" i="5"/>
  <c r="AY1573" i="5"/>
  <c r="AZ1566" i="5"/>
  <c r="AY1566" i="5"/>
  <c r="AZ1511" i="5"/>
  <c r="AY1511" i="5"/>
  <c r="AZ1506" i="5"/>
  <c r="AY1506" i="5"/>
  <c r="AZ1500" i="5"/>
  <c r="AY1500" i="5"/>
  <c r="AZ1494" i="5"/>
  <c r="AY1494" i="5"/>
  <c r="AZ1488" i="5"/>
  <c r="AY1488" i="5"/>
  <c r="AZ1482" i="5"/>
  <c r="AY1482" i="5"/>
  <c r="AZ1476" i="5"/>
  <c r="AY1476" i="5"/>
  <c r="AZ1470" i="5"/>
  <c r="AY1470" i="5"/>
  <c r="AZ1464" i="5"/>
  <c r="AY1464" i="5"/>
  <c r="AZ1457" i="5"/>
  <c r="AY1457" i="5"/>
  <c r="AZ1450" i="5"/>
  <c r="AY1450" i="5"/>
  <c r="AZ1443" i="5"/>
  <c r="AY1443" i="5"/>
  <c r="AZ1436" i="5"/>
  <c r="AY1436" i="5"/>
  <c r="AZ1429" i="5"/>
  <c r="AY1429" i="5"/>
  <c r="AZ1422" i="5"/>
  <c r="AY1422" i="5"/>
  <c r="AZ1415" i="5"/>
  <c r="AY1415" i="5"/>
  <c r="AZ1408" i="5"/>
  <c r="AY1408" i="5"/>
  <c r="AZ1401" i="5"/>
  <c r="AY1401" i="5"/>
  <c r="AZ1394" i="5"/>
  <c r="AY1394" i="5"/>
  <c r="AZ1387" i="5"/>
  <c r="AY1387" i="5"/>
  <c r="AZ1380" i="5"/>
  <c r="AY1380" i="5"/>
  <c r="AZ1373" i="5"/>
  <c r="AY1373" i="5"/>
  <c r="AZ1366" i="5"/>
  <c r="AY1366" i="5"/>
  <c r="AZ1359" i="5"/>
  <c r="AY1359" i="5"/>
  <c r="AZ1352" i="5"/>
  <c r="AY1352" i="5"/>
  <c r="AZ1345" i="5"/>
  <c r="AY1345" i="5"/>
  <c r="AZ1338" i="5"/>
  <c r="AY1338" i="5"/>
  <c r="AZ1331" i="5"/>
  <c r="AY1331" i="5"/>
  <c r="AZ1324" i="5"/>
  <c r="AY1324" i="5"/>
  <c r="AZ1317" i="5"/>
  <c r="AY1317" i="5"/>
  <c r="AZ1310" i="5"/>
  <c r="AY1310" i="5"/>
  <c r="AZ1303" i="5"/>
  <c r="AY1303" i="5"/>
  <c r="AZ1296" i="5"/>
  <c r="AY1296" i="5"/>
  <c r="AZ1289" i="5"/>
  <c r="AY1289" i="5"/>
  <c r="AZ1282" i="5"/>
  <c r="AY1282" i="5"/>
  <c r="AZ1275" i="5"/>
  <c r="AY1275" i="5"/>
  <c r="AZ1268" i="5"/>
  <c r="AY1268" i="5"/>
  <c r="AZ1261" i="5"/>
  <c r="AY1261" i="5"/>
  <c r="AZ1254" i="5"/>
  <c r="AY1254" i="5"/>
  <c r="AZ1247" i="5"/>
  <c r="AY1247" i="5"/>
  <c r="AZ1240" i="5"/>
  <c r="AY1240" i="5"/>
  <c r="AZ1233" i="5"/>
  <c r="AY1233" i="5"/>
  <c r="AZ1226" i="5"/>
  <c r="AY1226" i="5"/>
  <c r="AZ1219" i="5"/>
  <c r="AY1219" i="5"/>
  <c r="AZ1212" i="5"/>
  <c r="AY1212" i="5"/>
  <c r="AZ1205" i="5"/>
  <c r="AY1205" i="5"/>
  <c r="AZ1198" i="5"/>
  <c r="AY1198" i="5"/>
  <c r="AZ1191" i="5"/>
  <c r="AY1191" i="5"/>
  <c r="AZ1184" i="5"/>
  <c r="AY1184" i="5"/>
  <c r="AZ1177" i="5"/>
  <c r="AY1177" i="5"/>
  <c r="AZ1170" i="5"/>
  <c r="AY1170" i="5"/>
  <c r="AZ1163" i="5"/>
  <c r="AY1163" i="5"/>
  <c r="AZ1156" i="5"/>
  <c r="AY1156" i="5"/>
  <c r="AZ1149" i="5"/>
  <c r="AY1149" i="5"/>
  <c r="AZ1142" i="5"/>
  <c r="AY1142" i="5"/>
  <c r="AZ1135" i="5"/>
  <c r="AY1135" i="5"/>
  <c r="AZ1082" i="5"/>
  <c r="AY1082" i="5"/>
  <c r="AZ1076" i="5"/>
  <c r="AY1076" i="5"/>
  <c r="AZ1070" i="5"/>
  <c r="AY1070" i="5"/>
  <c r="AZ1064" i="5"/>
  <c r="AY1064" i="5"/>
  <c r="AZ1058" i="5"/>
  <c r="AY1058" i="5"/>
  <c r="AZ1052" i="5"/>
  <c r="AY1052" i="5"/>
  <c r="AZ1046" i="5"/>
  <c r="AY1046" i="5"/>
  <c r="AZ1040" i="5"/>
  <c r="AY1040" i="5"/>
  <c r="AZ1033" i="5"/>
  <c r="AY1033" i="5"/>
  <c r="AZ1026" i="5"/>
  <c r="AY1026" i="5"/>
  <c r="AZ1019" i="5"/>
  <c r="AY1019" i="5"/>
  <c r="AZ1012" i="5"/>
  <c r="AY1012" i="5"/>
  <c r="AZ1005" i="5"/>
  <c r="AY1005" i="5"/>
  <c r="AZ998" i="5"/>
  <c r="AY998" i="5"/>
  <c r="AZ991" i="5"/>
  <c r="AY991" i="5"/>
  <c r="AZ984" i="5"/>
  <c r="AY984" i="5"/>
  <c r="AZ977" i="5"/>
  <c r="AY977" i="5"/>
  <c r="AZ970" i="5"/>
  <c r="AY970" i="5"/>
  <c r="AZ963" i="5"/>
  <c r="AY963" i="5"/>
  <c r="AZ956" i="5"/>
  <c r="AY956" i="5"/>
  <c r="AZ949" i="5"/>
  <c r="AY949" i="5"/>
  <c r="AZ942" i="5"/>
  <c r="AY942" i="5"/>
  <c r="AZ935" i="5"/>
  <c r="AY935" i="5"/>
  <c r="AZ928" i="5"/>
  <c r="AY928" i="5"/>
  <c r="AZ921" i="5"/>
  <c r="AY921" i="5"/>
  <c r="AZ914" i="5"/>
  <c r="AY914" i="5"/>
  <c r="AZ907" i="5"/>
  <c r="AY907" i="5"/>
  <c r="AZ900" i="5"/>
  <c r="AY900" i="5"/>
  <c r="AZ893" i="5"/>
  <c r="AY893" i="5"/>
  <c r="AZ886" i="5"/>
  <c r="AY886" i="5"/>
  <c r="AZ879" i="5"/>
  <c r="AY879" i="5"/>
  <c r="AZ872" i="5"/>
  <c r="AY872" i="5"/>
  <c r="AZ865" i="5"/>
  <c r="AY865" i="5"/>
  <c r="AZ858" i="5"/>
  <c r="AY858" i="5"/>
  <c r="AZ851" i="5"/>
  <c r="AY851" i="5"/>
  <c r="AZ844" i="5"/>
  <c r="AY844" i="5"/>
  <c r="AZ837" i="5"/>
  <c r="AY837" i="5"/>
  <c r="AZ830" i="5"/>
  <c r="AY830" i="5"/>
  <c r="AZ823" i="5"/>
  <c r="AY823" i="5"/>
  <c r="AZ816" i="5"/>
  <c r="AY816" i="5"/>
  <c r="AZ809" i="5"/>
  <c r="AY809" i="5"/>
  <c r="AZ802" i="5"/>
  <c r="AY802" i="5"/>
  <c r="AZ795" i="5"/>
  <c r="AY795" i="5"/>
  <c r="AZ788" i="5"/>
  <c r="AY788" i="5"/>
  <c r="AZ781" i="5"/>
  <c r="AY781" i="5"/>
  <c r="AZ774" i="5"/>
  <c r="AY774" i="5"/>
  <c r="AZ767" i="5"/>
  <c r="AY767" i="5"/>
  <c r="AZ760" i="5"/>
  <c r="AY760" i="5"/>
  <c r="AZ753" i="5"/>
  <c r="AY753" i="5"/>
  <c r="AZ746" i="5"/>
  <c r="AY746" i="5"/>
  <c r="AZ739" i="5"/>
  <c r="AY739" i="5"/>
  <c r="AZ732" i="5"/>
  <c r="AY732" i="5"/>
  <c r="AZ725" i="5"/>
  <c r="AY725" i="5"/>
  <c r="AZ718" i="5"/>
  <c r="AY718" i="5"/>
  <c r="AZ711" i="5"/>
  <c r="AY711" i="5"/>
  <c r="AZ679" i="5"/>
  <c r="AY679" i="5"/>
  <c r="AZ674" i="5"/>
  <c r="AY674" i="5"/>
  <c r="AZ668" i="5"/>
  <c r="AY668" i="5"/>
  <c r="AZ662" i="5"/>
  <c r="AY662" i="5"/>
  <c r="AZ656" i="5"/>
  <c r="AY656" i="5"/>
  <c r="AZ650" i="5"/>
  <c r="AY650" i="5"/>
  <c r="AZ644" i="5"/>
  <c r="AY644" i="5"/>
  <c r="AZ638" i="5"/>
  <c r="AY638" i="5"/>
  <c r="AZ632" i="5"/>
  <c r="AY632" i="5"/>
  <c r="AZ625" i="5"/>
  <c r="AY625" i="5"/>
  <c r="AZ618" i="5"/>
  <c r="AY618" i="5"/>
  <c r="AZ611" i="5"/>
  <c r="AY611" i="5"/>
  <c r="AZ604" i="5"/>
  <c r="AY604" i="5"/>
  <c r="AZ597" i="5"/>
  <c r="AY597" i="5"/>
  <c r="AZ590" i="5"/>
  <c r="AY590" i="5"/>
  <c r="AZ583" i="5"/>
  <c r="AY583" i="5"/>
  <c r="AZ576" i="5"/>
  <c r="AY576" i="5"/>
  <c r="AZ569" i="5"/>
  <c r="AY569" i="5"/>
  <c r="AZ562" i="5"/>
  <c r="AY562" i="5"/>
  <c r="AZ555" i="5"/>
  <c r="AY555" i="5"/>
  <c r="AZ548" i="5"/>
  <c r="AY548" i="5"/>
  <c r="AZ541" i="5"/>
  <c r="AY541" i="5"/>
  <c r="AZ534" i="5"/>
  <c r="AY534" i="5"/>
  <c r="AZ527" i="5"/>
  <c r="AY527" i="5"/>
  <c r="AZ520" i="5"/>
  <c r="AY520" i="5"/>
  <c r="AZ513" i="5"/>
  <c r="AY513" i="5"/>
  <c r="AZ506" i="5"/>
  <c r="AY506" i="5"/>
  <c r="AZ499" i="5"/>
  <c r="AY499" i="5"/>
  <c r="AZ492" i="5"/>
  <c r="AY492" i="5"/>
  <c r="AZ485" i="5"/>
  <c r="AY485" i="5"/>
  <c r="AZ478" i="5"/>
  <c r="AY478" i="5"/>
  <c r="AZ471" i="5"/>
  <c r="AY471" i="5"/>
  <c r="AZ464" i="5"/>
  <c r="AY464" i="5"/>
  <c r="AZ457" i="5"/>
  <c r="AY457" i="5"/>
  <c r="AZ450" i="5"/>
  <c r="AY450" i="5"/>
  <c r="AZ443" i="5"/>
  <c r="AY443" i="5"/>
  <c r="AZ436" i="5"/>
  <c r="AY436" i="5"/>
  <c r="AZ429" i="5"/>
  <c r="AY429" i="5"/>
  <c r="AZ422" i="5"/>
  <c r="AY422" i="5"/>
  <c r="AZ415" i="5"/>
  <c r="AY415" i="5"/>
  <c r="AZ408" i="5"/>
  <c r="AY408" i="5"/>
  <c r="AZ401" i="5"/>
  <c r="AY401" i="5"/>
  <c r="AZ394" i="5"/>
  <c r="AY394" i="5"/>
  <c r="AZ387" i="5"/>
  <c r="AY387" i="5"/>
  <c r="AZ380" i="5"/>
  <c r="AY380" i="5"/>
  <c r="AZ373" i="5"/>
  <c r="AY373" i="5"/>
  <c r="AZ366" i="5"/>
  <c r="AY366" i="5"/>
  <c r="AZ359" i="5"/>
  <c r="AY359" i="5"/>
  <c r="AZ352" i="5"/>
  <c r="AY352" i="5"/>
  <c r="AZ345" i="5"/>
  <c r="AY345" i="5"/>
  <c r="AZ338" i="5"/>
  <c r="AY338" i="5"/>
  <c r="AZ331" i="5"/>
  <c r="AY331" i="5"/>
  <c r="AZ324" i="5"/>
  <c r="AY324" i="5"/>
  <c r="AZ317" i="5"/>
  <c r="AY317" i="5"/>
  <c r="AZ310" i="5"/>
  <c r="AY310" i="5"/>
  <c r="AZ303" i="5"/>
  <c r="AY303" i="5"/>
  <c r="F4523" i="5"/>
  <c r="F4529" i="5" s="1"/>
  <c r="M1990" i="5"/>
  <c r="F1990" i="5" s="1"/>
  <c r="M1991" i="5"/>
  <c r="F1991" i="5" s="1"/>
  <c r="M1992" i="5"/>
  <c r="F1992" i="5" s="1"/>
  <c r="M1996" i="5"/>
  <c r="F1996" i="5" s="1"/>
  <c r="M1997" i="5"/>
  <c r="F1997" i="5" s="1"/>
  <c r="M1998" i="5"/>
  <c r="F1998" i="5" s="1"/>
  <c r="M1999" i="5"/>
  <c r="F1999" i="5" s="1"/>
  <c r="M2003" i="5"/>
  <c r="F2003" i="5" s="1"/>
  <c r="M2004" i="5"/>
  <c r="F2004" i="5" s="1"/>
  <c r="M2005" i="5"/>
  <c r="F2005" i="5" s="1"/>
  <c r="M2006" i="5"/>
  <c r="F2006" i="5" s="1"/>
  <c r="M2010" i="5"/>
  <c r="F2010" i="5" s="1"/>
  <c r="M2011" i="5"/>
  <c r="F2011" i="5" s="1"/>
  <c r="M2012" i="5"/>
  <c r="F2012" i="5" s="1"/>
  <c r="M2013" i="5"/>
  <c r="F2013" i="5" s="1"/>
  <c r="M2017" i="5"/>
  <c r="F2017" i="5" s="1"/>
  <c r="M2018" i="5"/>
  <c r="F2018" i="5" s="1"/>
  <c r="M2019" i="5"/>
  <c r="F2019" i="5" s="1"/>
  <c r="M2020" i="5"/>
  <c r="F2020" i="5" s="1"/>
  <c r="M2024" i="5"/>
  <c r="F2024" i="5" s="1"/>
  <c r="M2025" i="5"/>
  <c r="F2025" i="5" s="1"/>
  <c r="M2026" i="5"/>
  <c r="F2026" i="5" s="1"/>
  <c r="M2027" i="5"/>
  <c r="F2027" i="5" s="1"/>
  <c r="M2031" i="5"/>
  <c r="F2031" i="5" s="1"/>
  <c r="M2032" i="5"/>
  <c r="F2032" i="5" s="1"/>
  <c r="M2033" i="5"/>
  <c r="F2033" i="5" s="1"/>
  <c r="M2034" i="5"/>
  <c r="F2034" i="5" s="1"/>
  <c r="M2038" i="5"/>
  <c r="F2038" i="5" s="1"/>
  <c r="M2039" i="5"/>
  <c r="F2039" i="5" s="1"/>
  <c r="M2040" i="5"/>
  <c r="F2040" i="5" s="1"/>
  <c r="M2041" i="5"/>
  <c r="F2041" i="5" s="1"/>
  <c r="M2045" i="5"/>
  <c r="F2045" i="5" s="1"/>
  <c r="M2046" i="5"/>
  <c r="F2046" i="5" s="1"/>
  <c r="M2047" i="5"/>
  <c r="F2047" i="5" s="1"/>
  <c r="M2048" i="5"/>
  <c r="F2048" i="5" s="1"/>
  <c r="M2052" i="5"/>
  <c r="F2052" i="5" s="1"/>
  <c r="M2053" i="5"/>
  <c r="F2053" i="5" s="1"/>
  <c r="M2054" i="5"/>
  <c r="F2054" i="5" s="1"/>
  <c r="M2055" i="5"/>
  <c r="F2055" i="5" s="1"/>
  <c r="M2059" i="5"/>
  <c r="F2059" i="5" s="1"/>
  <c r="M2060" i="5"/>
  <c r="F2060" i="5" s="1"/>
  <c r="M2061" i="5"/>
  <c r="F2061" i="5" s="1"/>
  <c r="M2062" i="5"/>
  <c r="F2062" i="5" s="1"/>
  <c r="M2066" i="5"/>
  <c r="F2066" i="5" s="1"/>
  <c r="M2067" i="5"/>
  <c r="F2067" i="5" s="1"/>
  <c r="M2068" i="5"/>
  <c r="F2068" i="5" s="1"/>
  <c r="M2069" i="5"/>
  <c r="F2069" i="5" s="1"/>
  <c r="M2073" i="5"/>
  <c r="F2073" i="5" s="1"/>
  <c r="M2074" i="5"/>
  <c r="F2074" i="5" s="1"/>
  <c r="M2075" i="5"/>
  <c r="F2075" i="5" s="1"/>
  <c r="M2076" i="5"/>
  <c r="F2076" i="5" s="1"/>
  <c r="M2080" i="5"/>
  <c r="F2080" i="5" s="1"/>
  <c r="M2081" i="5"/>
  <c r="F2081" i="5" s="1"/>
  <c r="M2082" i="5"/>
  <c r="F2082" i="5" s="1"/>
  <c r="M2083" i="5"/>
  <c r="F2083" i="5" s="1"/>
  <c r="M2087" i="5"/>
  <c r="F2087" i="5" s="1"/>
  <c r="M2088" i="5"/>
  <c r="F2088" i="5" s="1"/>
  <c r="M2089" i="5"/>
  <c r="F2089" i="5" s="1"/>
  <c r="M2090" i="5"/>
  <c r="F2090" i="5" s="1"/>
  <c r="M2094" i="5"/>
  <c r="F2094" i="5" s="1"/>
  <c r="M2095" i="5"/>
  <c r="F2095" i="5" s="1"/>
  <c r="M2096" i="5"/>
  <c r="F2096" i="5" s="1"/>
  <c r="M2097" i="5"/>
  <c r="F2097" i="5" s="1"/>
  <c r="M2101" i="5"/>
  <c r="F2101" i="5" s="1"/>
  <c r="M2102" i="5"/>
  <c r="F2102" i="5" s="1"/>
  <c r="M2103" i="5"/>
  <c r="F2103" i="5" s="1"/>
  <c r="M2104" i="5"/>
  <c r="F2104" i="5" s="1"/>
  <c r="M2108" i="5"/>
  <c r="F2108" i="5" s="1"/>
  <c r="M2109" i="5"/>
  <c r="F2109" i="5" s="1"/>
  <c r="M2110" i="5"/>
  <c r="F2110" i="5" s="1"/>
  <c r="M2111" i="5"/>
  <c r="F2111" i="5" s="1"/>
  <c r="M2115" i="5"/>
  <c r="F2115" i="5" s="1"/>
  <c r="M2116" i="5"/>
  <c r="F2116" i="5" s="1"/>
  <c r="M2117" i="5"/>
  <c r="F2117" i="5" s="1"/>
  <c r="M2118" i="5"/>
  <c r="F2118" i="5" s="1"/>
  <c r="M2122" i="5"/>
  <c r="F2122" i="5" s="1"/>
  <c r="M2123" i="5"/>
  <c r="F2123" i="5" s="1"/>
  <c r="M2124" i="5"/>
  <c r="F2124" i="5" s="1"/>
  <c r="M2125" i="5"/>
  <c r="F2125" i="5" s="1"/>
  <c r="M2129" i="5"/>
  <c r="F2129" i="5" s="1"/>
  <c r="M2130" i="5"/>
  <c r="F2130" i="5" s="1"/>
  <c r="M2131" i="5"/>
  <c r="F2131" i="5" s="1"/>
  <c r="M2132" i="5"/>
  <c r="F2132" i="5" s="1"/>
  <c r="M2136" i="5"/>
  <c r="F2136" i="5" s="1"/>
  <c r="M2137" i="5"/>
  <c r="F2137" i="5" s="1"/>
  <c r="M2138" i="5"/>
  <c r="F2138" i="5" s="1"/>
  <c r="M2139" i="5"/>
  <c r="F2139" i="5" s="1"/>
  <c r="M2143" i="5"/>
  <c r="F2143" i="5" s="1"/>
  <c r="M2144" i="5"/>
  <c r="F2144" i="5" s="1"/>
  <c r="M2145" i="5"/>
  <c r="F2145" i="5" s="1"/>
  <c r="M2146" i="5"/>
  <c r="F2146" i="5" s="1"/>
  <c r="M2150" i="5"/>
  <c r="F2150" i="5" s="1"/>
  <c r="M2151" i="5"/>
  <c r="F2151" i="5" s="1"/>
  <c r="M2152" i="5"/>
  <c r="F2152" i="5" s="1"/>
  <c r="M2153" i="5"/>
  <c r="F2153" i="5" s="1"/>
  <c r="M2157" i="5"/>
  <c r="F2157" i="5" s="1"/>
  <c r="M2158" i="5"/>
  <c r="F2158" i="5" s="1"/>
  <c r="M2159" i="5"/>
  <c r="F2159" i="5" s="1"/>
  <c r="M2160" i="5"/>
  <c r="F2160" i="5" s="1"/>
  <c r="M2164" i="5"/>
  <c r="F2164" i="5" s="1"/>
  <c r="M2165" i="5"/>
  <c r="F2165" i="5" s="1"/>
  <c r="M2166" i="5"/>
  <c r="F2166" i="5" s="1"/>
  <c r="M2167" i="5"/>
  <c r="F2167" i="5" s="1"/>
  <c r="M2171" i="5"/>
  <c r="F2171" i="5" s="1"/>
  <c r="M2172" i="5"/>
  <c r="F2172" i="5" s="1"/>
  <c r="M2173" i="5"/>
  <c r="F2173" i="5" s="1"/>
  <c r="M2174" i="5"/>
  <c r="F2174" i="5" s="1"/>
  <c r="M2178" i="5"/>
  <c r="F2178" i="5" s="1"/>
  <c r="M2179" i="5"/>
  <c r="F2179" i="5" s="1"/>
  <c r="M2180" i="5"/>
  <c r="F2180" i="5" s="1"/>
  <c r="M2181" i="5"/>
  <c r="F2181" i="5" s="1"/>
  <c r="M2187" i="5"/>
  <c r="F2187" i="5" s="1"/>
  <c r="M2188" i="5"/>
  <c r="F2188" i="5" s="1"/>
  <c r="M2192" i="5"/>
  <c r="F2192" i="5" s="1"/>
  <c r="M2193" i="5"/>
  <c r="F2193" i="5" s="1"/>
  <c r="M2194" i="5"/>
  <c r="F2194" i="5" s="1"/>
  <c r="M2195" i="5"/>
  <c r="F2195" i="5" s="1"/>
  <c r="M2199" i="5"/>
  <c r="F2199" i="5" s="1"/>
  <c r="M2200" i="5"/>
  <c r="F2200" i="5" s="1"/>
  <c r="M2201" i="5"/>
  <c r="F2201" i="5" s="1"/>
  <c r="M2202" i="5"/>
  <c r="F2202" i="5" s="1"/>
  <c r="M2206" i="5"/>
  <c r="F2206" i="5" s="1"/>
  <c r="M2207" i="5"/>
  <c r="F2207" i="5" s="1"/>
  <c r="M2208" i="5"/>
  <c r="F2208" i="5" s="1"/>
  <c r="M2209" i="5"/>
  <c r="F2209" i="5" s="1"/>
  <c r="M2213" i="5"/>
  <c r="F2213" i="5" s="1"/>
  <c r="M2214" i="5"/>
  <c r="F2214" i="5" s="1"/>
  <c r="M2215" i="5"/>
  <c r="F2215" i="5" s="1"/>
  <c r="M2216" i="5"/>
  <c r="F2216" i="5" s="1"/>
  <c r="M2220" i="5"/>
  <c r="F2220" i="5" s="1"/>
  <c r="M2221" i="5"/>
  <c r="F2221" i="5" s="1"/>
  <c r="M2222" i="5"/>
  <c r="F2222" i="5" s="1"/>
  <c r="M2223" i="5"/>
  <c r="F2223" i="5" s="1"/>
  <c r="M2227" i="5"/>
  <c r="F2227" i="5" s="1"/>
  <c r="M2228" i="5"/>
  <c r="F2228" i="5" s="1"/>
  <c r="M2229" i="5"/>
  <c r="F2229" i="5" s="1"/>
  <c r="M2230" i="5"/>
  <c r="F2230" i="5" s="1"/>
  <c r="M2234" i="5"/>
  <c r="F2234" i="5" s="1"/>
  <c r="M2235" i="5"/>
  <c r="F2235" i="5" s="1"/>
  <c r="M2236" i="5"/>
  <c r="F2236" i="5" s="1"/>
  <c r="M2237" i="5"/>
  <c r="F2237" i="5" s="1"/>
  <c r="M2241" i="5"/>
  <c r="F2241" i="5" s="1"/>
  <c r="M2242" i="5"/>
  <c r="F2242" i="5" s="1"/>
  <c r="M2243" i="5"/>
  <c r="F2243" i="5" s="1"/>
  <c r="M2244" i="5"/>
  <c r="F2244" i="5" s="1"/>
  <c r="M2248" i="5"/>
  <c r="F2248" i="5" s="1"/>
  <c r="M2249" i="5"/>
  <c r="F2249" i="5" s="1"/>
  <c r="M2250" i="5"/>
  <c r="F2250" i="5" s="1"/>
  <c r="M2251" i="5"/>
  <c r="F2251" i="5" s="1"/>
  <c r="M2255" i="5"/>
  <c r="F2255" i="5" s="1"/>
  <c r="M2256" i="5"/>
  <c r="F2256" i="5" s="1"/>
  <c r="M2257" i="5"/>
  <c r="F2257" i="5" s="1"/>
  <c r="M2258" i="5"/>
  <c r="F2258" i="5" s="1"/>
  <c r="M2262" i="5"/>
  <c r="F2262" i="5" s="1"/>
  <c r="M2263" i="5"/>
  <c r="F2263" i="5" s="1"/>
  <c r="M2264" i="5"/>
  <c r="F2264" i="5" s="1"/>
  <c r="M2265" i="5"/>
  <c r="F2265" i="5" s="1"/>
  <c r="M2269" i="5"/>
  <c r="F2269" i="5" s="1"/>
  <c r="M2270" i="5"/>
  <c r="F2270" i="5" s="1"/>
  <c r="M2271" i="5"/>
  <c r="F2271" i="5" s="1"/>
  <c r="M2272" i="5"/>
  <c r="F2272" i="5" s="1"/>
  <c r="M2276" i="5"/>
  <c r="F2276" i="5" s="1"/>
  <c r="M2277" i="5"/>
  <c r="F2277" i="5" s="1"/>
  <c r="M2278" i="5"/>
  <c r="F2278" i="5" s="1"/>
  <c r="M2279" i="5"/>
  <c r="F2279" i="5" s="1"/>
  <c r="M2283" i="5"/>
  <c r="F2283" i="5" s="1"/>
  <c r="M2284" i="5"/>
  <c r="F2284" i="5" s="1"/>
  <c r="M2285" i="5"/>
  <c r="F2285" i="5" s="1"/>
  <c r="M2286" i="5"/>
  <c r="F2286" i="5" s="1"/>
  <c r="M2290" i="5"/>
  <c r="F2290" i="5" s="1"/>
  <c r="M2291" i="5"/>
  <c r="F2291" i="5" s="1"/>
  <c r="M2292" i="5"/>
  <c r="F2292" i="5" s="1"/>
  <c r="M2293" i="5"/>
  <c r="F2293" i="5" s="1"/>
  <c r="M2297" i="5"/>
  <c r="F2297" i="5" s="1"/>
  <c r="M2298" i="5"/>
  <c r="F2298" i="5" s="1"/>
  <c r="M2299" i="5"/>
  <c r="F2299" i="5" s="1"/>
  <c r="M2300" i="5"/>
  <c r="F2300" i="5" s="1"/>
  <c r="M2304" i="5"/>
  <c r="F2304" i="5" s="1"/>
  <c r="M2305" i="5"/>
  <c r="F2305" i="5" s="1"/>
  <c r="M2306" i="5"/>
  <c r="F2306" i="5" s="1"/>
  <c r="M2307" i="5"/>
  <c r="F2307" i="5" s="1"/>
  <c r="M2311" i="5"/>
  <c r="F2311" i="5" s="1"/>
  <c r="M2312" i="5"/>
  <c r="F2312" i="5" s="1"/>
  <c r="M2313" i="5"/>
  <c r="F2313" i="5" s="1"/>
  <c r="M2314" i="5"/>
  <c r="F2314" i="5" s="1"/>
  <c r="M2318" i="5"/>
  <c r="F2318" i="5" s="1"/>
  <c r="M2319" i="5"/>
  <c r="F2319" i="5" s="1"/>
  <c r="M2320" i="5"/>
  <c r="F2320" i="5" s="1"/>
  <c r="M2321" i="5"/>
  <c r="F2321" i="5" s="1"/>
  <c r="M2326" i="5"/>
  <c r="F2326" i="5" s="1"/>
  <c r="M2327" i="5"/>
  <c r="F2327" i="5" s="1"/>
  <c r="M2331" i="5"/>
  <c r="F2331" i="5" s="1"/>
  <c r="M2332" i="5"/>
  <c r="F2332" i="5" s="1"/>
  <c r="M2333" i="5"/>
  <c r="F2333" i="5" s="1"/>
  <c r="M2337" i="5"/>
  <c r="F2337" i="5" s="1"/>
  <c r="M2338" i="5"/>
  <c r="F2338" i="5" s="1"/>
  <c r="M2339" i="5"/>
  <c r="F2339" i="5" s="1"/>
  <c r="M2343" i="5"/>
  <c r="F2343" i="5" s="1"/>
  <c r="M2344" i="5"/>
  <c r="F2344" i="5" s="1"/>
  <c r="M2345" i="5"/>
  <c r="F2345" i="5" s="1"/>
  <c r="M2349" i="5"/>
  <c r="F2349" i="5" s="1"/>
  <c r="M2350" i="5"/>
  <c r="F2350" i="5" s="1"/>
  <c r="M2351" i="5"/>
  <c r="F2351" i="5" s="1"/>
  <c r="M2355" i="5"/>
  <c r="F2355" i="5" s="1"/>
  <c r="M2356" i="5"/>
  <c r="F2356" i="5" s="1"/>
  <c r="M2357" i="5"/>
  <c r="F2357" i="5" s="1"/>
  <c r="M2361" i="5"/>
  <c r="F2361" i="5" s="1"/>
  <c r="M2362" i="5"/>
  <c r="F2362" i="5" s="1"/>
  <c r="M2363" i="5"/>
  <c r="F2363" i="5" s="1"/>
  <c r="M2367" i="5"/>
  <c r="F2367" i="5" s="1"/>
  <c r="M2368" i="5"/>
  <c r="F2368" i="5" s="1"/>
  <c r="M1561" i="5"/>
  <c r="F1561" i="5" s="1"/>
  <c r="M1562" i="5"/>
  <c r="F1562" i="5" s="1"/>
  <c r="M1563" i="5"/>
  <c r="F1563" i="5" s="1"/>
  <c r="M1567" i="5"/>
  <c r="F1567" i="5" s="1"/>
  <c r="M1568" i="5"/>
  <c r="F1568" i="5" s="1"/>
  <c r="M1569" i="5"/>
  <c r="F1569" i="5" s="1"/>
  <c r="M1570" i="5"/>
  <c r="F1570" i="5" s="1"/>
  <c r="M1574" i="5"/>
  <c r="F1574" i="5" s="1"/>
  <c r="M1575" i="5"/>
  <c r="F1575" i="5" s="1"/>
  <c r="M1576" i="5"/>
  <c r="F1576" i="5" s="1"/>
  <c r="M1577" i="5"/>
  <c r="F1577" i="5" s="1"/>
  <c r="M1581" i="5"/>
  <c r="F1581" i="5" s="1"/>
  <c r="M1582" i="5"/>
  <c r="F1582" i="5" s="1"/>
  <c r="M1583" i="5"/>
  <c r="F1583" i="5" s="1"/>
  <c r="M1584" i="5"/>
  <c r="F1584" i="5" s="1"/>
  <c r="M1588" i="5"/>
  <c r="F1588" i="5" s="1"/>
  <c r="M1589" i="5"/>
  <c r="F1589" i="5" s="1"/>
  <c r="M1590" i="5"/>
  <c r="F1590" i="5" s="1"/>
  <c r="M1591" i="5"/>
  <c r="F1591" i="5" s="1"/>
  <c r="M1595" i="5"/>
  <c r="F1595" i="5" s="1"/>
  <c r="M1596" i="5"/>
  <c r="F1596" i="5" s="1"/>
  <c r="M1597" i="5"/>
  <c r="F1597" i="5" s="1"/>
  <c r="M1598" i="5"/>
  <c r="F1598" i="5" s="1"/>
  <c r="M1602" i="5"/>
  <c r="F1602" i="5" s="1"/>
  <c r="M1603" i="5"/>
  <c r="F1603" i="5" s="1"/>
  <c r="M1604" i="5"/>
  <c r="F1604" i="5" s="1"/>
  <c r="M1605" i="5"/>
  <c r="F1605" i="5" s="1"/>
  <c r="M1609" i="5"/>
  <c r="F1609" i="5" s="1"/>
  <c r="M1610" i="5"/>
  <c r="F1610" i="5" s="1"/>
  <c r="M1611" i="5"/>
  <c r="F1611" i="5" s="1"/>
  <c r="M1612" i="5"/>
  <c r="F1612" i="5" s="1"/>
  <c r="M1616" i="5"/>
  <c r="F1616" i="5" s="1"/>
  <c r="M1617" i="5"/>
  <c r="F1617" i="5" s="1"/>
  <c r="M1618" i="5"/>
  <c r="F1618" i="5" s="1"/>
  <c r="M1619" i="5"/>
  <c r="F1619" i="5" s="1"/>
  <c r="M1623" i="5"/>
  <c r="F1623" i="5" s="1"/>
  <c r="M1624" i="5"/>
  <c r="F1624" i="5" s="1"/>
  <c r="M1625" i="5"/>
  <c r="F1625" i="5" s="1"/>
  <c r="M1626" i="5"/>
  <c r="F1626" i="5" s="1"/>
  <c r="M1630" i="5"/>
  <c r="F1630" i="5" s="1"/>
  <c r="M1631" i="5"/>
  <c r="F1631" i="5" s="1"/>
  <c r="M1632" i="5"/>
  <c r="F1632" i="5" s="1"/>
  <c r="M1633" i="5"/>
  <c r="F1633" i="5" s="1"/>
  <c r="M1637" i="5"/>
  <c r="F1637" i="5" s="1"/>
  <c r="M1638" i="5"/>
  <c r="F1638" i="5" s="1"/>
  <c r="M1639" i="5"/>
  <c r="F1639" i="5" s="1"/>
  <c r="M1640" i="5"/>
  <c r="F1640" i="5" s="1"/>
  <c r="M1644" i="5"/>
  <c r="F1644" i="5" s="1"/>
  <c r="M1645" i="5"/>
  <c r="F1645" i="5" s="1"/>
  <c r="M1646" i="5"/>
  <c r="F1646" i="5" s="1"/>
  <c r="M1647" i="5"/>
  <c r="F1647" i="5" s="1"/>
  <c r="M1651" i="5"/>
  <c r="F1651" i="5" s="1"/>
  <c r="M1652" i="5"/>
  <c r="F1652" i="5" s="1"/>
  <c r="M1653" i="5"/>
  <c r="F1653" i="5" s="1"/>
  <c r="M1654" i="5"/>
  <c r="F1654" i="5" s="1"/>
  <c r="M1658" i="5"/>
  <c r="F1658" i="5" s="1"/>
  <c r="M1659" i="5"/>
  <c r="F1659" i="5" s="1"/>
  <c r="M1660" i="5"/>
  <c r="F1660" i="5" s="1"/>
  <c r="M1661" i="5"/>
  <c r="F1661" i="5" s="1"/>
  <c r="M1665" i="5"/>
  <c r="F1665" i="5" s="1"/>
  <c r="M1666" i="5"/>
  <c r="F1666" i="5" s="1"/>
  <c r="M1667" i="5"/>
  <c r="F1667" i="5" s="1"/>
  <c r="M1668" i="5"/>
  <c r="F1668" i="5" s="1"/>
  <c r="M1672" i="5"/>
  <c r="F1672" i="5" s="1"/>
  <c r="M1673" i="5"/>
  <c r="F1673" i="5" s="1"/>
  <c r="M1674" i="5"/>
  <c r="F1674" i="5" s="1"/>
  <c r="M1675" i="5"/>
  <c r="F1675" i="5" s="1"/>
  <c r="M1679" i="5"/>
  <c r="F1679" i="5" s="1"/>
  <c r="M1680" i="5"/>
  <c r="F1680" i="5" s="1"/>
  <c r="M1681" i="5"/>
  <c r="F1681" i="5" s="1"/>
  <c r="M1682" i="5"/>
  <c r="F1682" i="5" s="1"/>
  <c r="M1686" i="5"/>
  <c r="F1686" i="5" s="1"/>
  <c r="M1687" i="5"/>
  <c r="F1687" i="5" s="1"/>
  <c r="M1688" i="5"/>
  <c r="F1688" i="5" s="1"/>
  <c r="M1689" i="5"/>
  <c r="F1689" i="5" s="1"/>
  <c r="M1693" i="5"/>
  <c r="F1693" i="5" s="1"/>
  <c r="M1694" i="5"/>
  <c r="F1694" i="5" s="1"/>
  <c r="M1695" i="5"/>
  <c r="F1695" i="5" s="1"/>
  <c r="M1696" i="5"/>
  <c r="F1696" i="5" s="1"/>
  <c r="M1700" i="5"/>
  <c r="F1700" i="5" s="1"/>
  <c r="M1701" i="5"/>
  <c r="F1701" i="5" s="1"/>
  <c r="M1702" i="5"/>
  <c r="F1702" i="5" s="1"/>
  <c r="M1703" i="5"/>
  <c r="F1703" i="5" s="1"/>
  <c r="M1707" i="5"/>
  <c r="F1707" i="5" s="1"/>
  <c r="M1708" i="5"/>
  <c r="F1708" i="5" s="1"/>
  <c r="M1709" i="5"/>
  <c r="F1709" i="5" s="1"/>
  <c r="M1710" i="5"/>
  <c r="F1710" i="5" s="1"/>
  <c r="M1714" i="5"/>
  <c r="F1714" i="5" s="1"/>
  <c r="M1715" i="5"/>
  <c r="F1715" i="5" s="1"/>
  <c r="M1716" i="5"/>
  <c r="F1716" i="5" s="1"/>
  <c r="M1717" i="5"/>
  <c r="F1717" i="5" s="1"/>
  <c r="M1721" i="5"/>
  <c r="F1721" i="5" s="1"/>
  <c r="M1722" i="5"/>
  <c r="F1722" i="5" s="1"/>
  <c r="M1723" i="5"/>
  <c r="F1723" i="5" s="1"/>
  <c r="M1724" i="5"/>
  <c r="F1724" i="5" s="1"/>
  <c r="M1728" i="5"/>
  <c r="F1728" i="5" s="1"/>
  <c r="M1729" i="5"/>
  <c r="F1729" i="5" s="1"/>
  <c r="M1730" i="5"/>
  <c r="F1730" i="5" s="1"/>
  <c r="M1731" i="5"/>
  <c r="F1731" i="5" s="1"/>
  <c r="M1735" i="5"/>
  <c r="F1735" i="5" s="1"/>
  <c r="M1736" i="5"/>
  <c r="F1736" i="5" s="1"/>
  <c r="M1737" i="5"/>
  <c r="F1737" i="5" s="1"/>
  <c r="M1738" i="5"/>
  <c r="F1738" i="5" s="1"/>
  <c r="M1742" i="5"/>
  <c r="F1742" i="5" s="1"/>
  <c r="M1743" i="5"/>
  <c r="F1743" i="5" s="1"/>
  <c r="M1744" i="5"/>
  <c r="F1744" i="5" s="1"/>
  <c r="M1745" i="5"/>
  <c r="F1745" i="5" s="1"/>
  <c r="M1749" i="5"/>
  <c r="F1749" i="5" s="1"/>
  <c r="M1750" i="5"/>
  <c r="F1750" i="5" s="1"/>
  <c r="M1751" i="5"/>
  <c r="F1751" i="5" s="1"/>
  <c r="M1752" i="5"/>
  <c r="F1752" i="5" s="1"/>
  <c r="M1756" i="5"/>
  <c r="F1756" i="5" s="1"/>
  <c r="M1757" i="5"/>
  <c r="F1757" i="5" s="1"/>
  <c r="M1758" i="5"/>
  <c r="F1758" i="5" s="1"/>
  <c r="M1759" i="5"/>
  <c r="F1759" i="5" s="1"/>
  <c r="M1763" i="5"/>
  <c r="F1763" i="5" s="1"/>
  <c r="M1764" i="5"/>
  <c r="F1764" i="5" s="1"/>
  <c r="M1765" i="5"/>
  <c r="F1765" i="5" s="1"/>
  <c r="M1766" i="5"/>
  <c r="F1766" i="5" s="1"/>
  <c r="M1770" i="5"/>
  <c r="F1770" i="5" s="1"/>
  <c r="M1771" i="5"/>
  <c r="F1771" i="5" s="1"/>
  <c r="M1772" i="5"/>
  <c r="F1772" i="5" s="1"/>
  <c r="M1773" i="5"/>
  <c r="F1773" i="5" s="1"/>
  <c r="M1777" i="5"/>
  <c r="F1777" i="5" s="1"/>
  <c r="M1778" i="5"/>
  <c r="F1778" i="5" s="1"/>
  <c r="M1779" i="5"/>
  <c r="F1779" i="5" s="1"/>
  <c r="M1780" i="5"/>
  <c r="F1780" i="5" s="1"/>
  <c r="M1784" i="5"/>
  <c r="F1784" i="5" s="1"/>
  <c r="M1785" i="5"/>
  <c r="F1785" i="5" s="1"/>
  <c r="M1786" i="5"/>
  <c r="F1786" i="5" s="1"/>
  <c r="M1787" i="5"/>
  <c r="F1787" i="5" s="1"/>
  <c r="M1791" i="5"/>
  <c r="F1791" i="5" s="1"/>
  <c r="M1792" i="5"/>
  <c r="F1792" i="5" s="1"/>
  <c r="M1793" i="5"/>
  <c r="F1793" i="5" s="1"/>
  <c r="M1794" i="5"/>
  <c r="F1794" i="5" s="1"/>
  <c r="M1798" i="5"/>
  <c r="F1798" i="5" s="1"/>
  <c r="M1799" i="5"/>
  <c r="F1799" i="5" s="1"/>
  <c r="M1800" i="5"/>
  <c r="F1800" i="5" s="1"/>
  <c r="M1801" i="5"/>
  <c r="F1801" i="5" s="1"/>
  <c r="M1805" i="5"/>
  <c r="F1805" i="5" s="1"/>
  <c r="M1806" i="5"/>
  <c r="F1806" i="5" s="1"/>
  <c r="M1807" i="5"/>
  <c r="F1807" i="5" s="1"/>
  <c r="M1808" i="5"/>
  <c r="F1808" i="5" s="1"/>
  <c r="M1812" i="5"/>
  <c r="F1812" i="5" s="1"/>
  <c r="M1813" i="5"/>
  <c r="F1813" i="5" s="1"/>
  <c r="M1814" i="5"/>
  <c r="F1814" i="5" s="1"/>
  <c r="M1815" i="5"/>
  <c r="F1815" i="5" s="1"/>
  <c r="M1819" i="5"/>
  <c r="F1819" i="5" s="1"/>
  <c r="M1820" i="5"/>
  <c r="F1820" i="5" s="1"/>
  <c r="M1821" i="5"/>
  <c r="F1821" i="5" s="1"/>
  <c r="M1822" i="5"/>
  <c r="F1822" i="5" s="1"/>
  <c r="M1826" i="5"/>
  <c r="F1826" i="5" s="1"/>
  <c r="M1827" i="5"/>
  <c r="F1827" i="5" s="1"/>
  <c r="M1828" i="5"/>
  <c r="F1828" i="5" s="1"/>
  <c r="M1829" i="5"/>
  <c r="F1829" i="5" s="1"/>
  <c r="M1833" i="5"/>
  <c r="F1833" i="5" s="1"/>
  <c r="M1834" i="5"/>
  <c r="F1834" i="5" s="1"/>
  <c r="M1835" i="5"/>
  <c r="F1835" i="5" s="1"/>
  <c r="M1836" i="5"/>
  <c r="F1836" i="5" s="1"/>
  <c r="M1840" i="5"/>
  <c r="F1840" i="5" s="1"/>
  <c r="M1841" i="5"/>
  <c r="F1841" i="5" s="1"/>
  <c r="M1842" i="5"/>
  <c r="F1842" i="5" s="1"/>
  <c r="M1843" i="5"/>
  <c r="F1843" i="5" s="1"/>
  <c r="M1847" i="5"/>
  <c r="F1847" i="5" s="1"/>
  <c r="M1848" i="5"/>
  <c r="F1848" i="5" s="1"/>
  <c r="M1849" i="5"/>
  <c r="F1849" i="5" s="1"/>
  <c r="M1850" i="5"/>
  <c r="F1850" i="5" s="1"/>
  <c r="M1854" i="5"/>
  <c r="F1854" i="5" s="1"/>
  <c r="M1855" i="5"/>
  <c r="F1855" i="5" s="1"/>
  <c r="M1856" i="5"/>
  <c r="F1856" i="5" s="1"/>
  <c r="M1857" i="5"/>
  <c r="F1857" i="5" s="1"/>
  <c r="M1861" i="5"/>
  <c r="F1861" i="5" s="1"/>
  <c r="M1862" i="5"/>
  <c r="F1862" i="5" s="1"/>
  <c r="M1863" i="5"/>
  <c r="F1863" i="5" s="1"/>
  <c r="M1864" i="5"/>
  <c r="F1864" i="5" s="1"/>
  <c r="M1868" i="5"/>
  <c r="F1868" i="5" s="1"/>
  <c r="M1869" i="5"/>
  <c r="F1869" i="5" s="1"/>
  <c r="M1870" i="5"/>
  <c r="F1870" i="5" s="1"/>
  <c r="M1871" i="5"/>
  <c r="F1871" i="5" s="1"/>
  <c r="M1875" i="5"/>
  <c r="F1875" i="5" s="1"/>
  <c r="M1876" i="5"/>
  <c r="F1876" i="5" s="1"/>
  <c r="M1877" i="5"/>
  <c r="F1877" i="5" s="1"/>
  <c r="M1878" i="5"/>
  <c r="F1878" i="5" s="1"/>
  <c r="M1882" i="5"/>
  <c r="F1882" i="5" s="1"/>
  <c r="M1883" i="5"/>
  <c r="F1883" i="5" s="1"/>
  <c r="M1884" i="5"/>
  <c r="F1884" i="5" s="1"/>
  <c r="M1885" i="5"/>
  <c r="F1885" i="5" s="1"/>
  <c r="M1889" i="5"/>
  <c r="F1889" i="5" s="1"/>
  <c r="M1890" i="5"/>
  <c r="F1890" i="5" s="1"/>
  <c r="M1891" i="5"/>
  <c r="F1891" i="5" s="1"/>
  <c r="M1892" i="5"/>
  <c r="F1892" i="5" s="1"/>
  <c r="M1896" i="5"/>
  <c r="F1896" i="5" s="1"/>
  <c r="M1897" i="5"/>
  <c r="F1897" i="5" s="1"/>
  <c r="M1898" i="5"/>
  <c r="F1898" i="5" s="1"/>
  <c r="M1902" i="5"/>
  <c r="F1902" i="5" s="1"/>
  <c r="M1903" i="5"/>
  <c r="F1903" i="5" s="1"/>
  <c r="M1904" i="5"/>
  <c r="F1904" i="5" s="1"/>
  <c r="M1908" i="5"/>
  <c r="F1908" i="5" s="1"/>
  <c r="M1909" i="5"/>
  <c r="F1909" i="5" s="1"/>
  <c r="M1910" i="5"/>
  <c r="F1910" i="5" s="1"/>
  <c r="M1914" i="5"/>
  <c r="F1914" i="5" s="1"/>
  <c r="M1915" i="5"/>
  <c r="F1915" i="5" s="1"/>
  <c r="M1916" i="5"/>
  <c r="F1916" i="5" s="1"/>
  <c r="M1920" i="5"/>
  <c r="F1920" i="5" s="1"/>
  <c r="M1921" i="5"/>
  <c r="F1921" i="5" s="1"/>
  <c r="M1922" i="5"/>
  <c r="F1922" i="5" s="1"/>
  <c r="M1926" i="5"/>
  <c r="F1926" i="5" s="1"/>
  <c r="M1927" i="5"/>
  <c r="F1927" i="5" s="1"/>
  <c r="M1928" i="5"/>
  <c r="F1928" i="5" s="1"/>
  <c r="M1932" i="5"/>
  <c r="F1932" i="5" s="1"/>
  <c r="M1933" i="5"/>
  <c r="F1933" i="5" s="1"/>
  <c r="M1934" i="5"/>
  <c r="F1934" i="5" s="1"/>
  <c r="M1939" i="5"/>
  <c r="F1939" i="5" s="1"/>
  <c r="M1560" i="5"/>
  <c r="F1560" i="5" s="1"/>
  <c r="M1130" i="5"/>
  <c r="F1130" i="5" s="1"/>
  <c r="M1131" i="5"/>
  <c r="F1131" i="5" s="1"/>
  <c r="M1132" i="5"/>
  <c r="F1132" i="5" s="1"/>
  <c r="M1136" i="5"/>
  <c r="F1136" i="5" s="1"/>
  <c r="M1137" i="5"/>
  <c r="F1137" i="5" s="1"/>
  <c r="M1138" i="5"/>
  <c r="F1138" i="5" s="1"/>
  <c r="M1139" i="5"/>
  <c r="F1139" i="5" s="1"/>
  <c r="M1143" i="5"/>
  <c r="F1143" i="5" s="1"/>
  <c r="M1144" i="5"/>
  <c r="F1144" i="5" s="1"/>
  <c r="M1145" i="5"/>
  <c r="F1145" i="5" s="1"/>
  <c r="M1146" i="5"/>
  <c r="F1146" i="5" s="1"/>
  <c r="M1150" i="5"/>
  <c r="F1150" i="5" s="1"/>
  <c r="M1151" i="5"/>
  <c r="F1151" i="5" s="1"/>
  <c r="M1152" i="5"/>
  <c r="F1152" i="5" s="1"/>
  <c r="M1153" i="5"/>
  <c r="F1153" i="5" s="1"/>
  <c r="M1157" i="5"/>
  <c r="F1157" i="5" s="1"/>
  <c r="M1158" i="5"/>
  <c r="F1158" i="5" s="1"/>
  <c r="M1159" i="5"/>
  <c r="F1159" i="5" s="1"/>
  <c r="M1160" i="5"/>
  <c r="F1160" i="5" s="1"/>
  <c r="M1164" i="5"/>
  <c r="F1164" i="5" s="1"/>
  <c r="M1165" i="5"/>
  <c r="F1165" i="5" s="1"/>
  <c r="M1166" i="5"/>
  <c r="F1166" i="5" s="1"/>
  <c r="M1167" i="5"/>
  <c r="F1167" i="5" s="1"/>
  <c r="M1171" i="5"/>
  <c r="F1171" i="5" s="1"/>
  <c r="M1172" i="5"/>
  <c r="F1172" i="5" s="1"/>
  <c r="M1173" i="5"/>
  <c r="F1173" i="5" s="1"/>
  <c r="M1174" i="5"/>
  <c r="F1174" i="5" s="1"/>
  <c r="M1178" i="5"/>
  <c r="F1178" i="5" s="1"/>
  <c r="M1179" i="5"/>
  <c r="F1179" i="5" s="1"/>
  <c r="M1180" i="5"/>
  <c r="F1180" i="5" s="1"/>
  <c r="M1181" i="5"/>
  <c r="F1181" i="5" s="1"/>
  <c r="M1185" i="5"/>
  <c r="F1185" i="5" s="1"/>
  <c r="M1186" i="5"/>
  <c r="F1186" i="5" s="1"/>
  <c r="M1187" i="5"/>
  <c r="F1187" i="5" s="1"/>
  <c r="M1188" i="5"/>
  <c r="F1188" i="5" s="1"/>
  <c r="M1192" i="5"/>
  <c r="F1192" i="5" s="1"/>
  <c r="M1193" i="5"/>
  <c r="F1193" i="5" s="1"/>
  <c r="M1194" i="5"/>
  <c r="F1194" i="5" s="1"/>
  <c r="M1195" i="5"/>
  <c r="F1195" i="5" s="1"/>
  <c r="M1199" i="5"/>
  <c r="F1199" i="5" s="1"/>
  <c r="M1200" i="5"/>
  <c r="F1200" i="5" s="1"/>
  <c r="M1201" i="5"/>
  <c r="F1201" i="5" s="1"/>
  <c r="M1202" i="5"/>
  <c r="F1202" i="5" s="1"/>
  <c r="M1206" i="5"/>
  <c r="F1206" i="5" s="1"/>
  <c r="M1207" i="5"/>
  <c r="F1207" i="5" s="1"/>
  <c r="M1208" i="5"/>
  <c r="F1208" i="5" s="1"/>
  <c r="M1209" i="5"/>
  <c r="F1209" i="5" s="1"/>
  <c r="M1213" i="5"/>
  <c r="F1213" i="5" s="1"/>
  <c r="M1214" i="5"/>
  <c r="F1214" i="5" s="1"/>
  <c r="M1215" i="5"/>
  <c r="F1215" i="5" s="1"/>
  <c r="M1216" i="5"/>
  <c r="F1216" i="5" s="1"/>
  <c r="M1220" i="5"/>
  <c r="F1220" i="5" s="1"/>
  <c r="M1221" i="5"/>
  <c r="F1221" i="5" s="1"/>
  <c r="M1222" i="5"/>
  <c r="F1222" i="5" s="1"/>
  <c r="M1223" i="5"/>
  <c r="F1223" i="5" s="1"/>
  <c r="M1227" i="5"/>
  <c r="F1227" i="5" s="1"/>
  <c r="M1228" i="5"/>
  <c r="F1228" i="5" s="1"/>
  <c r="M1229" i="5"/>
  <c r="F1229" i="5" s="1"/>
  <c r="M1230" i="5"/>
  <c r="F1230" i="5" s="1"/>
  <c r="M1234" i="5"/>
  <c r="F1234" i="5" s="1"/>
  <c r="M1235" i="5"/>
  <c r="F1235" i="5" s="1"/>
  <c r="M1236" i="5"/>
  <c r="F1236" i="5" s="1"/>
  <c r="M1237" i="5"/>
  <c r="F1237" i="5" s="1"/>
  <c r="M1241" i="5"/>
  <c r="F1241" i="5" s="1"/>
  <c r="M1242" i="5"/>
  <c r="F1242" i="5" s="1"/>
  <c r="M1243" i="5"/>
  <c r="F1243" i="5" s="1"/>
  <c r="M1244" i="5"/>
  <c r="F1244" i="5" s="1"/>
  <c r="M1248" i="5"/>
  <c r="F1248" i="5" s="1"/>
  <c r="M1249" i="5"/>
  <c r="F1249" i="5" s="1"/>
  <c r="M1250" i="5"/>
  <c r="F1250" i="5" s="1"/>
  <c r="M1251" i="5"/>
  <c r="F1251" i="5" s="1"/>
  <c r="M1255" i="5"/>
  <c r="F1255" i="5" s="1"/>
  <c r="M1256" i="5"/>
  <c r="F1256" i="5" s="1"/>
  <c r="M1257" i="5"/>
  <c r="F1257" i="5" s="1"/>
  <c r="M1258" i="5"/>
  <c r="F1258" i="5" s="1"/>
  <c r="M1262" i="5"/>
  <c r="F1262" i="5" s="1"/>
  <c r="M1263" i="5"/>
  <c r="F1263" i="5" s="1"/>
  <c r="M1264" i="5"/>
  <c r="F1264" i="5" s="1"/>
  <c r="M1265" i="5"/>
  <c r="F1265" i="5" s="1"/>
  <c r="M1269" i="5"/>
  <c r="F1269" i="5" s="1"/>
  <c r="M1270" i="5"/>
  <c r="F1270" i="5" s="1"/>
  <c r="M1271" i="5"/>
  <c r="F1271" i="5" s="1"/>
  <c r="M1272" i="5"/>
  <c r="F1272" i="5" s="1"/>
  <c r="M1276" i="5"/>
  <c r="F1276" i="5" s="1"/>
  <c r="M1277" i="5"/>
  <c r="F1277" i="5" s="1"/>
  <c r="M1278" i="5"/>
  <c r="F1278" i="5" s="1"/>
  <c r="M1279" i="5"/>
  <c r="F1279" i="5" s="1"/>
  <c r="M1283" i="5"/>
  <c r="F1283" i="5" s="1"/>
  <c r="M1284" i="5"/>
  <c r="F1284" i="5" s="1"/>
  <c r="M1285" i="5"/>
  <c r="F1285" i="5" s="1"/>
  <c r="M1286" i="5"/>
  <c r="F1286" i="5" s="1"/>
  <c r="M1290" i="5"/>
  <c r="F1290" i="5" s="1"/>
  <c r="M1291" i="5"/>
  <c r="F1291" i="5" s="1"/>
  <c r="M1292" i="5"/>
  <c r="F1292" i="5" s="1"/>
  <c r="M1293" i="5"/>
  <c r="F1293" i="5" s="1"/>
  <c r="M1297" i="5"/>
  <c r="F1297" i="5" s="1"/>
  <c r="M1298" i="5"/>
  <c r="F1298" i="5" s="1"/>
  <c r="M1299" i="5"/>
  <c r="F1299" i="5" s="1"/>
  <c r="M1300" i="5"/>
  <c r="F1300" i="5" s="1"/>
  <c r="M1304" i="5"/>
  <c r="F1304" i="5" s="1"/>
  <c r="M1305" i="5"/>
  <c r="F1305" i="5" s="1"/>
  <c r="M1306" i="5"/>
  <c r="F1306" i="5" s="1"/>
  <c r="M1307" i="5"/>
  <c r="F1307" i="5" s="1"/>
  <c r="M1311" i="5"/>
  <c r="F1311" i="5" s="1"/>
  <c r="M1312" i="5"/>
  <c r="F1312" i="5" s="1"/>
  <c r="M1313" i="5"/>
  <c r="F1313" i="5" s="1"/>
  <c r="M1314" i="5"/>
  <c r="F1314" i="5" s="1"/>
  <c r="M1318" i="5"/>
  <c r="F1318" i="5" s="1"/>
  <c r="M1319" i="5"/>
  <c r="F1319" i="5" s="1"/>
  <c r="M1320" i="5"/>
  <c r="F1320" i="5" s="1"/>
  <c r="M1321" i="5"/>
  <c r="F1321" i="5" s="1"/>
  <c r="M1325" i="5"/>
  <c r="F1325" i="5" s="1"/>
  <c r="M1326" i="5"/>
  <c r="F1326" i="5" s="1"/>
  <c r="M1327" i="5"/>
  <c r="F1327" i="5" s="1"/>
  <c r="M1328" i="5"/>
  <c r="F1328" i="5" s="1"/>
  <c r="M1332" i="5"/>
  <c r="F1332" i="5" s="1"/>
  <c r="M1333" i="5"/>
  <c r="F1333" i="5" s="1"/>
  <c r="M1334" i="5"/>
  <c r="F1334" i="5" s="1"/>
  <c r="M1335" i="5"/>
  <c r="F1335" i="5" s="1"/>
  <c r="M1339" i="5"/>
  <c r="F1339" i="5" s="1"/>
  <c r="M1340" i="5"/>
  <c r="F1340" i="5" s="1"/>
  <c r="M1341" i="5"/>
  <c r="F1341" i="5" s="1"/>
  <c r="M1342" i="5"/>
  <c r="F1342" i="5" s="1"/>
  <c r="M1346" i="5"/>
  <c r="F1346" i="5" s="1"/>
  <c r="M1347" i="5"/>
  <c r="F1347" i="5" s="1"/>
  <c r="M1348" i="5"/>
  <c r="F1348" i="5" s="1"/>
  <c r="M1349" i="5"/>
  <c r="F1349" i="5" s="1"/>
  <c r="M1353" i="5"/>
  <c r="F1353" i="5" s="1"/>
  <c r="M1354" i="5"/>
  <c r="F1354" i="5" s="1"/>
  <c r="M1355" i="5"/>
  <c r="F1355" i="5" s="1"/>
  <c r="M1356" i="5"/>
  <c r="F1356" i="5" s="1"/>
  <c r="M1360" i="5"/>
  <c r="F1360" i="5" s="1"/>
  <c r="M1361" i="5"/>
  <c r="F1361" i="5" s="1"/>
  <c r="M1362" i="5"/>
  <c r="F1362" i="5" s="1"/>
  <c r="M1363" i="5"/>
  <c r="F1363" i="5" s="1"/>
  <c r="M1367" i="5"/>
  <c r="F1367" i="5" s="1"/>
  <c r="M1368" i="5"/>
  <c r="F1368" i="5" s="1"/>
  <c r="M1369" i="5"/>
  <c r="F1369" i="5" s="1"/>
  <c r="M1370" i="5"/>
  <c r="F1370" i="5" s="1"/>
  <c r="M1374" i="5"/>
  <c r="F1374" i="5" s="1"/>
  <c r="M1375" i="5"/>
  <c r="F1375" i="5" s="1"/>
  <c r="M1376" i="5"/>
  <c r="F1376" i="5" s="1"/>
  <c r="M1377" i="5"/>
  <c r="F1377" i="5" s="1"/>
  <c r="M1381" i="5"/>
  <c r="F1381" i="5" s="1"/>
  <c r="M1382" i="5"/>
  <c r="F1382" i="5" s="1"/>
  <c r="M1389" i="5"/>
  <c r="F1389" i="5" s="1"/>
  <c r="M1390" i="5"/>
  <c r="F1390" i="5" s="1"/>
  <c r="M1391" i="5"/>
  <c r="F1391" i="5" s="1"/>
  <c r="M1395" i="5"/>
  <c r="F1395" i="5" s="1"/>
  <c r="M1396" i="5"/>
  <c r="F1396" i="5" s="1"/>
  <c r="M1397" i="5"/>
  <c r="F1397" i="5" s="1"/>
  <c r="M1398" i="5"/>
  <c r="F1398" i="5" s="1"/>
  <c r="M1402" i="5"/>
  <c r="F1402" i="5" s="1"/>
  <c r="M1403" i="5"/>
  <c r="F1403" i="5" s="1"/>
  <c r="M1404" i="5"/>
  <c r="F1404" i="5" s="1"/>
  <c r="M1405" i="5"/>
  <c r="F1405" i="5" s="1"/>
  <c r="M1409" i="5"/>
  <c r="F1409" i="5" s="1"/>
  <c r="M1410" i="5"/>
  <c r="F1410" i="5" s="1"/>
  <c r="M1411" i="5"/>
  <c r="F1411" i="5" s="1"/>
  <c r="M1412" i="5"/>
  <c r="F1412" i="5" s="1"/>
  <c r="M1416" i="5"/>
  <c r="F1416" i="5" s="1"/>
  <c r="M1417" i="5"/>
  <c r="F1417" i="5" s="1"/>
  <c r="M1418" i="5"/>
  <c r="F1418" i="5" s="1"/>
  <c r="M1419" i="5"/>
  <c r="F1419" i="5" s="1"/>
  <c r="M1423" i="5"/>
  <c r="F1423" i="5" s="1"/>
  <c r="M1424" i="5"/>
  <c r="F1424" i="5" s="1"/>
  <c r="M1425" i="5"/>
  <c r="F1425" i="5" s="1"/>
  <c r="M1426" i="5"/>
  <c r="F1426" i="5" s="1"/>
  <c r="M1430" i="5"/>
  <c r="F1430" i="5" s="1"/>
  <c r="M1431" i="5"/>
  <c r="F1431" i="5" s="1"/>
  <c r="M1432" i="5"/>
  <c r="F1432" i="5" s="1"/>
  <c r="M1433" i="5"/>
  <c r="F1433" i="5" s="1"/>
  <c r="M1437" i="5"/>
  <c r="F1437" i="5" s="1"/>
  <c r="M1438" i="5"/>
  <c r="F1438" i="5" s="1"/>
  <c r="M1439" i="5"/>
  <c r="F1439" i="5" s="1"/>
  <c r="M1440" i="5"/>
  <c r="F1440" i="5" s="1"/>
  <c r="M1444" i="5"/>
  <c r="F1444" i="5" s="1"/>
  <c r="M1445" i="5"/>
  <c r="F1445" i="5" s="1"/>
  <c r="M1446" i="5"/>
  <c r="F1446" i="5" s="1"/>
  <c r="M1447" i="5"/>
  <c r="F1447" i="5" s="1"/>
  <c r="M1451" i="5"/>
  <c r="F1451" i="5" s="1"/>
  <c r="M1452" i="5"/>
  <c r="F1452" i="5" s="1"/>
  <c r="M1453" i="5"/>
  <c r="F1453" i="5" s="1"/>
  <c r="M1454" i="5"/>
  <c r="F1454" i="5" s="1"/>
  <c r="M1458" i="5"/>
  <c r="F1458" i="5" s="1"/>
  <c r="M1459" i="5"/>
  <c r="F1459" i="5" s="1"/>
  <c r="M1460" i="5"/>
  <c r="F1460" i="5" s="1"/>
  <c r="M1461" i="5"/>
  <c r="F1461" i="5" s="1"/>
  <c r="M1465" i="5"/>
  <c r="F1465" i="5" s="1"/>
  <c r="M1466" i="5"/>
  <c r="F1466" i="5" s="1"/>
  <c r="M1467" i="5"/>
  <c r="F1467" i="5" s="1"/>
  <c r="M1471" i="5"/>
  <c r="F1471" i="5" s="1"/>
  <c r="M1472" i="5"/>
  <c r="F1472" i="5" s="1"/>
  <c r="M1473" i="5"/>
  <c r="F1473" i="5" s="1"/>
  <c r="M1477" i="5"/>
  <c r="F1477" i="5" s="1"/>
  <c r="M1478" i="5"/>
  <c r="F1478" i="5" s="1"/>
  <c r="M1479" i="5"/>
  <c r="F1479" i="5" s="1"/>
  <c r="M1483" i="5"/>
  <c r="F1483" i="5" s="1"/>
  <c r="M1484" i="5"/>
  <c r="F1484" i="5" s="1"/>
  <c r="M1485" i="5"/>
  <c r="F1485" i="5" s="1"/>
  <c r="M1489" i="5"/>
  <c r="F1489" i="5" s="1"/>
  <c r="M1490" i="5"/>
  <c r="F1490" i="5" s="1"/>
  <c r="M1491" i="5"/>
  <c r="F1491" i="5" s="1"/>
  <c r="M1495" i="5"/>
  <c r="F1495" i="5" s="1"/>
  <c r="M1496" i="5"/>
  <c r="F1496" i="5" s="1"/>
  <c r="M1497" i="5"/>
  <c r="F1497" i="5" s="1"/>
  <c r="M1501" i="5"/>
  <c r="F1501" i="5" s="1"/>
  <c r="M1502" i="5"/>
  <c r="F1502" i="5" s="1"/>
  <c r="M1503" i="5"/>
  <c r="F1503" i="5" s="1"/>
  <c r="M1508" i="5"/>
  <c r="F1508" i="5" s="1"/>
  <c r="M1129" i="5"/>
  <c r="F1129" i="5" s="1"/>
  <c r="M706" i="5"/>
  <c r="F706" i="5" s="1"/>
  <c r="M707" i="5"/>
  <c r="F707" i="5" s="1"/>
  <c r="M708" i="5"/>
  <c r="F708" i="5" s="1"/>
  <c r="M712" i="5"/>
  <c r="F712" i="5" s="1"/>
  <c r="M713" i="5"/>
  <c r="F713" i="5" s="1"/>
  <c r="M714" i="5"/>
  <c r="F714" i="5" s="1"/>
  <c r="M715" i="5"/>
  <c r="F715" i="5" s="1"/>
  <c r="M719" i="5"/>
  <c r="F719" i="5" s="1"/>
  <c r="M720" i="5"/>
  <c r="F720" i="5" s="1"/>
  <c r="M721" i="5"/>
  <c r="F721" i="5" s="1"/>
  <c r="M722" i="5"/>
  <c r="F722" i="5" s="1"/>
  <c r="M726" i="5"/>
  <c r="F726" i="5" s="1"/>
  <c r="M727" i="5"/>
  <c r="F727" i="5" s="1"/>
  <c r="M728" i="5"/>
  <c r="F728" i="5" s="1"/>
  <c r="M729" i="5"/>
  <c r="F729" i="5" s="1"/>
  <c r="M733" i="5"/>
  <c r="F733" i="5" s="1"/>
  <c r="M734" i="5"/>
  <c r="F734" i="5" s="1"/>
  <c r="M735" i="5"/>
  <c r="F735" i="5" s="1"/>
  <c r="M736" i="5"/>
  <c r="F736" i="5" s="1"/>
  <c r="M740" i="5"/>
  <c r="F740" i="5" s="1"/>
  <c r="M741" i="5"/>
  <c r="F741" i="5" s="1"/>
  <c r="M742" i="5"/>
  <c r="F742" i="5" s="1"/>
  <c r="M743" i="5"/>
  <c r="F743" i="5" s="1"/>
  <c r="M747" i="5"/>
  <c r="F747" i="5" s="1"/>
  <c r="M748" i="5"/>
  <c r="F748" i="5" s="1"/>
  <c r="M749" i="5"/>
  <c r="F749" i="5" s="1"/>
  <c r="M750" i="5"/>
  <c r="F750" i="5" s="1"/>
  <c r="M754" i="5"/>
  <c r="F754" i="5" s="1"/>
  <c r="M755" i="5"/>
  <c r="F755" i="5" s="1"/>
  <c r="M756" i="5"/>
  <c r="F756" i="5" s="1"/>
  <c r="M757" i="5"/>
  <c r="F757" i="5" s="1"/>
  <c r="M761" i="5"/>
  <c r="F761" i="5" s="1"/>
  <c r="M762" i="5"/>
  <c r="F762" i="5" s="1"/>
  <c r="M763" i="5"/>
  <c r="F763" i="5" s="1"/>
  <c r="M764" i="5"/>
  <c r="F764" i="5" s="1"/>
  <c r="M768" i="5"/>
  <c r="F768" i="5" s="1"/>
  <c r="M769" i="5"/>
  <c r="F769" i="5" s="1"/>
  <c r="M770" i="5"/>
  <c r="F770" i="5" s="1"/>
  <c r="M771" i="5"/>
  <c r="F771" i="5" s="1"/>
  <c r="M775" i="5"/>
  <c r="F775" i="5" s="1"/>
  <c r="M776" i="5"/>
  <c r="F776" i="5" s="1"/>
  <c r="M777" i="5"/>
  <c r="F777" i="5" s="1"/>
  <c r="M778" i="5"/>
  <c r="F778" i="5" s="1"/>
  <c r="M782" i="5"/>
  <c r="F782" i="5" s="1"/>
  <c r="M783" i="5"/>
  <c r="F783" i="5" s="1"/>
  <c r="M784" i="5"/>
  <c r="F784" i="5" s="1"/>
  <c r="M785" i="5"/>
  <c r="F785" i="5" s="1"/>
  <c r="M789" i="5"/>
  <c r="F789" i="5" s="1"/>
  <c r="M790" i="5"/>
  <c r="F790" i="5" s="1"/>
  <c r="M791" i="5"/>
  <c r="F791" i="5" s="1"/>
  <c r="M792" i="5"/>
  <c r="F792" i="5" s="1"/>
  <c r="M796" i="5"/>
  <c r="F796" i="5" s="1"/>
  <c r="M797" i="5"/>
  <c r="F797" i="5" s="1"/>
  <c r="M798" i="5"/>
  <c r="F798" i="5" s="1"/>
  <c r="M799" i="5"/>
  <c r="F799" i="5" s="1"/>
  <c r="M803" i="5"/>
  <c r="F803" i="5" s="1"/>
  <c r="M804" i="5"/>
  <c r="F804" i="5" s="1"/>
  <c r="M805" i="5"/>
  <c r="F805" i="5" s="1"/>
  <c r="M806" i="5"/>
  <c r="F806" i="5" s="1"/>
  <c r="M810" i="5"/>
  <c r="F810" i="5" s="1"/>
  <c r="M811" i="5"/>
  <c r="F811" i="5" s="1"/>
  <c r="M812" i="5"/>
  <c r="F812" i="5" s="1"/>
  <c r="M813" i="5"/>
  <c r="F813" i="5" s="1"/>
  <c r="M817" i="5"/>
  <c r="F817" i="5" s="1"/>
  <c r="M818" i="5"/>
  <c r="F818" i="5" s="1"/>
  <c r="M819" i="5"/>
  <c r="F819" i="5" s="1"/>
  <c r="M820" i="5"/>
  <c r="F820" i="5" s="1"/>
  <c r="M824" i="5"/>
  <c r="F824" i="5" s="1"/>
  <c r="M825" i="5"/>
  <c r="F825" i="5" s="1"/>
  <c r="M826" i="5"/>
  <c r="F826" i="5" s="1"/>
  <c r="M827" i="5"/>
  <c r="F827" i="5" s="1"/>
  <c r="M831" i="5"/>
  <c r="F831" i="5" s="1"/>
  <c r="M832" i="5"/>
  <c r="F832" i="5" s="1"/>
  <c r="M833" i="5"/>
  <c r="F833" i="5" s="1"/>
  <c r="M834" i="5"/>
  <c r="F834" i="5" s="1"/>
  <c r="M838" i="5"/>
  <c r="F838" i="5" s="1"/>
  <c r="M839" i="5"/>
  <c r="F839" i="5" s="1"/>
  <c r="M840" i="5"/>
  <c r="F840" i="5" s="1"/>
  <c r="M841" i="5"/>
  <c r="F841" i="5" s="1"/>
  <c r="M845" i="5"/>
  <c r="F845" i="5" s="1"/>
  <c r="M846" i="5"/>
  <c r="F846" i="5" s="1"/>
  <c r="M847" i="5"/>
  <c r="F847" i="5" s="1"/>
  <c r="M848" i="5"/>
  <c r="F848" i="5" s="1"/>
  <c r="M852" i="5"/>
  <c r="F852" i="5" s="1"/>
  <c r="M853" i="5"/>
  <c r="F853" i="5" s="1"/>
  <c r="M854" i="5"/>
  <c r="F854" i="5" s="1"/>
  <c r="M855" i="5"/>
  <c r="F855" i="5" s="1"/>
  <c r="M859" i="5"/>
  <c r="F859" i="5" s="1"/>
  <c r="M860" i="5"/>
  <c r="F860" i="5" s="1"/>
  <c r="M861" i="5"/>
  <c r="F861" i="5" s="1"/>
  <c r="M862" i="5"/>
  <c r="F862" i="5" s="1"/>
  <c r="M866" i="5"/>
  <c r="F866" i="5" s="1"/>
  <c r="M867" i="5"/>
  <c r="F867" i="5" s="1"/>
  <c r="M868" i="5"/>
  <c r="F868" i="5" s="1"/>
  <c r="M869" i="5"/>
  <c r="F869" i="5" s="1"/>
  <c r="M873" i="5"/>
  <c r="F873" i="5" s="1"/>
  <c r="M874" i="5"/>
  <c r="F874" i="5" s="1"/>
  <c r="M875" i="5"/>
  <c r="F875" i="5" s="1"/>
  <c r="M876" i="5"/>
  <c r="F876" i="5" s="1"/>
  <c r="M880" i="5"/>
  <c r="F880" i="5" s="1"/>
  <c r="M881" i="5"/>
  <c r="F881" i="5" s="1"/>
  <c r="M882" i="5"/>
  <c r="F882" i="5" s="1"/>
  <c r="M883" i="5"/>
  <c r="F883" i="5" s="1"/>
  <c r="M887" i="5"/>
  <c r="F887" i="5" s="1"/>
  <c r="M888" i="5"/>
  <c r="F888" i="5" s="1"/>
  <c r="M889" i="5"/>
  <c r="F889" i="5" s="1"/>
  <c r="M890" i="5"/>
  <c r="F890" i="5" s="1"/>
  <c r="M894" i="5"/>
  <c r="F894" i="5" s="1"/>
  <c r="M895" i="5"/>
  <c r="F895" i="5" s="1"/>
  <c r="M896" i="5"/>
  <c r="F896" i="5" s="1"/>
  <c r="M897" i="5"/>
  <c r="F897" i="5" s="1"/>
  <c r="M901" i="5"/>
  <c r="F901" i="5" s="1"/>
  <c r="M902" i="5"/>
  <c r="F902" i="5" s="1"/>
  <c r="M903" i="5"/>
  <c r="F903" i="5" s="1"/>
  <c r="M904" i="5"/>
  <c r="F904" i="5" s="1"/>
  <c r="M908" i="5"/>
  <c r="F908" i="5" s="1"/>
  <c r="M909" i="5"/>
  <c r="F909" i="5" s="1"/>
  <c r="M910" i="5"/>
  <c r="F910" i="5" s="1"/>
  <c r="M911" i="5"/>
  <c r="F911" i="5" s="1"/>
  <c r="M915" i="5"/>
  <c r="F915" i="5" s="1"/>
  <c r="M916" i="5"/>
  <c r="F916" i="5" s="1"/>
  <c r="M917" i="5"/>
  <c r="F917" i="5" s="1"/>
  <c r="M918" i="5"/>
  <c r="F918" i="5" s="1"/>
  <c r="M922" i="5"/>
  <c r="F922" i="5" s="1"/>
  <c r="M923" i="5"/>
  <c r="F923" i="5" s="1"/>
  <c r="M924" i="5"/>
  <c r="F924" i="5" s="1"/>
  <c r="M925" i="5"/>
  <c r="F925" i="5" s="1"/>
  <c r="M929" i="5"/>
  <c r="F929" i="5" s="1"/>
  <c r="M930" i="5"/>
  <c r="F930" i="5" s="1"/>
  <c r="M931" i="5"/>
  <c r="F931" i="5" s="1"/>
  <c r="M932" i="5"/>
  <c r="F932" i="5" s="1"/>
  <c r="M936" i="5"/>
  <c r="F936" i="5" s="1"/>
  <c r="M937" i="5"/>
  <c r="F937" i="5" s="1"/>
  <c r="M938" i="5"/>
  <c r="F938" i="5" s="1"/>
  <c r="M939" i="5"/>
  <c r="F939" i="5" s="1"/>
  <c r="M943" i="5"/>
  <c r="F943" i="5" s="1"/>
  <c r="M944" i="5"/>
  <c r="F944" i="5" s="1"/>
  <c r="M945" i="5"/>
  <c r="F945" i="5" s="1"/>
  <c r="M946" i="5"/>
  <c r="F946" i="5" s="1"/>
  <c r="M950" i="5"/>
  <c r="F950" i="5" s="1"/>
  <c r="M951" i="5"/>
  <c r="F951" i="5" s="1"/>
  <c r="M952" i="5"/>
  <c r="F952" i="5" s="1"/>
  <c r="M953" i="5"/>
  <c r="F953" i="5" s="1"/>
  <c r="M957" i="5"/>
  <c r="F957" i="5" s="1"/>
  <c r="M958" i="5"/>
  <c r="F958" i="5" s="1"/>
  <c r="M959" i="5"/>
  <c r="F959" i="5" s="1"/>
  <c r="M960" i="5"/>
  <c r="F960" i="5" s="1"/>
  <c r="M964" i="5"/>
  <c r="F964" i="5" s="1"/>
  <c r="M965" i="5"/>
  <c r="F965" i="5" s="1"/>
  <c r="M966" i="5"/>
  <c r="F966" i="5" s="1"/>
  <c r="M967" i="5"/>
  <c r="F967" i="5" s="1"/>
  <c r="M971" i="5"/>
  <c r="F971" i="5" s="1"/>
  <c r="M972" i="5"/>
  <c r="F972" i="5" s="1"/>
  <c r="M973" i="5"/>
  <c r="F973" i="5" s="1"/>
  <c r="M974" i="5"/>
  <c r="F974" i="5" s="1"/>
  <c r="M978" i="5"/>
  <c r="F978" i="5" s="1"/>
  <c r="M979" i="5"/>
  <c r="F979" i="5" s="1"/>
  <c r="M980" i="5"/>
  <c r="F980" i="5" s="1"/>
  <c r="M981" i="5"/>
  <c r="F981" i="5" s="1"/>
  <c r="M985" i="5"/>
  <c r="F985" i="5" s="1"/>
  <c r="M986" i="5"/>
  <c r="F986" i="5" s="1"/>
  <c r="M987" i="5"/>
  <c r="F987" i="5" s="1"/>
  <c r="M988" i="5"/>
  <c r="F988" i="5" s="1"/>
  <c r="M992" i="5"/>
  <c r="F992" i="5" s="1"/>
  <c r="M993" i="5"/>
  <c r="F993" i="5" s="1"/>
  <c r="M994" i="5"/>
  <c r="F994" i="5" s="1"/>
  <c r="M995" i="5"/>
  <c r="F995" i="5" s="1"/>
  <c r="M999" i="5"/>
  <c r="F999" i="5" s="1"/>
  <c r="M1000" i="5"/>
  <c r="F1000" i="5" s="1"/>
  <c r="M1001" i="5"/>
  <c r="F1001" i="5" s="1"/>
  <c r="M1002" i="5"/>
  <c r="F1002" i="5" s="1"/>
  <c r="M1006" i="5"/>
  <c r="F1006" i="5" s="1"/>
  <c r="M1007" i="5"/>
  <c r="F1007" i="5" s="1"/>
  <c r="M1008" i="5"/>
  <c r="F1008" i="5" s="1"/>
  <c r="M1009" i="5"/>
  <c r="F1009" i="5" s="1"/>
  <c r="M1013" i="5"/>
  <c r="F1013" i="5" s="1"/>
  <c r="M1014" i="5"/>
  <c r="F1014" i="5" s="1"/>
  <c r="M1015" i="5"/>
  <c r="F1015" i="5" s="1"/>
  <c r="M1016" i="5"/>
  <c r="F1016" i="5" s="1"/>
  <c r="M1020" i="5"/>
  <c r="F1020" i="5" s="1"/>
  <c r="M1021" i="5"/>
  <c r="F1021" i="5" s="1"/>
  <c r="M1022" i="5"/>
  <c r="F1022" i="5" s="1"/>
  <c r="M1023" i="5"/>
  <c r="F1023" i="5" s="1"/>
  <c r="M1027" i="5"/>
  <c r="F1027" i="5" s="1"/>
  <c r="M1028" i="5"/>
  <c r="F1028" i="5" s="1"/>
  <c r="M1029" i="5"/>
  <c r="F1029" i="5" s="1"/>
  <c r="M1030" i="5"/>
  <c r="F1030" i="5" s="1"/>
  <c r="M1034" i="5"/>
  <c r="F1034" i="5" s="1"/>
  <c r="M1035" i="5"/>
  <c r="F1035" i="5" s="1"/>
  <c r="M1036" i="5"/>
  <c r="F1036" i="5" s="1"/>
  <c r="M1037" i="5"/>
  <c r="F1037" i="5" s="1"/>
  <c r="M1042" i="5"/>
  <c r="F1042" i="5" s="1"/>
  <c r="M1043" i="5"/>
  <c r="F1043" i="5" s="1"/>
  <c r="M1047" i="5"/>
  <c r="F1047" i="5" s="1"/>
  <c r="M1048" i="5"/>
  <c r="F1048" i="5" s="1"/>
  <c r="M1049" i="5"/>
  <c r="F1049" i="5" s="1"/>
  <c r="M1053" i="5"/>
  <c r="F1053" i="5" s="1"/>
  <c r="M1054" i="5"/>
  <c r="F1054" i="5" s="1"/>
  <c r="M1055" i="5"/>
  <c r="F1055" i="5" s="1"/>
  <c r="M1059" i="5"/>
  <c r="F1059" i="5" s="1"/>
  <c r="M1060" i="5"/>
  <c r="F1060" i="5" s="1"/>
  <c r="M1061" i="5"/>
  <c r="F1061" i="5" s="1"/>
  <c r="M1065" i="5"/>
  <c r="F1065" i="5" s="1"/>
  <c r="M1066" i="5"/>
  <c r="F1066" i="5" s="1"/>
  <c r="M1067" i="5"/>
  <c r="F1067" i="5" s="1"/>
  <c r="M1071" i="5"/>
  <c r="F1071" i="5" s="1"/>
  <c r="M1077" i="5"/>
  <c r="F1077" i="5" s="1"/>
  <c r="M1079" i="5"/>
  <c r="F1079" i="5" s="1"/>
  <c r="M705" i="5"/>
  <c r="F705" i="5" s="1"/>
  <c r="M298" i="5"/>
  <c r="F298" i="5" s="1"/>
  <c r="M299" i="5"/>
  <c r="F299" i="5" s="1"/>
  <c r="M300" i="5"/>
  <c r="F300" i="5" s="1"/>
  <c r="M304" i="5"/>
  <c r="F304" i="5" s="1"/>
  <c r="M305" i="5"/>
  <c r="F305" i="5" s="1"/>
  <c r="M306" i="5"/>
  <c r="F306" i="5" s="1"/>
  <c r="M307" i="5"/>
  <c r="F307" i="5" s="1"/>
  <c r="M311" i="5"/>
  <c r="F311" i="5" s="1"/>
  <c r="M312" i="5"/>
  <c r="F312" i="5" s="1"/>
  <c r="M313" i="5"/>
  <c r="F313" i="5" s="1"/>
  <c r="M314" i="5"/>
  <c r="F314" i="5" s="1"/>
  <c r="M318" i="5"/>
  <c r="F318" i="5" s="1"/>
  <c r="M319" i="5"/>
  <c r="F319" i="5" s="1"/>
  <c r="M320" i="5"/>
  <c r="F320" i="5" s="1"/>
  <c r="M321" i="5"/>
  <c r="F321" i="5" s="1"/>
  <c r="M325" i="5"/>
  <c r="F325" i="5" s="1"/>
  <c r="M326" i="5"/>
  <c r="F326" i="5" s="1"/>
  <c r="M327" i="5"/>
  <c r="F327" i="5" s="1"/>
  <c r="M328" i="5"/>
  <c r="F328" i="5" s="1"/>
  <c r="M332" i="5"/>
  <c r="F332" i="5" s="1"/>
  <c r="M333" i="5"/>
  <c r="F333" i="5" s="1"/>
  <c r="M334" i="5"/>
  <c r="F334" i="5" s="1"/>
  <c r="M335" i="5"/>
  <c r="F335" i="5" s="1"/>
  <c r="M339" i="5"/>
  <c r="F339" i="5" s="1"/>
  <c r="M340" i="5"/>
  <c r="F340" i="5" s="1"/>
  <c r="M341" i="5"/>
  <c r="F341" i="5" s="1"/>
  <c r="M342" i="5"/>
  <c r="F342" i="5" s="1"/>
  <c r="M346" i="5"/>
  <c r="F346" i="5" s="1"/>
  <c r="M347" i="5"/>
  <c r="F347" i="5" s="1"/>
  <c r="M348" i="5"/>
  <c r="F348" i="5" s="1"/>
  <c r="M349" i="5"/>
  <c r="F349" i="5" s="1"/>
  <c r="M353" i="5"/>
  <c r="F353" i="5" s="1"/>
  <c r="M354" i="5"/>
  <c r="F354" i="5" s="1"/>
  <c r="M355" i="5"/>
  <c r="F355" i="5" s="1"/>
  <c r="M356" i="5"/>
  <c r="F356" i="5" s="1"/>
  <c r="M360" i="5"/>
  <c r="F360" i="5" s="1"/>
  <c r="M361" i="5"/>
  <c r="F361" i="5" s="1"/>
  <c r="M362" i="5"/>
  <c r="F362" i="5" s="1"/>
  <c r="M363" i="5"/>
  <c r="F363" i="5" s="1"/>
  <c r="M367" i="5"/>
  <c r="F367" i="5" s="1"/>
  <c r="M368" i="5"/>
  <c r="F368" i="5" s="1"/>
  <c r="M369" i="5"/>
  <c r="F369" i="5" s="1"/>
  <c r="M370" i="5"/>
  <c r="F370" i="5" s="1"/>
  <c r="M374" i="5"/>
  <c r="F374" i="5" s="1"/>
  <c r="M375" i="5"/>
  <c r="F375" i="5" s="1"/>
  <c r="M376" i="5"/>
  <c r="F376" i="5" s="1"/>
  <c r="M377" i="5"/>
  <c r="F377" i="5" s="1"/>
  <c r="M381" i="5"/>
  <c r="F381" i="5" s="1"/>
  <c r="M382" i="5"/>
  <c r="F382" i="5" s="1"/>
  <c r="M383" i="5"/>
  <c r="F383" i="5" s="1"/>
  <c r="M384" i="5"/>
  <c r="F384" i="5" s="1"/>
  <c r="M388" i="5"/>
  <c r="F388" i="5" s="1"/>
  <c r="M389" i="5"/>
  <c r="F389" i="5" s="1"/>
  <c r="M390" i="5"/>
  <c r="F390" i="5" s="1"/>
  <c r="M391" i="5"/>
  <c r="F391" i="5" s="1"/>
  <c r="M395" i="5"/>
  <c r="F395" i="5" s="1"/>
  <c r="M396" i="5"/>
  <c r="F396" i="5" s="1"/>
  <c r="M397" i="5"/>
  <c r="F397" i="5" s="1"/>
  <c r="M398" i="5"/>
  <c r="F398" i="5" s="1"/>
  <c r="M402" i="5"/>
  <c r="F402" i="5" s="1"/>
  <c r="M403" i="5"/>
  <c r="F403" i="5" s="1"/>
  <c r="M404" i="5"/>
  <c r="F404" i="5" s="1"/>
  <c r="M409" i="5"/>
  <c r="F409" i="5" s="1"/>
  <c r="M410" i="5"/>
  <c r="F410" i="5" s="1"/>
  <c r="M411" i="5"/>
  <c r="F411" i="5" s="1"/>
  <c r="M412" i="5"/>
  <c r="F412" i="5" s="1"/>
  <c r="M416" i="5"/>
  <c r="F416" i="5" s="1"/>
  <c r="M417" i="5"/>
  <c r="F417" i="5" s="1"/>
  <c r="M418" i="5"/>
  <c r="F418" i="5" s="1"/>
  <c r="M419" i="5"/>
  <c r="F419" i="5" s="1"/>
  <c r="M423" i="5"/>
  <c r="F423" i="5" s="1"/>
  <c r="M424" i="5"/>
  <c r="F424" i="5" s="1"/>
  <c r="M425" i="5"/>
  <c r="F425" i="5" s="1"/>
  <c r="M426" i="5"/>
  <c r="F426" i="5" s="1"/>
  <c r="M430" i="5"/>
  <c r="F430" i="5" s="1"/>
  <c r="M431" i="5"/>
  <c r="F431" i="5" s="1"/>
  <c r="M432" i="5"/>
  <c r="F432" i="5" s="1"/>
  <c r="M433" i="5"/>
  <c r="F433" i="5" s="1"/>
  <c r="M437" i="5"/>
  <c r="F437" i="5" s="1"/>
  <c r="M438" i="5"/>
  <c r="F438" i="5" s="1"/>
  <c r="M439" i="5"/>
  <c r="F439" i="5" s="1"/>
  <c r="M440" i="5"/>
  <c r="F440" i="5" s="1"/>
  <c r="M444" i="5"/>
  <c r="F444" i="5" s="1"/>
  <c r="M445" i="5"/>
  <c r="F445" i="5" s="1"/>
  <c r="M446" i="5"/>
  <c r="F446" i="5" s="1"/>
  <c r="M447" i="5"/>
  <c r="F447" i="5" s="1"/>
  <c r="M451" i="5"/>
  <c r="F451" i="5" s="1"/>
  <c r="M452" i="5"/>
  <c r="F452" i="5" s="1"/>
  <c r="M453" i="5"/>
  <c r="F453" i="5" s="1"/>
  <c r="M454" i="5"/>
  <c r="F454" i="5" s="1"/>
  <c r="M458" i="5"/>
  <c r="F458" i="5" s="1"/>
  <c r="M459" i="5"/>
  <c r="F459" i="5" s="1"/>
  <c r="M460" i="5"/>
  <c r="F460" i="5" s="1"/>
  <c r="M461" i="5"/>
  <c r="F461" i="5" s="1"/>
  <c r="M465" i="5"/>
  <c r="F465" i="5" s="1"/>
  <c r="M466" i="5"/>
  <c r="F466" i="5" s="1"/>
  <c r="M467" i="5"/>
  <c r="F467" i="5" s="1"/>
  <c r="M468" i="5"/>
  <c r="F468" i="5" s="1"/>
  <c r="M472" i="5"/>
  <c r="F472" i="5" s="1"/>
  <c r="M473" i="5"/>
  <c r="F473" i="5" s="1"/>
  <c r="M474" i="5"/>
  <c r="F474" i="5" s="1"/>
  <c r="M475" i="5"/>
  <c r="F475" i="5" s="1"/>
  <c r="M479" i="5"/>
  <c r="F479" i="5" s="1"/>
  <c r="M480" i="5"/>
  <c r="F480" i="5" s="1"/>
  <c r="M481" i="5"/>
  <c r="F481" i="5" s="1"/>
  <c r="M482" i="5"/>
  <c r="F482" i="5" s="1"/>
  <c r="M486" i="5"/>
  <c r="F486" i="5" s="1"/>
  <c r="M487" i="5"/>
  <c r="F487" i="5" s="1"/>
  <c r="M488" i="5"/>
  <c r="F488" i="5" s="1"/>
  <c r="M489" i="5"/>
  <c r="F489" i="5" s="1"/>
  <c r="M493" i="5"/>
  <c r="F493" i="5" s="1"/>
  <c r="M494" i="5"/>
  <c r="F494" i="5" s="1"/>
  <c r="M495" i="5"/>
  <c r="F495" i="5" s="1"/>
  <c r="M496" i="5"/>
  <c r="F496" i="5" s="1"/>
  <c r="M500" i="5"/>
  <c r="F500" i="5" s="1"/>
  <c r="M501" i="5"/>
  <c r="F501" i="5" s="1"/>
  <c r="M502" i="5"/>
  <c r="F502" i="5" s="1"/>
  <c r="M503" i="5"/>
  <c r="F503" i="5" s="1"/>
  <c r="M507" i="5"/>
  <c r="F507" i="5" s="1"/>
  <c r="M508" i="5"/>
  <c r="F508" i="5" s="1"/>
  <c r="M509" i="5"/>
  <c r="F509" i="5" s="1"/>
  <c r="M510" i="5"/>
  <c r="F510" i="5" s="1"/>
  <c r="M514" i="5"/>
  <c r="F514" i="5" s="1"/>
  <c r="M515" i="5"/>
  <c r="F515" i="5" s="1"/>
  <c r="M516" i="5"/>
  <c r="F516" i="5" s="1"/>
  <c r="M517" i="5"/>
  <c r="F517" i="5" s="1"/>
  <c r="M521" i="5"/>
  <c r="F521" i="5" s="1"/>
  <c r="M522" i="5"/>
  <c r="F522" i="5" s="1"/>
  <c r="M523" i="5"/>
  <c r="F523" i="5" s="1"/>
  <c r="M524" i="5"/>
  <c r="F524" i="5" s="1"/>
  <c r="M528" i="5"/>
  <c r="F528" i="5" s="1"/>
  <c r="M529" i="5"/>
  <c r="F529" i="5" s="1"/>
  <c r="M530" i="5"/>
  <c r="F530" i="5" s="1"/>
  <c r="M531" i="5"/>
  <c r="F531" i="5" s="1"/>
  <c r="M535" i="5"/>
  <c r="F535" i="5" s="1"/>
  <c r="M536" i="5"/>
  <c r="F536" i="5" s="1"/>
  <c r="M537" i="5"/>
  <c r="F537" i="5" s="1"/>
  <c r="M538" i="5"/>
  <c r="F538" i="5" s="1"/>
  <c r="M542" i="5"/>
  <c r="F542" i="5" s="1"/>
  <c r="M543" i="5"/>
  <c r="F543" i="5" s="1"/>
  <c r="M544" i="5"/>
  <c r="F544" i="5" s="1"/>
  <c r="M545" i="5"/>
  <c r="F545" i="5" s="1"/>
  <c r="M549" i="5"/>
  <c r="F549" i="5" s="1"/>
  <c r="M550" i="5"/>
  <c r="F550" i="5" s="1"/>
  <c r="M551" i="5"/>
  <c r="F551" i="5" s="1"/>
  <c r="M552" i="5"/>
  <c r="F552" i="5" s="1"/>
  <c r="M556" i="5"/>
  <c r="F556" i="5" s="1"/>
  <c r="M557" i="5"/>
  <c r="F557" i="5" s="1"/>
  <c r="M558" i="5"/>
  <c r="F558" i="5" s="1"/>
  <c r="M559" i="5"/>
  <c r="F559" i="5" s="1"/>
  <c r="M563" i="5"/>
  <c r="F563" i="5" s="1"/>
  <c r="M564" i="5"/>
  <c r="F564" i="5" s="1"/>
  <c r="M565" i="5"/>
  <c r="F565" i="5" s="1"/>
  <c r="M566" i="5"/>
  <c r="F566" i="5" s="1"/>
  <c r="M570" i="5"/>
  <c r="F570" i="5" s="1"/>
  <c r="M571" i="5"/>
  <c r="F571" i="5" s="1"/>
  <c r="M572" i="5"/>
  <c r="F572" i="5" s="1"/>
  <c r="M573" i="5"/>
  <c r="F573" i="5" s="1"/>
  <c r="M577" i="5"/>
  <c r="F577" i="5" s="1"/>
  <c r="M578" i="5"/>
  <c r="F578" i="5" s="1"/>
  <c r="M579" i="5"/>
  <c r="F579" i="5" s="1"/>
  <c r="M580" i="5"/>
  <c r="F580" i="5" s="1"/>
  <c r="M584" i="5"/>
  <c r="F584" i="5" s="1"/>
  <c r="M585" i="5"/>
  <c r="F585" i="5" s="1"/>
  <c r="M586" i="5"/>
  <c r="F586" i="5" s="1"/>
  <c r="M587" i="5"/>
  <c r="F587" i="5" s="1"/>
  <c r="M591" i="5"/>
  <c r="F591" i="5" s="1"/>
  <c r="M592" i="5"/>
  <c r="F592" i="5" s="1"/>
  <c r="M593" i="5"/>
  <c r="F593" i="5" s="1"/>
  <c r="M594" i="5"/>
  <c r="F594" i="5" s="1"/>
  <c r="M598" i="5"/>
  <c r="F598" i="5" s="1"/>
  <c r="M599" i="5"/>
  <c r="F599" i="5" s="1"/>
  <c r="M600" i="5"/>
  <c r="F600" i="5" s="1"/>
  <c r="M601" i="5"/>
  <c r="F601" i="5" s="1"/>
  <c r="M605" i="5"/>
  <c r="F605" i="5" s="1"/>
  <c r="M606" i="5"/>
  <c r="F606" i="5" s="1"/>
  <c r="M607" i="5"/>
  <c r="F607" i="5" s="1"/>
  <c r="M608" i="5"/>
  <c r="F608" i="5" s="1"/>
  <c r="M612" i="5"/>
  <c r="F612" i="5" s="1"/>
  <c r="M613" i="5"/>
  <c r="F613" i="5" s="1"/>
  <c r="M614" i="5"/>
  <c r="F614" i="5" s="1"/>
  <c r="M615" i="5"/>
  <c r="F615" i="5" s="1"/>
  <c r="M619" i="5"/>
  <c r="F619" i="5" s="1"/>
  <c r="M620" i="5"/>
  <c r="F620" i="5" s="1"/>
  <c r="M621" i="5"/>
  <c r="F621" i="5" s="1"/>
  <c r="M622" i="5"/>
  <c r="F622" i="5" s="1"/>
  <c r="M626" i="5"/>
  <c r="F626" i="5" s="1"/>
  <c r="M627" i="5"/>
  <c r="F627" i="5" s="1"/>
  <c r="M628" i="5"/>
  <c r="F628" i="5" s="1"/>
  <c r="M629" i="5"/>
  <c r="F629" i="5" s="1"/>
  <c r="M633" i="5"/>
  <c r="F633" i="5" s="1"/>
  <c r="M634" i="5"/>
  <c r="F634" i="5" s="1"/>
  <c r="M635" i="5"/>
  <c r="F635" i="5" s="1"/>
  <c r="M639" i="5"/>
  <c r="F639" i="5" s="1"/>
  <c r="M640" i="5"/>
  <c r="F640" i="5" s="1"/>
  <c r="M641" i="5"/>
  <c r="F641" i="5" s="1"/>
  <c r="M645" i="5"/>
  <c r="F645" i="5" s="1"/>
  <c r="M646" i="5"/>
  <c r="F646" i="5" s="1"/>
  <c r="M647" i="5"/>
  <c r="F647" i="5" s="1"/>
  <c r="M651" i="5"/>
  <c r="F651" i="5" s="1"/>
  <c r="M652" i="5"/>
  <c r="F652" i="5" s="1"/>
  <c r="M653" i="5"/>
  <c r="F653" i="5" s="1"/>
  <c r="M657" i="5"/>
  <c r="F657" i="5" s="1"/>
  <c r="M658" i="5"/>
  <c r="F658" i="5" s="1"/>
  <c r="M659" i="5"/>
  <c r="F659" i="5" s="1"/>
  <c r="M663" i="5"/>
  <c r="F663" i="5" s="1"/>
  <c r="M664" i="5"/>
  <c r="F664" i="5" s="1"/>
  <c r="M665" i="5"/>
  <c r="F665" i="5" s="1"/>
  <c r="M669" i="5"/>
  <c r="F669" i="5" s="1"/>
  <c r="M670" i="5"/>
  <c r="F670" i="5" s="1"/>
  <c r="M671" i="5"/>
  <c r="F671" i="5" s="1"/>
  <c r="M675" i="5"/>
  <c r="F675" i="5" s="1"/>
  <c r="M676" i="5"/>
  <c r="F676" i="5" s="1"/>
  <c r="M297" i="5"/>
  <c r="F297" i="5" s="1"/>
  <c r="C3864" i="5"/>
  <c r="C3865" i="5"/>
  <c r="C3866" i="5"/>
  <c r="C3867" i="5"/>
  <c r="N2843" i="5"/>
  <c r="M2843" i="5" s="1"/>
  <c r="F2843" i="5" s="1"/>
  <c r="L2843" i="5" s="1"/>
  <c r="F64" i="5"/>
  <c r="N4015" i="5"/>
  <c r="O3670" i="5"/>
  <c r="N3671" i="5"/>
  <c r="M3671" i="5" s="1"/>
  <c r="F3671" i="5" s="1"/>
  <c r="L3671" i="5" s="1"/>
  <c r="N2844" i="5"/>
  <c r="N2845" i="5"/>
  <c r="N2846" i="5"/>
  <c r="N2847" i="5"/>
  <c r="N2848" i="5"/>
  <c r="N2849" i="5"/>
  <c r="N2850" i="5"/>
  <c r="N2851" i="5"/>
  <c r="N2852" i="5"/>
  <c r="N2853" i="5"/>
  <c r="N2854" i="5"/>
  <c r="N2855" i="5"/>
  <c r="N2856" i="5"/>
  <c r="N2857" i="5"/>
  <c r="N2858" i="5"/>
  <c r="N2859" i="5"/>
  <c r="N2860" i="5"/>
  <c r="N2861" i="5"/>
  <c r="N2862" i="5"/>
  <c r="N2863" i="5"/>
  <c r="N2864" i="5"/>
  <c r="N2865" i="5"/>
  <c r="N2866" i="5"/>
  <c r="N2867" i="5"/>
  <c r="N2868" i="5"/>
  <c r="N2869" i="5"/>
  <c r="N2870" i="5"/>
  <c r="N2871" i="5"/>
  <c r="N2872" i="5"/>
  <c r="N2873" i="5"/>
  <c r="N2874" i="5"/>
  <c r="N2875" i="5"/>
  <c r="N2876" i="5"/>
  <c r="N2877" i="5"/>
  <c r="N2878" i="5"/>
  <c r="N2879" i="5"/>
  <c r="N2880" i="5"/>
  <c r="N2881" i="5"/>
  <c r="N2882" i="5"/>
  <c r="N2883" i="5"/>
  <c r="N2884" i="5"/>
  <c r="N2885" i="5"/>
  <c r="N2886" i="5"/>
  <c r="N2887" i="5"/>
  <c r="N2888" i="5"/>
  <c r="N2889" i="5"/>
  <c r="N2890" i="5"/>
  <c r="N2891" i="5"/>
  <c r="N2892" i="5"/>
  <c r="N2893" i="5"/>
  <c r="N2894" i="5"/>
  <c r="N2896" i="5"/>
  <c r="N2897" i="5"/>
  <c r="N2898" i="5"/>
  <c r="N2899" i="5"/>
  <c r="N2900" i="5"/>
  <c r="N2901" i="5"/>
  <c r="N2902" i="5"/>
  <c r="N2903" i="5"/>
  <c r="N2904" i="5"/>
  <c r="N2905" i="5"/>
  <c r="N2906" i="5"/>
  <c r="N2907" i="5"/>
  <c r="N2908" i="5"/>
  <c r="N2909" i="5"/>
  <c r="N2910" i="5"/>
  <c r="N2911" i="5"/>
  <c r="N2912" i="5"/>
  <c r="N2913" i="5"/>
  <c r="N2914" i="5"/>
  <c r="N2915" i="5"/>
  <c r="N2916" i="5"/>
  <c r="N2917" i="5"/>
  <c r="N2918" i="5"/>
  <c r="N2919" i="5"/>
  <c r="N2920" i="5"/>
  <c r="N2921" i="5"/>
  <c r="N2922" i="5"/>
  <c r="N2923" i="5"/>
  <c r="N2924" i="5"/>
  <c r="N2925" i="5"/>
  <c r="N2926" i="5"/>
  <c r="N2927" i="5"/>
  <c r="N2928" i="5"/>
  <c r="N2929" i="5"/>
  <c r="N2930" i="5"/>
  <c r="N2931" i="5"/>
  <c r="N2932" i="5"/>
  <c r="N2933" i="5"/>
  <c r="N2934" i="5"/>
  <c r="N2935" i="5"/>
  <c r="N2936" i="5"/>
  <c r="N2937" i="5"/>
  <c r="N2938" i="5"/>
  <c r="N2939" i="5"/>
  <c r="M2939" i="5" s="1"/>
  <c r="F2939" i="5" s="1"/>
  <c r="L2939" i="5" s="1"/>
  <c r="N2940" i="5"/>
  <c r="N2941" i="5"/>
  <c r="N2942" i="5"/>
  <c r="N2943" i="5"/>
  <c r="N2944" i="5"/>
  <c r="N2945" i="5"/>
  <c r="N2946" i="5"/>
  <c r="N2947" i="5"/>
  <c r="N2948" i="5"/>
  <c r="N2949" i="5"/>
  <c r="N2950" i="5"/>
  <c r="N2951" i="5"/>
  <c r="N2952" i="5"/>
  <c r="N2953" i="5"/>
  <c r="N2954" i="5"/>
  <c r="N2955" i="5"/>
  <c r="N2956" i="5"/>
  <c r="N2957" i="5"/>
  <c r="N2958" i="5"/>
  <c r="N2959" i="5"/>
  <c r="N2960" i="5"/>
  <c r="N2961" i="5"/>
  <c r="N2962" i="5"/>
  <c r="N2963" i="5"/>
  <c r="N2964" i="5"/>
  <c r="N2965" i="5"/>
  <c r="N2966" i="5"/>
  <c r="N2967" i="5"/>
  <c r="N2968" i="5"/>
  <c r="N2969" i="5"/>
  <c r="N2970" i="5"/>
  <c r="N2971" i="5"/>
  <c r="N2972" i="5"/>
  <c r="N2973" i="5"/>
  <c r="N2974" i="5"/>
  <c r="N2975" i="5"/>
  <c r="N2976" i="5"/>
  <c r="N2977" i="5"/>
  <c r="N2978" i="5"/>
  <c r="N2979" i="5"/>
  <c r="N2980" i="5"/>
  <c r="N2981" i="5"/>
  <c r="N2982" i="5"/>
  <c r="N2983" i="5"/>
  <c r="N2984" i="5"/>
  <c r="N2985" i="5"/>
  <c r="N2986" i="5"/>
  <c r="N2987" i="5"/>
  <c r="N2988" i="5"/>
  <c r="N2989" i="5"/>
  <c r="N2990" i="5"/>
  <c r="N2991" i="5"/>
  <c r="N2992" i="5"/>
  <c r="N2993" i="5"/>
  <c r="N2994" i="5"/>
  <c r="N2995" i="5"/>
  <c r="N2996" i="5"/>
  <c r="N2997" i="5"/>
  <c r="N2998" i="5"/>
  <c r="N2999" i="5"/>
  <c r="N3000" i="5"/>
  <c r="N3001" i="5"/>
  <c r="N3002" i="5"/>
  <c r="N3003" i="5"/>
  <c r="N3004" i="5"/>
  <c r="N3005" i="5"/>
  <c r="N3006" i="5"/>
  <c r="N3007" i="5"/>
  <c r="N3008" i="5"/>
  <c r="N3009" i="5"/>
  <c r="N3010" i="5"/>
  <c r="N3011" i="5"/>
  <c r="N3012" i="5"/>
  <c r="N3013" i="5"/>
  <c r="N3014" i="5"/>
  <c r="N3015" i="5"/>
  <c r="N3016" i="5"/>
  <c r="N3017" i="5"/>
  <c r="N3018" i="5"/>
  <c r="N3019" i="5"/>
  <c r="N3020" i="5"/>
  <c r="N3021" i="5"/>
  <c r="N3022" i="5"/>
  <c r="N3023" i="5"/>
  <c r="N3024" i="5"/>
  <c r="N3025" i="5"/>
  <c r="N3026" i="5"/>
  <c r="N3027" i="5"/>
  <c r="N3028" i="5"/>
  <c r="N3029" i="5"/>
  <c r="N3030" i="5"/>
  <c r="N3031" i="5"/>
  <c r="N3032" i="5"/>
  <c r="N3033" i="5"/>
  <c r="N3034" i="5"/>
  <c r="N3035" i="5"/>
  <c r="M3035" i="5" s="1"/>
  <c r="F3035" i="5" s="1"/>
  <c r="L3035" i="5" s="1"/>
  <c r="N3036" i="5"/>
  <c r="N3037" i="5"/>
  <c r="N3038" i="5"/>
  <c r="N3039" i="5"/>
  <c r="N3040" i="5"/>
  <c r="N3041" i="5"/>
  <c r="N3042" i="5"/>
  <c r="N3043" i="5"/>
  <c r="N3044" i="5"/>
  <c r="N3045" i="5"/>
  <c r="N3046" i="5"/>
  <c r="N3047" i="5"/>
  <c r="N3048" i="5"/>
  <c r="N3049" i="5"/>
  <c r="N3050" i="5"/>
  <c r="N3051" i="5"/>
  <c r="N3053" i="5"/>
  <c r="N3054" i="5"/>
  <c r="N3055" i="5"/>
  <c r="N3056" i="5"/>
  <c r="N3057" i="5"/>
  <c r="N3058" i="5"/>
  <c r="N3059" i="5"/>
  <c r="A2844" i="5"/>
  <c r="C2844" i="5"/>
  <c r="A2845" i="5"/>
  <c r="C2845" i="5"/>
  <c r="A2846" i="5"/>
  <c r="C2846" i="5"/>
  <c r="A2847" i="5"/>
  <c r="C2847" i="5"/>
  <c r="A2848" i="5"/>
  <c r="C2848" i="5"/>
  <c r="A2849" i="5"/>
  <c r="C2849" i="5"/>
  <c r="A2850" i="5"/>
  <c r="C2850" i="5"/>
  <c r="A2851" i="5"/>
  <c r="C2851" i="5"/>
  <c r="A2852" i="5"/>
  <c r="C2852" i="5"/>
  <c r="A2853" i="5"/>
  <c r="C2853" i="5"/>
  <c r="A2854" i="5"/>
  <c r="C2854" i="5"/>
  <c r="A2855" i="5"/>
  <c r="C2855" i="5"/>
  <c r="A2856" i="5"/>
  <c r="C2856" i="5"/>
  <c r="A2857" i="5"/>
  <c r="C2857" i="5"/>
  <c r="A2858" i="5"/>
  <c r="C2858" i="5"/>
  <c r="A2859" i="5"/>
  <c r="C2859" i="5"/>
  <c r="A2860" i="5"/>
  <c r="C2860" i="5"/>
  <c r="A2861" i="5"/>
  <c r="C2861" i="5"/>
  <c r="A2862" i="5"/>
  <c r="C2862" i="5"/>
  <c r="A2863" i="5"/>
  <c r="C2863" i="5"/>
  <c r="A2864" i="5"/>
  <c r="C2864" i="5"/>
  <c r="A2865" i="5"/>
  <c r="C2865" i="5"/>
  <c r="A2866" i="5"/>
  <c r="C2866" i="5"/>
  <c r="A2867" i="5"/>
  <c r="C2867" i="5"/>
  <c r="A2868" i="5"/>
  <c r="C2868" i="5"/>
  <c r="A2869" i="5"/>
  <c r="C2869" i="5"/>
  <c r="A2870" i="5"/>
  <c r="C2870" i="5"/>
  <c r="A2871" i="5"/>
  <c r="C2871" i="5"/>
  <c r="A2872" i="5"/>
  <c r="C2872" i="5"/>
  <c r="A2873" i="5"/>
  <c r="C2873" i="5"/>
  <c r="A2874" i="5"/>
  <c r="C2874" i="5"/>
  <c r="A2875" i="5"/>
  <c r="C2875" i="5"/>
  <c r="A2876" i="5"/>
  <c r="C2876" i="5"/>
  <c r="A2877" i="5"/>
  <c r="C2877" i="5"/>
  <c r="A2878" i="5"/>
  <c r="C2878" i="5"/>
  <c r="A2879" i="5"/>
  <c r="C2879" i="5"/>
  <c r="A2880" i="5"/>
  <c r="C2880" i="5"/>
  <c r="A2881" i="5"/>
  <c r="C2881" i="5"/>
  <c r="A2882" i="5"/>
  <c r="C2882" i="5"/>
  <c r="A2883" i="5"/>
  <c r="C2883" i="5"/>
  <c r="A2884" i="5"/>
  <c r="C2884" i="5"/>
  <c r="A2885" i="5"/>
  <c r="C2885" i="5"/>
  <c r="A2886" i="5"/>
  <c r="C2886" i="5"/>
  <c r="A2887" i="5"/>
  <c r="C2887" i="5"/>
  <c r="A2888" i="5"/>
  <c r="C2888" i="5"/>
  <c r="A2889" i="5"/>
  <c r="C2889" i="5"/>
  <c r="A2890" i="5"/>
  <c r="C2890" i="5"/>
  <c r="A2891" i="5"/>
  <c r="C2891" i="5"/>
  <c r="A2892" i="5"/>
  <c r="C2892" i="5"/>
  <c r="A2893" i="5"/>
  <c r="C2893" i="5"/>
  <c r="A2894" i="5"/>
  <c r="C2894" i="5"/>
  <c r="A2895" i="5"/>
  <c r="C2895" i="5"/>
  <c r="A2896" i="5"/>
  <c r="C2896" i="5"/>
  <c r="A2897" i="5"/>
  <c r="C2897" i="5"/>
  <c r="A2898" i="5"/>
  <c r="C2898" i="5"/>
  <c r="A2899" i="5"/>
  <c r="C2899" i="5"/>
  <c r="A2900" i="5"/>
  <c r="C2900" i="5"/>
  <c r="A2901" i="5"/>
  <c r="C2901" i="5"/>
  <c r="A2902" i="5"/>
  <c r="C2902" i="5"/>
  <c r="A2903" i="5"/>
  <c r="C2903" i="5"/>
  <c r="A2904" i="5"/>
  <c r="C2904" i="5"/>
  <c r="A2905" i="5"/>
  <c r="C2905" i="5"/>
  <c r="A2906" i="5"/>
  <c r="C2906" i="5"/>
  <c r="A2907" i="5"/>
  <c r="C2907" i="5"/>
  <c r="A2908" i="5"/>
  <c r="C2908" i="5"/>
  <c r="A2909" i="5"/>
  <c r="C2909" i="5"/>
  <c r="A2910" i="5"/>
  <c r="C2910" i="5"/>
  <c r="A2911" i="5"/>
  <c r="C2911" i="5"/>
  <c r="A2912" i="5"/>
  <c r="C2912" i="5"/>
  <c r="A2913" i="5"/>
  <c r="C2913" i="5"/>
  <c r="A2914" i="5"/>
  <c r="C2914" i="5"/>
  <c r="A2915" i="5"/>
  <c r="C2915" i="5"/>
  <c r="A2916" i="5"/>
  <c r="C2916" i="5"/>
  <c r="A2917" i="5"/>
  <c r="C2917" i="5"/>
  <c r="A2918" i="5"/>
  <c r="C2918" i="5"/>
  <c r="A2919" i="5"/>
  <c r="C2919" i="5"/>
  <c r="A2920" i="5"/>
  <c r="C2920" i="5"/>
  <c r="A2921" i="5"/>
  <c r="C2921" i="5"/>
  <c r="A2922" i="5"/>
  <c r="C2922" i="5"/>
  <c r="A2923" i="5"/>
  <c r="C2923" i="5"/>
  <c r="A2924" i="5"/>
  <c r="C2924" i="5"/>
  <c r="A2925" i="5"/>
  <c r="C2925" i="5"/>
  <c r="A2926" i="5"/>
  <c r="C2926" i="5"/>
  <c r="A2927" i="5"/>
  <c r="C2927" i="5"/>
  <c r="A2928" i="5"/>
  <c r="C2928" i="5"/>
  <c r="A2929" i="5"/>
  <c r="C2929" i="5"/>
  <c r="A2930" i="5"/>
  <c r="C2930" i="5"/>
  <c r="A2931" i="5"/>
  <c r="C2931" i="5"/>
  <c r="A2932" i="5"/>
  <c r="C2932" i="5"/>
  <c r="A2933" i="5"/>
  <c r="C2933" i="5"/>
  <c r="A2934" i="5"/>
  <c r="C2934" i="5"/>
  <c r="A2935" i="5"/>
  <c r="C2935" i="5"/>
  <c r="A2936" i="5"/>
  <c r="C2936" i="5"/>
  <c r="A2937" i="5"/>
  <c r="C2937" i="5"/>
  <c r="A2938" i="5"/>
  <c r="C2938" i="5"/>
  <c r="A2939" i="5"/>
  <c r="C2939" i="5"/>
  <c r="A2940" i="5"/>
  <c r="C2940" i="5"/>
  <c r="A2941" i="5"/>
  <c r="C2941" i="5"/>
  <c r="A2942" i="5"/>
  <c r="C2942" i="5"/>
  <c r="A2943" i="5"/>
  <c r="C2943" i="5"/>
  <c r="A2944" i="5"/>
  <c r="C2944" i="5"/>
  <c r="A2945" i="5"/>
  <c r="C2945" i="5"/>
  <c r="A2946" i="5"/>
  <c r="C2946" i="5"/>
  <c r="A2947" i="5"/>
  <c r="C2947" i="5"/>
  <c r="A2948" i="5"/>
  <c r="C2948" i="5"/>
  <c r="A2949" i="5"/>
  <c r="C2949" i="5"/>
  <c r="A2950" i="5"/>
  <c r="C2950" i="5"/>
  <c r="A2951" i="5"/>
  <c r="C2951" i="5"/>
  <c r="A2952" i="5"/>
  <c r="C2952" i="5"/>
  <c r="A2953" i="5"/>
  <c r="C2953" i="5"/>
  <c r="A2954" i="5"/>
  <c r="C2954" i="5"/>
  <c r="A2955" i="5"/>
  <c r="C2955" i="5"/>
  <c r="A2956" i="5"/>
  <c r="C2956" i="5"/>
  <c r="A2957" i="5"/>
  <c r="C2957" i="5"/>
  <c r="A2958" i="5"/>
  <c r="C2958" i="5"/>
  <c r="A2959" i="5"/>
  <c r="C2959" i="5"/>
  <c r="A2960" i="5"/>
  <c r="C2960" i="5"/>
  <c r="A2961" i="5"/>
  <c r="C2961" i="5"/>
  <c r="A2962" i="5"/>
  <c r="C2962" i="5"/>
  <c r="A2963" i="5"/>
  <c r="C2963" i="5"/>
  <c r="A2964" i="5"/>
  <c r="C2964" i="5"/>
  <c r="A2965" i="5"/>
  <c r="C2965" i="5"/>
  <c r="A2966" i="5"/>
  <c r="C2966" i="5"/>
  <c r="A2967" i="5"/>
  <c r="C2967" i="5"/>
  <c r="A2968" i="5"/>
  <c r="C2968" i="5"/>
  <c r="A2969" i="5"/>
  <c r="C2969" i="5"/>
  <c r="A2970" i="5"/>
  <c r="C2970" i="5"/>
  <c r="A2971" i="5"/>
  <c r="C2971" i="5"/>
  <c r="A2972" i="5"/>
  <c r="C2972" i="5"/>
  <c r="A2973" i="5"/>
  <c r="C2973" i="5"/>
  <c r="A2974" i="5"/>
  <c r="C2974" i="5"/>
  <c r="A2975" i="5"/>
  <c r="C2975" i="5"/>
  <c r="A2976" i="5"/>
  <c r="C2976" i="5"/>
  <c r="A2977" i="5"/>
  <c r="C2977" i="5"/>
  <c r="A2978" i="5"/>
  <c r="C2978" i="5"/>
  <c r="A2979" i="5"/>
  <c r="C2979" i="5"/>
  <c r="A2980" i="5"/>
  <c r="C2980" i="5"/>
  <c r="A2981" i="5"/>
  <c r="C2981" i="5"/>
  <c r="A2982" i="5"/>
  <c r="C2982" i="5"/>
  <c r="A2983" i="5"/>
  <c r="C2983" i="5"/>
  <c r="A2984" i="5"/>
  <c r="C2984" i="5"/>
  <c r="A2985" i="5"/>
  <c r="C2985" i="5"/>
  <c r="A2986" i="5"/>
  <c r="C2986" i="5"/>
  <c r="A2987" i="5"/>
  <c r="C2987" i="5"/>
  <c r="A2988" i="5"/>
  <c r="C2988" i="5"/>
  <c r="A2989" i="5"/>
  <c r="C2989" i="5"/>
  <c r="A2990" i="5"/>
  <c r="C2990" i="5"/>
  <c r="A2991" i="5"/>
  <c r="C2991" i="5"/>
  <c r="A2992" i="5"/>
  <c r="C2992" i="5"/>
  <c r="A2993" i="5"/>
  <c r="C2993" i="5"/>
  <c r="A2994" i="5"/>
  <c r="C2994" i="5"/>
  <c r="A2995" i="5"/>
  <c r="C2995" i="5"/>
  <c r="A2996" i="5"/>
  <c r="C2996" i="5"/>
  <c r="A2997" i="5"/>
  <c r="C2997" i="5"/>
  <c r="A2998" i="5"/>
  <c r="C2998" i="5"/>
  <c r="A2999" i="5"/>
  <c r="C2999" i="5"/>
  <c r="A3000" i="5"/>
  <c r="C3000" i="5"/>
  <c r="A3001" i="5"/>
  <c r="C3001" i="5"/>
  <c r="A3002" i="5"/>
  <c r="C3002" i="5"/>
  <c r="A3003" i="5"/>
  <c r="C3003" i="5"/>
  <c r="A3004" i="5"/>
  <c r="C3004" i="5"/>
  <c r="A3005" i="5"/>
  <c r="C3005" i="5"/>
  <c r="A3006" i="5"/>
  <c r="C3006" i="5"/>
  <c r="A3007" i="5"/>
  <c r="C3007" i="5"/>
  <c r="A3008" i="5"/>
  <c r="C3008" i="5"/>
  <c r="A3009" i="5"/>
  <c r="C3009" i="5"/>
  <c r="A3010" i="5"/>
  <c r="C3010" i="5"/>
  <c r="A3011" i="5"/>
  <c r="C3011" i="5"/>
  <c r="A3012" i="5"/>
  <c r="C3012" i="5"/>
  <c r="A3013" i="5"/>
  <c r="C3013" i="5"/>
  <c r="A3014" i="5"/>
  <c r="C3014" i="5"/>
  <c r="A3015" i="5"/>
  <c r="C3015" i="5"/>
  <c r="A3016" i="5"/>
  <c r="C3016" i="5"/>
  <c r="A3017" i="5"/>
  <c r="C3017" i="5"/>
  <c r="A3018" i="5"/>
  <c r="C3018" i="5"/>
  <c r="A3019" i="5"/>
  <c r="C3019" i="5"/>
  <c r="A3020" i="5"/>
  <c r="C3020" i="5"/>
  <c r="A3021" i="5"/>
  <c r="C3021" i="5"/>
  <c r="A3022" i="5"/>
  <c r="C3022" i="5"/>
  <c r="A3023" i="5"/>
  <c r="C3023" i="5"/>
  <c r="A3024" i="5"/>
  <c r="C3024" i="5"/>
  <c r="A3025" i="5"/>
  <c r="C3025" i="5"/>
  <c r="A3026" i="5"/>
  <c r="C3026" i="5"/>
  <c r="A3027" i="5"/>
  <c r="C3027" i="5"/>
  <c r="A3028" i="5"/>
  <c r="C3028" i="5"/>
  <c r="A3029" i="5"/>
  <c r="C3029" i="5"/>
  <c r="A3030" i="5"/>
  <c r="C3030" i="5"/>
  <c r="A3031" i="5"/>
  <c r="C3031" i="5"/>
  <c r="A3032" i="5"/>
  <c r="C3032" i="5"/>
  <c r="A3033" i="5"/>
  <c r="C3033" i="5"/>
  <c r="A3034" i="5"/>
  <c r="C3034" i="5"/>
  <c r="A3035" i="5"/>
  <c r="C3035" i="5"/>
  <c r="A3036" i="5"/>
  <c r="C3036" i="5"/>
  <c r="A3037" i="5"/>
  <c r="C3037" i="5"/>
  <c r="A3038" i="5"/>
  <c r="C3038" i="5"/>
  <c r="A3039" i="5"/>
  <c r="C3039" i="5"/>
  <c r="A3040" i="5"/>
  <c r="C3040" i="5"/>
  <c r="A3041" i="5"/>
  <c r="C3041" i="5"/>
  <c r="A3042" i="5"/>
  <c r="C3042" i="5"/>
  <c r="A3043" i="5"/>
  <c r="C3043" i="5"/>
  <c r="A3044" i="5"/>
  <c r="C3044" i="5"/>
  <c r="A3045" i="5"/>
  <c r="C3045" i="5"/>
  <c r="A3046" i="5"/>
  <c r="C3046" i="5"/>
  <c r="A3047" i="5"/>
  <c r="C3047" i="5"/>
  <c r="A3048" i="5"/>
  <c r="C3048" i="5"/>
  <c r="A3049" i="5"/>
  <c r="C3049" i="5"/>
  <c r="A3050" i="5"/>
  <c r="C3050" i="5"/>
  <c r="A3051" i="5"/>
  <c r="C3051" i="5"/>
  <c r="A3052" i="5"/>
  <c r="C3052" i="5"/>
  <c r="A3053" i="5"/>
  <c r="C3053" i="5"/>
  <c r="A3054" i="5"/>
  <c r="C3054" i="5"/>
  <c r="A3055" i="5"/>
  <c r="C3055" i="5"/>
  <c r="A3056" i="5"/>
  <c r="C3056" i="5"/>
  <c r="A3057" i="5"/>
  <c r="C3057" i="5"/>
  <c r="A3058" i="5"/>
  <c r="C3058" i="5"/>
  <c r="A3059" i="5"/>
  <c r="C3059" i="5"/>
  <c r="C2843" i="5"/>
  <c r="A2843" i="5"/>
  <c r="N2833" i="5"/>
  <c r="N2832" i="5"/>
  <c r="N2831" i="5"/>
  <c r="N2830" i="5"/>
  <c r="N2828" i="5"/>
  <c r="N2827" i="5"/>
  <c r="N2826" i="5"/>
  <c r="N2825" i="5"/>
  <c r="N2824" i="5"/>
  <c r="N2823" i="5"/>
  <c r="N2822" i="5"/>
  <c r="N2821" i="5"/>
  <c r="N2820" i="5"/>
  <c r="N2819" i="5"/>
  <c r="N2818" i="5"/>
  <c r="N2817" i="5"/>
  <c r="N2816" i="5"/>
  <c r="N2815" i="5"/>
  <c r="N2814" i="5"/>
  <c r="N2813" i="5"/>
  <c r="N2812" i="5"/>
  <c r="M2812" i="5" s="1"/>
  <c r="L2812" i="5" s="1"/>
  <c r="M4525" i="5"/>
  <c r="M4532" i="5" s="1"/>
  <c r="F4532" i="5" s="1"/>
  <c r="F4536" i="5" s="1"/>
  <c r="M4349" i="5"/>
  <c r="M4351" i="5" s="1"/>
  <c r="F4351" i="5" s="1"/>
  <c r="M4526" i="5"/>
  <c r="F4526" i="5" s="1"/>
  <c r="M4527" i="5"/>
  <c r="M4534" i="5" s="1"/>
  <c r="M4548" i="5" s="1"/>
  <c r="M4562" i="5" s="1"/>
  <c r="F4562" i="5" s="1"/>
  <c r="F4570" i="5" s="1"/>
  <c r="W4571" i="5" s="1"/>
  <c r="M4528" i="5"/>
  <c r="M4535" i="5" s="1"/>
  <c r="A4572" i="5"/>
  <c r="A4586" i="5" s="1"/>
  <c r="A4600" i="5" s="1"/>
  <c r="A4571" i="5"/>
  <c r="A4585" i="5" s="1"/>
  <c r="A4599" i="5" s="1"/>
  <c r="A4570" i="5"/>
  <c r="A4584" i="5" s="1"/>
  <c r="A4598" i="5" s="1"/>
  <c r="A4569" i="5"/>
  <c r="A4583" i="5" s="1"/>
  <c r="A4597" i="5" s="1"/>
  <c r="A4568" i="5"/>
  <c r="A4582" i="5" s="1"/>
  <c r="A4596" i="5" s="1"/>
  <c r="A4567" i="5"/>
  <c r="A4581" i="5" s="1"/>
  <c r="A4595" i="5" s="1"/>
  <c r="A4566" i="5"/>
  <c r="A4580" i="5" s="1"/>
  <c r="A4594" i="5" s="1"/>
  <c r="A4565" i="5"/>
  <c r="A4579" i="5" s="1"/>
  <c r="A4593" i="5" s="1"/>
  <c r="A4564" i="5"/>
  <c r="A4578" i="5" s="1"/>
  <c r="A4592" i="5" s="1"/>
  <c r="A4563" i="5"/>
  <c r="A4577" i="5" s="1"/>
  <c r="A4591" i="5" s="1"/>
  <c r="A4562" i="5"/>
  <c r="A4576" i="5" s="1"/>
  <c r="A4590" i="5" s="1"/>
  <c r="A4561" i="5"/>
  <c r="A4575" i="5" s="1"/>
  <c r="A4589" i="5" s="1"/>
  <c r="A4560" i="5"/>
  <c r="A4574" i="5" s="1"/>
  <c r="A4588" i="5" s="1"/>
  <c r="A4359" i="5"/>
  <c r="A4360" i="5"/>
  <c r="F53" i="5"/>
  <c r="F54" i="5"/>
  <c r="F55" i="5"/>
  <c r="F56" i="5"/>
  <c r="F57" i="5"/>
  <c r="F65" i="5"/>
  <c r="F66" i="5"/>
  <c r="F67" i="5"/>
  <c r="F68" i="5"/>
  <c r="M2397" i="5"/>
  <c r="L2397" i="5" s="1"/>
  <c r="M2398" i="5"/>
  <c r="L2398" i="5" s="1"/>
  <c r="M2399" i="5"/>
  <c r="L2399" i="5" s="1"/>
  <c r="M2400" i="5"/>
  <c r="L2400" i="5" s="1"/>
  <c r="M2401" i="5"/>
  <c r="L2401" i="5" s="1"/>
  <c r="M2402" i="5"/>
  <c r="L2402" i="5" s="1"/>
  <c r="M2403" i="5"/>
  <c r="L2403" i="5" s="1"/>
  <c r="M2404" i="5"/>
  <c r="L2404" i="5" s="1"/>
  <c r="M2405" i="5"/>
  <c r="L2405" i="5" s="1"/>
  <c r="M2406" i="5"/>
  <c r="L2406" i="5" s="1"/>
  <c r="M2407" i="5"/>
  <c r="L2407" i="5" s="1"/>
  <c r="M2408" i="5"/>
  <c r="L2408" i="5" s="1"/>
  <c r="M2409" i="5"/>
  <c r="L2409" i="5" s="1"/>
  <c r="M2410" i="5"/>
  <c r="L2410" i="5" s="1"/>
  <c r="M2411" i="5"/>
  <c r="L2411" i="5" s="1"/>
  <c r="M2412" i="5"/>
  <c r="L2412" i="5" s="1"/>
  <c r="M2413" i="5"/>
  <c r="L2413" i="5" s="1"/>
  <c r="M2414" i="5"/>
  <c r="L2414" i="5" s="1"/>
  <c r="M2415" i="5"/>
  <c r="L2415" i="5" s="1"/>
  <c r="M2416" i="5"/>
  <c r="L2416" i="5" s="1"/>
  <c r="M2417" i="5"/>
  <c r="L2417" i="5" s="1"/>
  <c r="M2418" i="5"/>
  <c r="L2418" i="5" s="1"/>
  <c r="M2419" i="5"/>
  <c r="L2419" i="5" s="1"/>
  <c r="M2420" i="5"/>
  <c r="L2420" i="5" s="1"/>
  <c r="M2421" i="5"/>
  <c r="L2421" i="5" s="1"/>
  <c r="M2422" i="5"/>
  <c r="L2422" i="5" s="1"/>
  <c r="M2423" i="5"/>
  <c r="L2423" i="5" s="1"/>
  <c r="M2424" i="5"/>
  <c r="L2424" i="5" s="1"/>
  <c r="M2425" i="5"/>
  <c r="L2425" i="5" s="1"/>
  <c r="M2426" i="5"/>
  <c r="L2426" i="5" s="1"/>
  <c r="M2427" i="5"/>
  <c r="L2427" i="5" s="1"/>
  <c r="M2428" i="5"/>
  <c r="L2428" i="5" s="1"/>
  <c r="M2429" i="5"/>
  <c r="L2429" i="5" s="1"/>
  <c r="M2430" i="5"/>
  <c r="L2430" i="5" s="1"/>
  <c r="M2431" i="5"/>
  <c r="L2431" i="5" s="1"/>
  <c r="M2432" i="5"/>
  <c r="L2432" i="5" s="1"/>
  <c r="M2433" i="5"/>
  <c r="L2433" i="5" s="1"/>
  <c r="M2434" i="5"/>
  <c r="L2434" i="5" s="1"/>
  <c r="M2435" i="5"/>
  <c r="L2435" i="5" s="1"/>
  <c r="M2436" i="5"/>
  <c r="L2436" i="5" s="1"/>
  <c r="M2437" i="5"/>
  <c r="L2437" i="5" s="1"/>
  <c r="M2438" i="5"/>
  <c r="L2438" i="5" s="1"/>
  <c r="M2439" i="5"/>
  <c r="L2439" i="5" s="1"/>
  <c r="M2440" i="5"/>
  <c r="L2440" i="5" s="1"/>
  <c r="M2441" i="5"/>
  <c r="L2441" i="5" s="1"/>
  <c r="M2442" i="5"/>
  <c r="L2442" i="5" s="1"/>
  <c r="M2443" i="5"/>
  <c r="L2443" i="5" s="1"/>
  <c r="M2444" i="5"/>
  <c r="L2444" i="5" s="1"/>
  <c r="M2445" i="5"/>
  <c r="L2445" i="5" s="1"/>
  <c r="M2446" i="5"/>
  <c r="L2446" i="5" s="1"/>
  <c r="M2447" i="5"/>
  <c r="L2447" i="5" s="1"/>
  <c r="M2448" i="5"/>
  <c r="L2448" i="5" s="1"/>
  <c r="M2449" i="5"/>
  <c r="L2449" i="5" s="1"/>
  <c r="M2450" i="5"/>
  <c r="L2450" i="5" s="1"/>
  <c r="M2451" i="5"/>
  <c r="L2451" i="5" s="1"/>
  <c r="M2452" i="5"/>
  <c r="L2452" i="5" s="1"/>
  <c r="M2453" i="5"/>
  <c r="L2453" i="5" s="1"/>
  <c r="M2454" i="5"/>
  <c r="L2454" i="5" s="1"/>
  <c r="M2455" i="5"/>
  <c r="L2455" i="5" s="1"/>
  <c r="M2456" i="5"/>
  <c r="L2456" i="5" s="1"/>
  <c r="M2457" i="5"/>
  <c r="L2457" i="5" s="1"/>
  <c r="M2458" i="5"/>
  <c r="L2458" i="5" s="1"/>
  <c r="M2459" i="5"/>
  <c r="L2459" i="5" s="1"/>
  <c r="M2460" i="5"/>
  <c r="L2460" i="5" s="1"/>
  <c r="M2461" i="5"/>
  <c r="L2461" i="5" s="1"/>
  <c r="M2462" i="5"/>
  <c r="L2462" i="5" s="1"/>
  <c r="M2463" i="5"/>
  <c r="L2463" i="5" s="1"/>
  <c r="M2464" i="5"/>
  <c r="L2464" i="5" s="1"/>
  <c r="M2465" i="5"/>
  <c r="L2465" i="5" s="1"/>
  <c r="M2466" i="5"/>
  <c r="L2466" i="5" s="1"/>
  <c r="M2467" i="5"/>
  <c r="L2467" i="5" s="1"/>
  <c r="M2468" i="5"/>
  <c r="L2468" i="5" s="1"/>
  <c r="M2469" i="5"/>
  <c r="L2469" i="5" s="1"/>
  <c r="M2470" i="5"/>
  <c r="L2470" i="5" s="1"/>
  <c r="M2471" i="5"/>
  <c r="L2471" i="5" s="1"/>
  <c r="M2472" i="5"/>
  <c r="L2472" i="5" s="1"/>
  <c r="M2473" i="5"/>
  <c r="L2473" i="5" s="1"/>
  <c r="M2474" i="5"/>
  <c r="L2474" i="5" s="1"/>
  <c r="M2475" i="5"/>
  <c r="L2475" i="5" s="1"/>
  <c r="M2476" i="5"/>
  <c r="L2476" i="5" s="1"/>
  <c r="M2477" i="5"/>
  <c r="L2477" i="5" s="1"/>
  <c r="M2478" i="5"/>
  <c r="L2478" i="5" s="1"/>
  <c r="M2479" i="5"/>
  <c r="L2479" i="5" s="1"/>
  <c r="M2480" i="5"/>
  <c r="L2480" i="5" s="1"/>
  <c r="M2481" i="5"/>
  <c r="L2481" i="5" s="1"/>
  <c r="M2482" i="5"/>
  <c r="L2482" i="5" s="1"/>
  <c r="M2483" i="5"/>
  <c r="L2483" i="5" s="1"/>
  <c r="M2484" i="5"/>
  <c r="L2484" i="5" s="1"/>
  <c r="M2485" i="5"/>
  <c r="L2485" i="5" s="1"/>
  <c r="M2486" i="5"/>
  <c r="L2486" i="5" s="1"/>
  <c r="M2487" i="5"/>
  <c r="L2487" i="5" s="1"/>
  <c r="M2488" i="5"/>
  <c r="L2488" i="5" s="1"/>
  <c r="M2489" i="5"/>
  <c r="L2489" i="5" s="1"/>
  <c r="M2490" i="5"/>
  <c r="L2490" i="5" s="1"/>
  <c r="M2491" i="5"/>
  <c r="L2491" i="5" s="1"/>
  <c r="M2492" i="5"/>
  <c r="L2492" i="5" s="1"/>
  <c r="M2493" i="5"/>
  <c r="L2493" i="5" s="1"/>
  <c r="M2494" i="5"/>
  <c r="L2494" i="5" s="1"/>
  <c r="M2495" i="5"/>
  <c r="L2495" i="5" s="1"/>
  <c r="M2496" i="5"/>
  <c r="L2496" i="5" s="1"/>
  <c r="M2497" i="5"/>
  <c r="L2497" i="5" s="1"/>
  <c r="M2498" i="5"/>
  <c r="L2498" i="5" s="1"/>
  <c r="M2499" i="5"/>
  <c r="L2499" i="5" s="1"/>
  <c r="M2500" i="5"/>
  <c r="L2500" i="5" s="1"/>
  <c r="M2501" i="5"/>
  <c r="L2501" i="5" s="1"/>
  <c r="M2502" i="5"/>
  <c r="L2502" i="5" s="1"/>
  <c r="M2503" i="5"/>
  <c r="L2503" i="5" s="1"/>
  <c r="M2504" i="5"/>
  <c r="L2504" i="5" s="1"/>
  <c r="M2505" i="5"/>
  <c r="L2505" i="5" s="1"/>
  <c r="M2506" i="5"/>
  <c r="L2506" i="5" s="1"/>
  <c r="M2507" i="5"/>
  <c r="L2507" i="5" s="1"/>
  <c r="M2508" i="5"/>
  <c r="L2508" i="5" s="1"/>
  <c r="M2509" i="5"/>
  <c r="L2509" i="5" s="1"/>
  <c r="M2510" i="5"/>
  <c r="L2510" i="5" s="1"/>
  <c r="M2511" i="5"/>
  <c r="L2511" i="5" s="1"/>
  <c r="M2512" i="5"/>
  <c r="L2512" i="5" s="1"/>
  <c r="M2513" i="5"/>
  <c r="L2513" i="5" s="1"/>
  <c r="M2514" i="5"/>
  <c r="L2514" i="5" s="1"/>
  <c r="M2515" i="5"/>
  <c r="L2515" i="5" s="1"/>
  <c r="M2516" i="5"/>
  <c r="L2516" i="5" s="1"/>
  <c r="M2517" i="5"/>
  <c r="L2517" i="5" s="1"/>
  <c r="M2518" i="5"/>
  <c r="L2518" i="5" s="1"/>
  <c r="M2519" i="5"/>
  <c r="L2519" i="5" s="1"/>
  <c r="M2520" i="5"/>
  <c r="L2520" i="5" s="1"/>
  <c r="M2521" i="5"/>
  <c r="L2521" i="5" s="1"/>
  <c r="M2522" i="5"/>
  <c r="L2522" i="5" s="1"/>
  <c r="M2523" i="5"/>
  <c r="L2523" i="5" s="1"/>
  <c r="M2524" i="5"/>
  <c r="L2524" i="5" s="1"/>
  <c r="M2525" i="5"/>
  <c r="L2525" i="5" s="1"/>
  <c r="M2526" i="5"/>
  <c r="L2526" i="5" s="1"/>
  <c r="M2527" i="5"/>
  <c r="L2527" i="5" s="1"/>
  <c r="M2528" i="5"/>
  <c r="L2528" i="5" s="1"/>
  <c r="M2529" i="5"/>
  <c r="L2529" i="5" s="1"/>
  <c r="M2530" i="5"/>
  <c r="L2530" i="5" s="1"/>
  <c r="M2531" i="5"/>
  <c r="L2531" i="5" s="1"/>
  <c r="M2532" i="5"/>
  <c r="L2532" i="5" s="1"/>
  <c r="M2533" i="5"/>
  <c r="L2533" i="5" s="1"/>
  <c r="M2534" i="5"/>
  <c r="L2534" i="5" s="1"/>
  <c r="M2535" i="5"/>
  <c r="L2535" i="5" s="1"/>
  <c r="M2536" i="5"/>
  <c r="L2536" i="5" s="1"/>
  <c r="M2537" i="5"/>
  <c r="L2537" i="5" s="1"/>
  <c r="M2538" i="5"/>
  <c r="L2538" i="5" s="1"/>
  <c r="M2539" i="5"/>
  <c r="L2539" i="5" s="1"/>
  <c r="M2540" i="5"/>
  <c r="L2540" i="5" s="1"/>
  <c r="M2541" i="5"/>
  <c r="L2541" i="5" s="1"/>
  <c r="M2542" i="5"/>
  <c r="L2542" i="5" s="1"/>
  <c r="M2543" i="5"/>
  <c r="L2543" i="5" s="1"/>
  <c r="M2544" i="5"/>
  <c r="L2544" i="5" s="1"/>
  <c r="M2545" i="5"/>
  <c r="L2545" i="5" s="1"/>
  <c r="M2546" i="5"/>
  <c r="L2546" i="5" s="1"/>
  <c r="M2547" i="5"/>
  <c r="L2547" i="5" s="1"/>
  <c r="M2548" i="5"/>
  <c r="L2548" i="5" s="1"/>
  <c r="M2549" i="5"/>
  <c r="L2549" i="5" s="1"/>
  <c r="M2550" i="5"/>
  <c r="L2550" i="5" s="1"/>
  <c r="M2551" i="5"/>
  <c r="L2551" i="5" s="1"/>
  <c r="M2552" i="5"/>
  <c r="L2552" i="5" s="1"/>
  <c r="M2553" i="5"/>
  <c r="L2553" i="5" s="1"/>
  <c r="M2554" i="5"/>
  <c r="L2554" i="5" s="1"/>
  <c r="M2555" i="5"/>
  <c r="L2555" i="5" s="1"/>
  <c r="M2556" i="5"/>
  <c r="L2556" i="5" s="1"/>
  <c r="M2557" i="5"/>
  <c r="L2557" i="5" s="1"/>
  <c r="M2558" i="5"/>
  <c r="L2558" i="5" s="1"/>
  <c r="M2559" i="5"/>
  <c r="L2559" i="5" s="1"/>
  <c r="M2560" i="5"/>
  <c r="L2560" i="5" s="1"/>
  <c r="M2561" i="5"/>
  <c r="L2561" i="5" s="1"/>
  <c r="M2562" i="5"/>
  <c r="L2562" i="5" s="1"/>
  <c r="M2563" i="5"/>
  <c r="L2563" i="5" s="1"/>
  <c r="M2564" i="5"/>
  <c r="L2564" i="5" s="1"/>
  <c r="M2565" i="5"/>
  <c r="L2565" i="5" s="1"/>
  <c r="M2566" i="5"/>
  <c r="L2566" i="5" s="1"/>
  <c r="M2567" i="5"/>
  <c r="L2567" i="5" s="1"/>
  <c r="M2568" i="5"/>
  <c r="L2568" i="5" s="1"/>
  <c r="M2569" i="5"/>
  <c r="L2569" i="5" s="1"/>
  <c r="M2570" i="5"/>
  <c r="L2570" i="5" s="1"/>
  <c r="M2571" i="5"/>
  <c r="L2571" i="5" s="1"/>
  <c r="M2572" i="5"/>
  <c r="L2572" i="5" s="1"/>
  <c r="M2573" i="5"/>
  <c r="L2573" i="5" s="1"/>
  <c r="M2574" i="5"/>
  <c r="L2574" i="5" s="1"/>
  <c r="M2575" i="5"/>
  <c r="L2575" i="5" s="1"/>
  <c r="M2576" i="5"/>
  <c r="L2576" i="5" s="1"/>
  <c r="M2577" i="5"/>
  <c r="L2577" i="5" s="1"/>
  <c r="M2578" i="5"/>
  <c r="L2578" i="5" s="1"/>
  <c r="M2579" i="5"/>
  <c r="L2579" i="5" s="1"/>
  <c r="M2580" i="5"/>
  <c r="L2580" i="5" s="1"/>
  <c r="M2581" i="5"/>
  <c r="L2581" i="5" s="1"/>
  <c r="M2582" i="5"/>
  <c r="L2582" i="5" s="1"/>
  <c r="M2583" i="5"/>
  <c r="L2583" i="5" s="1"/>
  <c r="M2584" i="5"/>
  <c r="L2584" i="5" s="1"/>
  <c r="M2585" i="5"/>
  <c r="L2585" i="5" s="1"/>
  <c r="M2586" i="5"/>
  <c r="L2586" i="5" s="1"/>
  <c r="M2587" i="5"/>
  <c r="L2587" i="5" s="1"/>
  <c r="M2588" i="5"/>
  <c r="L2588" i="5" s="1"/>
  <c r="M2589" i="5"/>
  <c r="L2589" i="5" s="1"/>
  <c r="M2590" i="5"/>
  <c r="L2590" i="5" s="1"/>
  <c r="M2591" i="5"/>
  <c r="L2591" i="5" s="1"/>
  <c r="M2592" i="5"/>
  <c r="L2592" i="5" s="1"/>
  <c r="M2593" i="5"/>
  <c r="L2593" i="5" s="1"/>
  <c r="M2594" i="5"/>
  <c r="L2594" i="5" s="1"/>
  <c r="M2595" i="5"/>
  <c r="L2595" i="5" s="1"/>
  <c r="M2596" i="5"/>
  <c r="L2596" i="5" s="1"/>
  <c r="M2597" i="5"/>
  <c r="L2597" i="5" s="1"/>
  <c r="M2598" i="5"/>
  <c r="L2598" i="5" s="1"/>
  <c r="M2599" i="5"/>
  <c r="L2599" i="5" s="1"/>
  <c r="M2600" i="5"/>
  <c r="L2600" i="5" s="1"/>
  <c r="M2601" i="5"/>
  <c r="L2601" i="5" s="1"/>
  <c r="M2602" i="5"/>
  <c r="L2602" i="5" s="1"/>
  <c r="M2603" i="5"/>
  <c r="L2603" i="5" s="1"/>
  <c r="M2604" i="5"/>
  <c r="L2604" i="5" s="1"/>
  <c r="M2605" i="5"/>
  <c r="L2605" i="5" s="1"/>
  <c r="M2606" i="5"/>
  <c r="L2606" i="5" s="1"/>
  <c r="M2607" i="5"/>
  <c r="L2607" i="5" s="1"/>
  <c r="M2608" i="5"/>
  <c r="L2608" i="5" s="1"/>
  <c r="M2609" i="5"/>
  <c r="L2609" i="5" s="1"/>
  <c r="M2610" i="5"/>
  <c r="L2610" i="5" s="1"/>
  <c r="M2611" i="5"/>
  <c r="L2611" i="5" s="1"/>
  <c r="M2612" i="5"/>
  <c r="L2612" i="5" s="1"/>
  <c r="M2613" i="5"/>
  <c r="L2613" i="5" s="1"/>
  <c r="N2620" i="5"/>
  <c r="M2620" i="5" s="1"/>
  <c r="L2620" i="5" s="1"/>
  <c r="N2621" i="5"/>
  <c r="N2622" i="5"/>
  <c r="N2623" i="5"/>
  <c r="N2624" i="5"/>
  <c r="N2625" i="5"/>
  <c r="N2626" i="5"/>
  <c r="N2627" i="5"/>
  <c r="N2628" i="5"/>
  <c r="N2629" i="5"/>
  <c r="N2630" i="5"/>
  <c r="N2631" i="5"/>
  <c r="N2632" i="5"/>
  <c r="N2633" i="5"/>
  <c r="N2634" i="5"/>
  <c r="N2635" i="5"/>
  <c r="N2636" i="5"/>
  <c r="N2637" i="5"/>
  <c r="N2638" i="5"/>
  <c r="N2639" i="5"/>
  <c r="N2640" i="5"/>
  <c r="N2641" i="5"/>
  <c r="N2642" i="5"/>
  <c r="N2643" i="5"/>
  <c r="N2644" i="5"/>
  <c r="N2645" i="5"/>
  <c r="N2646" i="5"/>
  <c r="N2647" i="5"/>
  <c r="N2648" i="5"/>
  <c r="N2649" i="5"/>
  <c r="N2650" i="5"/>
  <c r="N2651" i="5"/>
  <c r="N2652" i="5"/>
  <c r="N2653" i="5"/>
  <c r="N2654" i="5"/>
  <c r="N2655" i="5"/>
  <c r="N2656" i="5"/>
  <c r="N2657" i="5"/>
  <c r="N2658" i="5"/>
  <c r="N2659" i="5"/>
  <c r="N2660" i="5"/>
  <c r="N2661" i="5"/>
  <c r="N2662" i="5"/>
  <c r="N2663" i="5"/>
  <c r="N2664" i="5"/>
  <c r="N2665" i="5"/>
  <c r="N2666" i="5"/>
  <c r="N2667" i="5"/>
  <c r="N2668" i="5"/>
  <c r="N2669" i="5"/>
  <c r="N2670" i="5"/>
  <c r="N2671" i="5"/>
  <c r="N2672" i="5"/>
  <c r="N2673" i="5"/>
  <c r="N2674" i="5"/>
  <c r="N2675" i="5"/>
  <c r="N2676" i="5"/>
  <c r="N2677" i="5"/>
  <c r="N2678" i="5"/>
  <c r="N2679" i="5"/>
  <c r="N2680" i="5"/>
  <c r="N2681" i="5"/>
  <c r="N2682" i="5"/>
  <c r="N2683" i="5"/>
  <c r="N2684" i="5"/>
  <c r="N2685" i="5"/>
  <c r="N2686" i="5"/>
  <c r="N2687" i="5"/>
  <c r="N2688" i="5"/>
  <c r="N2689" i="5"/>
  <c r="N2690" i="5"/>
  <c r="N2691" i="5"/>
  <c r="N2692" i="5"/>
  <c r="N2693" i="5"/>
  <c r="N2694" i="5"/>
  <c r="N2695" i="5"/>
  <c r="N2696" i="5"/>
  <c r="N2697" i="5"/>
  <c r="N2698" i="5"/>
  <c r="N2699" i="5"/>
  <c r="N2700" i="5"/>
  <c r="N2701" i="5"/>
  <c r="N2703" i="5"/>
  <c r="N2704" i="5"/>
  <c r="N2705" i="5"/>
  <c r="N2706" i="5"/>
  <c r="N2707" i="5"/>
  <c r="N2708" i="5"/>
  <c r="N2709" i="5"/>
  <c r="N2710" i="5"/>
  <c r="N2711" i="5"/>
  <c r="N2712" i="5"/>
  <c r="N2713" i="5"/>
  <c r="N2714" i="5"/>
  <c r="N2715" i="5"/>
  <c r="N2716" i="5"/>
  <c r="M2716" i="5" s="1"/>
  <c r="L2716" i="5" s="1"/>
  <c r="N2717" i="5"/>
  <c r="N2718" i="5"/>
  <c r="N2719" i="5"/>
  <c r="N2720" i="5"/>
  <c r="N2721" i="5"/>
  <c r="N2722" i="5"/>
  <c r="N2723" i="5"/>
  <c r="N2724" i="5"/>
  <c r="N2725" i="5"/>
  <c r="N2726" i="5"/>
  <c r="N2727" i="5"/>
  <c r="N2728" i="5"/>
  <c r="N2729" i="5"/>
  <c r="N2730" i="5"/>
  <c r="N2731" i="5"/>
  <c r="N2732" i="5"/>
  <c r="N2733" i="5"/>
  <c r="N2734" i="5"/>
  <c r="N2735" i="5"/>
  <c r="N2736" i="5"/>
  <c r="N2737" i="5"/>
  <c r="N2738" i="5"/>
  <c r="N2739" i="5"/>
  <c r="N2740" i="5"/>
  <c r="N2741" i="5"/>
  <c r="N2742" i="5"/>
  <c r="N2743" i="5"/>
  <c r="N2744" i="5"/>
  <c r="N2745" i="5"/>
  <c r="N2746" i="5"/>
  <c r="N2747" i="5"/>
  <c r="N2748" i="5"/>
  <c r="N2749" i="5"/>
  <c r="N2750" i="5"/>
  <c r="N2751" i="5"/>
  <c r="N2752" i="5"/>
  <c r="N2753" i="5"/>
  <c r="N2754" i="5"/>
  <c r="N2755" i="5"/>
  <c r="N2756" i="5"/>
  <c r="N2757" i="5"/>
  <c r="N2758" i="5"/>
  <c r="N2759" i="5"/>
  <c r="N2760" i="5"/>
  <c r="N2761" i="5"/>
  <c r="N2762" i="5"/>
  <c r="N2763" i="5"/>
  <c r="N2764" i="5"/>
  <c r="N2765" i="5"/>
  <c r="N2766" i="5"/>
  <c r="N2767" i="5"/>
  <c r="N2768" i="5"/>
  <c r="N2769" i="5"/>
  <c r="N2770" i="5"/>
  <c r="N2771" i="5"/>
  <c r="N2772" i="5"/>
  <c r="N2773" i="5"/>
  <c r="N2774" i="5"/>
  <c r="N2775" i="5"/>
  <c r="N2776" i="5"/>
  <c r="N2777" i="5"/>
  <c r="N2778" i="5"/>
  <c r="N2779" i="5"/>
  <c r="N2780" i="5"/>
  <c r="N2781" i="5"/>
  <c r="N2782" i="5"/>
  <c r="N2783" i="5"/>
  <c r="N2784" i="5"/>
  <c r="N2785" i="5"/>
  <c r="N2786" i="5"/>
  <c r="N2787" i="5"/>
  <c r="N2788" i="5"/>
  <c r="N2789" i="5"/>
  <c r="N2790" i="5"/>
  <c r="N2791" i="5"/>
  <c r="N2792" i="5"/>
  <c r="N2793" i="5"/>
  <c r="N2794" i="5"/>
  <c r="N2795" i="5"/>
  <c r="N2796" i="5"/>
  <c r="N2797" i="5"/>
  <c r="N2798" i="5"/>
  <c r="N2799" i="5"/>
  <c r="N2800" i="5"/>
  <c r="N2801" i="5"/>
  <c r="N2802" i="5"/>
  <c r="N2803" i="5"/>
  <c r="N2804" i="5"/>
  <c r="N2805" i="5"/>
  <c r="N2806" i="5"/>
  <c r="N2807" i="5"/>
  <c r="N2808" i="5"/>
  <c r="N2809" i="5"/>
  <c r="N2810" i="5"/>
  <c r="N2811" i="5"/>
  <c r="R3652" i="5"/>
  <c r="M3653" i="5"/>
  <c r="L3653" i="5" s="1"/>
  <c r="M3654" i="5"/>
  <c r="L3654" i="5" s="1"/>
  <c r="M3655" i="5"/>
  <c r="L3655" i="5" s="1"/>
  <c r="M3656" i="5"/>
  <c r="L3656" i="5" s="1"/>
  <c r="M3657" i="5"/>
  <c r="L3657" i="5" s="1"/>
  <c r="M3658" i="5"/>
  <c r="L3658" i="5" s="1"/>
  <c r="M3659" i="5"/>
  <c r="L3659" i="5" s="1"/>
  <c r="M3660" i="5"/>
  <c r="L3660" i="5" s="1"/>
  <c r="O3661" i="5"/>
  <c r="P3661" i="5"/>
  <c r="Q3661" i="5"/>
  <c r="N3669" i="5"/>
  <c r="R3661" i="5"/>
  <c r="N3662" i="5"/>
  <c r="M3662" i="5" s="1"/>
  <c r="L3662" i="5" s="1"/>
  <c r="N3663" i="5"/>
  <c r="N3664" i="5"/>
  <c r="N3665" i="5"/>
  <c r="N3666" i="5"/>
  <c r="M3666" i="5" s="1"/>
  <c r="L3666" i="5" s="1"/>
  <c r="N3667" i="5"/>
  <c r="N3668" i="5"/>
  <c r="P3670" i="5"/>
  <c r="Q3670" i="5"/>
  <c r="R3670" i="5"/>
  <c r="A3671" i="5"/>
  <c r="C3671" i="5"/>
  <c r="A3672" i="5"/>
  <c r="C3672" i="5"/>
  <c r="N3672" i="5"/>
  <c r="M3672" i="5" s="1"/>
  <c r="F3672" i="5" s="1"/>
  <c r="L3672" i="5" s="1"/>
  <c r="A3673" i="5"/>
  <c r="C3673" i="5"/>
  <c r="N3673" i="5"/>
  <c r="A3674" i="5"/>
  <c r="C3674" i="5"/>
  <c r="N3674" i="5"/>
  <c r="A3675" i="5"/>
  <c r="C3675" i="5"/>
  <c r="N3675" i="5"/>
  <c r="M3675" i="5" s="1"/>
  <c r="F3675" i="5" s="1"/>
  <c r="L3675" i="5" s="1"/>
  <c r="A3676" i="5"/>
  <c r="C3676" i="5"/>
  <c r="N3676" i="5"/>
  <c r="A3677" i="5"/>
  <c r="C3677" i="5"/>
  <c r="N3677" i="5"/>
  <c r="A3678" i="5"/>
  <c r="C3678" i="5"/>
  <c r="N3678" i="5"/>
  <c r="M3678" i="5" s="1"/>
  <c r="F3678" i="5" s="1"/>
  <c r="L3678" i="5" s="1"/>
  <c r="R3751" i="5"/>
  <c r="M3752" i="5"/>
  <c r="L3752" i="5" s="1"/>
  <c r="M3753" i="5"/>
  <c r="L3753" i="5" s="1"/>
  <c r="M3754" i="5"/>
  <c r="L3754" i="5" s="1"/>
  <c r="M3755" i="5"/>
  <c r="L3755" i="5" s="1"/>
  <c r="M3756" i="5"/>
  <c r="L3756" i="5" s="1"/>
  <c r="M3757" i="5"/>
  <c r="L3757" i="5" s="1"/>
  <c r="M3758" i="5"/>
  <c r="L3758" i="5" s="1"/>
  <c r="M3759" i="5"/>
  <c r="L3759" i="5" s="1"/>
  <c r="O3760" i="5"/>
  <c r="P3760" i="5"/>
  <c r="Q3760" i="5"/>
  <c r="R3760" i="5"/>
  <c r="N3761" i="5"/>
  <c r="M3761" i="5" s="1"/>
  <c r="L3761" i="5" s="1"/>
  <c r="N3762" i="5"/>
  <c r="N3763" i="5"/>
  <c r="N3764" i="5"/>
  <c r="N3765" i="5"/>
  <c r="M3765" i="5" s="1"/>
  <c r="L3765" i="5" s="1"/>
  <c r="N3766" i="5"/>
  <c r="N3767" i="5"/>
  <c r="N3768" i="5"/>
  <c r="O3769" i="5"/>
  <c r="P3769" i="5"/>
  <c r="N3772" i="5"/>
  <c r="Q3769" i="5"/>
  <c r="R3769" i="5"/>
  <c r="A3770" i="5"/>
  <c r="C3770" i="5"/>
  <c r="N3770" i="5"/>
  <c r="M3770" i="5" s="1"/>
  <c r="F3770" i="5" s="1"/>
  <c r="L3770" i="5" s="1"/>
  <c r="A3771" i="5"/>
  <c r="C3771" i="5"/>
  <c r="N3771" i="5"/>
  <c r="A3772" i="5"/>
  <c r="C3772" i="5"/>
  <c r="A3773" i="5"/>
  <c r="C3773" i="5"/>
  <c r="N3773" i="5"/>
  <c r="A3774" i="5"/>
  <c r="C3774" i="5"/>
  <c r="N3774" i="5"/>
  <c r="M3774" i="5" s="1"/>
  <c r="F3774" i="5" s="1"/>
  <c r="L3774" i="5" s="1"/>
  <c r="A3775" i="5"/>
  <c r="C3775" i="5"/>
  <c r="N3775" i="5"/>
  <c r="A3776" i="5"/>
  <c r="C3776" i="5"/>
  <c r="N3776" i="5"/>
  <c r="A3777" i="5"/>
  <c r="C3777" i="5"/>
  <c r="N3777" i="5"/>
  <c r="M3854" i="5"/>
  <c r="L3854" i="5" s="1"/>
  <c r="M3855" i="5"/>
  <c r="L3855" i="5" s="1"/>
  <c r="R3856" i="5"/>
  <c r="F3859" i="5"/>
  <c r="F3860" i="5"/>
  <c r="F3861" i="5"/>
  <c r="R3862" i="5"/>
  <c r="A3863" i="5"/>
  <c r="C3863" i="5"/>
  <c r="A3864" i="5"/>
  <c r="A3865" i="5"/>
  <c r="A3866" i="5"/>
  <c r="A3867" i="5"/>
  <c r="M3939" i="5"/>
  <c r="L3939" i="5" s="1"/>
  <c r="M3940" i="5"/>
  <c r="L3940" i="5" s="1"/>
  <c r="M3941" i="5"/>
  <c r="L3941" i="5" s="1"/>
  <c r="M3942" i="5"/>
  <c r="L3942" i="5" s="1"/>
  <c r="M3943" i="5"/>
  <c r="L3943" i="5" s="1"/>
  <c r="M3944" i="5"/>
  <c r="L3944" i="5" s="1"/>
  <c r="M3945" i="5"/>
  <c r="L3945" i="5" s="1"/>
  <c r="M3946" i="5"/>
  <c r="L3946" i="5" s="1"/>
  <c r="M3947" i="5"/>
  <c r="L3947" i="5" s="1"/>
  <c r="M3948" i="5"/>
  <c r="L3948" i="5" s="1"/>
  <c r="M3950" i="5"/>
  <c r="L3950" i="5" s="1"/>
  <c r="M3951" i="5"/>
  <c r="L3951" i="5" s="1"/>
  <c r="M3952" i="5"/>
  <c r="L3952" i="5" s="1"/>
  <c r="M3953" i="5"/>
  <c r="L3953" i="5" s="1"/>
  <c r="M3954" i="5"/>
  <c r="L3954" i="5" s="1"/>
  <c r="M3955" i="5"/>
  <c r="L3955" i="5" s="1"/>
  <c r="M3956" i="5"/>
  <c r="L3956" i="5" s="1"/>
  <c r="M3957" i="5"/>
  <c r="L3957" i="5" s="1"/>
  <c r="M3958" i="5"/>
  <c r="L3958" i="5" s="1"/>
  <c r="M3959" i="5"/>
  <c r="L3959" i="5" s="1"/>
  <c r="M3961" i="5"/>
  <c r="L3961" i="5" s="1"/>
  <c r="M3962" i="5"/>
  <c r="L3962" i="5" s="1"/>
  <c r="M3963" i="5"/>
  <c r="L3963" i="5" s="1"/>
  <c r="M3964" i="5"/>
  <c r="L3964" i="5" s="1"/>
  <c r="M3965" i="5"/>
  <c r="L3965" i="5" s="1"/>
  <c r="M3966" i="5"/>
  <c r="L3966" i="5" s="1"/>
  <c r="M3967" i="5"/>
  <c r="L3967" i="5" s="1"/>
  <c r="M3968" i="5"/>
  <c r="L3968" i="5" s="1"/>
  <c r="M3969" i="5"/>
  <c r="L3969" i="5" s="1"/>
  <c r="M3970" i="5"/>
  <c r="L3970" i="5" s="1"/>
  <c r="M3972" i="5"/>
  <c r="L3972" i="5" s="1"/>
  <c r="M3973" i="5"/>
  <c r="L3973" i="5" s="1"/>
  <c r="M3974" i="5"/>
  <c r="L3974" i="5" s="1"/>
  <c r="M3975" i="5"/>
  <c r="L3975" i="5" s="1"/>
  <c r="M3976" i="5"/>
  <c r="L3976" i="5" s="1"/>
  <c r="M3977" i="5"/>
  <c r="L3977" i="5" s="1"/>
  <c r="M3978" i="5"/>
  <c r="L3978" i="5" s="1"/>
  <c r="M3979" i="5"/>
  <c r="L3979" i="5" s="1"/>
  <c r="M3980" i="5"/>
  <c r="L3980" i="5" s="1"/>
  <c r="M3981" i="5"/>
  <c r="L3981" i="5" s="1"/>
  <c r="M3983" i="5"/>
  <c r="L3983" i="5" s="1"/>
  <c r="M3984" i="5"/>
  <c r="L3984" i="5" s="1"/>
  <c r="M3985" i="5"/>
  <c r="L3985" i="5" s="1"/>
  <c r="M3986" i="5"/>
  <c r="L3986" i="5" s="1"/>
  <c r="M3987" i="5"/>
  <c r="L3987" i="5" s="1"/>
  <c r="M3988" i="5"/>
  <c r="L3988" i="5" s="1"/>
  <c r="M3989" i="5"/>
  <c r="L3989" i="5" s="1"/>
  <c r="M3990" i="5"/>
  <c r="L3990" i="5" s="1"/>
  <c r="M3991" i="5"/>
  <c r="L3991" i="5" s="1"/>
  <c r="M3992" i="5"/>
  <c r="L3992" i="5" s="1"/>
  <c r="R3998" i="5"/>
  <c r="M3999" i="5"/>
  <c r="F3999" i="5" s="1"/>
  <c r="L3999" i="5" s="1"/>
  <c r="M4000" i="5"/>
  <c r="F4000" i="5" s="1"/>
  <c r="L4000" i="5" s="1"/>
  <c r="M4001" i="5"/>
  <c r="F4001" i="5" s="1"/>
  <c r="L4001" i="5" s="1"/>
  <c r="M4002" i="5"/>
  <c r="F4002" i="5" s="1"/>
  <c r="L4002" i="5" s="1"/>
  <c r="M4003" i="5"/>
  <c r="F4003" i="5" s="1"/>
  <c r="L4003" i="5" s="1"/>
  <c r="O4004" i="5"/>
  <c r="P4004" i="5"/>
  <c r="Q4004" i="5"/>
  <c r="R4004" i="5"/>
  <c r="N4005" i="5"/>
  <c r="N4006" i="5"/>
  <c r="N4007" i="5"/>
  <c r="N4008" i="5"/>
  <c r="N4009" i="5"/>
  <c r="M4009" i="5" s="1"/>
  <c r="F4009" i="5" s="1"/>
  <c r="L4009" i="5" s="1"/>
  <c r="O4010" i="5"/>
  <c r="P4010" i="5"/>
  <c r="Q4010" i="5"/>
  <c r="R4010" i="5"/>
  <c r="A4011" i="5"/>
  <c r="C4011" i="5"/>
  <c r="N4011" i="5"/>
  <c r="A4012" i="5"/>
  <c r="C4012" i="5"/>
  <c r="N4012" i="5"/>
  <c r="A4013" i="5"/>
  <c r="C4013" i="5"/>
  <c r="N4013" i="5"/>
  <c r="A4014" i="5"/>
  <c r="C4014" i="5"/>
  <c r="N4014" i="5"/>
  <c r="A4015" i="5"/>
  <c r="C4015" i="5"/>
  <c r="R4090" i="5"/>
  <c r="M4091" i="5"/>
  <c r="L4091" i="5" s="1"/>
  <c r="M4092" i="5"/>
  <c r="L4092" i="5" s="1"/>
  <c r="M4093" i="5"/>
  <c r="L4093" i="5" s="1"/>
  <c r="O4094" i="5"/>
  <c r="P4094" i="5"/>
  <c r="R4094" i="5"/>
  <c r="N4095" i="5"/>
  <c r="M4095" i="5" s="1"/>
  <c r="L4095" i="5" s="1"/>
  <c r="N4096" i="5"/>
  <c r="M4096" i="5" s="1"/>
  <c r="L4096" i="5" s="1"/>
  <c r="N4097" i="5"/>
  <c r="M4097" i="5" s="1"/>
  <c r="L4097" i="5" s="1"/>
  <c r="O4098" i="5"/>
  <c r="P4098" i="5"/>
  <c r="R4098" i="5"/>
  <c r="A4099" i="5"/>
  <c r="C4099" i="5"/>
  <c r="N4099" i="5"/>
  <c r="M4099" i="5" s="1"/>
  <c r="F4099" i="5" s="1"/>
  <c r="L4099" i="5" s="1"/>
  <c r="A4100" i="5"/>
  <c r="C4100" i="5"/>
  <c r="N4100" i="5"/>
  <c r="M4100" i="5" s="1"/>
  <c r="F4100" i="5" s="1"/>
  <c r="L4100" i="5" s="1"/>
  <c r="A4101" i="5"/>
  <c r="C4101" i="5"/>
  <c r="N4101" i="5"/>
  <c r="M4101" i="5" s="1"/>
  <c r="F4101" i="5" s="1"/>
  <c r="L4101" i="5" s="1"/>
  <c r="R4207" i="5"/>
  <c r="M4208" i="5"/>
  <c r="L4208" i="5" s="1"/>
  <c r="M4209" i="5"/>
  <c r="L4209" i="5" s="1"/>
  <c r="M4210" i="5"/>
  <c r="L4210" i="5" s="1"/>
  <c r="O4211" i="5"/>
  <c r="P4211" i="5"/>
  <c r="R4211" i="5"/>
  <c r="N4212" i="5"/>
  <c r="N4213" i="5"/>
  <c r="M4213" i="5" s="1"/>
  <c r="L4213" i="5" s="1"/>
  <c r="N4214" i="5"/>
  <c r="M4214" i="5" s="1"/>
  <c r="L4214" i="5" s="1"/>
  <c r="O4215" i="5"/>
  <c r="P4215" i="5"/>
  <c r="R4215" i="5"/>
  <c r="A4217" i="5"/>
  <c r="C4217" i="5"/>
  <c r="A4218" i="5"/>
  <c r="C4218" i="5"/>
  <c r="N4217" i="5"/>
  <c r="A4219" i="5"/>
  <c r="C4219" i="5"/>
  <c r="N4218" i="5"/>
  <c r="M4218" i="5" s="1"/>
  <c r="F4219" i="5" s="1"/>
  <c r="L4218" i="5" s="1"/>
  <c r="D56" i="4"/>
  <c r="F43" i="4"/>
  <c r="F44" i="4"/>
  <c r="F45" i="4"/>
  <c r="F46" i="4"/>
  <c r="F47" i="4"/>
  <c r="F48" i="4"/>
  <c r="F49" i="4"/>
  <c r="F50" i="4"/>
  <c r="F51" i="4"/>
  <c r="F52" i="4"/>
  <c r="F53" i="4"/>
  <c r="F54" i="4"/>
  <c r="C55" i="3"/>
  <c r="E55" i="3" s="1"/>
  <c r="G55" i="3" s="1"/>
  <c r="C54" i="3"/>
  <c r="E54" i="3" s="1"/>
  <c r="G54" i="3" s="1"/>
  <c r="C53" i="3"/>
  <c r="E53" i="3" s="1"/>
  <c r="G53" i="3" s="1"/>
  <c r="C52" i="3"/>
  <c r="E22" i="3"/>
  <c r="N3455" i="5"/>
  <c r="N3465" i="5" s="1"/>
  <c r="N3120" i="5"/>
  <c r="N3136" i="5"/>
  <c r="N3137" i="5" s="1"/>
  <c r="N3216" i="5" s="1"/>
  <c r="N3295" i="5" s="1"/>
  <c r="M3295" i="5" s="1"/>
  <c r="F3295" i="5" s="1"/>
  <c r="L3295" i="5" s="1"/>
  <c r="N3857" i="5"/>
  <c r="M3857" i="5" s="1"/>
  <c r="F3857" i="5"/>
  <c r="N3859" i="5"/>
  <c r="M3859" i="5" s="1"/>
  <c r="N3861" i="5"/>
  <c r="M3861" i="5" s="1"/>
  <c r="Q3856" i="5"/>
  <c r="N3866" i="5"/>
  <c r="N3860" i="5"/>
  <c r="Q3862" i="5"/>
  <c r="N3864" i="5"/>
  <c r="N3863" i="5"/>
  <c r="M3863" i="5" s="1"/>
  <c r="F3863" i="5" s="1"/>
  <c r="L3863" i="5" s="1"/>
  <c r="N3865" i="5"/>
  <c r="M3865" i="5" s="1"/>
  <c r="F3865" i="5" s="1"/>
  <c r="L3865" i="5" s="1"/>
  <c r="N3867" i="5"/>
  <c r="M3867" i="5" s="1"/>
  <c r="F3867" i="5" s="1"/>
  <c r="L3867" i="5" s="1"/>
  <c r="F3858" i="5"/>
  <c r="N3858" i="5"/>
  <c r="T4695" i="5"/>
  <c r="R4695" i="5"/>
  <c r="Q4695" i="5"/>
  <c r="S4695" i="5"/>
  <c r="S4696" i="5"/>
  <c r="R4696" i="5"/>
  <c r="Q4696" i="5"/>
  <c r="T4696" i="5"/>
  <c r="T4697" i="5"/>
  <c r="R4697" i="5"/>
  <c r="Q4697" i="5"/>
  <c r="S4697" i="5"/>
  <c r="S4698" i="5"/>
  <c r="R4698" i="5"/>
  <c r="Q4698" i="5"/>
  <c r="T4698" i="5"/>
  <c r="T4699" i="5"/>
  <c r="R4699" i="5"/>
  <c r="Q4699" i="5"/>
  <c r="S4699" i="5"/>
  <c r="C4749" i="5"/>
  <c r="A4762" i="5"/>
  <c r="A4763" i="5" s="1"/>
  <c r="C4763" i="5" s="1"/>
  <c r="AS1532" i="5"/>
  <c r="O3895" i="5"/>
  <c r="F3894" i="5" s="1"/>
  <c r="P3348" i="5"/>
  <c r="P3349" i="5" s="1"/>
  <c r="P3350" i="5" s="1"/>
  <c r="G3359" i="5" s="1"/>
  <c r="H3359" i="5" s="1"/>
  <c r="F3816" i="5"/>
  <c r="F3342" i="5"/>
  <c r="V3347" i="5"/>
  <c r="C4851" i="5"/>
  <c r="X4740" i="5"/>
  <c r="X4741" i="5" s="1"/>
  <c r="X4742" i="5" s="1"/>
  <c r="X4743" i="5" s="1"/>
  <c r="X4744" i="5" s="1"/>
  <c r="X4745" i="5" s="1"/>
  <c r="X4746" i="5" s="1"/>
  <c r="X4747" i="5" s="1"/>
  <c r="A4710" i="5"/>
  <c r="A4711" i="5" s="1"/>
  <c r="C4711" i="5" s="1"/>
  <c r="AT1530" i="5"/>
  <c r="AT682" i="5"/>
  <c r="P4228" i="5"/>
  <c r="AY1507" i="5"/>
  <c r="R193" i="5"/>
  <c r="G196" i="5" s="1"/>
  <c r="H196" i="5" s="1"/>
  <c r="T193" i="5"/>
  <c r="T194" i="5" s="1"/>
  <c r="F198" i="5" s="1"/>
  <c r="S193" i="5"/>
  <c r="S194" i="5" s="1"/>
  <c r="F197" i="5" s="1"/>
  <c r="A4889" i="5"/>
  <c r="C4889" i="5" s="1"/>
  <c r="A4910" i="5"/>
  <c r="C4910" i="5" s="1"/>
  <c r="A4898" i="5"/>
  <c r="C4898" i="5" s="1"/>
  <c r="F4369" i="5"/>
  <c r="AS1092" i="5"/>
  <c r="F3345" i="5"/>
  <c r="Y3347" i="5"/>
  <c r="Y3348" i="5" s="1"/>
  <c r="Y3349" i="5" s="1"/>
  <c r="Y3350" i="5" s="1"/>
  <c r="F3362" i="5" s="1"/>
  <c r="AS2375" i="5"/>
  <c r="A4791" i="5"/>
  <c r="C4791" i="5" s="1"/>
  <c r="AS1954" i="5"/>
  <c r="AT1957" i="5"/>
  <c r="AS1956" i="5"/>
  <c r="P4141" i="5"/>
  <c r="T4141" i="5" s="1"/>
  <c r="F4143" i="5" s="1"/>
  <c r="A4886" i="5"/>
  <c r="C4886" i="5" s="1"/>
  <c r="A4904" i="5"/>
  <c r="C4904" i="5" s="1"/>
  <c r="G4295" i="5"/>
  <c r="H4295" i="5" s="1"/>
  <c r="O4296" i="5"/>
  <c r="F4295" i="5" s="1"/>
  <c r="P3895" i="5"/>
  <c r="F3895" i="5" s="1"/>
  <c r="T3488" i="5"/>
  <c r="T3489" i="5" s="1"/>
  <c r="AT1090" i="5"/>
  <c r="M1587" i="5"/>
  <c r="F1587" i="5" s="1"/>
  <c r="M1804" i="5"/>
  <c r="F1804" i="5" s="1"/>
  <c r="M1601" i="5"/>
  <c r="F1601" i="5" s="1"/>
  <c r="C4913" i="5"/>
  <c r="AP1519" i="5"/>
  <c r="AP1521" i="5"/>
  <c r="AP1532" i="5"/>
  <c r="M1538" i="5"/>
  <c r="F1538" i="5" s="1"/>
  <c r="G1538" i="5" s="1"/>
  <c r="H1538" i="5" s="1"/>
  <c r="M1513" i="5"/>
  <c r="F1513" i="5" s="1"/>
  <c r="AM1513" i="5" s="1"/>
  <c r="AP1513" i="5"/>
  <c r="M1527" i="5"/>
  <c r="F1527" i="5" s="1"/>
  <c r="G1527" i="5" s="1"/>
  <c r="H1527" i="5" s="1"/>
  <c r="AP1527" i="5"/>
  <c r="W4914" i="5"/>
  <c r="R4916" i="5"/>
  <c r="C4937" i="5"/>
  <c r="A4923" i="5"/>
  <c r="C4923" i="5" s="1"/>
  <c r="C4922" i="5"/>
  <c r="AS1117" i="5"/>
  <c r="AS1115" i="5"/>
  <c r="W4915" i="5"/>
  <c r="C4693" i="5"/>
  <c r="C4934" i="5"/>
  <c r="C4946" i="5"/>
  <c r="A4733" i="5"/>
  <c r="A4734" i="5" s="1"/>
  <c r="F4734" i="5" s="1"/>
  <c r="A4750" i="5"/>
  <c r="A4751" i="5" s="1"/>
  <c r="A4819" i="5"/>
  <c r="A4820" i="5" s="1"/>
  <c r="C4854" i="5"/>
  <c r="AP1116" i="5"/>
  <c r="AQ1116" i="5" s="1"/>
  <c r="A4972" i="5"/>
  <c r="C4972" i="5" s="1"/>
  <c r="A4984" i="5"/>
  <c r="C4984" i="5" s="1"/>
  <c r="A4960" i="5"/>
  <c r="C4960" i="5" s="1"/>
  <c r="A4963" i="5"/>
  <c r="C4963" i="5" s="1"/>
  <c r="A4975" i="5"/>
  <c r="C4975" i="5" s="1"/>
  <c r="A4981" i="5"/>
  <c r="C4981" i="5" s="1"/>
  <c r="G4303" i="5"/>
  <c r="H4303" i="5" s="1"/>
  <c r="AK1907" i="5"/>
  <c r="AY1907" i="5"/>
  <c r="AY1984" i="5"/>
  <c r="AL1984" i="5"/>
  <c r="AT1983" i="5"/>
  <c r="AS1984" i="5"/>
  <c r="AT1542" i="5"/>
  <c r="AP1530" i="5"/>
  <c r="AT1953" i="5"/>
  <c r="Q3369" i="5"/>
  <c r="Q3370" i="5" s="1"/>
  <c r="Q3384" i="5" s="1"/>
  <c r="G3372" i="5"/>
  <c r="H3372" i="5" s="1"/>
  <c r="P3578" i="5"/>
  <c r="G3578" i="5" s="1"/>
  <c r="H3578" i="5" s="1"/>
  <c r="AS1106" i="5"/>
  <c r="T1106" i="5"/>
  <c r="V3435" i="5"/>
  <c r="D4989" i="5"/>
  <c r="D4992" i="5" s="1"/>
  <c r="C4694" i="5"/>
  <c r="AY333" i="5"/>
  <c r="AK329" i="5"/>
  <c r="O3732" i="5"/>
  <c r="O3733" i="5" s="1"/>
  <c r="F3732" i="5" s="1"/>
  <c r="O3730" i="5"/>
  <c r="F3729" i="5" s="1"/>
  <c r="N4989" i="5"/>
  <c r="N4990" i="5" s="1"/>
  <c r="A4998" i="5" s="1"/>
  <c r="C4998" i="5" s="1"/>
  <c r="R5106" i="5"/>
  <c r="R5107" i="5" s="1"/>
  <c r="R5108" i="5" s="1"/>
  <c r="R5109" i="5" s="1"/>
  <c r="R5110" i="5" s="1"/>
  <c r="R5111" i="5" s="1"/>
  <c r="R5112" i="5" s="1"/>
  <c r="R5113" i="5" s="1"/>
  <c r="R5114" i="5" s="1"/>
  <c r="R5115" i="5" s="1"/>
  <c r="R5141" i="5" s="1"/>
  <c r="S5106" i="5"/>
  <c r="S5107" i="5" s="1"/>
  <c r="S5108" i="5" s="1"/>
  <c r="S5109" i="5" s="1"/>
  <c r="S5110" i="5" s="1"/>
  <c r="S5111" i="5" s="1"/>
  <c r="S5112" i="5" s="1"/>
  <c r="S5113" i="5" s="1"/>
  <c r="S5114" i="5" s="1"/>
  <c r="S5115" i="5" s="1"/>
  <c r="S5141" i="5" s="1"/>
  <c r="AM1104" i="5"/>
  <c r="D5107" i="5"/>
  <c r="D5110" i="5" s="1"/>
  <c r="D5113" i="5" s="1"/>
  <c r="D5116" i="5" s="1"/>
  <c r="D5119" i="5" s="1"/>
  <c r="D5122" i="5" s="1"/>
  <c r="D5125" i="5" s="1"/>
  <c r="D5128" i="5" s="1"/>
  <c r="D5131" i="5" s="1"/>
  <c r="D5134" i="5" s="1"/>
  <c r="D5137" i="5" s="1"/>
  <c r="C4986" i="5"/>
  <c r="D5108" i="5"/>
  <c r="D5112" i="5"/>
  <c r="D5115" i="5" s="1"/>
  <c r="D5118" i="5" s="1"/>
  <c r="D5121" i="5" s="1"/>
  <c r="D5124" i="5" s="1"/>
  <c r="D5127" i="5" s="1"/>
  <c r="D5130" i="5" s="1"/>
  <c r="D5133" i="5" s="1"/>
  <c r="AM1954" i="5"/>
  <c r="T201" i="5"/>
  <c r="AM1087" i="5"/>
  <c r="P157" i="5"/>
  <c r="F157" i="5" s="1"/>
  <c r="G1085" i="5"/>
  <c r="H1085" i="5" s="1"/>
  <c r="Q3459" i="5"/>
  <c r="F97" i="5"/>
  <c r="Q110" i="5"/>
  <c r="F112" i="5" s="1"/>
  <c r="AS1087" i="5"/>
  <c r="F4402" i="5"/>
  <c r="Q4403" i="5"/>
  <c r="Q4404" i="5" s="1"/>
  <c r="Q4405" i="5" s="1"/>
  <c r="Q4406" i="5" s="1"/>
  <c r="F4406" i="5" s="1"/>
  <c r="V4720" i="5"/>
  <c r="AS1524" i="5"/>
  <c r="F3344" i="5"/>
  <c r="X3347" i="5"/>
  <c r="F3349" i="5" s="1"/>
  <c r="R157" i="5"/>
  <c r="F159" i="5" s="1"/>
  <c r="G3349" i="5"/>
  <c r="H3349" i="5" s="1"/>
  <c r="R3348" i="5"/>
  <c r="G3353" i="5" s="1"/>
  <c r="H3353" i="5" s="1"/>
  <c r="F152" i="5"/>
  <c r="C4925" i="5"/>
  <c r="A4926" i="5"/>
  <c r="C4926" i="5" s="1"/>
  <c r="C4943" i="5"/>
  <c r="A4944" i="5"/>
  <c r="C4944" i="5" s="1"/>
  <c r="AJ515" i="5"/>
  <c r="AP1553" i="5"/>
  <c r="A4759" i="5"/>
  <c r="C4758" i="5"/>
  <c r="M3878" i="5"/>
  <c r="F3878" i="5" s="1"/>
  <c r="L3878" i="5" s="1"/>
  <c r="G1553" i="5"/>
  <c r="H1553" i="5" s="1"/>
  <c r="AL1983" i="5"/>
  <c r="AY1983" i="5"/>
  <c r="AZ1983" i="5"/>
  <c r="A4883" i="5"/>
  <c r="C4883" i="5" s="1"/>
  <c r="AJ1983" i="5"/>
  <c r="P4489" i="5"/>
  <c r="G4489" i="5" s="1"/>
  <c r="H4489" i="5" s="1"/>
  <c r="W4986" i="5"/>
  <c r="R4987" i="5"/>
  <c r="R4988" i="5" s="1"/>
  <c r="R4989" i="5" s="1"/>
  <c r="R4990" i="5" s="1"/>
  <c r="W4990" i="5" s="1"/>
  <c r="Q4987" i="5"/>
  <c r="V4987" i="5" s="1"/>
  <c r="V4986" i="5"/>
  <c r="F4486" i="5"/>
  <c r="G4486" i="5"/>
  <c r="H4486" i="5" s="1"/>
  <c r="G4986" i="5"/>
  <c r="H4986" i="5" s="1"/>
  <c r="P4987" i="5"/>
  <c r="P4988" i="5" s="1"/>
  <c r="P4989" i="5" s="1"/>
  <c r="P4990" i="5" s="1"/>
  <c r="P4991" i="5" s="1"/>
  <c r="Q4487" i="5"/>
  <c r="F4487" i="5" s="1"/>
  <c r="G4487" i="5"/>
  <c r="H4487" i="5" s="1"/>
  <c r="G4488" i="5"/>
  <c r="H4488" i="5" s="1"/>
  <c r="G1948" i="5"/>
  <c r="H1948" i="5" s="1"/>
  <c r="A4988" i="5"/>
  <c r="G4988" i="5" s="1"/>
  <c r="H4988" i="5" s="1"/>
  <c r="C4987" i="5"/>
  <c r="E52" i="3"/>
  <c r="G52" i="3" s="1"/>
  <c r="P19" i="11"/>
  <c r="H20" i="11"/>
  <c r="H24" i="11" s="1"/>
  <c r="P18" i="11"/>
  <c r="C22" i="11"/>
  <c r="H22" i="11"/>
  <c r="J20" i="11"/>
  <c r="G3918" i="5"/>
  <c r="H3918" i="5" s="1"/>
  <c r="A4500" i="5"/>
  <c r="C4500" i="5" s="1"/>
  <c r="A5144" i="5"/>
  <c r="A5145" i="5" s="1"/>
  <c r="G3539" i="5"/>
  <c r="H3539" i="5" s="1"/>
  <c r="G3540" i="5"/>
  <c r="H3540" i="5" s="1"/>
  <c r="F3538" i="5"/>
  <c r="S3598" i="5"/>
  <c r="G1960" i="5"/>
  <c r="H1960" i="5" s="1"/>
  <c r="D5147" i="5"/>
  <c r="D5150" i="5" s="1"/>
  <c r="D5153" i="5" s="1"/>
  <c r="D5148" i="5"/>
  <c r="D5151" i="5" s="1"/>
  <c r="D5154" i="5" s="1"/>
  <c r="D5157" i="5" s="1"/>
  <c r="D5160" i="5" s="1"/>
  <c r="D5163" i="5" s="1"/>
  <c r="D5166" i="5" s="1"/>
  <c r="D5169" i="5" s="1"/>
  <c r="D5172" i="5" s="1"/>
  <c r="D5175" i="5" s="1"/>
  <c r="A5029" i="5"/>
  <c r="A5030" i="5" s="1"/>
  <c r="A5031" i="5" s="1"/>
  <c r="C5031" i="5" s="1"/>
  <c r="N5026" i="5"/>
  <c r="N5027" i="5" s="1"/>
  <c r="A5035" i="5" s="1"/>
  <c r="D5034" i="5"/>
  <c r="D5037" i="5" s="1"/>
  <c r="D5040" i="5" s="1"/>
  <c r="D5043" i="5" s="1"/>
  <c r="D547" i="6" s="1"/>
  <c r="D550" i="6" s="1"/>
  <c r="D553" i="6" s="1"/>
  <c r="D556" i="6" s="1"/>
  <c r="D559" i="6" s="1"/>
  <c r="D5030" i="5"/>
  <c r="D5033" i="5" s="1"/>
  <c r="D5036" i="5" s="1"/>
  <c r="D5039" i="5" s="1"/>
  <c r="D5042" i="5" s="1"/>
  <c r="D546" i="6" s="1"/>
  <c r="D549" i="6" s="1"/>
  <c r="D552" i="6" s="1"/>
  <c r="D555" i="6" s="1"/>
  <c r="D558" i="6" s="1"/>
  <c r="A5026" i="5"/>
  <c r="A5027" i="5" s="1"/>
  <c r="N4502" i="5"/>
  <c r="A4502" i="5" s="1"/>
  <c r="C4502" i="5" s="1"/>
  <c r="A4501" i="5"/>
  <c r="C4501" i="5" s="1"/>
  <c r="A5024" i="5"/>
  <c r="T13" i="14"/>
  <c r="V13" i="14"/>
  <c r="W13" i="14"/>
  <c r="G3837" i="5"/>
  <c r="H3837" i="5" s="1"/>
  <c r="G3598" i="5"/>
  <c r="H3598" i="5" s="1"/>
  <c r="N14" i="14"/>
  <c r="AA14" i="14" s="1"/>
  <c r="P14" i="14"/>
  <c r="AC14" i="14" s="1"/>
  <c r="E14" i="14"/>
  <c r="R14" i="14" s="1"/>
  <c r="C13" i="14"/>
  <c r="AJ319" i="5"/>
  <c r="P3739" i="5"/>
  <c r="F3739" i="5" s="1"/>
  <c r="P12" i="10"/>
  <c r="P17" i="10" s="1"/>
  <c r="U17" i="10"/>
  <c r="X12" i="10"/>
  <c r="X15" i="10" s="1"/>
  <c r="W12" i="10"/>
  <c r="W17" i="10" s="1"/>
  <c r="AA12" i="10"/>
  <c r="Y12" i="10"/>
  <c r="Y15" i="10" s="1"/>
  <c r="Z12" i="10"/>
  <c r="Z17" i="10" s="1"/>
  <c r="C4757" i="5"/>
  <c r="G1952" i="5"/>
  <c r="H1952" i="5" s="1"/>
  <c r="AT1946" i="5"/>
  <c r="AS1946" i="5"/>
  <c r="Q3489" i="5"/>
  <c r="G3491" i="5" s="1"/>
  <c r="H3491" i="5" s="1"/>
  <c r="G3489" i="5"/>
  <c r="H3489" i="5" s="1"/>
  <c r="AS1538" i="5"/>
  <c r="AT1538" i="5"/>
  <c r="W4839" i="5"/>
  <c r="R4840" i="5"/>
  <c r="R4841" i="5" s="1"/>
  <c r="R4842" i="5" s="1"/>
  <c r="O3906" i="5"/>
  <c r="O3907" i="5" s="1"/>
  <c r="F3906" i="5" s="1"/>
  <c r="G689" i="5"/>
  <c r="H689" i="5" s="1"/>
  <c r="M2375" i="5"/>
  <c r="F2375" i="5" s="1"/>
  <c r="G2375" i="5" s="1"/>
  <c r="H2375" i="5" s="1"/>
  <c r="AP2375" i="5"/>
  <c r="M1515" i="5"/>
  <c r="F1515" i="5" s="1"/>
  <c r="G1515" i="5" s="1"/>
  <c r="H1515" i="5" s="1"/>
  <c r="AP1515" i="5"/>
  <c r="D4920" i="5"/>
  <c r="D4923" i="5" s="1"/>
  <c r="D4926" i="5" s="1"/>
  <c r="G1535" i="5"/>
  <c r="H1535" i="5" s="1"/>
  <c r="AS1513" i="5"/>
  <c r="AJ347" i="5"/>
  <c r="AY327" i="5"/>
  <c r="G2374" i="5"/>
  <c r="H2374" i="5" s="1"/>
  <c r="AM1535" i="5"/>
  <c r="G1530" i="5"/>
  <c r="H1530" i="5" s="1"/>
  <c r="K14" i="14"/>
  <c r="X14" i="14" s="1"/>
  <c r="X13" i="14"/>
  <c r="F14" i="14"/>
  <c r="S14" i="14" s="1"/>
  <c r="S13" i="14"/>
  <c r="H14" i="14"/>
  <c r="U14" i="14" s="1"/>
  <c r="U13" i="14"/>
  <c r="L14" i="14"/>
  <c r="Y14" i="14" s="1"/>
  <c r="Y13" i="14"/>
  <c r="Q28" i="15"/>
  <c r="Q25" i="15"/>
  <c r="I30" i="15"/>
  <c r="M30" i="15"/>
  <c r="R25" i="15"/>
  <c r="J30" i="15"/>
  <c r="G30" i="15"/>
  <c r="H30" i="15"/>
  <c r="L30" i="15"/>
  <c r="N30" i="15"/>
  <c r="M17" i="15"/>
  <c r="F30" i="15"/>
  <c r="D30" i="15"/>
  <c r="K17" i="15"/>
  <c r="G17" i="15"/>
  <c r="F17" i="15"/>
  <c r="Q26" i="15"/>
  <c r="O17" i="15"/>
  <c r="O30" i="15"/>
  <c r="E17" i="15"/>
  <c r="E30" i="15"/>
  <c r="R26" i="15"/>
  <c r="R104" i="15"/>
  <c r="Q118" i="15"/>
  <c r="Q17" i="15"/>
  <c r="R17" i="15"/>
  <c r="R118" i="15"/>
  <c r="Q65" i="15"/>
  <c r="R65" i="15"/>
  <c r="Q79" i="15"/>
  <c r="R79" i="15"/>
  <c r="A6158" i="5"/>
  <c r="A6191" i="5" s="1"/>
  <c r="A6172" i="5"/>
  <c r="A6166" i="5"/>
  <c r="A6174" i="5"/>
  <c r="G187" i="5"/>
  <c r="H187" i="5" s="1"/>
  <c r="G189" i="5"/>
  <c r="H189" i="5" s="1"/>
  <c r="AY377" i="5"/>
  <c r="AS353" i="5"/>
  <c r="H191" i="5"/>
  <c r="G160" i="5"/>
  <c r="H160" i="5" s="1"/>
  <c r="AT687" i="5"/>
  <c r="AT693" i="5"/>
  <c r="AS693" i="5"/>
  <c r="P3369" i="5"/>
  <c r="G3375" i="5" s="1"/>
  <c r="H3375" i="5" s="1"/>
  <c r="V3368" i="5"/>
  <c r="F3371" i="5" s="1"/>
  <c r="F4839" i="5"/>
  <c r="G4839" i="5"/>
  <c r="H4839" i="5" s="1"/>
  <c r="A4840" i="5"/>
  <c r="C4840" i="5" s="1"/>
  <c r="C4839" i="5"/>
  <c r="AL1123" i="5"/>
  <c r="AI1123" i="5"/>
  <c r="T1114" i="5"/>
  <c r="M1114" i="5" s="1"/>
  <c r="F1114" i="5" s="1"/>
  <c r="G1114" i="5" s="1"/>
  <c r="H1114" i="5" s="1"/>
  <c r="T1109" i="5"/>
  <c r="M1109" i="5" s="1"/>
  <c r="F1109" i="5" s="1"/>
  <c r="G1109" i="5" s="1"/>
  <c r="H1109" i="5" s="1"/>
  <c r="T1112" i="5"/>
  <c r="M1112" i="5" s="1"/>
  <c r="F1112" i="5" s="1"/>
  <c r="G1112" i="5" s="1"/>
  <c r="H1112" i="5" s="1"/>
  <c r="T1108" i="5"/>
  <c r="M1108" i="5" s="1"/>
  <c r="F1108" i="5" s="1"/>
  <c r="G1108" i="5" s="1"/>
  <c r="H1108" i="5" s="1"/>
  <c r="T1111" i="5"/>
  <c r="M1111" i="5" s="1"/>
  <c r="F1111" i="5" s="1"/>
  <c r="G1111" i="5" s="1"/>
  <c r="H1111" i="5" s="1"/>
  <c r="T1110" i="5"/>
  <c r="AP1110" i="5" s="1"/>
  <c r="AQ1110" i="5" s="1"/>
  <c r="R187" i="5"/>
  <c r="F189" i="5" s="1"/>
  <c r="R201" i="5"/>
  <c r="R202" i="5" s="1"/>
  <c r="F204" i="5" s="1"/>
  <c r="C4977" i="5"/>
  <c r="A4978" i="5"/>
  <c r="C4978" i="5" s="1"/>
  <c r="AZ1123" i="5"/>
  <c r="AK1123" i="5"/>
  <c r="T1113" i="5"/>
  <c r="M1113" i="5" s="1"/>
  <c r="F1113" i="5" s="1"/>
  <c r="T1107" i="5"/>
  <c r="M1107" i="5" s="1"/>
  <c r="F1107" i="5" s="1"/>
  <c r="G1107" i="5" s="1"/>
  <c r="H1107" i="5" s="1"/>
  <c r="AY1123" i="5"/>
  <c r="AJ1123" i="5"/>
  <c r="G3371" i="5"/>
  <c r="H3371" i="5" s="1"/>
  <c r="U4128" i="5"/>
  <c r="F4129" i="5" s="1"/>
  <c r="O157" i="5"/>
  <c r="F156" i="5" s="1"/>
  <c r="U163" i="5"/>
  <c r="P163" i="5"/>
  <c r="C4798" i="5"/>
  <c r="AS1099" i="5"/>
  <c r="AT1101" i="5"/>
  <c r="H190" i="5"/>
  <c r="A4901" i="5"/>
  <c r="C4901" i="5" s="1"/>
  <c r="C4900" i="5"/>
  <c r="AT1541" i="5"/>
  <c r="AS1541" i="5"/>
  <c r="AP1524" i="5"/>
  <c r="M1524" i="5"/>
  <c r="F1524" i="5" s="1"/>
  <c r="M1117" i="5"/>
  <c r="F1117" i="5" s="1"/>
  <c r="AP1117" i="5"/>
  <c r="AQ1117" i="5" s="1"/>
  <c r="AK1983" i="5"/>
  <c r="AI1983" i="5"/>
  <c r="AL551" i="5"/>
  <c r="A6167" i="5"/>
  <c r="A6161" i="5"/>
  <c r="A6194" i="5" s="1"/>
  <c r="A6153" i="5"/>
  <c r="A6186" i="5" s="1"/>
  <c r="J22" i="11"/>
  <c r="Z13" i="14"/>
  <c r="AM1946" i="5"/>
  <c r="G1958" i="5"/>
  <c r="H1958" i="5" s="1"/>
  <c r="M2390" i="5"/>
  <c r="F2390" i="5" s="1"/>
  <c r="AM2390" i="5" s="1"/>
  <c r="AB13" i="14"/>
  <c r="AB16" i="14" s="1"/>
  <c r="AB20" i="14" s="1"/>
  <c r="AB22" i="14" s="1"/>
  <c r="F5050" i="5"/>
  <c r="AT2390" i="5"/>
  <c r="F5047" i="5"/>
  <c r="H5049" i="5"/>
  <c r="F5049" i="5"/>
  <c r="P5030" i="5"/>
  <c r="U5030" i="5"/>
  <c r="P5031" i="5"/>
  <c r="U5031" i="5"/>
  <c r="P5032" i="5"/>
  <c r="Q5030" i="5"/>
  <c r="U5032" i="5"/>
  <c r="Q5031" i="5"/>
  <c r="V5030" i="5"/>
  <c r="R5030" i="5"/>
  <c r="R5031" i="5"/>
  <c r="W5030" i="5"/>
  <c r="V5031" i="5"/>
  <c r="Q5032" i="5"/>
  <c r="V5032" i="5"/>
  <c r="R5032" i="5"/>
  <c r="W5031" i="5"/>
  <c r="W5032" i="5"/>
  <c r="AK910" i="5"/>
  <c r="F20" i="11"/>
  <c r="F24" i="11" s="1"/>
  <c r="U15" i="10"/>
  <c r="M3777" i="5" l="1"/>
  <c r="F3777" i="5" s="1"/>
  <c r="L3777" i="5" s="1"/>
  <c r="S16" i="14"/>
  <c r="S20" i="14" s="1"/>
  <c r="S22" i="14" s="1"/>
  <c r="N24" i="11"/>
  <c r="A276" i="5"/>
  <c r="S3702" i="5"/>
  <c r="O3702" i="5" s="1"/>
  <c r="AM1126" i="5"/>
  <c r="N4116" i="5"/>
  <c r="M4116" i="5" s="1"/>
  <c r="F4116" i="5" s="1"/>
  <c r="L4116" i="5" s="1"/>
  <c r="AM1952" i="5"/>
  <c r="AS1083" i="5"/>
  <c r="AZ1126" i="5"/>
  <c r="O4111" i="5"/>
  <c r="M4113" i="5" s="1"/>
  <c r="F4113" i="5" s="1"/>
  <c r="L4113" i="5" s="1"/>
  <c r="V5072" i="5"/>
  <c r="F5080" i="5" s="1"/>
  <c r="AY1512" i="5"/>
  <c r="AT335" i="5"/>
  <c r="Z5072" i="5"/>
  <c r="F5084" i="5" s="1"/>
  <c r="AZ571" i="5"/>
  <c r="F4643" i="5"/>
  <c r="AL327" i="5"/>
  <c r="AS1517" i="5"/>
  <c r="AY419" i="5"/>
  <c r="AZ419" i="5"/>
  <c r="A4658" i="5"/>
  <c r="C4658" i="5" s="1"/>
  <c r="AK343" i="5"/>
  <c r="AZ311" i="5"/>
  <c r="M4267" i="5"/>
  <c r="F4268" i="5" s="1"/>
  <c r="AK327" i="5"/>
  <c r="AJ343" i="5"/>
  <c r="AS559" i="5"/>
  <c r="AW343" i="5"/>
  <c r="AX343" i="5" s="1"/>
  <c r="AJ1507" i="5"/>
  <c r="AS303" i="5"/>
  <c r="AY316" i="5"/>
  <c r="AK651" i="5"/>
  <c r="AY551" i="5"/>
  <c r="AT355" i="5"/>
  <c r="AT339" i="5"/>
  <c r="AI1507" i="5"/>
  <c r="AW316" i="5"/>
  <c r="AX316" i="5" s="1"/>
  <c r="AK1507" i="5"/>
  <c r="W5072" i="5"/>
  <c r="F5081" i="5" s="1"/>
  <c r="AZ1066" i="5"/>
  <c r="AL647" i="5"/>
  <c r="AJ671" i="5"/>
  <c r="AY1075" i="5"/>
  <c r="AT750" i="5"/>
  <c r="AW623" i="5"/>
  <c r="AX623" i="5" s="1"/>
  <c r="AU1075" i="5"/>
  <c r="AV1075" i="5" s="1"/>
  <c r="AI675" i="5"/>
  <c r="AW554" i="5"/>
  <c r="AX554" i="5" s="1"/>
  <c r="AS297" i="5"/>
  <c r="AJ585" i="5"/>
  <c r="AI1483" i="5"/>
  <c r="AY301" i="5"/>
  <c r="AJ1503" i="5"/>
  <c r="AW1051" i="5"/>
  <c r="AX1051" i="5" s="1"/>
  <c r="O4300" i="5"/>
  <c r="F4299" i="5" s="1"/>
  <c r="G3348" i="5"/>
  <c r="H3348" i="5" s="1"/>
  <c r="S201" i="5"/>
  <c r="S216" i="5" s="1"/>
  <c r="G4299" i="5"/>
  <c r="H4299" i="5" s="1"/>
  <c r="AP1520" i="5"/>
  <c r="AQ1520" i="5" s="1"/>
  <c r="S187" i="5"/>
  <c r="F190" i="5" s="1"/>
  <c r="Q163" i="5"/>
  <c r="P4436" i="5"/>
  <c r="P4437" i="5" s="1"/>
  <c r="G4437" i="5" s="1"/>
  <c r="H4437" i="5" s="1"/>
  <c r="AJ621" i="5"/>
  <c r="AS768" i="5"/>
  <c r="AY913" i="5"/>
  <c r="AJ361" i="5"/>
  <c r="AM294" i="5"/>
  <c r="AL397" i="5"/>
  <c r="AL330" i="5"/>
  <c r="AT333" i="5"/>
  <c r="AU442" i="5"/>
  <c r="AV442" i="5" s="1"/>
  <c r="AW442" i="5"/>
  <c r="AX442" i="5" s="1"/>
  <c r="AJ321" i="5"/>
  <c r="AU386" i="5"/>
  <c r="AV386" i="5" s="1"/>
  <c r="AL361" i="5"/>
  <c r="AZ498" i="5"/>
  <c r="AJ417" i="5"/>
  <c r="AZ1072" i="5"/>
  <c r="AS601" i="5"/>
  <c r="AY517" i="5"/>
  <c r="AK353" i="5"/>
  <c r="AS457" i="5"/>
  <c r="AS549" i="5"/>
  <c r="M1615" i="5"/>
  <c r="F1615" i="5" s="1"/>
  <c r="AU800" i="5"/>
  <c r="AV800" i="5" s="1"/>
  <c r="S5142" i="5"/>
  <c r="S5143" i="5" s="1"/>
  <c r="S5144" i="5" s="1"/>
  <c r="S5145" i="5" s="1"/>
  <c r="S5146" i="5" s="1"/>
  <c r="AK824" i="5"/>
  <c r="AK820" i="5"/>
  <c r="R5142" i="5"/>
  <c r="R5143" i="5" s="1"/>
  <c r="R5144" i="5" s="1"/>
  <c r="R5145" i="5" s="1"/>
  <c r="R5146" i="5" s="1"/>
  <c r="R5147" i="5" s="1"/>
  <c r="R5148" i="5" s="1"/>
  <c r="R5149" i="5" s="1"/>
  <c r="AU470" i="5"/>
  <c r="AV470" i="5" s="1"/>
  <c r="AS621" i="5"/>
  <c r="M1818" i="5"/>
  <c r="F1818" i="5" s="1"/>
  <c r="Q5142" i="5"/>
  <c r="AZ425" i="5"/>
  <c r="AL633" i="5"/>
  <c r="AY573" i="5"/>
  <c r="AJ465" i="5"/>
  <c r="AL820" i="5"/>
  <c r="AZ385" i="5"/>
  <c r="AS625" i="5"/>
  <c r="AS760" i="5"/>
  <c r="AZ358" i="5"/>
  <c r="N5143" i="5"/>
  <c r="AS473" i="5"/>
  <c r="R117" i="5"/>
  <c r="F120" i="5" s="1"/>
  <c r="C4615" i="5"/>
  <c r="AL565" i="5"/>
  <c r="AU498" i="5"/>
  <c r="AV498" i="5" s="1"/>
  <c r="AU469" i="5"/>
  <c r="AV469" i="5" s="1"/>
  <c r="A6168" i="5"/>
  <c r="P4841" i="5"/>
  <c r="S3577" i="5"/>
  <c r="F3577" i="5" s="1"/>
  <c r="AZ1984" i="5"/>
  <c r="A4969" i="5"/>
  <c r="C4969" i="5" s="1"/>
  <c r="G1094" i="5"/>
  <c r="H1094" i="5" s="1"/>
  <c r="AM1124" i="5"/>
  <c r="A6176" i="5"/>
  <c r="U4839" i="5"/>
  <c r="AI1984" i="5"/>
  <c r="G3502" i="5"/>
  <c r="H3502" i="5" s="1"/>
  <c r="P3903" i="5"/>
  <c r="F3903" i="5" s="1"/>
  <c r="AM1984" i="5"/>
  <c r="U3500" i="5"/>
  <c r="F3502" i="5" s="1"/>
  <c r="G1517" i="5"/>
  <c r="H1517" i="5" s="1"/>
  <c r="AK1984" i="5"/>
  <c r="AP1517" i="5"/>
  <c r="G3488" i="5"/>
  <c r="H3488" i="5" s="1"/>
  <c r="A4920" i="5"/>
  <c r="C4920" i="5" s="1"/>
  <c r="M1525" i="5"/>
  <c r="F1525" i="5" s="1"/>
  <c r="AP1541" i="5"/>
  <c r="AQ1541" i="5" s="1"/>
  <c r="A4892" i="5"/>
  <c r="C4892" i="5" s="1"/>
  <c r="G3919" i="5"/>
  <c r="H3919" i="5" s="1"/>
  <c r="P216" i="5"/>
  <c r="P217" i="5" s="1"/>
  <c r="F217" i="5" s="1"/>
  <c r="AM1096" i="5"/>
  <c r="P3906" i="5"/>
  <c r="P3907" i="5" s="1"/>
  <c r="F3907" i="5" s="1"/>
  <c r="P187" i="5"/>
  <c r="F187" i="5" s="1"/>
  <c r="C4876" i="5"/>
  <c r="C4845" i="5"/>
  <c r="C4956" i="5"/>
  <c r="C4931" i="5"/>
  <c r="P202" i="5"/>
  <c r="F202" i="5" s="1"/>
  <c r="AM1123" i="5"/>
  <c r="O164" i="5"/>
  <c r="F163" i="5" s="1"/>
  <c r="F3566" i="5"/>
  <c r="U164" i="5"/>
  <c r="F169" i="5" s="1"/>
  <c r="G4435" i="5"/>
  <c r="H4435" i="5" s="1"/>
  <c r="R164" i="5"/>
  <c r="F166" i="5" s="1"/>
  <c r="A4746" i="5"/>
  <c r="C4746" i="5" s="1"/>
  <c r="T163" i="5"/>
  <c r="S164" i="5"/>
  <c r="F167" i="5" s="1"/>
  <c r="G1096" i="5"/>
  <c r="H1096" i="5" s="1"/>
  <c r="G3352" i="5"/>
  <c r="H3352" i="5" s="1"/>
  <c r="C4814" i="5"/>
  <c r="O163" i="5"/>
  <c r="AS1085" i="5"/>
  <c r="AZ666" i="5"/>
  <c r="AM705" i="5"/>
  <c r="AM682" i="5"/>
  <c r="AI1573" i="5"/>
  <c r="F3539" i="5"/>
  <c r="I5105" i="5"/>
  <c r="AI417" i="5"/>
  <c r="AI321" i="5"/>
  <c r="AM1953" i="5"/>
  <c r="AQ1099" i="5"/>
  <c r="AQ1101" i="5"/>
  <c r="AQ1552" i="5"/>
  <c r="F264" i="5"/>
  <c r="AL1943" i="5"/>
  <c r="AM1955" i="5"/>
  <c r="AJ666" i="5"/>
  <c r="AM1956" i="5"/>
  <c r="S163" i="5"/>
  <c r="AW490" i="5"/>
  <c r="AX490" i="5" s="1"/>
  <c r="AQ1957" i="5"/>
  <c r="AQ1956" i="5"/>
  <c r="AQ682" i="5"/>
  <c r="AZ616" i="5"/>
  <c r="AM1100" i="5"/>
  <c r="U3702" i="5"/>
  <c r="Q3702" i="5" s="1"/>
  <c r="AL1938" i="5"/>
  <c r="AK2391" i="5"/>
  <c r="A4677" i="5"/>
  <c r="A6152" i="5"/>
  <c r="A6185" i="5" s="1"/>
  <c r="C4713" i="5"/>
  <c r="AZ304" i="5"/>
  <c r="G263" i="5"/>
  <c r="H263" i="5" s="1"/>
  <c r="G3738" i="5"/>
  <c r="H3738" i="5" s="1"/>
  <c r="AM687" i="5"/>
  <c r="G264" i="5"/>
  <c r="H264" i="5" s="1"/>
  <c r="Q3906" i="5"/>
  <c r="AY2391" i="5"/>
  <c r="AM1101" i="5"/>
  <c r="A5142" i="5"/>
  <c r="C5142" i="5" s="1"/>
  <c r="C4802" i="5"/>
  <c r="AS328" i="5"/>
  <c r="P3721" i="5"/>
  <c r="F3721" i="5" s="1"/>
  <c r="A6177" i="5"/>
  <c r="AS688" i="5"/>
  <c r="G188" i="5"/>
  <c r="H188" i="5" s="1"/>
  <c r="Q216" i="5"/>
  <c r="G218" i="5" s="1"/>
  <c r="H218" i="5" s="1"/>
  <c r="G4779" i="5"/>
  <c r="H4779" i="5" s="1"/>
  <c r="M3557" i="5"/>
  <c r="F3557" i="5" s="1"/>
  <c r="AY304" i="5"/>
  <c r="U157" i="5"/>
  <c r="F162" i="5" s="1"/>
  <c r="AL664" i="5"/>
  <c r="AS1104" i="5"/>
  <c r="AJ2391" i="5"/>
  <c r="P164" i="5"/>
  <c r="F164" i="5" s="1"/>
  <c r="AJ1943" i="5"/>
  <c r="AT1512" i="5"/>
  <c r="AS1086" i="5"/>
  <c r="Q202" i="5"/>
  <c r="F203" i="5" s="1"/>
  <c r="U3801" i="5"/>
  <c r="Q3801" i="5" s="1"/>
  <c r="AI1943" i="5"/>
  <c r="S110" i="5"/>
  <c r="F114" i="5" s="1"/>
  <c r="N3277" i="5"/>
  <c r="M3277" i="5" s="1"/>
  <c r="F3277" i="5" s="1"/>
  <c r="L3277" i="5" s="1"/>
  <c r="AS701" i="5"/>
  <c r="AL304" i="5"/>
  <c r="F4720" i="5"/>
  <c r="AY1938" i="5"/>
  <c r="AI366" i="5"/>
  <c r="AM1095" i="5"/>
  <c r="AS1958" i="5"/>
  <c r="Q187" i="5"/>
  <c r="F188" i="5" s="1"/>
  <c r="AZ2391" i="5"/>
  <c r="M2836" i="5"/>
  <c r="L2836" i="5" s="1"/>
  <c r="AK304" i="5"/>
  <c r="AK340" i="5"/>
  <c r="AS1955" i="5"/>
  <c r="A4849" i="5"/>
  <c r="C4849" i="5" s="1"/>
  <c r="A4624" i="5"/>
  <c r="P4111" i="5"/>
  <c r="P117" i="5"/>
  <c r="F118" i="5" s="1"/>
  <c r="AS629" i="5"/>
  <c r="AL585" i="5"/>
  <c r="AM1089" i="5"/>
  <c r="AY336" i="5"/>
  <c r="AY300" i="5"/>
  <c r="AY1943" i="5"/>
  <c r="AI304" i="5"/>
  <c r="AK1943" i="5"/>
  <c r="AZ1938" i="5"/>
  <c r="AL336" i="5"/>
  <c r="G4128" i="5"/>
  <c r="H4128" i="5" s="1"/>
  <c r="AT1012" i="5"/>
  <c r="AI1938" i="5"/>
  <c r="A4699" i="5"/>
  <c r="C4699" i="5" s="1"/>
  <c r="C4697" i="5"/>
  <c r="AK1938" i="5"/>
  <c r="AU926" i="5"/>
  <c r="AV926" i="5" s="1"/>
  <c r="AK469" i="5"/>
  <c r="AZ791" i="5"/>
  <c r="G3920" i="5"/>
  <c r="H3920" i="5" s="1"/>
  <c r="A4721" i="5"/>
  <c r="F4721" i="5" s="1"/>
  <c r="AT1535" i="5"/>
  <c r="G3904" i="5"/>
  <c r="H3904" i="5" s="1"/>
  <c r="AS1113" i="5"/>
  <c r="AS1097" i="5"/>
  <c r="AI813" i="5"/>
  <c r="AL1069" i="5"/>
  <c r="AT1095" i="5"/>
  <c r="AT747" i="5"/>
  <c r="AS1209" i="5"/>
  <c r="AZ336" i="5"/>
  <c r="AK923" i="5"/>
  <c r="AS967" i="5"/>
  <c r="AT711" i="5"/>
  <c r="AJ336" i="5"/>
  <c r="AT1137" i="5"/>
  <c r="AS500" i="5"/>
  <c r="AS536" i="5"/>
  <c r="AL831" i="5"/>
  <c r="AU616" i="5"/>
  <c r="AV616" i="5" s="1"/>
  <c r="AT803" i="5"/>
  <c r="AJ1221" i="5"/>
  <c r="AZ1221" i="5"/>
  <c r="AK1221" i="5"/>
  <c r="AL1190" i="5"/>
  <c r="AR1190" i="5"/>
  <c r="AJ1190" i="5"/>
  <c r="AI1191" i="5"/>
  <c r="AT1067" i="5"/>
  <c r="AS1067" i="5"/>
  <c r="AY1015" i="5"/>
  <c r="AJ1015" i="5"/>
  <c r="AL1015" i="5"/>
  <c r="AS1007" i="5"/>
  <c r="AT1007" i="5"/>
  <c r="AY939" i="5"/>
  <c r="AZ939" i="5"/>
  <c r="AL939" i="5"/>
  <c r="AK939" i="5"/>
  <c r="AS931" i="5"/>
  <c r="AT931" i="5"/>
  <c r="AR892" i="5"/>
  <c r="AS892" i="5" s="1"/>
  <c r="AW892" i="5"/>
  <c r="AX892" i="5" s="1"/>
  <c r="AI893" i="5"/>
  <c r="AL892" i="5"/>
  <c r="AY892" i="5"/>
  <c r="AJ892" i="5"/>
  <c r="AT1265" i="5"/>
  <c r="AS1265" i="5"/>
  <c r="AL1021" i="5"/>
  <c r="AJ1021" i="5"/>
  <c r="AY1021" i="5"/>
  <c r="AZ1021" i="5"/>
  <c r="AL999" i="5"/>
  <c r="AK999" i="5"/>
  <c r="AY999" i="5"/>
  <c r="AZ999" i="5"/>
  <c r="AI999" i="5"/>
  <c r="AY979" i="5"/>
  <c r="AJ979" i="5"/>
  <c r="AK979" i="5"/>
  <c r="AJ948" i="5"/>
  <c r="AW948" i="5"/>
  <c r="AX948" i="5" s="1"/>
  <c r="AU948" i="5"/>
  <c r="AV948" i="5" s="1"/>
  <c r="AY948" i="5"/>
  <c r="AI949" i="5"/>
  <c r="AS915" i="5"/>
  <c r="AT915" i="5"/>
  <c r="AT895" i="5"/>
  <c r="AS895" i="5"/>
  <c r="AZ827" i="5"/>
  <c r="AY827" i="5"/>
  <c r="AL827" i="5"/>
  <c r="AK827" i="5"/>
  <c r="AJ827" i="5"/>
  <c r="AJ807" i="5"/>
  <c r="AK807" i="5"/>
  <c r="AR807" i="5"/>
  <c r="AS807" i="5" s="1"/>
  <c r="AU807" i="5"/>
  <c r="AV807" i="5" s="1"/>
  <c r="AW807" i="5"/>
  <c r="AX807" i="5" s="1"/>
  <c r="AZ771" i="5"/>
  <c r="AL771" i="5"/>
  <c r="AL719" i="5"/>
  <c r="AY719" i="5"/>
  <c r="AJ719" i="5"/>
  <c r="AZ560" i="5"/>
  <c r="AU560" i="5"/>
  <c r="AV560" i="5" s="1"/>
  <c r="AY560" i="5"/>
  <c r="AJ560" i="5"/>
  <c r="AT516" i="5"/>
  <c r="AS516" i="5"/>
  <c r="AS1213" i="5"/>
  <c r="AT628" i="5"/>
  <c r="AK1257" i="5"/>
  <c r="AJ1257" i="5"/>
  <c r="AI1185" i="5"/>
  <c r="AK1185" i="5"/>
  <c r="AY1185" i="5"/>
  <c r="AJ1185" i="5"/>
  <c r="AL1004" i="5"/>
  <c r="AY1004" i="5"/>
  <c r="AW1004" i="5"/>
  <c r="AX1004" i="5" s="1"/>
  <c r="AJ1004" i="5"/>
  <c r="AI1005" i="5"/>
  <c r="AS823" i="5"/>
  <c r="AT823" i="5"/>
  <c r="AT799" i="5"/>
  <c r="AS799" i="5"/>
  <c r="AS767" i="5"/>
  <c r="AT767" i="5"/>
  <c r="AY640" i="5"/>
  <c r="AZ640" i="5"/>
  <c r="AK580" i="5"/>
  <c r="AL580" i="5"/>
  <c r="AS556" i="5"/>
  <c r="AT556" i="5"/>
  <c r="AS520" i="5"/>
  <c r="AT520" i="5"/>
  <c r="AZ504" i="5"/>
  <c r="AU504" i="5"/>
  <c r="AV504" i="5" s="1"/>
  <c r="AK504" i="5"/>
  <c r="AZ719" i="5"/>
  <c r="AJ1329" i="5"/>
  <c r="AU1329" i="5"/>
  <c r="AV1329" i="5" s="1"/>
  <c r="AS1177" i="5"/>
  <c r="AT1177" i="5"/>
  <c r="AY1145" i="5"/>
  <c r="AZ1145" i="5"/>
  <c r="AJ1145" i="5"/>
  <c r="AL1134" i="5"/>
  <c r="AY1134" i="5"/>
  <c r="AI1135" i="5"/>
  <c r="AR1134" i="5"/>
  <c r="AS1134" i="5" s="1"/>
  <c r="AZ1134" i="5"/>
  <c r="AW1134" i="5"/>
  <c r="AX1134" i="5" s="1"/>
  <c r="AY1129" i="5"/>
  <c r="AZ1129" i="5"/>
  <c r="AJ1129" i="5"/>
  <c r="AK1129" i="5"/>
  <c r="AK995" i="5"/>
  <c r="AL995" i="5"/>
  <c r="AK959" i="5"/>
  <c r="AZ959" i="5"/>
  <c r="AY959" i="5"/>
  <c r="AJ959" i="5"/>
  <c r="AL959" i="5"/>
  <c r="AJ943" i="5"/>
  <c r="AY943" i="5"/>
  <c r="AI943" i="5"/>
  <c r="AZ943" i="5"/>
  <c r="AL943" i="5"/>
  <c r="AT727" i="5"/>
  <c r="AS727" i="5"/>
  <c r="AK600" i="5"/>
  <c r="AZ600" i="5"/>
  <c r="AT592" i="5"/>
  <c r="AS592" i="5"/>
  <c r="AS572" i="5"/>
  <c r="AT572" i="5"/>
  <c r="AY564" i="5"/>
  <c r="AK564" i="5"/>
  <c r="AJ564" i="5"/>
  <c r="AZ564" i="5"/>
  <c r="AL533" i="5"/>
  <c r="AU533" i="5"/>
  <c r="AV533" i="5" s="1"/>
  <c r="AI534" i="5"/>
  <c r="AK533" i="5"/>
  <c r="AJ533" i="5"/>
  <c r="AR533" i="5"/>
  <c r="AT533" i="5" s="1"/>
  <c r="AW533" i="5"/>
  <c r="AX533" i="5" s="1"/>
  <c r="AZ979" i="5"/>
  <c r="AU660" i="5"/>
  <c r="AV660" i="5" s="1"/>
  <c r="AU1190" i="5"/>
  <c r="AV1190" i="5" s="1"/>
  <c r="AK943" i="5"/>
  <c r="AY887" i="5"/>
  <c r="AJ755" i="5"/>
  <c r="AR1217" i="5"/>
  <c r="AS1217" i="5" s="1"/>
  <c r="AK1161" i="5"/>
  <c r="AJ664" i="5"/>
  <c r="AK1015" i="5"/>
  <c r="AK1059" i="5"/>
  <c r="AL887" i="5"/>
  <c r="AT839" i="5"/>
  <c r="AK892" i="5"/>
  <c r="AS819" i="5"/>
  <c r="AZ836" i="5"/>
  <c r="AT496" i="5"/>
  <c r="AL923" i="5"/>
  <c r="AK719" i="5"/>
  <c r="AL755" i="5"/>
  <c r="AL584" i="5"/>
  <c r="AR504" i="5"/>
  <c r="AT504" i="5" s="1"/>
  <c r="AW560" i="5"/>
  <c r="AX560" i="5" s="1"/>
  <c r="AY1035" i="5"/>
  <c r="AK1392" i="5"/>
  <c r="AJ1392" i="5"/>
  <c r="AR1392" i="5"/>
  <c r="AS1392" i="5" s="1"/>
  <c r="AJ1273" i="5"/>
  <c r="AK1273" i="5"/>
  <c r="AR1273" i="5"/>
  <c r="AT1273" i="5" s="1"/>
  <c r="AT1126" i="5"/>
  <c r="AS1126" i="5"/>
  <c r="AJ1055" i="5"/>
  <c r="AY1055" i="5"/>
  <c r="AZ1055" i="5"/>
  <c r="AU1031" i="5"/>
  <c r="AV1031" i="5" s="1"/>
  <c r="AR1031" i="5"/>
  <c r="AS1031" i="5" s="1"/>
  <c r="AJ1031" i="5"/>
  <c r="AW1031" i="5"/>
  <c r="AX1031" i="5" s="1"/>
  <c r="AY1031" i="5"/>
  <c r="AZ1031" i="5"/>
  <c r="AK1031" i="5"/>
  <c r="AZ903" i="5"/>
  <c r="AK903" i="5"/>
  <c r="AJ903" i="5"/>
  <c r="AL847" i="5"/>
  <c r="AY847" i="5"/>
  <c r="AJ847" i="5"/>
  <c r="AZ775" i="5"/>
  <c r="AI775" i="5"/>
  <c r="AL775" i="5"/>
  <c r="AL715" i="5"/>
  <c r="AY715" i="5"/>
  <c r="AJ715" i="5"/>
  <c r="AZ715" i="5"/>
  <c r="AK715" i="5"/>
  <c r="AS707" i="5"/>
  <c r="AT707" i="5"/>
  <c r="AL649" i="5"/>
  <c r="AI650" i="5"/>
  <c r="AU649" i="5"/>
  <c r="AV649" i="5" s="1"/>
  <c r="AW649" i="5"/>
  <c r="AX649" i="5" s="1"/>
  <c r="AJ649" i="5"/>
  <c r="AS632" i="5"/>
  <c r="AT632" i="5"/>
  <c r="AK620" i="5"/>
  <c r="AY620" i="5"/>
  <c r="AZ620" i="5"/>
  <c r="AJ620" i="5"/>
  <c r="AY524" i="5"/>
  <c r="AL524" i="5"/>
  <c r="AJ448" i="5"/>
  <c r="AR448" i="5"/>
  <c r="AT448" i="5" s="1"/>
  <c r="AL1165" i="5"/>
  <c r="AL1129" i="5"/>
  <c r="AK1021" i="5"/>
  <c r="AU673" i="5"/>
  <c r="AV673" i="5" s="1"/>
  <c r="AZ1059" i="5"/>
  <c r="AZ847" i="5"/>
  <c r="AY775" i="5"/>
  <c r="AL948" i="5"/>
  <c r="AI725" i="5"/>
  <c r="AJ580" i="5"/>
  <c r="AR560" i="5"/>
  <c r="AS560" i="5" s="1"/>
  <c r="AK1237" i="5"/>
  <c r="AY1237" i="5"/>
  <c r="AS1229" i="5"/>
  <c r="AT1229" i="5"/>
  <c r="AL1201" i="5"/>
  <c r="AZ1201" i="5"/>
  <c r="AS1027" i="5"/>
  <c r="AT1027" i="5"/>
  <c r="AW919" i="5"/>
  <c r="AX919" i="5" s="1"/>
  <c r="AJ919" i="5"/>
  <c r="AK919" i="5"/>
  <c r="AY919" i="5"/>
  <c r="AL919" i="5"/>
  <c r="AZ919" i="5"/>
  <c r="AZ883" i="5"/>
  <c r="AJ883" i="5"/>
  <c r="AU836" i="5"/>
  <c r="AV836" i="5" s="1"/>
  <c r="AI837" i="5"/>
  <c r="AY836" i="5"/>
  <c r="AR836" i="5"/>
  <c r="AT836" i="5" s="1"/>
  <c r="AL836" i="5"/>
  <c r="AK836" i="5"/>
  <c r="AL704" i="5"/>
  <c r="AM704" i="5"/>
  <c r="AK704" i="5"/>
  <c r="AJ704" i="5"/>
  <c r="AS676" i="5"/>
  <c r="AT676" i="5"/>
  <c r="AS652" i="5"/>
  <c r="AT652" i="5"/>
  <c r="AU636" i="5"/>
  <c r="AV636" i="5" s="1"/>
  <c r="AK636" i="5"/>
  <c r="AR636" i="5"/>
  <c r="AS636" i="5" s="1"/>
  <c r="AL636" i="5"/>
  <c r="AZ636" i="5"/>
  <c r="AJ636" i="5"/>
  <c r="AY636" i="5"/>
  <c r="AW636" i="5"/>
  <c r="AX636" i="5" s="1"/>
  <c r="AK584" i="5"/>
  <c r="AY584" i="5"/>
  <c r="AZ584" i="5"/>
  <c r="AL544" i="5"/>
  <c r="AK544" i="5"/>
  <c r="AJ544" i="5"/>
  <c r="AY544" i="5"/>
  <c r="AU421" i="5"/>
  <c r="AV421" i="5" s="1"/>
  <c r="AR421" i="5"/>
  <c r="AT421" i="5" s="1"/>
  <c r="AS1377" i="5"/>
  <c r="AT552" i="5"/>
  <c r="AK448" i="5"/>
  <c r="AJ584" i="5"/>
  <c r="AU919" i="5"/>
  <c r="AV919" i="5" s="1"/>
  <c r="AJ1201" i="5"/>
  <c r="AZ1004" i="5"/>
  <c r="AY903" i="5"/>
  <c r="AK847" i="5"/>
  <c r="AJ775" i="5"/>
  <c r="AL883" i="5"/>
  <c r="AW836" i="5"/>
  <c r="AX836" i="5" s="1"/>
  <c r="AT424" i="5"/>
  <c r="AR649" i="5"/>
  <c r="AS649" i="5" s="1"/>
  <c r="AK948" i="5"/>
  <c r="AZ923" i="5"/>
  <c r="AJ1161" i="5"/>
  <c r="AY580" i="5"/>
  <c r="AL560" i="5"/>
  <c r="AZ1181" i="5"/>
  <c r="AK1181" i="5"/>
  <c r="AS1157" i="5"/>
  <c r="AT1157" i="5"/>
  <c r="AJ887" i="5"/>
  <c r="AK887" i="5"/>
  <c r="AZ887" i="5"/>
  <c r="AS879" i="5"/>
  <c r="AT879" i="5"/>
  <c r="AW863" i="5"/>
  <c r="AX863" i="5" s="1"/>
  <c r="AY863" i="5"/>
  <c r="AZ863" i="5"/>
  <c r="AR863" i="5"/>
  <c r="AT863" i="5" s="1"/>
  <c r="AJ863" i="5"/>
  <c r="AZ811" i="5"/>
  <c r="AJ811" i="5"/>
  <c r="AK811" i="5"/>
  <c r="AY811" i="5"/>
  <c r="AY791" i="5"/>
  <c r="AJ791" i="5"/>
  <c r="AJ780" i="5"/>
  <c r="AU780" i="5"/>
  <c r="AV780" i="5" s="1"/>
  <c r="AK780" i="5"/>
  <c r="AZ780" i="5"/>
  <c r="AR780" i="5"/>
  <c r="AY755" i="5"/>
  <c r="AZ755" i="5"/>
  <c r="AL735" i="5"/>
  <c r="AY735" i="5"/>
  <c r="AJ735" i="5"/>
  <c r="AY724" i="5"/>
  <c r="AU724" i="5"/>
  <c r="AV724" i="5" s="1"/>
  <c r="AK724" i="5"/>
  <c r="AZ724" i="5"/>
  <c r="AW724" i="5"/>
  <c r="AX724" i="5" s="1"/>
  <c r="AY673" i="5"/>
  <c r="AW673" i="5"/>
  <c r="AX673" i="5" s="1"/>
  <c r="AZ673" i="5"/>
  <c r="AR673" i="5"/>
  <c r="AT673" i="5" s="1"/>
  <c r="AI674" i="5"/>
  <c r="AK673" i="5"/>
  <c r="AK660" i="5"/>
  <c r="AJ660" i="5"/>
  <c r="AY660" i="5"/>
  <c r="AR660" i="5"/>
  <c r="AT660" i="5" s="1"/>
  <c r="AL660" i="5"/>
  <c r="AW660" i="5"/>
  <c r="AX660" i="5" s="1"/>
  <c r="AY616" i="5"/>
  <c r="AR616" i="5"/>
  <c r="AT616" i="5" s="1"/>
  <c r="AJ616" i="5"/>
  <c r="AK616" i="5"/>
  <c r="AK589" i="5"/>
  <c r="AI590" i="5"/>
  <c r="AJ589" i="5"/>
  <c r="AZ589" i="5"/>
  <c r="AU589" i="5"/>
  <c r="AV589" i="5" s="1"/>
  <c r="AR589" i="5"/>
  <c r="AS589" i="5" s="1"/>
  <c r="AI529" i="5"/>
  <c r="AK528" i="5"/>
  <c r="AJ528" i="5"/>
  <c r="AL528" i="5"/>
  <c r="AZ528" i="5"/>
  <c r="AY528" i="5"/>
  <c r="AI528" i="5"/>
  <c r="AI478" i="5"/>
  <c r="AL477" i="5"/>
  <c r="AK477" i="5"/>
  <c r="AU892" i="5"/>
  <c r="AV892" i="5" s="1"/>
  <c r="AS859" i="5"/>
  <c r="AS1023" i="5"/>
  <c r="AS763" i="5"/>
  <c r="AK524" i="5"/>
  <c r="AT743" i="5"/>
  <c r="AY392" i="5"/>
  <c r="AJ472" i="5"/>
  <c r="AY533" i="5"/>
  <c r="AY780" i="5"/>
  <c r="AZ1015" i="5"/>
  <c r="AL724" i="5"/>
  <c r="AL1059" i="5"/>
  <c r="AY807" i="5"/>
  <c r="AZ892" i="5"/>
  <c r="AL811" i="5"/>
  <c r="AK791" i="5"/>
  <c r="AY995" i="5"/>
  <c r="AY923" i="5"/>
  <c r="AW616" i="5"/>
  <c r="AX616" i="5" s="1"/>
  <c r="AL1416" i="5"/>
  <c r="AY771" i="5"/>
  <c r="AL1297" i="5"/>
  <c r="AJ640" i="5"/>
  <c r="AK1004" i="5"/>
  <c r="AL673" i="5"/>
  <c r="AL903" i="5"/>
  <c r="AK775" i="5"/>
  <c r="AK883" i="5"/>
  <c r="AT951" i="5"/>
  <c r="AY649" i="5"/>
  <c r="AZ948" i="5"/>
  <c r="AJ504" i="5"/>
  <c r="AR724" i="5"/>
  <c r="AS724" i="5" s="1"/>
  <c r="AL1161" i="5"/>
  <c r="AZ1035" i="5"/>
  <c r="AL600" i="5"/>
  <c r="AZ649" i="5"/>
  <c r="AY589" i="5"/>
  <c r="AL620" i="5"/>
  <c r="AZ533" i="5"/>
  <c r="AK1134" i="5"/>
  <c r="AT991" i="5"/>
  <c r="AS991" i="5"/>
  <c r="AZ975" i="5"/>
  <c r="AU975" i="5"/>
  <c r="AV975" i="5" s="1"/>
  <c r="AY975" i="5"/>
  <c r="AJ975" i="5"/>
  <c r="AK975" i="5"/>
  <c r="AL975" i="5"/>
  <c r="AK867" i="5"/>
  <c r="AZ867" i="5"/>
  <c r="AJ867" i="5"/>
  <c r="AL867" i="5"/>
  <c r="AY867" i="5"/>
  <c r="AY831" i="5"/>
  <c r="AK831" i="5"/>
  <c r="AZ831" i="5"/>
  <c r="AT783" i="5"/>
  <c r="AS783" i="5"/>
  <c r="AR751" i="5"/>
  <c r="AW751" i="5"/>
  <c r="AX751" i="5" s="1"/>
  <c r="AY751" i="5"/>
  <c r="AJ751" i="5"/>
  <c r="AL751" i="5"/>
  <c r="AK751" i="5"/>
  <c r="AU751" i="5"/>
  <c r="AV751" i="5" s="1"/>
  <c r="AZ751" i="5"/>
  <c r="AZ664" i="5"/>
  <c r="AK664" i="5"/>
  <c r="AT608" i="5"/>
  <c r="AS608" i="5"/>
  <c r="AT576" i="5"/>
  <c r="AS576" i="5"/>
  <c r="AJ508" i="5"/>
  <c r="AL508" i="5"/>
  <c r="AK508" i="5"/>
  <c r="AZ807" i="5"/>
  <c r="AZ995" i="5"/>
  <c r="AI719" i="5"/>
  <c r="AW504" i="5"/>
  <c r="AX504" i="5" s="1"/>
  <c r="AL780" i="5"/>
  <c r="AS1193" i="5"/>
  <c r="AL1185" i="5"/>
  <c r="AS1404" i="5"/>
  <c r="AY1165" i="5"/>
  <c r="AL1031" i="5"/>
  <c r="AZ1416" i="5"/>
  <c r="AU863" i="5"/>
  <c r="AV863" i="5" s="1"/>
  <c r="AJ771" i="5"/>
  <c r="AZ580" i="5"/>
  <c r="AK640" i="5"/>
  <c r="AS700" i="5"/>
  <c r="AU1004" i="5"/>
  <c r="AV1004" i="5" s="1"/>
  <c r="AR975" i="5"/>
  <c r="AT975" i="5" s="1"/>
  <c r="AI831" i="5"/>
  <c r="AI781" i="5"/>
  <c r="AL863" i="5"/>
  <c r="AT911" i="5"/>
  <c r="AY883" i="5"/>
  <c r="AL564" i="5"/>
  <c r="AK649" i="5"/>
  <c r="AJ524" i="5"/>
  <c r="AY504" i="5"/>
  <c r="AK735" i="5"/>
  <c r="AZ1161" i="5"/>
  <c r="AJ600" i="5"/>
  <c r="AT612" i="5"/>
  <c r="AL589" i="5"/>
  <c r="AK560" i="5"/>
  <c r="AS656" i="5"/>
  <c r="AY508" i="5"/>
  <c r="AI868" i="5"/>
  <c r="AI772" i="5"/>
  <c r="AI305" i="5"/>
  <c r="AM1086" i="5"/>
  <c r="AK1568" i="5"/>
  <c r="AT1321" i="5"/>
  <c r="AJ1333" i="5"/>
  <c r="AI818" i="5"/>
  <c r="AY1505" i="5"/>
  <c r="AZ1349" i="5"/>
  <c r="AI1416" i="5"/>
  <c r="AY1568" i="5"/>
  <c r="AL1313" i="5"/>
  <c r="AL1492" i="5"/>
  <c r="AS1585" i="5"/>
  <c r="AL1293" i="5"/>
  <c r="AJ1396" i="5"/>
  <c r="AZ1585" i="5"/>
  <c r="AL1585" i="5"/>
  <c r="AW1392" i="5"/>
  <c r="AX1392" i="5" s="1"/>
  <c r="AY1297" i="5"/>
  <c r="AZ1681" i="5"/>
  <c r="AZ876" i="5"/>
  <c r="AY910" i="5"/>
  <c r="AK623" i="5"/>
  <c r="AK571" i="5"/>
  <c r="AK1479" i="5"/>
  <c r="AZ1075" i="5"/>
  <c r="AL671" i="5"/>
  <c r="AY675" i="5"/>
  <c r="AJ651" i="5"/>
  <c r="AZ647" i="5"/>
  <c r="AU1051" i="5"/>
  <c r="AV1051" i="5" s="1"/>
  <c r="AJ1075" i="5"/>
  <c r="AN3804" i="5"/>
  <c r="AR623" i="5"/>
  <c r="AT623" i="5" s="1"/>
  <c r="AY571" i="5"/>
  <c r="AS938" i="5"/>
  <c r="AL876" i="5"/>
  <c r="AZ1309" i="5"/>
  <c r="AY627" i="5"/>
  <c r="AL567" i="5"/>
  <c r="AW567" i="5"/>
  <c r="AX567" i="5" s="1"/>
  <c r="AZ567" i="5"/>
  <c r="AY1479" i="5"/>
  <c r="AL1042" i="5"/>
  <c r="AY1062" i="5"/>
  <c r="AW1075" i="5"/>
  <c r="AX1075" i="5" s="1"/>
  <c r="AW428" i="5"/>
  <c r="AX428" i="5" s="1"/>
  <c r="AK671" i="5"/>
  <c r="AI1052" i="5"/>
  <c r="AZ651" i="5"/>
  <c r="AY1483" i="5"/>
  <c r="AJ876" i="5"/>
  <c r="AJ567" i="5"/>
  <c r="AK1483" i="5"/>
  <c r="AU567" i="5"/>
  <c r="AV567" i="5" s="1"/>
  <c r="AT563" i="5"/>
  <c r="AK567" i="5"/>
  <c r="AJ1479" i="5"/>
  <c r="AJ1042" i="5"/>
  <c r="AK1062" i="5"/>
  <c r="AI373" i="5"/>
  <c r="AK1075" i="5"/>
  <c r="AS359" i="5"/>
  <c r="AZ439" i="5"/>
  <c r="AZ671" i="5"/>
  <c r="AW372" i="5"/>
  <c r="AX372" i="5" s="1"/>
  <c r="AJ1051" i="5"/>
  <c r="AK1042" i="5"/>
  <c r="AK1051" i="5"/>
  <c r="AT1058" i="5"/>
  <c r="AK876" i="5"/>
  <c r="AI726" i="5"/>
  <c r="AY423" i="5"/>
  <c r="AS635" i="5"/>
  <c r="AY567" i="5"/>
  <c r="AK1896" i="5"/>
  <c r="AR1051" i="5"/>
  <c r="AY1066" i="5"/>
  <c r="AK675" i="5"/>
  <c r="AZ399" i="5"/>
  <c r="AY1042" i="5"/>
  <c r="AL399" i="5"/>
  <c r="AR1062" i="5"/>
  <c r="AT1062" i="5" s="1"/>
  <c r="AY647" i="5"/>
  <c r="AL1062" i="5"/>
  <c r="AL1075" i="5"/>
  <c r="AZ675" i="5"/>
  <c r="AJ910" i="5"/>
  <c r="AT1312" i="5"/>
  <c r="AZ428" i="5"/>
  <c r="AJ571" i="5"/>
  <c r="AI1896" i="5"/>
  <c r="AZ1922" i="5"/>
  <c r="AL1051" i="5"/>
  <c r="AK1066" i="5"/>
  <c r="AY1503" i="5"/>
  <c r="AL675" i="5"/>
  <c r="AW399" i="5"/>
  <c r="AX399" i="5" s="1"/>
  <c r="AZ1062" i="5"/>
  <c r="AW1062" i="5"/>
  <c r="AX1062" i="5" s="1"/>
  <c r="AQ408" i="5"/>
  <c r="AQ352" i="5"/>
  <c r="AQ316" i="5"/>
  <c r="F4726" i="5"/>
  <c r="AQ690" i="5"/>
  <c r="AQ1952" i="5"/>
  <c r="AQ1096" i="5"/>
  <c r="AQ2391" i="5"/>
  <c r="AQ692" i="5"/>
  <c r="AZ1051" i="5"/>
  <c r="AI651" i="5"/>
  <c r="AY428" i="5"/>
  <c r="AJ551" i="5"/>
  <c r="AK551" i="5"/>
  <c r="AJ1483" i="5"/>
  <c r="AL1926" i="5"/>
  <c r="AJ1066" i="5"/>
  <c r="AK1503" i="5"/>
  <c r="AS1130" i="5"/>
  <c r="AT451" i="5"/>
  <c r="AT467" i="5"/>
  <c r="AY651" i="5"/>
  <c r="AJ647" i="5"/>
  <c r="AJ1062" i="5"/>
  <c r="AR1075" i="5"/>
  <c r="AT1075" i="5" s="1"/>
  <c r="AK321" i="5"/>
  <c r="AY812" i="5"/>
  <c r="AW1069" i="5"/>
  <c r="AX1069" i="5" s="1"/>
  <c r="AK453" i="5"/>
  <c r="AI362" i="5"/>
  <c r="AW1662" i="5"/>
  <c r="AX1662" i="5" s="1"/>
  <c r="AR442" i="5"/>
  <c r="AS442" i="5" s="1"/>
  <c r="AR330" i="5"/>
  <c r="AS330" i="5" s="1"/>
  <c r="AS313" i="5"/>
  <c r="AZ357" i="5"/>
  <c r="AJ645" i="5"/>
  <c r="AI381" i="5"/>
  <c r="AZ473" i="5"/>
  <c r="AY565" i="5"/>
  <c r="AZ601" i="5"/>
  <c r="AK792" i="5"/>
  <c r="AJ565" i="5"/>
  <c r="AK433" i="5"/>
  <c r="AJ381" i="5"/>
  <c r="AY305" i="5"/>
  <c r="AI387" i="5"/>
  <c r="AZ330" i="5"/>
  <c r="AT557" i="5"/>
  <c r="AY381" i="5"/>
  <c r="AJ832" i="5"/>
  <c r="AK832" i="5"/>
  <c r="AU357" i="5"/>
  <c r="AV357" i="5" s="1"/>
  <c r="AI361" i="5"/>
  <c r="AJ330" i="5"/>
  <c r="AK305" i="5"/>
  <c r="G4751" i="5"/>
  <c r="H4751" i="5" s="1"/>
  <c r="F4648" i="5"/>
  <c r="AM1512" i="5"/>
  <c r="U4720" i="5"/>
  <c r="F4723" i="5" s="1"/>
  <c r="AZ341" i="5"/>
  <c r="AJ489" i="5"/>
  <c r="AI469" i="5"/>
  <c r="AS633" i="5"/>
  <c r="AL716" i="5"/>
  <c r="AZ581" i="5"/>
  <c r="AR386" i="5"/>
  <c r="AS386" i="5" s="1"/>
  <c r="AY473" i="5"/>
  <c r="AW413" i="5"/>
  <c r="AX413" i="5" s="1"/>
  <c r="AJ413" i="5"/>
  <c r="AZ437" i="5"/>
  <c r="AI301" i="5"/>
  <c r="AZ305" i="5"/>
  <c r="AK325" i="5"/>
  <c r="AQ1532" i="5"/>
  <c r="AL325" i="5"/>
  <c r="AL832" i="5"/>
  <c r="AI828" i="5"/>
  <c r="Q164" i="5"/>
  <c r="F165" i="5" s="1"/>
  <c r="AI294" i="5"/>
  <c r="AY321" i="5"/>
  <c r="AS784" i="5"/>
  <c r="AU745" i="5"/>
  <c r="AV745" i="5" s="1"/>
  <c r="AL381" i="5"/>
  <c r="AL473" i="5"/>
  <c r="AK509" i="5"/>
  <c r="AJ581" i="5"/>
  <c r="AK605" i="5"/>
  <c r="AZ645" i="5"/>
  <c r="AZ745" i="5"/>
  <c r="AL904" i="5"/>
  <c r="AY745" i="5"/>
  <c r="AY1020" i="5"/>
  <c r="G4131" i="5"/>
  <c r="H4131" i="5" s="1"/>
  <c r="AZ442" i="5"/>
  <c r="AT445" i="5"/>
  <c r="AK386" i="5"/>
  <c r="AY294" i="5"/>
  <c r="AR301" i="5"/>
  <c r="AT301" i="5" s="1"/>
  <c r="AS317" i="5"/>
  <c r="AI341" i="5"/>
  <c r="AW357" i="5"/>
  <c r="AX357" i="5" s="1"/>
  <c r="AZ361" i="5"/>
  <c r="AJ397" i="5"/>
  <c r="AY413" i="5"/>
  <c r="AI433" i="5"/>
  <c r="AL453" i="5"/>
  <c r="AY493" i="5"/>
  <c r="AI331" i="5"/>
  <c r="AW330" i="5"/>
  <c r="AX330" i="5" s="1"/>
  <c r="F4724" i="5"/>
  <c r="AS824" i="5"/>
  <c r="AR498" i="5"/>
  <c r="AT498" i="5" s="1"/>
  <c r="F4125" i="5"/>
  <c r="AJ325" i="5"/>
  <c r="AL828" i="5"/>
  <c r="AY361" i="5"/>
  <c r="AJ740" i="5"/>
  <c r="AL792" i="5"/>
  <c r="AZ381" i="5"/>
  <c r="AI473" i="5"/>
  <c r="AI509" i="5"/>
  <c r="AZ565" i="5"/>
  <c r="AL605" i="5"/>
  <c r="AK641" i="5"/>
  <c r="AJ716" i="5"/>
  <c r="AK857" i="5"/>
  <c r="AZ1016" i="5"/>
  <c r="AW386" i="5"/>
  <c r="AX386" i="5" s="1"/>
  <c r="AI413" i="5"/>
  <c r="AY433" i="5"/>
  <c r="AY453" i="5"/>
  <c r="AK489" i="5"/>
  <c r="AW828" i="5"/>
  <c r="AX828" i="5" s="1"/>
  <c r="AS369" i="5"/>
  <c r="AY357" i="5"/>
  <c r="AK908" i="5"/>
  <c r="AZ386" i="5"/>
  <c r="AJ473" i="5"/>
  <c r="AS537" i="5"/>
  <c r="AY581" i="5"/>
  <c r="AZ605" i="5"/>
  <c r="AY645" i="5"/>
  <c r="AR745" i="5"/>
  <c r="AI489" i="5"/>
  <c r="AJ433" i="5"/>
  <c r="AK442" i="5"/>
  <c r="AK413" i="5"/>
  <c r="AJ294" i="5"/>
  <c r="AZ301" i="5"/>
  <c r="AL341" i="5"/>
  <c r="AI357" i="5"/>
  <c r="AK377" i="5"/>
  <c r="AZ397" i="5"/>
  <c r="AI414" i="5"/>
  <c r="AZ433" i="5"/>
  <c r="AZ453" i="5"/>
  <c r="AI498" i="5"/>
  <c r="AK330" i="5"/>
  <c r="AQ2375" i="5"/>
  <c r="AW301" i="5"/>
  <c r="AX301" i="5" s="1"/>
  <c r="AZ610" i="5"/>
  <c r="AL498" i="5"/>
  <c r="AS593" i="5"/>
  <c r="AZ325" i="5"/>
  <c r="AL305" i="5"/>
  <c r="AZ321" i="5"/>
  <c r="AK417" i="5"/>
  <c r="AI325" i="5"/>
  <c r="AK812" i="5"/>
  <c r="AK437" i="5"/>
  <c r="AK301" i="5"/>
  <c r="AT405" i="5"/>
  <c r="AL417" i="5"/>
  <c r="AI453" i="5"/>
  <c r="AY489" i="5"/>
  <c r="AK585" i="5"/>
  <c r="AY341" i="5"/>
  <c r="AK341" i="5"/>
  <c r="C4742" i="5"/>
  <c r="AR828" i="5"/>
  <c r="AS828" i="5" s="1"/>
  <c r="AU828" i="5"/>
  <c r="AV828" i="5" s="1"/>
  <c r="G1086" i="5"/>
  <c r="H1086" i="5" s="1"/>
  <c r="AS373" i="5"/>
  <c r="AL377" i="5"/>
  <c r="AW610" i="5"/>
  <c r="AX610" i="5" s="1"/>
  <c r="AY386" i="5"/>
  <c r="AZ489" i="5"/>
  <c r="AU610" i="5"/>
  <c r="AV610" i="5" s="1"/>
  <c r="AL645" i="5"/>
  <c r="AK756" i="5"/>
  <c r="AK716" i="5"/>
  <c r="AI1056" i="5"/>
  <c r="AZ1056" i="5"/>
  <c r="G4129" i="5"/>
  <c r="H4129" i="5" s="1"/>
  <c r="AZ756" i="5"/>
  <c r="AZ417" i="5"/>
  <c r="AT461" i="5"/>
  <c r="AK294" i="5"/>
  <c r="AL301" i="5"/>
  <c r="AT318" i="5"/>
  <c r="AS349" i="5"/>
  <c r="AK357" i="5"/>
  <c r="AI377" i="5"/>
  <c r="AY397" i="5"/>
  <c r="AR413" i="5"/>
  <c r="AS413" i="5" s="1"/>
  <c r="AI437" i="5"/>
  <c r="AT465" i="5"/>
  <c r="AY498" i="5"/>
  <c r="AU330" i="5"/>
  <c r="AV330" i="5" s="1"/>
  <c r="AT389" i="5"/>
  <c r="AL413" i="5"/>
  <c r="AL386" i="5"/>
  <c r="AS1949" i="5"/>
  <c r="AJ305" i="5"/>
  <c r="AT429" i="5"/>
  <c r="AW716" i="5"/>
  <c r="AX716" i="5" s="1"/>
  <c r="AK1016" i="5"/>
  <c r="AR357" i="5"/>
  <c r="AT357" i="5" s="1"/>
  <c r="AT409" i="5"/>
  <c r="AJ969" i="5"/>
  <c r="AZ377" i="5"/>
  <c r="AL294" i="5"/>
  <c r="AY601" i="5"/>
  <c r="AI493" i="5"/>
  <c r="AK545" i="5"/>
  <c r="AZ585" i="5"/>
  <c r="AL621" i="5"/>
  <c r="AJ756" i="5"/>
  <c r="AY1016" i="5"/>
  <c r="AU1056" i="5"/>
  <c r="AV1056" i="5" s="1"/>
  <c r="C4741" i="5"/>
  <c r="AT900" i="5"/>
  <c r="AJ301" i="5"/>
  <c r="AZ413" i="5"/>
  <c r="AJ357" i="5"/>
  <c r="AJ437" i="5"/>
  <c r="AR469" i="5"/>
  <c r="AT469" i="5" s="1"/>
  <c r="AJ498" i="5"/>
  <c r="M1900" i="5"/>
  <c r="F1900" i="5" s="1"/>
  <c r="T164" i="5"/>
  <c r="F168" i="5" s="1"/>
  <c r="AM1957" i="5"/>
  <c r="AQ1100" i="5"/>
  <c r="AR2335" i="5"/>
  <c r="AS2335" i="5" s="1"/>
  <c r="M1198" i="5"/>
  <c r="F1198" i="5" s="1"/>
  <c r="AM1199" i="5" s="1"/>
  <c r="AQ1984" i="5"/>
  <c r="AQ2390" i="5"/>
  <c r="AI320" i="5"/>
  <c r="F3598" i="5"/>
  <c r="P3599" i="5"/>
  <c r="H3604" i="5"/>
  <c r="AS692" i="5"/>
  <c r="T3539" i="5"/>
  <c r="H3548" i="5"/>
  <c r="U3539" i="5"/>
  <c r="F3541" i="5" s="1"/>
  <c r="H3549" i="5"/>
  <c r="U187" i="5"/>
  <c r="F192" i="5" s="1"/>
  <c r="F4986" i="5"/>
  <c r="P3438" i="5"/>
  <c r="A5106" i="5"/>
  <c r="AY1572" i="5"/>
  <c r="AT1522" i="5"/>
  <c r="M1289" i="5"/>
  <c r="F1289" i="5" s="1"/>
  <c r="AM1290" i="5" s="1"/>
  <c r="F153" i="5"/>
  <c r="G3826" i="5"/>
  <c r="H3826" i="5" s="1"/>
  <c r="W3181" i="5"/>
  <c r="F4987" i="5"/>
  <c r="AS1110" i="5"/>
  <c r="AQ1572" i="5"/>
  <c r="AL1572" i="5"/>
  <c r="G4987" i="5"/>
  <c r="H4987" i="5" s="1"/>
  <c r="AT1553" i="5"/>
  <c r="AR694" i="5"/>
  <c r="AT694" i="5" s="1"/>
  <c r="M1373" i="5"/>
  <c r="F1373" i="5" s="1"/>
  <c r="Q157" i="5"/>
  <c r="F158" i="5" s="1"/>
  <c r="AM693" i="5"/>
  <c r="AS1116" i="5"/>
  <c r="AP1522" i="5"/>
  <c r="AQ1522" i="5" s="1"/>
  <c r="AY694" i="5"/>
  <c r="M1476" i="5"/>
  <c r="F1476" i="5" s="1"/>
  <c r="AM1477" i="5" s="1"/>
  <c r="AM692" i="5"/>
  <c r="M1115" i="5"/>
  <c r="F1115" i="5" s="1"/>
  <c r="G1115" i="5" s="1"/>
  <c r="H1115" i="5" s="1"/>
  <c r="A6156" i="5"/>
  <c r="A6189" i="5" s="1"/>
  <c r="AW1572" i="5"/>
  <c r="AX1572" i="5" s="1"/>
  <c r="F3343" i="5"/>
  <c r="P3829" i="5"/>
  <c r="F3829" i="5" s="1"/>
  <c r="AM688" i="5"/>
  <c r="G1957" i="5"/>
  <c r="H1957" i="5" s="1"/>
  <c r="C4916" i="5"/>
  <c r="AS1960" i="5"/>
  <c r="AT1102" i="5"/>
  <c r="P3826" i="5"/>
  <c r="F3826" i="5" s="1"/>
  <c r="AU1572" i="5"/>
  <c r="AV1572" i="5" s="1"/>
  <c r="Y3368" i="5"/>
  <c r="F3374" i="5" s="1"/>
  <c r="A4706" i="5"/>
  <c r="C4706" i="5" s="1"/>
  <c r="G3829" i="5"/>
  <c r="H3829" i="5" s="1"/>
  <c r="C4906" i="5"/>
  <c r="A4954" i="5"/>
  <c r="C4954" i="5" s="1"/>
  <c r="AZ1572" i="5"/>
  <c r="AK1572" i="5"/>
  <c r="G3374" i="5"/>
  <c r="H3374" i="5" s="1"/>
  <c r="M1482" i="5"/>
  <c r="F1482" i="5" s="1"/>
  <c r="AM1483" i="5" s="1"/>
  <c r="AS1525" i="5"/>
  <c r="AT1985" i="5"/>
  <c r="P3729" i="5"/>
  <c r="G3730" i="5" s="1"/>
  <c r="H3730" i="5" s="1"/>
  <c r="G3727" i="5"/>
  <c r="H3727" i="5" s="1"/>
  <c r="M1537" i="5"/>
  <c r="F1537" i="5" s="1"/>
  <c r="G1537" i="5" s="1"/>
  <c r="H1537" i="5" s="1"/>
  <c r="AM1092" i="5"/>
  <c r="AJ1572" i="5"/>
  <c r="A4608" i="5"/>
  <c r="C4608" i="5" s="1"/>
  <c r="M1170" i="5"/>
  <c r="F1170" i="5" s="1"/>
  <c r="A4795" i="5"/>
  <c r="U201" i="5"/>
  <c r="U202" i="5" s="1"/>
  <c r="F207" i="5" s="1"/>
  <c r="AT2391" i="5"/>
  <c r="C4753" i="5"/>
  <c r="C4644" i="5"/>
  <c r="F107" i="5"/>
  <c r="M1380" i="5"/>
  <c r="F1380" i="5" s="1"/>
  <c r="AM1381" i="5" s="1"/>
  <c r="M1149" i="5"/>
  <c r="F1149" i="5" s="1"/>
  <c r="N4029" i="5"/>
  <c r="M4029" i="5" s="1"/>
  <c r="F4029" i="5" s="1"/>
  <c r="L4029" i="5" s="1"/>
  <c r="M1310" i="5"/>
  <c r="F1310" i="5" s="1"/>
  <c r="M1429" i="5"/>
  <c r="F1429" i="5" s="1"/>
  <c r="AM1430" i="5" s="1"/>
  <c r="M1352" i="5"/>
  <c r="F1352" i="5" s="1"/>
  <c r="AM1353" i="5" s="1"/>
  <c r="M1345" i="5"/>
  <c r="F1345" i="5" s="1"/>
  <c r="AM1346" i="5" s="1"/>
  <c r="M1443" i="5"/>
  <c r="F1443" i="5" s="1"/>
  <c r="AM1444" i="5" s="1"/>
  <c r="M4268" i="5"/>
  <c r="F4269" i="5" s="1"/>
  <c r="M1184" i="5"/>
  <c r="F1184" i="5" s="1"/>
  <c r="AS1091" i="5"/>
  <c r="M1457" i="5"/>
  <c r="F1457" i="5" s="1"/>
  <c r="M1324" i="5"/>
  <c r="F1324" i="5" s="1"/>
  <c r="AM1325" i="5" s="1"/>
  <c r="M3876" i="5"/>
  <c r="F3876" i="5" s="1"/>
  <c r="L3876" i="5" s="1"/>
  <c r="M4231" i="5"/>
  <c r="F4232" i="5" s="1"/>
  <c r="L4231" i="5" s="1"/>
  <c r="AS1527" i="5"/>
  <c r="M1282" i="5"/>
  <c r="F1282" i="5" s="1"/>
  <c r="AM1283" i="5" s="1"/>
  <c r="M1450" i="5"/>
  <c r="F1450" i="5" s="1"/>
  <c r="M1247" i="5"/>
  <c r="F1247" i="5" s="1"/>
  <c r="M1254" i="5"/>
  <c r="F1254" i="5" s="1"/>
  <c r="M1470" i="5"/>
  <c r="F1470" i="5" s="1"/>
  <c r="M1191" i="5"/>
  <c r="F1191" i="5" s="1"/>
  <c r="AM1192" i="5" s="1"/>
  <c r="M1233" i="5"/>
  <c r="F1233" i="5" s="1"/>
  <c r="AM1234" i="5" s="1"/>
  <c r="M1394" i="5"/>
  <c r="F1394" i="5" s="1"/>
  <c r="AM1395" i="5" s="1"/>
  <c r="M1219" i="5"/>
  <c r="F1219" i="5" s="1"/>
  <c r="AM1220" i="5" s="1"/>
  <c r="M1506" i="5"/>
  <c r="F1506" i="5" s="1"/>
  <c r="M1303" i="5"/>
  <c r="F1303" i="5" s="1"/>
  <c r="M1156" i="5"/>
  <c r="F1156" i="5" s="1"/>
  <c r="M1338" i="5"/>
  <c r="F1338" i="5" s="1"/>
  <c r="AM1339" i="5" s="1"/>
  <c r="M1401" i="5"/>
  <c r="F1401" i="5" s="1"/>
  <c r="AM1402" i="5" s="1"/>
  <c r="M1408" i="5"/>
  <c r="F1408" i="5" s="1"/>
  <c r="AM1409" i="5" s="1"/>
  <c r="M1422" i="5"/>
  <c r="F1422" i="5" s="1"/>
  <c r="AM1423" i="5" s="1"/>
  <c r="M1359" i="5"/>
  <c r="F1359" i="5" s="1"/>
  <c r="AM1360" i="5" s="1"/>
  <c r="M1415" i="5"/>
  <c r="F1415" i="5" s="1"/>
  <c r="M1261" i="5"/>
  <c r="F1261" i="5" s="1"/>
  <c r="M1488" i="5"/>
  <c r="F1488" i="5" s="1"/>
  <c r="M1212" i="5"/>
  <c r="F1212" i="5" s="1"/>
  <c r="AM1213" i="5" s="1"/>
  <c r="M1142" i="5"/>
  <c r="F1142" i="5" s="1"/>
  <c r="AM1117" i="5" s="1"/>
  <c r="M1226" i="5"/>
  <c r="F1226" i="5" s="1"/>
  <c r="AM1227" i="5" s="1"/>
  <c r="M1135" i="5"/>
  <c r="F1135" i="5" s="1"/>
  <c r="AM1136" i="5" s="1"/>
  <c r="M1464" i="5"/>
  <c r="F1464" i="5" s="1"/>
  <c r="M1240" i="5"/>
  <c r="F1240" i="5" s="1"/>
  <c r="M1366" i="5"/>
  <c r="F1366" i="5" s="1"/>
  <c r="N3703" i="5"/>
  <c r="M3703" i="5" s="1"/>
  <c r="F3703" i="5" s="1"/>
  <c r="L3703" i="5" s="1"/>
  <c r="M1296" i="5"/>
  <c r="F1296" i="5" s="1"/>
  <c r="AM1297" i="5" s="1"/>
  <c r="M1511" i="5"/>
  <c r="F1511" i="5" s="1"/>
  <c r="AM1554" i="5" s="1"/>
  <c r="M1177" i="5"/>
  <c r="F1177" i="5" s="1"/>
  <c r="AM1178" i="5" s="1"/>
  <c r="M1331" i="5"/>
  <c r="F1331" i="5" s="1"/>
  <c r="AM1332" i="5" s="1"/>
  <c r="M1494" i="5"/>
  <c r="F1494" i="5" s="1"/>
  <c r="AM1495" i="5" s="1"/>
  <c r="M1268" i="5"/>
  <c r="F1268" i="5" s="1"/>
  <c r="F95" i="5"/>
  <c r="M1436" i="5"/>
  <c r="F1436" i="5" s="1"/>
  <c r="M1500" i="5"/>
  <c r="F1500" i="5" s="1"/>
  <c r="M1275" i="5"/>
  <c r="F1275" i="5" s="1"/>
  <c r="AM1276" i="5" s="1"/>
  <c r="M1317" i="5"/>
  <c r="F1317" i="5" s="1"/>
  <c r="AM1318" i="5" s="1"/>
  <c r="M1163" i="5"/>
  <c r="F1163" i="5" s="1"/>
  <c r="AM1164" i="5" s="1"/>
  <c r="M1205" i="5"/>
  <c r="F1205" i="5" s="1"/>
  <c r="AT684" i="5"/>
  <c r="H279" i="5"/>
  <c r="H282" i="5"/>
  <c r="H277" i="5"/>
  <c r="H280" i="5"/>
  <c r="H278" i="5"/>
  <c r="H281" i="5"/>
  <c r="O252" i="5"/>
  <c r="D283" i="5"/>
  <c r="T282" i="5"/>
  <c r="AN3464" i="5"/>
  <c r="A3464" i="5" s="1"/>
  <c r="AN3697" i="5"/>
  <c r="D3697" i="5" s="1"/>
  <c r="R282" i="5"/>
  <c r="U282" i="5"/>
  <c r="M1600" i="5"/>
  <c r="F1600" i="5" s="1"/>
  <c r="AM1601" i="5" s="1"/>
  <c r="P282" i="5"/>
  <c r="M1894" i="5"/>
  <c r="F1894" i="5" s="1"/>
  <c r="S252" i="5"/>
  <c r="D287" i="5"/>
  <c r="Q252" i="5"/>
  <c r="D285" i="5"/>
  <c r="AL1346" i="5"/>
  <c r="AJ1346" i="5"/>
  <c r="AY1044" i="5"/>
  <c r="AZ1044" i="5"/>
  <c r="AZ941" i="5"/>
  <c r="AI942" i="5"/>
  <c r="AL916" i="5"/>
  <c r="AZ916" i="5"/>
  <c r="AY880" i="5"/>
  <c r="AZ880" i="5"/>
  <c r="AL880" i="5"/>
  <c r="AJ840" i="5"/>
  <c r="AL840" i="5"/>
  <c r="AY840" i="5"/>
  <c r="AK804" i="5"/>
  <c r="AJ804" i="5"/>
  <c r="AY804" i="5"/>
  <c r="AZ804" i="5"/>
  <c r="AL804" i="5"/>
  <c r="AZ708" i="5"/>
  <c r="AK708" i="5"/>
  <c r="AY582" i="5"/>
  <c r="AZ582" i="5"/>
  <c r="AI583" i="5"/>
  <c r="AR582" i="5"/>
  <c r="AT582" i="5" s="1"/>
  <c r="AZ557" i="5"/>
  <c r="AL557" i="5"/>
  <c r="AJ557" i="5"/>
  <c r="AY557" i="5"/>
  <c r="AL521" i="5"/>
  <c r="AK521" i="5"/>
  <c r="AI521" i="5"/>
  <c r="AZ481" i="5"/>
  <c r="AY481" i="5"/>
  <c r="AJ481" i="5"/>
  <c r="AK481" i="5"/>
  <c r="AW441" i="5"/>
  <c r="AX441" i="5" s="1"/>
  <c r="AU441" i="5"/>
  <c r="AV441" i="5" s="1"/>
  <c r="AJ441" i="5"/>
  <c r="AZ441" i="5"/>
  <c r="AI442" i="5"/>
  <c r="AT345" i="5"/>
  <c r="AS345" i="5"/>
  <c r="AL333" i="5"/>
  <c r="AZ333" i="5"/>
  <c r="AK333" i="5"/>
  <c r="AJ333" i="5"/>
  <c r="AS704" i="5"/>
  <c r="AI829" i="5"/>
  <c r="AL1489" i="5"/>
  <c r="AK988" i="5"/>
  <c r="AJ385" i="5"/>
  <c r="AT645" i="5"/>
  <c r="AT1202" i="5"/>
  <c r="AK409" i="5"/>
  <c r="AJ657" i="5"/>
  <c r="AL441" i="5"/>
  <c r="AY425" i="5"/>
  <c r="AK633" i="5"/>
  <c r="AT341" i="5"/>
  <c r="AT585" i="5"/>
  <c r="AZ521" i="5"/>
  <c r="AL470" i="5"/>
  <c r="AU302" i="5"/>
  <c r="AV302" i="5" s="1"/>
  <c r="AK553" i="5"/>
  <c r="AK461" i="5"/>
  <c r="AK557" i="5"/>
  <c r="AT812" i="5"/>
  <c r="AS513" i="5"/>
  <c r="AT980" i="5"/>
  <c r="AS980" i="5"/>
  <c r="AT925" i="5"/>
  <c r="AS925" i="5"/>
  <c r="AJ912" i="5"/>
  <c r="AL912" i="5"/>
  <c r="AJ860" i="5"/>
  <c r="AK860" i="5"/>
  <c r="AZ609" i="5"/>
  <c r="AL609" i="5"/>
  <c r="AY609" i="5"/>
  <c r="AJ609" i="5"/>
  <c r="AY465" i="5"/>
  <c r="AZ465" i="5"/>
  <c r="AI465" i="5"/>
  <c r="AY445" i="5"/>
  <c r="AL445" i="5"/>
  <c r="AZ445" i="5"/>
  <c r="AK445" i="5"/>
  <c r="AI415" i="5"/>
  <c r="AU414" i="5"/>
  <c r="AV414" i="5" s="1"/>
  <c r="AZ414" i="5"/>
  <c r="AK414" i="5"/>
  <c r="AJ414" i="5"/>
  <c r="AL313" i="5"/>
  <c r="AY313" i="5"/>
  <c r="AJ313" i="5"/>
  <c r="AZ313" i="5"/>
  <c r="AS305" i="5"/>
  <c r="AT305" i="5"/>
  <c r="A4673" i="5"/>
  <c r="C4673" i="5" s="1"/>
  <c r="C4672" i="5"/>
  <c r="AL465" i="5"/>
  <c r="AZ369" i="5"/>
  <c r="AJ521" i="5"/>
  <c r="AT377" i="5"/>
  <c r="AL824" i="5"/>
  <c r="AS964" i="5"/>
  <c r="AT964" i="5"/>
  <c r="AS960" i="5"/>
  <c r="AT960" i="5"/>
  <c r="AL936" i="5"/>
  <c r="AZ936" i="5"/>
  <c r="AT924" i="5"/>
  <c r="AS924" i="5"/>
  <c r="AU885" i="5"/>
  <c r="AV885" i="5" s="1"/>
  <c r="AY885" i="5"/>
  <c r="AI886" i="5"/>
  <c r="AK885" i="5"/>
  <c r="AY829" i="5"/>
  <c r="AI830" i="5"/>
  <c r="AU829" i="5"/>
  <c r="AV829" i="5" s="1"/>
  <c r="AJ829" i="5"/>
  <c r="AT796" i="5"/>
  <c r="AS796" i="5"/>
  <c r="AS641" i="5"/>
  <c r="AT641" i="5"/>
  <c r="AK537" i="5"/>
  <c r="AL537" i="5"/>
  <c r="AZ537" i="5"/>
  <c r="AS453" i="5"/>
  <c r="AT453" i="5"/>
  <c r="AT381" i="5"/>
  <c r="AS381" i="5"/>
  <c r="AL319" i="5"/>
  <c r="AK319" i="5"/>
  <c r="V3181" i="5"/>
  <c r="Z3260" i="5"/>
  <c r="V3260" i="5" s="1"/>
  <c r="AY385" i="5"/>
  <c r="AJ409" i="5"/>
  <c r="AK840" i="5"/>
  <c r="AY441" i="5"/>
  <c r="AI297" i="5"/>
  <c r="AK609" i="5"/>
  <c r="AY593" i="5"/>
  <c r="AZ526" i="5"/>
  <c r="AL409" i="5"/>
  <c r="AL860" i="5"/>
  <c r="AZ840" i="5"/>
  <c r="AZ470" i="5"/>
  <c r="AR441" i="5"/>
  <c r="AS441" i="5" s="1"/>
  <c r="AW414" i="5"/>
  <c r="AX414" i="5" s="1"/>
  <c r="AZ784" i="5"/>
  <c r="AS605" i="5"/>
  <c r="AT489" i="5"/>
  <c r="AR609" i="5"/>
  <c r="AS609" i="5" s="1"/>
  <c r="AR553" i="5"/>
  <c r="AT553" i="5" s="1"/>
  <c r="AZ297" i="5"/>
  <c r="AY461" i="5"/>
  <c r="AW582" i="5"/>
  <c r="AX582" i="5" s="1"/>
  <c r="AJ824" i="5"/>
  <c r="AW526" i="5"/>
  <c r="AX526" i="5" s="1"/>
  <c r="AL1138" i="5"/>
  <c r="AJ1138" i="5"/>
  <c r="AY968" i="5"/>
  <c r="AR968" i="5"/>
  <c r="AT968" i="5" s="1"/>
  <c r="AJ932" i="5"/>
  <c r="AZ932" i="5"/>
  <c r="AI718" i="5"/>
  <c r="AY717" i="5"/>
  <c r="AK657" i="5"/>
  <c r="AY657" i="5"/>
  <c r="AK629" i="5"/>
  <c r="AL629" i="5"/>
  <c r="AY629" i="5"/>
  <c r="AZ629" i="5"/>
  <c r="AS509" i="5"/>
  <c r="AT509" i="5"/>
  <c r="AJ497" i="5"/>
  <c r="AY497" i="5"/>
  <c r="AW497" i="5"/>
  <c r="AX497" i="5" s="1"/>
  <c r="AL497" i="5"/>
  <c r="AY389" i="5"/>
  <c r="AZ389" i="5"/>
  <c r="AK389" i="5"/>
  <c r="AL369" i="5"/>
  <c r="AK369" i="5"/>
  <c r="AL349" i="5"/>
  <c r="AJ349" i="5"/>
  <c r="AY349" i="5"/>
  <c r="AZ329" i="5"/>
  <c r="AW329" i="5"/>
  <c r="AX329" i="5" s="1"/>
  <c r="AI330" i="5"/>
  <c r="AR329" i="5"/>
  <c r="AT329" i="5" s="1"/>
  <c r="AU329" i="5"/>
  <c r="AV329" i="5" s="1"/>
  <c r="AI303" i="5"/>
  <c r="AL302" i="5"/>
  <c r="AY302" i="5"/>
  <c r="AW302" i="5"/>
  <c r="AX302" i="5" s="1"/>
  <c r="AR302" i="5"/>
  <c r="AT302" i="5" s="1"/>
  <c r="AT294" i="5"/>
  <c r="AS294" i="5"/>
  <c r="AZ319" i="5"/>
  <c r="AR526" i="5"/>
  <c r="AS526" i="5" s="1"/>
  <c r="AR885" i="5"/>
  <c r="AZ349" i="5"/>
  <c r="AI302" i="5"/>
  <c r="AK349" i="5"/>
  <c r="AW912" i="5"/>
  <c r="AX912" i="5" s="1"/>
  <c r="AJ988" i="5"/>
  <c r="AJ445" i="5"/>
  <c r="AR414" i="5"/>
  <c r="AS414" i="5" s="1"/>
  <c r="AT437" i="5"/>
  <c r="AJ369" i="5"/>
  <c r="AY784" i="5"/>
  <c r="AY537" i="5"/>
  <c r="AU609" i="5"/>
  <c r="AV609" i="5" s="1"/>
  <c r="AK302" i="5"/>
  <c r="AS397" i="5"/>
  <c r="AL297" i="5"/>
  <c r="AJ461" i="5"/>
  <c r="AU582" i="5"/>
  <c r="AV582" i="5" s="1"/>
  <c r="AK313" i="5"/>
  <c r="AU526" i="5"/>
  <c r="AV526" i="5" s="1"/>
  <c r="AJ1234" i="5"/>
  <c r="AZ1234" i="5"/>
  <c r="AZ1024" i="5"/>
  <c r="AL1024" i="5"/>
  <c r="AS1000" i="5"/>
  <c r="AT1000" i="5"/>
  <c r="AT868" i="5"/>
  <c r="AS868" i="5"/>
  <c r="AL579" i="5"/>
  <c r="AZ579" i="5"/>
  <c r="AT569" i="5"/>
  <c r="AS569" i="5"/>
  <c r="AL501" i="5"/>
  <c r="AZ501" i="5"/>
  <c r="AK470" i="5"/>
  <c r="AR470" i="5"/>
  <c r="AS470" i="5" s="1"/>
  <c r="AI471" i="5"/>
  <c r="AW470" i="5"/>
  <c r="AX470" i="5" s="1"/>
  <c r="AY470" i="5"/>
  <c r="AU358" i="5"/>
  <c r="AV358" i="5" s="1"/>
  <c r="AR358" i="5"/>
  <c r="AT358" i="5" s="1"/>
  <c r="AK358" i="5"/>
  <c r="AI359" i="5"/>
  <c r="AI358" i="5"/>
  <c r="AS1016" i="5"/>
  <c r="AJ784" i="5"/>
  <c r="AR912" i="5"/>
  <c r="AT912" i="5" s="1"/>
  <c r="AZ860" i="5"/>
  <c r="AL657" i="5"/>
  <c r="AK425" i="5"/>
  <c r="AL784" i="5"/>
  <c r="AI657" i="5"/>
  <c r="AS904" i="5"/>
  <c r="AZ992" i="5"/>
  <c r="AI353" i="5"/>
  <c r="AS669" i="5"/>
  <c r="AT872" i="5"/>
  <c r="AK497" i="5"/>
  <c r="AR800" i="5"/>
  <c r="AS800" i="5" s="1"/>
  <c r="AJ820" i="5"/>
  <c r="AL414" i="5"/>
  <c r="AY501" i="5"/>
  <c r="AL329" i="5"/>
  <c r="AZ517" i="5"/>
  <c r="AJ389" i="5"/>
  <c r="AL829" i="5"/>
  <c r="AL573" i="5"/>
  <c r="AL613" i="5"/>
  <c r="AW358" i="5"/>
  <c r="AX358" i="5" s="1"/>
  <c r="AY579" i="5"/>
  <c r="AS321" i="5"/>
  <c r="AL481" i="5"/>
  <c r="AJ582" i="5"/>
  <c r="AY353" i="5"/>
  <c r="AL1239" i="5"/>
  <c r="AK1239" i="5"/>
  <c r="AI998" i="5"/>
  <c r="AW997" i="5"/>
  <c r="AX997" i="5" s="1"/>
  <c r="AK997" i="5"/>
  <c r="AJ997" i="5"/>
  <c r="AJ952" i="5"/>
  <c r="AY952" i="5"/>
  <c r="AZ701" i="5"/>
  <c r="AI687" i="5"/>
  <c r="AJ633" i="5"/>
  <c r="AY633" i="5"/>
  <c r="AL577" i="5"/>
  <c r="AY577" i="5"/>
  <c r="AZ577" i="5"/>
  <c r="AK577" i="5"/>
  <c r="AT565" i="5"/>
  <c r="AS565" i="5"/>
  <c r="AZ553" i="5"/>
  <c r="AL553" i="5"/>
  <c r="AU553" i="5"/>
  <c r="AV553" i="5" s="1"/>
  <c r="AJ553" i="5"/>
  <c r="AK526" i="5"/>
  <c r="AY526" i="5"/>
  <c r="AJ526" i="5"/>
  <c r="AT433" i="5"/>
  <c r="AS433" i="5"/>
  <c r="AL405" i="5"/>
  <c r="AZ405" i="5"/>
  <c r="AY405" i="5"/>
  <c r="AW385" i="5"/>
  <c r="AX385" i="5" s="1"/>
  <c r="AR385" i="5"/>
  <c r="AS385" i="5" s="1"/>
  <c r="AI386" i="5"/>
  <c r="AU385" i="5"/>
  <c r="AV385" i="5" s="1"/>
  <c r="AY297" i="5"/>
  <c r="AK297" i="5"/>
  <c r="AZ302" i="5"/>
  <c r="AY553" i="5"/>
  <c r="AZ461" i="5"/>
  <c r="AL582" i="5"/>
  <c r="AJ537" i="5"/>
  <c r="N3881" i="5"/>
  <c r="M3881" i="5" s="1"/>
  <c r="F3881" i="5" s="1"/>
  <c r="L3881" i="5" s="1"/>
  <c r="AU1044" i="5"/>
  <c r="AV1044" i="5" s="1"/>
  <c r="AK1658" i="5"/>
  <c r="AJ1057" i="5"/>
  <c r="AJ968" i="5"/>
  <c r="AY319" i="5"/>
  <c r="AL1183" i="5"/>
  <c r="AW885" i="5"/>
  <c r="AX885" i="5" s="1"/>
  <c r="AR1057" i="5"/>
  <c r="AS1057" i="5" s="1"/>
  <c r="AJ717" i="5"/>
  <c r="AY521" i="5"/>
  <c r="AZ1239" i="5"/>
  <c r="AT1150" i="5"/>
  <c r="AK1286" i="5"/>
  <c r="AJ353" i="5"/>
  <c r="AS740" i="5"/>
  <c r="AT832" i="5"/>
  <c r="AL526" i="5"/>
  <c r="AJ916" i="5"/>
  <c r="AZ497" i="5"/>
  <c r="AI880" i="5"/>
  <c r="AY820" i="5"/>
  <c r="AS417" i="5"/>
  <c r="AY414" i="5"/>
  <c r="AJ501" i="5"/>
  <c r="AJ329" i="5"/>
  <c r="AL517" i="5"/>
  <c r="AL389" i="5"/>
  <c r="AS361" i="5"/>
  <c r="AJ573" i="5"/>
  <c r="AJ358" i="5"/>
  <c r="AJ405" i="5"/>
  <c r="AI580" i="5"/>
  <c r="AT325" i="5"/>
  <c r="AS529" i="5"/>
  <c r="AK582" i="5"/>
  <c r="AT401" i="5"/>
  <c r="AJ577" i="5"/>
  <c r="AY800" i="5"/>
  <c r="AK800" i="5"/>
  <c r="AJ800" i="5"/>
  <c r="AL800" i="5"/>
  <c r="AS792" i="5"/>
  <c r="AT792" i="5"/>
  <c r="AJ653" i="5"/>
  <c r="AK653" i="5"/>
  <c r="AY653" i="5"/>
  <c r="AL653" i="5"/>
  <c r="AY613" i="5"/>
  <c r="AK613" i="5"/>
  <c r="AK593" i="5"/>
  <c r="AZ593" i="5"/>
  <c r="AJ593" i="5"/>
  <c r="AT545" i="5"/>
  <c r="AS545" i="5"/>
  <c r="AS493" i="5"/>
  <c r="AT493" i="5"/>
  <c r="AZ409" i="5"/>
  <c r="AI409" i="5"/>
  <c r="AL885" i="5"/>
  <c r="AT984" i="5"/>
  <c r="AL385" i="5"/>
  <c r="AL353" i="5"/>
  <c r="AJ885" i="5"/>
  <c r="AK912" i="5"/>
  <c r="AR497" i="5"/>
  <c r="AT497" i="5" s="1"/>
  <c r="AJ880" i="5"/>
  <c r="AZ800" i="5"/>
  <c r="AL425" i="5"/>
  <c r="AK501" i="5"/>
  <c r="AI633" i="5"/>
  <c r="AS816" i="5"/>
  <c r="AY329" i="5"/>
  <c r="AJ517" i="5"/>
  <c r="AK573" i="5"/>
  <c r="AJ613" i="5"/>
  <c r="AL358" i="5"/>
  <c r="AK579" i="5"/>
  <c r="AS665" i="5"/>
  <c r="AM297" i="5"/>
  <c r="M2892" i="5"/>
  <c r="F2892" i="5" s="1"/>
  <c r="L2892" i="5" s="1"/>
  <c r="M2844" i="5"/>
  <c r="F2844" i="5" s="1"/>
  <c r="L2844" i="5" s="1"/>
  <c r="AY1318" i="5"/>
  <c r="M2818" i="5"/>
  <c r="L2818" i="5" s="1"/>
  <c r="AL1437" i="5"/>
  <c r="AT1602" i="5"/>
  <c r="M2943" i="5"/>
  <c r="F2943" i="5" s="1"/>
  <c r="L2943" i="5" s="1"/>
  <c r="AL1351" i="5"/>
  <c r="AS1569" i="5"/>
  <c r="AY1441" i="5"/>
  <c r="M802" i="5"/>
  <c r="F802" i="5" s="1"/>
  <c r="AY1024" i="5"/>
  <c r="AR1154" i="5"/>
  <c r="AT1154" i="5" s="1"/>
  <c r="AL1388" i="5"/>
  <c r="AL968" i="5"/>
  <c r="AK992" i="5"/>
  <c r="AZ997" i="5"/>
  <c r="AZ1048" i="5"/>
  <c r="AK1158" i="5"/>
  <c r="AS1738" i="5"/>
  <c r="AJ1388" i="5"/>
  <c r="AK1382" i="5"/>
  <c r="AR1044" i="5"/>
  <c r="AS1044" i="5" s="1"/>
  <c r="AS1457" i="5"/>
  <c r="AU968" i="5"/>
  <c r="AV968" i="5" s="1"/>
  <c r="AY1210" i="5"/>
  <c r="AJ1008" i="5"/>
  <c r="AZ1174" i="5"/>
  <c r="AL932" i="5"/>
  <c r="AT1170" i="5"/>
  <c r="AY1425" i="5"/>
  <c r="AY1048" i="5"/>
  <c r="AK1465" i="5"/>
  <c r="AL1210" i="5"/>
  <c r="AK1234" i="5"/>
  <c r="AY1230" i="5"/>
  <c r="AK1024" i="5"/>
  <c r="AL1445" i="5"/>
  <c r="AK1057" i="5"/>
  <c r="AZ1290" i="5"/>
  <c r="AS1626" i="5"/>
  <c r="AS1040" i="5"/>
  <c r="AW1024" i="5"/>
  <c r="AX1024" i="5" s="1"/>
  <c r="AU1057" i="5"/>
  <c r="AV1057" i="5" s="1"/>
  <c r="AL1057" i="5"/>
  <c r="G4771" i="5"/>
  <c r="H4771" i="5" s="1"/>
  <c r="AZ654" i="5"/>
  <c r="AT1520" i="5"/>
  <c r="O3459" i="5"/>
  <c r="M3465" i="5" s="1"/>
  <c r="F3465" i="5" s="1"/>
  <c r="L3465" i="5" s="1"/>
  <c r="AY1589" i="5"/>
  <c r="AY1273" i="5"/>
  <c r="AR547" i="5"/>
  <c r="AT547" i="5" s="1"/>
  <c r="AS1388" i="5"/>
  <c r="AY1396" i="5"/>
  <c r="AJ1412" i="5"/>
  <c r="AS1305" i="5"/>
  <c r="F4640" i="5"/>
  <c r="AS1325" i="5"/>
  <c r="AT1249" i="5"/>
  <c r="AK1241" i="5"/>
  <c r="AK1416" i="5"/>
  <c r="AK1412" i="5"/>
  <c r="AY1392" i="5"/>
  <c r="AL1396" i="5"/>
  <c r="AT1285" i="5"/>
  <c r="AI1833" i="5"/>
  <c r="AT1515" i="5"/>
  <c r="AJ1452" i="5"/>
  <c r="AJ1369" i="5"/>
  <c r="AK1564" i="5"/>
  <c r="AY1241" i="5"/>
  <c r="AU1468" i="5"/>
  <c r="AV1468" i="5" s="1"/>
  <c r="AL1277" i="5"/>
  <c r="AK1083" i="5"/>
  <c r="AJ1302" i="5"/>
  <c r="AZ1241" i="5"/>
  <c r="AZ1589" i="5"/>
  <c r="AT1269" i="5"/>
  <c r="AJ1297" i="5"/>
  <c r="AU1392" i="5"/>
  <c r="AV1392" i="5" s="1"/>
  <c r="AW2134" i="5"/>
  <c r="AX2134" i="5" s="1"/>
  <c r="AT1468" i="5"/>
  <c r="AR1564" i="5"/>
  <c r="AS1564" i="5" s="1"/>
  <c r="AZ1369" i="5"/>
  <c r="AK1432" i="5"/>
  <c r="AT1089" i="5"/>
  <c r="AU1246" i="5"/>
  <c r="AV1246" i="5" s="1"/>
  <c r="AK1329" i="5"/>
  <c r="AY1416" i="5"/>
  <c r="AL1392" i="5"/>
  <c r="AZ1392" i="5"/>
  <c r="AL1257" i="5"/>
  <c r="AS1444" i="5"/>
  <c r="AY1412" i="5"/>
  <c r="AZ1396" i="5"/>
  <c r="AI324" i="5"/>
  <c r="AW1421" i="5"/>
  <c r="AX1421" i="5" s="1"/>
  <c r="AK1277" i="5"/>
  <c r="AL1412" i="5"/>
  <c r="AK1297" i="5"/>
  <c r="AR379" i="5"/>
  <c r="AT1361" i="5"/>
  <c r="AK1421" i="5"/>
  <c r="AJ1349" i="5"/>
  <c r="AT1440" i="5"/>
  <c r="AK1468" i="5"/>
  <c r="AY1293" i="5"/>
  <c r="AT1424" i="5"/>
  <c r="AL1358" i="5"/>
  <c r="AJ1358" i="5"/>
  <c r="AY614" i="5"/>
  <c r="AZ334" i="5"/>
  <c r="AK667" i="5"/>
  <c r="AZ491" i="5"/>
  <c r="AW667" i="5"/>
  <c r="AX667" i="5" s="1"/>
  <c r="AT1745" i="5"/>
  <c r="AU574" i="5"/>
  <c r="AV574" i="5" s="1"/>
  <c r="AU350" i="5"/>
  <c r="AV350" i="5" s="1"/>
  <c r="AI410" i="5"/>
  <c r="AZ542" i="5"/>
  <c r="AT741" i="5"/>
  <c r="AI832" i="5"/>
  <c r="AI812" i="5"/>
  <c r="AI720" i="5"/>
  <c r="AI390" i="5"/>
  <c r="AT534" i="5"/>
  <c r="AT342" i="5"/>
  <c r="AJ406" i="5"/>
  <c r="AI502" i="5"/>
  <c r="AS310" i="5"/>
  <c r="AS422" i="5"/>
  <c r="AK547" i="5"/>
  <c r="AI1082" i="5"/>
  <c r="AK435" i="5"/>
  <c r="AL542" i="5"/>
  <c r="AJ578" i="5"/>
  <c r="AJ314" i="5"/>
  <c r="AI354" i="5"/>
  <c r="AT458" i="5"/>
  <c r="AY594" i="5"/>
  <c r="AL435" i="5"/>
  <c r="C4627" i="5"/>
  <c r="AY578" i="5"/>
  <c r="AJ318" i="5"/>
  <c r="AZ370" i="5"/>
  <c r="AJ466" i="5"/>
  <c r="AY634" i="5"/>
  <c r="AT454" i="5"/>
  <c r="AL654" i="5"/>
  <c r="AJ323" i="5"/>
  <c r="AI374" i="5"/>
  <c r="AL482" i="5"/>
  <c r="AU643" i="5"/>
  <c r="AV643" i="5" s="1"/>
  <c r="AL486" i="5"/>
  <c r="AI913" i="5"/>
  <c r="AI582" i="5"/>
  <c r="AI554" i="5"/>
  <c r="AI601" i="5"/>
  <c r="AN3699" i="5"/>
  <c r="A3699" i="5" s="1"/>
  <c r="AN3708" i="5"/>
  <c r="D3708" i="5" s="1"/>
  <c r="AI1268" i="5"/>
  <c r="AK969" i="5"/>
  <c r="AY832" i="5"/>
  <c r="AZ812" i="5"/>
  <c r="AZ828" i="5"/>
  <c r="AT517" i="5"/>
  <c r="AI499" i="5"/>
  <c r="AK581" i="5"/>
  <c r="AS485" i="5"/>
  <c r="AW498" i="5"/>
  <c r="AX498" i="5" s="1"/>
  <c r="AI581" i="5"/>
  <c r="AJ610" i="5"/>
  <c r="AT708" i="5"/>
  <c r="AL745" i="5"/>
  <c r="AT844" i="5"/>
  <c r="AL610" i="5"/>
  <c r="AR610" i="5"/>
  <c r="AT610" i="5" s="1"/>
  <c r="AL1036" i="5"/>
  <c r="AR1069" i="5"/>
  <c r="AS1069" i="5" s="1"/>
  <c r="AT597" i="5"/>
  <c r="AT653" i="5"/>
  <c r="AT501" i="5"/>
  <c r="AK493" i="5"/>
  <c r="AI434" i="5"/>
  <c r="AY442" i="5"/>
  <c r="AZ493" i="5"/>
  <c r="M1825" i="5"/>
  <c r="F1825" i="5" s="1"/>
  <c r="AM1826" i="5" s="1"/>
  <c r="AR490" i="5"/>
  <c r="AS490" i="5" s="1"/>
  <c r="AR1606" i="5"/>
  <c r="AS1606" i="5" s="1"/>
  <c r="AJ828" i="5"/>
  <c r="AK828" i="5"/>
  <c r="AQ1524" i="5"/>
  <c r="AI611" i="5"/>
  <c r="AI470" i="5"/>
  <c r="AL509" i="5"/>
  <c r="AU554" i="5"/>
  <c r="AV554" i="5" s="1"/>
  <c r="AW581" i="5"/>
  <c r="AX581" i="5" s="1"/>
  <c r="AJ601" i="5"/>
  <c r="AI645" i="5"/>
  <c r="AK529" i="5"/>
  <c r="AW969" i="5"/>
  <c r="AX969" i="5" s="1"/>
  <c r="AR1155" i="5"/>
  <c r="AT1155" i="5" s="1"/>
  <c r="AZ621" i="5"/>
  <c r="AY469" i="5"/>
  <c r="AI443" i="5"/>
  <c r="AJ469" i="5"/>
  <c r="AJ493" i="5"/>
  <c r="C4611" i="5"/>
  <c r="AT425" i="5"/>
  <c r="M1907" i="5"/>
  <c r="F1907" i="5" s="1"/>
  <c r="AM1908" i="5" s="1"/>
  <c r="N3470" i="5"/>
  <c r="M3470" i="5" s="1"/>
  <c r="F3470" i="5" s="1"/>
  <c r="L3470" i="5" s="1"/>
  <c r="U19" i="10"/>
  <c r="AI1569" i="5"/>
  <c r="AK1437" i="5"/>
  <c r="AT972" i="5"/>
  <c r="AS804" i="5"/>
  <c r="AY716" i="5"/>
  <c r="AZ469" i="5"/>
  <c r="AY621" i="5"/>
  <c r="AT748" i="5"/>
  <c r="AS481" i="5"/>
  <c r="AZ996" i="5"/>
  <c r="AI1046" i="5"/>
  <c r="AS1214" i="5"/>
  <c r="AW469" i="5"/>
  <c r="AX469" i="5" s="1"/>
  <c r="AL437" i="5"/>
  <c r="AL442" i="5"/>
  <c r="AS577" i="5"/>
  <c r="AI295" i="5"/>
  <c r="M1895" i="5"/>
  <c r="F1895" i="5" s="1"/>
  <c r="AM1896" i="5" s="1"/>
  <c r="AT1094" i="5"/>
  <c r="AK1045" i="5"/>
  <c r="AS1310" i="5"/>
  <c r="AK1737" i="5"/>
  <c r="AJ1773" i="5"/>
  <c r="AL1730" i="5"/>
  <c r="AK2279" i="5"/>
  <c r="AU3328" i="5"/>
  <c r="A3328" i="5" s="1"/>
  <c r="AK1814" i="5"/>
  <c r="AL1775" i="5"/>
  <c r="Q30" i="15"/>
  <c r="S17" i="10"/>
  <c r="C20" i="11"/>
  <c r="R19" i="11"/>
  <c r="R23" i="11" s="1"/>
  <c r="R18" i="11"/>
  <c r="AQ359" i="5"/>
  <c r="AI1671" i="5"/>
  <c r="AT1597" i="5"/>
  <c r="AU1505" i="5"/>
  <c r="AV1505" i="5" s="1"/>
  <c r="AW1585" i="5"/>
  <c r="AX1585" i="5" s="1"/>
  <c r="AT1765" i="5"/>
  <c r="AK1697" i="5"/>
  <c r="AJ1833" i="5"/>
  <c r="AT1601" i="5"/>
  <c r="AK1833" i="5"/>
  <c r="AS2082" i="5"/>
  <c r="AZ1737" i="5"/>
  <c r="AJ1585" i="5"/>
  <c r="AY1915" i="5"/>
  <c r="AL1697" i="5"/>
  <c r="AY1793" i="5"/>
  <c r="AK1997" i="5"/>
  <c r="AS1709" i="5"/>
  <c r="AJ1697" i="5"/>
  <c r="AT1617" i="5"/>
  <c r="AZ1793" i="5"/>
  <c r="AU1697" i="5"/>
  <c r="AV1697" i="5" s="1"/>
  <c r="AT1881" i="5"/>
  <c r="AS1653" i="5"/>
  <c r="AK1557" i="5"/>
  <c r="AQ562" i="5"/>
  <c r="AI552" i="5"/>
  <c r="AQ430" i="5"/>
  <c r="AQ390" i="5"/>
  <c r="AQ370" i="5"/>
  <c r="AQ338" i="5"/>
  <c r="AN3463" i="5"/>
  <c r="AO3463" i="5" s="1"/>
  <c r="AP3463" i="5" s="1"/>
  <c r="AR3463" i="5" s="1"/>
  <c r="AN3465" i="5"/>
  <c r="A3465" i="5" s="1"/>
  <c r="AN3467" i="5"/>
  <c r="A3467" i="5" s="1"/>
  <c r="AN3695" i="5"/>
  <c r="AQ3695" i="5" s="1"/>
  <c r="AN3700" i="5"/>
  <c r="D3700" i="5" s="1"/>
  <c r="AN3706" i="5"/>
  <c r="D3706" i="5" s="1"/>
  <c r="AN3807" i="5"/>
  <c r="D3807" i="5" s="1"/>
  <c r="AQ1086" i="5"/>
  <c r="AQ1946" i="5"/>
  <c r="AQ1960" i="5"/>
  <c r="AQ1102" i="5"/>
  <c r="AZ1697" i="5"/>
  <c r="AL1737" i="5"/>
  <c r="AJ1737" i="5"/>
  <c r="AU1585" i="5"/>
  <c r="AV1585" i="5" s="1"/>
  <c r="AY1697" i="5"/>
  <c r="AL1568" i="5"/>
  <c r="AJ2283" i="5"/>
  <c r="AY1585" i="5"/>
  <c r="AS1857" i="5"/>
  <c r="AZ1568" i="5"/>
  <c r="AL1833" i="5"/>
  <c r="AK1492" i="5"/>
  <c r="AQ1090" i="5"/>
  <c r="AQ687" i="5"/>
  <c r="AQ1123" i="5"/>
  <c r="AI827" i="5"/>
  <c r="AK1589" i="5"/>
  <c r="AT1861" i="5"/>
  <c r="AZ1833" i="5"/>
  <c r="AK2315" i="5"/>
  <c r="AR2288" i="5"/>
  <c r="AS2288" i="5" s="1"/>
  <c r="AS1769" i="5"/>
  <c r="AW1468" i="5"/>
  <c r="AX1468" i="5" s="1"/>
  <c r="AJ1557" i="5"/>
  <c r="AU1421" i="5"/>
  <c r="AV1421" i="5" s="1"/>
  <c r="AQ522" i="5"/>
  <c r="AQ1512" i="5"/>
  <c r="D3300" i="5"/>
  <c r="AU3326" i="5"/>
  <c r="A3326" i="5" s="1"/>
  <c r="AN3474" i="5"/>
  <c r="A3474" i="5" s="1"/>
  <c r="AN3704" i="5"/>
  <c r="AQ3704" i="5" s="1"/>
  <c r="AN3709" i="5"/>
  <c r="AQ3709" i="5" s="1"/>
  <c r="AN3802" i="5"/>
  <c r="AO3802" i="5" s="1"/>
  <c r="AP3802" i="5" s="1"/>
  <c r="AR3802" i="5" s="1"/>
  <c r="AQ1089" i="5"/>
  <c r="G4738" i="5"/>
  <c r="H4738" i="5" s="1"/>
  <c r="AQ1538" i="5"/>
  <c r="AQ1983" i="5"/>
  <c r="AR779" i="5"/>
  <c r="AS779" i="5" s="1"/>
  <c r="AW779" i="5"/>
  <c r="AX779" i="5" s="1"/>
  <c r="AI700" i="5"/>
  <c r="AL700" i="5"/>
  <c r="AI609" i="5"/>
  <c r="AZ608" i="5"/>
  <c r="AY500" i="5"/>
  <c r="AJ500" i="5"/>
  <c r="AL500" i="5"/>
  <c r="AK500" i="5"/>
  <c r="AI501" i="5"/>
  <c r="AZ500" i="5"/>
  <c r="AI500" i="5"/>
  <c r="AS472" i="5"/>
  <c r="AT472" i="5"/>
  <c r="AZ424" i="5"/>
  <c r="AI425" i="5"/>
  <c r="AL424" i="5"/>
  <c r="AY424" i="5"/>
  <c r="AK424" i="5"/>
  <c r="AJ388" i="5"/>
  <c r="AK388" i="5"/>
  <c r="AL388" i="5"/>
  <c r="AZ388" i="5"/>
  <c r="AI388" i="5"/>
  <c r="AI389" i="5"/>
  <c r="AY388" i="5"/>
  <c r="AT380" i="5"/>
  <c r="AS380" i="5"/>
  <c r="AJ364" i="5"/>
  <c r="AI365" i="5"/>
  <c r="AW364" i="5"/>
  <c r="AX364" i="5" s="1"/>
  <c r="AK364" i="5"/>
  <c r="AL364" i="5"/>
  <c r="AZ364" i="5"/>
  <c r="AU364" i="5"/>
  <c r="AV364" i="5" s="1"/>
  <c r="AR364" i="5"/>
  <c r="AS364" i="5" s="1"/>
  <c r="AY332" i="5"/>
  <c r="AI333" i="5"/>
  <c r="AZ332" i="5"/>
  <c r="AJ332" i="5"/>
  <c r="AK332" i="5"/>
  <c r="AI332" i="5"/>
  <c r="AT324" i="5"/>
  <c r="AS324" i="5"/>
  <c r="AS320" i="5"/>
  <c r="AT320" i="5"/>
  <c r="AI313" i="5"/>
  <c r="AL312" i="5"/>
  <c r="AY312" i="5"/>
  <c r="AJ312" i="5"/>
  <c r="AI312" i="5"/>
  <c r="AK312" i="5"/>
  <c r="AS293" i="5"/>
  <c r="AT293" i="5"/>
  <c r="C4652" i="5"/>
  <c r="A4653" i="5"/>
  <c r="A4654" i="5" s="1"/>
  <c r="F4654" i="5" s="1"/>
  <c r="A4681" i="5"/>
  <c r="A4682" i="5" s="1"/>
  <c r="C4682" i="5" s="1"/>
  <c r="C4680" i="5"/>
  <c r="F98" i="5"/>
  <c r="R110" i="5"/>
  <c r="F113" i="5" s="1"/>
  <c r="AT1518" i="5"/>
  <c r="AS1518" i="5"/>
  <c r="M739" i="5"/>
  <c r="F739" i="5" s="1"/>
  <c r="AM740" i="5" s="1"/>
  <c r="M795" i="5"/>
  <c r="F795" i="5" s="1"/>
  <c r="AM796" i="5" s="1"/>
  <c r="M718" i="5"/>
  <c r="F718" i="5" s="1"/>
  <c r="AM719" i="5" s="1"/>
  <c r="M1076" i="5"/>
  <c r="F1076" i="5" s="1"/>
  <c r="AM1077" i="5" s="1"/>
  <c r="M1026" i="5"/>
  <c r="F1026" i="5" s="1"/>
  <c r="AM1027" i="5" s="1"/>
  <c r="M1052" i="5"/>
  <c r="F1052" i="5" s="1"/>
  <c r="AM1053" i="5" s="1"/>
  <c r="M872" i="5"/>
  <c r="F872" i="5" s="1"/>
  <c r="AM873" i="5" s="1"/>
  <c r="M1064" i="5"/>
  <c r="F1064" i="5" s="1"/>
  <c r="AM1065" i="5" s="1"/>
  <c r="M711" i="5"/>
  <c r="F711" i="5" s="1"/>
  <c r="AM712" i="5" s="1"/>
  <c r="M928" i="5"/>
  <c r="F928" i="5" s="1"/>
  <c r="AM929" i="5" s="1"/>
  <c r="AZ704" i="5"/>
  <c r="M956" i="5"/>
  <c r="F956" i="5" s="1"/>
  <c r="AM957" i="5" s="1"/>
  <c r="M816" i="5"/>
  <c r="F816" i="5" s="1"/>
  <c r="AM817" i="5" s="1"/>
  <c r="M837" i="5"/>
  <c r="F837" i="5" s="1"/>
  <c r="AM838" i="5" s="1"/>
  <c r="M1082" i="5"/>
  <c r="F1082" i="5" s="1"/>
  <c r="M879" i="5"/>
  <c r="F879" i="5" s="1"/>
  <c r="AM880" i="5" s="1"/>
  <c r="M1058" i="5"/>
  <c r="F1058" i="5" s="1"/>
  <c r="AM1059" i="5" s="1"/>
  <c r="M977" i="5"/>
  <c r="F977" i="5" s="1"/>
  <c r="AM978" i="5" s="1"/>
  <c r="M1012" i="5"/>
  <c r="F1012" i="5" s="1"/>
  <c r="M774" i="5"/>
  <c r="F774" i="5" s="1"/>
  <c r="AM775" i="5" s="1"/>
  <c r="M809" i="5"/>
  <c r="F809" i="5" s="1"/>
  <c r="AM810" i="5" s="1"/>
  <c r="M921" i="5"/>
  <c r="F921" i="5" s="1"/>
  <c r="AM922" i="5" s="1"/>
  <c r="M851" i="5"/>
  <c r="F851" i="5" s="1"/>
  <c r="AM852" i="5" s="1"/>
  <c r="M865" i="5"/>
  <c r="F865" i="5" s="1"/>
  <c r="AM866" i="5" s="1"/>
  <c r="M788" i="5"/>
  <c r="F788" i="5" s="1"/>
  <c r="AM789" i="5" s="1"/>
  <c r="M858" i="5"/>
  <c r="F858" i="5" s="1"/>
  <c r="AM859" i="5" s="1"/>
  <c r="M760" i="5"/>
  <c r="F760" i="5" s="1"/>
  <c r="AM761" i="5" s="1"/>
  <c r="M844" i="5"/>
  <c r="F844" i="5" s="1"/>
  <c r="AM845" i="5" s="1"/>
  <c r="M893" i="5"/>
  <c r="F893" i="5" s="1"/>
  <c r="AM894" i="5" s="1"/>
  <c r="M914" i="5"/>
  <c r="F914" i="5" s="1"/>
  <c r="AM915" i="5" s="1"/>
  <c r="M991" i="5"/>
  <c r="F991" i="5" s="1"/>
  <c r="AM992" i="5" s="1"/>
  <c r="M886" i="5"/>
  <c r="F886" i="5" s="1"/>
  <c r="M984" i="5"/>
  <c r="F984" i="5" s="1"/>
  <c r="AM985" i="5" s="1"/>
  <c r="M1005" i="5"/>
  <c r="F1005" i="5" s="1"/>
  <c r="AM1006" i="5" s="1"/>
  <c r="M746" i="5"/>
  <c r="F746" i="5" s="1"/>
  <c r="AM747" i="5" s="1"/>
  <c r="M1040" i="5"/>
  <c r="F1040" i="5" s="1"/>
  <c r="AM1041" i="5" s="1"/>
  <c r="M900" i="5"/>
  <c r="F900" i="5" s="1"/>
  <c r="AM901" i="5" s="1"/>
  <c r="M963" i="5"/>
  <c r="F963" i="5" s="1"/>
  <c r="AM964" i="5" s="1"/>
  <c r="M1070" i="5"/>
  <c r="F1070" i="5" s="1"/>
  <c r="AM1071" i="5" s="1"/>
  <c r="M907" i="5"/>
  <c r="F907" i="5" s="1"/>
  <c r="AM908" i="5" s="1"/>
  <c r="M942" i="5"/>
  <c r="F942" i="5" s="1"/>
  <c r="AM943" i="5" s="1"/>
  <c r="M935" i="5"/>
  <c r="F935" i="5" s="1"/>
  <c r="AM936" i="5" s="1"/>
  <c r="AS680" i="5"/>
  <c r="AT680" i="5"/>
  <c r="AK536" i="5"/>
  <c r="AY536" i="5"/>
  <c r="AZ480" i="5"/>
  <c r="AJ480" i="5"/>
  <c r="AY480" i="5"/>
  <c r="AI481" i="5"/>
  <c r="AL480" i="5"/>
  <c r="AL449" i="5"/>
  <c r="AI449" i="5"/>
  <c r="AU449" i="5"/>
  <c r="AV449" i="5" s="1"/>
  <c r="AK449" i="5"/>
  <c r="AW449" i="5"/>
  <c r="AX449" i="5" s="1"/>
  <c r="AZ449" i="5"/>
  <c r="AZ444" i="5"/>
  <c r="AI445" i="5"/>
  <c r="AY444" i="5"/>
  <c r="AK444" i="5"/>
  <c r="AI444" i="5"/>
  <c r="AL444" i="5"/>
  <c r="AS396" i="5"/>
  <c r="AT396" i="5"/>
  <c r="AZ348" i="5"/>
  <c r="AI349" i="5"/>
  <c r="AL348" i="5"/>
  <c r="AI348" i="5"/>
  <c r="AY348" i="5"/>
  <c r="AI338" i="5"/>
  <c r="AK337" i="5"/>
  <c r="AJ337" i="5"/>
  <c r="AZ337" i="5"/>
  <c r="AR337" i="5"/>
  <c r="AT337" i="5" s="1"/>
  <c r="AY337" i="5"/>
  <c r="AL337" i="5"/>
  <c r="AW337" i="5"/>
  <c r="AX337" i="5" s="1"/>
  <c r="AL308" i="5"/>
  <c r="AY308" i="5"/>
  <c r="AK308" i="5"/>
  <c r="AZ308" i="5"/>
  <c r="AR308" i="5"/>
  <c r="AS308" i="5" s="1"/>
  <c r="AJ308" i="5"/>
  <c r="AU308" i="5"/>
  <c r="AV308" i="5" s="1"/>
  <c r="AS304" i="5"/>
  <c r="AT304" i="5"/>
  <c r="A4620" i="5"/>
  <c r="F4620" i="5" s="1"/>
  <c r="C4619" i="5"/>
  <c r="M3182" i="5"/>
  <c r="F3182" i="5" s="1"/>
  <c r="L3182" i="5" s="1"/>
  <c r="N3261" i="5"/>
  <c r="M3261" i="5" s="1"/>
  <c r="F3261" i="5" s="1"/>
  <c r="L3261" i="5" s="1"/>
  <c r="M3464" i="5"/>
  <c r="F3464" i="5" s="1"/>
  <c r="L3464" i="5" s="1"/>
  <c r="N3474" i="5"/>
  <c r="M3474" i="5" s="1"/>
  <c r="F3474" i="5" s="1"/>
  <c r="L3474" i="5" s="1"/>
  <c r="T3702" i="5"/>
  <c r="P3702" i="5" s="1"/>
  <c r="M3709" i="5" s="1"/>
  <c r="F3709" i="5" s="1"/>
  <c r="L3709" i="5" s="1"/>
  <c r="P3693" i="5"/>
  <c r="M4114" i="5"/>
  <c r="F4114" i="5" s="1"/>
  <c r="L4114" i="5" s="1"/>
  <c r="N4118" i="5"/>
  <c r="M4118" i="5" s="1"/>
  <c r="F4118" i="5" s="1"/>
  <c r="L4118" i="5" s="1"/>
  <c r="M1046" i="5"/>
  <c r="F1046" i="5" s="1"/>
  <c r="AM1047" i="5" s="1"/>
  <c r="Q117" i="5"/>
  <c r="F119" i="5" s="1"/>
  <c r="AU420" i="5"/>
  <c r="AV420" i="5" s="1"/>
  <c r="AS488" i="5"/>
  <c r="M830" i="5"/>
  <c r="F830" i="5" s="1"/>
  <c r="AS452" i="5"/>
  <c r="AT468" i="5"/>
  <c r="AJ1480" i="5"/>
  <c r="AW1480" i="5"/>
  <c r="AX1480" i="5" s="1"/>
  <c r="AI1269" i="5"/>
  <c r="AZ1269" i="5"/>
  <c r="AT1529" i="5"/>
  <c r="AS1529" i="5"/>
  <c r="M781" i="5"/>
  <c r="F781" i="5" s="1"/>
  <c r="AM782" i="5" s="1"/>
  <c r="AT340" i="5"/>
  <c r="AS1015" i="5"/>
  <c r="AT1015" i="5"/>
  <c r="AY895" i="5"/>
  <c r="AZ895" i="5"/>
  <c r="AY628" i="5"/>
  <c r="AL628" i="5"/>
  <c r="AJ460" i="5"/>
  <c r="AI461" i="5"/>
  <c r="AY460" i="5"/>
  <c r="AL460" i="5"/>
  <c r="AZ460" i="5"/>
  <c r="AK460" i="5"/>
  <c r="AK440" i="5"/>
  <c r="AY440" i="5"/>
  <c r="AL440" i="5"/>
  <c r="AJ440" i="5"/>
  <c r="AI441" i="5"/>
  <c r="AS436" i="5"/>
  <c r="AT436" i="5"/>
  <c r="AS432" i="5"/>
  <c r="AT432" i="5"/>
  <c r="AY420" i="5"/>
  <c r="AL420" i="5"/>
  <c r="AK420" i="5"/>
  <c r="AI420" i="5"/>
  <c r="AR420" i="5"/>
  <c r="AT420" i="5" s="1"/>
  <c r="AI421" i="5"/>
  <c r="AZ420" i="5"/>
  <c r="AS412" i="5"/>
  <c r="AT412" i="5"/>
  <c r="AI405" i="5"/>
  <c r="AL404" i="5"/>
  <c r="AY404" i="5"/>
  <c r="AZ404" i="5"/>
  <c r="AJ404" i="5"/>
  <c r="AZ393" i="5"/>
  <c r="AW393" i="5"/>
  <c r="AX393" i="5" s="1"/>
  <c r="AY393" i="5"/>
  <c r="AJ393" i="5"/>
  <c r="AU393" i="5"/>
  <c r="AV393" i="5" s="1"/>
  <c r="AK393" i="5"/>
  <c r="AL393" i="5"/>
  <c r="AI394" i="5"/>
  <c r="AY384" i="5"/>
  <c r="AJ384" i="5"/>
  <c r="AZ384" i="5"/>
  <c r="AL384" i="5"/>
  <c r="AI385" i="5"/>
  <c r="AY368" i="5"/>
  <c r="AZ368" i="5"/>
  <c r="AI369" i="5"/>
  <c r="AJ368" i="5"/>
  <c r="AL368" i="5"/>
  <c r="AK368" i="5"/>
  <c r="AS356" i="5"/>
  <c r="AT356" i="5"/>
  <c r="AK328" i="5"/>
  <c r="AJ328" i="5"/>
  <c r="AI329" i="5"/>
  <c r="AZ328" i="5"/>
  <c r="AY328" i="5"/>
  <c r="AL328" i="5"/>
  <c r="AT300" i="5"/>
  <c r="AS300" i="5"/>
  <c r="G681" i="5"/>
  <c r="H681" i="5" s="1"/>
  <c r="AM684" i="5"/>
  <c r="AI1044" i="5"/>
  <c r="M949" i="5"/>
  <c r="F949" i="5" s="1"/>
  <c r="AM950" i="5" s="1"/>
  <c r="M970" i="5"/>
  <c r="F970" i="5" s="1"/>
  <c r="AM971" i="5" s="1"/>
  <c r="AS584" i="5"/>
  <c r="AK384" i="5"/>
  <c r="AL332" i="5"/>
  <c r="AW1032" i="5"/>
  <c r="AX1032" i="5" s="1"/>
  <c r="AU1032" i="5"/>
  <c r="AV1032" i="5" s="1"/>
  <c r="AW920" i="5"/>
  <c r="AX920" i="5" s="1"/>
  <c r="AJ920" i="5"/>
  <c r="AT775" i="5"/>
  <c r="AS775" i="5"/>
  <c r="AY747" i="5"/>
  <c r="AZ747" i="5"/>
  <c r="AJ676" i="5"/>
  <c r="AL676" i="5"/>
  <c r="AY652" i="5"/>
  <c r="AK652" i="5"/>
  <c r="AY505" i="5"/>
  <c r="AU505" i="5"/>
  <c r="AV505" i="5" s="1"/>
  <c r="AI505" i="5"/>
  <c r="AR505" i="5"/>
  <c r="AT505" i="5" s="1"/>
  <c r="AZ505" i="5"/>
  <c r="AI506" i="5"/>
  <c r="AL505" i="5"/>
  <c r="AW505" i="5"/>
  <c r="AX505" i="5" s="1"/>
  <c r="AJ1162" i="5"/>
  <c r="M732" i="5"/>
  <c r="F732" i="5" s="1"/>
  <c r="AM733" i="5" s="1"/>
  <c r="M998" i="5"/>
  <c r="F998" i="5" s="1"/>
  <c r="AM999" i="5" s="1"/>
  <c r="AT376" i="5"/>
  <c r="AR393" i="5"/>
  <c r="AS393" i="5" s="1"/>
  <c r="AS360" i="5"/>
  <c r="AU337" i="5"/>
  <c r="AV337" i="5" s="1"/>
  <c r="AZ1133" i="5"/>
  <c r="AI1134" i="5"/>
  <c r="AJ971" i="5"/>
  <c r="AY971" i="5"/>
  <c r="AK612" i="5"/>
  <c r="AL612" i="5"/>
  <c r="AI613" i="5"/>
  <c r="AY572" i="5"/>
  <c r="AI573" i="5"/>
  <c r="AJ476" i="5"/>
  <c r="AL476" i="5"/>
  <c r="AW476" i="5"/>
  <c r="AX476" i="5" s="1"/>
  <c r="AZ476" i="5"/>
  <c r="AU476" i="5"/>
  <c r="AV476" i="5" s="1"/>
  <c r="AI988" i="5"/>
  <c r="M823" i="5"/>
  <c r="F823" i="5" s="1"/>
  <c r="AM824" i="5" s="1"/>
  <c r="M767" i="5"/>
  <c r="F767" i="5" s="1"/>
  <c r="AM768" i="5" s="1"/>
  <c r="AT416" i="5"/>
  <c r="AL1209" i="5"/>
  <c r="AZ1209" i="5"/>
  <c r="AS1078" i="5"/>
  <c r="AT1078" i="5"/>
  <c r="AJ839" i="5"/>
  <c r="AK839" i="5"/>
  <c r="AZ588" i="5"/>
  <c r="AK588" i="5"/>
  <c r="AZ532" i="5"/>
  <c r="AL532" i="5"/>
  <c r="AY496" i="5"/>
  <c r="AJ496" i="5"/>
  <c r="AI497" i="5"/>
  <c r="AZ496" i="5"/>
  <c r="AL496" i="5"/>
  <c r="AS492" i="5"/>
  <c r="AT492" i="5"/>
  <c r="M753" i="5"/>
  <c r="F753" i="5" s="1"/>
  <c r="M725" i="5"/>
  <c r="F725" i="5" s="1"/>
  <c r="AM726" i="5" s="1"/>
  <c r="P3792" i="5"/>
  <c r="AW308" i="5"/>
  <c r="AX308" i="5" s="1"/>
  <c r="M1033" i="5"/>
  <c r="F1033" i="5" s="1"/>
  <c r="AQ1515" i="5"/>
  <c r="AI694" i="5"/>
  <c r="S3348" i="5"/>
  <c r="G3354" i="5" s="1"/>
  <c r="H3354" i="5" s="1"/>
  <c r="C5104" i="5"/>
  <c r="AT1537" i="5"/>
  <c r="O3826" i="5"/>
  <c r="F3825" i="5" s="1"/>
  <c r="F4738" i="5"/>
  <c r="AK694" i="5"/>
  <c r="AS1952" i="5"/>
  <c r="AI771" i="5"/>
  <c r="AM690" i="5"/>
  <c r="AY1766" i="5"/>
  <c r="AU694" i="5"/>
  <c r="AV694" i="5" s="1"/>
  <c r="I5104" i="5"/>
  <c r="A4966" i="5"/>
  <c r="C4966" i="5" s="1"/>
  <c r="C4940" i="5"/>
  <c r="G3726" i="5"/>
  <c r="H3726" i="5" s="1"/>
  <c r="C4810" i="5"/>
  <c r="AZ1910" i="5"/>
  <c r="AM1090" i="5"/>
  <c r="AQ694" i="5"/>
  <c r="AJ694" i="5"/>
  <c r="AS1096" i="5"/>
  <c r="AS690" i="5"/>
  <c r="A4929" i="5"/>
  <c r="C4929" i="5" s="1"/>
  <c r="O3828" i="5"/>
  <c r="G3828" i="5" s="1"/>
  <c r="H3828" i="5" s="1"/>
  <c r="T187" i="5"/>
  <c r="F191" i="5" s="1"/>
  <c r="AL694" i="5"/>
  <c r="AZ694" i="5"/>
  <c r="A4989" i="5"/>
  <c r="C4989" i="5" s="1"/>
  <c r="C4857" i="5"/>
  <c r="AQ1530" i="5"/>
  <c r="O3727" i="5"/>
  <c r="F3726" i="5" s="1"/>
  <c r="P3820" i="5"/>
  <c r="F3820" i="5" s="1"/>
  <c r="AP1535" i="5"/>
  <c r="AQ1535" i="5" s="1"/>
  <c r="AK1173" i="5"/>
  <c r="AY1137" i="5"/>
  <c r="AK920" i="5"/>
  <c r="AJ2077" i="5"/>
  <c r="AL1469" i="5"/>
  <c r="AI1246" i="5"/>
  <c r="AR1032" i="5"/>
  <c r="AS1032" i="5" s="1"/>
  <c r="AT1129" i="5"/>
  <c r="D3263" i="5"/>
  <c r="D3291" i="5"/>
  <c r="D3306" i="5"/>
  <c r="AU3314" i="5"/>
  <c r="D3321" i="5"/>
  <c r="AX3325" i="5"/>
  <c r="AJ1662" i="5"/>
  <c r="AL1294" i="5"/>
  <c r="AJ1477" i="5"/>
  <c r="AI1794" i="5"/>
  <c r="AI530" i="5"/>
  <c r="AI510" i="5"/>
  <c r="AJ1794" i="5"/>
  <c r="AY1079" i="5"/>
  <c r="AJ1417" i="5"/>
  <c r="AY1662" i="5"/>
  <c r="AJ2038" i="5"/>
  <c r="AZ1124" i="5"/>
  <c r="AT1366" i="5"/>
  <c r="AY1124" i="5"/>
  <c r="AR1323" i="5"/>
  <c r="AT1323" i="5" s="1"/>
  <c r="AT1326" i="5"/>
  <c r="AL1803" i="5"/>
  <c r="AZ1130" i="5"/>
  <c r="AT1384" i="5"/>
  <c r="AL1238" i="5"/>
  <c r="AK1323" i="5"/>
  <c r="AK1666" i="5"/>
  <c r="AY1413" i="5"/>
  <c r="AM1097" i="5"/>
  <c r="AN3460" i="5"/>
  <c r="A3460" i="5" s="1"/>
  <c r="AN3796" i="5"/>
  <c r="D3796" i="5" s="1"/>
  <c r="AN3798" i="5"/>
  <c r="AO3798" i="5" s="1"/>
  <c r="AP3798" i="5" s="1"/>
  <c r="AR3798" i="5" s="1"/>
  <c r="AN3471" i="5"/>
  <c r="D3471" i="5" s="1"/>
  <c r="AQ688" i="5"/>
  <c r="X17" i="10"/>
  <c r="X19" i="10" s="1"/>
  <c r="M1565" i="5"/>
  <c r="F1565" i="5" s="1"/>
  <c r="M1831" i="5"/>
  <c r="F1831" i="5" s="1"/>
  <c r="AY1896" i="5"/>
  <c r="AM703" i="5"/>
  <c r="AZ1896" i="5"/>
  <c r="AJ2335" i="5"/>
  <c r="AW2335" i="5"/>
  <c r="AX2335" i="5" s="1"/>
  <c r="AA15" i="10"/>
  <c r="AT1552" i="5"/>
  <c r="AZ1483" i="5"/>
  <c r="AI661" i="5"/>
  <c r="M1936" i="5"/>
  <c r="F1936" i="5" s="1"/>
  <c r="AR2346" i="5"/>
  <c r="AT2346" i="5" s="1"/>
  <c r="M1887" i="5"/>
  <c r="F1887" i="5" s="1"/>
  <c r="AY2350" i="5"/>
  <c r="D20" i="11"/>
  <c r="D24" i="11" s="1"/>
  <c r="AZ1926" i="5"/>
  <c r="U4140" i="5"/>
  <c r="F4142" i="5" s="1"/>
  <c r="AI1926" i="5"/>
  <c r="M1912" i="5"/>
  <c r="F1912" i="5" s="1"/>
  <c r="W15" i="10"/>
  <c r="AZ1503" i="5"/>
  <c r="AJ1926" i="5"/>
  <c r="AL1896" i="5"/>
  <c r="AK1926" i="5"/>
  <c r="AZ2359" i="5"/>
  <c r="D5136" i="5"/>
  <c r="D5139" i="5" s="1"/>
  <c r="AL507" i="5"/>
  <c r="M1670" i="5"/>
  <c r="F1670" i="5" s="1"/>
  <c r="AQ968" i="5"/>
  <c r="AQ823" i="5"/>
  <c r="AQ818" i="5"/>
  <c r="AQ814" i="5"/>
  <c r="AI671" i="5"/>
  <c r="AQ627" i="5"/>
  <c r="AQ571" i="5"/>
  <c r="AI571" i="5"/>
  <c r="AQ567" i="5"/>
  <c r="AI567" i="5"/>
  <c r="AQ557" i="5"/>
  <c r="AQ552" i="5"/>
  <c r="AQ551" i="5"/>
  <c r="AQ517" i="5"/>
  <c r="AQ455" i="5"/>
  <c r="AQ439" i="5"/>
  <c r="AQ424" i="5"/>
  <c r="AQ388" i="5"/>
  <c r="AQ368" i="5"/>
  <c r="AQ327" i="5"/>
  <c r="AQ317" i="5"/>
  <c r="AQ312" i="5"/>
  <c r="D3208" i="5"/>
  <c r="AN3462" i="5"/>
  <c r="AQ3462" i="5" s="1"/>
  <c r="AN3800" i="5"/>
  <c r="A3800" i="5" s="1"/>
  <c r="AN3473" i="5"/>
  <c r="A3473" i="5" s="1"/>
  <c r="AN3476" i="5"/>
  <c r="AQ3476" i="5" s="1"/>
  <c r="AN3703" i="5"/>
  <c r="AS3703" i="5" s="1"/>
  <c r="AN3809" i="5"/>
  <c r="AO3809" i="5" s="1"/>
  <c r="AP3809" i="5" s="1"/>
  <c r="AR3809" i="5" s="1"/>
  <c r="G20" i="11"/>
  <c r="G24" i="11" s="1"/>
  <c r="AU490" i="5"/>
  <c r="AV490" i="5" s="1"/>
  <c r="AZ817" i="5"/>
  <c r="AK490" i="5"/>
  <c r="AY666" i="5"/>
  <c r="AL1658" i="5"/>
  <c r="AY1898" i="5"/>
  <c r="AK295" i="5"/>
  <c r="AY342" i="5"/>
  <c r="M1608" i="5"/>
  <c r="F1608" i="5" s="1"/>
  <c r="AM1609" i="5" s="1"/>
  <c r="M1888" i="5"/>
  <c r="F1888" i="5" s="1"/>
  <c r="M1741" i="5"/>
  <c r="F1741" i="5" s="1"/>
  <c r="AM1742" i="5" s="1"/>
  <c r="M1931" i="5"/>
  <c r="F1931" i="5" s="1"/>
  <c r="AM1932" i="5" s="1"/>
  <c r="M1657" i="5"/>
  <c r="F1657" i="5" s="1"/>
  <c r="AM1658" i="5" s="1"/>
  <c r="S117" i="5"/>
  <c r="F121" i="5" s="1"/>
  <c r="AY490" i="5"/>
  <c r="AS378" i="5"/>
  <c r="AL666" i="5"/>
  <c r="AZ869" i="5"/>
  <c r="AQ822" i="5"/>
  <c r="AI642" i="5"/>
  <c r="AK1710" i="5"/>
  <c r="AJ2127" i="5"/>
  <c r="AZ306" i="5"/>
  <c r="Y17" i="10"/>
  <c r="Y19" i="10" s="1"/>
  <c r="AI647" i="5"/>
  <c r="M1881" i="5"/>
  <c r="F1881" i="5" s="1"/>
  <c r="AM1882" i="5" s="1"/>
  <c r="M1706" i="5"/>
  <c r="F1706" i="5" s="1"/>
  <c r="AM1707" i="5" s="1"/>
  <c r="M1776" i="5"/>
  <c r="F1776" i="5" s="1"/>
  <c r="M1594" i="5"/>
  <c r="F1594" i="5" s="1"/>
  <c r="AM1595" i="5" s="1"/>
  <c r="M1692" i="5"/>
  <c r="F1692" i="5" s="1"/>
  <c r="AM1693" i="5" s="1"/>
  <c r="AI351" i="5"/>
  <c r="AS506" i="5"/>
  <c r="AK666" i="5"/>
  <c r="AK869" i="5"/>
  <c r="AS614" i="5"/>
  <c r="AI1714" i="5"/>
  <c r="AY306" i="5"/>
  <c r="M1573" i="5"/>
  <c r="F1573" i="5" s="1"/>
  <c r="AM1574" i="5" s="1"/>
  <c r="M1580" i="5"/>
  <c r="F1580" i="5" s="1"/>
  <c r="AM1581" i="5" s="1"/>
  <c r="M1755" i="5"/>
  <c r="F1755" i="5" s="1"/>
  <c r="AM1756" i="5" s="1"/>
  <c r="M1832" i="5"/>
  <c r="F1832" i="5" s="1"/>
  <c r="AM1833" i="5" s="1"/>
  <c r="AQ1091" i="5"/>
  <c r="AZ490" i="5"/>
  <c r="AZ378" i="5"/>
  <c r="AT486" i="5"/>
  <c r="AY642" i="5"/>
  <c r="M1664" i="5"/>
  <c r="F1664" i="5" s="1"/>
  <c r="AM1665" i="5" s="1"/>
  <c r="M1713" i="5"/>
  <c r="F1713" i="5" s="1"/>
  <c r="AM1714" i="5" s="1"/>
  <c r="M1720" i="5"/>
  <c r="F1720" i="5" s="1"/>
  <c r="AM1721" i="5" s="1"/>
  <c r="M1797" i="5"/>
  <c r="F1797" i="5" s="1"/>
  <c r="AM1798" i="5" s="1"/>
  <c r="AW666" i="5"/>
  <c r="AX666" i="5" s="1"/>
  <c r="AS937" i="5"/>
  <c r="AJ322" i="5"/>
  <c r="AL817" i="5"/>
  <c r="AI910" i="5"/>
  <c r="AR666" i="5"/>
  <c r="AT666" i="5" s="1"/>
  <c r="AJ1730" i="5"/>
  <c r="AT1742" i="5"/>
  <c r="AI326" i="5"/>
  <c r="AI454" i="5"/>
  <c r="AI438" i="5"/>
  <c r="AK322" i="5"/>
  <c r="M1942" i="5"/>
  <c r="F1942" i="5" s="1"/>
  <c r="AM1983" i="5" s="1"/>
  <c r="M1699" i="5"/>
  <c r="F1699" i="5" s="1"/>
  <c r="AM1700" i="5" s="1"/>
  <c r="M1937" i="5"/>
  <c r="F1937" i="5" s="1"/>
  <c r="M1811" i="5"/>
  <c r="F1811" i="5" s="1"/>
  <c r="AM1812" i="5" s="1"/>
  <c r="AR1746" i="5"/>
  <c r="AT1746" i="5" s="1"/>
  <c r="AI378" i="5"/>
  <c r="C57" i="3"/>
  <c r="AU1663" i="5"/>
  <c r="AV1663" i="5" s="1"/>
  <c r="M1629" i="5"/>
  <c r="F1629" i="5" s="1"/>
  <c r="AM1630" i="5" s="1"/>
  <c r="M1867" i="5"/>
  <c r="F1867" i="5" s="1"/>
  <c r="AM1868" i="5" s="1"/>
  <c r="M1622" i="5"/>
  <c r="F1622" i="5" s="1"/>
  <c r="AM1623" i="5" s="1"/>
  <c r="M1919" i="5"/>
  <c r="F1919" i="5" s="1"/>
  <c r="AM1920" i="5" s="1"/>
  <c r="M1678" i="5"/>
  <c r="F1678" i="5" s="1"/>
  <c r="AM1679" i="5" s="1"/>
  <c r="AQ1943" i="5"/>
  <c r="G3541" i="5"/>
  <c r="H3541" i="5" s="1"/>
  <c r="G266" i="5"/>
  <c r="H266" i="5" s="1"/>
  <c r="AI1698" i="5"/>
  <c r="AI1586" i="5"/>
  <c r="AI1067" i="5"/>
  <c r="AI676" i="5"/>
  <c r="AI617" i="5"/>
  <c r="AI608" i="5"/>
  <c r="AI561" i="5"/>
  <c r="AI923" i="5"/>
  <c r="AI847" i="5"/>
  <c r="AI734" i="5"/>
  <c r="AI568" i="5"/>
  <c r="AI564" i="5"/>
  <c r="AQ546" i="5"/>
  <c r="AI396" i="5"/>
  <c r="D3193" i="5"/>
  <c r="D3202" i="5"/>
  <c r="AU3216" i="5"/>
  <c r="A3216" i="5" s="1"/>
  <c r="AU3219" i="5"/>
  <c r="A3219" i="5" s="1"/>
  <c r="D3223" i="5"/>
  <c r="AX3228" i="5"/>
  <c r="D3230" i="5"/>
  <c r="AU3276" i="5"/>
  <c r="A3276" i="5" s="1"/>
  <c r="D3283" i="5"/>
  <c r="AU3287" i="5"/>
  <c r="A3287" i="5" s="1"/>
  <c r="AX3289" i="5"/>
  <c r="D3290" i="5"/>
  <c r="AU3291" i="5"/>
  <c r="A3291" i="5" s="1"/>
  <c r="AX3295" i="5"/>
  <c r="AU3296" i="5"/>
  <c r="A3296" i="5" s="1"/>
  <c r="AU3297" i="5"/>
  <c r="AU3298" i="5"/>
  <c r="A3298" i="5" s="1"/>
  <c r="D3299" i="5"/>
  <c r="AX3300" i="5"/>
  <c r="AU3301" i="5"/>
  <c r="A3301" i="5" s="1"/>
  <c r="AX3302" i="5"/>
  <c r="D3303" i="5"/>
  <c r="D3304" i="5"/>
  <c r="AX3305" i="5"/>
  <c r="D3308" i="5"/>
  <c r="AX3309" i="5"/>
  <c r="AX3311" i="5"/>
  <c r="D3312" i="5"/>
  <c r="D3314" i="5"/>
  <c r="AX3315" i="5"/>
  <c r="AU3316" i="5"/>
  <c r="A3316" i="5" s="1"/>
  <c r="AU3317" i="5"/>
  <c r="A3317" i="5" s="1"/>
  <c r="AU3318" i="5"/>
  <c r="A3318" i="5" s="1"/>
  <c r="D3319" i="5"/>
  <c r="AU3322" i="5"/>
  <c r="A3322" i="5" s="1"/>
  <c r="AX3323" i="5"/>
  <c r="AX3324" i="5"/>
  <c r="D3326" i="5"/>
  <c r="D3327" i="5"/>
  <c r="AX3328" i="5"/>
  <c r="D3331" i="5"/>
  <c r="D3332" i="5"/>
  <c r="AM1949" i="5"/>
  <c r="AQ1953" i="5"/>
  <c r="F4838" i="5"/>
  <c r="AM1958" i="5"/>
  <c r="AJ391" i="5"/>
  <c r="D3324" i="5"/>
  <c r="AX3316" i="5"/>
  <c r="AU3309" i="5"/>
  <c r="A3309" i="5" s="1"/>
  <c r="D3295" i="5"/>
  <c r="D3287" i="5"/>
  <c r="AS367" i="5"/>
  <c r="AL983" i="5"/>
  <c r="C4950" i="5"/>
  <c r="AU3303" i="5"/>
  <c r="AX3312" i="5"/>
  <c r="AL927" i="5"/>
  <c r="G4838" i="5"/>
  <c r="H4838" i="5" s="1"/>
  <c r="AX3304" i="5"/>
  <c r="AU1063" i="5"/>
  <c r="AV1063" i="5" s="1"/>
  <c r="D4841" i="5"/>
  <c r="D4844" i="5" s="1"/>
  <c r="G4844" i="5" s="1"/>
  <c r="H4844" i="5" s="1"/>
  <c r="AU3302" i="5"/>
  <c r="A3302" i="5" s="1"/>
  <c r="AX3331" i="5"/>
  <c r="AX3322" i="5"/>
  <c r="D3309" i="5"/>
  <c r="AU3300" i="5"/>
  <c r="A3300" i="5" s="1"/>
  <c r="AT535" i="5"/>
  <c r="G265" i="5"/>
  <c r="H265" i="5" s="1"/>
  <c r="Q4141" i="5"/>
  <c r="U4141" i="5" s="1"/>
  <c r="F4144" i="5" s="1"/>
  <c r="AX3296" i="5"/>
  <c r="AX3291" i="5"/>
  <c r="AU427" i="5"/>
  <c r="AV427" i="5" s="1"/>
  <c r="AR1281" i="5"/>
  <c r="AS1281" i="5" s="1"/>
  <c r="V3437" i="5"/>
  <c r="AZ1128" i="5"/>
  <c r="AI846" i="5"/>
  <c r="AL2329" i="5"/>
  <c r="G1949" i="5"/>
  <c r="H1949" i="5" s="1"/>
  <c r="D3305" i="5"/>
  <c r="AU3290" i="5"/>
  <c r="A3290" i="5" s="1"/>
  <c r="AQ1985" i="5"/>
  <c r="A6171" i="5"/>
  <c r="G3902" i="5"/>
  <c r="H3902" i="5" s="1"/>
  <c r="AM1552" i="5"/>
  <c r="A4843" i="5"/>
  <c r="G4843" i="5" s="1"/>
  <c r="H4843" i="5" s="1"/>
  <c r="T3500" i="5"/>
  <c r="F3501" i="5" s="1"/>
  <c r="AX3297" i="5"/>
  <c r="D3317" i="5"/>
  <c r="AU3305" i="5"/>
  <c r="A3305" i="5" s="1"/>
  <c r="AJ770" i="5"/>
  <c r="AS1123" i="5"/>
  <c r="F5048" i="5"/>
  <c r="AK391" i="5"/>
  <c r="AI1662" i="5"/>
  <c r="G3501" i="5"/>
  <c r="H3501" i="5" s="1"/>
  <c r="AX3317" i="5"/>
  <c r="AJ1501" i="5"/>
  <c r="AM1985" i="5"/>
  <c r="G3838" i="5"/>
  <c r="H3838" i="5" s="1"/>
  <c r="G3437" i="5"/>
  <c r="H3437" i="5" s="1"/>
  <c r="AT1674" i="5"/>
  <c r="AU3324" i="5"/>
  <c r="AL1477" i="5"/>
  <c r="AJ1569" i="5"/>
  <c r="AT1066" i="5"/>
  <c r="AM1102" i="5"/>
  <c r="AI789" i="5"/>
  <c r="AQ732" i="5"/>
  <c r="AQ638" i="5"/>
  <c r="AI557" i="5"/>
  <c r="AQ553" i="5"/>
  <c r="AI553" i="5"/>
  <c r="AQ518" i="5"/>
  <c r="AM1943" i="5"/>
  <c r="AI658" i="5"/>
  <c r="AS889" i="5"/>
  <c r="AS646" i="5"/>
  <c r="AZ594" i="5"/>
  <c r="AL578" i="5"/>
  <c r="AI702" i="5"/>
  <c r="AI987" i="5"/>
  <c r="AK1269" i="5"/>
  <c r="AU1469" i="5"/>
  <c r="AV1469" i="5" s="1"/>
  <c r="AI1394" i="5"/>
  <c r="AR2077" i="5"/>
  <c r="AT2077" i="5" s="1"/>
  <c r="AJ700" i="5"/>
  <c r="AK1162" i="5"/>
  <c r="AZ967" i="5"/>
  <c r="AZ1245" i="5"/>
  <c r="AY875" i="5"/>
  <c r="AY1209" i="5"/>
  <c r="AI1027" i="5"/>
  <c r="AU920" i="5"/>
  <c r="AV920" i="5" s="1"/>
  <c r="AZ1007" i="5"/>
  <c r="AR1480" i="5"/>
  <c r="AT1480" i="5" s="1"/>
  <c r="AZ1027" i="5"/>
  <c r="AL1173" i="5"/>
  <c r="AK1133" i="5"/>
  <c r="AI1032" i="5"/>
  <c r="AY839" i="5"/>
  <c r="AI593" i="5"/>
  <c r="AZ628" i="5"/>
  <c r="AU588" i="5"/>
  <c r="AV588" i="5" s="1"/>
  <c r="AL617" i="5"/>
  <c r="AW637" i="5"/>
  <c r="AX637" i="5" s="1"/>
  <c r="AI747" i="5"/>
  <c r="AT827" i="5"/>
  <c r="AT795" i="5"/>
  <c r="AW723" i="5"/>
  <c r="AX723" i="5" s="1"/>
  <c r="AJ727" i="5"/>
  <c r="AY799" i="5"/>
  <c r="AJ779" i="5"/>
  <c r="AT580" i="5"/>
  <c r="AT544" i="5"/>
  <c r="AZ516" i="5"/>
  <c r="AJ536" i="5"/>
  <c r="AL561" i="5"/>
  <c r="AR920" i="5"/>
  <c r="AS920" i="5" s="1"/>
  <c r="AJ707" i="5"/>
  <c r="AI1461" i="5"/>
  <c r="AI1405" i="5"/>
  <c r="AI1214" i="5"/>
  <c r="AI911" i="5"/>
  <c r="AK1377" i="5"/>
  <c r="AT1059" i="5"/>
  <c r="AI572" i="5"/>
  <c r="AW1274" i="5"/>
  <c r="AX1274" i="5" s="1"/>
  <c r="AJ976" i="5"/>
  <c r="AI1071" i="5"/>
  <c r="AK1032" i="5"/>
  <c r="AK1027" i="5"/>
  <c r="AT1625" i="5"/>
  <c r="AL976" i="5"/>
  <c r="AY1157" i="5"/>
  <c r="AJ1133" i="5"/>
  <c r="AJ855" i="5"/>
  <c r="AZ612" i="5"/>
  <c r="AL588" i="5"/>
  <c r="AI618" i="5"/>
  <c r="AI808" i="5"/>
  <c r="AJ1285" i="5"/>
  <c r="AI915" i="5"/>
  <c r="AJ637" i="5"/>
  <c r="AT715" i="5"/>
  <c r="AI800" i="5"/>
  <c r="AZ763" i="5"/>
  <c r="AZ803" i="5"/>
  <c r="AZ727" i="5"/>
  <c r="AS739" i="5"/>
  <c r="AR752" i="5"/>
  <c r="AS752" i="5" s="1"/>
  <c r="AT907" i="5"/>
  <c r="AL779" i="5"/>
  <c r="AZ1043" i="5"/>
  <c r="AY516" i="5"/>
  <c r="AJ552" i="5"/>
  <c r="AI562" i="5"/>
  <c r="AL971" i="5"/>
  <c r="AL707" i="5"/>
  <c r="AQ473" i="5"/>
  <c r="AY987" i="5"/>
  <c r="AW1245" i="5"/>
  <c r="AX1245" i="5" s="1"/>
  <c r="AL1480" i="5"/>
  <c r="AJ987" i="5"/>
  <c r="AL1189" i="5"/>
  <c r="AI1162" i="5"/>
  <c r="AY931" i="5"/>
  <c r="AY1133" i="5"/>
  <c r="AZ855" i="5"/>
  <c r="AR617" i="5"/>
  <c r="AT617" i="5" s="1"/>
  <c r="AJ752" i="5"/>
  <c r="AL915" i="5"/>
  <c r="AK763" i="5"/>
  <c r="AK1043" i="5"/>
  <c r="AL516" i="5"/>
  <c r="AI556" i="5"/>
  <c r="AI537" i="5"/>
  <c r="AI780" i="5"/>
  <c r="AI1270" i="5"/>
  <c r="AI1393" i="5"/>
  <c r="AY1469" i="5"/>
  <c r="AY661" i="5"/>
  <c r="AK700" i="5"/>
  <c r="AQ819" i="5"/>
  <c r="AJ1213" i="5"/>
  <c r="AL1269" i="5"/>
  <c r="AK572" i="5"/>
  <c r="AU1393" i="5"/>
  <c r="AV1393" i="5" s="1"/>
  <c r="AI1670" i="5"/>
  <c r="AJ661" i="5"/>
  <c r="AY700" i="5"/>
  <c r="AY976" i="5"/>
  <c r="AI1275" i="5"/>
  <c r="AY1162" i="5"/>
  <c r="AR1420" i="5"/>
  <c r="AT1420" i="5" s="1"/>
  <c r="AJ1245" i="5"/>
  <c r="AJ1325" i="5"/>
  <c r="AI1213" i="5"/>
  <c r="AT963" i="5"/>
  <c r="AZ592" i="5"/>
  <c r="AK628" i="5"/>
  <c r="AL572" i="5"/>
  <c r="AS600" i="5"/>
  <c r="AI637" i="5"/>
  <c r="AZ808" i="5"/>
  <c r="AL743" i="5"/>
  <c r="AI753" i="5"/>
  <c r="AL911" i="5"/>
  <c r="AJ1269" i="5"/>
  <c r="AI876" i="5"/>
  <c r="AL987" i="5"/>
  <c r="AY1269" i="5"/>
  <c r="AK1381" i="5"/>
  <c r="AT1685" i="5"/>
  <c r="AT995" i="5"/>
  <c r="AZ661" i="5"/>
  <c r="AM700" i="5"/>
  <c r="AK1067" i="5"/>
  <c r="AJ931" i="5"/>
  <c r="AL1003" i="5"/>
  <c r="AR976" i="5"/>
  <c r="AS976" i="5" s="1"/>
  <c r="AY1274" i="5"/>
  <c r="AY1325" i="5"/>
  <c r="AR1189" i="5"/>
  <c r="AT1189" i="5" s="1"/>
  <c r="AR1245" i="5"/>
  <c r="AS1245" i="5" s="1"/>
  <c r="AR1493" i="5"/>
  <c r="AS1493" i="5" s="1"/>
  <c r="AJ1137" i="5"/>
  <c r="AY1071" i="5"/>
  <c r="AS1241" i="5"/>
  <c r="AI920" i="5"/>
  <c r="AL855" i="5"/>
  <c r="AS564" i="5"/>
  <c r="AI976" i="5"/>
  <c r="AT1165" i="5"/>
  <c r="AS604" i="5"/>
  <c r="AK617" i="5"/>
  <c r="AJ951" i="5"/>
  <c r="AU637" i="5"/>
  <c r="AV637" i="5" s="1"/>
  <c r="AU808" i="5"/>
  <c r="AV808" i="5" s="1"/>
  <c r="AS791" i="5"/>
  <c r="AJ911" i="5"/>
  <c r="AK723" i="5"/>
  <c r="AJ1027" i="5"/>
  <c r="AZ561" i="5"/>
  <c r="AK532" i="5"/>
  <c r="AZ556" i="5"/>
  <c r="AR561" i="5"/>
  <c r="AT561" i="5" s="1"/>
  <c r="AL536" i="5"/>
  <c r="AZ987" i="5"/>
  <c r="AK1321" i="5"/>
  <c r="AZ1480" i="5"/>
  <c r="AU1245" i="5"/>
  <c r="AV1245" i="5" s="1"/>
  <c r="AT664" i="5"/>
  <c r="AI859" i="5"/>
  <c r="AR637" i="5"/>
  <c r="AT637" i="5" s="1"/>
  <c r="AJ947" i="5"/>
  <c r="AL859" i="5"/>
  <c r="AJ895" i="5"/>
  <c r="AS1353" i="5"/>
  <c r="AJ1067" i="5"/>
  <c r="AS887" i="5"/>
  <c r="AL1032" i="5"/>
  <c r="AZ971" i="5"/>
  <c r="AI1190" i="5"/>
  <c r="AZ1424" i="5"/>
  <c r="AI1493" i="5"/>
  <c r="AZ617" i="5"/>
  <c r="AI840" i="5"/>
  <c r="AY783" i="5"/>
  <c r="AW808" i="5"/>
  <c r="AX808" i="5" s="1"/>
  <c r="AI1033" i="5"/>
  <c r="AK556" i="5"/>
  <c r="AY556" i="5"/>
  <c r="AK1209" i="5"/>
  <c r="AZ1444" i="5"/>
  <c r="AW1493" i="5"/>
  <c r="AX1493" i="5" s="1"/>
  <c r="AT1145" i="5"/>
  <c r="AQ561" i="5"/>
  <c r="AS1205" i="5"/>
  <c r="AI1007" i="5"/>
  <c r="AL875" i="5"/>
  <c r="AI1163" i="5"/>
  <c r="AK1460" i="5"/>
  <c r="AY1560" i="5"/>
  <c r="AU1274" i="5"/>
  <c r="AV1274" i="5" s="1"/>
  <c r="AR1218" i="5"/>
  <c r="AS1218" i="5" s="1"/>
  <c r="AY967" i="5"/>
  <c r="AU864" i="5"/>
  <c r="AV864" i="5" s="1"/>
  <c r="AK608" i="5"/>
  <c r="AR588" i="5"/>
  <c r="AS588" i="5" s="1"/>
  <c r="AL608" i="5"/>
  <c r="AI864" i="5"/>
  <c r="AY676" i="5"/>
  <c r="AR947" i="5"/>
  <c r="AS947" i="5" s="1"/>
  <c r="AL747" i="5"/>
  <c r="AI784" i="5"/>
  <c r="AS528" i="5"/>
  <c r="AY891" i="5"/>
  <c r="AS811" i="5"/>
  <c r="AR532" i="5"/>
  <c r="AT532" i="5" s="1"/>
  <c r="AY561" i="5"/>
  <c r="AI589" i="5"/>
  <c r="AY707" i="5"/>
  <c r="AY588" i="5"/>
  <c r="AJ1209" i="5"/>
  <c r="AK1444" i="5"/>
  <c r="AS1373" i="5"/>
  <c r="AZ976" i="5"/>
  <c r="AW1162" i="5"/>
  <c r="AX1162" i="5" s="1"/>
  <c r="AR1469" i="5"/>
  <c r="AS1469" i="5" s="1"/>
  <c r="AJ1189" i="5"/>
  <c r="AI921" i="5"/>
  <c r="AZ1393" i="5"/>
  <c r="AW864" i="5"/>
  <c r="AX864" i="5" s="1"/>
  <c r="AT620" i="5"/>
  <c r="AU947" i="5"/>
  <c r="AV947" i="5" s="1"/>
  <c r="AU779" i="5"/>
  <c r="AV779" i="5" s="1"/>
  <c r="AZ1032" i="5"/>
  <c r="AU532" i="5"/>
  <c r="AV532" i="5" s="1"/>
  <c r="AS903" i="5"/>
  <c r="AW532" i="5"/>
  <c r="AX532" i="5" s="1"/>
  <c r="AJ1239" i="5"/>
  <c r="AS1497" i="5"/>
  <c r="AT1574" i="5"/>
  <c r="AI1485" i="5"/>
  <c r="AJ1508" i="5"/>
  <c r="AR1351" i="5"/>
  <c r="AT1351" i="5" s="1"/>
  <c r="AT1473" i="5"/>
  <c r="AZ1663" i="5"/>
  <c r="AY1154" i="5"/>
  <c r="AL1234" i="5"/>
  <c r="AS1226" i="5"/>
  <c r="AK1178" i="5"/>
  <c r="AQ1073" i="5"/>
  <c r="AQ841" i="5"/>
  <c r="AQ785" i="5"/>
  <c r="AQ579" i="5"/>
  <c r="AQ558" i="5"/>
  <c r="AQ538" i="5"/>
  <c r="AQ527" i="5"/>
  <c r="AQ471" i="5"/>
  <c r="AQ451" i="5"/>
  <c r="AQ319" i="5"/>
  <c r="D3185" i="5"/>
  <c r="AN3794" i="5"/>
  <c r="D3794" i="5" s="1"/>
  <c r="AU3288" i="5"/>
  <c r="A3288" i="5" s="1"/>
  <c r="D3297" i="5"/>
  <c r="AX3301" i="5"/>
  <c r="AX3303" i="5"/>
  <c r="AU3308" i="5"/>
  <c r="A3308" i="5" s="1"/>
  <c r="AX3310" i="5"/>
  <c r="AX3314" i="5"/>
  <c r="AX3318" i="5"/>
  <c r="AU3327" i="5"/>
  <c r="A3327" i="5" s="1"/>
  <c r="AU3330" i="5"/>
  <c r="A3330" i="5" s="1"/>
  <c r="AN3477" i="5"/>
  <c r="D3477" i="5" s="1"/>
  <c r="AN3805" i="5"/>
  <c r="AO3805" i="5" s="1"/>
  <c r="AP3805" i="5" s="1"/>
  <c r="AR3805" i="5" s="1"/>
  <c r="AL1786" i="5"/>
  <c r="AS1758" i="5"/>
  <c r="AJ1441" i="5"/>
  <c r="AT1354" i="5"/>
  <c r="AY1902" i="5"/>
  <c r="AY1658" i="5"/>
  <c r="AY1714" i="5"/>
  <c r="AZ1746" i="5"/>
  <c r="AK1775" i="5"/>
  <c r="AS1939" i="5"/>
  <c r="AY1674" i="5"/>
  <c r="AT1166" i="5"/>
  <c r="AK1290" i="5"/>
  <c r="AY1306" i="5"/>
  <c r="AZ1210" i="5"/>
  <c r="AJ1786" i="5"/>
  <c r="AU1239" i="5"/>
  <c r="AV1239" i="5" s="1"/>
  <c r="AJ2200" i="5"/>
  <c r="AR1441" i="5"/>
  <c r="AS1441" i="5" s="1"/>
  <c r="AL1362" i="5"/>
  <c r="AK1441" i="5"/>
  <c r="AJ1362" i="5"/>
  <c r="AJ1716" i="5"/>
  <c r="AU1746" i="5"/>
  <c r="AV1746" i="5" s="1"/>
  <c r="AY1806" i="5"/>
  <c r="AK2006" i="5"/>
  <c r="AK2174" i="5"/>
  <c r="AI1554" i="5"/>
  <c r="AY1028" i="5"/>
  <c r="AK1072" i="5"/>
  <c r="AI1178" i="5"/>
  <c r="AU1295" i="5"/>
  <c r="AV1295" i="5" s="1"/>
  <c r="AS1262" i="5"/>
  <c r="AT1314" i="5"/>
  <c r="AK1351" i="5"/>
  <c r="AY1690" i="5"/>
  <c r="AI1184" i="5"/>
  <c r="AJ992" i="5"/>
  <c r="AL992" i="5"/>
  <c r="AR1266" i="5"/>
  <c r="AS1266" i="5" s="1"/>
  <c r="AI1240" i="5"/>
  <c r="AZ1194" i="5"/>
  <c r="AK941" i="5"/>
  <c r="AY941" i="5"/>
  <c r="AK932" i="5"/>
  <c r="AJ896" i="5"/>
  <c r="AY912" i="5"/>
  <c r="AI1492" i="5"/>
  <c r="AI1141" i="5"/>
  <c r="AI1051" i="5"/>
  <c r="AI316" i="5"/>
  <c r="AS1318" i="5"/>
  <c r="AY1786" i="5"/>
  <c r="AY1989" i="5"/>
  <c r="AW1239" i="5"/>
  <c r="AX1239" i="5" s="1"/>
  <c r="AL1508" i="5"/>
  <c r="AJ1578" i="5"/>
  <c r="AT1870" i="5"/>
  <c r="AL1441" i="5"/>
  <c r="AW1441" i="5"/>
  <c r="AX1441" i="5" s="1"/>
  <c r="AZ1362" i="5"/>
  <c r="M975" i="5"/>
  <c r="F975" i="5" s="1"/>
  <c r="AM975" i="5" s="1"/>
  <c r="AS2018" i="5"/>
  <c r="AK1716" i="5"/>
  <c r="AZ1750" i="5"/>
  <c r="AS1814" i="5"/>
  <c r="AW2015" i="5"/>
  <c r="AX2015" i="5" s="1"/>
  <c r="AT2212" i="5"/>
  <c r="AL1554" i="5"/>
  <c r="AL1028" i="5"/>
  <c r="AY1072" i="5"/>
  <c r="AY1322" i="5"/>
  <c r="AZ1409" i="5"/>
  <c r="AT1558" i="5"/>
  <c r="AL1719" i="5"/>
  <c r="AL1068" i="5"/>
  <c r="AZ968" i="5"/>
  <c r="AK1194" i="5"/>
  <c r="AW1154" i="5"/>
  <c r="AX1154" i="5" s="1"/>
  <c r="AZ952" i="5"/>
  <c r="AU941" i="5"/>
  <c r="AV941" i="5" s="1"/>
  <c r="AS908" i="5"/>
  <c r="AY896" i="5"/>
  <c r="AY1445" i="5"/>
  <c r="AU1441" i="5"/>
  <c r="AV1441" i="5" s="1"/>
  <c r="AK1362" i="5"/>
  <c r="AZ1766" i="5"/>
  <c r="AT1686" i="5"/>
  <c r="AW1719" i="5"/>
  <c r="AX1719" i="5" s="1"/>
  <c r="AY1750" i="5"/>
  <c r="AI1832" i="5"/>
  <c r="AS2264" i="5"/>
  <c r="AZ1068" i="5"/>
  <c r="AI1127" i="5"/>
  <c r="AS1186" i="5"/>
  <c r="AZ1322" i="5"/>
  <c r="AZ1378" i="5"/>
  <c r="AL1414" i="5"/>
  <c r="AS1594" i="5"/>
  <c r="AL1582" i="5"/>
  <c r="AR1068" i="5"/>
  <c r="AT1068" i="5" s="1"/>
  <c r="AS1206" i="5"/>
  <c r="AR1414" i="5"/>
  <c r="AS1414" i="5" s="1"/>
  <c r="AT1222" i="5"/>
  <c r="AS1064" i="5"/>
  <c r="AR1239" i="5"/>
  <c r="AS1239" i="5" s="1"/>
  <c r="AZ2276" i="5"/>
  <c r="AY1239" i="5"/>
  <c r="AT1723" i="5"/>
  <c r="AJ2236" i="5"/>
  <c r="AZ1554" i="5"/>
  <c r="AK1445" i="5"/>
  <c r="AK1887" i="5"/>
  <c r="AJ1719" i="5"/>
  <c r="AK1752" i="5"/>
  <c r="AL1858" i="5"/>
  <c r="AJ1582" i="5"/>
  <c r="AI1194" i="5"/>
  <c r="AY1326" i="5"/>
  <c r="AL1382" i="5"/>
  <c r="AJ1607" i="5"/>
  <c r="AW1607" i="5"/>
  <c r="AX1607" i="5" s="1"/>
  <c r="AS1334" i="5"/>
  <c r="AZ1342" i="5"/>
  <c r="AJ1068" i="5"/>
  <c r="AY1887" i="5"/>
  <c r="AY1730" i="5"/>
  <c r="AK2122" i="5"/>
  <c r="AZ1445" i="5"/>
  <c r="AS2058" i="5"/>
  <c r="AL1910" i="5"/>
  <c r="AJ1694" i="5"/>
  <c r="AU1719" i="5"/>
  <c r="AV1719" i="5" s="1"/>
  <c r="AS1762" i="5"/>
  <c r="AY1862" i="5"/>
  <c r="AK2102" i="5"/>
  <c r="AS1590" i="5"/>
  <c r="AT1338" i="5"/>
  <c r="AS1610" i="5"/>
  <c r="AY1342" i="5"/>
  <c r="AS1278" i="5"/>
  <c r="AS1397" i="5"/>
  <c r="AY1234" i="5"/>
  <c r="AI1234" i="5"/>
  <c r="AU547" i="5"/>
  <c r="AV547" i="5" s="1"/>
  <c r="AL789" i="5"/>
  <c r="AJ502" i="5"/>
  <c r="AY643" i="5"/>
  <c r="AZ643" i="5"/>
  <c r="AT590" i="5"/>
  <c r="AQ314" i="5"/>
  <c r="AZ318" i="5"/>
  <c r="AZ323" i="5"/>
  <c r="AJ354" i="5"/>
  <c r="AY370" i="5"/>
  <c r="AJ390" i="5"/>
  <c r="AR406" i="5"/>
  <c r="AS406" i="5" s="1"/>
  <c r="AQ426" i="5"/>
  <c r="AI463" i="5"/>
  <c r="AI486" i="5"/>
  <c r="AT494" i="5"/>
  <c r="AU518" i="5"/>
  <c r="AV518" i="5" s="1"/>
  <c r="AY542" i="5"/>
  <c r="AT586" i="5"/>
  <c r="AZ634" i="5"/>
  <c r="AY654" i="5"/>
  <c r="AR667" i="5"/>
  <c r="AS667" i="5" s="1"/>
  <c r="AI688" i="5"/>
  <c r="AL1073" i="5"/>
  <c r="AS438" i="5"/>
  <c r="AK578" i="5"/>
  <c r="A4641" i="5"/>
  <c r="A4642" i="5" s="1"/>
  <c r="A4669" i="5"/>
  <c r="A4670" i="5" s="1"/>
  <c r="C4670" i="5" s="1"/>
  <c r="AK1073" i="5"/>
  <c r="AS2193" i="5"/>
  <c r="AR574" i="5"/>
  <c r="AT574" i="5" s="1"/>
  <c r="AS346" i="5"/>
  <c r="AJ614" i="5"/>
  <c r="AS606" i="5"/>
  <c r="AZ598" i="5"/>
  <c r="AK603" i="5"/>
  <c r="AY318" i="5"/>
  <c r="AT326" i="5"/>
  <c r="AL354" i="5"/>
  <c r="AL370" i="5"/>
  <c r="AY390" i="5"/>
  <c r="AL410" i="5"/>
  <c r="AL426" i="5"/>
  <c r="AQ462" i="5"/>
  <c r="AZ486" i="5"/>
  <c r="AK502" i="5"/>
  <c r="AI522" i="5"/>
  <c r="AR643" i="5"/>
  <c r="AS643" i="5" s="1"/>
  <c r="AY1077" i="5"/>
  <c r="AR877" i="5"/>
  <c r="AS877" i="5" s="1"/>
  <c r="AQ318" i="5"/>
  <c r="AI668" i="5"/>
  <c r="AJ667" i="5"/>
  <c r="AI654" i="5"/>
  <c r="AK654" i="5"/>
  <c r="AY558" i="5"/>
  <c r="AI558" i="5"/>
  <c r="AL558" i="5"/>
  <c r="AS398" i="5"/>
  <c r="AT398" i="5"/>
  <c r="AQ379" i="5"/>
  <c r="AK379" i="5"/>
  <c r="AL374" i="5"/>
  <c r="AJ374" i="5"/>
  <c r="AT366" i="5"/>
  <c r="AS366" i="5"/>
  <c r="AL350" i="5"/>
  <c r="AK350" i="5"/>
  <c r="AL314" i="5"/>
  <c r="AI314" i="5"/>
  <c r="AJ298" i="5"/>
  <c r="AZ298" i="5"/>
  <c r="F102" i="5"/>
  <c r="O117" i="5"/>
  <c r="F117" i="5" s="1"/>
  <c r="N3802" i="5"/>
  <c r="M3802" i="5" s="1"/>
  <c r="F3802" i="5" s="1"/>
  <c r="L3802" i="5" s="1"/>
  <c r="M3793" i="5"/>
  <c r="F3793" i="5" s="1"/>
  <c r="L3793" i="5" s="1"/>
  <c r="AY1078" i="5"/>
  <c r="AL1078" i="5"/>
  <c r="AI1083" i="5"/>
  <c r="AY1083" i="5"/>
  <c r="AZ1083" i="5"/>
  <c r="AQ1083" i="5"/>
  <c r="Q4721" i="5"/>
  <c r="G4728" i="5" s="1"/>
  <c r="H4728" i="5" s="1"/>
  <c r="G4724" i="5"/>
  <c r="H4724" i="5" s="1"/>
  <c r="F145" i="5"/>
  <c r="S157" i="5"/>
  <c r="F160" i="5" s="1"/>
  <c r="A4807" i="5"/>
  <c r="A4808" i="5" s="1"/>
  <c r="C4808" i="5" s="1"/>
  <c r="C4806" i="5"/>
  <c r="T4140" i="5"/>
  <c r="F4141" i="5" s="1"/>
  <c r="G4141" i="5"/>
  <c r="H4141" i="5" s="1"/>
  <c r="P193" i="5"/>
  <c r="Q193" i="5"/>
  <c r="Q194" i="5" s="1"/>
  <c r="F195" i="5" s="1"/>
  <c r="U193" i="5"/>
  <c r="U194" i="5" s="1"/>
  <c r="F199" i="5" s="1"/>
  <c r="O193" i="5"/>
  <c r="O194" i="5" s="1"/>
  <c r="F193" i="5" s="1"/>
  <c r="AS1418" i="5"/>
  <c r="AT1418" i="5"/>
  <c r="AK574" i="5"/>
  <c r="AJ603" i="5"/>
  <c r="AL738" i="5"/>
  <c r="AZ488" i="5"/>
  <c r="AJ558" i="5"/>
  <c r="AI709" i="5"/>
  <c r="AK298" i="5"/>
  <c r="AK314" i="5"/>
  <c r="AR323" i="5"/>
  <c r="AS323" i="5" s="1"/>
  <c r="AJ334" i="5"/>
  <c r="AZ350" i="5"/>
  <c r="AZ354" i="5"/>
  <c r="AK370" i="5"/>
  <c r="AI380" i="5"/>
  <c r="AZ390" i="5"/>
  <c r="AJ410" i="5"/>
  <c r="AY430" i="5"/>
  <c r="AI466" i="5"/>
  <c r="AJ491" i="5"/>
  <c r="AT530" i="5"/>
  <c r="AZ547" i="5"/>
  <c r="AI604" i="5"/>
  <c r="AT650" i="5"/>
  <c r="AJ658" i="5"/>
  <c r="AY667" i="5"/>
  <c r="AZ1081" i="5"/>
  <c r="AJ957" i="5"/>
  <c r="AI462" i="5"/>
  <c r="AI319" i="5"/>
  <c r="AK634" i="5"/>
  <c r="AI298" i="5"/>
  <c r="AY298" i="5"/>
  <c r="AS1528" i="5"/>
  <c r="AL1083" i="5"/>
  <c r="T110" i="5"/>
  <c r="F115" i="5" s="1"/>
  <c r="AL643" i="5"/>
  <c r="AJ643" i="5"/>
  <c r="AI643" i="5"/>
  <c r="AI435" i="5"/>
  <c r="AI634" i="5"/>
  <c r="AW643" i="5"/>
  <c r="AX643" i="5" s="1"/>
  <c r="AJ749" i="5"/>
  <c r="AI594" i="5"/>
  <c r="AQ298" i="5"/>
  <c r="AZ314" i="5"/>
  <c r="AW323" i="5"/>
  <c r="AX323" i="5" s="1"/>
  <c r="AI334" i="5"/>
  <c r="AQ350" i="5"/>
  <c r="AY354" i="5"/>
  <c r="AZ374" i="5"/>
  <c r="AJ379" i="5"/>
  <c r="AU406" i="5"/>
  <c r="AV406" i="5" s="1"/>
  <c r="AT418" i="5"/>
  <c r="AQ435" i="5"/>
  <c r="AS478" i="5"/>
  <c r="AY491" i="5"/>
  <c r="AT514" i="5"/>
  <c r="AI538" i="5"/>
  <c r="AK558" i="5"/>
  <c r="AI631" i="5"/>
  <c r="AW654" i="5"/>
  <c r="AX654" i="5" s="1"/>
  <c r="AK658" i="5"/>
  <c r="AZ667" i="5"/>
  <c r="AI989" i="5"/>
  <c r="AL1081" i="5"/>
  <c r="AJ1049" i="5"/>
  <c r="AI578" i="5"/>
  <c r="AK430" i="5"/>
  <c r="AY462" i="5"/>
  <c r="AZ658" i="5"/>
  <c r="AK1078" i="5"/>
  <c r="AQ702" i="5"/>
  <c r="AI1363" i="5"/>
  <c r="AL574" i="5"/>
  <c r="AJ729" i="5"/>
  <c r="AK323" i="5"/>
  <c r="AW350" i="5"/>
  <c r="AX350" i="5" s="1"/>
  <c r="AS362" i="5"/>
  <c r="AQ374" i="5"/>
  <c r="AU654" i="5"/>
  <c r="AV654" i="5" s="1"/>
  <c r="AI667" i="5"/>
  <c r="AS813" i="5"/>
  <c r="AI1013" i="5"/>
  <c r="AZ1078" i="5"/>
  <c r="AK643" i="5"/>
  <c r="AT777" i="5"/>
  <c r="AT725" i="5"/>
  <c r="AT306" i="5"/>
  <c r="AK318" i="5"/>
  <c r="AY334" i="5"/>
  <c r="AU379" i="5"/>
  <c r="AV379" i="5" s="1"/>
  <c r="AZ406" i="5"/>
  <c r="AQ446" i="5"/>
  <c r="AQ482" i="5"/>
  <c r="AR491" i="5"/>
  <c r="AS491" i="5" s="1"/>
  <c r="AJ518" i="5"/>
  <c r="AZ538" i="5"/>
  <c r="AT570" i="5"/>
  <c r="AL634" i="5"/>
  <c r="AY658" i="5"/>
  <c r="AK789" i="5"/>
  <c r="AZ558" i="5"/>
  <c r="AL318" i="5"/>
  <c r="AL323" i="5"/>
  <c r="AY350" i="5"/>
  <c r="AY374" i="5"/>
  <c r="AT382" i="5"/>
  <c r="AZ446" i="5"/>
  <c r="AJ482" i="5"/>
  <c r="AK491" i="5"/>
  <c r="AI518" i="5"/>
  <c r="AY538" i="5"/>
  <c r="AI579" i="5"/>
  <c r="AR654" i="5"/>
  <c r="AS654" i="5" s="1"/>
  <c r="AL667" i="5"/>
  <c r="AS1243" i="5"/>
  <c r="AJ1053" i="5"/>
  <c r="AQ1055" i="5"/>
  <c r="AQ943" i="5"/>
  <c r="AQ836" i="5"/>
  <c r="AQ807" i="5"/>
  <c r="AQ791" i="5"/>
  <c r="AQ745" i="5"/>
  <c r="AQ725" i="5"/>
  <c r="AQ721" i="5"/>
  <c r="AQ710" i="5"/>
  <c r="AQ678" i="5"/>
  <c r="AQ674" i="5"/>
  <c r="AQ669" i="5"/>
  <c r="AQ664" i="5"/>
  <c r="AQ655" i="5"/>
  <c r="AQ650" i="5"/>
  <c r="AQ640" i="5"/>
  <c r="AQ636" i="5"/>
  <c r="AQ616" i="5"/>
  <c r="AQ610" i="5"/>
  <c r="AQ590" i="5"/>
  <c r="AQ589" i="5"/>
  <c r="AQ566" i="5"/>
  <c r="AQ564" i="5"/>
  <c r="AQ560" i="5"/>
  <c r="AQ549" i="5"/>
  <c r="AQ544" i="5"/>
  <c r="AQ534" i="5"/>
  <c r="AQ533" i="5"/>
  <c r="AQ529" i="5"/>
  <c r="AQ510" i="5"/>
  <c r="AQ509" i="5"/>
  <c r="AQ508" i="5"/>
  <c r="AQ494" i="5"/>
  <c r="AQ493" i="5"/>
  <c r="AQ489" i="5"/>
  <c r="AQ488" i="5"/>
  <c r="AQ478" i="5"/>
  <c r="AQ477" i="5"/>
  <c r="AQ474" i="5"/>
  <c r="AQ468" i="5"/>
  <c r="AQ458" i="5"/>
  <c r="AQ457" i="5"/>
  <c r="AQ454" i="5"/>
  <c r="AQ453" i="5"/>
  <c r="AQ452" i="5"/>
  <c r="AQ448" i="5"/>
  <c r="AQ442" i="5"/>
  <c r="AQ438" i="5"/>
  <c r="AQ436" i="5"/>
  <c r="AQ434" i="5"/>
  <c r="AQ433" i="5"/>
  <c r="AQ432" i="5"/>
  <c r="AQ422" i="5"/>
  <c r="AQ421" i="5"/>
  <c r="AQ417" i="5"/>
  <c r="AQ416" i="5"/>
  <c r="AQ412" i="5"/>
  <c r="AQ402" i="5"/>
  <c r="AQ397" i="5"/>
  <c r="AQ396" i="5"/>
  <c r="AQ392" i="5"/>
  <c r="AQ386" i="5"/>
  <c r="AQ382" i="5"/>
  <c r="AQ381" i="5"/>
  <c r="AQ378" i="5"/>
  <c r="AQ377" i="5"/>
  <c r="AQ376" i="5"/>
  <c r="AQ366" i="5"/>
  <c r="AQ365" i="5"/>
  <c r="AQ362" i="5"/>
  <c r="AQ361" i="5"/>
  <c r="AQ360" i="5"/>
  <c r="AQ357" i="5"/>
  <c r="AQ356" i="5"/>
  <c r="AQ351" i="5"/>
  <c r="AQ346" i="5"/>
  <c r="AQ345" i="5"/>
  <c r="AQ342" i="5"/>
  <c r="AQ341" i="5"/>
  <c r="AQ340" i="5"/>
  <c r="AQ330" i="5"/>
  <c r="AQ325" i="5"/>
  <c r="AQ322" i="5"/>
  <c r="AQ321" i="5"/>
  <c r="AQ320" i="5"/>
  <c r="AQ310" i="5"/>
  <c r="AQ309" i="5"/>
  <c r="AQ305" i="5"/>
  <c r="AQ304" i="5"/>
  <c r="AQ301" i="5"/>
  <c r="AQ300" i="5"/>
  <c r="AQ295" i="5"/>
  <c r="AQ294" i="5"/>
  <c r="AU3182" i="5"/>
  <c r="AV3182" i="5" s="1"/>
  <c r="AW3182" i="5" s="1"/>
  <c r="AY3182" i="5" s="1"/>
  <c r="AU3183" i="5"/>
  <c r="A3183" i="5" s="1"/>
  <c r="D3184" i="5"/>
  <c r="AX3185" i="5"/>
  <c r="AU3186" i="5"/>
  <c r="A3186" i="5" s="1"/>
  <c r="AU3188" i="5"/>
  <c r="A3188" i="5" s="1"/>
  <c r="AX3189" i="5"/>
  <c r="AX3190" i="5"/>
  <c r="AU3192" i="5"/>
  <c r="A3192" i="5" s="1"/>
  <c r="AU3193" i="5"/>
  <c r="AV3193" i="5" s="1"/>
  <c r="AW3193" i="5" s="1"/>
  <c r="AY3193" i="5" s="1"/>
  <c r="AU3195" i="5"/>
  <c r="A3195" i="5" s="1"/>
  <c r="AU3197" i="5"/>
  <c r="A3197" i="5" s="1"/>
  <c r="AU3199" i="5"/>
  <c r="A3199" i="5" s="1"/>
  <c r="D3200" i="5"/>
  <c r="AU3203" i="5"/>
  <c r="AV3203" i="5" s="1"/>
  <c r="AW3203" i="5" s="1"/>
  <c r="AY3203" i="5" s="1"/>
  <c r="AU3204" i="5"/>
  <c r="A3204" i="5" s="1"/>
  <c r="AX3206" i="5"/>
  <c r="AU3208" i="5"/>
  <c r="AV3208" i="5" s="1"/>
  <c r="AW3208" i="5" s="1"/>
  <c r="AY3208" i="5" s="1"/>
  <c r="AX3210" i="5"/>
  <c r="AX3212" i="5"/>
  <c r="AX3213" i="5"/>
  <c r="D3216" i="5"/>
  <c r="AX3217" i="5"/>
  <c r="AU3218" i="5"/>
  <c r="A3218" i="5" s="1"/>
  <c r="AX3220" i="5"/>
  <c r="AX3222" i="5"/>
  <c r="F4771" i="5"/>
  <c r="AX3223" i="5"/>
  <c r="AU3226" i="5"/>
  <c r="AV3226" i="5" s="1"/>
  <c r="AW3226" i="5" s="1"/>
  <c r="AY3226" i="5" s="1"/>
  <c r="AU3227" i="5"/>
  <c r="A3227" i="5" s="1"/>
  <c r="AU3230" i="5"/>
  <c r="AV3230" i="5" s="1"/>
  <c r="AW3230" i="5" s="1"/>
  <c r="AY3230" i="5" s="1"/>
  <c r="AU3231" i="5"/>
  <c r="AV3231" i="5" s="1"/>
  <c r="AW3231" i="5" s="1"/>
  <c r="AY3231" i="5" s="1"/>
  <c r="AU3234" i="5"/>
  <c r="A3234" i="5" s="1"/>
  <c r="D3235" i="5"/>
  <c r="AU3238" i="5"/>
  <c r="A3238" i="5" s="1"/>
  <c r="AU3243" i="5"/>
  <c r="AV3243" i="5" s="1"/>
  <c r="AW3243" i="5" s="1"/>
  <c r="AY3243" i="5" s="1"/>
  <c r="D3246" i="5"/>
  <c r="D3249" i="5"/>
  <c r="AX3252" i="5"/>
  <c r="AU3254" i="5"/>
  <c r="AV3254" i="5" s="1"/>
  <c r="AW3254" i="5" s="1"/>
  <c r="AY3254" i="5" s="1"/>
  <c r="AN3466" i="5"/>
  <c r="AQ3466" i="5" s="1"/>
  <c r="AN3468" i="5"/>
  <c r="A3468" i="5" s="1"/>
  <c r="AN3694" i="5"/>
  <c r="AS3694" i="5" s="1"/>
  <c r="AN3698" i="5"/>
  <c r="AO3698" i="5" s="1"/>
  <c r="AP3698" i="5" s="1"/>
  <c r="AR3698" i="5" s="1"/>
  <c r="AN3701" i="5"/>
  <c r="AO3701" i="5" s="1"/>
  <c r="AP3701" i="5" s="1"/>
  <c r="AR3701" i="5" s="1"/>
  <c r="AN3795" i="5"/>
  <c r="D3795" i="5" s="1"/>
  <c r="AN3797" i="5"/>
  <c r="A3797" i="5" s="1"/>
  <c r="AN3799" i="5"/>
  <c r="D3799" i="5" s="1"/>
  <c r="AQ1525" i="5"/>
  <c r="AU3261" i="5"/>
  <c r="A3261" i="5" s="1"/>
  <c r="AU3263" i="5"/>
  <c r="A3263" i="5" s="1"/>
  <c r="AX3266" i="5"/>
  <c r="AX3267" i="5"/>
  <c r="AX3268" i="5"/>
  <c r="D3269" i="5"/>
  <c r="AU3270" i="5"/>
  <c r="D3273" i="5"/>
  <c r="AX3275" i="5"/>
  <c r="AX3276" i="5"/>
  <c r="AU3278" i="5"/>
  <c r="A3278" i="5" s="1"/>
  <c r="AU3279" i="5"/>
  <c r="A3279" i="5" s="1"/>
  <c r="AX3280" i="5"/>
  <c r="D3281" i="5"/>
  <c r="AU3283" i="5"/>
  <c r="A3283" i="5" s="1"/>
  <c r="AX3284" i="5"/>
  <c r="D3286" i="5"/>
  <c r="AX3287" i="5"/>
  <c r="AX3290" i="5"/>
  <c r="AU3293" i="5"/>
  <c r="A3293" i="5" s="1"/>
  <c r="AU3295" i="5"/>
  <c r="A3295" i="5" s="1"/>
  <c r="D3296" i="5"/>
  <c r="AX3298" i="5"/>
  <c r="D3301" i="5"/>
  <c r="D3302" i="5"/>
  <c r="AU3304" i="5"/>
  <c r="A3304" i="5" s="1"/>
  <c r="AX3308" i="5"/>
  <c r="AU3312" i="5"/>
  <c r="A3312" i="5" s="1"/>
  <c r="AU3313" i="5"/>
  <c r="A3313" i="5" s="1"/>
  <c r="D3316" i="5"/>
  <c r="D3318" i="5"/>
  <c r="D3322" i="5"/>
  <c r="AX3326" i="5"/>
  <c r="AX3327" i="5"/>
  <c r="D3328" i="5"/>
  <c r="AX3330" i="5"/>
  <c r="AU3331" i="5"/>
  <c r="A3331" i="5" s="1"/>
  <c r="AU3333" i="5"/>
  <c r="A3333" i="5" s="1"/>
  <c r="AN3470" i="5"/>
  <c r="AO3470" i="5" s="1"/>
  <c r="AP3470" i="5" s="1"/>
  <c r="AR3470" i="5" s="1"/>
  <c r="AN3472" i="5"/>
  <c r="D3472" i="5" s="1"/>
  <c r="AN3475" i="5"/>
  <c r="D3475" i="5" s="1"/>
  <c r="AN3705" i="5"/>
  <c r="AO3705" i="5" s="1"/>
  <c r="AP3705" i="5" s="1"/>
  <c r="AR3705" i="5" s="1"/>
  <c r="AN3707" i="5"/>
  <c r="AO3707" i="5" s="1"/>
  <c r="AP3707" i="5" s="1"/>
  <c r="AR3707" i="5" s="1"/>
  <c r="AN3806" i="5"/>
  <c r="AO3806" i="5" s="1"/>
  <c r="AP3806" i="5" s="1"/>
  <c r="AR3806" i="5" s="1"/>
  <c r="AN3808" i="5"/>
  <c r="AO3808" i="5" s="1"/>
  <c r="AP3808" i="5" s="1"/>
  <c r="AR3808" i="5" s="1"/>
  <c r="AM1083" i="5"/>
  <c r="AQ1094" i="5"/>
  <c r="AQ1092" i="5"/>
  <c r="AQ684" i="5"/>
  <c r="AQ1085" i="5"/>
  <c r="AQ1955" i="5"/>
  <c r="AQ1949" i="5"/>
  <c r="AQ1095" i="5"/>
  <c r="AQ1097" i="5"/>
  <c r="AQ1954" i="5"/>
  <c r="AQ693" i="5"/>
  <c r="AQ1958" i="5"/>
  <c r="AQ1104" i="5"/>
  <c r="AQ1115" i="5"/>
  <c r="AM1553" i="5"/>
  <c r="AZ1256" i="5"/>
  <c r="AK1256" i="5"/>
  <c r="AS1132" i="5"/>
  <c r="AT1132" i="5"/>
  <c r="AS971" i="5"/>
  <c r="AT971" i="5"/>
  <c r="AZ884" i="5"/>
  <c r="AJ884" i="5"/>
  <c r="AK884" i="5"/>
  <c r="AI885" i="5"/>
  <c r="AL884" i="5"/>
  <c r="AW884" i="5"/>
  <c r="AX884" i="5" s="1"/>
  <c r="AU884" i="5"/>
  <c r="AV884" i="5" s="1"/>
  <c r="AJ810" i="5"/>
  <c r="AK810" i="5"/>
  <c r="AZ810" i="5"/>
  <c r="AY810" i="5"/>
  <c r="AL810" i="5"/>
  <c r="AT802" i="5"/>
  <c r="AS802" i="5"/>
  <c r="AI751" i="5"/>
  <c r="AK750" i="5"/>
  <c r="AZ750" i="5"/>
  <c r="AY750" i="5"/>
  <c r="AJ750" i="5"/>
  <c r="AJ543" i="5"/>
  <c r="AI544" i="5"/>
  <c r="AY543" i="5"/>
  <c r="AL543" i="5"/>
  <c r="AK543" i="5"/>
  <c r="AZ543" i="5"/>
  <c r="AZ512" i="5"/>
  <c r="AI513" i="5"/>
  <c r="AW512" i="5"/>
  <c r="AX512" i="5" s="1"/>
  <c r="AL512" i="5"/>
  <c r="AR512" i="5"/>
  <c r="AT512" i="5" s="1"/>
  <c r="AU512" i="5"/>
  <c r="AV512" i="5" s="1"/>
  <c r="AY512" i="5"/>
  <c r="AK512" i="5"/>
  <c r="AS479" i="5"/>
  <c r="AT479" i="5"/>
  <c r="AQ467" i="5"/>
  <c r="AK467" i="5"/>
  <c r="AJ467" i="5"/>
  <c r="AZ467" i="5"/>
  <c r="AS403" i="5"/>
  <c r="AT403" i="5"/>
  <c r="AS387" i="5"/>
  <c r="AT387" i="5"/>
  <c r="AK335" i="5"/>
  <c r="AY335" i="5"/>
  <c r="AZ335" i="5"/>
  <c r="AJ335" i="5"/>
  <c r="AL335" i="5"/>
  <c r="AI336" i="5"/>
  <c r="AI335" i="5"/>
  <c r="AT327" i="5"/>
  <c r="AS327" i="5"/>
  <c r="AM292" i="5"/>
  <c r="AI292" i="5"/>
  <c r="C4664" i="5"/>
  <c r="A4665" i="5"/>
  <c r="C4665" i="5" s="1"/>
  <c r="D3219" i="5"/>
  <c r="AX3219" i="5"/>
  <c r="AU3247" i="5"/>
  <c r="A3247" i="5" s="1"/>
  <c r="AX3247" i="5"/>
  <c r="D3247" i="5"/>
  <c r="AU3250" i="5"/>
  <c r="AV3250" i="5" s="1"/>
  <c r="AW3250" i="5" s="1"/>
  <c r="AY3250" i="5" s="1"/>
  <c r="D3250" i="5"/>
  <c r="AX3250" i="5"/>
  <c r="AI928" i="5"/>
  <c r="AI391" i="5"/>
  <c r="AX3203" i="5"/>
  <c r="AX3273" i="5"/>
  <c r="D3284" i="5"/>
  <c r="AU3268" i="5"/>
  <c r="A3268" i="5" s="1"/>
  <c r="AX3226" i="5"/>
  <c r="D3218" i="5"/>
  <c r="AU3210" i="5"/>
  <c r="AV3210" i="5" s="1"/>
  <c r="AW3210" i="5" s="1"/>
  <c r="AY3210" i="5" s="1"/>
  <c r="D3204" i="5"/>
  <c r="D3197" i="5"/>
  <c r="AU3190" i="5"/>
  <c r="A3190" i="5" s="1"/>
  <c r="AZ507" i="5"/>
  <c r="AL431" i="5"/>
  <c r="AI432" i="5"/>
  <c r="AY292" i="5"/>
  <c r="AW427" i="5"/>
  <c r="AX427" i="5" s="1"/>
  <c r="AI663" i="5"/>
  <c r="AK730" i="5"/>
  <c r="AI759" i="5"/>
  <c r="AR815" i="5"/>
  <c r="AT815" i="5" s="1"/>
  <c r="AI975" i="5"/>
  <c r="AL1050" i="5"/>
  <c r="AZ1216" i="5"/>
  <c r="AL1364" i="5"/>
  <c r="AU1364" i="5"/>
  <c r="AV1364" i="5" s="1"/>
  <c r="AZ1292" i="5"/>
  <c r="AI1293" i="5"/>
  <c r="AJ1220" i="5"/>
  <c r="AZ1220" i="5"/>
  <c r="AL1220" i="5"/>
  <c r="AK1054" i="5"/>
  <c r="AI1055" i="5"/>
  <c r="AY1054" i="5"/>
  <c r="AJ1054" i="5"/>
  <c r="AT1046" i="5"/>
  <c r="AS1046" i="5"/>
  <c r="AT1026" i="5"/>
  <c r="AS1026" i="5"/>
  <c r="AJ1014" i="5"/>
  <c r="AL1014" i="5"/>
  <c r="AZ1014" i="5"/>
  <c r="AK994" i="5"/>
  <c r="AL994" i="5"/>
  <c r="AY994" i="5"/>
  <c r="AI995" i="5"/>
  <c r="AI978" i="5"/>
  <c r="AK978" i="5"/>
  <c r="AL978" i="5"/>
  <c r="AJ978" i="5"/>
  <c r="AZ978" i="5"/>
  <c r="AZ960" i="5"/>
  <c r="AY960" i="5"/>
  <c r="AI960" i="5"/>
  <c r="AI939" i="5"/>
  <c r="AJ938" i="5"/>
  <c r="AL938" i="5"/>
  <c r="AZ938" i="5"/>
  <c r="AI919" i="5"/>
  <c r="AK918" i="5"/>
  <c r="AL918" i="5"/>
  <c r="AJ918" i="5"/>
  <c r="AY902" i="5"/>
  <c r="AL902" i="5"/>
  <c r="AJ902" i="5"/>
  <c r="AY871" i="5"/>
  <c r="AU871" i="5"/>
  <c r="AV871" i="5" s="1"/>
  <c r="AR871" i="5"/>
  <c r="AK871" i="5"/>
  <c r="AZ871" i="5"/>
  <c r="AI872" i="5"/>
  <c r="AI871" i="5"/>
  <c r="AL871" i="5"/>
  <c r="AZ842" i="5"/>
  <c r="AY842" i="5"/>
  <c r="AR842" i="5"/>
  <c r="AW842" i="5"/>
  <c r="AX842" i="5" s="1"/>
  <c r="AK842" i="5"/>
  <c r="AJ842" i="5"/>
  <c r="AY714" i="5"/>
  <c r="AJ714" i="5"/>
  <c r="AZ714" i="5"/>
  <c r="AK714" i="5"/>
  <c r="AI714" i="5"/>
  <c r="AT706" i="5"/>
  <c r="AS706" i="5"/>
  <c r="AT651" i="5"/>
  <c r="AS651" i="5"/>
  <c r="AY635" i="5"/>
  <c r="AL635" i="5"/>
  <c r="AI635" i="5"/>
  <c r="AI636" i="5"/>
  <c r="AK635" i="5"/>
  <c r="AJ635" i="5"/>
  <c r="AZ635" i="5"/>
  <c r="AQ615" i="5"/>
  <c r="AJ615" i="5"/>
  <c r="AZ615" i="5"/>
  <c r="AI616" i="5"/>
  <c r="AY615" i="5"/>
  <c r="AL615" i="5"/>
  <c r="AK615" i="5"/>
  <c r="AT607" i="5"/>
  <c r="AS607" i="5"/>
  <c r="AT587" i="5"/>
  <c r="AS587" i="5"/>
  <c r="AL539" i="5"/>
  <c r="AZ539" i="5"/>
  <c r="AJ539" i="5"/>
  <c r="AU539" i="5"/>
  <c r="AV539" i="5" s="1"/>
  <c r="AW539" i="5"/>
  <c r="AX539" i="5" s="1"/>
  <c r="AK539" i="5"/>
  <c r="AI539" i="5"/>
  <c r="AY539" i="5"/>
  <c r="AR539" i="5"/>
  <c r="AT539" i="5" s="1"/>
  <c r="AJ487" i="5"/>
  <c r="AI487" i="5"/>
  <c r="AZ487" i="5"/>
  <c r="AI488" i="5"/>
  <c r="AL487" i="5"/>
  <c r="AQ487" i="5"/>
  <c r="AY487" i="5"/>
  <c r="AI452" i="5"/>
  <c r="AI451" i="5"/>
  <c r="AL451" i="5"/>
  <c r="AZ451" i="5"/>
  <c r="AY451" i="5"/>
  <c r="AI300" i="5"/>
  <c r="AY299" i="5"/>
  <c r="AJ299" i="5"/>
  <c r="AI299" i="5"/>
  <c r="AQ299" i="5"/>
  <c r="AL299" i="5"/>
  <c r="AX3232" i="5"/>
  <c r="AU3232" i="5"/>
  <c r="A3232" i="5" s="1"/>
  <c r="AU3233" i="5"/>
  <c r="A3233" i="5" s="1"/>
  <c r="D3233" i="5"/>
  <c r="AX3236" i="5"/>
  <c r="AU3236" i="5"/>
  <c r="AV3236" i="5" s="1"/>
  <c r="AW3236" i="5" s="1"/>
  <c r="AY3236" i="5" s="1"/>
  <c r="AI979" i="5"/>
  <c r="AJ927" i="5"/>
  <c r="AI903" i="5"/>
  <c r="AY1593" i="5"/>
  <c r="AL391" i="5"/>
  <c r="AX3233" i="5"/>
  <c r="AU3273" i="5"/>
  <c r="A3273" i="5" s="1"/>
  <c r="AU3284" i="5"/>
  <c r="A3284" i="5" s="1"/>
  <c r="D3268" i="5"/>
  <c r="AX3231" i="5"/>
  <c r="D3226" i="5"/>
  <c r="AX3218" i="5"/>
  <c r="D3210" i="5"/>
  <c r="D3203" i="5"/>
  <c r="AX3195" i="5"/>
  <c r="AX3188" i="5"/>
  <c r="AY467" i="5"/>
  <c r="AK292" i="5"/>
  <c r="AQ447" i="5"/>
  <c r="AI731" i="5"/>
  <c r="AK882" i="5"/>
  <c r="AI1063" i="5"/>
  <c r="AY411" i="5"/>
  <c r="AK1368" i="5"/>
  <c r="AJ1368" i="5"/>
  <c r="AJ1328" i="5"/>
  <c r="AL1328" i="5"/>
  <c r="AS1320" i="5"/>
  <c r="AT1320" i="5"/>
  <c r="AT1268" i="5"/>
  <c r="AS1268" i="5"/>
  <c r="AI1237" i="5"/>
  <c r="AK1236" i="5"/>
  <c r="AS1152" i="5"/>
  <c r="AT1152" i="5"/>
  <c r="AW1039" i="5"/>
  <c r="AX1039" i="5" s="1"/>
  <c r="AY1039" i="5"/>
  <c r="AU1039" i="5"/>
  <c r="AV1039" i="5" s="1"/>
  <c r="AI1040" i="5"/>
  <c r="AL1039" i="5"/>
  <c r="AS1006" i="5"/>
  <c r="AT1006" i="5"/>
  <c r="AS1002" i="5"/>
  <c r="AT1002" i="5"/>
  <c r="AZ974" i="5"/>
  <c r="AK974" i="5"/>
  <c r="AL974" i="5"/>
  <c r="AJ974" i="5"/>
  <c r="AS966" i="5"/>
  <c r="AT966" i="5"/>
  <c r="AJ958" i="5"/>
  <c r="AY958" i="5"/>
  <c r="AI959" i="5"/>
  <c r="AZ958" i="5"/>
  <c r="AL958" i="5"/>
  <c r="AT950" i="5"/>
  <c r="AS950" i="5"/>
  <c r="AL846" i="5"/>
  <c r="AZ846" i="5"/>
  <c r="AJ846" i="5"/>
  <c r="AY846" i="5"/>
  <c r="AT834" i="5"/>
  <c r="AS834" i="5"/>
  <c r="AU786" i="5"/>
  <c r="AV786" i="5" s="1"/>
  <c r="AZ786" i="5"/>
  <c r="AL786" i="5"/>
  <c r="AR786" i="5"/>
  <c r="AS786" i="5" s="1"/>
  <c r="AK786" i="5"/>
  <c r="AY786" i="5"/>
  <c r="AW786" i="5"/>
  <c r="AX786" i="5" s="1"/>
  <c r="AJ786" i="5"/>
  <c r="AT679" i="5"/>
  <c r="AS679" i="5"/>
  <c r="AS671" i="5"/>
  <c r="AT671" i="5"/>
  <c r="AL568" i="5"/>
  <c r="AI569" i="5"/>
  <c r="AW568" i="5"/>
  <c r="AX568" i="5" s="1"/>
  <c r="AU568" i="5"/>
  <c r="AV568" i="5" s="1"/>
  <c r="AY568" i="5"/>
  <c r="AR568" i="5"/>
  <c r="AT568" i="5" s="1"/>
  <c r="AK568" i="5"/>
  <c r="AJ568" i="5"/>
  <c r="AT499" i="5"/>
  <c r="AS499" i="5"/>
  <c r="AW456" i="5"/>
  <c r="AX456" i="5" s="1"/>
  <c r="AR456" i="5"/>
  <c r="AT456" i="5" s="1"/>
  <c r="AI456" i="5"/>
  <c r="AU456" i="5"/>
  <c r="AV456" i="5" s="1"/>
  <c r="AL456" i="5"/>
  <c r="AI457" i="5"/>
  <c r="AJ456" i="5"/>
  <c r="AK456" i="5"/>
  <c r="AZ456" i="5"/>
  <c r="AY456" i="5"/>
  <c r="AY400" i="5"/>
  <c r="AJ400" i="5"/>
  <c r="AW400" i="5"/>
  <c r="AX400" i="5" s="1"/>
  <c r="AZ400" i="5"/>
  <c r="AI400" i="5"/>
  <c r="AU400" i="5"/>
  <c r="AV400" i="5" s="1"/>
  <c r="AQ400" i="5"/>
  <c r="AI401" i="5"/>
  <c r="AK400" i="5"/>
  <c r="AR400" i="5"/>
  <c r="AT400" i="5" s="1"/>
  <c r="AY355" i="5"/>
  <c r="AK355" i="5"/>
  <c r="AZ355" i="5"/>
  <c r="AJ355" i="5"/>
  <c r="AI355" i="5"/>
  <c r="AL355" i="5"/>
  <c r="AI356" i="5"/>
  <c r="AQ355" i="5"/>
  <c r="AS347" i="5"/>
  <c r="AT347" i="5"/>
  <c r="AL315" i="5"/>
  <c r="AW315" i="5"/>
  <c r="AX315" i="5" s="1"/>
  <c r="AR315" i="5"/>
  <c r="AS315" i="5" s="1"/>
  <c r="AU315" i="5"/>
  <c r="AV315" i="5" s="1"/>
  <c r="AK315" i="5"/>
  <c r="AZ315" i="5"/>
  <c r="AJ315" i="5"/>
  <c r="AU3282" i="5"/>
  <c r="A3282" i="5" s="1"/>
  <c r="AX3282" i="5"/>
  <c r="D3282" i="5"/>
  <c r="AI392" i="5"/>
  <c r="AX3193" i="5"/>
  <c r="D3231" i="5"/>
  <c r="AX3269" i="5"/>
  <c r="AU3212" i="5"/>
  <c r="AX3283" i="5"/>
  <c r="D3276" i="5"/>
  <c r="AX3216" i="5"/>
  <c r="D3195" i="5"/>
  <c r="D3188" i="5"/>
  <c r="AK451" i="5"/>
  <c r="AS423" i="5"/>
  <c r="AK299" i="5"/>
  <c r="AS363" i="5"/>
  <c r="AJ512" i="5"/>
  <c r="AJ960" i="5"/>
  <c r="AT675" i="5"/>
  <c r="AK770" i="5"/>
  <c r="AS838" i="5"/>
  <c r="AK938" i="5"/>
  <c r="AT1264" i="5"/>
  <c r="D3186" i="5"/>
  <c r="AI512" i="5"/>
  <c r="D3288" i="5"/>
  <c r="AX3288" i="5"/>
  <c r="D3289" i="5"/>
  <c r="AU3289" i="5"/>
  <c r="A3289" i="5" s="1"/>
  <c r="D3292" i="5"/>
  <c r="AX3292" i="5"/>
  <c r="AU3292" i="5"/>
  <c r="A3292" i="5" s="1"/>
  <c r="AX3294" i="5"/>
  <c r="D3294" i="5"/>
  <c r="AU3294" i="5"/>
  <c r="A3294" i="5" s="1"/>
  <c r="AU3299" i="5"/>
  <c r="A3299" i="5" s="1"/>
  <c r="AX3299" i="5"/>
  <c r="AU3306" i="5"/>
  <c r="A3306" i="5" s="1"/>
  <c r="AX3306" i="5"/>
  <c r="AU3307" i="5"/>
  <c r="A3307" i="5" s="1"/>
  <c r="D3307" i="5"/>
  <c r="AX3307" i="5"/>
  <c r="D3310" i="5"/>
  <c r="AU3310" i="5"/>
  <c r="A3310" i="5" s="1"/>
  <c r="D3311" i="5"/>
  <c r="AU3311" i="5"/>
  <c r="A3311" i="5" s="1"/>
  <c r="AU3315" i="5"/>
  <c r="A3315" i="5" s="1"/>
  <c r="D3315" i="5"/>
  <c r="AU3319" i="5"/>
  <c r="A3319" i="5" s="1"/>
  <c r="AX3319" i="5"/>
  <c r="D3320" i="5"/>
  <c r="AU3320" i="5"/>
  <c r="A3320" i="5" s="1"/>
  <c r="AU3321" i="5"/>
  <c r="A3321" i="5" s="1"/>
  <c r="AX3321" i="5"/>
  <c r="AU3323" i="5"/>
  <c r="A3323" i="5" s="1"/>
  <c r="D3323" i="5"/>
  <c r="AU3325" i="5"/>
  <c r="A3325" i="5" s="1"/>
  <c r="D3325" i="5"/>
  <c r="AU3329" i="5"/>
  <c r="A3329" i="5" s="1"/>
  <c r="AX3329" i="5"/>
  <c r="D3329" i="5"/>
  <c r="AU3332" i="5"/>
  <c r="A3332" i="5" s="1"/>
  <c r="AX3332" i="5"/>
  <c r="AJ1225" i="5"/>
  <c r="AW1225" i="5"/>
  <c r="AX1225" i="5" s="1"/>
  <c r="AS1192" i="5"/>
  <c r="AT1192" i="5"/>
  <c r="AK1063" i="5"/>
  <c r="AW1063" i="5"/>
  <c r="AX1063" i="5" s="1"/>
  <c r="AY1063" i="5"/>
  <c r="AK1034" i="5"/>
  <c r="AL1034" i="5"/>
  <c r="AI1034" i="5"/>
  <c r="AY1034" i="5"/>
  <c r="AS946" i="5"/>
  <c r="AT946" i="5"/>
  <c r="AS914" i="5"/>
  <c r="AT914" i="5"/>
  <c r="AT855" i="5"/>
  <c r="AS855" i="5"/>
  <c r="AL806" i="5"/>
  <c r="AY806" i="5"/>
  <c r="AZ806" i="5"/>
  <c r="AI807" i="5"/>
  <c r="AK806" i="5"/>
  <c r="AI806" i="5"/>
  <c r="AJ806" i="5"/>
  <c r="AS798" i="5"/>
  <c r="AT798" i="5"/>
  <c r="AY790" i="5"/>
  <c r="AL790" i="5"/>
  <c r="AK790" i="5"/>
  <c r="AQ790" i="5"/>
  <c r="AT782" i="5"/>
  <c r="AS782" i="5"/>
  <c r="AJ759" i="5"/>
  <c r="AI760" i="5"/>
  <c r="AW759" i="5"/>
  <c r="AX759" i="5" s="1"/>
  <c r="AU759" i="5"/>
  <c r="AV759" i="5" s="1"/>
  <c r="AL759" i="5"/>
  <c r="AR759" i="5"/>
  <c r="AT759" i="5" s="1"/>
  <c r="AY759" i="5"/>
  <c r="AK663" i="5"/>
  <c r="AJ663" i="5"/>
  <c r="AZ663" i="5"/>
  <c r="AI664" i="5"/>
  <c r="AY663" i="5"/>
  <c r="AT647" i="5"/>
  <c r="AS647" i="5"/>
  <c r="AY639" i="5"/>
  <c r="AZ639" i="5"/>
  <c r="AL639" i="5"/>
  <c r="AI640" i="5"/>
  <c r="AK639" i="5"/>
  <c r="AJ639" i="5"/>
  <c r="AI639" i="5"/>
  <c r="AY619" i="5"/>
  <c r="AZ619" i="5"/>
  <c r="AK619" i="5"/>
  <c r="AI619" i="5"/>
  <c r="AL619" i="5"/>
  <c r="AI620" i="5"/>
  <c r="AJ619" i="5"/>
  <c r="AT611" i="5"/>
  <c r="AS611" i="5"/>
  <c r="AL599" i="5"/>
  <c r="AZ599" i="5"/>
  <c r="AJ599" i="5"/>
  <c r="AK599" i="5"/>
  <c r="AI600" i="5"/>
  <c r="AQ599" i="5"/>
  <c r="AY599" i="5"/>
  <c r="AS591" i="5"/>
  <c r="AT591" i="5"/>
  <c r="AL559" i="5"/>
  <c r="AK559" i="5"/>
  <c r="AI559" i="5"/>
  <c r="AJ559" i="5"/>
  <c r="AY559" i="5"/>
  <c r="AZ559" i="5"/>
  <c r="AI560" i="5"/>
  <c r="AZ523" i="5"/>
  <c r="AJ523" i="5"/>
  <c r="AY523" i="5"/>
  <c r="AL523" i="5"/>
  <c r="AQ523" i="5"/>
  <c r="AI524" i="5"/>
  <c r="AK523" i="5"/>
  <c r="AT515" i="5"/>
  <c r="AS515" i="5"/>
  <c r="AL427" i="5"/>
  <c r="AR427" i="5"/>
  <c r="AT427" i="5" s="1"/>
  <c r="AK427" i="5"/>
  <c r="AZ427" i="5"/>
  <c r="AI428" i="5"/>
  <c r="AK411" i="5"/>
  <c r="AZ411" i="5"/>
  <c r="AL411" i="5"/>
  <c r="AL371" i="5"/>
  <c r="AW371" i="5"/>
  <c r="AX371" i="5" s="1"/>
  <c r="AR371" i="5"/>
  <c r="AS371" i="5" s="1"/>
  <c r="AK371" i="5"/>
  <c r="AZ371" i="5"/>
  <c r="AI372" i="5"/>
  <c r="AJ371" i="5"/>
  <c r="AY371" i="5"/>
  <c r="AU371" i="5"/>
  <c r="AV371" i="5" s="1"/>
  <c r="AQ371" i="5"/>
  <c r="D4606" i="5"/>
  <c r="F4606" i="5" s="1"/>
  <c r="F4602" i="5"/>
  <c r="A4632" i="5"/>
  <c r="A4633" i="5" s="1"/>
  <c r="C4633" i="5" s="1"/>
  <c r="C4631" i="5"/>
  <c r="C4684" i="5"/>
  <c r="A4685" i="5"/>
  <c r="A4686" i="5" s="1"/>
  <c r="C4686" i="5" s="1"/>
  <c r="AU3191" i="5"/>
  <c r="AV3191" i="5" s="1"/>
  <c r="AW3191" i="5" s="1"/>
  <c r="AY3191" i="5" s="1"/>
  <c r="D3191" i="5"/>
  <c r="D3196" i="5"/>
  <c r="AU3196" i="5"/>
  <c r="A3196" i="5" s="1"/>
  <c r="AX3196" i="5"/>
  <c r="AX3202" i="5"/>
  <c r="AU3202" i="5"/>
  <c r="AV3202" i="5" s="1"/>
  <c r="AW3202" i="5" s="1"/>
  <c r="AY3202" i="5" s="1"/>
  <c r="AU3205" i="5"/>
  <c r="AV3205" i="5" s="1"/>
  <c r="AW3205" i="5" s="1"/>
  <c r="AY3205" i="5" s="1"/>
  <c r="D3205" i="5"/>
  <c r="D3207" i="5"/>
  <c r="AU3207" i="5"/>
  <c r="A3207" i="5" s="1"/>
  <c r="D3209" i="5"/>
  <c r="AX3209" i="5"/>
  <c r="AU3209" i="5"/>
  <c r="A3209" i="5" s="1"/>
  <c r="D3211" i="5"/>
  <c r="AU3211" i="5"/>
  <c r="A3211" i="5" s="1"/>
  <c r="AX3211" i="5"/>
  <c r="D3217" i="5"/>
  <c r="AU3217" i="5"/>
  <c r="AV3217" i="5" s="1"/>
  <c r="AW3217" i="5" s="1"/>
  <c r="AY3217" i="5" s="1"/>
  <c r="D3222" i="5"/>
  <c r="AU3222" i="5"/>
  <c r="AV3222" i="5" s="1"/>
  <c r="AW3222" i="5" s="1"/>
  <c r="AY3222" i="5" s="1"/>
  <c r="AU3225" i="5"/>
  <c r="AV3225" i="5" s="1"/>
  <c r="AW3225" i="5" s="1"/>
  <c r="AY3225" i="5" s="1"/>
  <c r="AX3225" i="5"/>
  <c r="D3225" i="5"/>
  <c r="AX3240" i="5"/>
  <c r="AU3240" i="5"/>
  <c r="A3240" i="5" s="1"/>
  <c r="AU3241" i="5"/>
  <c r="AV3241" i="5" s="1"/>
  <c r="AW3241" i="5" s="1"/>
  <c r="AY3241" i="5" s="1"/>
  <c r="D3241" i="5"/>
  <c r="AU3244" i="5"/>
  <c r="A3244" i="5" s="1"/>
  <c r="AX3244" i="5"/>
  <c r="D3244" i="5"/>
  <c r="AX3262" i="5"/>
  <c r="AU3262" i="5"/>
  <c r="A3262" i="5" s="1"/>
  <c r="AX3278" i="5"/>
  <c r="D3278" i="5"/>
  <c r="AI884" i="5"/>
  <c r="AI1064" i="5"/>
  <c r="AY391" i="5"/>
  <c r="D3275" i="5"/>
  <c r="AX3281" i="5"/>
  <c r="AU3275" i="5"/>
  <c r="A3275" i="5" s="1"/>
  <c r="AX3263" i="5"/>
  <c r="AX3230" i="5"/>
  <c r="AU3223" i="5"/>
  <c r="AV3223" i="5" s="1"/>
  <c r="AW3223" i="5" s="1"/>
  <c r="AY3223" i="5" s="1"/>
  <c r="AU3206" i="5"/>
  <c r="AV3206" i="5" s="1"/>
  <c r="AW3206" i="5" s="1"/>
  <c r="AY3206" i="5" s="1"/>
  <c r="AX3200" i="5"/>
  <c r="AU3185" i="5"/>
  <c r="A3185" i="5" s="1"/>
  <c r="AS419" i="5"/>
  <c r="AS307" i="5"/>
  <c r="AJ451" i="5"/>
  <c r="AQ539" i="5"/>
  <c r="AW898" i="5"/>
  <c r="AX898" i="5" s="1"/>
  <c r="AS746" i="5"/>
  <c r="AI787" i="5"/>
  <c r="AK846" i="5"/>
  <c r="AZ898" i="5"/>
  <c r="AJ994" i="5"/>
  <c r="AY1160" i="5"/>
  <c r="AZ1337" i="5"/>
  <c r="AS1576" i="5"/>
  <c r="AT1576" i="5"/>
  <c r="AU1140" i="5"/>
  <c r="AV1140" i="5" s="1"/>
  <c r="AR1140" i="5"/>
  <c r="AS1140" i="5" s="1"/>
  <c r="AZ1140" i="5"/>
  <c r="AU1074" i="5"/>
  <c r="AV1074" i="5" s="1"/>
  <c r="AK1074" i="5"/>
  <c r="AY1074" i="5"/>
  <c r="AL1074" i="5"/>
  <c r="AJ1074" i="5"/>
  <c r="AI1074" i="5"/>
  <c r="AT1042" i="5"/>
  <c r="AS1042" i="5"/>
  <c r="AZ1000" i="5"/>
  <c r="AK1000" i="5"/>
  <c r="AT970" i="5"/>
  <c r="AS970" i="5"/>
  <c r="AW954" i="5"/>
  <c r="AX954" i="5" s="1"/>
  <c r="AJ954" i="5"/>
  <c r="AY954" i="5"/>
  <c r="AL954" i="5"/>
  <c r="AR954" i="5"/>
  <c r="AT954" i="5" s="1"/>
  <c r="AZ954" i="5"/>
  <c r="AU954" i="5"/>
  <c r="AV954" i="5" s="1"/>
  <c r="AJ866" i="5"/>
  <c r="AI866" i="5"/>
  <c r="AL866" i="5"/>
  <c r="AK866" i="5"/>
  <c r="AS778" i="5"/>
  <c r="AT778" i="5"/>
  <c r="AT762" i="5"/>
  <c r="AS762" i="5"/>
  <c r="AJ734" i="5"/>
  <c r="AL734" i="5"/>
  <c r="AY734" i="5"/>
  <c r="AZ734" i="5"/>
  <c r="AK734" i="5"/>
  <c r="AI735" i="5"/>
  <c r="AI704" i="5"/>
  <c r="AL703" i="5"/>
  <c r="AK703" i="5"/>
  <c r="AY703" i="5"/>
  <c r="AZ703" i="5"/>
  <c r="AI703" i="5"/>
  <c r="AL659" i="5"/>
  <c r="AJ659" i="5"/>
  <c r="AZ659" i="5"/>
  <c r="AI660" i="5"/>
  <c r="AI659" i="5"/>
  <c r="AQ659" i="5"/>
  <c r="AY659" i="5"/>
  <c r="AS627" i="5"/>
  <c r="AT627" i="5"/>
  <c r="AZ595" i="5"/>
  <c r="AW595" i="5"/>
  <c r="AX595" i="5" s="1"/>
  <c r="AL595" i="5"/>
  <c r="AU595" i="5"/>
  <c r="AV595" i="5" s="1"/>
  <c r="AK595" i="5"/>
  <c r="AR595" i="5"/>
  <c r="AS595" i="5" s="1"/>
  <c r="AY595" i="5"/>
  <c r="AJ595" i="5"/>
  <c r="AJ483" i="5"/>
  <c r="AU483" i="5"/>
  <c r="AV483" i="5" s="1"/>
  <c r="AR483" i="5"/>
  <c r="AS483" i="5" s="1"/>
  <c r="AK483" i="5"/>
  <c r="AL483" i="5"/>
  <c r="AW483" i="5"/>
  <c r="AX483" i="5" s="1"/>
  <c r="AZ483" i="5"/>
  <c r="AY483" i="5"/>
  <c r="AQ483" i="5"/>
  <c r="AI483" i="5"/>
  <c r="AY395" i="5"/>
  <c r="AK395" i="5"/>
  <c r="AJ395" i="5"/>
  <c r="AZ395" i="5"/>
  <c r="AL395" i="5"/>
  <c r="AT383" i="5"/>
  <c r="AS383" i="5"/>
  <c r="AW344" i="5"/>
  <c r="AX344" i="5" s="1"/>
  <c r="AU344" i="5"/>
  <c r="AV344" i="5" s="1"/>
  <c r="AZ344" i="5"/>
  <c r="AI345" i="5"/>
  <c r="AR344" i="5"/>
  <c r="AS344" i="5" s="1"/>
  <c r="AK344" i="5"/>
  <c r="AY344" i="5"/>
  <c r="AJ344" i="5"/>
  <c r="AL344" i="5"/>
  <c r="D3199" i="5"/>
  <c r="AX3199" i="5"/>
  <c r="AU3215" i="5"/>
  <c r="AV3215" i="5" s="1"/>
  <c r="AW3215" i="5" s="1"/>
  <c r="AY3215" i="5" s="1"/>
  <c r="D3215" i="5"/>
  <c r="AX3215" i="5"/>
  <c r="AX3221" i="5"/>
  <c r="D3221" i="5"/>
  <c r="D3228" i="5"/>
  <c r="AU3228" i="5"/>
  <c r="AV3228" i="5" s="1"/>
  <c r="AW3228" i="5" s="1"/>
  <c r="AY3228" i="5" s="1"/>
  <c r="D3245" i="5"/>
  <c r="AU3245" i="5"/>
  <c r="AV3245" i="5" s="1"/>
  <c r="AW3245" i="5" s="1"/>
  <c r="AY3245" i="5" s="1"/>
  <c r="D3248" i="5"/>
  <c r="AX3248" i="5"/>
  <c r="N3333" i="5"/>
  <c r="M3333" i="5" s="1"/>
  <c r="F3333" i="5" s="1"/>
  <c r="L3333" i="5" s="1"/>
  <c r="M3254" i="5"/>
  <c r="F3254" i="5" s="1"/>
  <c r="L3254" i="5" s="1"/>
  <c r="N3806" i="5"/>
  <c r="M3806" i="5" s="1"/>
  <c r="F3806" i="5" s="1"/>
  <c r="L3806" i="5" s="1"/>
  <c r="M3797" i="5"/>
  <c r="F3797" i="5" s="1"/>
  <c r="L3797" i="5" s="1"/>
  <c r="D3264" i="5"/>
  <c r="AU3264" i="5"/>
  <c r="A3264" i="5" s="1"/>
  <c r="AX3264" i="5"/>
  <c r="D3265" i="5"/>
  <c r="AU3265" i="5"/>
  <c r="A3265" i="5" s="1"/>
  <c r="D3267" i="5"/>
  <c r="AU3267" i="5"/>
  <c r="A3267" i="5" s="1"/>
  <c r="D3271" i="5"/>
  <c r="AU3271" i="5"/>
  <c r="A3271" i="5" s="1"/>
  <c r="AU3272" i="5"/>
  <c r="A3272" i="5" s="1"/>
  <c r="D3272" i="5"/>
  <c r="AX3272" i="5"/>
  <c r="AU3274" i="5"/>
  <c r="A3274" i="5" s="1"/>
  <c r="D3274" i="5"/>
  <c r="AX3279" i="5"/>
  <c r="D3279" i="5"/>
  <c r="AX3285" i="5"/>
  <c r="AU3285" i="5"/>
  <c r="A3285" i="5" s="1"/>
  <c r="D3190" i="5"/>
  <c r="AU3286" i="5"/>
  <c r="A3286" i="5" s="1"/>
  <c r="AU3281" i="5"/>
  <c r="A3281" i="5" s="1"/>
  <c r="AU3213" i="5"/>
  <c r="A3213" i="5" s="1"/>
  <c r="D3206" i="5"/>
  <c r="AU3200" i="5"/>
  <c r="AV3200" i="5" s="1"/>
  <c r="AW3200" i="5" s="1"/>
  <c r="AY3200" i="5" s="1"/>
  <c r="D3192" i="5"/>
  <c r="AU3184" i="5"/>
  <c r="A3184" i="5" s="1"/>
  <c r="AT443" i="5"/>
  <c r="AL292" i="5"/>
  <c r="AJ292" i="5"/>
  <c r="AI395" i="5"/>
  <c r="AQ456" i="5"/>
  <c r="AS555" i="5"/>
  <c r="AS910" i="5"/>
  <c r="AI715" i="5"/>
  <c r="AL750" i="5"/>
  <c r="AJ790" i="5"/>
  <c r="AS858" i="5"/>
  <c r="AK954" i="5"/>
  <c r="AZ1160" i="5"/>
  <c r="AQ512" i="5"/>
  <c r="AK1308" i="5"/>
  <c r="AW1308" i="5"/>
  <c r="AX1308" i="5" s="1"/>
  <c r="AZ1252" i="5"/>
  <c r="AL1252" i="5"/>
  <c r="AR1196" i="5"/>
  <c r="AS1196" i="5" s="1"/>
  <c r="AK1196" i="5"/>
  <c r="AY1196" i="5"/>
  <c r="AS1188" i="5"/>
  <c r="AT1188" i="5"/>
  <c r="AY1169" i="5"/>
  <c r="AW1169" i="5"/>
  <c r="AX1169" i="5" s="1"/>
  <c r="AR1169" i="5"/>
  <c r="AT1169" i="5" s="1"/>
  <c r="AU1169" i="5"/>
  <c r="AV1169" i="5" s="1"/>
  <c r="AK1144" i="5"/>
  <c r="AZ1144" i="5"/>
  <c r="AI1145" i="5"/>
  <c r="AT1136" i="5"/>
  <c r="AS1136" i="5"/>
  <c r="AY1050" i="5"/>
  <c r="AW1050" i="5"/>
  <c r="AX1050" i="5" s="1"/>
  <c r="AK1050" i="5"/>
  <c r="AW1010" i="5"/>
  <c r="AX1010" i="5" s="1"/>
  <c r="AK1010" i="5"/>
  <c r="AZ1010" i="5"/>
  <c r="AR1010" i="5"/>
  <c r="AT1010" i="5" s="1"/>
  <c r="AI984" i="5"/>
  <c r="AR983" i="5"/>
  <c r="AT983" i="5" s="1"/>
  <c r="AY983" i="5"/>
  <c r="AW983" i="5"/>
  <c r="AX983" i="5" s="1"/>
  <c r="AU927" i="5"/>
  <c r="AV927" i="5" s="1"/>
  <c r="AW927" i="5"/>
  <c r="AX927" i="5" s="1"/>
  <c r="AK927" i="5"/>
  <c r="AZ927" i="5"/>
  <c r="AR927" i="5"/>
  <c r="AS927" i="5" s="1"/>
  <c r="AY882" i="5"/>
  <c r="AI882" i="5"/>
  <c r="AJ882" i="5"/>
  <c r="AZ882" i="5"/>
  <c r="AS875" i="5"/>
  <c r="AT875" i="5"/>
  <c r="AJ826" i="5"/>
  <c r="AI826" i="5"/>
  <c r="AZ826" i="5"/>
  <c r="AL826" i="5"/>
  <c r="AK826" i="5"/>
  <c r="AQ826" i="5"/>
  <c r="AY826" i="5"/>
  <c r="AT818" i="5"/>
  <c r="AS818" i="5"/>
  <c r="AI754" i="5"/>
  <c r="AL754" i="5"/>
  <c r="AZ754" i="5"/>
  <c r="AI755" i="5"/>
  <c r="AJ754" i="5"/>
  <c r="AK754" i="5"/>
  <c r="AS726" i="5"/>
  <c r="AT726" i="5"/>
  <c r="AZ624" i="5"/>
  <c r="AY624" i="5"/>
  <c r="AL624" i="5"/>
  <c r="AI625" i="5"/>
  <c r="AK624" i="5"/>
  <c r="AU624" i="5"/>
  <c r="AV624" i="5" s="1"/>
  <c r="AW624" i="5"/>
  <c r="AX624" i="5" s="1"/>
  <c r="AR624" i="5"/>
  <c r="AT624" i="5" s="1"/>
  <c r="AJ503" i="5"/>
  <c r="AL503" i="5"/>
  <c r="AI503" i="5"/>
  <c r="AZ503" i="5"/>
  <c r="AI504" i="5"/>
  <c r="AY503" i="5"/>
  <c r="AS475" i="5"/>
  <c r="AT475" i="5"/>
  <c r="AI447" i="5"/>
  <c r="AY447" i="5"/>
  <c r="AJ447" i="5"/>
  <c r="AI448" i="5"/>
  <c r="AL447" i="5"/>
  <c r="AZ447" i="5"/>
  <c r="AK431" i="5"/>
  <c r="AY431" i="5"/>
  <c r="AZ431" i="5"/>
  <c r="AQ431" i="5"/>
  <c r="AI431" i="5"/>
  <c r="AX3187" i="5"/>
  <c r="AU3187" i="5"/>
  <c r="AV3187" i="5" s="1"/>
  <c r="AW3187" i="5" s="1"/>
  <c r="AY3187" i="5" s="1"/>
  <c r="D3187" i="5"/>
  <c r="AU3189" i="5"/>
  <c r="AV3189" i="5" s="1"/>
  <c r="AW3189" i="5" s="1"/>
  <c r="AY3189" i="5" s="1"/>
  <c r="D3189" i="5"/>
  <c r="AX3194" i="5"/>
  <c r="D3194" i="5"/>
  <c r="AU3194" i="5"/>
  <c r="A3194" i="5" s="1"/>
  <c r="AX3201" i="5"/>
  <c r="D3201" i="5"/>
  <c r="AU3201" i="5"/>
  <c r="AV3201" i="5" s="1"/>
  <c r="AW3201" i="5" s="1"/>
  <c r="AY3201" i="5" s="1"/>
  <c r="AU3224" i="5"/>
  <c r="AV3224" i="5" s="1"/>
  <c r="AW3224" i="5" s="1"/>
  <c r="AY3224" i="5" s="1"/>
  <c r="AX3224" i="5"/>
  <c r="D3224" i="5"/>
  <c r="AU3229" i="5"/>
  <c r="A3229" i="5" s="1"/>
  <c r="D3229" i="5"/>
  <c r="AX3229" i="5"/>
  <c r="AU3237" i="5"/>
  <c r="AV3237" i="5" s="1"/>
  <c r="AW3237" i="5" s="1"/>
  <c r="AY3237" i="5" s="1"/>
  <c r="D3237" i="5"/>
  <c r="AX3237" i="5"/>
  <c r="AU3239" i="5"/>
  <c r="A3239" i="5" s="1"/>
  <c r="D3239" i="5"/>
  <c r="AX3239" i="5"/>
  <c r="AU3242" i="5"/>
  <c r="A3242" i="5" s="1"/>
  <c r="AX3242" i="5"/>
  <c r="AX3251" i="5"/>
  <c r="AU3251" i="5"/>
  <c r="A3251" i="5" s="1"/>
  <c r="D3253" i="5"/>
  <c r="AX3253" i="5"/>
  <c r="AU3253" i="5"/>
  <c r="A3253" i="5" s="1"/>
  <c r="M4266" i="5"/>
  <c r="F4267" i="5" s="1"/>
  <c r="N4270" i="5"/>
  <c r="M4270" i="5" s="1"/>
  <c r="F4271" i="5" s="1"/>
  <c r="AU3221" i="5"/>
  <c r="A3221" i="5" s="1"/>
  <c r="AX3286" i="5"/>
  <c r="AU3280" i="5"/>
  <c r="A3280" i="5" s="1"/>
  <c r="AX3270" i="5"/>
  <c r="D3227" i="5"/>
  <c r="AU3220" i="5"/>
  <c r="AV3220" i="5" s="1"/>
  <c r="AW3220" i="5" s="1"/>
  <c r="AY3220" i="5" s="1"/>
  <c r="D3213" i="5"/>
  <c r="AX3205" i="5"/>
  <c r="AX3191" i="5"/>
  <c r="AX3184" i="5"/>
  <c r="AI467" i="5"/>
  <c r="AI427" i="5"/>
  <c r="AQ395" i="5"/>
  <c r="AQ292" i="5"/>
  <c r="AY315" i="5"/>
  <c r="AL400" i="5"/>
  <c r="AI468" i="5"/>
  <c r="AS930" i="5"/>
  <c r="AL714" i="5"/>
  <c r="AY754" i="5"/>
  <c r="AZ790" i="5"/>
  <c r="AY866" i="5"/>
  <c r="AZ902" i="5"/>
  <c r="AI955" i="5"/>
  <c r="AZ1180" i="5"/>
  <c r="AZ1451" i="5"/>
  <c r="AS311" i="5"/>
  <c r="AS1840" i="5"/>
  <c r="AT1840" i="5"/>
  <c r="AT1419" i="5"/>
  <c r="AS1419" i="5"/>
  <c r="AI1276" i="5"/>
  <c r="AY1276" i="5"/>
  <c r="AL1276" i="5"/>
  <c r="AT1228" i="5"/>
  <c r="AS1228" i="5"/>
  <c r="AS1172" i="5"/>
  <c r="AT1172" i="5"/>
  <c r="AZ1164" i="5"/>
  <c r="AY1164" i="5"/>
  <c r="AI1165" i="5"/>
  <c r="AL1164" i="5"/>
  <c r="AZ1030" i="5"/>
  <c r="AL1030" i="5"/>
  <c r="AW940" i="5"/>
  <c r="AX940" i="5" s="1"/>
  <c r="AI940" i="5"/>
  <c r="AI941" i="5"/>
  <c r="AU940" i="5"/>
  <c r="AV940" i="5" s="1"/>
  <c r="AL940" i="5"/>
  <c r="AZ940" i="5"/>
  <c r="AK940" i="5"/>
  <c r="AR940" i="5"/>
  <c r="AS940" i="5" s="1"/>
  <c r="AJ940" i="5"/>
  <c r="AY922" i="5"/>
  <c r="AL922" i="5"/>
  <c r="AK922" i="5"/>
  <c r="AZ922" i="5"/>
  <c r="AI922" i="5"/>
  <c r="AJ922" i="5"/>
  <c r="AJ898" i="5"/>
  <c r="AR898" i="5"/>
  <c r="AS898" i="5" s="1"/>
  <c r="AY898" i="5"/>
  <c r="AI899" i="5"/>
  <c r="AK898" i="5"/>
  <c r="AL898" i="5"/>
  <c r="AS894" i="5"/>
  <c r="AT894" i="5"/>
  <c r="AY862" i="5"/>
  <c r="AK862" i="5"/>
  <c r="AZ862" i="5"/>
  <c r="AL862" i="5"/>
  <c r="AT854" i="5"/>
  <c r="AS854" i="5"/>
  <c r="AU815" i="5"/>
  <c r="AV815" i="5" s="1"/>
  <c r="AJ815" i="5"/>
  <c r="AZ815" i="5"/>
  <c r="AK815" i="5"/>
  <c r="AY815" i="5"/>
  <c r="AI815" i="5"/>
  <c r="AI770" i="5"/>
  <c r="AY770" i="5"/>
  <c r="AZ770" i="5"/>
  <c r="AL770" i="5"/>
  <c r="AS742" i="5"/>
  <c r="AT742" i="5"/>
  <c r="AU730" i="5"/>
  <c r="AV730" i="5" s="1"/>
  <c r="AZ730" i="5"/>
  <c r="AW730" i="5"/>
  <c r="AX730" i="5" s="1"/>
  <c r="AJ730" i="5"/>
  <c r="AY730" i="5"/>
  <c r="AL730" i="5"/>
  <c r="AT571" i="5"/>
  <c r="AS571" i="5"/>
  <c r="AL563" i="5"/>
  <c r="AQ563" i="5"/>
  <c r="AK563" i="5"/>
  <c r="AI563" i="5"/>
  <c r="AJ563" i="5"/>
  <c r="AY563" i="5"/>
  <c r="AZ563" i="5"/>
  <c r="AS551" i="5"/>
  <c r="AT551" i="5"/>
  <c r="AS531" i="5"/>
  <c r="AT531" i="5"/>
  <c r="AU525" i="5"/>
  <c r="AV525" i="5" s="1"/>
  <c r="AK525" i="5"/>
  <c r="AR525" i="5"/>
  <c r="AT525" i="5" s="1"/>
  <c r="AW525" i="5"/>
  <c r="AX525" i="5" s="1"/>
  <c r="AJ525" i="5"/>
  <c r="AI525" i="5"/>
  <c r="AI526" i="5"/>
  <c r="AL525" i="5"/>
  <c r="AZ525" i="5"/>
  <c r="AQ525" i="5"/>
  <c r="AY525" i="5"/>
  <c r="AI507" i="5"/>
  <c r="AQ507" i="5"/>
  <c r="AK507" i="5"/>
  <c r="AI508" i="5"/>
  <c r="AY507" i="5"/>
  <c r="AS495" i="5"/>
  <c r="AT495" i="5"/>
  <c r="AT459" i="5"/>
  <c r="AS459" i="5"/>
  <c r="AY375" i="5"/>
  <c r="AK375" i="5"/>
  <c r="AJ375" i="5"/>
  <c r="AQ375" i="5"/>
  <c r="AL375" i="5"/>
  <c r="AZ375" i="5"/>
  <c r="AI376" i="5"/>
  <c r="AI375" i="5"/>
  <c r="AI339" i="5"/>
  <c r="AY339" i="5"/>
  <c r="AI340" i="5"/>
  <c r="AK339" i="5"/>
  <c r="AJ339" i="5"/>
  <c r="AQ339" i="5"/>
  <c r="AZ339" i="5"/>
  <c r="AS331" i="5"/>
  <c r="AT331" i="5"/>
  <c r="A4661" i="5"/>
  <c r="A4662" i="5" s="1"/>
  <c r="C4662" i="5" s="1"/>
  <c r="C4660" i="5"/>
  <c r="F101" i="5"/>
  <c r="U110" i="5"/>
  <c r="F116" i="5" s="1"/>
  <c r="AI811" i="5"/>
  <c r="AI863" i="5"/>
  <c r="AI867" i="5"/>
  <c r="AI791" i="5"/>
  <c r="AI883" i="5"/>
  <c r="AU3269" i="5"/>
  <c r="A3269" i="5" s="1"/>
  <c r="AX3186" i="5"/>
  <c r="D3285" i="5"/>
  <c r="D3280" i="5"/>
  <c r="D3270" i="5"/>
  <c r="AX3227" i="5"/>
  <c r="D3220" i="5"/>
  <c r="AX3204" i="5"/>
  <c r="AX3197" i="5"/>
  <c r="D3183" i="5"/>
  <c r="AJ427" i="5"/>
  <c r="AQ391" i="5"/>
  <c r="AT439" i="5"/>
  <c r="AZ292" i="5"/>
  <c r="AI315" i="5"/>
  <c r="AI412" i="5"/>
  <c r="AL467" i="5"/>
  <c r="AZ568" i="5"/>
  <c r="AK659" i="5"/>
  <c r="AS722" i="5"/>
  <c r="AK759" i="5"/>
  <c r="AI810" i="5"/>
  <c r="AZ866" i="5"/>
  <c r="AY918" i="5"/>
  <c r="AL960" i="5"/>
  <c r="AJ1030" i="5"/>
  <c r="AS1208" i="5"/>
  <c r="AI1588" i="5"/>
  <c r="A4702" i="5"/>
  <c r="C4702" i="5" s="1"/>
  <c r="C4701" i="5"/>
  <c r="G1091" i="5"/>
  <c r="H1091" i="5" s="1"/>
  <c r="AM1091" i="5"/>
  <c r="AZ680" i="5"/>
  <c r="AK680" i="5"/>
  <c r="AL680" i="5"/>
  <c r="AY680" i="5"/>
  <c r="AI680" i="5"/>
  <c r="AQ680" i="5"/>
  <c r="AJ680" i="5"/>
  <c r="A4766" i="5"/>
  <c r="A4767" i="5" s="1"/>
  <c r="C4765" i="5"/>
  <c r="F3892" i="5"/>
  <c r="Q3895" i="5"/>
  <c r="F3896" i="5" s="1"/>
  <c r="F3717" i="5"/>
  <c r="O3721" i="5"/>
  <c r="F3720" i="5" s="1"/>
  <c r="F3486" i="5"/>
  <c r="U3488" i="5"/>
  <c r="U3489" i="5" s="1"/>
  <c r="F3491" i="5" s="1"/>
  <c r="F146" i="5"/>
  <c r="T157" i="5"/>
  <c r="F161" i="5" s="1"/>
  <c r="G3569" i="5"/>
  <c r="H3569" i="5" s="1"/>
  <c r="P3570" i="5"/>
  <c r="G3570" i="5" s="1"/>
  <c r="H3570" i="5" s="1"/>
  <c r="G3373" i="5"/>
  <c r="H3373" i="5" s="1"/>
  <c r="R3369" i="5"/>
  <c r="R3370" i="5" s="1"/>
  <c r="R3384" i="5" s="1"/>
  <c r="R3385" i="5" s="1"/>
  <c r="X3368" i="5"/>
  <c r="F3373" i="5" s="1"/>
  <c r="G1097" i="5"/>
  <c r="H1097" i="5" s="1"/>
  <c r="AM1099" i="5"/>
  <c r="AT1100" i="5"/>
  <c r="AS1100" i="5"/>
  <c r="G186" i="5"/>
  <c r="H186" i="5" s="1"/>
  <c r="O201" i="5"/>
  <c r="O216" i="5" s="1"/>
  <c r="G216" i="5" s="1"/>
  <c r="H216" i="5" s="1"/>
  <c r="O187" i="5"/>
  <c r="F186" i="5" s="1"/>
  <c r="G4296" i="5"/>
  <c r="H4296" i="5" s="1"/>
  <c r="P4299" i="5"/>
  <c r="P4300" i="5" s="1"/>
  <c r="F4300" i="5" s="1"/>
  <c r="P4296" i="5"/>
  <c r="F4296" i="5" s="1"/>
  <c r="C4879" i="5"/>
  <c r="A4880" i="5"/>
  <c r="C4880" i="5" s="1"/>
  <c r="C4894" i="5"/>
  <c r="A4895" i="5"/>
  <c r="C4895" i="5" s="1"/>
  <c r="Q4299" i="5"/>
  <c r="Q4296" i="5"/>
  <c r="F4297" i="5" s="1"/>
  <c r="G4297" i="5"/>
  <c r="H4297" i="5" s="1"/>
  <c r="G1969" i="5"/>
  <c r="H1969" i="5" s="1"/>
  <c r="AM1960" i="5"/>
  <c r="AP695" i="5"/>
  <c r="M695" i="5"/>
  <c r="F695" i="5" s="1"/>
  <c r="G695" i="5" s="1"/>
  <c r="H695" i="5" s="1"/>
  <c r="M1542" i="5"/>
  <c r="F1542" i="5" s="1"/>
  <c r="G1542" i="5" s="1"/>
  <c r="H1542" i="5" s="1"/>
  <c r="AP1542" i="5"/>
  <c r="AQ1542" i="5" s="1"/>
  <c r="M1518" i="5"/>
  <c r="F1518" i="5" s="1"/>
  <c r="G1518" i="5" s="1"/>
  <c r="H1518" i="5" s="1"/>
  <c r="AP1518" i="5"/>
  <c r="AQ1518" i="5" s="1"/>
  <c r="AL1985" i="5"/>
  <c r="AI1985" i="5"/>
  <c r="AZ1985" i="5"/>
  <c r="AY1985" i="5"/>
  <c r="AK1985" i="5"/>
  <c r="AM1078" i="5"/>
  <c r="G4842" i="5"/>
  <c r="H4842" i="5" s="1"/>
  <c r="A5107" i="5"/>
  <c r="I5107" i="5" s="1"/>
  <c r="N5106" i="5"/>
  <c r="A5110" i="5" s="1"/>
  <c r="A5111" i="5" s="1"/>
  <c r="F4612" i="5"/>
  <c r="G4729" i="5"/>
  <c r="H4729" i="5" s="1"/>
  <c r="AQ1517" i="5"/>
  <c r="R15" i="10"/>
  <c r="R17" i="10"/>
  <c r="U16" i="14"/>
  <c r="U20" i="14" s="1"/>
  <c r="U22" i="14" s="1"/>
  <c r="V17" i="10"/>
  <c r="V15" i="10"/>
  <c r="E41" i="11"/>
  <c r="D41" i="11"/>
  <c r="C41" i="11"/>
  <c r="AY2134" i="5"/>
  <c r="T16" i="14"/>
  <c r="T20" i="14" s="1"/>
  <c r="T22" i="14" s="1"/>
  <c r="F56" i="4"/>
  <c r="M20" i="11"/>
  <c r="M24" i="11" s="1"/>
  <c r="K24" i="11"/>
  <c r="AL2243" i="5"/>
  <c r="AY2145" i="5"/>
  <c r="AL2125" i="5"/>
  <c r="AT2066" i="5"/>
  <c r="AL2145" i="5"/>
  <c r="AT2157" i="5"/>
  <c r="AZ1997" i="5"/>
  <c r="V16" i="14"/>
  <c r="V20" i="14" s="1"/>
  <c r="V22" i="14" s="1"/>
  <c r="AY2125" i="5"/>
  <c r="AZ2129" i="5"/>
  <c r="AK2187" i="5"/>
  <c r="G57" i="3"/>
  <c r="AJ2145" i="5"/>
  <c r="AJ2129" i="5"/>
  <c r="Y16" i="14"/>
  <c r="Y20" i="14" s="1"/>
  <c r="AL2129" i="5"/>
  <c r="R41" i="11"/>
  <c r="AS2009" i="5"/>
  <c r="AY2161" i="5"/>
  <c r="AT2199" i="5"/>
  <c r="AR2203" i="5"/>
  <c r="AS2203" i="5" s="1"/>
  <c r="AU2134" i="5"/>
  <c r="AV2134" i="5" s="1"/>
  <c r="AK2181" i="5"/>
  <c r="AZ2283" i="5"/>
  <c r="AK2095" i="5"/>
  <c r="E20" i="11"/>
  <c r="AZ2243" i="5"/>
  <c r="AL2367" i="5"/>
  <c r="AZ2367" i="5"/>
  <c r="AJ2279" i="5"/>
  <c r="AS2275" i="5"/>
  <c r="AK2367" i="5"/>
  <c r="AT2215" i="5"/>
  <c r="AZ2288" i="5"/>
  <c r="AI1737" i="5"/>
  <c r="AI1496" i="5"/>
  <c r="AQ1468" i="5"/>
  <c r="AI1349" i="5"/>
  <c r="AQ1257" i="5"/>
  <c r="AI1201" i="5"/>
  <c r="AQ1191" i="5"/>
  <c r="AQ963" i="5"/>
  <c r="AI1392" i="5"/>
  <c r="AS1403" i="5"/>
  <c r="AY1495" i="5"/>
  <c r="AK2001" i="5"/>
  <c r="AS1580" i="5"/>
  <c r="AS1616" i="5"/>
  <c r="AY1904" i="5"/>
  <c r="AJ1904" i="5"/>
  <c r="AU1761" i="5"/>
  <c r="AV1761" i="5" s="1"/>
  <c r="AY1761" i="5"/>
  <c r="AZ1680" i="5"/>
  <c r="AI1681" i="5"/>
  <c r="AJ1680" i="5"/>
  <c r="AJ1660" i="5"/>
  <c r="AY1660" i="5"/>
  <c r="AL1660" i="5"/>
  <c r="AI1661" i="5"/>
  <c r="AI1625" i="5"/>
  <c r="AY1624" i="5"/>
  <c r="AJ1624" i="5"/>
  <c r="AK1447" i="5"/>
  <c r="AL1447" i="5"/>
  <c r="AZ1447" i="5"/>
  <c r="AS1443" i="5"/>
  <c r="AT1443" i="5"/>
  <c r="AI1432" i="5"/>
  <c r="AY1431" i="5"/>
  <c r="AK1431" i="5"/>
  <c r="AZ1431" i="5"/>
  <c r="AJ1411" i="5"/>
  <c r="AZ1411" i="5"/>
  <c r="AL1411" i="5"/>
  <c r="AI1412" i="5"/>
  <c r="AU1225" i="5"/>
  <c r="AV1225" i="5" s="1"/>
  <c r="AT1244" i="5"/>
  <c r="AL1272" i="5"/>
  <c r="AT1284" i="5"/>
  <c r="AY1312" i="5"/>
  <c r="AL1337" i="5"/>
  <c r="AZ1364" i="5"/>
  <c r="AY1411" i="5"/>
  <c r="AJ1431" i="5"/>
  <c r="AI1585" i="5"/>
  <c r="AI2348" i="5"/>
  <c r="AU2347" i="5"/>
  <c r="AV2347" i="5" s="1"/>
  <c r="AS1876" i="5"/>
  <c r="AT1876" i="5"/>
  <c r="AY1700" i="5"/>
  <c r="AL1700" i="5"/>
  <c r="AK1700" i="5"/>
  <c r="AZ1676" i="5"/>
  <c r="AJ1676" i="5"/>
  <c r="AR1676" i="5"/>
  <c r="AS1676" i="5" s="1"/>
  <c r="AW1676" i="5"/>
  <c r="AX1676" i="5" s="1"/>
  <c r="AW1649" i="5"/>
  <c r="AX1649" i="5" s="1"/>
  <c r="AY1649" i="5"/>
  <c r="AZ1649" i="5"/>
  <c r="AJ1649" i="5"/>
  <c r="AZ1640" i="5"/>
  <c r="AY1640" i="5"/>
  <c r="AJ1640" i="5"/>
  <c r="AT1612" i="5"/>
  <c r="AS1612" i="5"/>
  <c r="AK1593" i="5"/>
  <c r="AI1594" i="5"/>
  <c r="AW1593" i="5"/>
  <c r="AX1593" i="5" s="1"/>
  <c r="AZ1593" i="5"/>
  <c r="AL1556" i="5"/>
  <c r="AY1556" i="5"/>
  <c r="AJ1556" i="5"/>
  <c r="AK1556" i="5"/>
  <c r="AI1557" i="5"/>
  <c r="AZ1491" i="5"/>
  <c r="AJ1491" i="5"/>
  <c r="AL1491" i="5"/>
  <c r="AY1491" i="5"/>
  <c r="AT1479" i="5"/>
  <c r="AS1479" i="5"/>
  <c r="AJ1471" i="5"/>
  <c r="AI1471" i="5"/>
  <c r="AL1471" i="5"/>
  <c r="AZ1471" i="5"/>
  <c r="AY1467" i="5"/>
  <c r="AI1468" i="5"/>
  <c r="AZ1467" i="5"/>
  <c r="AI1467" i="5"/>
  <c r="AR1427" i="5"/>
  <c r="AT1427" i="5" s="1"/>
  <c r="AY1427" i="5"/>
  <c r="AZ1427" i="5"/>
  <c r="AK1427" i="5"/>
  <c r="AW1427" i="5"/>
  <c r="AX1427" i="5" s="1"/>
  <c r="AW1400" i="5"/>
  <c r="AX1400" i="5" s="1"/>
  <c r="AI1401" i="5"/>
  <c r="AL1400" i="5"/>
  <c r="AU1400" i="5"/>
  <c r="AV1400" i="5" s="1"/>
  <c r="AJ1400" i="5"/>
  <c r="AY1400" i="5"/>
  <c r="AL1395" i="5"/>
  <c r="AI1395" i="5"/>
  <c r="AI1396" i="5"/>
  <c r="AK1395" i="5"/>
  <c r="AL1384" i="5"/>
  <c r="AK1384" i="5"/>
  <c r="AZ1384" i="5"/>
  <c r="AK1772" i="5"/>
  <c r="AJ1593" i="5"/>
  <c r="AS1248" i="5"/>
  <c r="AI1338" i="5"/>
  <c r="AZ1395" i="5"/>
  <c r="AK1411" i="5"/>
  <c r="AT1439" i="5"/>
  <c r="AJ1467" i="5"/>
  <c r="AI1641" i="5"/>
  <c r="AZ1556" i="5"/>
  <c r="AI1650" i="5"/>
  <c r="AK1828" i="5"/>
  <c r="AS1300" i="5"/>
  <c r="AK1328" i="5"/>
  <c r="AJ1395" i="5"/>
  <c r="AS1423" i="5"/>
  <c r="AI1448" i="5"/>
  <c r="AI1472" i="5"/>
  <c r="AI1589" i="5"/>
  <c r="AS1692" i="5"/>
  <c r="AL1563" i="5"/>
  <c r="AZ1914" i="5"/>
  <c r="AZ1624" i="5"/>
  <c r="AT1212" i="5"/>
  <c r="AY1471" i="5"/>
  <c r="AS1304" i="5"/>
  <c r="AS1376" i="5"/>
  <c r="AR1400" i="5"/>
  <c r="AT1400" i="5" s="1"/>
  <c r="AJ1427" i="5"/>
  <c r="AJ1447" i="5"/>
  <c r="AS1483" i="5"/>
  <c r="AJ1700" i="5"/>
  <c r="AT1708" i="5"/>
  <c r="AL1593" i="5"/>
  <c r="AZ1788" i="5"/>
  <c r="AW1788" i="5"/>
  <c r="AX1788" i="5" s="1"/>
  <c r="AL1736" i="5"/>
  <c r="AJ1736" i="5"/>
  <c r="AY1705" i="5"/>
  <c r="AJ1705" i="5"/>
  <c r="AU1705" i="5"/>
  <c r="AV1705" i="5" s="1"/>
  <c r="AT1688" i="5"/>
  <c r="AS1688" i="5"/>
  <c r="AL1620" i="5"/>
  <c r="AU1620" i="5"/>
  <c r="AV1620" i="5" s="1"/>
  <c r="AZ1620" i="5"/>
  <c r="AY1620" i="5"/>
  <c r="AW1620" i="5"/>
  <c r="AX1620" i="5" s="1"/>
  <c r="AL1584" i="5"/>
  <c r="AK1584" i="5"/>
  <c r="AY1584" i="5"/>
  <c r="AZ1584" i="5"/>
  <c r="AY1456" i="5"/>
  <c r="AI1457" i="5"/>
  <c r="AR1456" i="5"/>
  <c r="AS1456" i="5" s="1"/>
  <c r="AK1456" i="5"/>
  <c r="AZ1456" i="5"/>
  <c r="AL1456" i="5"/>
  <c r="AI1451" i="5"/>
  <c r="AJ1451" i="5"/>
  <c r="AY1451" i="5"/>
  <c r="AL1451" i="5"/>
  <c r="AI1452" i="5"/>
  <c r="AK1391" i="5"/>
  <c r="AJ1391" i="5"/>
  <c r="AY1391" i="5"/>
  <c r="AZ1391" i="5"/>
  <c r="AT1380" i="5"/>
  <c r="AS1380" i="5"/>
  <c r="AL1368" i="5"/>
  <c r="AI1369" i="5"/>
  <c r="AY1368" i="5"/>
  <c r="AZ1368" i="5"/>
  <c r="AW1364" i="5"/>
  <c r="AX1364" i="5" s="1"/>
  <c r="AR1364" i="5"/>
  <c r="AT1364" i="5" s="1"/>
  <c r="AY1364" i="5"/>
  <c r="AJ1364" i="5"/>
  <c r="AK1364" i="5"/>
  <c r="AJ1348" i="5"/>
  <c r="AZ1348" i="5"/>
  <c r="AY1348" i="5"/>
  <c r="AK1348" i="5"/>
  <c r="AS1340" i="5"/>
  <c r="AT1340" i="5"/>
  <c r="AY1337" i="5"/>
  <c r="AK1337" i="5"/>
  <c r="AR1337" i="5"/>
  <c r="AS1337" i="5" s="1"/>
  <c r="AW1337" i="5"/>
  <c r="AX1337" i="5" s="1"/>
  <c r="AU1337" i="5"/>
  <c r="AV1337" i="5" s="1"/>
  <c r="AJ1332" i="5"/>
  <c r="AY1332" i="5"/>
  <c r="AL1332" i="5"/>
  <c r="AZ1332" i="5"/>
  <c r="AK1332" i="5"/>
  <c r="AI1329" i="5"/>
  <c r="AZ1328" i="5"/>
  <c r="AY1328" i="5"/>
  <c r="AS1324" i="5"/>
  <c r="AT1324" i="5"/>
  <c r="AJ1312" i="5"/>
  <c r="AK1312" i="5"/>
  <c r="AI1313" i="5"/>
  <c r="AL1312" i="5"/>
  <c r="AL1308" i="5"/>
  <c r="AU1308" i="5"/>
  <c r="AV1308" i="5" s="1"/>
  <c r="AR1308" i="5"/>
  <c r="AT1308" i="5" s="1"/>
  <c r="AZ1308" i="5"/>
  <c r="AY1308" i="5"/>
  <c r="AK1292" i="5"/>
  <c r="AJ1292" i="5"/>
  <c r="AY1292" i="5"/>
  <c r="AL1292" i="5"/>
  <c r="AU1281" i="5"/>
  <c r="AV1281" i="5" s="1"/>
  <c r="AL1281" i="5"/>
  <c r="AY1281" i="5"/>
  <c r="AK1281" i="5"/>
  <c r="AW1281" i="5"/>
  <c r="AX1281" i="5" s="1"/>
  <c r="AJ1281" i="5"/>
  <c r="AJ1276" i="5"/>
  <c r="AZ1276" i="5"/>
  <c r="AI1277" i="5"/>
  <c r="AK1276" i="5"/>
  <c r="AZ1272" i="5"/>
  <c r="AJ1272" i="5"/>
  <c r="AY1272" i="5"/>
  <c r="AI1273" i="5"/>
  <c r="AL1256" i="5"/>
  <c r="AI1257" i="5"/>
  <c r="AJ1256" i="5"/>
  <c r="AY1256" i="5"/>
  <c r="AU1252" i="5"/>
  <c r="AV1252" i="5" s="1"/>
  <c r="AY1252" i="5"/>
  <c r="AW1252" i="5"/>
  <c r="AX1252" i="5" s="1"/>
  <c r="AR1252" i="5"/>
  <c r="AS1252" i="5" s="1"/>
  <c r="AJ1252" i="5"/>
  <c r="AJ1236" i="5"/>
  <c r="AL1236" i="5"/>
  <c r="AZ1236" i="5"/>
  <c r="AY1236" i="5"/>
  <c r="AY1225" i="5"/>
  <c r="AL1225" i="5"/>
  <c r="AZ1225" i="5"/>
  <c r="AR1225" i="5"/>
  <c r="AT1225" i="5" s="1"/>
  <c r="AK1225" i="5"/>
  <c r="AI1226" i="5"/>
  <c r="AK1220" i="5"/>
  <c r="AI1220" i="5"/>
  <c r="AY1220" i="5"/>
  <c r="AI1221" i="5"/>
  <c r="AL1216" i="5"/>
  <c r="AY1216" i="5"/>
  <c r="AI1217" i="5"/>
  <c r="AK1216" i="5"/>
  <c r="AY1200" i="5"/>
  <c r="AJ1200" i="5"/>
  <c r="AK1200" i="5"/>
  <c r="AL1200" i="5"/>
  <c r="AZ1196" i="5"/>
  <c r="AU1196" i="5"/>
  <c r="AV1196" i="5" s="1"/>
  <c r="AW1196" i="5"/>
  <c r="AX1196" i="5" s="1"/>
  <c r="AJ1196" i="5"/>
  <c r="AL1196" i="5"/>
  <c r="AY1180" i="5"/>
  <c r="AL1180" i="5"/>
  <c r="AI1181" i="5"/>
  <c r="AK1180" i="5"/>
  <c r="AK1732" i="5"/>
  <c r="AW1732" i="5"/>
  <c r="AX1732" i="5" s="1"/>
  <c r="AJ1696" i="5"/>
  <c r="AZ1696" i="5"/>
  <c r="AK1644" i="5"/>
  <c r="AZ1644" i="5"/>
  <c r="AY1644" i="5"/>
  <c r="AI1644" i="5"/>
  <c r="AJ1604" i="5"/>
  <c r="AZ1604" i="5"/>
  <c r="AY1604" i="5"/>
  <c r="AS1596" i="5"/>
  <c r="AT1596" i="5"/>
  <c r="AK1588" i="5"/>
  <c r="AJ1588" i="5"/>
  <c r="AZ1588" i="5"/>
  <c r="AY1588" i="5"/>
  <c r="AK1567" i="5"/>
  <c r="AJ1567" i="5"/>
  <c r="AI1567" i="5"/>
  <c r="AI1568" i="5"/>
  <c r="AZ1567" i="5"/>
  <c r="AK1563" i="5"/>
  <c r="AZ1563" i="5"/>
  <c r="AJ1563" i="5"/>
  <c r="AI1564" i="5"/>
  <c r="AT1559" i="5"/>
  <c r="AS1559" i="5"/>
  <c r="AT1503" i="5"/>
  <c r="AS1503" i="5"/>
  <c r="AJ1495" i="5"/>
  <c r="AZ1495" i="5"/>
  <c r="AL1495" i="5"/>
  <c r="AK1495" i="5"/>
  <c r="AI1282" i="5"/>
  <c r="AJ1308" i="5"/>
  <c r="AI1333" i="5"/>
  <c r="AT1360" i="5"/>
  <c r="AJ1384" i="5"/>
  <c r="AZ1400" i="5"/>
  <c r="AL1427" i="5"/>
  <c r="AW1456" i="5"/>
  <c r="AX1456" i="5" s="1"/>
  <c r="AK1491" i="5"/>
  <c r="AZ1732" i="5"/>
  <c r="AK1624" i="5"/>
  <c r="AY1567" i="5"/>
  <c r="AI1605" i="5"/>
  <c r="AK1467" i="5"/>
  <c r="AL1160" i="5"/>
  <c r="AJ1164" i="5"/>
  <c r="AZ1169" i="5"/>
  <c r="AL1144" i="5"/>
  <c r="AS1156" i="5"/>
  <c r="AI1161" i="5"/>
  <c r="AU1050" i="5"/>
  <c r="AV1050" i="5" s="1"/>
  <c r="AL1000" i="5"/>
  <c r="AJ1039" i="5"/>
  <c r="AK958" i="5"/>
  <c r="AY978" i="5"/>
  <c r="AZ983" i="5"/>
  <c r="AZ994" i="5"/>
  <c r="AJ1010" i="5"/>
  <c r="AJ1034" i="5"/>
  <c r="AZ1039" i="5"/>
  <c r="AL1054" i="5"/>
  <c r="AZ1063" i="5"/>
  <c r="AZ1074" i="5"/>
  <c r="AY1140" i="5"/>
  <c r="AJ1144" i="5"/>
  <c r="AJ1160" i="5"/>
  <c r="AJ1169" i="5"/>
  <c r="AI1170" i="5"/>
  <c r="AS1773" i="5"/>
  <c r="AL815" i="5"/>
  <c r="AK1039" i="5"/>
  <c r="AK902" i="5"/>
  <c r="AZ1050" i="5"/>
  <c r="AJ983" i="5"/>
  <c r="AT986" i="5"/>
  <c r="AI1000" i="5"/>
  <c r="AY1010" i="5"/>
  <c r="AY1014" i="5"/>
  <c r="AK1030" i="5"/>
  <c r="AZ1034" i="5"/>
  <c r="AR1039" i="5"/>
  <c r="AT1039" i="5" s="1"/>
  <c r="AZ1054" i="5"/>
  <c r="AJ1063" i="5"/>
  <c r="AI1075" i="5"/>
  <c r="AL1140" i="5"/>
  <c r="AI1164" i="5"/>
  <c r="AK1169" i="5"/>
  <c r="AJ862" i="5"/>
  <c r="AR884" i="5"/>
  <c r="AT884" i="5" s="1"/>
  <c r="AS1070" i="5"/>
  <c r="AT890" i="5"/>
  <c r="AK983" i="5"/>
  <c r="AJ1000" i="5"/>
  <c r="AL1010" i="5"/>
  <c r="AK1014" i="5"/>
  <c r="AI1031" i="5"/>
  <c r="AI1035" i="5"/>
  <c r="AR1050" i="5"/>
  <c r="AS1050" i="5" s="1"/>
  <c r="AL1063" i="5"/>
  <c r="AW1074" i="5"/>
  <c r="AX1074" i="5" s="1"/>
  <c r="AJ1140" i="5"/>
  <c r="AI1160" i="5"/>
  <c r="AK1164" i="5"/>
  <c r="AL1169" i="5"/>
  <c r="AI1015" i="5"/>
  <c r="AL842" i="5"/>
  <c r="AU842" i="5"/>
  <c r="AV842" i="5" s="1"/>
  <c r="AK1140" i="5"/>
  <c r="AI816" i="5"/>
  <c r="AY1000" i="5"/>
  <c r="AQ1039" i="5"/>
  <c r="AJ1050" i="5"/>
  <c r="AR1074" i="5"/>
  <c r="AT1074" i="5" s="1"/>
  <c r="AY1144" i="5"/>
  <c r="AW871" i="5"/>
  <c r="AX871" i="5" s="1"/>
  <c r="AT874" i="5"/>
  <c r="AQ1447" i="5"/>
  <c r="AQ1432" i="5"/>
  <c r="AQ1416" i="5"/>
  <c r="AQ1401" i="5"/>
  <c r="AQ1395" i="5"/>
  <c r="AM1384" i="5"/>
  <c r="AQ1374" i="5"/>
  <c r="AQ1364" i="5"/>
  <c r="AQ1353" i="5"/>
  <c r="AQ1348" i="5"/>
  <c r="AQ1338" i="5"/>
  <c r="AQ1317" i="5"/>
  <c r="AQ1297" i="5"/>
  <c r="AQ1292" i="5"/>
  <c r="AQ1281" i="5"/>
  <c r="AQ1276" i="5"/>
  <c r="AQ1273" i="5"/>
  <c r="AQ1256" i="5"/>
  <c r="AQ1240" i="5"/>
  <c r="AQ1226" i="5"/>
  <c r="AQ1201" i="5"/>
  <c r="AQ1181" i="5"/>
  <c r="AQ1180" i="5"/>
  <c r="AQ1169" i="5"/>
  <c r="AQ1164" i="5"/>
  <c r="AQ1161" i="5"/>
  <c r="AQ1149" i="5"/>
  <c r="AQ1129" i="5"/>
  <c r="AQ1079" i="5"/>
  <c r="AQ1078" i="5"/>
  <c r="AQ1059" i="5"/>
  <c r="AQ1058" i="5"/>
  <c r="AQ1050" i="5"/>
  <c r="AQ1040" i="5"/>
  <c r="AQ1034" i="5"/>
  <c r="AQ1031" i="5"/>
  <c r="AQ1016" i="5"/>
  <c r="AQ1004" i="5"/>
  <c r="AQ1000" i="5"/>
  <c r="AQ995" i="5"/>
  <c r="AQ994" i="5"/>
  <c r="AQ975" i="5"/>
  <c r="AI974" i="5"/>
  <c r="AQ969" i="5"/>
  <c r="AQ960" i="5"/>
  <c r="AQ959" i="5"/>
  <c r="AQ958" i="5"/>
  <c r="AQ954" i="5"/>
  <c r="AQ948" i="5"/>
  <c r="AQ940" i="5"/>
  <c r="AQ938" i="5"/>
  <c r="AQ928" i="5"/>
  <c r="AQ927" i="5"/>
  <c r="AQ924" i="5"/>
  <c r="AQ923" i="5"/>
  <c r="AQ922" i="5"/>
  <c r="AQ919" i="5"/>
  <c r="AQ918" i="5"/>
  <c r="AQ907" i="5"/>
  <c r="AQ902" i="5"/>
  <c r="AI902" i="5"/>
  <c r="AQ898" i="5"/>
  <c r="AQ887" i="5"/>
  <c r="AQ886" i="5"/>
  <c r="AQ882" i="5"/>
  <c r="AQ872" i="5"/>
  <c r="AQ871" i="5"/>
  <c r="AQ866" i="5"/>
  <c r="AQ862" i="5"/>
  <c r="AQ851" i="5"/>
  <c r="AQ847" i="5"/>
  <c r="AQ846" i="5"/>
  <c r="AQ842" i="5"/>
  <c r="AQ828" i="5"/>
  <c r="AQ827" i="5"/>
  <c r="AQ815" i="5"/>
  <c r="AQ810" i="5"/>
  <c r="AQ806" i="5"/>
  <c r="AQ795" i="5"/>
  <c r="AQ786" i="5"/>
  <c r="AQ760" i="5"/>
  <c r="AQ759" i="5"/>
  <c r="AQ740" i="5"/>
  <c r="AQ736" i="5"/>
  <c r="AQ735" i="5"/>
  <c r="AQ730" i="5"/>
  <c r="AQ716" i="5"/>
  <c r="AQ714" i="5"/>
  <c r="AQ673" i="5"/>
  <c r="AQ668" i="5"/>
  <c r="AQ665" i="5"/>
  <c r="AQ663" i="5"/>
  <c r="AQ660" i="5"/>
  <c r="AQ649" i="5"/>
  <c r="AQ645" i="5"/>
  <c r="AQ644" i="5"/>
  <c r="AQ641" i="5"/>
  <c r="AQ639" i="5"/>
  <c r="AQ635" i="5"/>
  <c r="AQ625" i="5"/>
  <c r="AQ624" i="5"/>
  <c r="AQ620" i="5"/>
  <c r="AQ619" i="5"/>
  <c r="AQ604" i="5"/>
  <c r="AQ600" i="5"/>
  <c r="AQ595" i="5"/>
  <c r="AQ585" i="5"/>
  <c r="AQ584" i="5"/>
  <c r="AQ583" i="5"/>
  <c r="AQ580" i="5"/>
  <c r="AQ569" i="5"/>
  <c r="AQ568" i="5"/>
  <c r="AQ565" i="5"/>
  <c r="AQ559" i="5"/>
  <c r="AQ548" i="5"/>
  <c r="AQ543" i="5"/>
  <c r="AQ528" i="5"/>
  <c r="AQ524" i="5"/>
  <c r="AQ513" i="5"/>
  <c r="AQ504" i="5"/>
  <c r="AQ503" i="5"/>
  <c r="AQ498" i="5"/>
  <c r="AQ492" i="5"/>
  <c r="AQ472" i="5"/>
  <c r="AQ469" i="5"/>
  <c r="AQ437" i="5"/>
  <c r="AQ427" i="5"/>
  <c r="AQ415" i="5"/>
  <c r="AQ413" i="5"/>
  <c r="AQ411" i="5"/>
  <c r="AQ401" i="5"/>
  <c r="AQ380" i="5"/>
  <c r="AI350" i="5"/>
  <c r="AQ344" i="5"/>
  <c r="AQ336" i="5"/>
  <c r="AQ335" i="5"/>
  <c r="AQ324" i="5"/>
  <c r="AQ315" i="5"/>
  <c r="AQ303" i="5"/>
  <c r="AQ293" i="5"/>
  <c r="AX3183" i="5"/>
  <c r="AX3192" i="5"/>
  <c r="AU3198" i="5"/>
  <c r="A3198" i="5" s="1"/>
  <c r="AX3207" i="5"/>
  <c r="D3212" i="5"/>
  <c r="AU3214" i="5"/>
  <c r="A3214" i="5" s="1"/>
  <c r="D3232" i="5"/>
  <c r="AX3235" i="5"/>
  <c r="D3236" i="5"/>
  <c r="AX3238" i="5"/>
  <c r="D3240" i="5"/>
  <c r="AX3241" i="5"/>
  <c r="D3242" i="5"/>
  <c r="AX3243" i="5"/>
  <c r="AX3245" i="5"/>
  <c r="AX3246" i="5"/>
  <c r="AU3248" i="5"/>
  <c r="AV3248" i="5" s="1"/>
  <c r="AW3248" i="5" s="1"/>
  <c r="AY3248" i="5" s="1"/>
  <c r="AX3249" i="5"/>
  <c r="D3251" i="5"/>
  <c r="D3252" i="5"/>
  <c r="AN3461" i="5"/>
  <c r="AO3461" i="5" s="1"/>
  <c r="AP3461" i="5" s="1"/>
  <c r="AR3461" i="5" s="1"/>
  <c r="AN3696" i="5"/>
  <c r="AQ3696" i="5" s="1"/>
  <c r="AU3266" i="5"/>
  <c r="A3266" i="5" s="1"/>
  <c r="AX3271" i="5"/>
  <c r="AU3277" i="5"/>
  <c r="A3277" i="5" s="1"/>
  <c r="D3298" i="5"/>
  <c r="D3330" i="5"/>
  <c r="AU1385" i="5"/>
  <c r="AV1385" i="5" s="1"/>
  <c r="AZ1385" i="5"/>
  <c r="AR1372" i="5"/>
  <c r="AT1372" i="5" s="1"/>
  <c r="AW1372" i="5"/>
  <c r="AX1372" i="5" s="1"/>
  <c r="AJ1235" i="5"/>
  <c r="AZ1235" i="5"/>
  <c r="AT1227" i="5"/>
  <c r="AS1227" i="5"/>
  <c r="AJ1199" i="5"/>
  <c r="AI1200" i="5"/>
  <c r="AT1061" i="5"/>
  <c r="AS1061" i="5"/>
  <c r="AS1041" i="5"/>
  <c r="AT1041" i="5"/>
  <c r="AI1030" i="5"/>
  <c r="AY1029" i="5"/>
  <c r="AR1018" i="5"/>
  <c r="AT1018" i="5" s="1"/>
  <c r="AU1018" i="5"/>
  <c r="AV1018" i="5" s="1"/>
  <c r="AS1001" i="5"/>
  <c r="AT1001" i="5"/>
  <c r="AJ993" i="5"/>
  <c r="AL993" i="5"/>
  <c r="AW989" i="5"/>
  <c r="AX989" i="5" s="1"/>
  <c r="AU989" i="5"/>
  <c r="AV989" i="5" s="1"/>
  <c r="AT985" i="5"/>
  <c r="AS985" i="5"/>
  <c r="AT965" i="5"/>
  <c r="AS965" i="5"/>
  <c r="AJ962" i="5"/>
  <c r="AY962" i="5"/>
  <c r="AL962" i="5"/>
  <c r="AY937" i="5"/>
  <c r="AI938" i="5"/>
  <c r="AU933" i="5"/>
  <c r="AV933" i="5" s="1"/>
  <c r="AZ933" i="5"/>
  <c r="AT929" i="5"/>
  <c r="AS929" i="5"/>
  <c r="AL906" i="5"/>
  <c r="AJ906" i="5"/>
  <c r="AW906" i="5"/>
  <c r="AX906" i="5" s="1"/>
  <c r="AK906" i="5"/>
  <c r="AI881" i="5"/>
  <c r="AL881" i="5"/>
  <c r="AS873" i="5"/>
  <c r="AT873" i="5"/>
  <c r="AT869" i="5"/>
  <c r="AS869" i="5"/>
  <c r="AK850" i="5"/>
  <c r="AL850" i="5"/>
  <c r="AY850" i="5"/>
  <c r="AJ845" i="5"/>
  <c r="AZ845" i="5"/>
  <c r="AI841" i="5"/>
  <c r="AI842" i="5"/>
  <c r="AS837" i="5"/>
  <c r="AT837" i="5"/>
  <c r="AS833" i="5"/>
  <c r="AT833" i="5"/>
  <c r="AU821" i="5"/>
  <c r="AV821" i="5" s="1"/>
  <c r="AI821" i="5"/>
  <c r="AK821" i="5"/>
  <c r="AS817" i="5"/>
  <c r="AT817" i="5"/>
  <c r="AI795" i="5"/>
  <c r="AR794" i="5"/>
  <c r="AS794" i="5" s="1"/>
  <c r="AZ785" i="5"/>
  <c r="AI785" i="5"/>
  <c r="AS781" i="5"/>
  <c r="AT781" i="5"/>
  <c r="AL769" i="5"/>
  <c r="AZ769" i="5"/>
  <c r="AK769" i="5"/>
  <c r="AY765" i="5"/>
  <c r="AZ765" i="5"/>
  <c r="AS757" i="5"/>
  <c r="AT757" i="5"/>
  <c r="AL749" i="5"/>
  <c r="AK749" i="5"/>
  <c r="AZ749" i="5"/>
  <c r="AY738" i="5"/>
  <c r="AK738" i="5"/>
  <c r="AY733" i="5"/>
  <c r="AZ733" i="5"/>
  <c r="AK729" i="5"/>
  <c r="AZ729" i="5"/>
  <c r="AJ713" i="5"/>
  <c r="AL713" i="5"/>
  <c r="AY713" i="5"/>
  <c r="AW709" i="5"/>
  <c r="AX709" i="5" s="1"/>
  <c r="AZ709" i="5"/>
  <c r="AL709" i="5"/>
  <c r="AM702" i="5"/>
  <c r="AJ702" i="5"/>
  <c r="AK702" i="5"/>
  <c r="AZ702" i="5"/>
  <c r="AL630" i="5"/>
  <c r="AJ630" i="5"/>
  <c r="AU630" i="5"/>
  <c r="AV630" i="5" s="1"/>
  <c r="AK630" i="5"/>
  <c r="AI630" i="5"/>
  <c r="AR630" i="5"/>
  <c r="AT630" i="5" s="1"/>
  <c r="AI614" i="5"/>
  <c r="AQ614" i="5"/>
  <c r="AR603" i="5"/>
  <c r="AL603" i="5"/>
  <c r="AU603" i="5"/>
  <c r="AV603" i="5" s="1"/>
  <c r="AZ603" i="5"/>
  <c r="AW603" i="5"/>
  <c r="AX603" i="5" s="1"/>
  <c r="AI598" i="5"/>
  <c r="AY598" i="5"/>
  <c r="AK598" i="5"/>
  <c r="AL598" i="5"/>
  <c r="AL594" i="5"/>
  <c r="AJ594" i="5"/>
  <c r="AI595" i="5"/>
  <c r="AQ574" i="5"/>
  <c r="AI574" i="5"/>
  <c r="AW574" i="5"/>
  <c r="AX574" i="5" s="1"/>
  <c r="AJ574" i="5"/>
  <c r="AY574" i="5"/>
  <c r="AS566" i="5"/>
  <c r="AT566" i="5"/>
  <c r="AT550" i="5"/>
  <c r="AS550" i="5"/>
  <c r="AY547" i="5"/>
  <c r="AQ547" i="5"/>
  <c r="AI548" i="5"/>
  <c r="AL547" i="5"/>
  <c r="AJ547" i="5"/>
  <c r="AK542" i="5"/>
  <c r="AI543" i="5"/>
  <c r="AI542" i="5"/>
  <c r="AK538" i="5"/>
  <c r="AL538" i="5"/>
  <c r="AJ538" i="5"/>
  <c r="AL522" i="5"/>
  <c r="AY522" i="5"/>
  <c r="AK522" i="5"/>
  <c r="AJ522" i="5"/>
  <c r="AI523" i="5"/>
  <c r="AL518" i="5"/>
  <c r="AR518" i="5"/>
  <c r="AS518" i="5" s="1"/>
  <c r="AZ518" i="5"/>
  <c r="AK518" i="5"/>
  <c r="AW518" i="5"/>
  <c r="AX518" i="5" s="1"/>
  <c r="AT1707" i="5"/>
  <c r="AS1707" i="5"/>
  <c r="AY1009" i="5"/>
  <c r="AI1431" i="5"/>
  <c r="AZ789" i="5"/>
  <c r="AK614" i="5"/>
  <c r="AI750" i="5"/>
  <c r="AI786" i="5"/>
  <c r="AK765" i="5"/>
  <c r="AL733" i="5"/>
  <c r="AY702" i="5"/>
  <c r="AL794" i="5"/>
  <c r="AS1021" i="5"/>
  <c r="AZ953" i="5"/>
  <c r="AK937" i="5"/>
  <c r="AL821" i="5"/>
  <c r="AK845" i="5"/>
  <c r="AL897" i="5"/>
  <c r="AS981" i="5"/>
  <c r="AZ1291" i="5"/>
  <c r="AL1291" i="5"/>
  <c r="AL1204" i="5"/>
  <c r="AY1204" i="5"/>
  <c r="AZ1143" i="5"/>
  <c r="AI1144" i="5"/>
  <c r="AJ1009" i="5"/>
  <c r="AS1422" i="5"/>
  <c r="AT1422" i="5"/>
  <c r="AT1359" i="5"/>
  <c r="AS1359" i="5"/>
  <c r="AY1260" i="5"/>
  <c r="AU1260" i="5"/>
  <c r="AV1260" i="5" s="1"/>
  <c r="AJ1260" i="5"/>
  <c r="AI1010" i="5"/>
  <c r="AW850" i="5"/>
  <c r="AX850" i="5" s="1"/>
  <c r="AJ897" i="5"/>
  <c r="AY993" i="5"/>
  <c r="AK901" i="5"/>
  <c r="AI730" i="5"/>
  <c r="AI898" i="5"/>
  <c r="AI1140" i="5"/>
  <c r="AI918" i="5"/>
  <c r="AY630" i="5"/>
  <c r="AJ789" i="5"/>
  <c r="AR738" i="5"/>
  <c r="AT738" i="5" s="1"/>
  <c r="AL785" i="5"/>
  <c r="AU765" i="5"/>
  <c r="AV765" i="5" s="1"/>
  <c r="AR709" i="5"/>
  <c r="AS709" i="5" s="1"/>
  <c r="AK733" i="5"/>
  <c r="AS705" i="5"/>
  <c r="AK794" i="5"/>
  <c r="AS1207" i="5"/>
  <c r="AY973" i="5"/>
  <c r="AJ1195" i="5"/>
  <c r="AI825" i="5"/>
  <c r="AR850" i="5"/>
  <c r="AS850" i="5" s="1"/>
  <c r="AY906" i="5"/>
  <c r="AL1139" i="5"/>
  <c r="AI599" i="5"/>
  <c r="AZ1390" i="5"/>
  <c r="AI1391" i="5"/>
  <c r="AL1347" i="5"/>
  <c r="AJ1347" i="5"/>
  <c r="AI901" i="5"/>
  <c r="AK1029" i="5"/>
  <c r="AS1319" i="5"/>
  <c r="AJ953" i="5"/>
  <c r="AJ937" i="5"/>
  <c r="AZ1009" i="5"/>
  <c r="AI1009" i="5"/>
  <c r="AL901" i="5"/>
  <c r="AY1363" i="5"/>
  <c r="AI954" i="5"/>
  <c r="AI790" i="5"/>
  <c r="AI862" i="5"/>
  <c r="AI958" i="5"/>
  <c r="AI1014" i="5"/>
  <c r="AL614" i="5"/>
  <c r="AS797" i="5"/>
  <c r="AZ738" i="5"/>
  <c r="AL765" i="5"/>
  <c r="AK785" i="5"/>
  <c r="AS761" i="5"/>
  <c r="AY709" i="5"/>
  <c r="AJ733" i="5"/>
  <c r="AQ603" i="5"/>
  <c r="AI713" i="5"/>
  <c r="AZ794" i="5"/>
  <c r="AT1279" i="5"/>
  <c r="AK1128" i="5"/>
  <c r="AJ1251" i="5"/>
  <c r="AJ973" i="5"/>
  <c r="AK825" i="5"/>
  <c r="AY861" i="5"/>
  <c r="AR906" i="5"/>
  <c r="AT906" i="5" s="1"/>
  <c r="AY1199" i="5"/>
  <c r="AI615" i="5"/>
  <c r="AJ1406" i="5"/>
  <c r="AW1406" i="5"/>
  <c r="AX1406" i="5" s="1"/>
  <c r="AR1287" i="5"/>
  <c r="AT1287" i="5" s="1"/>
  <c r="AJ1287" i="5"/>
  <c r="AK1255" i="5"/>
  <c r="AZ1255" i="5"/>
  <c r="AR1231" i="5"/>
  <c r="AT1231" i="5" s="1"/>
  <c r="AY1231" i="5"/>
  <c r="AW1175" i="5"/>
  <c r="AX1175" i="5" s="1"/>
  <c r="AL1175" i="5"/>
  <c r="AJ1159" i="5"/>
  <c r="AI1159" i="5"/>
  <c r="AL1009" i="5"/>
  <c r="AI994" i="5"/>
  <c r="AI1427" i="5"/>
  <c r="AJ785" i="5"/>
  <c r="AJ738" i="5"/>
  <c r="AI729" i="5"/>
  <c r="AU709" i="5"/>
  <c r="AV709" i="5" s="1"/>
  <c r="AY769" i="5"/>
  <c r="AS670" i="5"/>
  <c r="AK713" i="5"/>
  <c r="AI739" i="5"/>
  <c r="AY1316" i="5"/>
  <c r="AT1356" i="5"/>
  <c r="AL805" i="5"/>
  <c r="AL825" i="5"/>
  <c r="AK861" i="5"/>
  <c r="AK917" i="5"/>
  <c r="AY1390" i="5"/>
  <c r="AU1231" i="5"/>
  <c r="AV1231" i="5" s="1"/>
  <c r="AL1311" i="5"/>
  <c r="AZ1311" i="5"/>
  <c r="AK1271" i="5"/>
  <c r="AI1272" i="5"/>
  <c r="AU1148" i="5"/>
  <c r="AV1148" i="5" s="1"/>
  <c r="AW1148" i="5"/>
  <c r="AX1148" i="5" s="1"/>
  <c r="AR1148" i="5"/>
  <c r="AT1148" i="5" s="1"/>
  <c r="AZ1179" i="5"/>
  <c r="AY1787" i="5"/>
  <c r="AL1372" i="5"/>
  <c r="AI1252" i="5"/>
  <c r="AJ765" i="5"/>
  <c r="AW738" i="5"/>
  <c r="AX738" i="5" s="1"/>
  <c r="AS721" i="5"/>
  <c r="AW765" i="5"/>
  <c r="AX765" i="5" s="1"/>
  <c r="AY729" i="5"/>
  <c r="AJ709" i="5"/>
  <c r="AJ769" i="5"/>
  <c r="AZ630" i="5"/>
  <c r="AS674" i="5"/>
  <c r="AZ713" i="5"/>
  <c r="AS626" i="5"/>
  <c r="AT1339" i="5"/>
  <c r="AL1143" i="5"/>
  <c r="AK805" i="5"/>
  <c r="AK841" i="5"/>
  <c r="AL877" i="5"/>
  <c r="AY957" i="5"/>
  <c r="AT909" i="5"/>
  <c r="AJ1307" i="5"/>
  <c r="AQ502" i="5"/>
  <c r="AY502" i="5"/>
  <c r="AI492" i="5"/>
  <c r="AW491" i="5"/>
  <c r="AX491" i="5" s="1"/>
  <c r="AY488" i="5"/>
  <c r="AK488" i="5"/>
  <c r="AJ486" i="5"/>
  <c r="AY486" i="5"/>
  <c r="AZ482" i="5"/>
  <c r="AK482" i="5"/>
  <c r="AZ466" i="5"/>
  <c r="AL466" i="5"/>
  <c r="AQ466" i="5"/>
  <c r="AJ462" i="5"/>
  <c r="AK462" i="5"/>
  <c r="AZ462" i="5"/>
  <c r="AW462" i="5"/>
  <c r="AX462" i="5" s="1"/>
  <c r="AY446" i="5"/>
  <c r="AJ446" i="5"/>
  <c r="AI446" i="5"/>
  <c r="AJ435" i="5"/>
  <c r="AI436" i="5"/>
  <c r="AZ435" i="5"/>
  <c r="AL430" i="5"/>
  <c r="AZ430" i="5"/>
  <c r="AI430" i="5"/>
  <c r="AI426" i="5"/>
  <c r="AY426" i="5"/>
  <c r="AZ410" i="5"/>
  <c r="AK410" i="5"/>
  <c r="AY406" i="5"/>
  <c r="AI406" i="5"/>
  <c r="AW406" i="5"/>
  <c r="AX406" i="5" s="1"/>
  <c r="AY379" i="5"/>
  <c r="AL379" i="5"/>
  <c r="AQ334" i="5"/>
  <c r="AK334" i="5"/>
  <c r="AQ323" i="5"/>
  <c r="AY323" i="5"/>
  <c r="AS295" i="5"/>
  <c r="AT295" i="5"/>
  <c r="AQ406" i="5"/>
  <c r="AI411" i="5"/>
  <c r="AK426" i="5"/>
  <c r="AW435" i="5"/>
  <c r="AX435" i="5" s="1"/>
  <c r="AR462" i="5"/>
  <c r="AS462" i="5" s="1"/>
  <c r="AI482" i="5"/>
  <c r="AU491" i="5"/>
  <c r="AV491" i="5" s="1"/>
  <c r="AT402" i="5"/>
  <c r="AU435" i="5"/>
  <c r="AV435" i="5" s="1"/>
  <c r="AL462" i="5"/>
  <c r="AJ488" i="5"/>
  <c r="AT510" i="5"/>
  <c r="AR350" i="5"/>
  <c r="AT350" i="5" s="1"/>
  <c r="AQ354" i="5"/>
  <c r="AI370" i="5"/>
  <c r="AZ379" i="5"/>
  <c r="AK390" i="5"/>
  <c r="AL406" i="5"/>
  <c r="AQ410" i="5"/>
  <c r="AJ426" i="5"/>
  <c r="AL446" i="5"/>
  <c r="AQ486" i="5"/>
  <c r="AQ491" i="5"/>
  <c r="AZ502" i="5"/>
  <c r="AY435" i="5"/>
  <c r="AK466" i="5"/>
  <c r="AS474" i="5"/>
  <c r="AI371" i="5"/>
  <c r="V4839" i="5"/>
  <c r="F4842" i="5" s="1"/>
  <c r="Q4840" i="5"/>
  <c r="V4840" i="5" s="1"/>
  <c r="G1084" i="5"/>
  <c r="H1084" i="5" s="1"/>
  <c r="AM1085" i="5"/>
  <c r="G1539" i="5"/>
  <c r="H1539" i="5" s="1"/>
  <c r="AM1541" i="5"/>
  <c r="AP1529" i="5"/>
  <c r="AQ1529" i="5" s="1"/>
  <c r="M1529" i="5"/>
  <c r="F1529" i="5" s="1"/>
  <c r="G1529" i="5" s="1"/>
  <c r="H1529" i="5" s="1"/>
  <c r="M1528" i="5"/>
  <c r="F1528" i="5" s="1"/>
  <c r="G1528" i="5" s="1"/>
  <c r="H1528" i="5" s="1"/>
  <c r="AP1528" i="5"/>
  <c r="AQ1528" i="5" s="1"/>
  <c r="AU3235" i="5"/>
  <c r="AV3235" i="5" s="1"/>
  <c r="AW3235" i="5" s="1"/>
  <c r="AY3235" i="5" s="1"/>
  <c r="D3238" i="5"/>
  <c r="M3698" i="5"/>
  <c r="F3698" i="5" s="1"/>
  <c r="L3698" i="5" s="1"/>
  <c r="AU3252" i="5"/>
  <c r="A3252" i="5" s="1"/>
  <c r="AU3249" i="5"/>
  <c r="A3249" i="5" s="1"/>
  <c r="AU3246" i="5"/>
  <c r="A3246" i="5" s="1"/>
  <c r="D3243" i="5"/>
  <c r="M3214" i="5"/>
  <c r="F3214" i="5" s="1"/>
  <c r="L3214" i="5" s="1"/>
  <c r="AQ1553" i="5"/>
  <c r="AI1701" i="5"/>
  <c r="AQ1610" i="5"/>
  <c r="AJ2125" i="5"/>
  <c r="R194" i="5"/>
  <c r="F196" i="5" s="1"/>
  <c r="AS2331" i="5"/>
  <c r="AY2185" i="5"/>
  <c r="AL2134" i="5"/>
  <c r="AY2263" i="5"/>
  <c r="AI2227" i="5"/>
  <c r="AK2223" i="5"/>
  <c r="M2371" i="5"/>
  <c r="F2371" i="5" s="1"/>
  <c r="AK2338" i="5"/>
  <c r="AU2161" i="5"/>
  <c r="AV2161" i="5" s="1"/>
  <c r="AW2288" i="5"/>
  <c r="AX2288" i="5" s="1"/>
  <c r="AS2153" i="5"/>
  <c r="AK2125" i="5"/>
  <c r="AL2078" i="5"/>
  <c r="R208" i="5"/>
  <c r="R209" i="5" s="1"/>
  <c r="F211" i="5" s="1"/>
  <c r="AL2185" i="5"/>
  <c r="M609" i="5"/>
  <c r="F609" i="5" s="1"/>
  <c r="AM609" i="5" s="1"/>
  <c r="AZ2134" i="5"/>
  <c r="AZ2263" i="5"/>
  <c r="AZ2187" i="5"/>
  <c r="AJ2161" i="5"/>
  <c r="AI2283" i="5"/>
  <c r="AU2288" i="5"/>
  <c r="AV2288" i="5" s="1"/>
  <c r="M2086" i="5"/>
  <c r="F2086" i="5" s="1"/>
  <c r="AM2087" i="5" s="1"/>
  <c r="S208" i="5"/>
  <c r="S209" i="5" s="1"/>
  <c r="F212" i="5" s="1"/>
  <c r="AK2358" i="5"/>
  <c r="AZ2279" i="5"/>
  <c r="AS2355" i="5"/>
  <c r="AL2181" i="5"/>
  <c r="AI2079" i="5"/>
  <c r="AK2089" i="5"/>
  <c r="AY2283" i="5"/>
  <c r="AU2078" i="5"/>
  <c r="AV2078" i="5" s="1"/>
  <c r="AR2078" i="5"/>
  <c r="AT2078" i="5" s="1"/>
  <c r="AK2243" i="5"/>
  <c r="AK2129" i="5"/>
  <c r="M1168" i="5"/>
  <c r="F1168" i="5" s="1"/>
  <c r="AM1168" i="5" s="1"/>
  <c r="M1231" i="5"/>
  <c r="F1231" i="5" s="1"/>
  <c r="AM1231" i="5" s="1"/>
  <c r="AK2134" i="5"/>
  <c r="AL2263" i="5"/>
  <c r="AL2315" i="5"/>
  <c r="AZ2203" i="5"/>
  <c r="AJ2315" i="5"/>
  <c r="AW2161" i="5"/>
  <c r="AX2161" i="5" s="1"/>
  <c r="AJ2089" i="5"/>
  <c r="AS2097" i="5"/>
  <c r="AY2095" i="5"/>
  <c r="AJ2288" i="5"/>
  <c r="M462" i="5"/>
  <c r="F462" i="5" s="1"/>
  <c r="AM462" i="5" s="1"/>
  <c r="AI2129" i="5"/>
  <c r="AI2185" i="5"/>
  <c r="M1301" i="5"/>
  <c r="F1301" i="5" s="1"/>
  <c r="AM1301" i="5" s="1"/>
  <c r="AK2263" i="5"/>
  <c r="AK2185" i="5"/>
  <c r="AL2161" i="5"/>
  <c r="AL2279" i="5"/>
  <c r="AY2181" i="5"/>
  <c r="AT2118" i="5"/>
  <c r="AJ2181" i="5"/>
  <c r="AY2203" i="5"/>
  <c r="AL2089" i="5"/>
  <c r="AZ2095" i="5"/>
  <c r="F4725" i="5"/>
  <c r="AK1844" i="5"/>
  <c r="AL1761" i="5"/>
  <c r="AK2057" i="5"/>
  <c r="M2261" i="5"/>
  <c r="F2261" i="5" s="1"/>
  <c r="AM2262" i="5" s="1"/>
  <c r="AW1705" i="5"/>
  <c r="AX1705" i="5" s="1"/>
  <c r="AS1764" i="5"/>
  <c r="AZ2052" i="5"/>
  <c r="AL2362" i="5"/>
  <c r="AY2104" i="5"/>
  <c r="M2121" i="5"/>
  <c r="F2121" i="5" s="1"/>
  <c r="AM2122" i="5" s="1"/>
  <c r="AS1668" i="5"/>
  <c r="AT1632" i="5"/>
  <c r="AI1706" i="5"/>
  <c r="AK1705" i="5"/>
  <c r="AS1748" i="5"/>
  <c r="AY1934" i="5"/>
  <c r="AK1680" i="5"/>
  <c r="AK1696" i="5"/>
  <c r="AK1756" i="5"/>
  <c r="AY1808" i="5"/>
  <c r="AJ1868" i="5"/>
  <c r="AS1652" i="5"/>
  <c r="AT1724" i="5"/>
  <c r="AL1792" i="5"/>
  <c r="AU1593" i="5"/>
  <c r="AV1593" i="5" s="1"/>
  <c r="AL1604" i="5"/>
  <c r="AK1620" i="5"/>
  <c r="AK1649" i="5"/>
  <c r="AU1649" i="5"/>
  <c r="AV1649" i="5" s="1"/>
  <c r="AT1672" i="5"/>
  <c r="AI1812" i="5"/>
  <c r="AJ1914" i="5"/>
  <c r="AZ2362" i="5"/>
  <c r="AZ2334" i="5"/>
  <c r="M2100" i="5"/>
  <c r="F2100" i="5" s="1"/>
  <c r="AM2101" i="5" s="1"/>
  <c r="AK1761" i="5"/>
  <c r="AY2048" i="5"/>
  <c r="AK2362" i="5"/>
  <c r="AJ2334" i="5"/>
  <c r="AJ1732" i="5"/>
  <c r="AL1788" i="5"/>
  <c r="AI1915" i="5"/>
  <c r="AJ1828" i="5"/>
  <c r="AZ1772" i="5"/>
  <c r="AY2068" i="5"/>
  <c r="M2114" i="5"/>
  <c r="F2114" i="5" s="1"/>
  <c r="AM2115" i="5" s="1"/>
  <c r="AW2334" i="5"/>
  <c r="AX2334" i="5" s="1"/>
  <c r="M2149" i="5"/>
  <c r="F2149" i="5" s="1"/>
  <c r="AM2150" i="5" s="1"/>
  <c r="M2170" i="5"/>
  <c r="F2170" i="5" s="1"/>
  <c r="AM2171" i="5" s="1"/>
  <c r="AT1636" i="5"/>
  <c r="AY1996" i="5"/>
  <c r="AI1700" i="5"/>
  <c r="AL1705" i="5"/>
  <c r="AR1732" i="5"/>
  <c r="AS1732" i="5" s="1"/>
  <c r="AZ1828" i="5"/>
  <c r="AJ1934" i="5"/>
  <c r="AI1645" i="5"/>
  <c r="AY1680" i="5"/>
  <c r="AY1696" i="5"/>
  <c r="AI1757" i="5"/>
  <c r="AJ1808" i="5"/>
  <c r="AY1873" i="5"/>
  <c r="AY1676" i="5"/>
  <c r="AS1922" i="5"/>
  <c r="AJ1620" i="5"/>
  <c r="AR1649" i="5"/>
  <c r="AS1649" i="5" s="1"/>
  <c r="AZ1660" i="5"/>
  <c r="AL1884" i="5"/>
  <c r="AT2024" i="5"/>
  <c r="AY2347" i="5"/>
  <c r="AL2084" i="5"/>
  <c r="M2289" i="5"/>
  <c r="F2289" i="5" s="1"/>
  <c r="AM2290" i="5" s="1"/>
  <c r="M2296" i="5"/>
  <c r="F2296" i="5" s="1"/>
  <c r="AM2297" i="5" s="1"/>
  <c r="AW1761" i="5"/>
  <c r="AX1761" i="5" s="1"/>
  <c r="AR1817" i="5"/>
  <c r="AT1817" i="5" s="1"/>
  <c r="AS1892" i="5"/>
  <c r="M2330" i="5"/>
  <c r="F2330" i="5" s="1"/>
  <c r="AM2331" i="5" s="1"/>
  <c r="AY2334" i="5"/>
  <c r="AZ1848" i="5"/>
  <c r="AL1934" i="5"/>
  <c r="AI1914" i="5"/>
  <c r="AR2347" i="5"/>
  <c r="AS2347" i="5" s="1"/>
  <c r="M2128" i="5"/>
  <c r="F2128" i="5" s="1"/>
  <c r="AM2129" i="5" s="1"/>
  <c r="AY2362" i="5"/>
  <c r="AZ2358" i="5"/>
  <c r="M2065" i="5"/>
  <c r="F2065" i="5" s="1"/>
  <c r="AM2066" i="5" s="1"/>
  <c r="AI1828" i="5"/>
  <c r="AZ1700" i="5"/>
  <c r="AR1705" i="5"/>
  <c r="AT1705" i="5" s="1"/>
  <c r="AY1732" i="5"/>
  <c r="AK1848" i="5"/>
  <c r="AZ1934" i="5"/>
  <c r="AJ1644" i="5"/>
  <c r="AL1696" i="5"/>
  <c r="AZ1761" i="5"/>
  <c r="AW1817" i="5"/>
  <c r="AX1817" i="5" s="1"/>
  <c r="AL1676" i="5"/>
  <c r="AZ1736" i="5"/>
  <c r="AK1640" i="5"/>
  <c r="AL1649" i="5"/>
  <c r="AY1914" i="5"/>
  <c r="AI1905" i="5"/>
  <c r="AT1780" i="5"/>
  <c r="M2016" i="5"/>
  <c r="F2016" i="5" s="1"/>
  <c r="AM2017" i="5" s="1"/>
  <c r="AK1914" i="5"/>
  <c r="AI1935" i="5"/>
  <c r="AS1728" i="5"/>
  <c r="AY1844" i="5"/>
  <c r="AK1792" i="5"/>
  <c r="M3866" i="5"/>
  <c r="F3866" i="5" s="1"/>
  <c r="L3866" i="5" s="1"/>
  <c r="AR1761" i="5"/>
  <c r="AT1761" i="5" s="1"/>
  <c r="AU1732" i="5"/>
  <c r="AV1732" i="5" s="1"/>
  <c r="AY1788" i="5"/>
  <c r="M2303" i="5"/>
  <c r="F2303" i="5" s="1"/>
  <c r="AM2304" i="5" s="1"/>
  <c r="AS1804" i="5"/>
  <c r="M2058" i="5"/>
  <c r="F2058" i="5" s="1"/>
  <c r="AM2059" i="5" s="1"/>
  <c r="M2324" i="5"/>
  <c r="F2324" i="5" s="1"/>
  <c r="AM2325" i="5" s="1"/>
  <c r="AI2125" i="5"/>
  <c r="M2079" i="5"/>
  <c r="F2079" i="5" s="1"/>
  <c r="AM2080" i="5" s="1"/>
  <c r="AI1697" i="5"/>
  <c r="AL1756" i="5"/>
  <c r="AI1809" i="5"/>
  <c r="AK1868" i="5"/>
  <c r="AK1676" i="5"/>
  <c r="AJ1812" i="5"/>
  <c r="AU2281" i="5"/>
  <c r="AV2281" i="5" s="1"/>
  <c r="M2282" i="5"/>
  <c r="F2282" i="5" s="1"/>
  <c r="M2354" i="5"/>
  <c r="F2354" i="5" s="1"/>
  <c r="AM2355" i="5" s="1"/>
  <c r="M2275" i="5"/>
  <c r="F2275" i="5" s="1"/>
  <c r="AM2276" i="5" s="1"/>
  <c r="M2348" i="5"/>
  <c r="F2348" i="5" s="1"/>
  <c r="AM2349" i="5" s="1"/>
  <c r="M2226" i="5"/>
  <c r="F2226" i="5" s="1"/>
  <c r="M1995" i="5"/>
  <c r="F1995" i="5" s="1"/>
  <c r="AM1996" i="5" s="1"/>
  <c r="AJ2358" i="5"/>
  <c r="M2198" i="5"/>
  <c r="F2198" i="5" s="1"/>
  <c r="AM2199" i="5" s="1"/>
  <c r="M2142" i="5"/>
  <c r="F2142" i="5" s="1"/>
  <c r="AM2143" i="5" s="1"/>
  <c r="AY2358" i="5"/>
  <c r="AY2338" i="5"/>
  <c r="M2156" i="5"/>
  <c r="F2156" i="5" s="1"/>
  <c r="M2051" i="5"/>
  <c r="F2051" i="5" s="1"/>
  <c r="AM2051" i="5" s="1"/>
  <c r="AU2359" i="5"/>
  <c r="AV2359" i="5" s="1"/>
  <c r="M1691" i="5"/>
  <c r="F1691" i="5" s="1"/>
  <c r="M2629" i="5"/>
  <c r="L2629" i="5" s="1"/>
  <c r="M2621" i="5"/>
  <c r="L2621" i="5" s="1"/>
  <c r="AQ1645" i="5"/>
  <c r="AQ1237" i="5"/>
  <c r="AQ1015" i="5"/>
  <c r="AW1803" i="5"/>
  <c r="AX1803" i="5" s="1"/>
  <c r="M2030" i="5"/>
  <c r="F2030" i="5" s="1"/>
  <c r="AM2031" i="5" s="1"/>
  <c r="M2135" i="5"/>
  <c r="F2135" i="5" s="1"/>
  <c r="AM2136" i="5" s="1"/>
  <c r="M2002" i="5"/>
  <c r="F2002" i="5" s="1"/>
  <c r="AM2003" i="5" s="1"/>
  <c r="M2072" i="5"/>
  <c r="F2072" i="5" s="1"/>
  <c r="AM2073" i="5" s="1"/>
  <c r="AJ2347" i="5"/>
  <c r="M2009" i="5"/>
  <c r="F2009" i="5" s="1"/>
  <c r="AM2010" i="5" s="1"/>
  <c r="M2184" i="5"/>
  <c r="F2184" i="5" s="1"/>
  <c r="AM2185" i="5" s="1"/>
  <c r="AL1718" i="5"/>
  <c r="AR2359" i="5"/>
  <c r="AT2359" i="5" s="1"/>
  <c r="AZ2347" i="5"/>
  <c r="AY1814" i="5"/>
  <c r="M2247" i="5"/>
  <c r="F2247" i="5" s="1"/>
  <c r="AM2248" i="5" s="1"/>
  <c r="M2310" i="5"/>
  <c r="F2310" i="5" s="1"/>
  <c r="AM2311" i="5" s="1"/>
  <c r="AW2358" i="5"/>
  <c r="AX2358" i="5" s="1"/>
  <c r="M2037" i="5"/>
  <c r="F2037" i="5" s="1"/>
  <c r="AM2038" i="5" s="1"/>
  <c r="AU2358" i="5"/>
  <c r="AV2358" i="5" s="1"/>
  <c r="M2317" i="5"/>
  <c r="F2317" i="5" s="1"/>
  <c r="AM2318" i="5" s="1"/>
  <c r="AY1854" i="5"/>
  <c r="M1803" i="5"/>
  <c r="F1803" i="5" s="1"/>
  <c r="AM1804" i="5" s="1"/>
  <c r="AJ2338" i="5"/>
  <c r="M1044" i="5"/>
  <c r="F1044" i="5" s="1"/>
  <c r="AM1044" i="5" s="1"/>
  <c r="M856" i="5"/>
  <c r="F856" i="5" s="1"/>
  <c r="AM856" i="5" s="1"/>
  <c r="AZ2196" i="5"/>
  <c r="AS2320" i="5"/>
  <c r="M2099" i="5"/>
  <c r="F2099" i="5" s="1"/>
  <c r="M3070" i="5"/>
  <c r="F3070" i="5" s="1"/>
  <c r="L3070" i="5" s="1"/>
  <c r="M2281" i="5"/>
  <c r="F2281" i="5" s="1"/>
  <c r="M2323" i="5"/>
  <c r="F2323" i="5" s="1"/>
  <c r="AI2391" i="5"/>
  <c r="AZ2365" i="5"/>
  <c r="AL1802" i="5"/>
  <c r="AY1802" i="5"/>
  <c r="AU1802" i="5"/>
  <c r="AV1802" i="5" s="1"/>
  <c r="AJ1775" i="5"/>
  <c r="AR1775" i="5"/>
  <c r="AT1775" i="5" s="1"/>
  <c r="AI1776" i="5"/>
  <c r="AI1770" i="5"/>
  <c r="AK1770" i="5"/>
  <c r="AT1722" i="5"/>
  <c r="AS1722" i="5"/>
  <c r="AS1702" i="5"/>
  <c r="AT1702" i="5"/>
  <c r="AL1690" i="5"/>
  <c r="AW1690" i="5"/>
  <c r="AX1690" i="5" s="1"/>
  <c r="AZ1690" i="5"/>
  <c r="AT1682" i="5"/>
  <c r="AS1682" i="5"/>
  <c r="AZ1674" i="5"/>
  <c r="AL1674" i="5"/>
  <c r="AR1663" i="5"/>
  <c r="AJ1663" i="5"/>
  <c r="AL1654" i="5"/>
  <c r="AK1654" i="5"/>
  <c r="AL1638" i="5"/>
  <c r="AJ1638" i="5"/>
  <c r="AK1638" i="5"/>
  <c r="AK1634" i="5"/>
  <c r="AY1634" i="5"/>
  <c r="AJ1634" i="5"/>
  <c r="AU1634" i="5"/>
  <c r="AV1634" i="5" s="1"/>
  <c r="AW1634" i="5"/>
  <c r="AX1634" i="5" s="1"/>
  <c r="AT1630" i="5"/>
  <c r="AS1630" i="5"/>
  <c r="AJ1618" i="5"/>
  <c r="AY1618" i="5"/>
  <c r="AK1618" i="5"/>
  <c r="AI1608" i="5"/>
  <c r="AR1607" i="5"/>
  <c r="AT1607" i="5" s="1"/>
  <c r="AZ1607" i="5"/>
  <c r="AL1607" i="5"/>
  <c r="AK1602" i="5"/>
  <c r="AJ1602" i="5"/>
  <c r="AZ1602" i="5"/>
  <c r="AJ1598" i="5"/>
  <c r="AY1598" i="5"/>
  <c r="AY1582" i="5"/>
  <c r="AZ1582" i="5"/>
  <c r="AU1578" i="5"/>
  <c r="AV1578" i="5" s="1"/>
  <c r="AK1578" i="5"/>
  <c r="AZ1578" i="5"/>
  <c r="AZ1561" i="5"/>
  <c r="AJ1561" i="5"/>
  <c r="AL1561" i="5"/>
  <c r="AJ1554" i="5"/>
  <c r="AY1554" i="5"/>
  <c r="AK1508" i="5"/>
  <c r="AI1508" i="5"/>
  <c r="AZ1508" i="5"/>
  <c r="AT1501" i="5"/>
  <c r="AS1501" i="5"/>
  <c r="AY1489" i="5"/>
  <c r="AJ1489" i="5"/>
  <c r="AI1489" i="5"/>
  <c r="AZ1489" i="5"/>
  <c r="AK1485" i="5"/>
  <c r="AZ1485" i="5"/>
  <c r="AI1465" i="5"/>
  <c r="AL1465" i="5"/>
  <c r="AJ1465" i="5"/>
  <c r="AZ1465" i="5"/>
  <c r="AJ1461" i="5"/>
  <c r="AZ1461" i="5"/>
  <c r="AL1461" i="5"/>
  <c r="AJ1425" i="5"/>
  <c r="AZ1425" i="5"/>
  <c r="AK1425" i="5"/>
  <c r="AZ1414" i="5"/>
  <c r="AI1415" i="5"/>
  <c r="AY1414" i="5"/>
  <c r="AK1414" i="5"/>
  <c r="AJ1409" i="5"/>
  <c r="AL1409" i="5"/>
  <c r="AK1409" i="5"/>
  <c r="AY1405" i="5"/>
  <c r="AJ1405" i="5"/>
  <c r="AL1405" i="5"/>
  <c r="AZ1389" i="5"/>
  <c r="AK1389" i="5"/>
  <c r="AL1389" i="5"/>
  <c r="AY1389" i="5"/>
  <c r="AZ1388" i="5"/>
  <c r="AK1388" i="5"/>
  <c r="AJ1382" i="5"/>
  <c r="AZ1382" i="5"/>
  <c r="AK1378" i="5"/>
  <c r="AJ1378" i="5"/>
  <c r="AL1378" i="5"/>
  <c r="AR1378" i="5"/>
  <c r="AS1378" i="5" s="1"/>
  <c r="AU1351" i="5"/>
  <c r="AV1351" i="5" s="1"/>
  <c r="AI1352" i="5"/>
  <c r="AW1351" i="5"/>
  <c r="AX1351" i="5" s="1"/>
  <c r="AZ1351" i="5"/>
  <c r="AY1351" i="5"/>
  <c r="AZ1346" i="5"/>
  <c r="AI1346" i="5"/>
  <c r="AK1346" i="5"/>
  <c r="AY1346" i="5"/>
  <c r="AZ1326" i="5"/>
  <c r="AL1326" i="5"/>
  <c r="AR1322" i="5"/>
  <c r="AT1322" i="5" s="1"/>
  <c r="AU1322" i="5"/>
  <c r="AV1322" i="5" s="1"/>
  <c r="AK1322" i="5"/>
  <c r="AL1322" i="5"/>
  <c r="AW1322" i="5"/>
  <c r="AX1322" i="5" s="1"/>
  <c r="AJ1306" i="5"/>
  <c r="AZ1306" i="5"/>
  <c r="AT1298" i="5"/>
  <c r="AS1298" i="5"/>
  <c r="AJ1295" i="5"/>
  <c r="AZ1295" i="5"/>
  <c r="AW1295" i="5"/>
  <c r="AX1295" i="5" s="1"/>
  <c r="AR1295" i="5"/>
  <c r="AT1295" i="5" s="1"/>
  <c r="AI1296" i="5"/>
  <c r="AK1295" i="5"/>
  <c r="AI1290" i="5"/>
  <c r="AJ1290" i="5"/>
  <c r="AL1290" i="5"/>
  <c r="AZ1286" i="5"/>
  <c r="AY1286" i="5"/>
  <c r="AL1286" i="5"/>
  <c r="AS1282" i="5"/>
  <c r="AT1282" i="5"/>
  <c r="AL1270" i="5"/>
  <c r="AZ1270" i="5"/>
  <c r="AY1270" i="5"/>
  <c r="AK1270" i="5"/>
  <c r="AI1271" i="5"/>
  <c r="AZ1266" i="5"/>
  <c r="AU1266" i="5"/>
  <c r="AV1266" i="5" s="1"/>
  <c r="AL1266" i="5"/>
  <c r="AK1266" i="5"/>
  <c r="AW1266" i="5"/>
  <c r="AX1266" i="5" s="1"/>
  <c r="AJ1266" i="5"/>
  <c r="AS1258" i="5"/>
  <c r="AT1258" i="5"/>
  <c r="AK1250" i="5"/>
  <c r="AY1250" i="5"/>
  <c r="AJ1250" i="5"/>
  <c r="AT1242" i="5"/>
  <c r="AS1242" i="5"/>
  <c r="AK1230" i="5"/>
  <c r="AZ1230" i="5"/>
  <c r="AL1230" i="5"/>
  <c r="AK1214" i="5"/>
  <c r="AL1214" i="5"/>
  <c r="AZ1214" i="5"/>
  <c r="AW1210" i="5"/>
  <c r="AX1210" i="5" s="1"/>
  <c r="AR1210" i="5"/>
  <c r="AT1210" i="5" s="1"/>
  <c r="AU1210" i="5"/>
  <c r="AV1210" i="5" s="1"/>
  <c r="AI1210" i="5"/>
  <c r="AK1210" i="5"/>
  <c r="AJ1194" i="5"/>
  <c r="AL1194" i="5"/>
  <c r="AR1183" i="5"/>
  <c r="AU1183" i="5"/>
  <c r="AV1183" i="5" s="1"/>
  <c r="AY1183" i="5"/>
  <c r="AW1183" i="5"/>
  <c r="AX1183" i="5" s="1"/>
  <c r="AK1183" i="5"/>
  <c r="AJ1183" i="5"/>
  <c r="AJ1178" i="5"/>
  <c r="AY1178" i="5"/>
  <c r="AZ1178" i="5"/>
  <c r="AK1174" i="5"/>
  <c r="AL1174" i="5"/>
  <c r="AJ1174" i="5"/>
  <c r="AY1158" i="5"/>
  <c r="AJ1158" i="5"/>
  <c r="AZ1158" i="5"/>
  <c r="AK1154" i="5"/>
  <c r="AZ1154" i="5"/>
  <c r="AU1154" i="5"/>
  <c r="AV1154" i="5" s="1"/>
  <c r="AJ1154" i="5"/>
  <c r="AI1154" i="5"/>
  <c r="AS1146" i="5"/>
  <c r="AT1146" i="5"/>
  <c r="AY1138" i="5"/>
  <c r="AK1138" i="5"/>
  <c r="AZ1138" i="5"/>
  <c r="AL1127" i="5"/>
  <c r="AZ1127" i="5"/>
  <c r="AJ1127" i="5"/>
  <c r="AM1127" i="5"/>
  <c r="AY1127" i="5"/>
  <c r="AT1124" i="5"/>
  <c r="AS1124" i="5"/>
  <c r="AS1079" i="5"/>
  <c r="AT1079" i="5"/>
  <c r="AI1072" i="5"/>
  <c r="AL1072" i="5"/>
  <c r="AW1068" i="5"/>
  <c r="AX1068" i="5" s="1"/>
  <c r="AU1068" i="5"/>
  <c r="AV1068" i="5" s="1"/>
  <c r="AK1068" i="5"/>
  <c r="M2036" i="5"/>
  <c r="F2036" i="5" s="1"/>
  <c r="M2001" i="5"/>
  <c r="F2001" i="5" s="1"/>
  <c r="M2183" i="5"/>
  <c r="F2183" i="5" s="1"/>
  <c r="AL2328" i="5"/>
  <c r="AW2328" i="5"/>
  <c r="AX2328" i="5" s="1"/>
  <c r="AL2042" i="5"/>
  <c r="AR2042" i="5"/>
  <c r="AT2042" i="5" s="1"/>
  <c r="AK1989" i="5"/>
  <c r="AL2272" i="5"/>
  <c r="AL1887" i="5"/>
  <c r="AZ2236" i="5"/>
  <c r="AL2122" i="5"/>
  <c r="M2106" i="5"/>
  <c r="F2106" i="5" s="1"/>
  <c r="AK2365" i="5"/>
  <c r="M2162" i="5"/>
  <c r="F2162" i="5" s="1"/>
  <c r="M1050" i="5"/>
  <c r="F1050" i="5" s="1"/>
  <c r="AM1050" i="5" s="1"/>
  <c r="AI2276" i="5"/>
  <c r="M2341" i="5"/>
  <c r="F2341" i="5" s="1"/>
  <c r="AJ2082" i="5"/>
  <c r="AY1822" i="5"/>
  <c r="AZ1858" i="5"/>
  <c r="AW1831" i="5"/>
  <c r="AX1831" i="5" s="1"/>
  <c r="AT1920" i="5"/>
  <c r="AJ1878" i="5"/>
  <c r="AL2071" i="5"/>
  <c r="AU2015" i="5"/>
  <c r="AV2015" i="5" s="1"/>
  <c r="AZ1658" i="5"/>
  <c r="AJ1674" i="5"/>
  <c r="AY1710" i="5"/>
  <c r="AZ1714" i="5"/>
  <c r="AZ1719" i="5"/>
  <c r="AW1746" i="5"/>
  <c r="AX1746" i="5" s="1"/>
  <c r="AJ1752" i="5"/>
  <c r="AZ1770" i="5"/>
  <c r="AL1831" i="5"/>
  <c r="AJ1858" i="5"/>
  <c r="AT1874" i="5"/>
  <c r="AJ1898" i="5"/>
  <c r="AY1910" i="5"/>
  <c r="AL2006" i="5"/>
  <c r="AY2015" i="5"/>
  <c r="AY2042" i="5"/>
  <c r="AK2066" i="5"/>
  <c r="AL2102" i="5"/>
  <c r="AJ2154" i="5"/>
  <c r="AJ2281" i="5"/>
  <c r="M2347" i="5"/>
  <c r="F2347" i="5" s="1"/>
  <c r="M884" i="5"/>
  <c r="F884" i="5" s="1"/>
  <c r="AM884" i="5" s="1"/>
  <c r="AJ2178" i="5"/>
  <c r="AY2196" i="5"/>
  <c r="AU2328" i="5"/>
  <c r="AV2328" i="5" s="1"/>
  <c r="AZ1598" i="5"/>
  <c r="AL1618" i="5"/>
  <c r="AJ1690" i="5"/>
  <c r="AS1706" i="5"/>
  <c r="AW1887" i="5"/>
  <c r="AX1887" i="5" s="1"/>
  <c r="N3452" i="5"/>
  <c r="M3452" i="5" s="1"/>
  <c r="F3452" i="5" s="1"/>
  <c r="L3452" i="5" s="1"/>
  <c r="M3451" i="5"/>
  <c r="F3451" i="5" s="1"/>
  <c r="L3451" i="5" s="1"/>
  <c r="AJ2341" i="5"/>
  <c r="AL2341" i="5"/>
  <c r="AK2308" i="5"/>
  <c r="AJ2308" i="5"/>
  <c r="AT2170" i="5"/>
  <c r="AS2170" i="5"/>
  <c r="M2029" i="5"/>
  <c r="F2029" i="5" s="1"/>
  <c r="AZ1932" i="5"/>
  <c r="AJ2026" i="5"/>
  <c r="AK1902" i="5"/>
  <c r="AJ1990" i="5"/>
  <c r="AK2071" i="5"/>
  <c r="AJ1831" i="5"/>
  <c r="AL1928" i="5"/>
  <c r="AL1990" i="5"/>
  <c r="AZ2010" i="5"/>
  <c r="AW2042" i="5"/>
  <c r="AX2042" i="5" s="1"/>
  <c r="AJ2066" i="5"/>
  <c r="AT2110" i="5"/>
  <c r="AW2154" i="5"/>
  <c r="AX2154" i="5" s="1"/>
  <c r="AL2281" i="5"/>
  <c r="M2295" i="5"/>
  <c r="F2295" i="5" s="1"/>
  <c r="M1062" i="5"/>
  <c r="F1062" i="5" s="1"/>
  <c r="AY2178" i="5"/>
  <c r="AY2062" i="5"/>
  <c r="AZ2062" i="5"/>
  <c r="AJ2062" i="5"/>
  <c r="AR2098" i="5"/>
  <c r="AT2098" i="5" s="1"/>
  <c r="AZ2122" i="5"/>
  <c r="M2335" i="5"/>
  <c r="F2335" i="5" s="1"/>
  <c r="M1056" i="5"/>
  <c r="F1056" i="5" s="1"/>
  <c r="AM1056" i="5" s="1"/>
  <c r="M1010" i="5"/>
  <c r="F1010" i="5" s="1"/>
  <c r="AM1010" i="5" s="1"/>
  <c r="AT1890" i="5"/>
  <c r="AW1858" i="5"/>
  <c r="AX1858" i="5" s="1"/>
  <c r="AK1898" i="5"/>
  <c r="AL2015" i="5"/>
  <c r="AU2196" i="5"/>
  <c r="AV2196" i="5" s="1"/>
  <c r="AZ2225" i="5"/>
  <c r="AS2284" i="5"/>
  <c r="AZ1989" i="5"/>
  <c r="AZ2102" i="5"/>
  <c r="AZ1730" i="5"/>
  <c r="AL1878" i="5"/>
  <c r="AJ2225" i="5"/>
  <c r="AI1803" i="5"/>
  <c r="M2148" i="5"/>
  <c r="F2148" i="5" s="1"/>
  <c r="AY2046" i="5"/>
  <c r="M709" i="5"/>
  <c r="F709" i="5" s="1"/>
  <c r="AM709" i="5" s="1"/>
  <c r="M2141" i="5"/>
  <c r="F2141" i="5" s="1"/>
  <c r="M2253" i="5"/>
  <c r="F2253" i="5" s="1"/>
  <c r="AZ2364" i="5"/>
  <c r="AU1831" i="5"/>
  <c r="AV1831" i="5" s="1"/>
  <c r="AI2066" i="5"/>
  <c r="AT2130" i="5"/>
  <c r="AI2072" i="5"/>
  <c r="AJ2015" i="5"/>
  <c r="AY1831" i="5"/>
  <c r="AT1986" i="5"/>
  <c r="AY1663" i="5"/>
  <c r="AZ1710" i="5"/>
  <c r="AZ1716" i="5"/>
  <c r="AK1719" i="5"/>
  <c r="AK1750" i="5"/>
  <c r="AS1778" i="5"/>
  <c r="AJ1822" i="5"/>
  <c r="AZ1831" i="5"/>
  <c r="AY1858" i="5"/>
  <c r="AZ1878" i="5"/>
  <c r="AZ1902" i="5"/>
  <c r="AJ1928" i="5"/>
  <c r="AY1990" i="5"/>
  <c r="AL2010" i="5"/>
  <c r="AR2015" i="5"/>
  <c r="AT2015" i="5" s="1"/>
  <c r="AJ2042" i="5"/>
  <c r="AZ2066" i="5"/>
  <c r="AS2114" i="5"/>
  <c r="AR2154" i="5"/>
  <c r="AS2154" i="5" s="1"/>
  <c r="N3461" i="5"/>
  <c r="N3471" i="5" s="1"/>
  <c r="M3471" i="5" s="1"/>
  <c r="F3471" i="5" s="1"/>
  <c r="L3471" i="5" s="1"/>
  <c r="X2842" i="5"/>
  <c r="M3029" i="5" s="1"/>
  <c r="F3029" i="5" s="1"/>
  <c r="L3029" i="5" s="1"/>
  <c r="AI2178" i="5"/>
  <c r="AZ2292" i="5"/>
  <c r="AT1794" i="5"/>
  <c r="AY1561" i="5"/>
  <c r="AK1607" i="5"/>
  <c r="AT1433" i="5"/>
  <c r="AY1578" i="5"/>
  <c r="AL1634" i="5"/>
  <c r="AL1710" i="5"/>
  <c r="AK1598" i="5"/>
  <c r="AS1370" i="5"/>
  <c r="AK1326" i="5"/>
  <c r="M989" i="5"/>
  <c r="F989" i="5" s="1"/>
  <c r="AM989" i="5" s="1"/>
  <c r="M877" i="5"/>
  <c r="F877" i="5" s="1"/>
  <c r="AM877" i="5" s="1"/>
  <c r="M737" i="5"/>
  <c r="F737" i="5" s="1"/>
  <c r="AM737" i="5" s="1"/>
  <c r="AS2268" i="5"/>
  <c r="AT2268" i="5"/>
  <c r="AJ2252" i="5"/>
  <c r="AY2252" i="5"/>
  <c r="AL2252" i="5"/>
  <c r="AS2244" i="5"/>
  <c r="AT2244" i="5"/>
  <c r="AW2225" i="5"/>
  <c r="AX2225" i="5" s="1"/>
  <c r="AU2225" i="5"/>
  <c r="AV2225" i="5" s="1"/>
  <c r="AL2200" i="5"/>
  <c r="AZ2200" i="5"/>
  <c r="AY2272" i="5"/>
  <c r="AL2098" i="5"/>
  <c r="AL1882" i="5"/>
  <c r="M2064" i="5"/>
  <c r="F2064" i="5" s="1"/>
  <c r="AI2342" i="5"/>
  <c r="AL1822" i="5"/>
  <c r="AS1854" i="5"/>
  <c r="AI2184" i="5"/>
  <c r="AS2228" i="5"/>
  <c r="AT2300" i="5"/>
  <c r="AZ1908" i="5"/>
  <c r="AL1908" i="5"/>
  <c r="M2302" i="5"/>
  <c r="F2302" i="5" s="1"/>
  <c r="AU2042" i="5"/>
  <c r="AV2042" i="5" s="1"/>
  <c r="AI1882" i="5"/>
  <c r="AL1770" i="5"/>
  <c r="AS2074" i="5"/>
  <c r="AK2082" i="5"/>
  <c r="AZ1928" i="5"/>
  <c r="AJ1910" i="5"/>
  <c r="AS1916" i="5"/>
  <c r="AZ1898" i="5"/>
  <c r="AR1858" i="5"/>
  <c r="AS1858" i="5" s="1"/>
  <c r="AI1888" i="5"/>
  <c r="AL1902" i="5"/>
  <c r="AY1928" i="5"/>
  <c r="AZ1990" i="5"/>
  <c r="AJ2010" i="5"/>
  <c r="AL2026" i="5"/>
  <c r="AZ2046" i="5"/>
  <c r="AZ2071" i="5"/>
  <c r="AJ2158" i="5"/>
  <c r="M751" i="5"/>
  <c r="F751" i="5" s="1"/>
  <c r="AM751" i="5" s="1"/>
  <c r="AY2200" i="5"/>
  <c r="AK2272" i="5"/>
  <c r="AZ2098" i="5"/>
  <c r="AT2054" i="5"/>
  <c r="AK1882" i="5"/>
  <c r="AK2236" i="5"/>
  <c r="G3355" i="5"/>
  <c r="H3355" i="5" s="1"/>
  <c r="M2022" i="5"/>
  <c r="F2022" i="5" s="1"/>
  <c r="M2353" i="5"/>
  <c r="F2353" i="5" s="1"/>
  <c r="M898" i="5"/>
  <c r="F898" i="5" s="1"/>
  <c r="AM898" i="5" s="1"/>
  <c r="M968" i="5"/>
  <c r="F968" i="5" s="1"/>
  <c r="AM968" i="5" s="1"/>
  <c r="AT1834" i="5"/>
  <c r="AK1932" i="5"/>
  <c r="AU1775" i="5"/>
  <c r="AV1775" i="5" s="1"/>
  <c r="AY2026" i="5"/>
  <c r="AY2127" i="5"/>
  <c r="AI1902" i="5"/>
  <c r="AY2006" i="5"/>
  <c r="AZ1654" i="5"/>
  <c r="AK1663" i="5"/>
  <c r="AR1690" i="5"/>
  <c r="AS1690" i="5" s="1"/>
  <c r="AJ1714" i="5"/>
  <c r="AI1717" i="5"/>
  <c r="AR1719" i="5"/>
  <c r="AT1719" i="5" s="1"/>
  <c r="AJ1746" i="5"/>
  <c r="AL1750" i="5"/>
  <c r="AJ1766" i="5"/>
  <c r="AK1802" i="5"/>
  <c r="AY1826" i="5"/>
  <c r="AZ1862" i="5"/>
  <c r="AJ1887" i="5"/>
  <c r="AK1908" i="5"/>
  <c r="AT1998" i="5"/>
  <c r="AK2010" i="5"/>
  <c r="AT2034" i="5"/>
  <c r="AK2046" i="5"/>
  <c r="AU2071" i="5"/>
  <c r="AV2071" i="5" s="1"/>
  <c r="AW2127" i="5"/>
  <c r="AX2127" i="5" s="1"/>
  <c r="AJ2332" i="5"/>
  <c r="AT2166" i="5"/>
  <c r="AZ2202" i="5"/>
  <c r="AU2252" i="5"/>
  <c r="AV2252" i="5" s="1"/>
  <c r="AR2308" i="5"/>
  <c r="AS2308" i="5" s="1"/>
  <c r="AY1485" i="5"/>
  <c r="AW1578" i="5"/>
  <c r="AX1578" i="5" s="1"/>
  <c r="AZ1634" i="5"/>
  <c r="AL1342" i="5"/>
  <c r="AW1378" i="5"/>
  <c r="AX1378" i="5" s="1"/>
  <c r="AS1401" i="5"/>
  <c r="AY1461" i="5"/>
  <c r="AL1602" i="5"/>
  <c r="AT1646" i="5"/>
  <c r="AZ1775" i="5"/>
  <c r="AK1405" i="5"/>
  <c r="AK1822" i="5"/>
  <c r="AL1295" i="5"/>
  <c r="AI2226" i="5"/>
  <c r="AL2225" i="5"/>
  <c r="M2057" i="5"/>
  <c r="F2057" i="5" s="1"/>
  <c r="M2190" i="5"/>
  <c r="F2190" i="5" s="1"/>
  <c r="AW2341" i="5"/>
  <c r="AX2341" i="5" s="1"/>
  <c r="AZ1786" i="5"/>
  <c r="AW2098" i="5"/>
  <c r="AX2098" i="5" s="1"/>
  <c r="AL2276" i="5"/>
  <c r="AS2090" i="5"/>
  <c r="G3351" i="5"/>
  <c r="H3351" i="5" s="1"/>
  <c r="AJ1882" i="5"/>
  <c r="AL2236" i="5"/>
  <c r="M2246" i="5"/>
  <c r="F2246" i="5" s="1"/>
  <c r="M2092" i="5"/>
  <c r="F2092" i="5" s="1"/>
  <c r="M1031" i="5"/>
  <c r="F1031" i="5" s="1"/>
  <c r="AM1031" i="5" s="1"/>
  <c r="AL2066" i="5"/>
  <c r="AU2098" i="5"/>
  <c r="AV2098" i="5" s="1"/>
  <c r="AJ1908" i="5"/>
  <c r="AZ2015" i="5"/>
  <c r="AK2026" i="5"/>
  <c r="AT2002" i="5"/>
  <c r="AZ1826" i="5"/>
  <c r="AJ1654" i="5"/>
  <c r="AT1666" i="5"/>
  <c r="AL1694" i="5"/>
  <c r="AL1714" i="5"/>
  <c r="AL1716" i="5"/>
  <c r="AI1720" i="5"/>
  <c r="AK1746" i="5"/>
  <c r="AL1752" i="5"/>
  <c r="AL1766" i="5"/>
  <c r="AJ1806" i="5"/>
  <c r="AK1826" i="5"/>
  <c r="AU1858" i="5"/>
  <c r="AV1858" i="5" s="1"/>
  <c r="AJ1862" i="5"/>
  <c r="AZ1887" i="5"/>
  <c r="AI1908" i="5"/>
  <c r="AJ2006" i="5"/>
  <c r="AI2010" i="5"/>
  <c r="AW2071" i="5"/>
  <c r="AX2071" i="5" s="1"/>
  <c r="AU2127" i="5"/>
  <c r="AV2127" i="5" s="1"/>
  <c r="AY2341" i="5"/>
  <c r="AK2352" i="5"/>
  <c r="M744" i="5"/>
  <c r="F744" i="5" s="1"/>
  <c r="AM744" i="5" s="1"/>
  <c r="AZ2174" i="5"/>
  <c r="AS2188" i="5"/>
  <c r="AJ2202" i="5"/>
  <c r="AK2252" i="5"/>
  <c r="AL2308" i="5"/>
  <c r="AJ1485" i="5"/>
  <c r="AR1578" i="5"/>
  <c r="AS1578" i="5" s="1"/>
  <c r="AR1634" i="5"/>
  <c r="AT1634" i="5" s="1"/>
  <c r="AK1342" i="5"/>
  <c r="AU1378" i="5"/>
  <c r="AV1378" i="5" s="1"/>
  <c r="AZ1405" i="5"/>
  <c r="AK1461" i="5"/>
  <c r="AY1607" i="5"/>
  <c r="AY1654" i="5"/>
  <c r="AZ1806" i="5"/>
  <c r="AL1306" i="5"/>
  <c r="AY1409" i="5"/>
  <c r="AI1388" i="5"/>
  <c r="AZ1250" i="5"/>
  <c r="AL1663" i="5"/>
  <c r="AY1602" i="5"/>
  <c r="AL2216" i="5"/>
  <c r="AK2216" i="5"/>
  <c r="AS2208" i="5"/>
  <c r="AT2208" i="5"/>
  <c r="AK2183" i="5"/>
  <c r="AZ2183" i="5"/>
  <c r="AL1932" i="5"/>
  <c r="AJ1932" i="5"/>
  <c r="AZ2272" i="5"/>
  <c r="AL1989" i="5"/>
  <c r="AK2098" i="5"/>
  <c r="M2176" i="5"/>
  <c r="F2176" i="5" s="1"/>
  <c r="M2155" i="5"/>
  <c r="F2155" i="5" s="1"/>
  <c r="M2204" i="5"/>
  <c r="F2204" i="5" s="1"/>
  <c r="M2169" i="5"/>
  <c r="F2169" i="5" s="1"/>
  <c r="M1024" i="5"/>
  <c r="F1024" i="5" s="1"/>
  <c r="AM1024" i="5" s="1"/>
  <c r="AZ2341" i="5"/>
  <c r="M814" i="5"/>
  <c r="F814" i="5" s="1"/>
  <c r="AM814" i="5" s="1"/>
  <c r="M2015" i="5"/>
  <c r="F2015" i="5" s="1"/>
  <c r="AL1862" i="5"/>
  <c r="AZ1882" i="5"/>
  <c r="AT1850" i="5"/>
  <c r="AK2042" i="5"/>
  <c r="AW1775" i="5"/>
  <c r="AX1775" i="5" s="1"/>
  <c r="AI1826" i="5"/>
  <c r="AK1694" i="5"/>
  <c r="AL1746" i="5"/>
  <c r="AZ1752" i="5"/>
  <c r="AY1770" i="5"/>
  <c r="AK1806" i="5"/>
  <c r="AJ1826" i="5"/>
  <c r="AR1887" i="5"/>
  <c r="AS1887" i="5" s="1"/>
  <c r="AY1932" i="5"/>
  <c r="AI2016" i="5"/>
  <c r="AT2038" i="5"/>
  <c r="AK2062" i="5"/>
  <c r="AZ2082" i="5"/>
  <c r="AR2127" i="5"/>
  <c r="AT2127" i="5" s="1"/>
  <c r="AY2281" i="5"/>
  <c r="AU2352" i="5"/>
  <c r="AV2352" i="5" s="1"/>
  <c r="M1017" i="5"/>
  <c r="F1017" i="5" s="1"/>
  <c r="AM1017" i="5" s="1"/>
  <c r="AL2174" i="5"/>
  <c r="AL2202" i="5"/>
  <c r="AL2256" i="5"/>
  <c r="AL2312" i="5"/>
  <c r="AZ1638" i="5"/>
  <c r="AW1663" i="5"/>
  <c r="AX1663" i="5" s="1"/>
  <c r="AJ1414" i="5"/>
  <c r="AS1374" i="5"/>
  <c r="AT1650" i="5"/>
  <c r="AZ988" i="5"/>
  <c r="AK1028" i="5"/>
  <c r="AJ1044" i="5"/>
  <c r="AY1057" i="5"/>
  <c r="AK1044" i="5"/>
  <c r="AK968" i="5"/>
  <c r="AW968" i="5"/>
  <c r="AX968" i="5" s="1"/>
  <c r="AL1008" i="5"/>
  <c r="AR997" i="5"/>
  <c r="AS997" i="5" s="1"/>
  <c r="AT928" i="5"/>
  <c r="AR941" i="5"/>
  <c r="AS941" i="5" s="1"/>
  <c r="AJ1024" i="5"/>
  <c r="AW829" i="5"/>
  <c r="AX829" i="5" s="1"/>
  <c r="AL896" i="5"/>
  <c r="AI1049" i="5"/>
  <c r="AU997" i="5"/>
  <c r="AV997" i="5" s="1"/>
  <c r="AJ1028" i="5"/>
  <c r="AJ1048" i="5"/>
  <c r="AY992" i="5"/>
  <c r="AW941" i="5"/>
  <c r="AX941" i="5" s="1"/>
  <c r="AL997" i="5"/>
  <c r="AY916" i="5"/>
  <c r="AL988" i="5"/>
  <c r="AJ936" i="5"/>
  <c r="AY932" i="5"/>
  <c r="AK936" i="5"/>
  <c r="AR1024" i="5"/>
  <c r="AT1024" i="5" s="1"/>
  <c r="AK829" i="5"/>
  <c r="AZ896" i="5"/>
  <c r="AU912" i="5"/>
  <c r="AV912" i="5" s="1"/>
  <c r="AL1044" i="5"/>
  <c r="AW1057" i="5"/>
  <c r="AX1057" i="5" s="1"/>
  <c r="AT1060" i="5"/>
  <c r="AZ1008" i="5"/>
  <c r="AZ912" i="5"/>
  <c r="AY997" i="5"/>
  <c r="AK916" i="5"/>
  <c r="AY936" i="5"/>
  <c r="AL941" i="5"/>
  <c r="AU1024" i="5"/>
  <c r="AV1024" i="5" s="1"/>
  <c r="AZ829" i="5"/>
  <c r="AT888" i="5"/>
  <c r="AS848" i="5"/>
  <c r="AI824" i="5"/>
  <c r="AL1048" i="5"/>
  <c r="AW1044" i="5"/>
  <c r="AX1044" i="5" s="1"/>
  <c r="AZ1057" i="5"/>
  <c r="AS1036" i="5"/>
  <c r="AK1008" i="5"/>
  <c r="AL952" i="5"/>
  <c r="AS944" i="5"/>
  <c r="AJ941" i="5"/>
  <c r="AT852" i="5"/>
  <c r="AY824" i="5"/>
  <c r="AM1508" i="5"/>
  <c r="AM1389" i="5"/>
  <c r="A4629" i="5"/>
  <c r="C4629" i="5" s="1"/>
  <c r="M1880" i="5"/>
  <c r="F1880" i="5" s="1"/>
  <c r="M1628" i="5"/>
  <c r="F1628" i="5" s="1"/>
  <c r="AI2123" i="5"/>
  <c r="AI1991" i="5"/>
  <c r="AI1751" i="5"/>
  <c r="AI1231" i="5"/>
  <c r="AI1179" i="5"/>
  <c r="AI1029" i="5"/>
  <c r="AQ999" i="5"/>
  <c r="AI933" i="5"/>
  <c r="AQ883" i="5"/>
  <c r="AS1885" i="5"/>
  <c r="AQ2037" i="5"/>
  <c r="AQ1869" i="5"/>
  <c r="AQ1853" i="5"/>
  <c r="AI1844" i="5"/>
  <c r="AQ1838" i="5"/>
  <c r="AQ1773" i="5"/>
  <c r="AI1772" i="5"/>
  <c r="AQ1753" i="5"/>
  <c r="AQ1741" i="5"/>
  <c r="AQ1706" i="5"/>
  <c r="AQ1701" i="5"/>
  <c r="AQ1685" i="5"/>
  <c r="AQ1681" i="5"/>
  <c r="AI1680" i="5"/>
  <c r="AQ1676" i="5"/>
  <c r="AI1676" i="5"/>
  <c r="AQ1670" i="5"/>
  <c r="AQ1666" i="5"/>
  <c r="AQ1665" i="5"/>
  <c r="AQ1662" i="5"/>
  <c r="AQ1661" i="5"/>
  <c r="AQ1650" i="5"/>
  <c r="AQ1641" i="5"/>
  <c r="AQ1629" i="5"/>
  <c r="AQ1625" i="5"/>
  <c r="AI1619" i="5"/>
  <c r="AQ1614" i="5"/>
  <c r="AQ1609" i="5"/>
  <c r="AQ1605" i="5"/>
  <c r="AQ1594" i="5"/>
  <c r="AQ1589" i="5"/>
  <c r="AQ1585" i="5"/>
  <c r="AQ1584" i="5"/>
  <c r="AQ1573" i="5"/>
  <c r="AQ1568" i="5"/>
  <c r="AQ1564" i="5"/>
  <c r="AM646" i="5"/>
  <c r="AM615" i="5"/>
  <c r="AM601" i="5"/>
  <c r="AM587" i="5"/>
  <c r="AM545" i="5"/>
  <c r="AM517" i="5"/>
  <c r="AM433" i="5"/>
  <c r="AM362" i="5"/>
  <c r="AM306" i="5"/>
  <c r="AM1055" i="5"/>
  <c r="AM995" i="5"/>
  <c r="AM967" i="5"/>
  <c r="AM883" i="5"/>
  <c r="AM855" i="5"/>
  <c r="AM827" i="5"/>
  <c r="AM813" i="5"/>
  <c r="AM799" i="5"/>
  <c r="AM743" i="5"/>
  <c r="AM715" i="5"/>
  <c r="AM1431" i="5"/>
  <c r="AM1369" i="5"/>
  <c r="AM1313" i="5"/>
  <c r="AM1257" i="5"/>
  <c r="AM1229" i="5"/>
  <c r="AM1201" i="5"/>
  <c r="AM1173" i="5"/>
  <c r="AM1145" i="5"/>
  <c r="AM1910" i="5"/>
  <c r="AM2207" i="5"/>
  <c r="AM2006" i="5"/>
  <c r="AQ1557" i="5"/>
  <c r="AQ1505" i="5"/>
  <c r="AQ1500" i="5"/>
  <c r="AQ1495" i="5"/>
  <c r="AQ1492" i="5"/>
  <c r="AQ1481" i="5"/>
  <c r="AQ1476" i="5"/>
  <c r="AQ1473" i="5"/>
  <c r="AQ1472" i="5"/>
  <c r="AQ1457" i="5"/>
  <c r="AQ1452" i="5"/>
  <c r="AQ1451" i="5"/>
  <c r="AQ1448" i="5"/>
  <c r="AQ1436" i="5"/>
  <c r="AQ1427" i="5"/>
  <c r="AQ1421" i="5"/>
  <c r="AQ1417" i="5"/>
  <c r="AQ1412" i="5"/>
  <c r="AQ1396" i="5"/>
  <c r="AQ1392" i="5"/>
  <c r="AQ1391" i="5"/>
  <c r="AQ1373" i="5"/>
  <c r="AQ1369" i="5"/>
  <c r="AQ1368" i="5"/>
  <c r="AQ1358" i="5"/>
  <c r="AQ1349" i="5"/>
  <c r="AQ1333" i="5"/>
  <c r="AQ1332" i="5"/>
  <c r="AQ1329" i="5"/>
  <c r="AQ1314" i="5"/>
  <c r="AQ1313" i="5"/>
  <c r="AQ1308" i="5"/>
  <c r="AQ1302" i="5"/>
  <c r="AQ1293" i="5"/>
  <c r="AQ1282" i="5"/>
  <c r="AQ1277" i="5"/>
  <c r="AQ1272" i="5"/>
  <c r="AQ1267" i="5"/>
  <c r="AQ1261" i="5"/>
  <c r="AQ1252" i="5"/>
  <c r="AQ1246" i="5"/>
  <c r="AQ1241" i="5"/>
  <c r="AQ1236" i="5"/>
  <c r="AQ1221" i="5"/>
  <c r="AQ1220" i="5"/>
  <c r="AQ1217" i="5"/>
  <c r="AQ1216" i="5"/>
  <c r="AQ1205" i="5"/>
  <c r="AQ1200" i="5"/>
  <c r="AQ1196" i="5"/>
  <c r="AI1196" i="5"/>
  <c r="AQ1190" i="5"/>
  <c r="AQ1185" i="5"/>
  <c r="AQ1170" i="5"/>
  <c r="AQ1165" i="5"/>
  <c r="AQ1160" i="5"/>
  <c r="AQ1150" i="5"/>
  <c r="AQ1145" i="5"/>
  <c r="AQ1144" i="5"/>
  <c r="AQ1140" i="5"/>
  <c r="AQ1134" i="5"/>
  <c r="AQ1082" i="5"/>
  <c r="AQ1074" i="5"/>
  <c r="AQ1064" i="5"/>
  <c r="AQ1063" i="5"/>
  <c r="AQ1054" i="5"/>
  <c r="AQ1045" i="5"/>
  <c r="AQ1035" i="5"/>
  <c r="AQ1030" i="5"/>
  <c r="AQ1019" i="5"/>
  <c r="AQ984" i="5"/>
  <c r="AQ983" i="5"/>
  <c r="AQ979" i="5"/>
  <c r="AQ978" i="5"/>
  <c r="AQ974" i="5"/>
  <c r="AQ903" i="5"/>
  <c r="AQ892" i="5"/>
  <c r="AQ884" i="5"/>
  <c r="AQ867" i="5"/>
  <c r="AQ863" i="5"/>
  <c r="AQ831" i="5"/>
  <c r="AQ830" i="5"/>
  <c r="AQ816" i="5"/>
  <c r="AQ811" i="5"/>
  <c r="AQ780" i="5"/>
  <c r="AI1441" i="5"/>
  <c r="AI896" i="5"/>
  <c r="AI517" i="5"/>
  <c r="AJ2179" i="5"/>
  <c r="AZ2179" i="5"/>
  <c r="AT1743" i="5"/>
  <c r="AS1743" i="5"/>
  <c r="AT1703" i="5"/>
  <c r="AS1703" i="5"/>
  <c r="AK1695" i="5"/>
  <c r="AZ1695" i="5"/>
  <c r="AI1696" i="5"/>
  <c r="AZ1655" i="5"/>
  <c r="AW1655" i="5"/>
  <c r="AX1655" i="5" s="1"/>
  <c r="AI1655" i="5"/>
  <c r="AK1639" i="5"/>
  <c r="AI1640" i="5"/>
  <c r="AI1629" i="5"/>
  <c r="AZ1628" i="5"/>
  <c r="AU1628" i="5"/>
  <c r="AV1628" i="5" s="1"/>
  <c r="AL1628" i="5"/>
  <c r="AU1599" i="5"/>
  <c r="AV1599" i="5" s="1"/>
  <c r="AY1599" i="5"/>
  <c r="AL1599" i="5"/>
  <c r="AJ1599" i="5"/>
  <c r="AS1595" i="5"/>
  <c r="AT1595" i="5"/>
  <c r="AJ1583" i="5"/>
  <c r="AK1583" i="5"/>
  <c r="AS1570" i="5"/>
  <c r="AT1570" i="5"/>
  <c r="AK1562" i="5"/>
  <c r="AI1562" i="5"/>
  <c r="AL1562" i="5"/>
  <c r="AI1563" i="5"/>
  <c r="AY1562" i="5"/>
  <c r="AR1509" i="5"/>
  <c r="AS1509" i="5" s="1"/>
  <c r="AY1509" i="5"/>
  <c r="AK1509" i="5"/>
  <c r="AW1509" i="5"/>
  <c r="AX1509" i="5" s="1"/>
  <c r="AZ1509" i="5"/>
  <c r="AS1502" i="5"/>
  <c r="AT1502" i="5"/>
  <c r="AI1500" i="5"/>
  <c r="AW1499" i="5"/>
  <c r="AX1499" i="5" s="1"/>
  <c r="AK1499" i="5"/>
  <c r="AY1499" i="5"/>
  <c r="AJ1499" i="5"/>
  <c r="AR1499" i="5"/>
  <c r="AS1499" i="5" s="1"/>
  <c r="AL1490" i="5"/>
  <c r="AJ1490" i="5"/>
  <c r="AZ1490" i="5"/>
  <c r="AI1490" i="5"/>
  <c r="AW1486" i="5"/>
  <c r="AX1486" i="5" s="1"/>
  <c r="AK1486" i="5"/>
  <c r="AI1486" i="5"/>
  <c r="AS1482" i="5"/>
  <c r="AT1482" i="5"/>
  <c r="AS1478" i="5"/>
  <c r="AT1478" i="5"/>
  <c r="AR1475" i="5"/>
  <c r="AS1475" i="5" s="1"/>
  <c r="AI1476" i="5"/>
  <c r="AK1475" i="5"/>
  <c r="AL1475" i="5"/>
  <c r="AY1475" i="5"/>
  <c r="AY1466" i="5"/>
  <c r="AL1466" i="5"/>
  <c r="AK1466" i="5"/>
  <c r="AK1462" i="5"/>
  <c r="AW1462" i="5"/>
  <c r="AX1462" i="5" s="1"/>
  <c r="AJ1462" i="5"/>
  <c r="AS1454" i="5"/>
  <c r="AT1454" i="5"/>
  <c r="AK1446" i="5"/>
  <c r="AL1446" i="5"/>
  <c r="AI1447" i="5"/>
  <c r="AI1446" i="5"/>
  <c r="AS1438" i="5"/>
  <c r="AT1438" i="5"/>
  <c r="AK1435" i="5"/>
  <c r="AR1435" i="5"/>
  <c r="AS1435" i="5" s="1"/>
  <c r="AY1435" i="5"/>
  <c r="AU1435" i="5"/>
  <c r="AV1435" i="5" s="1"/>
  <c r="AJ1435" i="5"/>
  <c r="Q3910" i="5"/>
  <c r="G3912" i="5" s="1"/>
  <c r="H3912" i="5" s="1"/>
  <c r="Q3907" i="5"/>
  <c r="F3908" i="5" s="1"/>
  <c r="AZ1740" i="5"/>
  <c r="AJ1740" i="5"/>
  <c r="AR1740" i="5"/>
  <c r="AS1740" i="5" s="1"/>
  <c r="AL1735" i="5"/>
  <c r="AI1735" i="5"/>
  <c r="AI1736" i="5"/>
  <c r="AZ1715" i="5"/>
  <c r="AY1715" i="5"/>
  <c r="AR1684" i="5"/>
  <c r="AS1684" i="5" s="1"/>
  <c r="AJ1684" i="5"/>
  <c r="AU1684" i="5"/>
  <c r="AV1684" i="5" s="1"/>
  <c r="AK1659" i="5"/>
  <c r="AJ1659" i="5"/>
  <c r="AT1615" i="5"/>
  <c r="AS1615" i="5"/>
  <c r="AK1603" i="5"/>
  <c r="AY1603" i="5"/>
  <c r="AS1591" i="5"/>
  <c r="AT1591" i="5"/>
  <c r="AT1575" i="5"/>
  <c r="AS1575" i="5"/>
  <c r="AS1458" i="5"/>
  <c r="AT1458" i="5"/>
  <c r="M843" i="5"/>
  <c r="F843" i="5" s="1"/>
  <c r="AJ2123" i="5"/>
  <c r="AY1490" i="5"/>
  <c r="AZ2217" i="5"/>
  <c r="AY2217" i="5"/>
  <c r="AZ2103" i="5"/>
  <c r="AI2103" i="5"/>
  <c r="AS1631" i="5"/>
  <c r="AT1631" i="5"/>
  <c r="AK1623" i="5"/>
  <c r="AI1624" i="5"/>
  <c r="AJ1555" i="5"/>
  <c r="AL1555" i="5"/>
  <c r="AY1555" i="5"/>
  <c r="AI1491" i="5"/>
  <c r="AI1660" i="5"/>
  <c r="AS1727" i="5"/>
  <c r="AS2079" i="5"/>
  <c r="AT2079" i="5"/>
  <c r="AZ1863" i="5"/>
  <c r="AI1864" i="5"/>
  <c r="AU1767" i="5"/>
  <c r="AV1767" i="5" s="1"/>
  <c r="AZ1767" i="5"/>
  <c r="AS1759" i="5"/>
  <c r="AT1759" i="5"/>
  <c r="AS2095" i="5"/>
  <c r="AI1556" i="5"/>
  <c r="AY1740" i="5"/>
  <c r="AM1555" i="5"/>
  <c r="AT2075" i="5"/>
  <c r="AS2075" i="5"/>
  <c r="AZ2063" i="5"/>
  <c r="AU2063" i="5"/>
  <c r="AV2063" i="5" s="1"/>
  <c r="AI1807" i="5"/>
  <c r="AJ1807" i="5"/>
  <c r="AY1731" i="5"/>
  <c r="AI1732" i="5"/>
  <c r="AI1731" i="5"/>
  <c r="AK2103" i="5"/>
  <c r="AZ1603" i="5"/>
  <c r="V3348" i="5"/>
  <c r="V3349" i="5" s="1"/>
  <c r="F3355" i="5" s="1"/>
  <c r="F3347" i="5"/>
  <c r="AS1925" i="5"/>
  <c r="AI1584" i="5"/>
  <c r="AL1499" i="5"/>
  <c r="AY1446" i="5"/>
  <c r="AR2190" i="5"/>
  <c r="AT2190" i="5" s="1"/>
  <c r="AY2190" i="5"/>
  <c r="AJ2190" i="5"/>
  <c r="AU2007" i="5"/>
  <c r="AV2007" i="5" s="1"/>
  <c r="AK2007" i="5"/>
  <c r="AS2151" i="5"/>
  <c r="AI1604" i="5"/>
  <c r="AI1620" i="5"/>
  <c r="AW1599" i="5"/>
  <c r="AX1599" i="5" s="1"/>
  <c r="AS1398" i="5"/>
  <c r="AI1054" i="5"/>
  <c r="AJ1029" i="5"/>
  <c r="AK1159" i="5"/>
  <c r="AK1179" i="5"/>
  <c r="AS1022" i="5"/>
  <c r="AS1135" i="5"/>
  <c r="AS1191" i="5"/>
  <c r="AS945" i="5"/>
  <c r="AT893" i="5"/>
  <c r="AT1131" i="5"/>
  <c r="AY1385" i="5"/>
  <c r="AK1372" i="5"/>
  <c r="AY1372" i="5"/>
  <c r="AK1343" i="5"/>
  <c r="AI1343" i="5"/>
  <c r="AW1343" i="5"/>
  <c r="AX1343" i="5" s="1"/>
  <c r="AY1327" i="5"/>
  <c r="AJ1327" i="5"/>
  <c r="AK1316" i="5"/>
  <c r="AW1316" i="5"/>
  <c r="AX1316" i="5" s="1"/>
  <c r="AL1316" i="5"/>
  <c r="AI1311" i="5"/>
  <c r="AY1311" i="5"/>
  <c r="AK1311" i="5"/>
  <c r="AY1291" i="5"/>
  <c r="AI1291" i="5"/>
  <c r="AW1287" i="5"/>
  <c r="AX1287" i="5" s="1"/>
  <c r="AK1287" i="5"/>
  <c r="AZ1287" i="5"/>
  <c r="AI1287" i="5"/>
  <c r="AL1271" i="5"/>
  <c r="AJ1271" i="5"/>
  <c r="AR1260" i="5"/>
  <c r="AT1260" i="5" s="1"/>
  <c r="AI1261" i="5"/>
  <c r="AI1251" i="5"/>
  <c r="AY1251" i="5"/>
  <c r="AZ1251" i="5"/>
  <c r="AY1235" i="5"/>
  <c r="AL1235" i="5"/>
  <c r="AK1235" i="5"/>
  <c r="AL1231" i="5"/>
  <c r="AJ1231" i="5"/>
  <c r="AW1231" i="5"/>
  <c r="AX1231" i="5" s="1"/>
  <c r="AW1204" i="5"/>
  <c r="AX1204" i="5" s="1"/>
  <c r="AZ1204" i="5"/>
  <c r="AR1204" i="5"/>
  <c r="AT1204" i="5" s="1"/>
  <c r="AL1199" i="5"/>
  <c r="AK1199" i="5"/>
  <c r="AL1195" i="5"/>
  <c r="AK1195" i="5"/>
  <c r="AK1175" i="5"/>
  <c r="AZ1175" i="5"/>
  <c r="AY1175" i="5"/>
  <c r="AY1148" i="5"/>
  <c r="AI1149" i="5"/>
  <c r="AK1148" i="5"/>
  <c r="AI1143" i="5"/>
  <c r="AK1143" i="5"/>
  <c r="AY1139" i="5"/>
  <c r="AI1139" i="5"/>
  <c r="AI1128" i="5"/>
  <c r="AI1129" i="5"/>
  <c r="AM1128" i="5"/>
  <c r="AK1081" i="5"/>
  <c r="AW1081" i="5"/>
  <c r="AX1081" i="5" s="1"/>
  <c r="AY1081" i="5"/>
  <c r="AK1077" i="5"/>
  <c r="AJ1077" i="5"/>
  <c r="AL1077" i="5"/>
  <c r="AJ1073" i="5"/>
  <c r="AI1073" i="5"/>
  <c r="AK1053" i="5"/>
  <c r="AI1053" i="5"/>
  <c r="AZ1049" i="5"/>
  <c r="AL1049" i="5"/>
  <c r="AW1018" i="5"/>
  <c r="AX1018" i="5" s="1"/>
  <c r="AL1018" i="5"/>
  <c r="AK1018" i="5"/>
  <c r="AJ1018" i="5"/>
  <c r="AZ1013" i="5"/>
  <c r="AJ1013" i="5"/>
  <c r="AK1013" i="5"/>
  <c r="AI993" i="5"/>
  <c r="AZ993" i="5"/>
  <c r="AK993" i="5"/>
  <c r="AZ989" i="5"/>
  <c r="AR989" i="5"/>
  <c r="AT989" i="5" s="1"/>
  <c r="AL989" i="5"/>
  <c r="AK973" i="5"/>
  <c r="AZ973" i="5"/>
  <c r="AR962" i="5"/>
  <c r="AS962" i="5" s="1"/>
  <c r="AK962" i="5"/>
  <c r="AZ962" i="5"/>
  <c r="AW962" i="5"/>
  <c r="AX962" i="5" s="1"/>
  <c r="AZ957" i="5"/>
  <c r="AK957" i="5"/>
  <c r="AK953" i="5"/>
  <c r="AL953" i="5"/>
  <c r="AZ937" i="5"/>
  <c r="AI937" i="5"/>
  <c r="AY933" i="5"/>
  <c r="AK933" i="5"/>
  <c r="AJ933" i="5"/>
  <c r="AW933" i="5"/>
  <c r="AX933" i="5" s="1"/>
  <c r="AJ917" i="5"/>
  <c r="AY917" i="5"/>
  <c r="AZ917" i="5"/>
  <c r="AQ906" i="5"/>
  <c r="AZ906" i="5"/>
  <c r="AI907" i="5"/>
  <c r="AZ901" i="5"/>
  <c r="AJ901" i="5"/>
  <c r="AY897" i="5"/>
  <c r="AI897" i="5"/>
  <c r="AZ881" i="5"/>
  <c r="AJ881" i="5"/>
  <c r="AW877" i="5"/>
  <c r="AX877" i="5" s="1"/>
  <c r="AZ877" i="5"/>
  <c r="AK877" i="5"/>
  <c r="AQ877" i="5"/>
  <c r="AL861" i="5"/>
  <c r="AJ861" i="5"/>
  <c r="AS853" i="5"/>
  <c r="AT853" i="5"/>
  <c r="AI851" i="5"/>
  <c r="AZ850" i="5"/>
  <c r="AJ850" i="5"/>
  <c r="AU850" i="5"/>
  <c r="AV850" i="5" s="1"/>
  <c r="AY845" i="5"/>
  <c r="AL845" i="5"/>
  <c r="AY841" i="5"/>
  <c r="AL841" i="5"/>
  <c r="AJ841" i="5"/>
  <c r="AY825" i="5"/>
  <c r="AZ825" i="5"/>
  <c r="AW821" i="5"/>
  <c r="AX821" i="5" s="1"/>
  <c r="AY821" i="5"/>
  <c r="AR821" i="5"/>
  <c r="AS821" i="5" s="1"/>
  <c r="AJ821" i="5"/>
  <c r="AI805" i="5"/>
  <c r="AY805" i="5"/>
  <c r="AJ805" i="5"/>
  <c r="AY794" i="5"/>
  <c r="AW794" i="5"/>
  <c r="AX794" i="5" s="1"/>
  <c r="AU794" i="5"/>
  <c r="AV794" i="5" s="1"/>
  <c r="AZ1410" i="5"/>
  <c r="AY1410" i="5"/>
  <c r="AR1406" i="5"/>
  <c r="AS1406" i="5" s="1"/>
  <c r="AI1406" i="5"/>
  <c r="AK1406" i="5"/>
  <c r="AU1406" i="5"/>
  <c r="AV1406" i="5" s="1"/>
  <c r="AJ1383" i="5"/>
  <c r="AI1383" i="5"/>
  <c r="AL1367" i="5"/>
  <c r="AI1367" i="5"/>
  <c r="AK1367" i="5"/>
  <c r="AY1307" i="5"/>
  <c r="AI1307" i="5"/>
  <c r="AK1307" i="5"/>
  <c r="AL1255" i="5"/>
  <c r="AJ1255" i="5"/>
  <c r="AL1215" i="5"/>
  <c r="AZ1215" i="5"/>
  <c r="AZ1372" i="5"/>
  <c r="AI1050" i="5"/>
  <c r="AI1180" i="5"/>
  <c r="AI1216" i="5"/>
  <c r="AI1236" i="5"/>
  <c r="AI1308" i="5"/>
  <c r="AI1312" i="5"/>
  <c r="AK989" i="5"/>
  <c r="AZ1029" i="5"/>
  <c r="AW1260" i="5"/>
  <c r="AX1260" i="5" s="1"/>
  <c r="AU1316" i="5"/>
  <c r="AV1316" i="5" s="1"/>
  <c r="AI1373" i="5"/>
  <c r="AJ1148" i="5"/>
  <c r="AS1187" i="5"/>
  <c r="AI1327" i="5"/>
  <c r="AL1406" i="5"/>
  <c r="AS1125" i="5"/>
  <c r="AY1143" i="5"/>
  <c r="AI1235" i="5"/>
  <c r="AS1299" i="5"/>
  <c r="AI953" i="5"/>
  <c r="AI1215" i="5"/>
  <c r="AY1347" i="5"/>
  <c r="AR933" i="5"/>
  <c r="AT933" i="5" s="1"/>
  <c r="AI1078" i="5"/>
  <c r="AT1167" i="5"/>
  <c r="AI1255" i="5"/>
  <c r="AT1375" i="5"/>
  <c r="AI845" i="5"/>
  <c r="AI861" i="5"/>
  <c r="AU877" i="5"/>
  <c r="AV877" i="5" s="1"/>
  <c r="AK897" i="5"/>
  <c r="AU906" i="5"/>
  <c r="AV906" i="5" s="1"/>
  <c r="AS949" i="5"/>
  <c r="AU962" i="5"/>
  <c r="AV962" i="5" s="1"/>
  <c r="AY1018" i="5"/>
  <c r="AS1171" i="5"/>
  <c r="AJ1311" i="5"/>
  <c r="AS1005" i="5"/>
  <c r="AY1053" i="5"/>
  <c r="AZ1139" i="5"/>
  <c r="AI1175" i="5"/>
  <c r="AS1263" i="5"/>
  <c r="AR1343" i="5"/>
  <c r="AS1343" i="5" s="1"/>
  <c r="AT1402" i="5"/>
  <c r="AZ1430" i="5"/>
  <c r="AK1430" i="5"/>
  <c r="AJ1363" i="5"/>
  <c r="AI1364" i="5"/>
  <c r="AL1029" i="5"/>
  <c r="AK1260" i="5"/>
  <c r="AJ1316" i="5"/>
  <c r="AJ1372" i="5"/>
  <c r="AZ1148" i="5"/>
  <c r="AU1204" i="5"/>
  <c r="AV1204" i="5" s="1"/>
  <c r="AZ1327" i="5"/>
  <c r="AJ1143" i="5"/>
  <c r="AL1430" i="5"/>
  <c r="AJ1215" i="5"/>
  <c r="AZ1077" i="5"/>
  <c r="AI1195" i="5"/>
  <c r="AY1255" i="5"/>
  <c r="AZ1018" i="5"/>
  <c r="AI1199" i="5"/>
  <c r="AS1335" i="5"/>
  <c r="AS1065" i="5"/>
  <c r="AK1139" i="5"/>
  <c r="AT1223" i="5"/>
  <c r="AY1271" i="5"/>
  <c r="AJ1343" i="5"/>
  <c r="AK1363" i="5"/>
  <c r="AI1292" i="5"/>
  <c r="AI1328" i="5"/>
  <c r="AI1368" i="5"/>
  <c r="AI1384" i="5"/>
  <c r="AY989" i="5"/>
  <c r="AY1159" i="5"/>
  <c r="AZ1260" i="5"/>
  <c r="AZ1316" i="5"/>
  <c r="AU1372" i="5"/>
  <c r="AV1372" i="5" s="1"/>
  <c r="AL1179" i="5"/>
  <c r="AJ1204" i="5"/>
  <c r="AL1327" i="5"/>
  <c r="AL1128" i="5"/>
  <c r="AT1151" i="5"/>
  <c r="AT1283" i="5"/>
  <c r="AT1037" i="5"/>
  <c r="AY1215" i="5"/>
  <c r="AZ1363" i="5"/>
  <c r="AK881" i="5"/>
  <c r="AL937" i="5"/>
  <c r="AL973" i="5"/>
  <c r="AJ1081" i="5"/>
  <c r="AY1195" i="5"/>
  <c r="AU1287" i="5"/>
  <c r="AV1287" i="5" s="1"/>
  <c r="AJ877" i="5"/>
  <c r="AY901" i="5"/>
  <c r="AI917" i="5"/>
  <c r="AL957" i="5"/>
  <c r="AI1019" i="5"/>
  <c r="AZ1199" i="5"/>
  <c r="AJ1390" i="5"/>
  <c r="AL1013" i="5"/>
  <c r="AZ1073" i="5"/>
  <c r="AJ1175" i="5"/>
  <c r="AZ1231" i="5"/>
  <c r="AZ1271" i="5"/>
  <c r="AT1355" i="5"/>
  <c r="AY1406" i="5"/>
  <c r="AK1383" i="5"/>
  <c r="AL1390" i="5"/>
  <c r="AY1367" i="5"/>
  <c r="AZ1367" i="5"/>
  <c r="AI1256" i="5"/>
  <c r="AI1348" i="5"/>
  <c r="AI1385" i="5"/>
  <c r="AI1411" i="5"/>
  <c r="AZ1159" i="5"/>
  <c r="AL1260" i="5"/>
  <c r="AR1316" i="5"/>
  <c r="AS1316" i="5" s="1"/>
  <c r="AL1148" i="5"/>
  <c r="AY1179" i="5"/>
  <c r="AI1205" i="5"/>
  <c r="AZ1406" i="5"/>
  <c r="AJ1128" i="5"/>
  <c r="AK1291" i="5"/>
  <c r="AL1251" i="5"/>
  <c r="AZ1383" i="5"/>
  <c r="AU1081" i="5"/>
  <c r="AV1081" i="5" s="1"/>
  <c r="AT1247" i="5"/>
  <c r="AY1287" i="5"/>
  <c r="AK1049" i="5"/>
  <c r="AT1303" i="5"/>
  <c r="AI1410" i="5"/>
  <c r="AL1053" i="5"/>
  <c r="AY1073" i="5"/>
  <c r="AU1175" i="5"/>
  <c r="AV1175" i="5" s="1"/>
  <c r="AK1231" i="5"/>
  <c r="AL1307" i="5"/>
  <c r="AR1385" i="5"/>
  <c r="AS1385" i="5" s="1"/>
  <c r="AS622" i="5"/>
  <c r="AM1009" i="5"/>
  <c r="AM841" i="5"/>
  <c r="AM785" i="5"/>
  <c r="AM729" i="5"/>
  <c r="AM1327" i="5"/>
  <c r="AQ2072" i="5"/>
  <c r="AQ2052" i="5"/>
  <c r="AQ2032" i="5"/>
  <c r="AQ2028" i="5"/>
  <c r="AQ1914" i="5"/>
  <c r="AQ1884" i="5"/>
  <c r="AQ1873" i="5"/>
  <c r="AQ1817" i="5"/>
  <c r="AQ1772" i="5"/>
  <c r="AQ1761" i="5"/>
  <c r="AQ1756" i="5"/>
  <c r="AQ1736" i="5"/>
  <c r="AQ1716" i="5"/>
  <c r="AQ1705" i="5"/>
  <c r="AQ1700" i="5"/>
  <c r="AQ1696" i="5"/>
  <c r="AQ1680" i="5"/>
  <c r="AQ1660" i="5"/>
  <c r="AQ1649" i="5"/>
  <c r="AQ1644" i="5"/>
  <c r="AQ1640" i="5"/>
  <c r="AQ1624" i="5"/>
  <c r="AQ1620" i="5"/>
  <c r="AQ1604" i="5"/>
  <c r="AQ1593" i="5"/>
  <c r="AQ1588" i="5"/>
  <c r="AQ1567" i="5"/>
  <c r="AQ1563" i="5"/>
  <c r="AQ1556" i="5"/>
  <c r="AQ1491" i="5"/>
  <c r="AI1484" i="5"/>
  <c r="AQ1471" i="5"/>
  <c r="AQ1467" i="5"/>
  <c r="AQ1456" i="5"/>
  <c r="AQ1431" i="5"/>
  <c r="AQ1411" i="5"/>
  <c r="AQ1400" i="5"/>
  <c r="AQ1352" i="5"/>
  <c r="AQ1337" i="5"/>
  <c r="AQ1328" i="5"/>
  <c r="AQ1312" i="5"/>
  <c r="AQ1296" i="5"/>
  <c r="AQ1225" i="5"/>
  <c r="AQ1184" i="5"/>
  <c r="AQ1014" i="5"/>
  <c r="AQ1010" i="5"/>
  <c r="AQ998" i="5"/>
  <c r="AQ942" i="5"/>
  <c r="AQ939" i="5"/>
  <c r="AI892" i="5"/>
  <c r="AI752" i="5"/>
  <c r="AI724" i="5"/>
  <c r="AJ2316" i="5"/>
  <c r="AL2316" i="5"/>
  <c r="AZ2101" i="5"/>
  <c r="AL2101" i="5"/>
  <c r="AI2083" i="5"/>
  <c r="AL2083" i="5"/>
  <c r="AY2083" i="5"/>
  <c r="AZ2083" i="5"/>
  <c r="AZ2061" i="5"/>
  <c r="AI2062" i="5"/>
  <c r="AL2061" i="5"/>
  <c r="AJ2061" i="5"/>
  <c r="AL2041" i="5"/>
  <c r="AI2042" i="5"/>
  <c r="AZ2041" i="5"/>
  <c r="AK2041" i="5"/>
  <c r="AS2033" i="5"/>
  <c r="AT2033" i="5"/>
  <c r="AZ2005" i="5"/>
  <c r="AK2005" i="5"/>
  <c r="AJ2005" i="5"/>
  <c r="AI2006" i="5"/>
  <c r="AT1849" i="5"/>
  <c r="AS1849" i="5"/>
  <c r="AK1841" i="5"/>
  <c r="AL1841" i="5"/>
  <c r="AZ1841" i="5"/>
  <c r="AJ1841" i="5"/>
  <c r="AY1841" i="5"/>
  <c r="AJ1821" i="5"/>
  <c r="AK1821" i="5"/>
  <c r="AZ1821" i="5"/>
  <c r="AI1822" i="5"/>
  <c r="AR1810" i="5"/>
  <c r="AK1810" i="5"/>
  <c r="AY1810" i="5"/>
  <c r="AW1810" i="5"/>
  <c r="AX1810" i="5" s="1"/>
  <c r="AU1810" i="5"/>
  <c r="AV1810" i="5" s="1"/>
  <c r="AZ1810" i="5"/>
  <c r="AJ1810" i="5"/>
  <c r="AL1810" i="5"/>
  <c r="AI1811" i="5"/>
  <c r="AZ1754" i="5"/>
  <c r="AU1754" i="5"/>
  <c r="AV1754" i="5" s="1"/>
  <c r="AL1754" i="5"/>
  <c r="AY1754" i="5"/>
  <c r="AR1754" i="5"/>
  <c r="AS1754" i="5" s="1"/>
  <c r="AJ1754" i="5"/>
  <c r="AI1754" i="5"/>
  <c r="AK1754" i="5"/>
  <c r="AT1741" i="5"/>
  <c r="AS1741" i="5"/>
  <c r="AW1725" i="5"/>
  <c r="AX1725" i="5" s="1"/>
  <c r="AJ1725" i="5"/>
  <c r="AU1725" i="5"/>
  <c r="AV1725" i="5" s="1"/>
  <c r="AK1725" i="5"/>
  <c r="AY1725" i="5"/>
  <c r="AI1726" i="5"/>
  <c r="AY1689" i="5"/>
  <c r="AL1689" i="5"/>
  <c r="AK1689" i="5"/>
  <c r="AI1690" i="5"/>
  <c r="AJ1689" i="5"/>
  <c r="AZ1689" i="5"/>
  <c r="AI1810" i="5"/>
  <c r="AS2125" i="5"/>
  <c r="AY2067" i="5"/>
  <c r="AK2061" i="5"/>
  <c r="AL2021" i="5"/>
  <c r="AL1709" i="5"/>
  <c r="AS1853" i="5"/>
  <c r="AL1633" i="5"/>
  <c r="AT1813" i="5"/>
  <c r="AK1906" i="5"/>
  <c r="AZ1906" i="5"/>
  <c r="AL1906" i="5"/>
  <c r="AI1907" i="5"/>
  <c r="AJ1906" i="5"/>
  <c r="AW1906" i="5"/>
  <c r="AX1906" i="5" s="1"/>
  <c r="AY1906" i="5"/>
  <c r="AU1906" i="5"/>
  <c r="AV1906" i="5" s="1"/>
  <c r="AR1906" i="5"/>
  <c r="AT1906" i="5" s="1"/>
  <c r="AK1897" i="5"/>
  <c r="AJ1897" i="5"/>
  <c r="AY1897" i="5"/>
  <c r="AZ1897" i="5"/>
  <c r="AI1898" i="5"/>
  <c r="AL1897" i="5"/>
  <c r="AS1889" i="5"/>
  <c r="AT1889" i="5"/>
  <c r="AT1829" i="5"/>
  <c r="AS1829" i="5"/>
  <c r="AZ1749" i="5"/>
  <c r="AJ1749" i="5"/>
  <c r="AI1749" i="5"/>
  <c r="AL1698" i="5"/>
  <c r="AI1699" i="5"/>
  <c r="AY1698" i="5"/>
  <c r="AJ1698" i="5"/>
  <c r="AU1698" i="5"/>
  <c r="AV1698" i="5" s="1"/>
  <c r="AK1698" i="5"/>
  <c r="AZ1698" i="5"/>
  <c r="AW1698" i="5"/>
  <c r="AX1698" i="5" s="1"/>
  <c r="AR1698" i="5"/>
  <c r="AT1698" i="5" s="1"/>
  <c r="AL1693" i="5"/>
  <c r="AJ1693" i="5"/>
  <c r="AZ1693" i="5"/>
  <c r="AI1693" i="5"/>
  <c r="AY1693" i="5"/>
  <c r="AT2319" i="5"/>
  <c r="AS2073" i="5"/>
  <c r="AJ2101" i="5"/>
  <c r="AW1754" i="5"/>
  <c r="AX1754" i="5" s="1"/>
  <c r="AJ2083" i="5"/>
  <c r="AL2067" i="5"/>
  <c r="AY2061" i="5"/>
  <c r="AY2021" i="5"/>
  <c r="AZ1725" i="5"/>
  <c r="AK2025" i="5"/>
  <c r="AK1693" i="5"/>
  <c r="AI1750" i="5"/>
  <c r="AZ1893" i="5"/>
  <c r="M2126" i="5"/>
  <c r="F2126" i="5" s="1"/>
  <c r="AM2126" i="5" s="1"/>
  <c r="M2035" i="5"/>
  <c r="F2035" i="5" s="1"/>
  <c r="AM2035" i="5" s="1"/>
  <c r="M2133" i="5"/>
  <c r="F2133" i="5" s="1"/>
  <c r="AM2133" i="5" s="1"/>
  <c r="M2364" i="5"/>
  <c r="F2364" i="5" s="1"/>
  <c r="AM2364" i="5" s="1"/>
  <c r="M2346" i="5"/>
  <c r="F2346" i="5" s="1"/>
  <c r="AM2346" i="5" s="1"/>
  <c r="M2161" i="5"/>
  <c r="F2161" i="5" s="1"/>
  <c r="AM2161" i="5" s="1"/>
  <c r="AI2331" i="5"/>
  <c r="AZ2331" i="5"/>
  <c r="AJ2331" i="5"/>
  <c r="AL2331" i="5"/>
  <c r="AI2332" i="5"/>
  <c r="AU2287" i="5"/>
  <c r="AV2287" i="5" s="1"/>
  <c r="AI2288" i="5"/>
  <c r="AK2157" i="5"/>
  <c r="AJ2157" i="5"/>
  <c r="AJ2106" i="5"/>
  <c r="AR2106" i="5"/>
  <c r="AS2106" i="5" s="1"/>
  <c r="AT1942" i="5"/>
  <c r="AS1942" i="5"/>
  <c r="AT1833" i="5"/>
  <c r="AS1833" i="5"/>
  <c r="AS1797" i="5"/>
  <c r="AT1797" i="5"/>
  <c r="AU1781" i="5"/>
  <c r="AV1781" i="5" s="1"/>
  <c r="AI1782" i="5"/>
  <c r="AW1781" i="5"/>
  <c r="AX1781" i="5" s="1"/>
  <c r="AR1781" i="5"/>
  <c r="AT1781" i="5" s="1"/>
  <c r="AJ1781" i="5"/>
  <c r="AZ1781" i="5"/>
  <c r="AY1781" i="5"/>
  <c r="AL1729" i="5"/>
  <c r="AJ1729" i="5"/>
  <c r="AZ1729" i="5"/>
  <c r="AI1730" i="5"/>
  <c r="AK1729" i="5"/>
  <c r="AS1717" i="5"/>
  <c r="AT1717" i="5"/>
  <c r="AI2101" i="5"/>
  <c r="AK1749" i="5"/>
  <c r="M2021" i="5"/>
  <c r="F2021" i="5" s="1"/>
  <c r="AM2021" i="5" s="1"/>
  <c r="AL1725" i="5"/>
  <c r="AM2291" i="5"/>
  <c r="AY2025" i="5"/>
  <c r="AI1694" i="5"/>
  <c r="AL2311" i="5"/>
  <c r="AY2311" i="5"/>
  <c r="AI2312" i="5"/>
  <c r="AJ2153" i="5"/>
  <c r="AZ2153" i="5"/>
  <c r="AI2154" i="5"/>
  <c r="AT2145" i="5"/>
  <c r="AS2145" i="5"/>
  <c r="AK2081" i="5"/>
  <c r="AL2081" i="5"/>
  <c r="AZ2081" i="5"/>
  <c r="AI2082" i="5"/>
  <c r="AJ2081" i="5"/>
  <c r="AY2081" i="5"/>
  <c r="AI2067" i="5"/>
  <c r="AZ2067" i="5"/>
  <c r="AU2050" i="5"/>
  <c r="AV2050" i="5" s="1"/>
  <c r="AI2050" i="5"/>
  <c r="AZ2050" i="5"/>
  <c r="AW2050" i="5"/>
  <c r="AX2050" i="5" s="1"/>
  <c r="AI2051" i="5"/>
  <c r="AK2050" i="5"/>
  <c r="AK2021" i="5"/>
  <c r="AW2021" i="5"/>
  <c r="AX2021" i="5" s="1"/>
  <c r="AZ2021" i="5"/>
  <c r="AI2022" i="5"/>
  <c r="AR2021" i="5"/>
  <c r="AS2021" i="5" s="1"/>
  <c r="AI1937" i="5"/>
  <c r="AW1936" i="5"/>
  <c r="AX1936" i="5" s="1"/>
  <c r="AZ1936" i="5"/>
  <c r="AK1936" i="5"/>
  <c r="AY1936" i="5"/>
  <c r="AL1936" i="5"/>
  <c r="AJ1936" i="5"/>
  <c r="AI1936" i="5"/>
  <c r="AU1936" i="5"/>
  <c r="AV1936" i="5" s="1"/>
  <c r="AR1936" i="5"/>
  <c r="AS1936" i="5" s="1"/>
  <c r="AL1857" i="5"/>
  <c r="AK1857" i="5"/>
  <c r="AZ1857" i="5"/>
  <c r="AY1857" i="5"/>
  <c r="AJ1857" i="5"/>
  <c r="AI1858" i="5"/>
  <c r="AL1837" i="5"/>
  <c r="AZ1837" i="5"/>
  <c r="AW1837" i="5"/>
  <c r="AX1837" i="5" s="1"/>
  <c r="AU1837" i="5"/>
  <c r="AV1837" i="5" s="1"/>
  <c r="AY1837" i="5"/>
  <c r="AR1837" i="5"/>
  <c r="AS1837" i="5" s="1"/>
  <c r="AJ1837" i="5"/>
  <c r="AI1805" i="5"/>
  <c r="AK1805" i="5"/>
  <c r="AI1806" i="5"/>
  <c r="AJ1805" i="5"/>
  <c r="AZ1805" i="5"/>
  <c r="AL1805" i="5"/>
  <c r="AY1805" i="5"/>
  <c r="AT1757" i="5"/>
  <c r="AS1757" i="5"/>
  <c r="AS1661" i="5"/>
  <c r="AT1661" i="5"/>
  <c r="AK1781" i="5"/>
  <c r="AZ2157" i="5"/>
  <c r="AY2050" i="5"/>
  <c r="AT2339" i="5"/>
  <c r="AR1725" i="5"/>
  <c r="AT1725" i="5" s="1"/>
  <c r="AT2089" i="5"/>
  <c r="AK1709" i="5"/>
  <c r="AS2017" i="5"/>
  <c r="AZ2327" i="5"/>
  <c r="AJ2327" i="5"/>
  <c r="AY2307" i="5"/>
  <c r="AK2307" i="5"/>
  <c r="AY2271" i="5"/>
  <c r="AK2271" i="5"/>
  <c r="AI2272" i="5"/>
  <c r="AJ2251" i="5"/>
  <c r="AK2251" i="5"/>
  <c r="AY2251" i="5"/>
  <c r="AL2251" i="5"/>
  <c r="AS2243" i="5"/>
  <c r="AT2243" i="5"/>
  <c r="AU2204" i="5"/>
  <c r="AV2204" i="5" s="1"/>
  <c r="AK2204" i="5"/>
  <c r="AJ2204" i="5"/>
  <c r="AS2013" i="5"/>
  <c r="AT2013" i="5"/>
  <c r="AL1927" i="5"/>
  <c r="AZ1927" i="5"/>
  <c r="AK1927" i="5"/>
  <c r="AI1928" i="5"/>
  <c r="AI1927" i="5"/>
  <c r="AM1927" i="5"/>
  <c r="AJ1927" i="5"/>
  <c r="AZ1912" i="5"/>
  <c r="AU1912" i="5"/>
  <c r="AV1912" i="5" s="1"/>
  <c r="AW1912" i="5"/>
  <c r="AX1912" i="5" s="1"/>
  <c r="AY1912" i="5"/>
  <c r="AL1912" i="5"/>
  <c r="AR1912" i="5"/>
  <c r="AS1912" i="5" s="1"/>
  <c r="AI1913" i="5"/>
  <c r="AJ1912" i="5"/>
  <c r="AK1912" i="5"/>
  <c r="AY1866" i="5"/>
  <c r="AW1866" i="5"/>
  <c r="AX1866" i="5" s="1"/>
  <c r="AZ1866" i="5"/>
  <c r="AU1866" i="5"/>
  <c r="AV1866" i="5" s="1"/>
  <c r="AK1866" i="5"/>
  <c r="AR1866" i="5"/>
  <c r="AT1866" i="5" s="1"/>
  <c r="AJ1866" i="5"/>
  <c r="AL1866" i="5"/>
  <c r="AJ2255" i="5"/>
  <c r="AY2255" i="5"/>
  <c r="AZ2255" i="5"/>
  <c r="AY2199" i="5"/>
  <c r="AK2199" i="5"/>
  <c r="AI2199" i="5"/>
  <c r="AK2137" i="5"/>
  <c r="AY2137" i="5"/>
  <c r="AL2137" i="5"/>
  <c r="AZ2137" i="5"/>
  <c r="AT2037" i="5"/>
  <c r="AS2037" i="5"/>
  <c r="AJ1994" i="5"/>
  <c r="AU1994" i="5"/>
  <c r="AV1994" i="5" s="1"/>
  <c r="AK1994" i="5"/>
  <c r="AW1994" i="5"/>
  <c r="AX1994" i="5" s="1"/>
  <c r="AY1994" i="5"/>
  <c r="AR1994" i="5"/>
  <c r="AT1994" i="5" s="1"/>
  <c r="AZ1994" i="5"/>
  <c r="AI1995" i="5"/>
  <c r="AZ1877" i="5"/>
  <c r="AY1877" i="5"/>
  <c r="AJ1877" i="5"/>
  <c r="AK1877" i="5"/>
  <c r="AL1877" i="5"/>
  <c r="AI1878" i="5"/>
  <c r="AT1869" i="5"/>
  <c r="AS1869" i="5"/>
  <c r="AI2107" i="5"/>
  <c r="AL1781" i="5"/>
  <c r="AI2232" i="5"/>
  <c r="M2334" i="5"/>
  <c r="F2334" i="5" s="1"/>
  <c r="AM2334" i="5" s="1"/>
  <c r="AL2050" i="5"/>
  <c r="AL1749" i="5"/>
  <c r="AS2279" i="5"/>
  <c r="AZ2204" i="5"/>
  <c r="AK2327" i="5"/>
  <c r="AY2101" i="5"/>
  <c r="AI1755" i="5"/>
  <c r="AZ1669" i="5"/>
  <c r="AS2303" i="5"/>
  <c r="AL2355" i="5"/>
  <c r="AS1605" i="5"/>
  <c r="AK2235" i="5"/>
  <c r="AY2235" i="5"/>
  <c r="AZ2235" i="5"/>
  <c r="AR2162" i="5"/>
  <c r="AL2162" i="5"/>
  <c r="AU2162" i="5"/>
  <c r="AV2162" i="5" s="1"/>
  <c r="AI2163" i="5"/>
  <c r="AY2162" i="5"/>
  <c r="AW2162" i="5"/>
  <c r="AX2162" i="5" s="1"/>
  <c r="AZ2133" i="5"/>
  <c r="AJ2133" i="5"/>
  <c r="AL2133" i="5"/>
  <c r="AS2093" i="5"/>
  <c r="AT2093" i="5"/>
  <c r="AZ2077" i="5"/>
  <c r="AY2077" i="5"/>
  <c r="AK2077" i="5"/>
  <c r="AI2078" i="5"/>
  <c r="AW2077" i="5"/>
  <c r="AX2077" i="5" s="1"/>
  <c r="AJ2025" i="5"/>
  <c r="AZ2025" i="5"/>
  <c r="AI2026" i="5"/>
  <c r="AT1997" i="5"/>
  <c r="AS1997" i="5"/>
  <c r="AS1915" i="5"/>
  <c r="AT1915" i="5"/>
  <c r="AR1893" i="5"/>
  <c r="AT1893" i="5" s="1"/>
  <c r="AY1893" i="5"/>
  <c r="AW1893" i="5"/>
  <c r="AX1893" i="5" s="1"/>
  <c r="AJ1893" i="5"/>
  <c r="AI1894" i="5"/>
  <c r="AU1893" i="5"/>
  <c r="AV1893" i="5" s="1"/>
  <c r="AL1893" i="5"/>
  <c r="AT1737" i="5"/>
  <c r="AS1737" i="5"/>
  <c r="AW2106" i="5"/>
  <c r="AX2106" i="5" s="1"/>
  <c r="AL2157" i="5"/>
  <c r="AK2083" i="5"/>
  <c r="AL2005" i="5"/>
  <c r="AY2231" i="5"/>
  <c r="AR2050" i="5"/>
  <c r="AS2050" i="5" s="1"/>
  <c r="AY1749" i="5"/>
  <c r="AJ2291" i="5"/>
  <c r="AL2077" i="5"/>
  <c r="AS2207" i="5"/>
  <c r="AU2106" i="5"/>
  <c r="AV2106" i="5" s="1"/>
  <c r="AL1821" i="5"/>
  <c r="AY2005" i="5"/>
  <c r="AJ2050" i="5"/>
  <c r="AJ2067" i="5"/>
  <c r="AY1729" i="5"/>
  <c r="AK1837" i="5"/>
  <c r="AR2231" i="5"/>
  <c r="AT2231" i="5" s="1"/>
  <c r="AU2231" i="5"/>
  <c r="AV2231" i="5" s="1"/>
  <c r="AK2195" i="5"/>
  <c r="AJ2195" i="5"/>
  <c r="AJ2119" i="5"/>
  <c r="AK2119" i="5"/>
  <c r="AZ2119" i="5"/>
  <c r="AK2097" i="5"/>
  <c r="AY2097" i="5"/>
  <c r="AL2097" i="5"/>
  <c r="AU1923" i="5"/>
  <c r="AV1923" i="5" s="1"/>
  <c r="AL1923" i="5"/>
  <c r="AR1923" i="5"/>
  <c r="AT1923" i="5" s="1"/>
  <c r="AZ1923" i="5"/>
  <c r="AW1923" i="5"/>
  <c r="AX1923" i="5" s="1"/>
  <c r="AY1923" i="5"/>
  <c r="AJ1923" i="5"/>
  <c r="AK1923" i="5"/>
  <c r="AZ1861" i="5"/>
  <c r="AJ1861" i="5"/>
  <c r="AK1861" i="5"/>
  <c r="AY1861" i="5"/>
  <c r="AI1861" i="5"/>
  <c r="AL1861" i="5"/>
  <c r="AI1862" i="5"/>
  <c r="AY1801" i="5"/>
  <c r="AZ1801" i="5"/>
  <c r="AK1801" i="5"/>
  <c r="AL1801" i="5"/>
  <c r="AJ1801" i="5"/>
  <c r="AI1802" i="5"/>
  <c r="AS1793" i="5"/>
  <c r="AT1793" i="5"/>
  <c r="AK1785" i="5"/>
  <c r="AY1785" i="5"/>
  <c r="AZ1785" i="5"/>
  <c r="AL1785" i="5"/>
  <c r="AJ1785" i="5"/>
  <c r="AY1765" i="5"/>
  <c r="AJ1765" i="5"/>
  <c r="AK1765" i="5"/>
  <c r="AL1765" i="5"/>
  <c r="AZ1765" i="5"/>
  <c r="AY1745" i="5"/>
  <c r="AJ1745" i="5"/>
  <c r="AZ1745" i="5"/>
  <c r="AL1745" i="5"/>
  <c r="AK1745" i="5"/>
  <c r="AI1746" i="5"/>
  <c r="AT1721" i="5"/>
  <c r="AS1721" i="5"/>
  <c r="AI1710" i="5"/>
  <c r="AY1709" i="5"/>
  <c r="AZ1709" i="5"/>
  <c r="AS1701" i="5"/>
  <c r="AT1701" i="5"/>
  <c r="AS1681" i="5"/>
  <c r="AT1681" i="5"/>
  <c r="AK1673" i="5"/>
  <c r="AZ1673" i="5"/>
  <c r="AL1673" i="5"/>
  <c r="AY1673" i="5"/>
  <c r="AI1674" i="5"/>
  <c r="AJ1673" i="5"/>
  <c r="AL1669" i="5"/>
  <c r="AY1669" i="5"/>
  <c r="AU1669" i="5"/>
  <c r="AV1669" i="5" s="1"/>
  <c r="AJ1669" i="5"/>
  <c r="AK1669" i="5"/>
  <c r="AW1669" i="5"/>
  <c r="AX1669" i="5" s="1"/>
  <c r="AS1665" i="5"/>
  <c r="AT1665" i="5"/>
  <c r="AK1653" i="5"/>
  <c r="AY1653" i="5"/>
  <c r="AL1653" i="5"/>
  <c r="AJ1653" i="5"/>
  <c r="AZ1653" i="5"/>
  <c r="AI1654" i="5"/>
  <c r="AS1645" i="5"/>
  <c r="AT1645" i="5"/>
  <c r="AW1642" i="5"/>
  <c r="AX1642" i="5" s="1"/>
  <c r="AL1642" i="5"/>
  <c r="AK1642" i="5"/>
  <c r="AZ1642" i="5"/>
  <c r="AJ1642" i="5"/>
  <c r="AR1642" i="5"/>
  <c r="AS1642" i="5" s="1"/>
  <c r="AI1643" i="5"/>
  <c r="AU1642" i="5"/>
  <c r="AV1642" i="5" s="1"/>
  <c r="AY1642" i="5"/>
  <c r="AL1637" i="5"/>
  <c r="AK1637" i="5"/>
  <c r="AI1638" i="5"/>
  <c r="AZ1637" i="5"/>
  <c r="AJ1637" i="5"/>
  <c r="AI1637" i="5"/>
  <c r="AY1637" i="5"/>
  <c r="AJ1633" i="5"/>
  <c r="AI1634" i="5"/>
  <c r="AK1633" i="5"/>
  <c r="AZ1633" i="5"/>
  <c r="AS1629" i="5"/>
  <c r="AT1629" i="5"/>
  <c r="AI1618" i="5"/>
  <c r="AK1617" i="5"/>
  <c r="AY1617" i="5"/>
  <c r="AL1617" i="5"/>
  <c r="AJ1617" i="5"/>
  <c r="AR1613" i="5"/>
  <c r="AW1613" i="5"/>
  <c r="AX1613" i="5" s="1"/>
  <c r="AU1613" i="5"/>
  <c r="AV1613" i="5" s="1"/>
  <c r="AZ1613" i="5"/>
  <c r="AL1613" i="5"/>
  <c r="AJ1613" i="5"/>
  <c r="AY1613" i="5"/>
  <c r="AI1614" i="5"/>
  <c r="AK1613" i="5"/>
  <c r="AJ1597" i="5"/>
  <c r="AY1597" i="5"/>
  <c r="AK1597" i="5"/>
  <c r="AZ1597" i="5"/>
  <c r="AL1597" i="5"/>
  <c r="AI1598" i="5"/>
  <c r="AS1589" i="5"/>
  <c r="AT1589" i="5"/>
  <c r="AW1586" i="5"/>
  <c r="AX1586" i="5" s="1"/>
  <c r="AZ1586" i="5"/>
  <c r="AR1586" i="5"/>
  <c r="AT1586" i="5" s="1"/>
  <c r="AU1586" i="5"/>
  <c r="AV1586" i="5" s="1"/>
  <c r="AJ1586" i="5"/>
  <c r="AY1586" i="5"/>
  <c r="AK1586" i="5"/>
  <c r="AL1586" i="5"/>
  <c r="AY1581" i="5"/>
  <c r="AK1581" i="5"/>
  <c r="AZ1581" i="5"/>
  <c r="AI1581" i="5"/>
  <c r="AI1582" i="5"/>
  <c r="AJ1581" i="5"/>
  <c r="AZ1577" i="5"/>
  <c r="AK1577" i="5"/>
  <c r="AY1577" i="5"/>
  <c r="AJ1577" i="5"/>
  <c r="AI1578" i="5"/>
  <c r="AL1577" i="5"/>
  <c r="AS1573" i="5"/>
  <c r="AT1573" i="5"/>
  <c r="AS1568" i="5"/>
  <c r="AT1568" i="5"/>
  <c r="AR1565" i="5"/>
  <c r="AU1565" i="5"/>
  <c r="AV1565" i="5" s="1"/>
  <c r="AK1565" i="5"/>
  <c r="AZ1565" i="5"/>
  <c r="AI1566" i="5"/>
  <c r="AW1565" i="5"/>
  <c r="AX1565" i="5" s="1"/>
  <c r="AY1565" i="5"/>
  <c r="AJ1565" i="5"/>
  <c r="AJ1560" i="5"/>
  <c r="AZ1560" i="5"/>
  <c r="AI1561" i="5"/>
  <c r="AL1560" i="5"/>
  <c r="AT1557" i="5"/>
  <c r="AS1557" i="5"/>
  <c r="AT1277" i="5"/>
  <c r="AL1393" i="5"/>
  <c r="AU1218" i="5"/>
  <c r="AV1218" i="5" s="1"/>
  <c r="AU1449" i="5"/>
  <c r="AV1449" i="5" s="1"/>
  <c r="AY1449" i="5"/>
  <c r="AS1221" i="5"/>
  <c r="AT1496" i="5"/>
  <c r="AY1393" i="5"/>
  <c r="AI1306" i="5"/>
  <c r="AI1326" i="5"/>
  <c r="AI1425" i="5"/>
  <c r="AY1218" i="5"/>
  <c r="AK1274" i="5"/>
  <c r="AY1305" i="5"/>
  <c r="AJ1274" i="5"/>
  <c r="AJ1469" i="5"/>
  <c r="AW1449" i="5"/>
  <c r="AX1449" i="5" s="1"/>
  <c r="AT1436" i="5"/>
  <c r="AK1480" i="5"/>
  <c r="AJ1449" i="5"/>
  <c r="AZ1469" i="5"/>
  <c r="AJ1484" i="5"/>
  <c r="AL1460" i="5"/>
  <c r="AK1484" i="5"/>
  <c r="AI1480" i="5"/>
  <c r="AR1274" i="5"/>
  <c r="AT1274" i="5" s="1"/>
  <c r="AZ1325" i="5"/>
  <c r="AJ1377" i="5"/>
  <c r="AZ1249" i="5"/>
  <c r="AK1504" i="5"/>
  <c r="AS1317" i="5"/>
  <c r="AU1480" i="5"/>
  <c r="AV1480" i="5" s="1"/>
  <c r="AI1382" i="5"/>
  <c r="AT1293" i="5"/>
  <c r="AT1369" i="5"/>
  <c r="AY1484" i="5"/>
  <c r="AK1420" i="5"/>
  <c r="AI1469" i="5"/>
  <c r="AY1493" i="5"/>
  <c r="AI1505" i="5"/>
  <c r="AY1480" i="5"/>
  <c r="AS1297" i="5"/>
  <c r="AT1313" i="5"/>
  <c r="AJ1420" i="5"/>
  <c r="AI1504" i="5"/>
  <c r="AW1469" i="5"/>
  <c r="AX1469" i="5" s="1"/>
  <c r="AS1432" i="5"/>
  <c r="AU1493" i="5"/>
  <c r="AV1493" i="5" s="1"/>
  <c r="AI1445" i="5"/>
  <c r="AK1469" i="5"/>
  <c r="AZ1493" i="5"/>
  <c r="AJ1504" i="5"/>
  <c r="AJ1493" i="5"/>
  <c r="AZ1484" i="5"/>
  <c r="AS1257" i="5"/>
  <c r="AK1493" i="5"/>
  <c r="AS1412" i="5"/>
  <c r="AI1494" i="5"/>
  <c r="AU1504" i="5"/>
  <c r="AV1504" i="5" s="1"/>
  <c r="AS1201" i="5"/>
  <c r="AS1452" i="5"/>
  <c r="AW1504" i="5"/>
  <c r="AX1504" i="5" s="1"/>
  <c r="AY1504" i="5"/>
  <c r="AR1504" i="5"/>
  <c r="AS1504" i="5" s="1"/>
  <c r="AZ1504" i="5"/>
  <c r="AS1500" i="5"/>
  <c r="AT1500" i="5"/>
  <c r="AT1476" i="5"/>
  <c r="AS1476" i="5"/>
  <c r="AS1472" i="5"/>
  <c r="AT1472" i="5"/>
  <c r="AJ1460" i="5"/>
  <c r="AY1460" i="5"/>
  <c r="AR1449" i="5"/>
  <c r="AI1450" i="5"/>
  <c r="AK1449" i="5"/>
  <c r="AL1449" i="5"/>
  <c r="AL1444" i="5"/>
  <c r="AI1444" i="5"/>
  <c r="AY1444" i="5"/>
  <c r="AL1440" i="5"/>
  <c r="AY1440" i="5"/>
  <c r="AK1440" i="5"/>
  <c r="AZ1440" i="5"/>
  <c r="AJ1440" i="5"/>
  <c r="AJ1424" i="5"/>
  <c r="AY1424" i="5"/>
  <c r="AK1424" i="5"/>
  <c r="AL1420" i="5"/>
  <c r="AW1420" i="5"/>
  <c r="AX1420" i="5" s="1"/>
  <c r="AZ1420" i="5"/>
  <c r="AU1420" i="5"/>
  <c r="AV1420" i="5" s="1"/>
  <c r="AS1416" i="5"/>
  <c r="AT1416" i="5"/>
  <c r="AJ1404" i="5"/>
  <c r="AL1404" i="5"/>
  <c r="AK1404" i="5"/>
  <c r="AY1404" i="5"/>
  <c r="AT1396" i="5"/>
  <c r="AS1396" i="5"/>
  <c r="AW1393" i="5"/>
  <c r="AX1393" i="5" s="1"/>
  <c r="AJ1393" i="5"/>
  <c r="AK1393" i="5"/>
  <c r="AL1381" i="5"/>
  <c r="AZ1381" i="5"/>
  <c r="AY1381" i="5"/>
  <c r="AI1381" i="5"/>
  <c r="AZ1377" i="5"/>
  <c r="AL1377" i="5"/>
  <c r="AY1361" i="5"/>
  <c r="AZ1361" i="5"/>
  <c r="AJ1361" i="5"/>
  <c r="AI1362" i="5"/>
  <c r="AK1361" i="5"/>
  <c r="AT1349" i="5"/>
  <c r="AS1349" i="5"/>
  <c r="AZ1341" i="5"/>
  <c r="AJ1341" i="5"/>
  <c r="AK1341" i="5"/>
  <c r="AI1342" i="5"/>
  <c r="AY1341" i="5"/>
  <c r="AT1333" i="5"/>
  <c r="AS1333" i="5"/>
  <c r="AR1330" i="5"/>
  <c r="AI1330" i="5"/>
  <c r="AJ1330" i="5"/>
  <c r="AU1330" i="5"/>
  <c r="AV1330" i="5" s="1"/>
  <c r="AW1330" i="5"/>
  <c r="AX1330" i="5" s="1"/>
  <c r="AI1331" i="5"/>
  <c r="AL1330" i="5"/>
  <c r="AY1330" i="5"/>
  <c r="AK1330" i="5"/>
  <c r="AK1325" i="5"/>
  <c r="AI1325" i="5"/>
  <c r="AJ1321" i="5"/>
  <c r="AI1322" i="5"/>
  <c r="AY1321" i="5"/>
  <c r="AL1321" i="5"/>
  <c r="AK1305" i="5"/>
  <c r="AJ1305" i="5"/>
  <c r="AL1305" i="5"/>
  <c r="AY1301" i="5"/>
  <c r="AW1301" i="5"/>
  <c r="AX1301" i="5" s="1"/>
  <c r="AI1302" i="5"/>
  <c r="AJ1301" i="5"/>
  <c r="AZ1301" i="5"/>
  <c r="AU1301" i="5"/>
  <c r="AV1301" i="5" s="1"/>
  <c r="AL1301" i="5"/>
  <c r="AR1301" i="5"/>
  <c r="AT1301" i="5" s="1"/>
  <c r="AZ1285" i="5"/>
  <c r="AK1285" i="5"/>
  <c r="AI1286" i="5"/>
  <c r="AL1285" i="5"/>
  <c r="AL1274" i="5"/>
  <c r="AI1274" i="5"/>
  <c r="AL1265" i="5"/>
  <c r="AK1265" i="5"/>
  <c r="AJ1265" i="5"/>
  <c r="AY1265" i="5"/>
  <c r="AI1266" i="5"/>
  <c r="AT1261" i="5"/>
  <c r="AS1261" i="5"/>
  <c r="AJ1249" i="5"/>
  <c r="AY1249" i="5"/>
  <c r="AK1249" i="5"/>
  <c r="AI1250" i="5"/>
  <c r="AY1245" i="5"/>
  <c r="AK1245" i="5"/>
  <c r="AT1237" i="5"/>
  <c r="AS1237" i="5"/>
  <c r="AJ1229" i="5"/>
  <c r="AZ1229" i="5"/>
  <c r="AK1229" i="5"/>
  <c r="AL1229" i="5"/>
  <c r="AY1229" i="5"/>
  <c r="AI1230" i="5"/>
  <c r="AL1218" i="5"/>
  <c r="AK1218" i="5"/>
  <c r="AJ1218" i="5"/>
  <c r="AZ1218" i="5"/>
  <c r="AI1219" i="5"/>
  <c r="AY1213" i="5"/>
  <c r="AL1213" i="5"/>
  <c r="AK1213" i="5"/>
  <c r="AZ1193" i="5"/>
  <c r="AJ1193" i="5"/>
  <c r="AY1193" i="5"/>
  <c r="AL1193" i="5"/>
  <c r="AU1189" i="5"/>
  <c r="AV1189" i="5" s="1"/>
  <c r="AY1189" i="5"/>
  <c r="AK1189" i="5"/>
  <c r="AW1189" i="5"/>
  <c r="AX1189" i="5" s="1"/>
  <c r="AS1185" i="5"/>
  <c r="AT1185" i="5"/>
  <c r="AS1181" i="5"/>
  <c r="AT1181" i="5"/>
  <c r="AJ1173" i="5"/>
  <c r="AI1174" i="5"/>
  <c r="AY1173" i="5"/>
  <c r="AU1162" i="5"/>
  <c r="AV1162" i="5" s="1"/>
  <c r="AL1162" i="5"/>
  <c r="AR1162" i="5"/>
  <c r="AS1162" i="5" s="1"/>
  <c r="AZ1157" i="5"/>
  <c r="AK1157" i="5"/>
  <c r="AI1157" i="5"/>
  <c r="AL1157" i="5"/>
  <c r="AI1158" i="5"/>
  <c r="AK1153" i="5"/>
  <c r="AZ1153" i="5"/>
  <c r="AY1153" i="5"/>
  <c r="AL1153" i="5"/>
  <c r="AT1149" i="5"/>
  <c r="AS1149" i="5"/>
  <c r="AZ1137" i="5"/>
  <c r="AL1137" i="5"/>
  <c r="AI1138" i="5"/>
  <c r="AL1133" i="5"/>
  <c r="AR1133" i="5"/>
  <c r="AS1133" i="5" s="1"/>
  <c r="AU1133" i="5"/>
  <c r="AV1133" i="5" s="1"/>
  <c r="AW1133" i="5"/>
  <c r="AX1133" i="5" s="1"/>
  <c r="AT1082" i="5"/>
  <c r="AS1082" i="5"/>
  <c r="AZ1071" i="5"/>
  <c r="AL1071" i="5"/>
  <c r="AJ1071" i="5"/>
  <c r="AY1067" i="5"/>
  <c r="AI1068" i="5"/>
  <c r="AZ1067" i="5"/>
  <c r="AL1067" i="5"/>
  <c r="AT1055" i="5"/>
  <c r="AS1055" i="5"/>
  <c r="AL1047" i="5"/>
  <c r="AI1047" i="5"/>
  <c r="AZ1047" i="5"/>
  <c r="AK1047" i="5"/>
  <c r="AI1048" i="5"/>
  <c r="AJ1047" i="5"/>
  <c r="AL1043" i="5"/>
  <c r="AY1043" i="5"/>
  <c r="AI1043" i="5"/>
  <c r="AJ1032" i="5"/>
  <c r="AJ1007" i="5"/>
  <c r="AJ967" i="5"/>
  <c r="AL839" i="5"/>
  <c r="AK855" i="5"/>
  <c r="AI836" i="5"/>
  <c r="AI952" i="5"/>
  <c r="AY915" i="5"/>
  <c r="AI860" i="5"/>
  <c r="AI948" i="5"/>
  <c r="AS831" i="5"/>
  <c r="AR808" i="5"/>
  <c r="AS808" i="5" s="1"/>
  <c r="AL891" i="5"/>
  <c r="AK783" i="5"/>
  <c r="AL895" i="5"/>
  <c r="AZ743" i="5"/>
  <c r="AM1388" i="5"/>
  <c r="AK707" i="5"/>
  <c r="AZ1003" i="5"/>
  <c r="AS943" i="5"/>
  <c r="AZ700" i="5"/>
  <c r="AK1003" i="5"/>
  <c r="AY1032" i="5"/>
  <c r="AZ839" i="5"/>
  <c r="AY859" i="5"/>
  <c r="AJ915" i="5"/>
  <c r="AL951" i="5"/>
  <c r="AS923" i="5"/>
  <c r="AI803" i="5"/>
  <c r="AK819" i="5"/>
  <c r="AZ911" i="5"/>
  <c r="AS1035" i="5"/>
  <c r="AK895" i="5"/>
  <c r="AS755" i="5"/>
  <c r="AU976" i="5"/>
  <c r="AV976" i="5" s="1"/>
  <c r="AY864" i="5"/>
  <c r="AJ864" i="5"/>
  <c r="AT867" i="5"/>
  <c r="AK1007" i="5"/>
  <c r="AL2338" i="5"/>
  <c r="AS1020" i="5"/>
  <c r="AI968" i="5"/>
  <c r="AZ864" i="5"/>
  <c r="AY920" i="5"/>
  <c r="AI1004" i="5"/>
  <c r="AZ859" i="5"/>
  <c r="AW947" i="5"/>
  <c r="AX947" i="5" s="1"/>
  <c r="AJ803" i="5"/>
  <c r="AY819" i="5"/>
  <c r="AI912" i="5"/>
  <c r="AK835" i="5"/>
  <c r="AL864" i="5"/>
  <c r="AS979" i="5"/>
  <c r="AR1003" i="5"/>
  <c r="AS1003" i="5" s="1"/>
  <c r="AL967" i="5"/>
  <c r="AJ859" i="5"/>
  <c r="AJ783" i="5"/>
  <c r="AY723" i="5"/>
  <c r="AL783" i="5"/>
  <c r="AY911" i="5"/>
  <c r="AY1027" i="5"/>
  <c r="AI1028" i="5"/>
  <c r="AT1019" i="5"/>
  <c r="AS1019" i="5"/>
  <c r="AL1007" i="5"/>
  <c r="AI1008" i="5"/>
  <c r="AY1003" i="5"/>
  <c r="AJ1003" i="5"/>
  <c r="AW1003" i="5"/>
  <c r="AX1003" i="5" s="1"/>
  <c r="AK976" i="5"/>
  <c r="AW976" i="5"/>
  <c r="AX976" i="5" s="1"/>
  <c r="AI971" i="5"/>
  <c r="AK971" i="5"/>
  <c r="AY951" i="5"/>
  <c r="AZ951" i="5"/>
  <c r="AZ947" i="5"/>
  <c r="AK947" i="5"/>
  <c r="AY947" i="5"/>
  <c r="AL931" i="5"/>
  <c r="AI932" i="5"/>
  <c r="AZ931" i="5"/>
  <c r="AL920" i="5"/>
  <c r="AZ920" i="5"/>
  <c r="AK915" i="5"/>
  <c r="AI916" i="5"/>
  <c r="AJ891" i="5"/>
  <c r="AR891" i="5"/>
  <c r="AT891" i="5" s="1"/>
  <c r="AW891" i="5"/>
  <c r="AX891" i="5" s="1"/>
  <c r="AK891" i="5"/>
  <c r="AZ891" i="5"/>
  <c r="AZ875" i="5"/>
  <c r="AK875" i="5"/>
  <c r="AI865" i="5"/>
  <c r="AR864" i="5"/>
  <c r="AS864" i="5" s="1"/>
  <c r="AT851" i="5"/>
  <c r="AS851" i="5"/>
  <c r="AS847" i="5"/>
  <c r="AT847" i="5"/>
  <c r="AU835" i="5"/>
  <c r="AV835" i="5" s="1"/>
  <c r="AZ835" i="5"/>
  <c r="AY835" i="5"/>
  <c r="AW835" i="5"/>
  <c r="AX835" i="5" s="1"/>
  <c r="AR835" i="5"/>
  <c r="AS835" i="5" s="1"/>
  <c r="AL835" i="5"/>
  <c r="AJ819" i="5"/>
  <c r="AI820" i="5"/>
  <c r="AZ819" i="5"/>
  <c r="AY808" i="5"/>
  <c r="AK808" i="5"/>
  <c r="AL808" i="5"/>
  <c r="AJ808" i="5"/>
  <c r="AY803" i="5"/>
  <c r="AI804" i="5"/>
  <c r="AK803" i="5"/>
  <c r="AL799" i="5"/>
  <c r="AZ799" i="5"/>
  <c r="AJ799" i="5"/>
  <c r="AZ779" i="5"/>
  <c r="AY779" i="5"/>
  <c r="AK779" i="5"/>
  <c r="AT771" i="5"/>
  <c r="AS771" i="5"/>
  <c r="AL763" i="5"/>
  <c r="AJ763" i="5"/>
  <c r="AK752" i="5"/>
  <c r="AY752" i="5"/>
  <c r="AU752" i="5"/>
  <c r="AV752" i="5" s="1"/>
  <c r="AZ752" i="5"/>
  <c r="AW752" i="5"/>
  <c r="AX752" i="5" s="1"/>
  <c r="AJ747" i="5"/>
  <c r="AK747" i="5"/>
  <c r="AY743" i="5"/>
  <c r="AJ743" i="5"/>
  <c r="AT735" i="5"/>
  <c r="AS735" i="5"/>
  <c r="AK727" i="5"/>
  <c r="AL727" i="5"/>
  <c r="AR723" i="5"/>
  <c r="AT723" i="5" s="1"/>
  <c r="AZ723" i="5"/>
  <c r="AU723" i="5"/>
  <c r="AV723" i="5" s="1"/>
  <c r="AJ723" i="5"/>
  <c r="AS719" i="5"/>
  <c r="AT719" i="5"/>
  <c r="AK676" i="5"/>
  <c r="AZ676" i="5"/>
  <c r="AY637" i="5"/>
  <c r="AI638" i="5"/>
  <c r="AZ637" i="5"/>
  <c r="AL637" i="5"/>
  <c r="AJ628" i="5"/>
  <c r="AI629" i="5"/>
  <c r="AJ617" i="5"/>
  <c r="AW617" i="5"/>
  <c r="AX617" i="5" s="1"/>
  <c r="AY617" i="5"/>
  <c r="AI612" i="5"/>
  <c r="AJ612" i="5"/>
  <c r="AY612" i="5"/>
  <c r="AY608" i="5"/>
  <c r="AJ608" i="5"/>
  <c r="AY592" i="5"/>
  <c r="AK592" i="5"/>
  <c r="AJ592" i="5"/>
  <c r="AJ588" i="5"/>
  <c r="AW588" i="5"/>
  <c r="AX588" i="5" s="1"/>
  <c r="AJ572" i="5"/>
  <c r="AZ572" i="5"/>
  <c r="AU561" i="5"/>
  <c r="AV561" i="5" s="1"/>
  <c r="AW561" i="5"/>
  <c r="AX561" i="5" s="1"/>
  <c r="AK561" i="5"/>
  <c r="AJ556" i="5"/>
  <c r="AL556" i="5"/>
  <c r="AK552" i="5"/>
  <c r="AZ552" i="5"/>
  <c r="AL552" i="5"/>
  <c r="AY552" i="5"/>
  <c r="AJ505" i="5"/>
  <c r="AK505" i="5"/>
  <c r="AK476" i="5"/>
  <c r="AJ424" i="5"/>
  <c r="AY449" i="5"/>
  <c r="AJ516" i="5"/>
  <c r="AZ536" i="5"/>
  <c r="AJ348" i="5"/>
  <c r="AJ420" i="5"/>
  <c r="AM1560" i="5"/>
  <c r="AJ532" i="5"/>
  <c r="AJ444" i="5"/>
  <c r="AI450" i="5"/>
  <c r="AT508" i="5"/>
  <c r="AY532" i="5"/>
  <c r="AR449" i="5"/>
  <c r="AT449" i="5" s="1"/>
  <c r="AT548" i="5"/>
  <c r="AR476" i="5"/>
  <c r="AT476" i="5" s="1"/>
  <c r="AK480" i="5"/>
  <c r="AJ449" i="5"/>
  <c r="AI533" i="5"/>
  <c r="AK348" i="5"/>
  <c r="M2696" i="5"/>
  <c r="L2696" i="5" s="1"/>
  <c r="M2624" i="5"/>
  <c r="L2624" i="5" s="1"/>
  <c r="AK2329" i="5"/>
  <c r="AL2070" i="5"/>
  <c r="AU2329" i="5"/>
  <c r="AV2329" i="5" s="1"/>
  <c r="M1475" i="5"/>
  <c r="F1475" i="5" s="1"/>
  <c r="G205" i="5"/>
  <c r="H205" i="5" s="1"/>
  <c r="F3488" i="5"/>
  <c r="AM994" i="5"/>
  <c r="AI2277" i="5"/>
  <c r="AI2273" i="5"/>
  <c r="AM1939" i="5"/>
  <c r="S202" i="5"/>
  <c r="F205" i="5" s="1"/>
  <c r="AY2070" i="5"/>
  <c r="M3455" i="5"/>
  <c r="F3455" i="5" s="1"/>
  <c r="L3455" i="5" s="1"/>
  <c r="G3908" i="5"/>
  <c r="H3908" i="5" s="1"/>
  <c r="AK2133" i="5"/>
  <c r="AM2090" i="5"/>
  <c r="AY2179" i="5"/>
  <c r="AU2190" i="5"/>
  <c r="AV2190" i="5" s="1"/>
  <c r="AJ2148" i="5"/>
  <c r="M2287" i="5"/>
  <c r="F2287" i="5" s="1"/>
  <c r="AM2287" i="5" s="1"/>
  <c r="AL2190" i="5"/>
  <c r="A4995" i="5"/>
  <c r="C4995" i="5" s="1"/>
  <c r="AJ1827" i="5"/>
  <c r="M3072" i="5"/>
  <c r="F3072" i="5" s="1"/>
  <c r="L3072" i="5" s="1"/>
  <c r="AI1897" i="5"/>
  <c r="AK2350" i="5"/>
  <c r="M1789" i="5"/>
  <c r="F1789" i="5" s="1"/>
  <c r="M3080" i="5"/>
  <c r="F3080" i="5" s="1"/>
  <c r="L3080" i="5" s="1"/>
  <c r="AI2327" i="5"/>
  <c r="AI2359" i="5"/>
  <c r="M1586" i="5"/>
  <c r="F1586" i="5" s="1"/>
  <c r="AM1587" i="5" s="1"/>
  <c r="AK1922" i="5"/>
  <c r="AJ2326" i="5"/>
  <c r="AU2346" i="5"/>
  <c r="AV2346" i="5" s="1"/>
  <c r="AZ2350" i="5"/>
  <c r="M1607" i="5"/>
  <c r="F1607" i="5" s="1"/>
  <c r="M1768" i="5"/>
  <c r="F1768" i="5" s="1"/>
  <c r="M1924" i="5"/>
  <c r="F1924" i="5" s="1"/>
  <c r="M1747" i="5"/>
  <c r="F1747" i="5" s="1"/>
  <c r="M1859" i="5"/>
  <c r="F1859" i="5" s="1"/>
  <c r="AY1922" i="5"/>
  <c r="M1726" i="5"/>
  <c r="F1726" i="5" s="1"/>
  <c r="AK2335" i="5"/>
  <c r="M1817" i="5"/>
  <c r="F1817" i="5" s="1"/>
  <c r="AM1818" i="5" s="1"/>
  <c r="M1635" i="5"/>
  <c r="F1635" i="5" s="1"/>
  <c r="AL2359" i="5"/>
  <c r="AY2266" i="5"/>
  <c r="M1866" i="5"/>
  <c r="F1866" i="5" s="1"/>
  <c r="M1621" i="5"/>
  <c r="F1621" i="5" s="1"/>
  <c r="AM1621" i="5" s="1"/>
  <c r="AJ1922" i="5"/>
  <c r="AY2326" i="5"/>
  <c r="AJ2346" i="5"/>
  <c r="AY2359" i="5"/>
  <c r="M1740" i="5"/>
  <c r="F1740" i="5" s="1"/>
  <c r="M1733" i="5"/>
  <c r="F1733" i="5" s="1"/>
  <c r="M1852" i="5"/>
  <c r="F1852" i="5" s="1"/>
  <c r="M1761" i="5"/>
  <c r="F1761" i="5" s="1"/>
  <c r="M1918" i="5"/>
  <c r="F1918" i="5" s="1"/>
  <c r="AI1923" i="5"/>
  <c r="M2315" i="5"/>
  <c r="F2315" i="5" s="1"/>
  <c r="AM2315" i="5" s="1"/>
  <c r="AI2335" i="5"/>
  <c r="AL2326" i="5"/>
  <c r="AK2326" i="5"/>
  <c r="AZ2346" i="5"/>
  <c r="AJ2359" i="5"/>
  <c r="M1873" i="5"/>
  <c r="F1873" i="5" s="1"/>
  <c r="M1649" i="5"/>
  <c r="F1649" i="5" s="1"/>
  <c r="AM1650" i="5" s="1"/>
  <c r="M1719" i="5"/>
  <c r="F1719" i="5" s="1"/>
  <c r="M1941" i="5"/>
  <c r="F1941" i="5" s="1"/>
  <c r="M1810" i="5"/>
  <c r="F1810" i="5" s="1"/>
  <c r="M1614" i="5"/>
  <c r="F1614" i="5" s="1"/>
  <c r="AM1615" i="5" s="1"/>
  <c r="M1593" i="5"/>
  <c r="F1593" i="5" s="1"/>
  <c r="AU2335" i="5"/>
  <c r="AV2335" i="5" s="1"/>
  <c r="AL2346" i="5"/>
  <c r="AK2359" i="5"/>
  <c r="M1754" i="5"/>
  <c r="F1754" i="5" s="1"/>
  <c r="M1705" i="5"/>
  <c r="F1705" i="5" s="1"/>
  <c r="M1775" i="5"/>
  <c r="F1775" i="5" s="1"/>
  <c r="AY2346" i="5"/>
  <c r="M1906" i="5"/>
  <c r="F1906" i="5" s="1"/>
  <c r="M1796" i="5"/>
  <c r="F1796" i="5" s="1"/>
  <c r="M1930" i="5"/>
  <c r="F1930" i="5" s="1"/>
  <c r="M1677" i="5"/>
  <c r="F1677" i="5" s="1"/>
  <c r="M3069" i="5"/>
  <c r="F3069" i="5" s="1"/>
  <c r="L3069" i="5" s="1"/>
  <c r="M3077" i="5"/>
  <c r="F3077" i="5" s="1"/>
  <c r="L3077" i="5" s="1"/>
  <c r="M3085" i="5"/>
  <c r="F3085" i="5" s="1"/>
  <c r="L3085" i="5" s="1"/>
  <c r="AI2347" i="5"/>
  <c r="AI2336" i="5"/>
  <c r="AJ2350" i="5"/>
  <c r="M1838" i="5"/>
  <c r="F1838" i="5" s="1"/>
  <c r="M1579" i="5"/>
  <c r="F1579" i="5" s="1"/>
  <c r="M1663" i="5"/>
  <c r="F1663" i="5" s="1"/>
  <c r="AZ2335" i="5"/>
  <c r="AW2359" i="5"/>
  <c r="AX2359" i="5" s="1"/>
  <c r="AL1479" i="5"/>
  <c r="AM2263" i="5"/>
  <c r="G198" i="5"/>
  <c r="H198" i="5" s="1"/>
  <c r="AQ1874" i="5"/>
  <c r="W3348" i="5"/>
  <c r="F3352" i="5" s="1"/>
  <c r="F4733" i="5"/>
  <c r="L3861" i="5"/>
  <c r="L3859" i="5"/>
  <c r="AS673" i="5"/>
  <c r="AY2355" i="5"/>
  <c r="M2203" i="5"/>
  <c r="F2203" i="5" s="1"/>
  <c r="AM2203" i="5" s="1"/>
  <c r="AL2327" i="5"/>
  <c r="M2210" i="5"/>
  <c r="F2210" i="5" s="1"/>
  <c r="AM2210" i="5" s="1"/>
  <c r="M2294" i="5"/>
  <c r="F2294" i="5" s="1"/>
  <c r="AM2294" i="5" s="1"/>
  <c r="AS2129" i="5"/>
  <c r="G1513" i="5"/>
  <c r="H1513" i="5" s="1"/>
  <c r="AT2181" i="5"/>
  <c r="AL2231" i="5"/>
  <c r="AJ2235" i="5"/>
  <c r="AM2235" i="5"/>
  <c r="AK2355" i="5"/>
  <c r="AI2134" i="5"/>
  <c r="AZ2307" i="5"/>
  <c r="AK2311" i="5"/>
  <c r="AR2133" i="5"/>
  <c r="AS2133" i="5" s="1"/>
  <c r="AW2204" i="5"/>
  <c r="AX2204" i="5" s="1"/>
  <c r="AS2109" i="5"/>
  <c r="M4546" i="5"/>
  <c r="M4560" i="5" s="1"/>
  <c r="F4560" i="5" s="1"/>
  <c r="F4564" i="5" s="1"/>
  <c r="W4566" i="5" s="1"/>
  <c r="AK2287" i="5"/>
  <c r="AI2157" i="5"/>
  <c r="AL2199" i="5"/>
  <c r="AW2231" i="5"/>
  <c r="AX2231" i="5" s="1"/>
  <c r="AL2235" i="5"/>
  <c r="M2217" i="5"/>
  <c r="F2217" i="5" s="1"/>
  <c r="AM2217" i="5" s="1"/>
  <c r="AS2363" i="5"/>
  <c r="AL2307" i="5"/>
  <c r="AJ2311" i="5"/>
  <c r="AJ2137" i="5"/>
  <c r="AI2205" i="5"/>
  <c r="M2182" i="5"/>
  <c r="F2182" i="5" s="1"/>
  <c r="G197" i="5"/>
  <c r="H197" i="5" s="1"/>
  <c r="AL2347" i="5"/>
  <c r="AI2256" i="5"/>
  <c r="AK2260" i="5"/>
  <c r="M2245" i="5"/>
  <c r="F2245" i="5" s="1"/>
  <c r="AM2245" i="5" s="1"/>
  <c r="AK2101" i="5"/>
  <c r="AZ2162" i="5"/>
  <c r="AK2117" i="5"/>
  <c r="AL2173" i="5"/>
  <c r="M2063" i="5"/>
  <c r="F2063" i="5" s="1"/>
  <c r="AM2063" i="5" s="1"/>
  <c r="M2091" i="5"/>
  <c r="F2091" i="5" s="1"/>
  <c r="AM2091" i="5" s="1"/>
  <c r="AZ2287" i="5"/>
  <c r="AY2157" i="5"/>
  <c r="AJ2199" i="5"/>
  <c r="AJ2231" i="5"/>
  <c r="M2028" i="5"/>
  <c r="F2028" i="5" s="1"/>
  <c r="AM2028" i="5" s="1"/>
  <c r="M2007" i="5"/>
  <c r="F2007" i="5" s="1"/>
  <c r="AM2007" i="5" s="1"/>
  <c r="AI2311" i="5"/>
  <c r="M2154" i="5"/>
  <c r="F2154" i="5" s="1"/>
  <c r="AM2154" i="5" s="1"/>
  <c r="AI2204" i="5"/>
  <c r="F4644" i="5"/>
  <c r="M2252" i="5"/>
  <c r="F2252" i="5" s="1"/>
  <c r="AM2252" i="5" s="1"/>
  <c r="AT2247" i="5"/>
  <c r="AI2158" i="5"/>
  <c r="AI2356" i="5"/>
  <c r="AZ2311" i="5"/>
  <c r="M2266" i="5"/>
  <c r="F2266" i="5" s="1"/>
  <c r="AM2266" i="5" s="1"/>
  <c r="M2340" i="5"/>
  <c r="F2340" i="5" s="1"/>
  <c r="AM2340" i="5" s="1"/>
  <c r="AZ2355" i="5"/>
  <c r="AU2119" i="5"/>
  <c r="AV2119" i="5" s="1"/>
  <c r="AK2173" i="5"/>
  <c r="M2280" i="5"/>
  <c r="F2280" i="5" s="1"/>
  <c r="AZ2117" i="5"/>
  <c r="M2322" i="5"/>
  <c r="F2322" i="5" s="1"/>
  <c r="AM2322" i="5" s="1"/>
  <c r="AP1988" i="5"/>
  <c r="AQ1988" i="5" s="1"/>
  <c r="M4117" i="5"/>
  <c r="F4117" i="5" s="1"/>
  <c r="L4117" i="5" s="1"/>
  <c r="M2352" i="5"/>
  <c r="F2352" i="5" s="1"/>
  <c r="AM2352" i="5" s="1"/>
  <c r="AR2316" i="5"/>
  <c r="AS2316" i="5" s="1"/>
  <c r="M2369" i="5"/>
  <c r="F2369" i="5" s="1"/>
  <c r="AM2369" i="5" s="1"/>
  <c r="S3578" i="5"/>
  <c r="F3578" i="5" s="1"/>
  <c r="AL2119" i="5"/>
  <c r="AS2227" i="5"/>
  <c r="M2231" i="5"/>
  <c r="F2231" i="5" s="1"/>
  <c r="AM2231" i="5" s="1"/>
  <c r="M2140" i="5"/>
  <c r="F2140" i="5" s="1"/>
  <c r="AM2140" i="5" s="1"/>
  <c r="AK2331" i="5"/>
  <c r="AY2327" i="5"/>
  <c r="AI2328" i="5"/>
  <c r="N3699" i="5"/>
  <c r="M3699" i="5" s="1"/>
  <c r="F3699" i="5" s="1"/>
  <c r="L3699" i="5" s="1"/>
  <c r="M1993" i="5"/>
  <c r="F1993" i="5" s="1"/>
  <c r="AM1993" i="5" s="1"/>
  <c r="M2077" i="5"/>
  <c r="F2077" i="5" s="1"/>
  <c r="AM2077" i="5" s="1"/>
  <c r="M2196" i="5"/>
  <c r="F2196" i="5" s="1"/>
  <c r="AM2196" i="5" s="1"/>
  <c r="M3690" i="5"/>
  <c r="F3690" i="5" s="1"/>
  <c r="L3690" i="5" s="1"/>
  <c r="AS2094" i="5"/>
  <c r="AK2162" i="5"/>
  <c r="AJ2097" i="5"/>
  <c r="AY2119" i="5"/>
  <c r="M2098" i="5"/>
  <c r="F2098" i="5" s="1"/>
  <c r="AM2098" i="5" s="1"/>
  <c r="M2238" i="5"/>
  <c r="F2238" i="5" s="1"/>
  <c r="AM2238" i="5" s="1"/>
  <c r="M2669" i="5"/>
  <c r="L2669" i="5" s="1"/>
  <c r="AL2255" i="5"/>
  <c r="M2273" i="5"/>
  <c r="F2273" i="5" s="1"/>
  <c r="AM2273" i="5" s="1"/>
  <c r="M2175" i="5"/>
  <c r="F2175" i="5" s="1"/>
  <c r="M2070" i="5"/>
  <c r="F2070" i="5" s="1"/>
  <c r="AM2070" i="5" s="1"/>
  <c r="M2358" i="5"/>
  <c r="F2358" i="5" s="1"/>
  <c r="AM2358" i="5" s="1"/>
  <c r="M2328" i="5"/>
  <c r="F2328" i="5" s="1"/>
  <c r="AM2328" i="5" s="1"/>
  <c r="AU2133" i="5"/>
  <c r="AV2133" i="5" s="1"/>
  <c r="M2259" i="5"/>
  <c r="F2259" i="5" s="1"/>
  <c r="AM2259" i="5" s="1"/>
  <c r="M2189" i="5"/>
  <c r="F2189" i="5" s="1"/>
  <c r="AM2189" i="5" s="1"/>
  <c r="AY2331" i="5"/>
  <c r="M2224" i="5"/>
  <c r="F2224" i="5" s="1"/>
  <c r="AM2224" i="5" s="1"/>
  <c r="M2764" i="5"/>
  <c r="L2764" i="5" s="1"/>
  <c r="AI2355" i="5"/>
  <c r="M2168" i="5"/>
  <c r="F2168" i="5" s="1"/>
  <c r="AI2255" i="5"/>
  <c r="M2056" i="5"/>
  <c r="F2056" i="5" s="1"/>
  <c r="AM2056" i="5" s="1"/>
  <c r="AY2106" i="5"/>
  <c r="AL2106" i="5"/>
  <c r="AI2317" i="5"/>
  <c r="AZ2199" i="5"/>
  <c r="M2000" i="5"/>
  <c r="F2000" i="5" s="1"/>
  <c r="AM2000" i="5" s="1"/>
  <c r="AI2316" i="5"/>
  <c r="M2147" i="5"/>
  <c r="F2147" i="5" s="1"/>
  <c r="AM2147" i="5" s="1"/>
  <c r="M2014" i="5"/>
  <c r="F2014" i="5" s="1"/>
  <c r="AM2014" i="5" s="1"/>
  <c r="AK2255" i="5"/>
  <c r="M2042" i="5"/>
  <c r="F2042" i="5" s="1"/>
  <c r="AM2042" i="5" s="1"/>
  <c r="AZ2106" i="5"/>
  <c r="AJ2162" i="5"/>
  <c r="M2105" i="5"/>
  <c r="F2105" i="5" s="1"/>
  <c r="AM2105" i="5" s="1"/>
  <c r="P3832" i="5"/>
  <c r="F3832" i="5" s="1"/>
  <c r="F4743" i="5"/>
  <c r="AW2346" i="5"/>
  <c r="AX2346" i="5" s="1"/>
  <c r="M4015" i="5"/>
  <c r="F4015" i="5" s="1"/>
  <c r="L4015" i="5" s="1"/>
  <c r="M2824" i="5"/>
  <c r="L2824" i="5" s="1"/>
  <c r="M3037" i="5"/>
  <c r="F3037" i="5" s="1"/>
  <c r="L3037" i="5" s="1"/>
  <c r="M2860" i="5"/>
  <c r="F2860" i="5" s="1"/>
  <c r="L2860" i="5" s="1"/>
  <c r="M3074" i="5"/>
  <c r="F3074" i="5" s="1"/>
  <c r="L3074" i="5" s="1"/>
  <c r="AI1473" i="5"/>
  <c r="AI1060" i="5"/>
  <c r="W4988" i="5"/>
  <c r="AT636" i="5"/>
  <c r="M4234" i="5"/>
  <c r="F4235" i="5" s="1"/>
  <c r="L4234" i="5" s="1"/>
  <c r="M3858" i="5"/>
  <c r="L3858" i="5" s="1"/>
  <c r="M2672" i="5"/>
  <c r="L2672" i="5" s="1"/>
  <c r="M2859" i="5"/>
  <c r="F2859" i="5" s="1"/>
  <c r="L2859" i="5" s="1"/>
  <c r="M2724" i="5"/>
  <c r="L2724" i="5" s="1"/>
  <c r="M3088" i="5"/>
  <c r="F3088" i="5" s="1"/>
  <c r="L3088" i="5" s="1"/>
  <c r="M3096" i="5"/>
  <c r="F3096" i="5" s="1"/>
  <c r="L3096" i="5" s="1"/>
  <c r="AQ2088" i="5"/>
  <c r="AQ2049" i="5"/>
  <c r="A4707" i="5"/>
  <c r="C4707" i="5" s="1"/>
  <c r="AL2335" i="5"/>
  <c r="AK1864" i="5"/>
  <c r="AK1873" i="5"/>
  <c r="AY2032" i="5"/>
  <c r="AK2258" i="5"/>
  <c r="AZ2028" i="5"/>
  <c r="AU2057" i="5"/>
  <c r="AV2057" i="5" s="1"/>
  <c r="AY2052" i="5"/>
  <c r="AR2294" i="5"/>
  <c r="AS2294" i="5" s="1"/>
  <c r="AK2068" i="5"/>
  <c r="AI2049" i="5"/>
  <c r="AZ2113" i="5"/>
  <c r="AR2001" i="5"/>
  <c r="AS2001" i="5" s="1"/>
  <c r="AQ2212" i="5"/>
  <c r="AQ2089" i="5"/>
  <c r="AQ2033" i="5"/>
  <c r="AS2299" i="5"/>
  <c r="AY2291" i="5"/>
  <c r="AS2156" i="5"/>
  <c r="AI2068" i="5"/>
  <c r="AY2057" i="5"/>
  <c r="AR2084" i="5"/>
  <c r="AS2084" i="5" s="1"/>
  <c r="AJ2048" i="5"/>
  <c r="AK2318" i="5"/>
  <c r="AZ1884" i="5"/>
  <c r="AS1820" i="5"/>
  <c r="AI2002" i="5"/>
  <c r="AZ1844" i="5"/>
  <c r="AY2262" i="5"/>
  <c r="AY2160" i="5"/>
  <c r="AU2001" i="5"/>
  <c r="AV2001" i="5" s="1"/>
  <c r="AS1926" i="5"/>
  <c r="AY2323" i="5"/>
  <c r="AJ2169" i="5"/>
  <c r="AK2052" i="5"/>
  <c r="AQ2108" i="5"/>
  <c r="AJ2104" i="5"/>
  <c r="AY2180" i="5"/>
  <c r="AK1904" i="5"/>
  <c r="AQ1864" i="5"/>
  <c r="AK2028" i="5"/>
  <c r="AI1869" i="5"/>
  <c r="AT2020" i="5"/>
  <c r="AS2096" i="5"/>
  <c r="AJ1884" i="5"/>
  <c r="AR2211" i="5"/>
  <c r="AS2211" i="5" s="1"/>
  <c r="AL2068" i="5"/>
  <c r="AI2206" i="5"/>
  <c r="AY2278" i="5"/>
  <c r="AY2267" i="5"/>
  <c r="AT2198" i="5"/>
  <c r="AS2044" i="5"/>
  <c r="AJ2068" i="5"/>
  <c r="AZ2140" i="5"/>
  <c r="AZ2242" i="5"/>
  <c r="AJ2258" i="5"/>
  <c r="AL2242" i="5"/>
  <c r="AM342" i="5"/>
  <c r="AM314" i="5"/>
  <c r="AM1363" i="5"/>
  <c r="AM1834" i="5"/>
  <c r="AM1582" i="5"/>
  <c r="AM1568" i="5"/>
  <c r="AM2362" i="5"/>
  <c r="AM2299" i="5"/>
  <c r="AQ2191" i="5"/>
  <c r="AQ2161" i="5"/>
  <c r="AI2145" i="5"/>
  <c r="AQ2129" i="5"/>
  <c r="AI2088" i="5"/>
  <c r="AQ2079" i="5"/>
  <c r="AQ2058" i="5"/>
  <c r="AQ2053" i="5"/>
  <c r="AQ1997" i="5"/>
  <c r="AI1997" i="5"/>
  <c r="AQ1919" i="5"/>
  <c r="AQ1885" i="5"/>
  <c r="AQ1833" i="5"/>
  <c r="AQ1818" i="5"/>
  <c r="AQ1812" i="5"/>
  <c r="AQ1809" i="5"/>
  <c r="AQ1797" i="5"/>
  <c r="AI1792" i="5"/>
  <c r="AQ1777" i="5"/>
  <c r="AI1773" i="5"/>
  <c r="AQ1726" i="5"/>
  <c r="AQ1721" i="5"/>
  <c r="AQ1717" i="5"/>
  <c r="AI585" i="5"/>
  <c r="AI565" i="5"/>
  <c r="W4987" i="5"/>
  <c r="AM1489" i="5"/>
  <c r="AQ2140" i="5"/>
  <c r="AJ2140" i="5"/>
  <c r="AT2254" i="5"/>
  <c r="AY2028" i="5"/>
  <c r="AY2144" i="5"/>
  <c r="AL2206" i="5"/>
  <c r="AZ2318" i="5"/>
  <c r="AK2124" i="5"/>
  <c r="AK2222" i="5"/>
  <c r="AZ2278" i="5"/>
  <c r="AL2211" i="5"/>
  <c r="AI2161" i="5"/>
  <c r="AW2267" i="5"/>
  <c r="AX2267" i="5" s="1"/>
  <c r="AY2164" i="5"/>
  <c r="AI2180" i="5"/>
  <c r="AK2294" i="5"/>
  <c r="AI2318" i="5"/>
  <c r="AZ2323" i="5"/>
  <c r="AJ2278" i="5"/>
  <c r="AL2144" i="5"/>
  <c r="AT2234" i="5"/>
  <c r="AI2262" i="5"/>
  <c r="AI2263" i="5"/>
  <c r="AI2104" i="5"/>
  <c r="AZ2057" i="5"/>
  <c r="AJ2057" i="5"/>
  <c r="AI2084" i="5"/>
  <c r="AI2052" i="5"/>
  <c r="AY2084" i="5"/>
  <c r="AZ2267" i="5"/>
  <c r="AL2048" i="5"/>
  <c r="AL2113" i="5"/>
  <c r="AS2100" i="5"/>
  <c r="AJ2113" i="5"/>
  <c r="AR2140" i="5"/>
  <c r="AS2140" i="5" s="1"/>
  <c r="AZ2164" i="5"/>
  <c r="AW2169" i="5"/>
  <c r="AX2169" i="5" s="1"/>
  <c r="AZ2180" i="5"/>
  <c r="AY2206" i="5"/>
  <c r="AS2290" i="5"/>
  <c r="AJ2298" i="5"/>
  <c r="AW2323" i="5"/>
  <c r="AX2323" i="5" s="1"/>
  <c r="AS2326" i="5"/>
  <c r="AI1904" i="5"/>
  <c r="AQ1848" i="5"/>
  <c r="AY1864" i="5"/>
  <c r="AL1904" i="5"/>
  <c r="AW2001" i="5"/>
  <c r="AX2001" i="5" s="1"/>
  <c r="AW2028" i="5"/>
  <c r="AX2028" i="5" s="1"/>
  <c r="AW2238" i="5"/>
  <c r="AX2238" i="5" s="1"/>
  <c r="AY1756" i="5"/>
  <c r="AJ1761" i="5"/>
  <c r="AQ1808" i="5"/>
  <c r="AY1817" i="5"/>
  <c r="AL1844" i="5"/>
  <c r="AS1856" i="5"/>
  <c r="AL1868" i="5"/>
  <c r="AR1873" i="5"/>
  <c r="AS1873" i="5" s="1"/>
  <c r="AR2113" i="5"/>
  <c r="AT2113" i="5" s="1"/>
  <c r="AU2211" i="5"/>
  <c r="AV2211" i="5" s="1"/>
  <c r="AY1792" i="5"/>
  <c r="AK2032" i="5"/>
  <c r="AM2104" i="5"/>
  <c r="AL1772" i="5"/>
  <c r="AR1788" i="5"/>
  <c r="AT1788" i="5" s="1"/>
  <c r="AZ1812" i="5"/>
  <c r="AY1884" i="5"/>
  <c r="AZ2124" i="5"/>
  <c r="AJ1456" i="5"/>
  <c r="AJ2267" i="5"/>
  <c r="AI2140" i="5"/>
  <c r="AY2113" i="5"/>
  <c r="AI2165" i="5"/>
  <c r="AI2181" i="5"/>
  <c r="AI2299" i="5"/>
  <c r="AJ2323" i="5"/>
  <c r="AY2124" i="5"/>
  <c r="AQ2057" i="5"/>
  <c r="AS2076" i="5"/>
  <c r="AQ2084" i="5"/>
  <c r="AL2088" i="5"/>
  <c r="AT2060" i="5"/>
  <c r="AW2084" i="5"/>
  <c r="AX2084" i="5" s="1"/>
  <c r="AJ2088" i="5"/>
  <c r="AI2268" i="5"/>
  <c r="AY2088" i="5"/>
  <c r="AI2033" i="5"/>
  <c r="AK2108" i="5"/>
  <c r="AS2117" i="5"/>
  <c r="AZ2144" i="5"/>
  <c r="AY2298" i="5"/>
  <c r="AI2164" i="5"/>
  <c r="AZ2169" i="5"/>
  <c r="AL2180" i="5"/>
  <c r="AJ2206" i="5"/>
  <c r="AL2298" i="5"/>
  <c r="AK2323" i="5"/>
  <c r="AI2089" i="5"/>
  <c r="AI2223" i="5"/>
  <c r="AI1848" i="5"/>
  <c r="AQ1828" i="5"/>
  <c r="AI1849" i="5"/>
  <c r="AJ1864" i="5"/>
  <c r="AQ1904" i="5"/>
  <c r="AY2001" i="5"/>
  <c r="AJ2012" i="5"/>
  <c r="AJ2028" i="5"/>
  <c r="AZ2238" i="5"/>
  <c r="AU1817" i="5"/>
  <c r="AV1817" i="5" s="1"/>
  <c r="AZ1808" i="5"/>
  <c r="AJ1817" i="5"/>
  <c r="AR1844" i="5"/>
  <c r="AS1844" i="5" s="1"/>
  <c r="AI1868" i="5"/>
  <c r="AU1873" i="5"/>
  <c r="AV1873" i="5" s="1"/>
  <c r="AI1996" i="5"/>
  <c r="AU2113" i="5"/>
  <c r="AV2113" i="5" s="1"/>
  <c r="AK2262" i="5"/>
  <c r="AI1793" i="5"/>
  <c r="AT1800" i="5"/>
  <c r="AZ2032" i="5"/>
  <c r="AK2104" i="5"/>
  <c r="AJ1772" i="5"/>
  <c r="AK1788" i="5"/>
  <c r="AY1812" i="5"/>
  <c r="AY1992" i="5"/>
  <c r="AT2306" i="5"/>
  <c r="AZ2258" i="5"/>
  <c r="AJ2124" i="5"/>
  <c r="AL2323" i="5"/>
  <c r="AZ2206" i="5"/>
  <c r="AZ2262" i="5"/>
  <c r="AY2211" i="5"/>
  <c r="AM2160" i="5"/>
  <c r="AS2250" i="5"/>
  <c r="AQ2262" i="5"/>
  <c r="AJ2211" i="5"/>
  <c r="AS2152" i="5"/>
  <c r="AK2088" i="5"/>
  <c r="AS2040" i="5"/>
  <c r="AJ2084" i="5"/>
  <c r="AI2048" i="5"/>
  <c r="AL2267" i="5"/>
  <c r="AQ2048" i="5"/>
  <c r="AK2140" i="5"/>
  <c r="AL2140" i="5"/>
  <c r="AJ2108" i="5"/>
  <c r="AK2144" i="5"/>
  <c r="AJ2160" i="5"/>
  <c r="AL2164" i="5"/>
  <c r="AR2169" i="5"/>
  <c r="AT2169" i="5" s="1"/>
  <c r="AK2180" i="5"/>
  <c r="AY2238" i="5"/>
  <c r="AU2294" i="5"/>
  <c r="AV2294" i="5" s="1"/>
  <c r="AK2298" i="5"/>
  <c r="AR2323" i="5"/>
  <c r="AT2323" i="5" s="1"/>
  <c r="AK1992" i="5"/>
  <c r="AZ2088" i="5"/>
  <c r="AZ2222" i="5"/>
  <c r="AQ1732" i="5"/>
  <c r="AI1829" i="5"/>
  <c r="AY1848" i="5"/>
  <c r="AL1864" i="5"/>
  <c r="AZ1904" i="5"/>
  <c r="AJ2001" i="5"/>
  <c r="AZ2012" i="5"/>
  <c r="AL2028" i="5"/>
  <c r="AJ2238" i="5"/>
  <c r="AZ1756" i="5"/>
  <c r="AT1784" i="5"/>
  <c r="AI1808" i="5"/>
  <c r="AK1817" i="5"/>
  <c r="AU1844" i="5"/>
  <c r="AV1844" i="5" s="1"/>
  <c r="AT1860" i="5"/>
  <c r="AY1868" i="5"/>
  <c r="AW1873" i="5"/>
  <c r="AX1873" i="5" s="1"/>
  <c r="AK1996" i="5"/>
  <c r="AT2136" i="5"/>
  <c r="AT2310" i="5"/>
  <c r="AK1736" i="5"/>
  <c r="AQ1792" i="5"/>
  <c r="AJ2032" i="5"/>
  <c r="AZ2104" i="5"/>
  <c r="AU1788" i="5"/>
  <c r="AV1788" i="5" s="1"/>
  <c r="AK1812" i="5"/>
  <c r="AS1836" i="5"/>
  <c r="AJ1992" i="5"/>
  <c r="AW2113" i="5"/>
  <c r="AX2113" i="5" s="1"/>
  <c r="AK2113" i="5"/>
  <c r="AY2169" i="5"/>
  <c r="AY2140" i="5"/>
  <c r="AL2169" i="5"/>
  <c r="AZ2211" i="5"/>
  <c r="AI2105" i="5"/>
  <c r="AJ2318" i="5"/>
  <c r="AT2230" i="5"/>
  <c r="AL2160" i="5"/>
  <c r="AL2262" i="5"/>
  <c r="AK2211" i="5"/>
  <c r="AR2057" i="5"/>
  <c r="AT2057" i="5" s="1"/>
  <c r="AT2080" i="5"/>
  <c r="AL2052" i="5"/>
  <c r="AI2069" i="5"/>
  <c r="AK2084" i="5"/>
  <c r="AK2267" i="5"/>
  <c r="AK2048" i="5"/>
  <c r="AT2116" i="5"/>
  <c r="AL2108" i="5"/>
  <c r="AS2132" i="5"/>
  <c r="AJ2144" i="5"/>
  <c r="AK2160" i="5"/>
  <c r="AK2164" i="5"/>
  <c r="AU2169" i="5"/>
  <c r="AV2169" i="5" s="1"/>
  <c r="AS2194" i="5"/>
  <c r="AK2238" i="5"/>
  <c r="AL2294" i="5"/>
  <c r="AZ2314" i="5"/>
  <c r="AU2323" i="5"/>
  <c r="AV2323" i="5" s="1"/>
  <c r="AZ2108" i="5"/>
  <c r="AL2222" i="5"/>
  <c r="AL1732" i="5"/>
  <c r="AL1828" i="5"/>
  <c r="AL1848" i="5"/>
  <c r="AI1865" i="5"/>
  <c r="AL2001" i="5"/>
  <c r="AY2012" i="5"/>
  <c r="AR2028" i="5"/>
  <c r="AT2028" i="5" s="1"/>
  <c r="AR2238" i="5"/>
  <c r="AT2238" i="5" s="1"/>
  <c r="AL1996" i="5"/>
  <c r="AI1756" i="5"/>
  <c r="AI1762" i="5"/>
  <c r="AK1808" i="5"/>
  <c r="AL1817" i="5"/>
  <c r="AW1844" i="5"/>
  <c r="AX1844" i="5" s="1"/>
  <c r="AJ1873" i="5"/>
  <c r="AI1874" i="5"/>
  <c r="AZ1996" i="5"/>
  <c r="AY1736" i="5"/>
  <c r="AZ1792" i="5"/>
  <c r="AS1896" i="5"/>
  <c r="AI2058" i="5"/>
  <c r="AT2172" i="5"/>
  <c r="AT1744" i="5"/>
  <c r="AJ1788" i="5"/>
  <c r="AI1813" i="5"/>
  <c r="AL1992" i="5"/>
  <c r="AJ2314" i="5"/>
  <c r="AS1459" i="5"/>
  <c r="AY2258" i="5"/>
  <c r="AW2211" i="5"/>
  <c r="AX2211" i="5" s="1"/>
  <c r="AU2140" i="5"/>
  <c r="AV2140" i="5" s="1"/>
  <c r="AL2278" i="5"/>
  <c r="AI2160" i="5"/>
  <c r="AQ2180" i="5"/>
  <c r="AW2057" i="5"/>
  <c r="AX2057" i="5" s="1"/>
  <c r="AI2053" i="5"/>
  <c r="AZ2084" i="5"/>
  <c r="AR2267" i="5"/>
  <c r="AS2267" i="5" s="1"/>
  <c r="AS2270" i="5"/>
  <c r="AS2137" i="5"/>
  <c r="AY2108" i="5"/>
  <c r="AI2170" i="5"/>
  <c r="AL2238" i="5"/>
  <c r="AZ2294" i="5"/>
  <c r="AK2314" i="5"/>
  <c r="AS2004" i="5"/>
  <c r="AJ2222" i="5"/>
  <c r="AK2012" i="5"/>
  <c r="AS2286" i="5"/>
  <c r="AZ1817" i="5"/>
  <c r="AQ1868" i="5"/>
  <c r="AL1873" i="5"/>
  <c r="AW2294" i="5"/>
  <c r="AX2294" i="5" s="1"/>
  <c r="AI1885" i="5"/>
  <c r="AJ2242" i="5"/>
  <c r="Q4988" i="5"/>
  <c r="V4988" i="5" s="1"/>
  <c r="AM1695" i="5"/>
  <c r="AM510" i="5"/>
  <c r="AM341" i="5"/>
  <c r="AM946" i="5"/>
  <c r="AM918" i="5"/>
  <c r="AM1348" i="5"/>
  <c r="AM1138" i="5"/>
  <c r="AM2125" i="5"/>
  <c r="AM2069" i="5"/>
  <c r="AM2027" i="5"/>
  <c r="AM2013" i="5"/>
  <c r="AI2095" i="5"/>
  <c r="AI1870" i="5"/>
  <c r="AI1298" i="5"/>
  <c r="AI1258" i="5"/>
  <c r="AT2354" i="5"/>
  <c r="AY2294" i="5"/>
  <c r="AM2153" i="5"/>
  <c r="AM2097" i="5"/>
  <c r="M2827" i="5"/>
  <c r="L2827" i="5" s="1"/>
  <c r="AI2099" i="5"/>
  <c r="AQ1895" i="5"/>
  <c r="AQ1850" i="5"/>
  <c r="AI1747" i="5"/>
  <c r="AQ1722" i="5"/>
  <c r="AQ1682" i="5"/>
  <c r="AQ1671" i="5"/>
  <c r="AI1635" i="5"/>
  <c r="AQ1615" i="5"/>
  <c r="AI1579" i="5"/>
  <c r="AQ1506" i="5"/>
  <c r="AQ1482" i="5"/>
  <c r="AQ1422" i="5"/>
  <c r="AQ1359" i="5"/>
  <c r="AQ1303" i="5"/>
  <c r="AQ1262" i="5"/>
  <c r="AQ1247" i="5"/>
  <c r="AQ1211" i="5"/>
  <c r="AQ1186" i="5"/>
  <c r="AQ1135" i="5"/>
  <c r="AQ1021" i="5"/>
  <c r="AQ1005" i="5"/>
  <c r="AI969" i="5"/>
  <c r="AQ949" i="5"/>
  <c r="AQ893" i="5"/>
  <c r="AQ852" i="5"/>
  <c r="AQ837" i="5"/>
  <c r="AQ832" i="5"/>
  <c r="AQ781" i="5"/>
  <c r="AQ666" i="5"/>
  <c r="AQ540" i="5"/>
  <c r="AQ1238" i="5"/>
  <c r="AQ1501" i="5"/>
  <c r="AQ1579" i="5"/>
  <c r="AQ1635" i="5"/>
  <c r="AJ1294" i="5"/>
  <c r="AS1178" i="5"/>
  <c r="AY1294" i="5"/>
  <c r="AS1306" i="5"/>
  <c r="AK1318" i="5"/>
  <c r="AZ1830" i="5"/>
  <c r="AS1382" i="5"/>
  <c r="AZ1413" i="5"/>
  <c r="AZ1437" i="5"/>
  <c r="AY1501" i="5"/>
  <c r="AZ1682" i="5"/>
  <c r="AR1718" i="5"/>
  <c r="AT1718" i="5" s="1"/>
  <c r="AI1831" i="5"/>
  <c r="AK1854" i="5"/>
  <c r="AI2354" i="5"/>
  <c r="AY1370" i="5"/>
  <c r="AT1174" i="5"/>
  <c r="X16" i="14"/>
  <c r="X20" i="14" s="1"/>
  <c r="X22" i="14" s="1"/>
  <c r="AK1886" i="5"/>
  <c r="AY1886" i="5"/>
  <c r="AL1834" i="5"/>
  <c r="AJ1834" i="5"/>
  <c r="AZ1834" i="5"/>
  <c r="AZ1686" i="5"/>
  <c r="AI1686" i="5"/>
  <c r="AJ1686" i="5"/>
  <c r="AS1678" i="5"/>
  <c r="AT1678" i="5"/>
  <c r="AW1606" i="5"/>
  <c r="AX1606" i="5" s="1"/>
  <c r="AU1606" i="5"/>
  <c r="AV1606" i="5" s="1"/>
  <c r="AJ1606" i="5"/>
  <c r="AL1606" i="5"/>
  <c r="AY1590" i="5"/>
  <c r="AL1590" i="5"/>
  <c r="AJ1590" i="5"/>
  <c r="AY1569" i="5"/>
  <c r="AL1569" i="5"/>
  <c r="AI1374" i="5"/>
  <c r="AZ1374" i="5"/>
  <c r="AK1374" i="5"/>
  <c r="AY1334" i="5"/>
  <c r="AI1334" i="5"/>
  <c r="AK1334" i="5"/>
  <c r="AK1314" i="5"/>
  <c r="AL1314" i="5"/>
  <c r="AJ1278" i="5"/>
  <c r="AI1278" i="5"/>
  <c r="AY1278" i="5"/>
  <c r="AK1278" i="5"/>
  <c r="AZ1278" i="5"/>
  <c r="AL1262" i="5"/>
  <c r="AK1262" i="5"/>
  <c r="AI1262" i="5"/>
  <c r="AZ1262" i="5"/>
  <c r="AY1182" i="5"/>
  <c r="AL1182" i="5"/>
  <c r="AR1182" i="5"/>
  <c r="AT1182" i="5" s="1"/>
  <c r="AJ1182" i="5"/>
  <c r="AZ1182" i="5"/>
  <c r="AU1182" i="5"/>
  <c r="AV1182" i="5" s="1"/>
  <c r="AT1158" i="5"/>
  <c r="AS1158" i="5"/>
  <c r="AL1155" i="5"/>
  <c r="AU1155" i="5"/>
  <c r="AV1155" i="5" s="1"/>
  <c r="AY1155" i="5"/>
  <c r="AI1155" i="5"/>
  <c r="AJ1155" i="5"/>
  <c r="AZ1155" i="5"/>
  <c r="AI1156" i="5"/>
  <c r="AI1150" i="5"/>
  <c r="AJ1150" i="5"/>
  <c r="AK1150" i="5"/>
  <c r="AL1150" i="5"/>
  <c r="AK1146" i="5"/>
  <c r="AY1146" i="5"/>
  <c r="AZ1146" i="5"/>
  <c r="AQ1146" i="5"/>
  <c r="AS1142" i="5"/>
  <c r="AT1142" i="5"/>
  <c r="AK1130" i="5"/>
  <c r="AI1130" i="5"/>
  <c r="AS1127" i="5"/>
  <c r="AT1127" i="5"/>
  <c r="AS1052" i="5"/>
  <c r="AT1052" i="5"/>
  <c r="AJ1036" i="5"/>
  <c r="AI1036" i="5"/>
  <c r="AZ1025" i="5"/>
  <c r="AJ1025" i="5"/>
  <c r="AY1025" i="5"/>
  <c r="AI996" i="5"/>
  <c r="AI997" i="5"/>
  <c r="AW996" i="5"/>
  <c r="AX996" i="5" s="1"/>
  <c r="AY996" i="5"/>
  <c r="AU996" i="5"/>
  <c r="AV996" i="5" s="1"/>
  <c r="AT992" i="5"/>
  <c r="AS992" i="5"/>
  <c r="AS988" i="5"/>
  <c r="AT988" i="5"/>
  <c r="AY980" i="5"/>
  <c r="AZ980" i="5"/>
  <c r="AI980" i="5"/>
  <c r="AZ964" i="5"/>
  <c r="AY964" i="5"/>
  <c r="AI964" i="5"/>
  <c r="AJ944" i="5"/>
  <c r="AK944" i="5"/>
  <c r="AY944" i="5"/>
  <c r="AL944" i="5"/>
  <c r="AY926" i="5"/>
  <c r="AI927" i="5"/>
  <c r="AJ926" i="5"/>
  <c r="AL924" i="5"/>
  <c r="AJ924" i="5"/>
  <c r="AY924" i="5"/>
  <c r="AS916" i="5"/>
  <c r="AT916" i="5"/>
  <c r="AZ913" i="5"/>
  <c r="AK913" i="5"/>
  <c r="AU913" i="5"/>
  <c r="AV913" i="5" s="1"/>
  <c r="AL913" i="5"/>
  <c r="AQ913" i="5"/>
  <c r="AJ908" i="5"/>
  <c r="AL908" i="5"/>
  <c r="AZ904" i="5"/>
  <c r="AI904" i="5"/>
  <c r="AQ904" i="5"/>
  <c r="AL888" i="5"/>
  <c r="AQ888" i="5"/>
  <c r="AI888" i="5"/>
  <c r="AT880" i="5"/>
  <c r="AS880" i="5"/>
  <c r="AQ868" i="5"/>
  <c r="AZ868" i="5"/>
  <c r="AJ868" i="5"/>
  <c r="AK868" i="5"/>
  <c r="AL868" i="5"/>
  <c r="AY868" i="5"/>
  <c r="AQ857" i="5"/>
  <c r="AZ857" i="5"/>
  <c r="AZ848" i="5"/>
  <c r="AI848" i="5"/>
  <c r="AL812" i="5"/>
  <c r="AQ812" i="5"/>
  <c r="AZ801" i="5"/>
  <c r="AL801" i="5"/>
  <c r="AI802" i="5"/>
  <c r="AW801" i="5"/>
  <c r="AX801" i="5" s="1"/>
  <c r="AR801" i="5"/>
  <c r="AT801" i="5" s="1"/>
  <c r="AJ801" i="5"/>
  <c r="AI801" i="5"/>
  <c r="AY801" i="5"/>
  <c r="AU801" i="5"/>
  <c r="AV801" i="5" s="1"/>
  <c r="AK801" i="5"/>
  <c r="AZ796" i="5"/>
  <c r="AQ796" i="5"/>
  <c r="AY796" i="5"/>
  <c r="AQ792" i="5"/>
  <c r="AI792" i="5"/>
  <c r="AI776" i="5"/>
  <c r="AJ776" i="5"/>
  <c r="AY776" i="5"/>
  <c r="AQ776" i="5"/>
  <c r="AK776" i="5"/>
  <c r="AL772" i="5"/>
  <c r="AW772" i="5"/>
  <c r="AX772" i="5" s="1"/>
  <c r="AR772" i="5"/>
  <c r="AS772" i="5" s="1"/>
  <c r="AK772" i="5"/>
  <c r="AQ772" i="5"/>
  <c r="AY772" i="5"/>
  <c r="AJ772" i="5"/>
  <c r="AS764" i="5"/>
  <c r="AT764" i="5"/>
  <c r="AY756" i="5"/>
  <c r="AI756" i="5"/>
  <c r="AQ756" i="5"/>
  <c r="AJ745" i="5"/>
  <c r="AI746" i="5"/>
  <c r="AI740" i="5"/>
  <c r="AL740" i="5"/>
  <c r="AY740" i="5"/>
  <c r="AK740" i="5"/>
  <c r="AZ736" i="5"/>
  <c r="AK736" i="5"/>
  <c r="AI736" i="5"/>
  <c r="AL736" i="5"/>
  <c r="AY736" i="5"/>
  <c r="AT732" i="5"/>
  <c r="AS732" i="5"/>
  <c r="AS728" i="5"/>
  <c r="AT728" i="5"/>
  <c r="AJ720" i="5"/>
  <c r="AQ720" i="5"/>
  <c r="AL720" i="5"/>
  <c r="AK720" i="5"/>
  <c r="AU716" i="5"/>
  <c r="AV716" i="5" s="1"/>
  <c r="AI716" i="5"/>
  <c r="AR716" i="5"/>
  <c r="AS716" i="5" s="1"/>
  <c r="AS712" i="5"/>
  <c r="AT712" i="5"/>
  <c r="AZ678" i="5"/>
  <c r="AW678" i="5"/>
  <c r="AX678" i="5" s="1"/>
  <c r="AK678" i="5"/>
  <c r="AJ678" i="5"/>
  <c r="AU678" i="5"/>
  <c r="AV678" i="5" s="1"/>
  <c r="AY678" i="5"/>
  <c r="AL678" i="5"/>
  <c r="AI679" i="5"/>
  <c r="AJ669" i="5"/>
  <c r="AZ669" i="5"/>
  <c r="AL669" i="5"/>
  <c r="AI669" i="5"/>
  <c r="AJ665" i="5"/>
  <c r="AK665" i="5"/>
  <c r="AY665" i="5"/>
  <c r="AI665" i="5"/>
  <c r="AZ665" i="5"/>
  <c r="AS657" i="5"/>
  <c r="AT657" i="5"/>
  <c r="AL641" i="5"/>
  <c r="AZ641" i="5"/>
  <c r="AI641" i="5"/>
  <c r="AJ641" i="5"/>
  <c r="AQ621" i="5"/>
  <c r="AI621" i="5"/>
  <c r="AS613" i="5"/>
  <c r="AT613" i="5"/>
  <c r="AY610" i="5"/>
  <c r="AI610" i="5"/>
  <c r="AI605" i="5"/>
  <c r="AQ605" i="5"/>
  <c r="AJ605" i="5"/>
  <c r="AQ601" i="5"/>
  <c r="AK601" i="5"/>
  <c r="AL581" i="5"/>
  <c r="AU581" i="5"/>
  <c r="AV581" i="5" s="1"/>
  <c r="AQ581" i="5"/>
  <c r="AS578" i="5"/>
  <c r="AT578" i="5"/>
  <c r="AT573" i="5"/>
  <c r="AS573" i="5"/>
  <c r="AI555" i="5"/>
  <c r="AR554" i="5"/>
  <c r="AT554" i="5" s="1"/>
  <c r="AK554" i="5"/>
  <c r="AQ554" i="5"/>
  <c r="AJ554" i="5"/>
  <c r="AL554" i="5"/>
  <c r="AY554" i="5"/>
  <c r="AL549" i="5"/>
  <c r="AI549" i="5"/>
  <c r="AK549" i="5"/>
  <c r="AZ549" i="5"/>
  <c r="AY549" i="5"/>
  <c r="AZ545" i="5"/>
  <c r="AY545" i="5"/>
  <c r="AQ545" i="5"/>
  <c r="AL545" i="5"/>
  <c r="AI545" i="5"/>
  <c r="AS541" i="5"/>
  <c r="AT541" i="5"/>
  <c r="AY509" i="5"/>
  <c r="AZ509" i="5"/>
  <c r="T15" i="10"/>
  <c r="T17" i="10"/>
  <c r="AS1734" i="5"/>
  <c r="AT1734" i="5"/>
  <c r="AI1692" i="5"/>
  <c r="AI1691" i="5"/>
  <c r="AY1691" i="5"/>
  <c r="AY1626" i="5"/>
  <c r="AK1626" i="5"/>
  <c r="AL1626" i="5"/>
  <c r="AK1610" i="5"/>
  <c r="AL1610" i="5"/>
  <c r="AJ1433" i="5"/>
  <c r="AK1433" i="5"/>
  <c r="AK1417" i="5"/>
  <c r="AY1417" i="5"/>
  <c r="AR1350" i="5"/>
  <c r="AL1350" i="5"/>
  <c r="AJ1350" i="5"/>
  <c r="AY1350" i="5"/>
  <c r="AT1270" i="5"/>
  <c r="AS1270" i="5"/>
  <c r="AS1254" i="5"/>
  <c r="AT1254" i="5"/>
  <c r="AJ1242" i="5"/>
  <c r="AL1242" i="5"/>
  <c r="AI1242" i="5"/>
  <c r="AK1222" i="5"/>
  <c r="AQ1222" i="5"/>
  <c r="AY1222" i="5"/>
  <c r="AJ1222" i="5"/>
  <c r="AZ1222" i="5"/>
  <c r="AI1222" i="5"/>
  <c r="AS1198" i="5"/>
  <c r="AT1198" i="5"/>
  <c r="AI2330" i="5"/>
  <c r="F4589" i="5"/>
  <c r="AZ1610" i="5"/>
  <c r="AR2329" i="5"/>
  <c r="AS2329" i="5" s="1"/>
  <c r="AK1350" i="5"/>
  <c r="AZ1798" i="5"/>
  <c r="AI1814" i="5"/>
  <c r="AQ1803" i="5"/>
  <c r="AQ1814" i="5"/>
  <c r="AI1666" i="5"/>
  <c r="AY2188" i="5"/>
  <c r="M1435" i="5"/>
  <c r="F1435" i="5" s="1"/>
  <c r="AM1436" i="5" s="1"/>
  <c r="AQ980" i="5"/>
  <c r="AQ1020" i="5"/>
  <c r="AQ1242" i="5"/>
  <c r="AQ1350" i="5"/>
  <c r="AJ852" i="5"/>
  <c r="AI796" i="5"/>
  <c r="AY792" i="5"/>
  <c r="AY848" i="5"/>
  <c r="AI858" i="5"/>
  <c r="AI914" i="5"/>
  <c r="AY857" i="5"/>
  <c r="AT1076" i="5"/>
  <c r="AI970" i="5"/>
  <c r="AZ1211" i="5"/>
  <c r="AW926" i="5"/>
  <c r="AX926" i="5" s="1"/>
  <c r="AY969" i="5"/>
  <c r="AL996" i="5"/>
  <c r="AI1016" i="5"/>
  <c r="AU1025" i="5"/>
  <c r="AV1025" i="5" s="1"/>
  <c r="AK1036" i="5"/>
  <c r="AU1045" i="5"/>
  <c r="AV1045" i="5" s="1"/>
  <c r="AY1056" i="5"/>
  <c r="AK1069" i="5"/>
  <c r="AZ1079" i="5"/>
  <c r="AY1130" i="5"/>
  <c r="AL1166" i="5"/>
  <c r="AS1234" i="5"/>
  <c r="AJ1314" i="5"/>
  <c r="AJ1262" i="5"/>
  <c r="AJ1579" i="5"/>
  <c r="AZ1334" i="5"/>
  <c r="AU1442" i="5"/>
  <c r="AV1442" i="5" s="1"/>
  <c r="AY1477" i="5"/>
  <c r="AY1686" i="5"/>
  <c r="M435" i="5"/>
  <c r="F435" i="5" s="1"/>
  <c r="AW2014" i="5"/>
  <c r="AX2014" i="5" s="1"/>
  <c r="M400" i="5"/>
  <c r="F400" i="5" s="1"/>
  <c r="AK745" i="5"/>
  <c r="AS936" i="5"/>
  <c r="AI1351" i="5"/>
  <c r="AL1417" i="5"/>
  <c r="AT1582" i="5"/>
  <c r="AS840" i="5"/>
  <c r="AT860" i="5"/>
  <c r="K22" i="11"/>
  <c r="D22" i="11"/>
  <c r="G22" i="11"/>
  <c r="L22" i="11"/>
  <c r="I22" i="11"/>
  <c r="E22" i="11"/>
  <c r="M22" i="11"/>
  <c r="F22" i="11"/>
  <c r="N22" i="11"/>
  <c r="AU1859" i="5"/>
  <c r="AV1859" i="5" s="1"/>
  <c r="AJ1859" i="5"/>
  <c r="AW1859" i="5"/>
  <c r="AX1859" i="5" s="1"/>
  <c r="AL1774" i="5"/>
  <c r="AW1774" i="5"/>
  <c r="AX1774" i="5" s="1"/>
  <c r="AK1702" i="5"/>
  <c r="AY1702" i="5"/>
  <c r="AJ1702" i="5"/>
  <c r="AW1635" i="5"/>
  <c r="AX1635" i="5" s="1"/>
  <c r="AK1635" i="5"/>
  <c r="AZ1635" i="5"/>
  <c r="AJ1635" i="5"/>
  <c r="AU1635" i="5"/>
  <c r="AV1635" i="5" s="1"/>
  <c r="AT1429" i="5"/>
  <c r="AS1429" i="5"/>
  <c r="AS1362" i="5"/>
  <c r="AT1362" i="5"/>
  <c r="AL1354" i="5"/>
  <c r="AJ1354" i="5"/>
  <c r="AI1323" i="5"/>
  <c r="AY1323" i="5"/>
  <c r="AI1295" i="5"/>
  <c r="AK1294" i="5"/>
  <c r="AK1202" i="5"/>
  <c r="AJ1202" i="5"/>
  <c r="AL1202" i="5"/>
  <c r="AY1202" i="5"/>
  <c r="AZ1202" i="5"/>
  <c r="AT1194" i="5"/>
  <c r="AS1194" i="5"/>
  <c r="AM1417" i="5"/>
  <c r="AU1803" i="5"/>
  <c r="AV1803" i="5" s="1"/>
  <c r="AS1786" i="5"/>
  <c r="AS1790" i="5"/>
  <c r="AK2188" i="5"/>
  <c r="M1365" i="5"/>
  <c r="F1365" i="5" s="1"/>
  <c r="AM1397" i="5"/>
  <c r="AQ944" i="5"/>
  <c r="AQ1056" i="5"/>
  <c r="AQ1166" i="5"/>
  <c r="AQ1202" i="5"/>
  <c r="AQ1278" i="5"/>
  <c r="AQ1318" i="5"/>
  <c r="AQ1646" i="5"/>
  <c r="AZ908" i="5"/>
  <c r="AK852" i="5"/>
  <c r="AR857" i="5"/>
  <c r="AT857" i="5" s="1"/>
  <c r="AR913" i="5"/>
  <c r="AT913" i="5" s="1"/>
  <c r="AU857" i="5"/>
  <c r="AV857" i="5" s="1"/>
  <c r="AY1060" i="5"/>
  <c r="AT1286" i="5"/>
  <c r="AI1202" i="5"/>
  <c r="AR926" i="5"/>
  <c r="AT926" i="5" s="1"/>
  <c r="AR969" i="5"/>
  <c r="AT969" i="5" s="1"/>
  <c r="AR996" i="5"/>
  <c r="AS996" i="5" s="1"/>
  <c r="AJ1016" i="5"/>
  <c r="AI1025" i="5"/>
  <c r="AW1045" i="5"/>
  <c r="AX1045" i="5" s="1"/>
  <c r="AT1048" i="5"/>
  <c r="AW1056" i="5"/>
  <c r="AX1056" i="5" s="1"/>
  <c r="AZ1069" i="5"/>
  <c r="AK1079" i="5"/>
  <c r="AJ1130" i="5"/>
  <c r="AK1182" i="5"/>
  <c r="AZ1242" i="5"/>
  <c r="AW1294" i="5"/>
  <c r="AX1294" i="5" s="1"/>
  <c r="AI1314" i="5"/>
  <c r="AY1262" i="5"/>
  <c r="AZ1323" i="5"/>
  <c r="AI1350" i="5"/>
  <c r="AJ1397" i="5"/>
  <c r="AS1425" i="5"/>
  <c r="AK1442" i="5"/>
  <c r="AS1554" i="5"/>
  <c r="AY1635" i="5"/>
  <c r="AU1691" i="5"/>
  <c r="AV1691" i="5" s="1"/>
  <c r="AL2014" i="5"/>
  <c r="M554" i="5"/>
  <c r="F554" i="5" s="1"/>
  <c r="AQ801" i="5"/>
  <c r="AQ848" i="5"/>
  <c r="AQ1124" i="5"/>
  <c r="AL1020" i="5"/>
  <c r="AL848" i="5"/>
  <c r="AL1222" i="5"/>
  <c r="AT876" i="5"/>
  <c r="AT932" i="5"/>
  <c r="AI1211" i="5"/>
  <c r="AS2010" i="5"/>
  <c r="AT2010" i="5"/>
  <c r="AT1846" i="5"/>
  <c r="AS1846" i="5"/>
  <c r="AJ1742" i="5"/>
  <c r="AZ1742" i="5"/>
  <c r="AI1630" i="5"/>
  <c r="AK1630" i="5"/>
  <c r="AJ1630" i="5"/>
  <c r="AL1630" i="5"/>
  <c r="AZ1579" i="5"/>
  <c r="AW1579" i="5"/>
  <c r="AX1579" i="5" s="1"/>
  <c r="AU1579" i="5"/>
  <c r="AV1579" i="5" s="1"/>
  <c r="AI1580" i="5"/>
  <c r="AL1579" i="5"/>
  <c r="AY1497" i="5"/>
  <c r="AJ1497" i="5"/>
  <c r="AK1477" i="5"/>
  <c r="AI1477" i="5"/>
  <c r="AT1461" i="5"/>
  <c r="AS1461" i="5"/>
  <c r="AU1413" i="5"/>
  <c r="AV1413" i="5" s="1"/>
  <c r="AL1413" i="5"/>
  <c r="AW1413" i="5"/>
  <c r="AX1413" i="5" s="1"/>
  <c r="AI1414" i="5"/>
  <c r="AJ1413" i="5"/>
  <c r="AZ1370" i="5"/>
  <c r="AI1370" i="5"/>
  <c r="AK1370" i="5"/>
  <c r="AS1346" i="5"/>
  <c r="AT1346" i="5"/>
  <c r="AL1258" i="5"/>
  <c r="AY1258" i="5"/>
  <c r="AK1258" i="5"/>
  <c r="AW1238" i="5"/>
  <c r="AX1238" i="5" s="1"/>
  <c r="AY1238" i="5"/>
  <c r="AZ1238" i="5"/>
  <c r="AI1238" i="5"/>
  <c r="AK1238" i="5"/>
  <c r="AU1238" i="5"/>
  <c r="AV1238" i="5" s="1"/>
  <c r="AJ1238" i="5"/>
  <c r="AY2280" i="5"/>
  <c r="AZ1497" i="5"/>
  <c r="AJ1124" i="5"/>
  <c r="AW2329" i="5"/>
  <c r="AX2329" i="5" s="1"/>
  <c r="AL1397" i="5"/>
  <c r="AK1497" i="5"/>
  <c r="AI1442" i="5"/>
  <c r="AI1663" i="5"/>
  <c r="AI1798" i="5"/>
  <c r="AR1803" i="5"/>
  <c r="AT1803" i="5" s="1"/>
  <c r="AT1806" i="5"/>
  <c r="AQ1025" i="5"/>
  <c r="AQ1130" i="5"/>
  <c r="AQ1206" i="5"/>
  <c r="AQ1323" i="5"/>
  <c r="AQ1354" i="5"/>
  <c r="AQ1397" i="5"/>
  <c r="AQ1590" i="5"/>
  <c r="AQ1686" i="5"/>
  <c r="AJ848" i="5"/>
  <c r="AJ792" i="5"/>
  <c r="AL852" i="5"/>
  <c r="AK888" i="5"/>
  <c r="AK1025" i="5"/>
  <c r="AI1146" i="5"/>
  <c r="AZ924" i="5"/>
  <c r="AL926" i="5"/>
  <c r="AZ969" i="5"/>
  <c r="AK996" i="5"/>
  <c r="AI1021" i="5"/>
  <c r="AR1025" i="5"/>
  <c r="AS1025" i="5" s="1"/>
  <c r="AY1045" i="5"/>
  <c r="AJ1056" i="5"/>
  <c r="AI1070" i="5"/>
  <c r="AJ1079" i="5"/>
  <c r="AJ1146" i="5"/>
  <c r="AW1182" i="5"/>
  <c r="AX1182" i="5" s="1"/>
  <c r="AY1242" i="5"/>
  <c r="AJ1298" i="5"/>
  <c r="AZ1314" i="5"/>
  <c r="AI1324" i="5"/>
  <c r="AW1350" i="5"/>
  <c r="AX1350" i="5" s="1"/>
  <c r="AL1374" i="5"/>
  <c r="AY1397" i="5"/>
  <c r="AS1489" i="5"/>
  <c r="AY1579" i="5"/>
  <c r="AI1636" i="5"/>
  <c r="AR1691" i="5"/>
  <c r="AS1691" i="5" s="1"/>
  <c r="AI1742" i="5"/>
  <c r="AI1886" i="5"/>
  <c r="AQ908" i="5"/>
  <c r="AQ1155" i="5"/>
  <c r="AS1485" i="5"/>
  <c r="AU772" i="5"/>
  <c r="AV772" i="5" s="1"/>
  <c r="AJ1258" i="5"/>
  <c r="AZ1350" i="5"/>
  <c r="AT1508" i="5"/>
  <c r="AT1072" i="5"/>
  <c r="AZ772" i="5"/>
  <c r="AK980" i="5"/>
  <c r="AT820" i="5"/>
  <c r="AK964" i="5"/>
  <c r="Q17" i="10"/>
  <c r="Q15" i="10"/>
  <c r="M1267" i="5"/>
  <c r="F1267" i="5" s="1"/>
  <c r="AM1268" i="5" s="1"/>
  <c r="M1246" i="5"/>
  <c r="F1246" i="5" s="1"/>
  <c r="M1421" i="5"/>
  <c r="F1421" i="5" s="1"/>
  <c r="AL2340" i="5"/>
  <c r="AY2340" i="5"/>
  <c r="AZ1738" i="5"/>
  <c r="AK1738" i="5"/>
  <c r="AS1730" i="5"/>
  <c r="AT1730" i="5"/>
  <c r="AY1718" i="5"/>
  <c r="AW1718" i="5"/>
  <c r="AX1718" i="5" s="1"/>
  <c r="AK1682" i="5"/>
  <c r="AJ1682" i="5"/>
  <c r="AS1622" i="5"/>
  <c r="AT1622" i="5"/>
  <c r="AY1558" i="5"/>
  <c r="AJ1558" i="5"/>
  <c r="AM1558" i="5"/>
  <c r="AI1501" i="5"/>
  <c r="AL1501" i="5"/>
  <c r="AK1501" i="5"/>
  <c r="AY1473" i="5"/>
  <c r="AL1473" i="5"/>
  <c r="AJ1473" i="5"/>
  <c r="AK1473" i="5"/>
  <c r="AJ1453" i="5"/>
  <c r="AK1453" i="5"/>
  <c r="AW1379" i="5"/>
  <c r="AX1379" i="5" s="1"/>
  <c r="AR1379" i="5"/>
  <c r="AS1379" i="5" s="1"/>
  <c r="AI1379" i="5"/>
  <c r="AU1379" i="5"/>
  <c r="AV1379" i="5" s="1"/>
  <c r="AJ1379" i="5"/>
  <c r="AI1380" i="5"/>
  <c r="AZ1379" i="5"/>
  <c r="AL1298" i="5"/>
  <c r="AK1298" i="5"/>
  <c r="AZ1186" i="5"/>
  <c r="AJ1186" i="5"/>
  <c r="AL1186" i="5"/>
  <c r="AK1186" i="5"/>
  <c r="AY1186" i="5"/>
  <c r="AI1186" i="5"/>
  <c r="AZ1166" i="5"/>
  <c r="AI1166" i="5"/>
  <c r="AY1166" i="5"/>
  <c r="AT1445" i="5"/>
  <c r="AJ2329" i="5"/>
  <c r="AL1798" i="5"/>
  <c r="AJ1814" i="5"/>
  <c r="AI1397" i="5"/>
  <c r="AL1124" i="5"/>
  <c r="AI1437" i="5"/>
  <c r="AJ2280" i="5"/>
  <c r="AZ2329" i="5"/>
  <c r="AK1397" i="5"/>
  <c r="AL1666" i="5"/>
  <c r="AZ1662" i="5"/>
  <c r="AQ1798" i="5"/>
  <c r="AY1803" i="5"/>
  <c r="AQ1794" i="5"/>
  <c r="AQ996" i="5"/>
  <c r="AQ1060" i="5"/>
  <c r="AQ1294" i="5"/>
  <c r="AQ1433" i="5"/>
  <c r="AQ1626" i="5"/>
  <c r="AQ1747" i="5"/>
  <c r="AL796" i="5"/>
  <c r="AI852" i="5"/>
  <c r="AZ888" i="5"/>
  <c r="AT896" i="5"/>
  <c r="AT1028" i="5"/>
  <c r="AI1294" i="5"/>
  <c r="AI924" i="5"/>
  <c r="AS956" i="5"/>
  <c r="AL969" i="5"/>
  <c r="AT1008" i="5"/>
  <c r="AK1020" i="5"/>
  <c r="AW1025" i="5"/>
  <c r="AX1025" i="5" s="1"/>
  <c r="AI1045" i="5"/>
  <c r="AI1057" i="5"/>
  <c r="AL1060" i="5"/>
  <c r="AU1069" i="5"/>
  <c r="AV1069" i="5" s="1"/>
  <c r="AL1146" i="5"/>
  <c r="AS1250" i="5"/>
  <c r="AY1298" i="5"/>
  <c r="AJ1318" i="5"/>
  <c r="AS1290" i="5"/>
  <c r="AU1323" i="5"/>
  <c r="AV1323" i="5" s="1"/>
  <c r="AK1354" i="5"/>
  <c r="AJ1374" i="5"/>
  <c r="AS1405" i="5"/>
  <c r="AI1433" i="5"/>
  <c r="AY1453" i="5"/>
  <c r="AZ1558" i="5"/>
  <c r="AK1579" i="5"/>
  <c r="AT1638" i="5"/>
  <c r="AW1691" i="5"/>
  <c r="AX1691" i="5" s="1"/>
  <c r="AI1775" i="5"/>
  <c r="M1337" i="5"/>
  <c r="F1337" i="5" s="1"/>
  <c r="AU1886" i="5"/>
  <c r="AV1886" i="5" s="1"/>
  <c r="AT2062" i="5"/>
  <c r="AJ1370" i="5"/>
  <c r="AZ776" i="5"/>
  <c r="AZ1258" i="5"/>
  <c r="AL1278" i="5"/>
  <c r="AL1267" i="5"/>
  <c r="AY720" i="5"/>
  <c r="AT952" i="5"/>
  <c r="AI1183" i="5"/>
  <c r="AK1758" i="5"/>
  <c r="AZ1758" i="5"/>
  <c r="AZ1724" i="5"/>
  <c r="AY1724" i="5"/>
  <c r="AS1654" i="5"/>
  <c r="AT1654" i="5"/>
  <c r="AL1442" i="5"/>
  <c r="AY1442" i="5"/>
  <c r="AR1442" i="5"/>
  <c r="AS1442" i="5" s="1"/>
  <c r="AS1409" i="5"/>
  <c r="AT1409" i="5"/>
  <c r="AK1267" i="5"/>
  <c r="AW1267" i="5"/>
  <c r="AX1267" i="5" s="1"/>
  <c r="AY1267" i="5"/>
  <c r="AU1267" i="5"/>
  <c r="AV1267" i="5" s="1"/>
  <c r="AI1267" i="5"/>
  <c r="AZ1267" i="5"/>
  <c r="AR1267" i="5"/>
  <c r="AS1267" i="5" s="1"/>
  <c r="AW1211" i="5"/>
  <c r="AX1211" i="5" s="1"/>
  <c r="AK1211" i="5"/>
  <c r="AU1211" i="5"/>
  <c r="AV1211" i="5" s="1"/>
  <c r="AI1212" i="5"/>
  <c r="AL1211" i="5"/>
  <c r="AY1211" i="5"/>
  <c r="AI2182" i="5"/>
  <c r="AI1443" i="5"/>
  <c r="AL1433" i="5"/>
  <c r="AR1662" i="5"/>
  <c r="AS1662" i="5" s="1"/>
  <c r="AY1666" i="5"/>
  <c r="AJ1666" i="5"/>
  <c r="AK1803" i="5"/>
  <c r="AL1794" i="5"/>
  <c r="AQ1182" i="5"/>
  <c r="AQ1258" i="5"/>
  <c r="AQ1497" i="5"/>
  <c r="AQ1702" i="5"/>
  <c r="AK796" i="5"/>
  <c r="AY852" i="5"/>
  <c r="AK904" i="5"/>
  <c r="AT788" i="5"/>
  <c r="AI1182" i="5"/>
  <c r="AJ1045" i="5"/>
  <c r="AK924" i="5"/>
  <c r="AL980" i="5"/>
  <c r="AZ1020" i="5"/>
  <c r="AL1025" i="5"/>
  <c r="AZ1045" i="5"/>
  <c r="AR1056" i="5"/>
  <c r="AS1056" i="5" s="1"/>
  <c r="AZ1060" i="5"/>
  <c r="AI1069" i="5"/>
  <c r="AK1124" i="5"/>
  <c r="AZ1150" i="5"/>
  <c r="AR1211" i="5"/>
  <c r="AT1211" i="5" s="1"/>
  <c r="AU1294" i="5"/>
  <c r="AV1294" i="5" s="1"/>
  <c r="AZ1298" i="5"/>
  <c r="AL1318" i="5"/>
  <c r="AT1561" i="5"/>
  <c r="AL1323" i="5"/>
  <c r="AI1354" i="5"/>
  <c r="AK1379" i="5"/>
  <c r="AI1413" i="5"/>
  <c r="AZ1433" i="5"/>
  <c r="AZ1453" i="5"/>
  <c r="AL1497" i="5"/>
  <c r="AI1558" i="5"/>
  <c r="AK1590" i="5"/>
  <c r="AZ1646" i="5"/>
  <c r="AI1702" i="5"/>
  <c r="AZ1774" i="5"/>
  <c r="M1288" i="5"/>
  <c r="F1288" i="5" s="1"/>
  <c r="AM1289" i="5" s="1"/>
  <c r="AW1886" i="5"/>
  <c r="AX1886" i="5" s="1"/>
  <c r="AJ2110" i="5"/>
  <c r="AL1558" i="5"/>
  <c r="AL665" i="5"/>
  <c r="AL857" i="5"/>
  <c r="AZ1569" i="5"/>
  <c r="AZ944" i="5"/>
  <c r="AL1334" i="5"/>
  <c r="AJ1724" i="5"/>
  <c r="AY1374" i="5"/>
  <c r="AI1124" i="5"/>
  <c r="M442" i="5"/>
  <c r="F442" i="5" s="1"/>
  <c r="M330" i="5"/>
  <c r="F330" i="5" s="1"/>
  <c r="M624" i="5"/>
  <c r="F624" i="5" s="1"/>
  <c r="M589" i="5"/>
  <c r="F589" i="5" s="1"/>
  <c r="AI2038" i="5"/>
  <c r="AY2038" i="5"/>
  <c r="AY1986" i="5"/>
  <c r="AZ1986" i="5"/>
  <c r="AI1920" i="5"/>
  <c r="AJ1920" i="5"/>
  <c r="AK1722" i="5"/>
  <c r="AJ1722" i="5"/>
  <c r="AZ1722" i="5"/>
  <c r="AL1722" i="5"/>
  <c r="AI1574" i="5"/>
  <c r="AL1574" i="5"/>
  <c r="AZ1574" i="5"/>
  <c r="AS1389" i="5"/>
  <c r="AT1389" i="5"/>
  <c r="AT1342" i="5"/>
  <c r="AS1342" i="5"/>
  <c r="AS1230" i="5"/>
  <c r="AT1230" i="5"/>
  <c r="AI1206" i="5"/>
  <c r="AJ1206" i="5"/>
  <c r="AY1206" i="5"/>
  <c r="AZ1206" i="5"/>
  <c r="AL1206" i="5"/>
  <c r="AQ1569" i="5"/>
  <c r="AQ1437" i="5"/>
  <c r="AW1442" i="5"/>
  <c r="AX1442" i="5" s="1"/>
  <c r="AL1662" i="5"/>
  <c r="AL1814" i="5"/>
  <c r="AJ1803" i="5"/>
  <c r="AK1794" i="5"/>
  <c r="AK1662" i="5"/>
  <c r="AQ964" i="5"/>
  <c r="AQ1036" i="5"/>
  <c r="AQ1069" i="5"/>
  <c r="AQ1298" i="5"/>
  <c r="AQ1334" i="5"/>
  <c r="AQ1370" i="5"/>
  <c r="AQ1413" i="5"/>
  <c r="AQ1442" i="5"/>
  <c r="AQ1574" i="5"/>
  <c r="AQ1606" i="5"/>
  <c r="AQ1630" i="5"/>
  <c r="AJ913" i="5"/>
  <c r="AZ852" i="5"/>
  <c r="AY904" i="5"/>
  <c r="AJ888" i="5"/>
  <c r="AK1056" i="5"/>
  <c r="AJ1060" i="5"/>
  <c r="AK926" i="5"/>
  <c r="AL964" i="5"/>
  <c r="AJ980" i="5"/>
  <c r="AI1020" i="5"/>
  <c r="AZ1036" i="5"/>
  <c r="AR1045" i="5"/>
  <c r="AS1045" i="5" s="1"/>
  <c r="AK1060" i="5"/>
  <c r="AJ1069" i="5"/>
  <c r="AK1155" i="5"/>
  <c r="AJ1211" i="5"/>
  <c r="AR1294" i="5"/>
  <c r="AS1294" i="5" s="1"/>
  <c r="AI1318" i="5"/>
  <c r="AI1778" i="5"/>
  <c r="AW1323" i="5"/>
  <c r="AX1323" i="5" s="1"/>
  <c r="AZ1354" i="5"/>
  <c r="AY1379" i="5"/>
  <c r="AK1413" i="5"/>
  <c r="AJ1437" i="5"/>
  <c r="AZ1473" i="5"/>
  <c r="AI1497" i="5"/>
  <c r="AK1558" i="5"/>
  <c r="AI1590" i="5"/>
  <c r="AY1682" i="5"/>
  <c r="AT1714" i="5"/>
  <c r="AJ1774" i="5"/>
  <c r="AL2304" i="5"/>
  <c r="AL2344" i="5"/>
  <c r="AI1606" i="5"/>
  <c r="AK669" i="5"/>
  <c r="AW857" i="5"/>
  <c r="AX857" i="5" s="1"/>
  <c r="AI908" i="5"/>
  <c r="AI1239" i="5"/>
  <c r="AR1579" i="5"/>
  <c r="AS1579" i="5" s="1"/>
  <c r="AT1658" i="5"/>
  <c r="AI944" i="5"/>
  <c r="AJ1166" i="5"/>
  <c r="AT1138" i="5"/>
  <c r="R30" i="15"/>
  <c r="R22" i="11"/>
  <c r="I20" i="11"/>
  <c r="I24" i="11" s="1"/>
  <c r="AC16" i="14"/>
  <c r="AC20" i="14" s="1"/>
  <c r="E57" i="3"/>
  <c r="AM1079" i="5"/>
  <c r="S15" i="10"/>
  <c r="S19" i="10" s="1"/>
  <c r="L20" i="11"/>
  <c r="L24" i="11" s="1"/>
  <c r="W19" i="10"/>
  <c r="J24" i="11"/>
  <c r="Z16" i="14"/>
  <c r="Z20" i="14" s="1"/>
  <c r="Z22" i="14" s="1"/>
  <c r="Q104" i="15"/>
  <c r="M2740" i="5"/>
  <c r="L2740" i="5" s="1"/>
  <c r="AM640" i="5"/>
  <c r="AM1666" i="5"/>
  <c r="M2819" i="5"/>
  <c r="L2819" i="5" s="1"/>
  <c r="E24" i="11"/>
  <c r="M1449" i="5"/>
  <c r="F1449" i="5" s="1"/>
  <c r="AM1450" i="5" s="1"/>
  <c r="M1414" i="5"/>
  <c r="F1414" i="5" s="1"/>
  <c r="AM1415" i="5" s="1"/>
  <c r="M1456" i="5"/>
  <c r="F1456" i="5" s="1"/>
  <c r="AM1457" i="5" s="1"/>
  <c r="AW2364" i="5"/>
  <c r="AX2364" i="5" s="1"/>
  <c r="M498" i="5"/>
  <c r="F498" i="5" s="1"/>
  <c r="M1487" i="5"/>
  <c r="F1487" i="5" s="1"/>
  <c r="AM1488" i="5" s="1"/>
  <c r="M1295" i="5"/>
  <c r="F1295" i="5" s="1"/>
  <c r="P3732" i="5"/>
  <c r="P3733" i="5" s="1"/>
  <c r="F3733" i="5" s="1"/>
  <c r="AJ2364" i="5"/>
  <c r="M421" i="5"/>
  <c r="F421" i="5" s="1"/>
  <c r="M1197" i="5"/>
  <c r="F1197" i="5" s="1"/>
  <c r="M1407" i="5"/>
  <c r="F1407" i="5" s="1"/>
  <c r="M428" i="5"/>
  <c r="F428" i="5" s="1"/>
  <c r="M316" i="5"/>
  <c r="F316" i="5" s="1"/>
  <c r="AM316" i="5" s="1"/>
  <c r="C4710" i="5"/>
  <c r="F4527" i="5"/>
  <c r="M1463" i="5"/>
  <c r="F1463" i="5" s="1"/>
  <c r="M1316" i="5"/>
  <c r="F1316" i="5" s="1"/>
  <c r="AI2198" i="5"/>
  <c r="AY296" i="5"/>
  <c r="M655" i="5"/>
  <c r="F655" i="5" s="1"/>
  <c r="AU2340" i="5"/>
  <c r="AV2340" i="5" s="1"/>
  <c r="M2814" i="5"/>
  <c r="L2814" i="5" s="1"/>
  <c r="M2848" i="5"/>
  <c r="F2848" i="5" s="1"/>
  <c r="L2848" i="5" s="1"/>
  <c r="T208" i="5"/>
  <c r="T223" i="5" s="1"/>
  <c r="T224" i="5" s="1"/>
  <c r="F228" i="5" s="1"/>
  <c r="AT2240" i="5"/>
  <c r="M1141" i="5"/>
  <c r="F1141" i="5" s="1"/>
  <c r="M1309" i="5"/>
  <c r="F1309" i="5" s="1"/>
  <c r="AM1310" i="5" s="1"/>
  <c r="AZ2353" i="5"/>
  <c r="M678" i="5"/>
  <c r="F678" i="5" s="1"/>
  <c r="M351" i="5"/>
  <c r="F351" i="5" s="1"/>
  <c r="AQ2289" i="5"/>
  <c r="AQ2248" i="5"/>
  <c r="AQ2192" i="5"/>
  <c r="AQ2130" i="5"/>
  <c r="AQ2126" i="5"/>
  <c r="AQ2074" i="5"/>
  <c r="AQ2054" i="5"/>
  <c r="AQ2023" i="5"/>
  <c r="AQ1870" i="5"/>
  <c r="AQ1783" i="5"/>
  <c r="AQ1727" i="5"/>
  <c r="M2163" i="5"/>
  <c r="F2163" i="5" s="1"/>
  <c r="M2693" i="5"/>
  <c r="L2693" i="5" s="1"/>
  <c r="AS2330" i="5"/>
  <c r="F4530" i="5"/>
  <c r="X3348" i="5"/>
  <c r="X3349" i="5" s="1"/>
  <c r="X3350" i="5" s="1"/>
  <c r="F3361" i="5" s="1"/>
  <c r="AK2347" i="5"/>
  <c r="M2191" i="5"/>
  <c r="F2191" i="5" s="1"/>
  <c r="AM2192" i="5" s="1"/>
  <c r="M2219" i="5"/>
  <c r="F2219" i="5" s="1"/>
  <c r="AM2220" i="5" s="1"/>
  <c r="M2205" i="5"/>
  <c r="F2205" i="5" s="1"/>
  <c r="AM2206" i="5" s="1"/>
  <c r="M2240" i="5"/>
  <c r="F2240" i="5" s="1"/>
  <c r="AM2241" i="5" s="1"/>
  <c r="M2044" i="5"/>
  <c r="F2044" i="5" s="1"/>
  <c r="AM2045" i="5" s="1"/>
  <c r="M2268" i="5"/>
  <c r="F2268" i="5" s="1"/>
  <c r="AM2269" i="5" s="1"/>
  <c r="AW2347" i="5"/>
  <c r="AX2347" i="5" s="1"/>
  <c r="M2023" i="5"/>
  <c r="F2023" i="5" s="1"/>
  <c r="AM2024" i="5" s="1"/>
  <c r="M2107" i="5"/>
  <c r="F2107" i="5" s="1"/>
  <c r="AM2108" i="5" s="1"/>
  <c r="M2366" i="5"/>
  <c r="F2366" i="5" s="1"/>
  <c r="AM2367" i="5" s="1"/>
  <c r="M2212" i="5"/>
  <c r="F2212" i="5" s="1"/>
  <c r="AM2213" i="5" s="1"/>
  <c r="AU2334" i="5"/>
  <c r="AV2334" i="5" s="1"/>
  <c r="AY2314" i="5"/>
  <c r="AR2334" i="5"/>
  <c r="AT2334" i="5" s="1"/>
  <c r="M2360" i="5"/>
  <c r="F2360" i="5" s="1"/>
  <c r="AM2361" i="5" s="1"/>
  <c r="M2254" i="5"/>
  <c r="F2254" i="5" s="1"/>
  <c r="AM2255" i="5" s="1"/>
  <c r="AL2358" i="5"/>
  <c r="M2177" i="5"/>
  <c r="F2177" i="5" s="1"/>
  <c r="AM2178" i="5" s="1"/>
  <c r="M2336" i="5"/>
  <c r="F2336" i="5" s="1"/>
  <c r="M2093" i="5"/>
  <c r="F2093" i="5" s="1"/>
  <c r="M2342" i="5"/>
  <c r="F2342" i="5" s="1"/>
  <c r="AM2343" i="5" s="1"/>
  <c r="AK2334" i="5"/>
  <c r="G4726" i="5"/>
  <c r="H4726" i="5" s="1"/>
  <c r="AY2318" i="5"/>
  <c r="AI2281" i="5"/>
  <c r="AZ2280" i="5"/>
  <c r="AJ2284" i="5"/>
  <c r="AZ2304" i="5"/>
  <c r="AL2280" i="5"/>
  <c r="AL2130" i="5"/>
  <c r="AT2272" i="5"/>
  <c r="AL2188" i="5"/>
  <c r="AK1691" i="5"/>
  <c r="AL1682" i="5"/>
  <c r="AJ1691" i="5"/>
  <c r="AS1694" i="5"/>
  <c r="AJ1718" i="5"/>
  <c r="AK1742" i="5"/>
  <c r="AY1778" i="5"/>
  <c r="AJ1738" i="5"/>
  <c r="AL2320" i="5"/>
  <c r="AL1854" i="5"/>
  <c r="AS1878" i="5"/>
  <c r="AS1898" i="5"/>
  <c r="AL1986" i="5"/>
  <c r="AZ2018" i="5"/>
  <c r="AR2070" i="5"/>
  <c r="AT2070" i="5" s="1"/>
  <c r="AZ2150" i="5"/>
  <c r="AU2309" i="5"/>
  <c r="AV2309" i="5" s="1"/>
  <c r="AZ1630" i="5"/>
  <c r="AY1630" i="5"/>
  <c r="AZ1626" i="5"/>
  <c r="AL1635" i="5"/>
  <c r="AI1626" i="5"/>
  <c r="AI1607" i="5"/>
  <c r="AI2090" i="5"/>
  <c r="AK2320" i="5"/>
  <c r="AT2296" i="5"/>
  <c r="AK2280" i="5"/>
  <c r="AJ2070" i="5"/>
  <c r="AQ1691" i="5"/>
  <c r="AQ1854" i="5"/>
  <c r="AJ1646" i="5"/>
  <c r="AZ1691" i="5"/>
  <c r="AI1718" i="5"/>
  <c r="AI1719" i="5"/>
  <c r="AK1646" i="5"/>
  <c r="AY2126" i="5"/>
  <c r="AK2300" i="5"/>
  <c r="AS1902" i="5"/>
  <c r="AI1986" i="5"/>
  <c r="AS2086" i="5"/>
  <c r="AU2155" i="5"/>
  <c r="AV2155" i="5" s="1"/>
  <c r="AI2310" i="5"/>
  <c r="AY1610" i="5"/>
  <c r="AK1606" i="5"/>
  <c r="AY1722" i="5"/>
  <c r="AT1618" i="5"/>
  <c r="AL1738" i="5"/>
  <c r="AZ1590" i="5"/>
  <c r="AR2309" i="5"/>
  <c r="AS2309" i="5" s="1"/>
  <c r="AR2280" i="5"/>
  <c r="AT2280" i="5" s="1"/>
  <c r="AQ2034" i="5"/>
  <c r="G1525" i="5"/>
  <c r="H1525" i="5" s="1"/>
  <c r="AT2336" i="5"/>
  <c r="AU2280" i="5"/>
  <c r="AV2280" i="5" s="1"/>
  <c r="AT2276" i="5"/>
  <c r="AJ1798" i="5"/>
  <c r="AZ1803" i="5"/>
  <c r="AI2284" i="5"/>
  <c r="AY1794" i="5"/>
  <c r="AY1798" i="5"/>
  <c r="AQ2038" i="5"/>
  <c r="AQ1738" i="5"/>
  <c r="AT1715" i="5"/>
  <c r="AS1710" i="5"/>
  <c r="AJ1442" i="5"/>
  <c r="AJ1574" i="5"/>
  <c r="AI1646" i="5"/>
  <c r="AK1686" i="5"/>
  <c r="AL1691" i="5"/>
  <c r="AL1702" i="5"/>
  <c r="AK1718" i="5"/>
  <c r="AI1725" i="5"/>
  <c r="AT1770" i="5"/>
  <c r="AY1830" i="5"/>
  <c r="AT2312" i="5"/>
  <c r="AI1859" i="5"/>
  <c r="AS1882" i="5"/>
  <c r="AL2155" i="5"/>
  <c r="AJ2309" i="5"/>
  <c r="AL2300" i="5"/>
  <c r="AY1738" i="5"/>
  <c r="AR1635" i="5"/>
  <c r="AS1635" i="5" s="1"/>
  <c r="AS1598" i="5"/>
  <c r="AL1379" i="5"/>
  <c r="AY1574" i="5"/>
  <c r="AL1724" i="5"/>
  <c r="AI2186" i="5"/>
  <c r="AW2197" i="5"/>
  <c r="AX2197" i="5" s="1"/>
  <c r="AI2309" i="5"/>
  <c r="AS2332" i="5"/>
  <c r="AK2264" i="5"/>
  <c r="AK2110" i="5"/>
  <c r="AI2264" i="5"/>
  <c r="AT2292" i="5"/>
  <c r="AQ1742" i="5"/>
  <c r="AL1646" i="5"/>
  <c r="AZ1702" i="5"/>
  <c r="AZ1718" i="5"/>
  <c r="AZ2264" i="5"/>
  <c r="AY1742" i="5"/>
  <c r="AS1465" i="5"/>
  <c r="AY1606" i="5"/>
  <c r="AJ1626" i="5"/>
  <c r="AI491" i="5"/>
  <c r="AM1416" i="5"/>
  <c r="A4812" i="5"/>
  <c r="C4812" i="5" s="1"/>
  <c r="AJ2340" i="5"/>
  <c r="M1134" i="5"/>
  <c r="F1134" i="5" s="1"/>
  <c r="M1442" i="5"/>
  <c r="F1442" i="5" s="1"/>
  <c r="M1351" i="5"/>
  <c r="F1351" i="5" s="1"/>
  <c r="AW2353" i="5"/>
  <c r="AX2353" i="5" s="1"/>
  <c r="M358" i="5"/>
  <c r="F358" i="5" s="1"/>
  <c r="M582" i="5"/>
  <c r="F582" i="5" s="1"/>
  <c r="M512" i="5"/>
  <c r="F512" i="5" s="1"/>
  <c r="AS2360" i="5"/>
  <c r="M2768" i="5"/>
  <c r="L2768" i="5" s="1"/>
  <c r="G4734" i="5"/>
  <c r="H4734" i="5" s="1"/>
  <c r="AL2368" i="5"/>
  <c r="M1344" i="5"/>
  <c r="F1344" i="5" s="1"/>
  <c r="M1232" i="5"/>
  <c r="F1232" i="5" s="1"/>
  <c r="M1493" i="5"/>
  <c r="F1493" i="5" s="1"/>
  <c r="AJ2353" i="5"/>
  <c r="M456" i="5"/>
  <c r="F456" i="5" s="1"/>
  <c r="M414" i="5"/>
  <c r="F414" i="5" s="1"/>
  <c r="M643" i="5"/>
  <c r="F643" i="5" s="1"/>
  <c r="F4404" i="5"/>
  <c r="M1499" i="5"/>
  <c r="F1499" i="5" s="1"/>
  <c r="M1469" i="5"/>
  <c r="F1469" i="5" s="1"/>
  <c r="M1155" i="5"/>
  <c r="F1155" i="5" s="1"/>
  <c r="AM1156" i="5" s="1"/>
  <c r="AY2353" i="5"/>
  <c r="M337" i="5"/>
  <c r="F337" i="5" s="1"/>
  <c r="M470" i="5"/>
  <c r="F470" i="5" s="1"/>
  <c r="M649" i="5"/>
  <c r="F649" i="5" s="1"/>
  <c r="P3730" i="5"/>
  <c r="F3730" i="5" s="1"/>
  <c r="M3673" i="5"/>
  <c r="F3673" i="5" s="1"/>
  <c r="L3673" i="5" s="1"/>
  <c r="M3036" i="5"/>
  <c r="F3036" i="5" s="1"/>
  <c r="L3036" i="5" s="1"/>
  <c r="M2908" i="5"/>
  <c r="F2908" i="5" s="1"/>
  <c r="L2908" i="5" s="1"/>
  <c r="M2900" i="5"/>
  <c r="F2900" i="5" s="1"/>
  <c r="L2900" i="5" s="1"/>
  <c r="AI2369" i="5"/>
  <c r="AQ2325" i="5"/>
  <c r="AP1113" i="5"/>
  <c r="AQ1113" i="5" s="1"/>
  <c r="AQ970" i="5"/>
  <c r="AI833" i="5"/>
  <c r="M2907" i="5"/>
  <c r="F2907" i="5" s="1"/>
  <c r="L2907" i="5" s="1"/>
  <c r="AJ1930" i="5"/>
  <c r="AK1080" i="5"/>
  <c r="AI1479" i="5"/>
  <c r="P3579" i="5"/>
  <c r="G3579" i="5" s="1"/>
  <c r="H3579" i="5" s="1"/>
  <c r="M3059" i="5"/>
  <c r="F3059" i="5" s="1"/>
  <c r="L3059" i="5" s="1"/>
  <c r="AM573" i="5"/>
  <c r="AM503" i="5"/>
  <c r="AM489" i="5"/>
  <c r="AM461" i="5"/>
  <c r="AM390" i="5"/>
  <c r="AM953" i="5"/>
  <c r="AM897" i="5"/>
  <c r="AM1490" i="5"/>
  <c r="AM1445" i="5"/>
  <c r="AM1341" i="5"/>
  <c r="AM2048" i="5"/>
  <c r="AM1992" i="5"/>
  <c r="A4730" i="5"/>
  <c r="F4730" i="5" s="1"/>
  <c r="N4503" i="5"/>
  <c r="A4503" i="5" s="1"/>
  <c r="C4503" i="5" s="1"/>
  <c r="AS504" i="5"/>
  <c r="F4729" i="5"/>
  <c r="M3039" i="5"/>
  <c r="F3039" i="5" s="1"/>
  <c r="L3039" i="5" s="1"/>
  <c r="A4617" i="5"/>
  <c r="F4617" i="5" s="1"/>
  <c r="C4762" i="5"/>
  <c r="AJ1502" i="5"/>
  <c r="AK1510" i="5"/>
  <c r="AU1498" i="5"/>
  <c r="AV1498" i="5" s="1"/>
  <c r="AZ1487" i="5"/>
  <c r="AY1917" i="5"/>
  <c r="AK655" i="5"/>
  <c r="AP296" i="5"/>
  <c r="AQ296" i="5" s="1"/>
  <c r="AQ1502" i="5"/>
  <c r="AJ1921" i="5"/>
  <c r="AI1042" i="5"/>
  <c r="AQ1478" i="5"/>
  <c r="AI1478" i="5"/>
  <c r="AU1940" i="5"/>
  <c r="AV1940" i="5" s="1"/>
  <c r="AI1066" i="5"/>
  <c r="AJ642" i="5"/>
  <c r="AQ855" i="5"/>
  <c r="AY2173" i="5"/>
  <c r="AJ2021" i="5"/>
  <c r="AL2117" i="5"/>
  <c r="AY2133" i="5"/>
  <c r="AR2119" i="5"/>
  <c r="AT2119" i="5" s="1"/>
  <c r="AW2119" i="5"/>
  <c r="AX2119" i="5" s="1"/>
  <c r="AJ2041" i="5"/>
  <c r="AS2185" i="5"/>
  <c r="AY2041" i="5"/>
  <c r="AS2191" i="5"/>
  <c r="AT560" i="5"/>
  <c r="F4751" i="5"/>
  <c r="AJ2260" i="5"/>
  <c r="AU2260" i="5"/>
  <c r="AV2260" i="5" s="1"/>
  <c r="AJ2117" i="5"/>
  <c r="AL2204" i="5"/>
  <c r="AT2146" i="5"/>
  <c r="AT2053" i="5"/>
  <c r="AL1994" i="5"/>
  <c r="AS1938" i="5"/>
  <c r="AK2106" i="5"/>
  <c r="AZ2260" i="5"/>
  <c r="AK2316" i="5"/>
  <c r="AT2149" i="5"/>
  <c r="AR2204" i="5"/>
  <c r="AS2204" i="5" s="1"/>
  <c r="AQ1017" i="5"/>
  <c r="AQ965" i="5"/>
  <c r="AQ934" i="5"/>
  <c r="AQ849" i="5"/>
  <c r="AI2295" i="5"/>
  <c r="AI2085" i="5"/>
  <c r="AI1593" i="5"/>
  <c r="AI1281" i="5"/>
  <c r="AI1225" i="5"/>
  <c r="AI1169" i="5"/>
  <c r="AI1039" i="5"/>
  <c r="AI1011" i="5"/>
  <c r="AI877" i="5"/>
  <c r="AI596" i="5"/>
  <c r="AI344" i="5"/>
  <c r="A5032" i="5"/>
  <c r="A5033" i="5" s="1"/>
  <c r="C5033" i="5" s="1"/>
  <c r="AM405" i="5"/>
  <c r="AM1715" i="5"/>
  <c r="AM1673" i="5"/>
  <c r="AI2133" i="5"/>
  <c r="AQ2103" i="5"/>
  <c r="AQ2092" i="5"/>
  <c r="AI2077" i="5"/>
  <c r="AI2025" i="5"/>
  <c r="AI1729" i="5"/>
  <c r="AI1613" i="5"/>
  <c r="M3091" i="5"/>
  <c r="F3091" i="5" s="1"/>
  <c r="L3091" i="5" s="1"/>
  <c r="AI666" i="5"/>
  <c r="AI606" i="5"/>
  <c r="AI566" i="5"/>
  <c r="AI550" i="5"/>
  <c r="AQ1499" i="5"/>
  <c r="AQ1470" i="5"/>
  <c r="AI1460" i="5"/>
  <c r="AQ1450" i="5"/>
  <c r="AI1321" i="5"/>
  <c r="AQ1235" i="5"/>
  <c r="AQ1231" i="5"/>
  <c r="AI1189" i="5"/>
  <c r="AQ1179" i="5"/>
  <c r="AQ1163" i="5"/>
  <c r="AQ1148" i="5"/>
  <c r="AI1137" i="5"/>
  <c r="AQ1022" i="5"/>
  <c r="AQ1009" i="5"/>
  <c r="AI1003" i="5"/>
  <c r="AQ973" i="5"/>
  <c r="AQ953" i="5"/>
  <c r="AI947" i="5"/>
  <c r="AQ937" i="5"/>
  <c r="AQ917" i="5"/>
  <c r="AQ901" i="5"/>
  <c r="AQ897" i="5"/>
  <c r="AQ881" i="5"/>
  <c r="AQ861" i="5"/>
  <c r="AQ850" i="5"/>
  <c r="AQ845" i="5"/>
  <c r="AI843" i="5"/>
  <c r="AQ825" i="5"/>
  <c r="AQ805" i="5"/>
  <c r="AQ794" i="5"/>
  <c r="AQ789" i="5"/>
  <c r="AQ769" i="5"/>
  <c r="AI743" i="5"/>
  <c r="AQ733" i="5"/>
  <c r="AQ667" i="5"/>
  <c r="AQ598" i="5"/>
  <c r="AQ594" i="5"/>
  <c r="AQ542" i="5"/>
  <c r="AQ506" i="5"/>
  <c r="AI480" i="5"/>
  <c r="AI440" i="5"/>
  <c r="AI424" i="5"/>
  <c r="AQ394" i="5"/>
  <c r="AI328" i="5"/>
  <c r="Q3490" i="5"/>
  <c r="Q3491" i="5" s="1"/>
  <c r="G3495" i="5" s="1"/>
  <c r="H3495" i="5" s="1"/>
  <c r="A4792" i="5"/>
  <c r="C4792" i="5" s="1"/>
  <c r="M2668" i="5"/>
  <c r="L2668" i="5" s="1"/>
  <c r="M3048" i="5"/>
  <c r="F3048" i="5" s="1"/>
  <c r="L3048" i="5" s="1"/>
  <c r="M2992" i="5"/>
  <c r="F2992" i="5" s="1"/>
  <c r="L2992" i="5" s="1"/>
  <c r="AQ1068" i="5"/>
  <c r="AM1023" i="5"/>
  <c r="AM981" i="5"/>
  <c r="AM925" i="5"/>
  <c r="AQ885" i="5"/>
  <c r="AQ876" i="5"/>
  <c r="AQ860" i="5"/>
  <c r="AQ808" i="5"/>
  <c r="AQ700" i="5"/>
  <c r="AQ631" i="5"/>
  <c r="AQ602" i="5"/>
  <c r="AQ587" i="5"/>
  <c r="AQ576" i="5"/>
  <c r="AQ556" i="5"/>
  <c r="AQ555" i="5"/>
  <c r="AQ530" i="5"/>
  <c r="AQ443" i="5"/>
  <c r="AQ440" i="5"/>
  <c r="AQ404" i="5"/>
  <c r="AQ403" i="5"/>
  <c r="AQ399" i="5"/>
  <c r="AQ385" i="5"/>
  <c r="AQ367" i="5"/>
  <c r="AQ364" i="5"/>
  <c r="AQ347" i="5"/>
  <c r="AQ337" i="5"/>
  <c r="AQ332" i="5"/>
  <c r="AQ328" i="5"/>
  <c r="AQ311" i="5"/>
  <c r="AQ308" i="5"/>
  <c r="AQ307" i="5"/>
  <c r="AI494" i="5"/>
  <c r="AI407" i="5"/>
  <c r="AI519" i="5"/>
  <c r="AZ2316" i="5"/>
  <c r="AI398" i="5"/>
  <c r="AQ306" i="5"/>
  <c r="AZ295" i="5"/>
  <c r="AL306" i="5"/>
  <c r="AZ342" i="5"/>
  <c r="AQ813" i="5"/>
  <c r="AQ490" i="5"/>
  <c r="AI379" i="5"/>
  <c r="AI2261" i="5"/>
  <c r="AI342" i="5"/>
  <c r="AI418" i="5"/>
  <c r="AZ2173" i="5"/>
  <c r="AS2187" i="5"/>
  <c r="AY295" i="5"/>
  <c r="AL322" i="5"/>
  <c r="AJ351" i="5"/>
  <c r="AT338" i="5"/>
  <c r="AI817" i="5"/>
  <c r="AI870" i="5"/>
  <c r="AK817" i="5"/>
  <c r="AQ909" i="5"/>
  <c r="AM757" i="5"/>
  <c r="AJ869" i="5"/>
  <c r="AI834" i="5"/>
  <c r="AI551" i="5"/>
  <c r="AQ817" i="5"/>
  <c r="AQ741" i="5"/>
  <c r="AY2260" i="5"/>
  <c r="AS2367" i="5"/>
  <c r="AL295" i="5"/>
  <c r="AI323" i="5"/>
  <c r="AK418" i="5"/>
  <c r="AT334" i="5"/>
  <c r="AY817" i="5"/>
  <c r="AM869" i="5"/>
  <c r="G3506" i="5"/>
  <c r="H3506" i="5" s="1"/>
  <c r="AL869" i="5"/>
  <c r="Q3508" i="5"/>
  <c r="G3509" i="5" s="1"/>
  <c r="H3509" i="5" s="1"/>
  <c r="V4721" i="5"/>
  <c r="V4722" i="5" s="1"/>
  <c r="F4732" i="5" s="1"/>
  <c r="AI981" i="5"/>
  <c r="AI322" i="5"/>
  <c r="AI474" i="5"/>
  <c r="AQ418" i="5"/>
  <c r="AJ295" i="5"/>
  <c r="AY322" i="5"/>
  <c r="AJ407" i="5"/>
  <c r="AM1403" i="5"/>
  <c r="AQ1399" i="5"/>
  <c r="AQ1325" i="5"/>
  <c r="AQ1072" i="5"/>
  <c r="AQ1006" i="5"/>
  <c r="AQ656" i="5"/>
  <c r="AQ505" i="5"/>
  <c r="AQ476" i="5"/>
  <c r="AQ297" i="5"/>
  <c r="AX3274" i="5"/>
  <c r="AT589" i="5"/>
  <c r="AL766" i="5"/>
  <c r="AQ737" i="5"/>
  <c r="AI766" i="5"/>
  <c r="AI794" i="5"/>
  <c r="AM1300" i="5"/>
  <c r="AJ2287" i="5"/>
  <c r="AU2316" i="5"/>
  <c r="AV2316" i="5" s="1"/>
  <c r="AK2231" i="5"/>
  <c r="AT411" i="5"/>
  <c r="AY363" i="5"/>
  <c r="AJ311" i="5"/>
  <c r="AM1439" i="5"/>
  <c r="AR2287" i="5"/>
  <c r="AT2287" i="5" s="1"/>
  <c r="AL2260" i="5"/>
  <c r="AT2283" i="5"/>
  <c r="AL419" i="5"/>
  <c r="AT471" i="5"/>
  <c r="AZ423" i="5"/>
  <c r="AZ367" i="5"/>
  <c r="AR343" i="5"/>
  <c r="AT343" i="5" s="1"/>
  <c r="AI1617" i="5"/>
  <c r="AS2186" i="5"/>
  <c r="AL1253" i="5"/>
  <c r="AS1296" i="5"/>
  <c r="AM786" i="5"/>
  <c r="AK2291" i="5"/>
  <c r="AU428" i="5"/>
  <c r="AV428" i="5" s="1"/>
  <c r="AU343" i="5"/>
  <c r="AV343" i="5" s="1"/>
  <c r="AS678" i="5"/>
  <c r="AL1668" i="5"/>
  <c r="AT1352" i="5"/>
  <c r="AY1616" i="5"/>
  <c r="AL2291" i="5"/>
  <c r="AS2371" i="5"/>
  <c r="AU372" i="5"/>
  <c r="AV372" i="5" s="1"/>
  <c r="AS2068" i="5"/>
  <c r="AT1348" i="5"/>
  <c r="AL2295" i="5"/>
  <c r="AI1309" i="5"/>
  <c r="AZ1668" i="5"/>
  <c r="AJ1612" i="5"/>
  <c r="AK1228" i="5"/>
  <c r="AM1596" i="5"/>
  <c r="AW1845" i="5"/>
  <c r="AX1845" i="5" s="1"/>
  <c r="AI983" i="5"/>
  <c r="AI484" i="5"/>
  <c r="AZ383" i="5"/>
  <c r="AJ423" i="5"/>
  <c r="AL363" i="5"/>
  <c r="AT299" i="5"/>
  <c r="AR316" i="5"/>
  <c r="AS316" i="5" s="1"/>
  <c r="AL383" i="5"/>
  <c r="AS599" i="5"/>
  <c r="AY455" i="5"/>
  <c r="M3677" i="5"/>
  <c r="F3677" i="5" s="1"/>
  <c r="L3677" i="5" s="1"/>
  <c r="AZ307" i="5"/>
  <c r="AJ307" i="5"/>
  <c r="AS292" i="5"/>
  <c r="AT292" i="5"/>
  <c r="AZ1907" i="5"/>
  <c r="AW1907" i="5"/>
  <c r="AX1907" i="5" s="1"/>
  <c r="AJ1126" i="5"/>
  <c r="AY1126" i="5"/>
  <c r="AZ1304" i="5"/>
  <c r="AY1244" i="5"/>
  <c r="AI1365" i="5"/>
  <c r="AL762" i="5"/>
  <c r="AL475" i="5"/>
  <c r="AM2194" i="5"/>
  <c r="AI1304" i="5"/>
  <c r="AS1368" i="5"/>
  <c r="AL1672" i="5"/>
  <c r="AI2231" i="5"/>
  <c r="AI1253" i="5"/>
  <c r="AY731" i="5"/>
  <c r="AI624" i="5"/>
  <c r="AI540" i="5"/>
  <c r="AY874" i="5"/>
  <c r="AY383" i="5"/>
  <c r="AT583" i="5"/>
  <c r="AK367" i="5"/>
  <c r="AY307" i="5"/>
  <c r="AK347" i="5"/>
  <c r="AY403" i="5"/>
  <c r="AL428" i="5"/>
  <c r="AK1126" i="5"/>
  <c r="AK1672" i="5"/>
  <c r="AR731" i="5"/>
  <c r="AK419" i="5"/>
  <c r="AJ439" i="5"/>
  <c r="AI404" i="5"/>
  <c r="AT319" i="5"/>
  <c r="AU399" i="5"/>
  <c r="AV399" i="5" s="1"/>
  <c r="AR1907" i="5"/>
  <c r="AT1907" i="5" s="1"/>
  <c r="AK2056" i="5"/>
  <c r="AJ2286" i="5"/>
  <c r="AS533" i="5"/>
  <c r="AZ731" i="5"/>
  <c r="AM296" i="5"/>
  <c r="AL535" i="5"/>
  <c r="AZ372" i="5"/>
  <c r="AM1805" i="5"/>
  <c r="AM973" i="5"/>
  <c r="AM875" i="5"/>
  <c r="AM1347" i="5"/>
  <c r="AM1305" i="5"/>
  <c r="M2926" i="5"/>
  <c r="F2926" i="5" s="1"/>
  <c r="L2926" i="5" s="1"/>
  <c r="AM486" i="5"/>
  <c r="AM2351" i="5"/>
  <c r="AQ2044" i="5"/>
  <c r="AQ1880" i="5"/>
  <c r="AI1575" i="5"/>
  <c r="AQ1479" i="5"/>
  <c r="AQ1454" i="5"/>
  <c r="AQ1443" i="5"/>
  <c r="AI1438" i="5"/>
  <c r="AQ1402" i="5"/>
  <c r="AQ1398" i="5"/>
  <c r="AI1319" i="5"/>
  <c r="AI1260" i="5"/>
  <c r="AQ1227" i="5"/>
  <c r="AI1204" i="5"/>
  <c r="AQ1171" i="5"/>
  <c r="AI1151" i="5"/>
  <c r="AQ1147" i="5"/>
  <c r="AQ1125" i="5"/>
  <c r="AQ1075" i="5"/>
  <c r="AQ1066" i="5"/>
  <c r="AQ1026" i="5"/>
  <c r="AQ1001" i="5"/>
  <c r="AI990" i="5"/>
  <c r="AQ985" i="5"/>
  <c r="AQ981" i="5"/>
  <c r="AQ971" i="5"/>
  <c r="AI965" i="5"/>
  <c r="AI961" i="5"/>
  <c r="AQ945" i="5"/>
  <c r="AQ929" i="5"/>
  <c r="AQ925" i="5"/>
  <c r="AI905" i="5"/>
  <c r="AQ889" i="5"/>
  <c r="AQ853" i="5"/>
  <c r="AI797" i="5"/>
  <c r="AQ761" i="5"/>
  <c r="AQ707" i="5"/>
  <c r="AQ706" i="5"/>
  <c r="AQ676" i="5"/>
  <c r="AQ670" i="5"/>
  <c r="AQ596" i="5"/>
  <c r="AQ578" i="5"/>
  <c r="AI546" i="5"/>
  <c r="AQ536" i="5"/>
  <c r="AQ511" i="5"/>
  <c r="AQ500" i="5"/>
  <c r="AQ496" i="5"/>
  <c r="AQ495" i="5"/>
  <c r="AQ480" i="5"/>
  <c r="AQ479" i="5"/>
  <c r="AQ475" i="5"/>
  <c r="AQ465" i="5"/>
  <c r="AQ464" i="5"/>
  <c r="AQ460" i="5"/>
  <c r="AQ459" i="5"/>
  <c r="AQ445" i="5"/>
  <c r="AQ428" i="5"/>
  <c r="AQ423" i="5"/>
  <c r="AQ420" i="5"/>
  <c r="AQ405" i="5"/>
  <c r="AQ389" i="5"/>
  <c r="AQ384" i="5"/>
  <c r="AQ372" i="5"/>
  <c r="AQ363" i="5"/>
  <c r="AQ349" i="5"/>
  <c r="AQ333" i="5"/>
  <c r="AQ331" i="5"/>
  <c r="AQ329" i="5"/>
  <c r="AQ313" i="5"/>
  <c r="AQ302" i="5"/>
  <c r="AM840" i="5"/>
  <c r="AM1626" i="5"/>
  <c r="AQ2247" i="5"/>
  <c r="AQ2149" i="5"/>
  <c r="AI2124" i="5"/>
  <c r="AQ2137" i="5"/>
  <c r="AQ1820" i="5"/>
  <c r="AQ1673" i="5"/>
  <c r="AQ1440" i="5"/>
  <c r="AQ1439" i="5"/>
  <c r="AQ1404" i="5"/>
  <c r="AQ1403" i="5"/>
  <c r="AQ1345" i="5"/>
  <c r="AM1243" i="5"/>
  <c r="AQ1228" i="5"/>
  <c r="AQ1193" i="5"/>
  <c r="AQ1136" i="5"/>
  <c r="AQ1067" i="5"/>
  <c r="AQ1047" i="5"/>
  <c r="AQ1032" i="5"/>
  <c r="AQ1027" i="5"/>
  <c r="AQ1011" i="5"/>
  <c r="AQ1002" i="5"/>
  <c r="AQ986" i="5"/>
  <c r="AQ879" i="5"/>
  <c r="AQ854" i="5"/>
  <c r="AQ803" i="5"/>
  <c r="AQ783" i="5"/>
  <c r="AQ778" i="5"/>
  <c r="AQ767" i="5"/>
  <c r="AQ763" i="5"/>
  <c r="AQ758" i="5"/>
  <c r="AQ726" i="5"/>
  <c r="AQ723" i="5"/>
  <c r="AQ722" i="5"/>
  <c r="AQ2338" i="5"/>
  <c r="AT1331" i="5"/>
  <c r="AI1001" i="5"/>
  <c r="AI1061" i="5"/>
  <c r="AI1474" i="5"/>
  <c r="AL1478" i="5"/>
  <c r="AY1502" i="5"/>
  <c r="AR1510" i="5"/>
  <c r="AS1510" i="5" s="1"/>
  <c r="AY1487" i="5"/>
  <c r="AK1917" i="5"/>
  <c r="AK1921" i="5"/>
  <c r="AZ1940" i="5"/>
  <c r="AZ1041" i="5"/>
  <c r="AL813" i="5"/>
  <c r="AL1061" i="5"/>
  <c r="AY1065" i="5"/>
  <c r="AL1080" i="5"/>
  <c r="AZ642" i="5"/>
  <c r="AU655" i="5"/>
  <c r="AV655" i="5" s="1"/>
  <c r="AR642" i="5"/>
  <c r="AT642" i="5" s="1"/>
  <c r="AK642" i="5"/>
  <c r="AQ1509" i="5"/>
  <c r="AQ1081" i="5"/>
  <c r="AQ1053" i="5"/>
  <c r="AI857" i="5"/>
  <c r="F3350" i="5"/>
  <c r="AQ1080" i="5"/>
  <c r="AQ1151" i="5"/>
  <c r="G4143" i="5"/>
  <c r="H4143" i="5" s="1"/>
  <c r="AU2369" i="5"/>
  <c r="AV2369" i="5" s="1"/>
  <c r="M4533" i="5"/>
  <c r="F4533" i="5" s="1"/>
  <c r="F4539" i="5" s="1"/>
  <c r="W4541" i="5" s="1"/>
  <c r="F3354" i="5"/>
  <c r="AI1510" i="5"/>
  <c r="AQ646" i="5"/>
  <c r="AI1502" i="5"/>
  <c r="AI547" i="5"/>
  <c r="AI1503" i="5"/>
  <c r="AI793" i="5"/>
  <c r="AL1498" i="5"/>
  <c r="AI1511" i="5"/>
  <c r="AZ1474" i="5"/>
  <c r="AW1487" i="5"/>
  <c r="AX1487" i="5" s="1"/>
  <c r="AU1900" i="5"/>
  <c r="AV1900" i="5" s="1"/>
  <c r="AL1917" i="5"/>
  <c r="AZ1921" i="5"/>
  <c r="AK1940" i="5"/>
  <c r="AZ1478" i="5"/>
  <c r="AK463" i="5"/>
  <c r="AI520" i="5"/>
  <c r="AY1041" i="5"/>
  <c r="AJ670" i="5"/>
  <c r="AS370" i="5"/>
  <c r="AK346" i="5"/>
  <c r="AL458" i="5"/>
  <c r="AZ1061" i="5"/>
  <c r="AJ1065" i="5"/>
  <c r="AR1080" i="5"/>
  <c r="AT1080" i="5" s="1"/>
  <c r="AL655" i="5"/>
  <c r="M1839" i="5"/>
  <c r="F1839" i="5" s="1"/>
  <c r="M1769" i="5"/>
  <c r="F1769" i="5" s="1"/>
  <c r="AM1770" i="5" s="1"/>
  <c r="M1734" i="5"/>
  <c r="F1734" i="5" s="1"/>
  <c r="M1790" i="5"/>
  <c r="F1790" i="5" s="1"/>
  <c r="AM1791" i="5" s="1"/>
  <c r="M1748" i="5"/>
  <c r="F1748" i="5" s="1"/>
  <c r="AM1749" i="5" s="1"/>
  <c r="M1727" i="5"/>
  <c r="F1727" i="5" s="1"/>
  <c r="AM1728" i="5" s="1"/>
  <c r="M1846" i="5"/>
  <c r="F1846" i="5" s="1"/>
  <c r="AM1847" i="5" s="1"/>
  <c r="AL642" i="5"/>
  <c r="AL646" i="5"/>
  <c r="F96" i="5"/>
  <c r="M3021" i="5"/>
  <c r="F3021" i="5" s="1"/>
  <c r="L3021" i="5" s="1"/>
  <c r="AM1167" i="5"/>
  <c r="M2949" i="5"/>
  <c r="F2949" i="5" s="1"/>
  <c r="L2949" i="5" s="1"/>
  <c r="AJ1339" i="5"/>
  <c r="C5030" i="5"/>
  <c r="M2997" i="5"/>
  <c r="F2997" i="5" s="1"/>
  <c r="L2997" i="5" s="1"/>
  <c r="AK2171" i="5"/>
  <c r="AS1410" i="5"/>
  <c r="P4142" i="5"/>
  <c r="P4143" i="5" s="1"/>
  <c r="G4147" i="5" s="1"/>
  <c r="H4147" i="5" s="1"/>
  <c r="F4590" i="5"/>
  <c r="AQ905" i="5"/>
  <c r="AJ2369" i="5"/>
  <c r="AQ1799" i="5"/>
  <c r="AQ705" i="5"/>
  <c r="AQ1061" i="5"/>
  <c r="AQ1371" i="5"/>
  <c r="AQ1487" i="5"/>
  <c r="AQ1510" i="5"/>
  <c r="AQ1900" i="5"/>
  <c r="AL1900" i="5"/>
  <c r="AR1900" i="5"/>
  <c r="AS1900" i="5" s="1"/>
  <c r="AI670" i="5"/>
  <c r="AI1080" i="5"/>
  <c r="AI1081" i="5"/>
  <c r="AZ1498" i="5"/>
  <c r="AY1510" i="5"/>
  <c r="AJ1487" i="5"/>
  <c r="AW1474" i="5"/>
  <c r="AX1474" i="5" s="1"/>
  <c r="AW1900" i="5"/>
  <c r="AX1900" i="5" s="1"/>
  <c r="AZ1917" i="5"/>
  <c r="AY1921" i="5"/>
  <c r="AY1940" i="5"/>
  <c r="AQ642" i="5"/>
  <c r="AZ434" i="5"/>
  <c r="AK1478" i="5"/>
  <c r="AJ463" i="5"/>
  <c r="AZ519" i="5"/>
  <c r="AI1041" i="5"/>
  <c r="AY670" i="5"/>
  <c r="AT374" i="5"/>
  <c r="AZ474" i="5"/>
  <c r="AW351" i="5"/>
  <c r="AX351" i="5" s="1"/>
  <c r="AI458" i="5"/>
  <c r="AI1171" i="5"/>
  <c r="AI1062" i="5"/>
  <c r="AK1065" i="5"/>
  <c r="AW1080" i="5"/>
  <c r="AX1080" i="5" s="1"/>
  <c r="AI656" i="5"/>
  <c r="AJ646" i="5"/>
  <c r="M3013" i="5"/>
  <c r="F3013" i="5" s="1"/>
  <c r="L3013" i="5" s="1"/>
  <c r="AZ1900" i="5"/>
  <c r="AZ1930" i="5"/>
  <c r="AI1398" i="5"/>
  <c r="AZ1279" i="5"/>
  <c r="AW1917" i="5"/>
  <c r="AX1917" i="5" s="1"/>
  <c r="AR1940" i="5"/>
  <c r="AK1474" i="5"/>
  <c r="AR1487" i="5"/>
  <c r="AT1487" i="5" s="1"/>
  <c r="AJ873" i="5"/>
  <c r="AY1061" i="5"/>
  <c r="AL1065" i="5"/>
  <c r="AY1080" i="5"/>
  <c r="AT841" i="5"/>
  <c r="AJ655" i="5"/>
  <c r="AK646" i="5"/>
  <c r="AZ670" i="5"/>
  <c r="AU1510" i="5"/>
  <c r="AV1510" i="5" s="1"/>
  <c r="AL1502" i="5"/>
  <c r="AI1488" i="5"/>
  <c r="AY1930" i="5"/>
  <c r="AU1344" i="5"/>
  <c r="AV1344" i="5" s="1"/>
  <c r="AI1434" i="5"/>
  <c r="G3732" i="5"/>
  <c r="H3732" i="5" s="1"/>
  <c r="AZ2369" i="5"/>
  <c r="AQ961" i="5"/>
  <c r="AQ990" i="5"/>
  <c r="AQ1041" i="5"/>
  <c r="AQ1065" i="5"/>
  <c r="AQ1167" i="5"/>
  <c r="AQ1921" i="5"/>
  <c r="AI1931" i="5"/>
  <c r="AW1930" i="5"/>
  <c r="AX1930" i="5" s="1"/>
  <c r="AI1498" i="5"/>
  <c r="AI1148" i="5"/>
  <c r="AR1434" i="5"/>
  <c r="AS1434" i="5" s="1"/>
  <c r="AK1498" i="5"/>
  <c r="AL1510" i="5"/>
  <c r="AY1474" i="5"/>
  <c r="AU1487" i="5"/>
  <c r="AV1487" i="5" s="1"/>
  <c r="AI1901" i="5"/>
  <c r="AJ1917" i="5"/>
  <c r="AK1930" i="5"/>
  <c r="AW1940" i="5"/>
  <c r="AX1940" i="5" s="1"/>
  <c r="AI383" i="5"/>
  <c r="AJ1041" i="5"/>
  <c r="AR655" i="5"/>
  <c r="AY655" i="5"/>
  <c r="AS314" i="5"/>
  <c r="AS861" i="5"/>
  <c r="AZ382" i="5"/>
  <c r="AT487" i="5"/>
  <c r="AK351" i="5"/>
  <c r="AJ741" i="5"/>
  <c r="AW642" i="5"/>
  <c r="AX642" i="5" s="1"/>
  <c r="AJ1061" i="5"/>
  <c r="AI1065" i="5"/>
  <c r="AZ1080" i="5"/>
  <c r="AS450" i="5"/>
  <c r="M1671" i="5"/>
  <c r="F1671" i="5" s="1"/>
  <c r="M1783" i="5"/>
  <c r="F1783" i="5" s="1"/>
  <c r="AM1784" i="5" s="1"/>
  <c r="M1643" i="5"/>
  <c r="F1643" i="5" s="1"/>
  <c r="AM1644" i="5" s="1"/>
  <c r="M1685" i="5"/>
  <c r="F1685" i="5" s="1"/>
  <c r="AM1686" i="5" s="1"/>
  <c r="M1636" i="5"/>
  <c r="F1636" i="5" s="1"/>
  <c r="M1762" i="5"/>
  <c r="F1762" i="5" s="1"/>
  <c r="M1853" i="5"/>
  <c r="F1853" i="5" s="1"/>
  <c r="AM1854" i="5" s="1"/>
  <c r="AK670" i="5"/>
  <c r="AL670" i="5"/>
  <c r="M2918" i="5"/>
  <c r="F2918" i="5" s="1"/>
  <c r="L2918" i="5" s="1"/>
  <c r="M1830" i="5"/>
  <c r="F1830" i="5" s="1"/>
  <c r="AM1830" i="5" s="1"/>
  <c r="AI1922" i="5"/>
  <c r="AQ757" i="5"/>
  <c r="AQ1474" i="5"/>
  <c r="AQ1930" i="5"/>
  <c r="AL1930" i="5"/>
  <c r="AR1474" i="5"/>
  <c r="AS1474" i="5" s="1"/>
  <c r="AJ1498" i="5"/>
  <c r="AW1510" i="5"/>
  <c r="AX1510" i="5" s="1"/>
  <c r="AJ1474" i="5"/>
  <c r="AK1487" i="5"/>
  <c r="AK1900" i="5"/>
  <c r="AU1917" i="5"/>
  <c r="AV1917" i="5" s="1"/>
  <c r="AU1930" i="5"/>
  <c r="AV1930" i="5" s="1"/>
  <c r="AJ1940" i="5"/>
  <c r="AI869" i="5"/>
  <c r="AL1355" i="5"/>
  <c r="AT410" i="5"/>
  <c r="AK1041" i="5"/>
  <c r="AZ655" i="5"/>
  <c r="AJ398" i="5"/>
  <c r="AY494" i="5"/>
  <c r="AK362" i="5"/>
  <c r="AK741" i="5"/>
  <c r="AJ1080" i="5"/>
  <c r="AS298" i="5"/>
  <c r="AU434" i="5"/>
  <c r="AV434" i="5" s="1"/>
  <c r="AS1943" i="5"/>
  <c r="AZ646" i="5"/>
  <c r="R4232" i="5"/>
  <c r="O4232" i="5" s="1"/>
  <c r="P3459" i="5"/>
  <c r="M1913" i="5"/>
  <c r="F1913" i="5" s="1"/>
  <c r="AW1498" i="5"/>
  <c r="AX1498" i="5" s="1"/>
  <c r="AJ1900" i="5"/>
  <c r="AJ1299" i="5"/>
  <c r="D4845" i="5"/>
  <c r="D4848" i="5" s="1"/>
  <c r="AQ869" i="5"/>
  <c r="AT1031" i="5"/>
  <c r="AI646" i="5"/>
  <c r="AI655" i="5"/>
  <c r="AL1474" i="5"/>
  <c r="AR1498" i="5"/>
  <c r="AS1498" i="5" s="1"/>
  <c r="AJ1510" i="5"/>
  <c r="AZ1502" i="5"/>
  <c r="AJ1478" i="5"/>
  <c r="AU2120" i="5"/>
  <c r="AV2120" i="5" s="1"/>
  <c r="AW1203" i="5"/>
  <c r="AX1203" i="5" s="1"/>
  <c r="AR322" i="5"/>
  <c r="AY990" i="5"/>
  <c r="AI306" i="5"/>
  <c r="AY398" i="5"/>
  <c r="AK494" i="5"/>
  <c r="AW737" i="5"/>
  <c r="AX737" i="5" s="1"/>
  <c r="AS466" i="5"/>
  <c r="AY378" i="5"/>
  <c r="M1925" i="5"/>
  <c r="F1925" i="5" s="1"/>
  <c r="AM1926" i="5" s="1"/>
  <c r="M1874" i="5"/>
  <c r="F1874" i="5" s="1"/>
  <c r="M1566" i="5"/>
  <c r="F1566" i="5" s="1"/>
  <c r="AM1567" i="5" s="1"/>
  <c r="M1860" i="5"/>
  <c r="F1860" i="5" s="1"/>
  <c r="AM1861" i="5" s="1"/>
  <c r="M1901" i="5"/>
  <c r="F1901" i="5" s="1"/>
  <c r="AM1902" i="5" s="1"/>
  <c r="AM1355" i="5"/>
  <c r="AQ1346" i="5"/>
  <c r="AQ1342" i="5"/>
  <c r="AI1340" i="5"/>
  <c r="AQ1295" i="5"/>
  <c r="AQ1248" i="5"/>
  <c r="AQ1239" i="5"/>
  <c r="AQ1218" i="5"/>
  <c r="AQ1213" i="5"/>
  <c r="AM1187" i="5"/>
  <c r="AQ1141" i="5"/>
  <c r="AM1131" i="5"/>
  <c r="AQ1057" i="5"/>
  <c r="AQ1038" i="5"/>
  <c r="AM1037" i="5"/>
  <c r="AQ1007" i="5"/>
  <c r="AQ1003" i="5"/>
  <c r="AQ987" i="5"/>
  <c r="AQ976" i="5"/>
  <c r="AQ393" i="5"/>
  <c r="AQ383" i="5"/>
  <c r="AQ348" i="5"/>
  <c r="AN3793" i="5"/>
  <c r="A3793" i="5" s="1"/>
  <c r="D3266" i="5"/>
  <c r="AM2020" i="5"/>
  <c r="AS350" i="5"/>
  <c r="AM1034" i="5"/>
  <c r="AM2257" i="5"/>
  <c r="I5145" i="5"/>
  <c r="AS648" i="5"/>
  <c r="AQ2277" i="5"/>
  <c r="AI2266" i="5"/>
  <c r="AQ1730" i="5"/>
  <c r="AM1459" i="5"/>
  <c r="AQ1143" i="5"/>
  <c r="AQ1071" i="5"/>
  <c r="AQ989" i="5"/>
  <c r="AI973" i="5"/>
  <c r="AQ962" i="5"/>
  <c r="AQ957" i="5"/>
  <c r="AQ933" i="5"/>
  <c r="AQ920" i="5"/>
  <c r="AQ915" i="5"/>
  <c r="AQ911" i="5"/>
  <c r="AR1344" i="5"/>
  <c r="AS1344" i="5" s="1"/>
  <c r="AQ1999" i="5"/>
  <c r="AI1628" i="5"/>
  <c r="AM1299" i="5"/>
  <c r="AS435" i="5"/>
  <c r="AZ1355" i="5"/>
  <c r="G3376" i="5"/>
  <c r="H3376" i="5" s="1"/>
  <c r="AQ1131" i="5"/>
  <c r="AY2215" i="5"/>
  <c r="AI1147" i="5"/>
  <c r="AI1279" i="5"/>
  <c r="AI1647" i="5"/>
  <c r="AI1987" i="5"/>
  <c r="AI710" i="5"/>
  <c r="AR1232" i="5"/>
  <c r="AS1232" i="5" s="1"/>
  <c r="AJ1875" i="5"/>
  <c r="AS702" i="5"/>
  <c r="AI382" i="5"/>
  <c r="AY463" i="5"/>
  <c r="AJ418" i="5"/>
  <c r="AK306" i="5"/>
  <c r="AL378" i="5"/>
  <c r="AY402" i="5"/>
  <c r="AS390" i="5"/>
  <c r="AL346" i="5"/>
  <c r="AZ362" i="5"/>
  <c r="AY458" i="5"/>
  <c r="AJ326" i="5"/>
  <c r="AS430" i="5"/>
  <c r="W3369" i="5"/>
  <c r="F3376" i="5" s="1"/>
  <c r="AK1344" i="5"/>
  <c r="AK1651" i="5"/>
  <c r="AQ1299" i="5"/>
  <c r="AI1037" i="5"/>
  <c r="AI1299" i="5"/>
  <c r="AI926" i="5"/>
  <c r="AY519" i="5"/>
  <c r="AW378" i="5"/>
  <c r="AX378" i="5" s="1"/>
  <c r="AR407" i="5"/>
  <c r="AT407" i="5" s="1"/>
  <c r="AS482" i="5"/>
  <c r="AS809" i="5"/>
  <c r="AZ346" i="5"/>
  <c r="AL362" i="5"/>
  <c r="AZ322" i="5"/>
  <c r="AK326" i="5"/>
  <c r="AY626" i="5"/>
  <c r="AI1999" i="5"/>
  <c r="AS1643" i="5"/>
  <c r="AQ2055" i="5"/>
  <c r="AQ766" i="5"/>
  <c r="AI1125" i="5"/>
  <c r="AT1583" i="5"/>
  <c r="AW322" i="5"/>
  <c r="AX322" i="5" s="1"/>
  <c r="AQ326" i="5"/>
  <c r="AU378" i="5"/>
  <c r="AV378" i="5" s="1"/>
  <c r="AL382" i="5"/>
  <c r="AI408" i="5"/>
  <c r="AK342" i="5"/>
  <c r="AI352" i="5"/>
  <c r="AK1167" i="5"/>
  <c r="AQ1513" i="5"/>
  <c r="AS2107" i="5"/>
  <c r="U4989" i="5"/>
  <c r="AR737" i="5"/>
  <c r="AT737" i="5" s="1"/>
  <c r="AS769" i="5"/>
  <c r="AI1336" i="5"/>
  <c r="AT2120" i="5"/>
  <c r="AR2091" i="5"/>
  <c r="AS2091" i="5" s="1"/>
  <c r="AI738" i="5"/>
  <c r="AS2131" i="5"/>
  <c r="AJ402" i="5"/>
  <c r="AK398" i="5"/>
  <c r="AL342" i="5"/>
  <c r="AR351" i="5"/>
  <c r="AY710" i="5"/>
  <c r="AR434" i="5"/>
  <c r="AS434" i="5" s="1"/>
  <c r="AK2060" i="5"/>
  <c r="AM2118" i="5"/>
  <c r="AT1868" i="5"/>
  <c r="AT526" i="5"/>
  <c r="AZ1836" i="5"/>
  <c r="P3490" i="5"/>
  <c r="G3492" i="5" s="1"/>
  <c r="H3492" i="5" s="1"/>
  <c r="AS1588" i="5"/>
  <c r="T3501" i="5"/>
  <c r="F3503" i="5" s="1"/>
  <c r="AT2052" i="5"/>
  <c r="AZ2138" i="5"/>
  <c r="AW2141" i="5"/>
  <c r="AX2141" i="5" s="1"/>
  <c r="AT442" i="5"/>
  <c r="AS2184" i="5"/>
  <c r="AS1641" i="5"/>
  <c r="AS1034" i="5"/>
  <c r="AQ1469" i="5"/>
  <c r="AQ1461" i="5"/>
  <c r="AQ1445" i="5"/>
  <c r="AQ1444" i="5"/>
  <c r="AQ1441" i="5"/>
  <c r="AQ1362" i="5"/>
  <c r="AQ1321" i="5"/>
  <c r="AQ1310" i="5"/>
  <c r="AQ1249" i="5"/>
  <c r="AQ1183" i="5"/>
  <c r="AQ1157" i="5"/>
  <c r="AQ1153" i="5"/>
  <c r="AQ1126" i="5"/>
  <c r="AQ1043" i="5"/>
  <c r="AQ1012" i="5"/>
  <c r="AQ935" i="5"/>
  <c r="AQ932" i="5"/>
  <c r="AQ931" i="5"/>
  <c r="AQ891" i="5"/>
  <c r="AQ864" i="5"/>
  <c r="AQ859" i="5"/>
  <c r="AQ835" i="5"/>
  <c r="AQ799" i="5"/>
  <c r="AQ779" i="5"/>
  <c r="AQ752" i="5"/>
  <c r="AQ747" i="5"/>
  <c r="AQ743" i="5"/>
  <c r="AQ727" i="5"/>
  <c r="AQ712" i="5"/>
  <c r="AQ521" i="5"/>
  <c r="AQ449" i="5"/>
  <c r="AQ444" i="5"/>
  <c r="AQ441" i="5"/>
  <c r="AQ429" i="5"/>
  <c r="AQ414" i="5"/>
  <c r="AQ409" i="5"/>
  <c r="AQ369" i="5"/>
  <c r="AQ358" i="5"/>
  <c r="AQ2100" i="5"/>
  <c r="AQ2062" i="5"/>
  <c r="AQ1887" i="5"/>
  <c r="AQ1855" i="5"/>
  <c r="AQ1826" i="5"/>
  <c r="AQ1815" i="5"/>
  <c r="AQ1804" i="5"/>
  <c r="AQ1779" i="5"/>
  <c r="AQ1759" i="5"/>
  <c r="AQ1743" i="5"/>
  <c r="AQ1724" i="5"/>
  <c r="AI1708" i="5"/>
  <c r="AQ1692" i="5"/>
  <c r="AQ1672" i="5"/>
  <c r="AQ1657" i="5"/>
  <c r="AQ1654" i="5"/>
  <c r="AQ1653" i="5"/>
  <c r="AQ1652" i="5"/>
  <c r="AQ1648" i="5"/>
  <c r="AQ1642" i="5"/>
  <c r="AQ1592" i="5"/>
  <c r="AQ1580" i="5"/>
  <c r="AQ1576" i="5"/>
  <c r="AQ1571" i="5"/>
  <c r="AQ1503" i="5"/>
  <c r="AQ1483" i="5"/>
  <c r="AQ1459" i="5"/>
  <c r="AQ1380" i="5"/>
  <c r="AQ1324" i="5"/>
  <c r="AQ1268" i="5"/>
  <c r="AQ1212" i="5"/>
  <c r="AQ1192" i="5"/>
  <c r="AQ1156" i="5"/>
  <c r="AQ1070" i="5"/>
  <c r="AQ1062" i="5"/>
  <c r="AQ1051" i="5"/>
  <c r="AQ1046" i="5"/>
  <c r="AQ1042" i="5"/>
  <c r="AQ955" i="5"/>
  <c r="AQ930" i="5"/>
  <c r="AQ926" i="5"/>
  <c r="AQ914" i="5"/>
  <c r="AQ894" i="5"/>
  <c r="AQ875" i="5"/>
  <c r="AQ870" i="5"/>
  <c r="AQ858" i="5"/>
  <c r="AQ834" i="5"/>
  <c r="AQ802" i="5"/>
  <c r="AQ762" i="5"/>
  <c r="AQ746" i="5"/>
  <c r="AQ742" i="5"/>
  <c r="AQ731" i="5"/>
  <c r="AQ679" i="5"/>
  <c r="AQ675" i="5"/>
  <c r="AQ671" i="5"/>
  <c r="AQ651" i="5"/>
  <c r="AQ647" i="5"/>
  <c r="AQ484" i="5"/>
  <c r="AQ419" i="5"/>
  <c r="AZ1795" i="5"/>
  <c r="AU1795" i="5"/>
  <c r="AV1795" i="5" s="1"/>
  <c r="AS1755" i="5"/>
  <c r="AT1755" i="5"/>
  <c r="AJ1687" i="5"/>
  <c r="AI1687" i="5"/>
  <c r="AZ1687" i="5"/>
  <c r="AS1659" i="5"/>
  <c r="AT1659" i="5"/>
  <c r="AK1656" i="5"/>
  <c r="AL1656" i="5"/>
  <c r="AJ1656" i="5"/>
  <c r="AY1656" i="5"/>
  <c r="AU1656" i="5"/>
  <c r="AV1656" i="5" s="1"/>
  <c r="AI1656" i="5"/>
  <c r="AT1639" i="5"/>
  <c r="AS1639" i="5"/>
  <c r="AL1631" i="5"/>
  <c r="AJ1631" i="5"/>
  <c r="AT1619" i="5"/>
  <c r="AS1619" i="5"/>
  <c r="AK1611" i="5"/>
  <c r="AZ1611" i="5"/>
  <c r="AY1611" i="5"/>
  <c r="AL1611" i="5"/>
  <c r="AQ1611" i="5"/>
  <c r="AK1600" i="5"/>
  <c r="AR1600" i="5"/>
  <c r="AT1600" i="5" s="1"/>
  <c r="AW1600" i="5"/>
  <c r="AX1600" i="5" s="1"/>
  <c r="AJ1600" i="5"/>
  <c r="AI1601" i="5"/>
  <c r="AZ1600" i="5"/>
  <c r="AY1600" i="5"/>
  <c r="AZ1595" i="5"/>
  <c r="AK1595" i="5"/>
  <c r="AJ1595" i="5"/>
  <c r="AL1595" i="5"/>
  <c r="AI1595" i="5"/>
  <c r="AL1591" i="5"/>
  <c r="AK1591" i="5"/>
  <c r="AZ1591" i="5"/>
  <c r="AY1591" i="5"/>
  <c r="AJ1591" i="5"/>
  <c r="AJ1575" i="5"/>
  <c r="AY1575" i="5"/>
  <c r="AZ1575" i="5"/>
  <c r="AL1570" i="5"/>
  <c r="AY1570" i="5"/>
  <c r="AL1559" i="5"/>
  <c r="AZ1559" i="5"/>
  <c r="AI1560" i="5"/>
  <c r="AM1559" i="5"/>
  <c r="AK1559" i="5"/>
  <c r="AI1559" i="5"/>
  <c r="AT1490" i="5"/>
  <c r="AS1490" i="5"/>
  <c r="AS1470" i="5"/>
  <c r="AT1470" i="5"/>
  <c r="AS1466" i="5"/>
  <c r="AT1466" i="5"/>
  <c r="AY1463" i="5"/>
  <c r="AR1463" i="5"/>
  <c r="AS1463" i="5" s="1"/>
  <c r="AJ1463" i="5"/>
  <c r="AW1463" i="5"/>
  <c r="AX1463" i="5" s="1"/>
  <c r="AL1463" i="5"/>
  <c r="AZ1463" i="5"/>
  <c r="AI1464" i="5"/>
  <c r="AU1463" i="5"/>
  <c r="AV1463" i="5" s="1"/>
  <c r="AK1458" i="5"/>
  <c r="AL1458" i="5"/>
  <c r="AI1458" i="5"/>
  <c r="AY1458" i="5"/>
  <c r="AZ1458" i="5"/>
  <c r="AJ1458" i="5"/>
  <c r="AJ1454" i="5"/>
  <c r="AK1454" i="5"/>
  <c r="AY1454" i="5"/>
  <c r="AS1450" i="5"/>
  <c r="AT1450" i="5"/>
  <c r="AS1446" i="5"/>
  <c r="AT1446" i="5"/>
  <c r="AL1438" i="5"/>
  <c r="AZ1438" i="5"/>
  <c r="AY1438" i="5"/>
  <c r="AL1434" i="5"/>
  <c r="AU1434" i="5"/>
  <c r="AV1434" i="5" s="1"/>
  <c r="AY1434" i="5"/>
  <c r="AK1434" i="5"/>
  <c r="AI1435" i="5"/>
  <c r="AL1418" i="5"/>
  <c r="AJ1418" i="5"/>
  <c r="AZ1418" i="5"/>
  <c r="AK1418" i="5"/>
  <c r="AY1418" i="5"/>
  <c r="AL1407" i="5"/>
  <c r="AU1407" i="5"/>
  <c r="AV1407" i="5" s="1"/>
  <c r="AK1407" i="5"/>
  <c r="AI1407" i="5"/>
  <c r="AZ1407" i="5"/>
  <c r="AZ1402" i="5"/>
  <c r="AY1402" i="5"/>
  <c r="AL1402" i="5"/>
  <c r="AY1398" i="5"/>
  <c r="AK1398" i="5"/>
  <c r="AL1398" i="5"/>
  <c r="AZ1398" i="5"/>
  <c r="AS1394" i="5"/>
  <c r="AT1394" i="5"/>
  <c r="AJ1386" i="5"/>
  <c r="AI1387" i="5"/>
  <c r="AL1386" i="5"/>
  <c r="AZ1386" i="5"/>
  <c r="AK1386" i="5"/>
  <c r="AR1386" i="5"/>
  <c r="AS1386" i="5" s="1"/>
  <c r="AW1386" i="5"/>
  <c r="AX1386" i="5" s="1"/>
  <c r="AS1383" i="5"/>
  <c r="AT1383" i="5"/>
  <c r="AK1375" i="5"/>
  <c r="AZ1375" i="5"/>
  <c r="AJ1375" i="5"/>
  <c r="AY1375" i="5"/>
  <c r="AL1375" i="5"/>
  <c r="AR1371" i="5"/>
  <c r="AS1371" i="5" s="1"/>
  <c r="AK1371" i="5"/>
  <c r="AU1371" i="5"/>
  <c r="AV1371" i="5" s="1"/>
  <c r="AI1371" i="5"/>
  <c r="AT1367" i="5"/>
  <c r="AS1367" i="5"/>
  <c r="AL1357" i="5"/>
  <c r="AU1357" i="5"/>
  <c r="AV1357" i="5" s="1"/>
  <c r="AK1357" i="5"/>
  <c r="AW1357" i="5"/>
  <c r="AX1357" i="5" s="1"/>
  <c r="AJ1357" i="5"/>
  <c r="AR1357" i="5"/>
  <c r="AT1357" i="5" s="1"/>
  <c r="AY1357" i="5"/>
  <c r="AK1355" i="5"/>
  <c r="AI1355" i="5"/>
  <c r="AJ1355" i="5"/>
  <c r="AS1347" i="5"/>
  <c r="AT1347" i="5"/>
  <c r="AI1345" i="5"/>
  <c r="AW1344" i="5"/>
  <c r="AX1344" i="5" s="1"/>
  <c r="AI1339" i="5"/>
  <c r="AY1339" i="5"/>
  <c r="AZ1339" i="5"/>
  <c r="AL1339" i="5"/>
  <c r="AJ1335" i="5"/>
  <c r="AL1335" i="5"/>
  <c r="AY1335" i="5"/>
  <c r="AZ1335" i="5"/>
  <c r="AL1319" i="5"/>
  <c r="AJ1319" i="5"/>
  <c r="AZ1319" i="5"/>
  <c r="AR1315" i="5"/>
  <c r="AU1315" i="5"/>
  <c r="AV1315" i="5" s="1"/>
  <c r="AK1315" i="5"/>
  <c r="AZ1315" i="5"/>
  <c r="AL1315" i="5"/>
  <c r="AI1316" i="5"/>
  <c r="AS1311" i="5"/>
  <c r="AT1311" i="5"/>
  <c r="AK1299" i="5"/>
  <c r="AY1299" i="5"/>
  <c r="AY1288" i="5"/>
  <c r="AW1288" i="5"/>
  <c r="AX1288" i="5" s="1"/>
  <c r="AI1288" i="5"/>
  <c r="AK1288" i="5"/>
  <c r="AL1288" i="5"/>
  <c r="AZ1288" i="5"/>
  <c r="AI1283" i="5"/>
  <c r="AK1283" i="5"/>
  <c r="AJ1283" i="5"/>
  <c r="AK1279" i="5"/>
  <c r="AJ1279" i="5"/>
  <c r="AT1275" i="5"/>
  <c r="AS1275" i="5"/>
  <c r="AZ1263" i="5"/>
  <c r="AY1263" i="5"/>
  <c r="AK1263" i="5"/>
  <c r="AY1259" i="5"/>
  <c r="AU1259" i="5"/>
  <c r="AV1259" i="5" s="1"/>
  <c r="AW1259" i="5"/>
  <c r="AX1259" i="5" s="1"/>
  <c r="AK1259" i="5"/>
  <c r="AR1259" i="5"/>
  <c r="AS1259" i="5" s="1"/>
  <c r="AL1259" i="5"/>
  <c r="AY1243" i="5"/>
  <c r="AZ1243" i="5"/>
  <c r="AL1243" i="5"/>
  <c r="AK1243" i="5"/>
  <c r="AT1235" i="5"/>
  <c r="AS1235" i="5"/>
  <c r="AL1232" i="5"/>
  <c r="AW1232" i="5"/>
  <c r="AX1232" i="5" s="1"/>
  <c r="AU1232" i="5"/>
  <c r="AV1232" i="5" s="1"/>
  <c r="AK1232" i="5"/>
  <c r="AL1227" i="5"/>
  <c r="AJ1227" i="5"/>
  <c r="AY1227" i="5"/>
  <c r="AK1227" i="5"/>
  <c r="AI1227" i="5"/>
  <c r="AZ1227" i="5"/>
  <c r="AL1223" i="5"/>
  <c r="AI1223" i="5"/>
  <c r="AJ1223" i="5"/>
  <c r="AZ1223" i="5"/>
  <c r="AS1219" i="5"/>
  <c r="AT1219" i="5"/>
  <c r="AT1215" i="5"/>
  <c r="AS1215" i="5"/>
  <c r="AL1207" i="5"/>
  <c r="AK1207" i="5"/>
  <c r="AJ1207" i="5"/>
  <c r="AZ1207" i="5"/>
  <c r="AY1207" i="5"/>
  <c r="AL1203" i="5"/>
  <c r="AZ1203" i="5"/>
  <c r="AI1203" i="5"/>
  <c r="AU1203" i="5"/>
  <c r="AV1203" i="5" s="1"/>
  <c r="AY1203" i="5"/>
  <c r="AT1199" i="5"/>
  <c r="AS1199" i="5"/>
  <c r="AS1195" i="5"/>
  <c r="AT1195" i="5"/>
  <c r="AZ1187" i="5"/>
  <c r="AY1187" i="5"/>
  <c r="AJ1187" i="5"/>
  <c r="AQ1187" i="5"/>
  <c r="AK1187" i="5"/>
  <c r="AL1187" i="5"/>
  <c r="AT1179" i="5"/>
  <c r="AS1179" i="5"/>
  <c r="AI1177" i="5"/>
  <c r="AZ1176" i="5"/>
  <c r="AJ1176" i="5"/>
  <c r="AR1176" i="5"/>
  <c r="AU1176" i="5"/>
  <c r="AV1176" i="5" s="1"/>
  <c r="AK1176" i="5"/>
  <c r="AL1176" i="5"/>
  <c r="AW1176" i="5"/>
  <c r="AX1176" i="5" s="1"/>
  <c r="AY1176" i="5"/>
  <c r="AI1176" i="5"/>
  <c r="AZ1171" i="5"/>
  <c r="AY1171" i="5"/>
  <c r="AL1171" i="5"/>
  <c r="AK1171" i="5"/>
  <c r="AZ1167" i="5"/>
  <c r="AL1167" i="5"/>
  <c r="AY1167" i="5"/>
  <c r="AS1163" i="5"/>
  <c r="AT1163" i="5"/>
  <c r="AS1159" i="5"/>
  <c r="AT1159" i="5"/>
  <c r="AK1151" i="5"/>
  <c r="AY1151" i="5"/>
  <c r="AZ1151" i="5"/>
  <c r="AR1147" i="5"/>
  <c r="AW1147" i="5"/>
  <c r="AX1147" i="5" s="1"/>
  <c r="AL1147" i="5"/>
  <c r="AU1147" i="5"/>
  <c r="AV1147" i="5" s="1"/>
  <c r="AK1147" i="5"/>
  <c r="AZ1147" i="5"/>
  <c r="AY1147" i="5"/>
  <c r="AT1143" i="5"/>
  <c r="AS1143" i="5"/>
  <c r="AS1139" i="5"/>
  <c r="AT1139" i="5"/>
  <c r="AZ1131" i="5"/>
  <c r="AL1131" i="5"/>
  <c r="AK1131" i="5"/>
  <c r="AY1131" i="5"/>
  <c r="AJ1131" i="5"/>
  <c r="AY1125" i="5"/>
  <c r="AZ1125" i="5"/>
  <c r="AK1125" i="5"/>
  <c r="AI1126" i="5"/>
  <c r="AL1125" i="5"/>
  <c r="AM1125" i="5"/>
  <c r="AT1077" i="5"/>
  <c r="AS1077" i="5"/>
  <c r="AS1073" i="5"/>
  <c r="AT1073" i="5"/>
  <c r="AT1053" i="5"/>
  <c r="AS1053" i="5"/>
  <c r="AS1049" i="5"/>
  <c r="AT1049" i="5"/>
  <c r="AZ1037" i="5"/>
  <c r="AY1037" i="5"/>
  <c r="AQ1037" i="5"/>
  <c r="AL1037" i="5"/>
  <c r="AK1037" i="5"/>
  <c r="AS1033" i="5"/>
  <c r="AT1033" i="5"/>
  <c r="AT1029" i="5"/>
  <c r="AS1029" i="5"/>
  <c r="AL1023" i="5"/>
  <c r="AJ1023" i="5"/>
  <c r="AK1023" i="5"/>
  <c r="AQ1023" i="5"/>
  <c r="AR1017" i="5"/>
  <c r="AK1017" i="5"/>
  <c r="AZ1017" i="5"/>
  <c r="AU1017" i="5"/>
  <c r="AV1017" i="5" s="1"/>
  <c r="AY1017" i="5"/>
  <c r="AL1017" i="5"/>
  <c r="AW1017" i="5"/>
  <c r="AX1017" i="5" s="1"/>
  <c r="AI1017" i="5"/>
  <c r="AJ1017" i="5"/>
  <c r="AT1013" i="5"/>
  <c r="AS1013" i="5"/>
  <c r="AS1009" i="5"/>
  <c r="AT1009" i="5"/>
  <c r="AK1001" i="5"/>
  <c r="AZ1001" i="5"/>
  <c r="AJ1001" i="5"/>
  <c r="AL1001" i="5"/>
  <c r="AY1001" i="5"/>
  <c r="AS993" i="5"/>
  <c r="AT993" i="5"/>
  <c r="AR990" i="5"/>
  <c r="AK990" i="5"/>
  <c r="AW990" i="5"/>
  <c r="AX990" i="5" s="1"/>
  <c r="AI991" i="5"/>
  <c r="AJ990" i="5"/>
  <c r="AU990" i="5"/>
  <c r="AV990" i="5" s="1"/>
  <c r="AJ985" i="5"/>
  <c r="AY985" i="5"/>
  <c r="AK985" i="5"/>
  <c r="AL985" i="5"/>
  <c r="AZ985" i="5"/>
  <c r="AY981" i="5"/>
  <c r="AZ981" i="5"/>
  <c r="AL981" i="5"/>
  <c r="AJ981" i="5"/>
  <c r="AK981" i="5"/>
  <c r="AY965" i="5"/>
  <c r="AZ965" i="5"/>
  <c r="AZ961" i="5"/>
  <c r="AK961" i="5"/>
  <c r="AU961" i="5"/>
  <c r="AV961" i="5" s="1"/>
  <c r="AW961" i="5"/>
  <c r="AX961" i="5" s="1"/>
  <c r="AR961" i="5"/>
  <c r="AS961" i="5" s="1"/>
  <c r="AL961" i="5"/>
  <c r="AI962" i="5"/>
  <c r="AY961" i="5"/>
  <c r="AJ961" i="5"/>
  <c r="AT957" i="5"/>
  <c r="AS957" i="5"/>
  <c r="AS953" i="5"/>
  <c r="AT953" i="5"/>
  <c r="AY945" i="5"/>
  <c r="AK945" i="5"/>
  <c r="AZ945" i="5"/>
  <c r="AJ945" i="5"/>
  <c r="AI945" i="5"/>
  <c r="AL945" i="5"/>
  <c r="AL934" i="5"/>
  <c r="AJ934" i="5"/>
  <c r="AR934" i="5"/>
  <c r="AK934" i="5"/>
  <c r="AZ934" i="5"/>
  <c r="AU934" i="5"/>
  <c r="AV934" i="5" s="1"/>
  <c r="AW934" i="5"/>
  <c r="AX934" i="5" s="1"/>
  <c r="AI934" i="5"/>
  <c r="AY934" i="5"/>
  <c r="AI935" i="5"/>
  <c r="AY929" i="5"/>
  <c r="AL929" i="5"/>
  <c r="AI929" i="5"/>
  <c r="AJ929" i="5"/>
  <c r="AZ929" i="5"/>
  <c r="AJ925" i="5"/>
  <c r="AZ925" i="5"/>
  <c r="AL925" i="5"/>
  <c r="AY925" i="5"/>
  <c r="AI925" i="5"/>
  <c r="AS921" i="5"/>
  <c r="AT921" i="5"/>
  <c r="AT917" i="5"/>
  <c r="AS917" i="5"/>
  <c r="AY909" i="5"/>
  <c r="AJ909" i="5"/>
  <c r="AI909" i="5"/>
  <c r="AL905" i="5"/>
  <c r="AZ905" i="5"/>
  <c r="AY905" i="5"/>
  <c r="AW905" i="5"/>
  <c r="AX905" i="5" s="1"/>
  <c r="AR905" i="5"/>
  <c r="AT905" i="5" s="1"/>
  <c r="AK905" i="5"/>
  <c r="AU905" i="5"/>
  <c r="AV905" i="5" s="1"/>
  <c r="AI906" i="5"/>
  <c r="AJ905" i="5"/>
  <c r="AS901" i="5"/>
  <c r="AT901" i="5"/>
  <c r="AS897" i="5"/>
  <c r="AT897" i="5"/>
  <c r="AL889" i="5"/>
  <c r="AY889" i="5"/>
  <c r="AJ889" i="5"/>
  <c r="AZ889" i="5"/>
  <c r="AI889" i="5"/>
  <c r="AK889" i="5"/>
  <c r="AS881" i="5"/>
  <c r="AT881" i="5"/>
  <c r="AR878" i="5"/>
  <c r="AS878" i="5" s="1"/>
  <c r="AW878" i="5"/>
  <c r="AX878" i="5" s="1"/>
  <c r="AU878" i="5"/>
  <c r="AV878" i="5" s="1"/>
  <c r="AQ878" i="5"/>
  <c r="AZ878" i="5"/>
  <c r="AI879" i="5"/>
  <c r="AY878" i="5"/>
  <c r="AI878" i="5"/>
  <c r="AL878" i="5"/>
  <c r="AJ878" i="5"/>
  <c r="AK878" i="5"/>
  <c r="AK873" i="5"/>
  <c r="AL873" i="5"/>
  <c r="AI873" i="5"/>
  <c r="AQ873" i="5"/>
  <c r="AS865" i="5"/>
  <c r="AT865" i="5"/>
  <c r="AY853" i="5"/>
  <c r="AJ853" i="5"/>
  <c r="AK853" i="5"/>
  <c r="AZ853" i="5"/>
  <c r="AL853" i="5"/>
  <c r="AI853" i="5"/>
  <c r="AY849" i="5"/>
  <c r="AR849" i="5"/>
  <c r="AT849" i="5" s="1"/>
  <c r="AK849" i="5"/>
  <c r="AU849" i="5"/>
  <c r="AV849" i="5" s="1"/>
  <c r="AI849" i="5"/>
  <c r="AI850" i="5"/>
  <c r="AJ849" i="5"/>
  <c r="AZ849" i="5"/>
  <c r="AW849" i="5"/>
  <c r="AX849" i="5" s="1"/>
  <c r="AL849" i="5"/>
  <c r="AS845" i="5"/>
  <c r="AT845" i="5"/>
  <c r="AJ833" i="5"/>
  <c r="AZ833" i="5"/>
  <c r="AQ833" i="5"/>
  <c r="AY833" i="5"/>
  <c r="AK833" i="5"/>
  <c r="AJ2249" i="5"/>
  <c r="AK2249" i="5"/>
  <c r="AU2064" i="5"/>
  <c r="AV2064" i="5" s="1"/>
  <c r="AR2064" i="5"/>
  <c r="AS2064" i="5" s="1"/>
  <c r="AK2064" i="5"/>
  <c r="AT2031" i="5"/>
  <c r="AS2031" i="5"/>
  <c r="AK1880" i="5"/>
  <c r="AW1880" i="5"/>
  <c r="AX1880" i="5" s="1"/>
  <c r="AY1880" i="5"/>
  <c r="AK1819" i="5"/>
  <c r="AY1819" i="5"/>
  <c r="AT1791" i="5"/>
  <c r="AS1791" i="5"/>
  <c r="AJ1768" i="5"/>
  <c r="AY1768" i="5"/>
  <c r="AZ1768" i="5"/>
  <c r="AL1712" i="5"/>
  <c r="AZ1712" i="5"/>
  <c r="AI1713" i="5"/>
  <c r="AW1712" i="5"/>
  <c r="AX1712" i="5" s="1"/>
  <c r="AU1712" i="5"/>
  <c r="AV1712" i="5" s="1"/>
  <c r="AK1712" i="5"/>
  <c r="AL1683" i="5"/>
  <c r="AR1683" i="5"/>
  <c r="AS1683" i="5" s="1"/>
  <c r="AK1683" i="5"/>
  <c r="AY1683" i="5"/>
  <c r="AJ1683" i="5"/>
  <c r="AU1683" i="5"/>
  <c r="AV1683" i="5" s="1"/>
  <c r="AS1679" i="5"/>
  <c r="AT1679" i="5"/>
  <c r="AT1675" i="5"/>
  <c r="AS1675" i="5"/>
  <c r="AS2103" i="5"/>
  <c r="AQ1575" i="5"/>
  <c r="AQ1595" i="5"/>
  <c r="AI2219" i="5"/>
  <c r="AL2215" i="5"/>
  <c r="AY1319" i="5"/>
  <c r="AL1371" i="5"/>
  <c r="AJ1438" i="5"/>
  <c r="AS1587" i="5"/>
  <c r="AZ1570" i="5"/>
  <c r="AT1555" i="5"/>
  <c r="AK1687" i="5"/>
  <c r="AR1712" i="5"/>
  <c r="AT1712" i="5" s="1"/>
  <c r="AI1769" i="5"/>
  <c r="AI1819" i="5"/>
  <c r="AK1631" i="5"/>
  <c r="AZ1357" i="5"/>
  <c r="AZ2115" i="5"/>
  <c r="AY2115" i="5"/>
  <c r="AK1851" i="5"/>
  <c r="AR1851" i="5"/>
  <c r="AS1851" i="5" s="1"/>
  <c r="AW1851" i="5"/>
  <c r="AX1851" i="5" s="1"/>
  <c r="AI1852" i="5"/>
  <c r="AY1667" i="5"/>
  <c r="AK1667" i="5"/>
  <c r="AL1667" i="5"/>
  <c r="AY2209" i="5"/>
  <c r="AI1667" i="5"/>
  <c r="AQ2059" i="5"/>
  <c r="AQ2039" i="5"/>
  <c r="AT1933" i="5"/>
  <c r="AL2064" i="5"/>
  <c r="AT2205" i="5"/>
  <c r="AK2209" i="5"/>
  <c r="AQ2215" i="5"/>
  <c r="AI1627" i="5"/>
  <c r="AU1627" i="5"/>
  <c r="AV1627" i="5" s="1"/>
  <c r="AY1999" i="5"/>
  <c r="AJ1647" i="5"/>
  <c r="AQ2064" i="5"/>
  <c r="AI1815" i="5"/>
  <c r="AY2120" i="5"/>
  <c r="AQ1176" i="5"/>
  <c r="AQ1203" i="5"/>
  <c r="AQ1232" i="5"/>
  <c r="AQ1279" i="5"/>
  <c r="AQ1407" i="5"/>
  <c r="AQ1458" i="5"/>
  <c r="AQ1600" i="5"/>
  <c r="AQ1723" i="5"/>
  <c r="AL2008" i="5"/>
  <c r="AI1131" i="5"/>
  <c r="AI1263" i="5"/>
  <c r="AI1372" i="5"/>
  <c r="AI1167" i="5"/>
  <c r="AS1251" i="5"/>
  <c r="AL1283" i="5"/>
  <c r="AK1319" i="5"/>
  <c r="AY1386" i="5"/>
  <c r="AK1438" i="5"/>
  <c r="AL1600" i="5"/>
  <c r="AI1657" i="5"/>
  <c r="AZ1454" i="5"/>
  <c r="AT1430" i="5"/>
  <c r="AI1408" i="5"/>
  <c r="AL1687" i="5"/>
  <c r="AJ1723" i="5"/>
  <c r="AW1768" i="5"/>
  <c r="AX1768" i="5" s="1"/>
  <c r="AJ1851" i="5"/>
  <c r="AS1562" i="5"/>
  <c r="AZ1299" i="5"/>
  <c r="AT1363" i="5"/>
  <c r="AZ990" i="5"/>
  <c r="AY1223" i="5"/>
  <c r="AL1891" i="5"/>
  <c r="AK1891" i="5"/>
  <c r="AZ1891" i="5"/>
  <c r="AL1871" i="5"/>
  <c r="AZ1871" i="5"/>
  <c r="AY1871" i="5"/>
  <c r="AW1739" i="5"/>
  <c r="AX1739" i="5" s="1"/>
  <c r="AY1739" i="5"/>
  <c r="AI1739" i="5"/>
  <c r="AK1739" i="5"/>
  <c r="AZ1739" i="5"/>
  <c r="AS1731" i="5"/>
  <c r="AT1731" i="5"/>
  <c r="AT1695" i="5"/>
  <c r="AS1695" i="5"/>
  <c r="AL1627" i="5"/>
  <c r="AR1627" i="5"/>
  <c r="AT1627" i="5" s="1"/>
  <c r="AI2039" i="5"/>
  <c r="AS1917" i="5"/>
  <c r="AI1795" i="5"/>
  <c r="AQ1259" i="5"/>
  <c r="AQ1375" i="5"/>
  <c r="AQ1463" i="5"/>
  <c r="AQ1627" i="5"/>
  <c r="AQ1647" i="5"/>
  <c r="AQ1703" i="5"/>
  <c r="AJ2008" i="5"/>
  <c r="AI1187" i="5"/>
  <c r="AI1683" i="5"/>
  <c r="AI1375" i="5"/>
  <c r="AI1591" i="5"/>
  <c r="AI1335" i="5"/>
  <c r="AT1255" i="5"/>
  <c r="AU1288" i="5"/>
  <c r="AV1288" i="5" s="1"/>
  <c r="AT1327" i="5"/>
  <c r="AT1390" i="5"/>
  <c r="AT1603" i="5"/>
  <c r="AZ1631" i="5"/>
  <c r="AZ1667" i="5"/>
  <c r="AJ1570" i="5"/>
  <c r="AW1434" i="5"/>
  <c r="AX1434" i="5" s="1"/>
  <c r="AY1687" i="5"/>
  <c r="AK1723" i="5"/>
  <c r="AR1795" i="5"/>
  <c r="AT1795" i="5" s="1"/>
  <c r="AT1735" i="5"/>
  <c r="AK1575" i="5"/>
  <c r="AJ1243" i="5"/>
  <c r="AK925" i="5"/>
  <c r="AL990" i="5"/>
  <c r="AL965" i="5"/>
  <c r="AK2019" i="5"/>
  <c r="AJ2019" i="5"/>
  <c r="AJ1815" i="5"/>
  <c r="AY1815" i="5"/>
  <c r="AT1807" i="5"/>
  <c r="AS1807" i="5"/>
  <c r="AL1707" i="5"/>
  <c r="AK1707" i="5"/>
  <c r="AJ1707" i="5"/>
  <c r="AI1707" i="5"/>
  <c r="AK1627" i="5"/>
  <c r="AJ1999" i="5"/>
  <c r="AY1647" i="5"/>
  <c r="AW2064" i="5"/>
  <c r="AX2064" i="5" s="1"/>
  <c r="AL2209" i="5"/>
  <c r="AM1855" i="5"/>
  <c r="AJ2209" i="5"/>
  <c r="AI2065" i="5"/>
  <c r="AY1627" i="5"/>
  <c r="AI1651" i="5"/>
  <c r="AQ2131" i="5"/>
  <c r="AQ2218" i="5"/>
  <c r="AQ2075" i="5"/>
  <c r="AQ1819" i="5"/>
  <c r="AQ1207" i="5"/>
  <c r="AQ1283" i="5"/>
  <c r="AQ1315" i="5"/>
  <c r="AQ1335" i="5"/>
  <c r="AQ1355" i="5"/>
  <c r="AQ1386" i="5"/>
  <c r="AQ1434" i="5"/>
  <c r="AQ1683" i="5"/>
  <c r="AW2008" i="5"/>
  <c r="AX2008" i="5" s="1"/>
  <c r="AZ2008" i="5"/>
  <c r="AL2019" i="5"/>
  <c r="AZ2019" i="5"/>
  <c r="AI1207" i="5"/>
  <c r="AI1703" i="5"/>
  <c r="AI1259" i="5"/>
  <c r="AI1611" i="5"/>
  <c r="AJ1203" i="5"/>
  <c r="AJ1288" i="5"/>
  <c r="AY1344" i="5"/>
  <c r="AR1656" i="5"/>
  <c r="AT1656" i="5" s="1"/>
  <c r="AK1570" i="5"/>
  <c r="AL1703" i="5"/>
  <c r="AW1795" i="5"/>
  <c r="AX1795" i="5" s="1"/>
  <c r="AI1454" i="5"/>
  <c r="AZ1815" i="5"/>
  <c r="AI1358" i="5"/>
  <c r="AY1595" i="5"/>
  <c r="AL909" i="5"/>
  <c r="AJ1147" i="5"/>
  <c r="AJ965" i="5"/>
  <c r="AT1843" i="5"/>
  <c r="AS1843" i="5"/>
  <c r="AW1824" i="5"/>
  <c r="AX1824" i="5" s="1"/>
  <c r="AY1824" i="5"/>
  <c r="AL1824" i="5"/>
  <c r="AJ1824" i="5"/>
  <c r="AL1763" i="5"/>
  <c r="AK1763" i="5"/>
  <c r="AJ1763" i="5"/>
  <c r="AJ1743" i="5"/>
  <c r="AY1743" i="5"/>
  <c r="AI2209" i="5"/>
  <c r="AL2171" i="5"/>
  <c r="AY2064" i="5"/>
  <c r="AJ1627" i="5"/>
  <c r="AZ1651" i="5"/>
  <c r="AZ1999" i="5"/>
  <c r="AY2055" i="5"/>
  <c r="AK2301" i="5"/>
  <c r="AQ2035" i="5"/>
  <c r="AQ1667" i="5"/>
  <c r="AI2008" i="5"/>
  <c r="AQ1288" i="5"/>
  <c r="AQ1656" i="5"/>
  <c r="AQ1707" i="5"/>
  <c r="AQ1763" i="5"/>
  <c r="AM1987" i="5"/>
  <c r="AI2009" i="5"/>
  <c r="AU2008" i="5"/>
  <c r="AV2008" i="5" s="1"/>
  <c r="AI1315" i="5"/>
  <c r="AI1891" i="5"/>
  <c r="AY1559" i="5"/>
  <c r="AI1631" i="5"/>
  <c r="AI1232" i="5"/>
  <c r="AI1344" i="5"/>
  <c r="AR1203" i="5"/>
  <c r="AT1203" i="5" s="1"/>
  <c r="AZ1259" i="5"/>
  <c r="AS1291" i="5"/>
  <c r="AL1344" i="5"/>
  <c r="AJ1402" i="5"/>
  <c r="AY1651" i="5"/>
  <c r="AZ1434" i="5"/>
  <c r="AL1575" i="5"/>
  <c r="AJ1703" i="5"/>
  <c r="AJ1739" i="5"/>
  <c r="AJ1795" i="5"/>
  <c r="AU2091" i="5"/>
  <c r="AV2091" i="5" s="1"/>
  <c r="AT1623" i="5"/>
  <c r="AJ2091" i="5"/>
  <c r="AU1386" i="5"/>
  <c r="AV1386" i="5" s="1"/>
  <c r="AY873" i="5"/>
  <c r="AL1151" i="5"/>
  <c r="AK965" i="5"/>
  <c r="AZ1023" i="5"/>
  <c r="AS973" i="5"/>
  <c r="AS1991" i="5"/>
  <c r="AT1991" i="5"/>
  <c r="AS1903" i="5"/>
  <c r="AT1903" i="5"/>
  <c r="AJ1855" i="5"/>
  <c r="AK1855" i="5"/>
  <c r="AZ1779" i="5"/>
  <c r="AY1779" i="5"/>
  <c r="AL1779" i="5"/>
  <c r="AJ1779" i="5"/>
  <c r="AJ1759" i="5"/>
  <c r="AL1759" i="5"/>
  <c r="AY1759" i="5"/>
  <c r="AJ2171" i="5"/>
  <c r="AZ1627" i="5"/>
  <c r="AM1651" i="5"/>
  <c r="AK1999" i="5"/>
  <c r="AL2091" i="5"/>
  <c r="AK1824" i="5"/>
  <c r="AI1799" i="5"/>
  <c r="AK2120" i="5"/>
  <c r="AQ1243" i="5"/>
  <c r="AQ1263" i="5"/>
  <c r="AQ1339" i="5"/>
  <c r="AQ1438" i="5"/>
  <c r="AQ1570" i="5"/>
  <c r="AQ1631" i="5"/>
  <c r="AQ1712" i="5"/>
  <c r="AQ1739" i="5"/>
  <c r="AQ1768" i="5"/>
  <c r="AQ1824" i="5"/>
  <c r="AS1995" i="5"/>
  <c r="AI1243" i="5"/>
  <c r="AI1570" i="5"/>
  <c r="AI1459" i="5"/>
  <c r="AI1418" i="5"/>
  <c r="AK1203" i="5"/>
  <c r="AJ1259" i="5"/>
  <c r="AJ1315" i="5"/>
  <c r="AZ1344" i="5"/>
  <c r="AY1407" i="5"/>
  <c r="AJ1611" i="5"/>
  <c r="AW1407" i="5"/>
  <c r="AX1407" i="5" s="1"/>
  <c r="AZ1656" i="5"/>
  <c r="AZ1647" i="5"/>
  <c r="AJ1559" i="5"/>
  <c r="AU1739" i="5"/>
  <c r="AV1739" i="5" s="1"/>
  <c r="AY1855" i="5"/>
  <c r="AL2035" i="5"/>
  <c r="AZ1987" i="5"/>
  <c r="AI1825" i="5"/>
  <c r="AI1024" i="5"/>
  <c r="AJ1398" i="5"/>
  <c r="AK929" i="5"/>
  <c r="AI1233" i="5"/>
  <c r="AJ1151" i="5"/>
  <c r="AI985" i="5"/>
  <c r="AJ1125" i="5"/>
  <c r="AY1023" i="5"/>
  <c r="AT977" i="5"/>
  <c r="AK2151" i="5"/>
  <c r="AZ2151" i="5"/>
  <c r="AL1835" i="5"/>
  <c r="AJ1835" i="5"/>
  <c r="AT1771" i="5"/>
  <c r="AS1771" i="5"/>
  <c r="AZ1723" i="5"/>
  <c r="AI1723" i="5"/>
  <c r="AY1703" i="5"/>
  <c r="AZ1703" i="5"/>
  <c r="AT1699" i="5"/>
  <c r="AS1699" i="5"/>
  <c r="AQ1651" i="5"/>
  <c r="AJ2064" i="5"/>
  <c r="AJ1651" i="5"/>
  <c r="AQ2245" i="5"/>
  <c r="AR2008" i="5"/>
  <c r="AS2008" i="5" s="1"/>
  <c r="AY1891" i="5"/>
  <c r="AZ2171" i="5"/>
  <c r="AI2190" i="5"/>
  <c r="AM1819" i="5"/>
  <c r="AK2091" i="5"/>
  <c r="AL2285" i="5"/>
  <c r="AU1824" i="5"/>
  <c r="AV1824" i="5" s="1"/>
  <c r="AW2245" i="5"/>
  <c r="AX2245" i="5" s="1"/>
  <c r="AJ2301" i="5"/>
  <c r="AQ2091" i="5"/>
  <c r="AQ1795" i="5"/>
  <c r="AK2215" i="5"/>
  <c r="AQ1223" i="5"/>
  <c r="AQ1319" i="5"/>
  <c r="AQ1344" i="5"/>
  <c r="AQ1418" i="5"/>
  <c r="AQ1591" i="5"/>
  <c r="AQ1687" i="5"/>
  <c r="AQ1875" i="5"/>
  <c r="AI1018" i="5"/>
  <c r="AY1232" i="5"/>
  <c r="AL1263" i="5"/>
  <c r="AW1315" i="5"/>
  <c r="AX1315" i="5" s="1"/>
  <c r="AJ1371" i="5"/>
  <c r="AJ1407" i="5"/>
  <c r="AT1566" i="5"/>
  <c r="AK1402" i="5"/>
  <c r="AI1402" i="5"/>
  <c r="AL1647" i="5"/>
  <c r="AY1631" i="5"/>
  <c r="AZ1683" i="5"/>
  <c r="AY1707" i="5"/>
  <c r="AK1743" i="5"/>
  <c r="AZ1875" i="5"/>
  <c r="AZ2039" i="5"/>
  <c r="AJ1987" i="5"/>
  <c r="AK1463" i="5"/>
  <c r="AT1811" i="5"/>
  <c r="AK1223" i="5"/>
  <c r="AL1454" i="5"/>
  <c r="AZ1232" i="5"/>
  <c r="AK909" i="5"/>
  <c r="AJ1171" i="5"/>
  <c r="AJ1037" i="5"/>
  <c r="AJ822" i="5"/>
  <c r="AI823" i="5"/>
  <c r="AZ822" i="5"/>
  <c r="AY822" i="5"/>
  <c r="AK822" i="5"/>
  <c r="AJ813" i="5"/>
  <c r="AZ813" i="5"/>
  <c r="AK813" i="5"/>
  <c r="AT805" i="5"/>
  <c r="AS805" i="5"/>
  <c r="AL797" i="5"/>
  <c r="AJ797" i="5"/>
  <c r="AY797" i="5"/>
  <c r="AZ793" i="5"/>
  <c r="AK793" i="5"/>
  <c r="AY793" i="5"/>
  <c r="AL793" i="5"/>
  <c r="AS789" i="5"/>
  <c r="AT789" i="5"/>
  <c r="AZ777" i="5"/>
  <c r="AK777" i="5"/>
  <c r="AL777" i="5"/>
  <c r="AY777" i="5"/>
  <c r="AJ777" i="5"/>
  <c r="AJ766" i="5"/>
  <c r="AU766" i="5"/>
  <c r="AV766" i="5" s="1"/>
  <c r="AI767" i="5"/>
  <c r="AR766" i="5"/>
  <c r="AY766" i="5"/>
  <c r="AJ761" i="5"/>
  <c r="AL761" i="5"/>
  <c r="AK761" i="5"/>
  <c r="AY761" i="5"/>
  <c r="AS753" i="5"/>
  <c r="AT753" i="5"/>
  <c r="AT749" i="5"/>
  <c r="AS749" i="5"/>
  <c r="AY741" i="5"/>
  <c r="AL741" i="5"/>
  <c r="AK737" i="5"/>
  <c r="AI737" i="5"/>
  <c r="AY737" i="5"/>
  <c r="AL737" i="5"/>
  <c r="AJ737" i="5"/>
  <c r="AS733" i="5"/>
  <c r="AT733" i="5"/>
  <c r="AS729" i="5"/>
  <c r="AT729" i="5"/>
  <c r="AJ721" i="5"/>
  <c r="AL721" i="5"/>
  <c r="AK710" i="5"/>
  <c r="AJ710" i="5"/>
  <c r="AU710" i="5"/>
  <c r="AV710" i="5" s="1"/>
  <c r="AI711" i="5"/>
  <c r="AR710" i="5"/>
  <c r="AT710" i="5" s="1"/>
  <c r="AL710" i="5"/>
  <c r="AW710" i="5"/>
  <c r="AX710" i="5" s="1"/>
  <c r="AJ705" i="5"/>
  <c r="AI705" i="5"/>
  <c r="AL705" i="5"/>
  <c r="AT662" i="5"/>
  <c r="AS662" i="5"/>
  <c r="AK631" i="5"/>
  <c r="AY631" i="5"/>
  <c r="AU631" i="5"/>
  <c r="AV631" i="5" s="1"/>
  <c r="AJ631" i="5"/>
  <c r="AL631" i="5"/>
  <c r="AI632" i="5"/>
  <c r="AK622" i="5"/>
  <c r="AJ622" i="5"/>
  <c r="AJ530" i="5"/>
  <c r="AZ530" i="5"/>
  <c r="AY530" i="5"/>
  <c r="AS522" i="5"/>
  <c r="AT522" i="5"/>
  <c r="AW519" i="5"/>
  <c r="AX519" i="5" s="1"/>
  <c r="AU519" i="5"/>
  <c r="AV519" i="5" s="1"/>
  <c r="AR519" i="5"/>
  <c r="AT519" i="5" s="1"/>
  <c r="AL519" i="5"/>
  <c r="AK519" i="5"/>
  <c r="AY514" i="5"/>
  <c r="AI514" i="5"/>
  <c r="AK514" i="5"/>
  <c r="AZ510" i="5"/>
  <c r="AL510" i="5"/>
  <c r="AJ510" i="5"/>
  <c r="AY510" i="5"/>
  <c r="AS502" i="5"/>
  <c r="AT502" i="5"/>
  <c r="AJ494" i="5"/>
  <c r="AZ494" i="5"/>
  <c r="AI490" i="5"/>
  <c r="AJ490" i="5"/>
  <c r="AJ474" i="5"/>
  <c r="AL474" i="5"/>
  <c r="AY474" i="5"/>
  <c r="AI464" i="5"/>
  <c r="AR463" i="5"/>
  <c r="AL463" i="5"/>
  <c r="AW463" i="5"/>
  <c r="AX463" i="5" s="1"/>
  <c r="AZ463" i="5"/>
  <c r="AZ458" i="5"/>
  <c r="AJ458" i="5"/>
  <c r="AL454" i="5"/>
  <c r="AK454" i="5"/>
  <c r="AJ454" i="5"/>
  <c r="AY454" i="5"/>
  <c r="AT446" i="5"/>
  <c r="AS446" i="5"/>
  <c r="AL438" i="5"/>
  <c r="AY438" i="5"/>
  <c r="AZ438" i="5"/>
  <c r="AJ438" i="5"/>
  <c r="AS2343" i="5"/>
  <c r="AT2343" i="5"/>
  <c r="AS2263" i="5"/>
  <c r="AT2263" i="5"/>
  <c r="AI822" i="5"/>
  <c r="AI741" i="5"/>
  <c r="AI757" i="5"/>
  <c r="AQ793" i="5"/>
  <c r="AZ705" i="5"/>
  <c r="AS634" i="5"/>
  <c r="AZ766" i="5"/>
  <c r="AK766" i="5"/>
  <c r="AW793" i="5"/>
  <c r="AX793" i="5" s="1"/>
  <c r="AS825" i="5"/>
  <c r="AZ757" i="5"/>
  <c r="AZ622" i="5"/>
  <c r="AT785" i="5"/>
  <c r="AJ514" i="5"/>
  <c r="AQ797" i="5"/>
  <c r="AY705" i="5"/>
  <c r="AW631" i="5"/>
  <c r="AX631" i="5" s="1"/>
  <c r="AS638" i="5"/>
  <c r="AU822" i="5"/>
  <c r="AV822" i="5" s="1"/>
  <c r="AR793" i="5"/>
  <c r="AS793" i="5" s="1"/>
  <c r="AK721" i="5"/>
  <c r="AK757" i="5"/>
  <c r="AZ514" i="5"/>
  <c r="AL514" i="5"/>
  <c r="AI777" i="5"/>
  <c r="AR822" i="5"/>
  <c r="AT822" i="5" s="1"/>
  <c r="AU793" i="5"/>
  <c r="AV793" i="5" s="1"/>
  <c r="AZ721" i="5"/>
  <c r="AY757" i="5"/>
  <c r="AL530" i="5"/>
  <c r="AK530" i="5"/>
  <c r="AZ797" i="5"/>
  <c r="AW822" i="5"/>
  <c r="AX822" i="5" s="1"/>
  <c r="AJ793" i="5"/>
  <c r="AY721" i="5"/>
  <c r="AL757" i="5"/>
  <c r="AS658" i="5"/>
  <c r="AR631" i="5"/>
  <c r="AQ777" i="5"/>
  <c r="AI721" i="5"/>
  <c r="AK797" i="5"/>
  <c r="AZ737" i="5"/>
  <c r="AZ761" i="5"/>
  <c r="AT713" i="5"/>
  <c r="AZ631" i="5"/>
  <c r="AK510" i="5"/>
  <c r="AZ418" i="5"/>
  <c r="AK382" i="5"/>
  <c r="AL398" i="5"/>
  <c r="AU407" i="5"/>
  <c r="AV407" i="5" s="1"/>
  <c r="AI346" i="5"/>
  <c r="AL351" i="5"/>
  <c r="AS354" i="5"/>
  <c r="AS394" i="5"/>
  <c r="AY326" i="5"/>
  <c r="AI419" i="5"/>
  <c r="AL418" i="5"/>
  <c r="AK378" i="5"/>
  <c r="AJ382" i="5"/>
  <c r="AZ402" i="5"/>
  <c r="AK407" i="5"/>
  <c r="AI347" i="5"/>
  <c r="AU351" i="5"/>
  <c r="AV351" i="5" s="1"/>
  <c r="AL326" i="5"/>
  <c r="AK434" i="5"/>
  <c r="AZ407" i="5"/>
  <c r="AY407" i="5"/>
  <c r="AJ378" i="5"/>
  <c r="AK402" i="5"/>
  <c r="AL407" i="5"/>
  <c r="AY346" i="5"/>
  <c r="AY351" i="5"/>
  <c r="AY362" i="5"/>
  <c r="AL434" i="5"/>
  <c r="AY434" i="5"/>
  <c r="AI402" i="5"/>
  <c r="AJ434" i="5"/>
  <c r="AS426" i="5"/>
  <c r="AS1081" i="5"/>
  <c r="D5111" i="5"/>
  <c r="D5114" i="5" s="1"/>
  <c r="D5117" i="5" s="1"/>
  <c r="D5120" i="5" s="1"/>
  <c r="U4987" i="5"/>
  <c r="AT2163" i="5"/>
  <c r="AM1437" i="5"/>
  <c r="C5144" i="5"/>
  <c r="G4737" i="5"/>
  <c r="H4737" i="5" s="1"/>
  <c r="AY2242" i="5"/>
  <c r="G4733" i="5"/>
  <c r="H4733" i="5" s="1"/>
  <c r="AM754" i="5"/>
  <c r="AS1572" i="5"/>
  <c r="AM621" i="5"/>
  <c r="AM579" i="5"/>
  <c r="AM523" i="5"/>
  <c r="AM467" i="5"/>
  <c r="AM439" i="5"/>
  <c r="AM382" i="5"/>
  <c r="AM354" i="5"/>
  <c r="AM340" i="5"/>
  <c r="AM1015" i="5"/>
  <c r="AM1001" i="5"/>
  <c r="AM945" i="5"/>
  <c r="AM917" i="5"/>
  <c r="AM903" i="5"/>
  <c r="AM889" i="5"/>
  <c r="AM861" i="5"/>
  <c r="AM847" i="5"/>
  <c r="AM833" i="5"/>
  <c r="AM805" i="5"/>
  <c r="AM763" i="5"/>
  <c r="AM749" i="5"/>
  <c r="AM1333" i="5"/>
  <c r="AM1291" i="5"/>
  <c r="AM1277" i="5"/>
  <c r="AM1263" i="5"/>
  <c r="AM1249" i="5"/>
  <c r="AM1235" i="5"/>
  <c r="AM1221" i="5"/>
  <c r="AM1207" i="5"/>
  <c r="AM1179" i="5"/>
  <c r="AM1137" i="5"/>
  <c r="AM1916" i="5"/>
  <c r="AM1885" i="5"/>
  <c r="AM1871" i="5"/>
  <c r="AM1857" i="5"/>
  <c r="AM1829" i="5"/>
  <c r="AM1815" i="5"/>
  <c r="AM1787" i="5"/>
  <c r="AM1745" i="5"/>
  <c r="AM1717" i="5"/>
  <c r="AQ2254" i="5"/>
  <c r="AT1711" i="5"/>
  <c r="AM1020" i="5"/>
  <c r="AT807" i="5"/>
  <c r="C5026" i="5"/>
  <c r="AM1515" i="5"/>
  <c r="U4988" i="5"/>
  <c r="F4992" i="5" s="1"/>
  <c r="AM1374" i="5"/>
  <c r="I5144" i="5"/>
  <c r="AM720" i="5"/>
  <c r="AM706" i="5"/>
  <c r="AM1304" i="5"/>
  <c r="AM1661" i="5"/>
  <c r="AM1647" i="5"/>
  <c r="AM1619" i="5"/>
  <c r="AM1605" i="5"/>
  <c r="AM1577" i="5"/>
  <c r="AM1563" i="5"/>
  <c r="AM2180" i="5"/>
  <c r="AM2166" i="5"/>
  <c r="AM2026" i="5"/>
  <c r="AQ2352" i="5"/>
  <c r="AQ2351" i="5"/>
  <c r="AQ2335" i="5"/>
  <c r="AQ2330" i="5"/>
  <c r="AM2305" i="5"/>
  <c r="AQ2239" i="5"/>
  <c r="AQ1926" i="5"/>
  <c r="AI2034" i="5"/>
  <c r="AY2305" i="5"/>
  <c r="AT2241" i="5"/>
  <c r="AY2249" i="5"/>
  <c r="AK2265" i="5"/>
  <c r="AT2293" i="5"/>
  <c r="AQ2249" i="5"/>
  <c r="W4840" i="5"/>
  <c r="F4846" i="5" s="1"/>
  <c r="AY1835" i="5"/>
  <c r="AZ1855" i="5"/>
  <c r="AY1875" i="5"/>
  <c r="AL1880" i="5"/>
  <c r="AJ1891" i="5"/>
  <c r="AJ2003" i="5"/>
  <c r="AR2035" i="5"/>
  <c r="AS2035" i="5" s="1"/>
  <c r="AK2039" i="5"/>
  <c r="AJ2167" i="5"/>
  <c r="AK2131" i="5"/>
  <c r="AK2059" i="5"/>
  <c r="AL1987" i="5"/>
  <c r="AL1799" i="5"/>
  <c r="AY1763" i="5"/>
  <c r="Q5143" i="5"/>
  <c r="Q5144" i="5" s="1"/>
  <c r="AQ2265" i="5"/>
  <c r="AS829" i="5"/>
  <c r="AZ2265" i="5"/>
  <c r="AS2257" i="5"/>
  <c r="AZ1835" i="5"/>
  <c r="AS1867" i="5"/>
  <c r="AL1875" i="5"/>
  <c r="AJ1880" i="5"/>
  <c r="AZ2003" i="5"/>
  <c r="AZ2035" i="5"/>
  <c r="AJ2039" i="5"/>
  <c r="AU2176" i="5"/>
  <c r="AV2176" i="5" s="1"/>
  <c r="AZ2111" i="5"/>
  <c r="AS2179" i="5"/>
  <c r="AT2087" i="5"/>
  <c r="AZ2189" i="5"/>
  <c r="AS2047" i="5"/>
  <c r="AY1987" i="5"/>
  <c r="AK2075" i="5"/>
  <c r="AK1835" i="5"/>
  <c r="AZ2305" i="5"/>
  <c r="AJ2265" i="5"/>
  <c r="I5141" i="5"/>
  <c r="AT1238" i="5"/>
  <c r="AS2357" i="5"/>
  <c r="AS863" i="5"/>
  <c r="AK2218" i="5"/>
  <c r="AQ2120" i="5"/>
  <c r="AY2019" i="5"/>
  <c r="AI2216" i="5"/>
  <c r="AI1763" i="5"/>
  <c r="AU1768" i="5"/>
  <c r="AV1768" i="5" s="1"/>
  <c r="AK1779" i="5"/>
  <c r="AK1815" i="5"/>
  <c r="AT1847" i="5"/>
  <c r="AK1875" i="5"/>
  <c r="AR1880" i="5"/>
  <c r="AS1880" i="5" s="1"/>
  <c r="AY2003" i="5"/>
  <c r="AJ2035" i="5"/>
  <c r="AL2039" i="5"/>
  <c r="AZ2176" i="5"/>
  <c r="AS2221" i="5"/>
  <c r="AL2059" i="5"/>
  <c r="AI2059" i="5"/>
  <c r="AY2213" i="5"/>
  <c r="AT2027" i="5"/>
  <c r="AS2123" i="5"/>
  <c r="AJ2059" i="5"/>
  <c r="AJ1799" i="5"/>
  <c r="AL1819" i="5"/>
  <c r="AJ2305" i="5"/>
  <c r="AI1743" i="5"/>
  <c r="AI1724" i="5"/>
  <c r="AJ1712" i="5"/>
  <c r="AY1723" i="5"/>
  <c r="AR1739" i="5"/>
  <c r="AZ1763" i="5"/>
  <c r="AR1768" i="5"/>
  <c r="AT1768" i="5" s="1"/>
  <c r="AY1795" i="5"/>
  <c r="AL1815" i="5"/>
  <c r="AJ1871" i="5"/>
  <c r="AZ1880" i="5"/>
  <c r="AT1883" i="5"/>
  <c r="AK2003" i="5"/>
  <c r="AU2035" i="5"/>
  <c r="AV2035" i="5" s="1"/>
  <c r="AZ2075" i="5"/>
  <c r="AY1851" i="5"/>
  <c r="AS2051" i="5"/>
  <c r="AZ1759" i="5"/>
  <c r="AZ2064" i="5"/>
  <c r="AL2245" i="5"/>
  <c r="AL2003" i="5"/>
  <c r="AL1739" i="5"/>
  <c r="AZ1824" i="5"/>
  <c r="AK1799" i="5"/>
  <c r="AS1787" i="5"/>
  <c r="AU1851" i="5"/>
  <c r="AV1851" i="5" s="1"/>
  <c r="AR1407" i="5"/>
  <c r="AS1407" i="5" s="1"/>
  <c r="AL1851" i="5"/>
  <c r="AK1871" i="5"/>
  <c r="AI1881" i="5"/>
  <c r="AS2011" i="5"/>
  <c r="AK2035" i="5"/>
  <c r="AL2075" i="5"/>
  <c r="AI2171" i="5"/>
  <c r="AS1863" i="5"/>
  <c r="AJ2115" i="5"/>
  <c r="AS1913" i="5"/>
  <c r="AY2075" i="5"/>
  <c r="AY2245" i="5"/>
  <c r="AI2115" i="5"/>
  <c r="AT1827" i="5"/>
  <c r="AK1759" i="5"/>
  <c r="AI2230" i="5"/>
  <c r="AK2285" i="5"/>
  <c r="AZ2245" i="5"/>
  <c r="AM1248" i="5"/>
  <c r="AM2249" i="5"/>
  <c r="AM2375" i="5"/>
  <c r="AR2218" i="5"/>
  <c r="AT2218" i="5" s="1"/>
  <c r="AS1937" i="5"/>
  <c r="AZ2215" i="5"/>
  <c r="AZ1743" i="5"/>
  <c r="AK1768" i="5"/>
  <c r="AK1795" i="5"/>
  <c r="AZ1851" i="5"/>
  <c r="AU1880" i="5"/>
  <c r="AV1880" i="5" s="1"/>
  <c r="AY2035" i="5"/>
  <c r="AI2121" i="5"/>
  <c r="AU2218" i="5"/>
  <c r="AV2218" i="5" s="1"/>
  <c r="AZ2059" i="5"/>
  <c r="AL1743" i="5"/>
  <c r="AK2115" i="5"/>
  <c r="AL1855" i="5"/>
  <c r="AY1799" i="5"/>
  <c r="AT2083" i="5"/>
  <c r="AT2067" i="5"/>
  <c r="AZ1819" i="5"/>
  <c r="AL1795" i="5"/>
  <c r="AL2115" i="5"/>
  <c r="AJ1819" i="5"/>
  <c r="AJ1667" i="5"/>
  <c r="AM1370" i="5"/>
  <c r="AM1356" i="5"/>
  <c r="AM1314" i="5"/>
  <c r="AM1132" i="5"/>
  <c r="AM1928" i="5"/>
  <c r="AM1869" i="5"/>
  <c r="AM1617" i="5"/>
  <c r="AM2292" i="5"/>
  <c r="AM2264" i="5"/>
  <c r="AM2250" i="5"/>
  <c r="AM2236" i="5"/>
  <c r="AM1072" i="5"/>
  <c r="AN3692" i="5"/>
  <c r="AO3692" i="5" s="1"/>
  <c r="AP3692" i="5" s="1"/>
  <c r="AR3692" i="5" s="1"/>
  <c r="AN3687" i="5"/>
  <c r="AO3687" i="5" s="1"/>
  <c r="AP3687" i="5" s="1"/>
  <c r="AR3687" i="5" s="1"/>
  <c r="AQ2357" i="5"/>
  <c r="AI2287" i="5"/>
  <c r="AQ2257" i="5"/>
  <c r="AQ2190" i="5"/>
  <c r="AQ2179" i="5"/>
  <c r="AQ2175" i="5"/>
  <c r="AQ2139" i="5"/>
  <c r="AI2138" i="5"/>
  <c r="AQ2123" i="5"/>
  <c r="AQ2119" i="5"/>
  <c r="AQ2107" i="5"/>
  <c r="AQ2087" i="5"/>
  <c r="AQ2083" i="5"/>
  <c r="AQ2067" i="5"/>
  <c r="AQ2063" i="5"/>
  <c r="AQ2051" i="5"/>
  <c r="AQ2047" i="5"/>
  <c r="AQ2031" i="5"/>
  <c r="AQ2027" i="5"/>
  <c r="AQ1995" i="5"/>
  <c r="AQ1937" i="5"/>
  <c r="AQ1913" i="5"/>
  <c r="AQ1811" i="5"/>
  <c r="AQ1796" i="5"/>
  <c r="AQ1755" i="5"/>
  <c r="AQ1731" i="5"/>
  <c r="M3019" i="5"/>
  <c r="F3019" i="5" s="1"/>
  <c r="L3019" i="5" s="1"/>
  <c r="AM944" i="5"/>
  <c r="AM846" i="5"/>
  <c r="AM734" i="5"/>
  <c r="AM1419" i="5"/>
  <c r="AM1391" i="5"/>
  <c r="AM1674" i="5"/>
  <c r="AM1604" i="5"/>
  <c r="AM1576" i="5"/>
  <c r="AM2356" i="5"/>
  <c r="AM2321" i="5"/>
  <c r="AM2279" i="5"/>
  <c r="AM2222" i="5"/>
  <c r="AM2179" i="5"/>
  <c r="AM2165" i="5"/>
  <c r="AN3786" i="5"/>
  <c r="AQ3786" i="5" s="1"/>
  <c r="AT413" i="5"/>
  <c r="AN3452" i="5"/>
  <c r="AQ3452" i="5" s="1"/>
  <c r="AQ2362" i="5"/>
  <c r="AQ2360" i="5"/>
  <c r="AQ2356" i="5"/>
  <c r="AQ2332" i="5"/>
  <c r="AQ2328" i="5"/>
  <c r="AQ2318" i="5"/>
  <c r="AQ2292" i="5"/>
  <c r="AQ2291" i="5"/>
  <c r="AQ2276" i="5"/>
  <c r="AQ2275" i="5"/>
  <c r="AQ2271" i="5"/>
  <c r="AQ2270" i="5"/>
  <c r="AQ2256" i="5"/>
  <c r="AQ2255" i="5"/>
  <c r="AQ2252" i="5"/>
  <c r="AQ2236" i="5"/>
  <c r="AQ2231" i="5"/>
  <c r="AQ2225" i="5"/>
  <c r="AQ2220" i="5"/>
  <c r="AQ2219" i="5"/>
  <c r="AQ2216" i="5"/>
  <c r="AQ2200" i="5"/>
  <c r="AQ2199" i="5"/>
  <c r="AQ2196" i="5"/>
  <c r="AQ2183" i="5"/>
  <c r="AQ2178" i="5"/>
  <c r="AQ2174" i="5"/>
  <c r="AQ2173" i="5"/>
  <c r="AQ2172" i="5"/>
  <c r="AQ2162" i="5"/>
  <c r="AQ2158" i="5"/>
  <c r="AQ2154" i="5"/>
  <c r="AQ2133" i="5"/>
  <c r="AQ2132" i="5"/>
  <c r="AQ2122" i="5"/>
  <c r="AQ2102" i="5"/>
  <c r="AQ2097" i="5"/>
  <c r="AQ2086" i="5"/>
  <c r="AQ2081" i="5"/>
  <c r="AQ2080" i="5"/>
  <c r="AQ2077" i="5"/>
  <c r="AQ2066" i="5"/>
  <c r="AQ2065" i="5"/>
  <c r="AQ2061" i="5"/>
  <c r="AQ2042" i="5"/>
  <c r="AQ2030" i="5"/>
  <c r="AQ2026" i="5"/>
  <c r="AQ2025" i="5"/>
  <c r="AQ2015" i="5"/>
  <c r="AQ2010" i="5"/>
  <c r="AQ2006" i="5"/>
  <c r="AQ1994" i="5"/>
  <c r="AQ1990" i="5"/>
  <c r="AQ1989" i="5"/>
  <c r="AQ1932" i="5"/>
  <c r="AQ1928" i="5"/>
  <c r="AQ1927" i="5"/>
  <c r="AQ1912" i="5"/>
  <c r="AQ1908" i="5"/>
  <c r="AQ1906" i="5"/>
  <c r="AQ1902" i="5"/>
  <c r="AQ1901" i="5"/>
  <c r="AQ1898" i="5"/>
  <c r="AQ1897" i="5"/>
  <c r="AQ1810" i="5"/>
  <c r="AQ1805" i="5"/>
  <c r="AQ1802" i="5"/>
  <c r="AQ1801" i="5"/>
  <c r="AQ1790" i="5"/>
  <c r="AQ1789" i="5"/>
  <c r="AQ1786" i="5"/>
  <c r="AQ1785" i="5"/>
  <c r="AQ1775" i="5"/>
  <c r="AQ1770" i="5"/>
  <c r="AQ1765" i="5"/>
  <c r="AQ1754" i="5"/>
  <c r="AQ1751" i="5"/>
  <c r="AQ1750" i="5"/>
  <c r="AQ1746" i="5"/>
  <c r="AQ1745" i="5"/>
  <c r="AQ1734" i="5"/>
  <c r="AQ1729" i="5"/>
  <c r="AQ1725" i="5"/>
  <c r="AQ1719" i="5"/>
  <c r="M3665" i="5"/>
  <c r="L3665" i="5" s="1"/>
  <c r="M2692" i="5"/>
  <c r="L2692" i="5" s="1"/>
  <c r="AM1150" i="5"/>
  <c r="AQ1882" i="5"/>
  <c r="AQ1867" i="5"/>
  <c r="AQ1862" i="5"/>
  <c r="AQ1858" i="5"/>
  <c r="AQ1857" i="5"/>
  <c r="AQ1846" i="5"/>
  <c r="AQ1837" i="5"/>
  <c r="AQ1831" i="5"/>
  <c r="AQ1823" i="5"/>
  <c r="AQ1821" i="5"/>
  <c r="AQ1715" i="5"/>
  <c r="AQ1714" i="5"/>
  <c r="AQ1713" i="5"/>
  <c r="AQ1710" i="5"/>
  <c r="AQ1709" i="5"/>
  <c r="AQ1699" i="5"/>
  <c r="AQ1698" i="5"/>
  <c r="AQ1695" i="5"/>
  <c r="AQ1694" i="5"/>
  <c r="AQ1693" i="5"/>
  <c r="AQ1690" i="5"/>
  <c r="AQ1689" i="5"/>
  <c r="AQ1678" i="5"/>
  <c r="AQ1675" i="5"/>
  <c r="AQ1674" i="5"/>
  <c r="AQ1669" i="5"/>
  <c r="AQ1663" i="5"/>
  <c r="AQ1659" i="5"/>
  <c r="AQ1658" i="5"/>
  <c r="AQ1655" i="5"/>
  <c r="AQ1643" i="5"/>
  <c r="AQ1639" i="5"/>
  <c r="AQ1638" i="5"/>
  <c r="AQ1637" i="5"/>
  <c r="AQ1634" i="5"/>
  <c r="AQ1633" i="5"/>
  <c r="AQ1623" i="5"/>
  <c r="AQ1622" i="5"/>
  <c r="AQ1619" i="5"/>
  <c r="AQ1618" i="5"/>
  <c r="AQ1617" i="5"/>
  <c r="AQ1613" i="5"/>
  <c r="AQ1607" i="5"/>
  <c r="AQ1603" i="5"/>
  <c r="AQ1602" i="5"/>
  <c r="AQ1601" i="5"/>
  <c r="AQ1599" i="5"/>
  <c r="AQ1598" i="5"/>
  <c r="AQ1597" i="5"/>
  <c r="AQ1587" i="5"/>
  <c r="AQ1586" i="5"/>
  <c r="AQ1582" i="5"/>
  <c r="AQ1581" i="5"/>
  <c r="AQ1578" i="5"/>
  <c r="AQ1577" i="5"/>
  <c r="AQ1566" i="5"/>
  <c r="AQ1565" i="5"/>
  <c r="AQ1561" i="5"/>
  <c r="AQ1560" i="5"/>
  <c r="AQ1554" i="5"/>
  <c r="AQ1511" i="5"/>
  <c r="AQ1508" i="5"/>
  <c r="AQ1507" i="5"/>
  <c r="AQ1504" i="5"/>
  <c r="AQ1494" i="5"/>
  <c r="AQ1493" i="5"/>
  <c r="AQ1489" i="5"/>
  <c r="AQ1488" i="5"/>
  <c r="AQ1485" i="5"/>
  <c r="AQ1484" i="5"/>
  <c r="AQ1480" i="5"/>
  <c r="AQ1466" i="5"/>
  <c r="AQ1465" i="5"/>
  <c r="AQ1464" i="5"/>
  <c r="AQ1462" i="5"/>
  <c r="AQ1460" i="5"/>
  <c r="AQ1449" i="5"/>
  <c r="AQ1446" i="5"/>
  <c r="AQ1429" i="5"/>
  <c r="AQ1426" i="5"/>
  <c r="AQ1425" i="5"/>
  <c r="AQ1424" i="5"/>
  <c r="AQ1420" i="5"/>
  <c r="AQ1414" i="5"/>
  <c r="AQ1410" i="5"/>
  <c r="AQ1409" i="5"/>
  <c r="AQ1408" i="5"/>
  <c r="AQ1406" i="5"/>
  <c r="AQ1405" i="5"/>
  <c r="AQ1394" i="5"/>
  <c r="AQ1393" i="5"/>
  <c r="AQ1390" i="5"/>
  <c r="AQ1389" i="5"/>
  <c r="AQ1388" i="5"/>
  <c r="AQ1387" i="5"/>
  <c r="AQ1385" i="5"/>
  <c r="AQ1384" i="5"/>
  <c r="AQ1382" i="5"/>
  <c r="AQ1381" i="5"/>
  <c r="AQ1378" i="5"/>
  <c r="AQ1377" i="5"/>
  <c r="AQ1372" i="5"/>
  <c r="AQ1367" i="5"/>
  <c r="AQ1363" i="5"/>
  <c r="AQ1361" i="5"/>
  <c r="AQ1357" i="5"/>
  <c r="AQ1351" i="5"/>
  <c r="AQ1347" i="5"/>
  <c r="AQ1343" i="5"/>
  <c r="AQ1341" i="5"/>
  <c r="AQ1331" i="5"/>
  <c r="AQ1330" i="5"/>
  <c r="AQ1327" i="5"/>
  <c r="AQ1326" i="5"/>
  <c r="AQ1322" i="5"/>
  <c r="AQ1316" i="5"/>
  <c r="AQ1311" i="5"/>
  <c r="AQ1307" i="5"/>
  <c r="AQ1306" i="5"/>
  <c r="AQ1305" i="5"/>
  <c r="AQ1301" i="5"/>
  <c r="AQ1291" i="5"/>
  <c r="AQ1290" i="5"/>
  <c r="AQ1289" i="5"/>
  <c r="AQ1287" i="5"/>
  <c r="AQ1286" i="5"/>
  <c r="AQ1285" i="5"/>
  <c r="AQ1275" i="5"/>
  <c r="AQ1274" i="5"/>
  <c r="AQ1271" i="5"/>
  <c r="AQ1270" i="5"/>
  <c r="AQ1269" i="5"/>
  <c r="AQ1266" i="5"/>
  <c r="AQ1265" i="5"/>
  <c r="AQ1260" i="5"/>
  <c r="AQ1255" i="5"/>
  <c r="AQ1254" i="5"/>
  <c r="AQ1251" i="5"/>
  <c r="AQ1250" i="5"/>
  <c r="AQ1245" i="5"/>
  <c r="AQ1234" i="5"/>
  <c r="AQ1233" i="5"/>
  <c r="AQ1230" i="5"/>
  <c r="AQ1229" i="5"/>
  <c r="AQ1219" i="5"/>
  <c r="AQ1215" i="5"/>
  <c r="AQ1210" i="5"/>
  <c r="AQ1209" i="5"/>
  <c r="AQ1204" i="5"/>
  <c r="AQ1199" i="5"/>
  <c r="AQ1198" i="5"/>
  <c r="AQ1195" i="5"/>
  <c r="AQ1194" i="5"/>
  <c r="AQ1189" i="5"/>
  <c r="AQ1178" i="5"/>
  <c r="AQ1177" i="5"/>
  <c r="AQ1175" i="5"/>
  <c r="AQ1174" i="5"/>
  <c r="AQ1173" i="5"/>
  <c r="AQ1162" i="5"/>
  <c r="AQ1159" i="5"/>
  <c r="AQ1158" i="5"/>
  <c r="AQ1154" i="5"/>
  <c r="AQ1142" i="5"/>
  <c r="AQ1139" i="5"/>
  <c r="AQ1138" i="5"/>
  <c r="AQ1137" i="5"/>
  <c r="AQ1133" i="5"/>
  <c r="AQ1077" i="5"/>
  <c r="AQ1076" i="5"/>
  <c r="AQ1052" i="5"/>
  <c r="AQ1049" i="5"/>
  <c r="AQ1048" i="5"/>
  <c r="AQ1044" i="5"/>
  <c r="AQ1033" i="5"/>
  <c r="AQ1029" i="5"/>
  <c r="AQ1028" i="5"/>
  <c r="AQ1024" i="5"/>
  <c r="AQ1018" i="5"/>
  <c r="AQ1013" i="5"/>
  <c r="AQ1008" i="5"/>
  <c r="AQ997" i="5"/>
  <c r="AQ993" i="5"/>
  <c r="AQ992" i="5"/>
  <c r="AQ991" i="5"/>
  <c r="AQ988" i="5"/>
  <c r="AQ977" i="5"/>
  <c r="AQ967" i="5"/>
  <c r="AQ956" i="5"/>
  <c r="AQ952" i="5"/>
  <c r="AQ951" i="5"/>
  <c r="AQ947" i="5"/>
  <c r="AQ941" i="5"/>
  <c r="AQ936" i="5"/>
  <c r="AQ921" i="5"/>
  <c r="AQ916" i="5"/>
  <c r="AQ912" i="5"/>
  <c r="AQ900" i="5"/>
  <c r="AQ896" i="5"/>
  <c r="AQ895" i="5"/>
  <c r="AQ880" i="5"/>
  <c r="AQ865" i="5"/>
  <c r="AQ844" i="5"/>
  <c r="AQ840" i="5"/>
  <c r="AQ839" i="5"/>
  <c r="AQ829" i="5"/>
  <c r="AQ824" i="5"/>
  <c r="AQ821" i="5"/>
  <c r="AQ820" i="5"/>
  <c r="AQ809" i="5"/>
  <c r="AQ804" i="5"/>
  <c r="AQ800" i="5"/>
  <c r="AQ788" i="5"/>
  <c r="AQ784" i="5"/>
  <c r="AQ764" i="5"/>
  <c r="AQ744" i="5"/>
  <c r="AQ711" i="5"/>
  <c r="AQ618" i="5"/>
  <c r="AQ609" i="5"/>
  <c r="AQ526" i="5"/>
  <c r="AQ501" i="5"/>
  <c r="AQ497" i="5"/>
  <c r="AQ485" i="5"/>
  <c r="AQ481" i="5"/>
  <c r="AQ470" i="5"/>
  <c r="AQ461" i="5"/>
  <c r="AQ450" i="5"/>
  <c r="AQ425" i="5"/>
  <c r="AQ373" i="5"/>
  <c r="AQ353" i="5"/>
  <c r="Q4436" i="5"/>
  <c r="F4436" i="5" s="1"/>
  <c r="G4436" i="5"/>
  <c r="H4436" i="5" s="1"/>
  <c r="AM1842" i="5"/>
  <c r="AM1730" i="5"/>
  <c r="AT2314" i="5"/>
  <c r="AS2314" i="5"/>
  <c r="AK2136" i="5"/>
  <c r="AY2136" i="5"/>
  <c r="AL2136" i="5"/>
  <c r="AI2137" i="5"/>
  <c r="AQ2136" i="5"/>
  <c r="AK2076" i="5"/>
  <c r="AI2076" i="5"/>
  <c r="AZ2076" i="5"/>
  <c r="AK1892" i="5"/>
  <c r="AI1893" i="5"/>
  <c r="AZ1892" i="5"/>
  <c r="AJ1892" i="5"/>
  <c r="AY1892" i="5"/>
  <c r="AQ1892" i="5"/>
  <c r="AT1864" i="5"/>
  <c r="AS1864" i="5"/>
  <c r="AZ1840" i="5"/>
  <c r="AJ1840" i="5"/>
  <c r="AK1840" i="5"/>
  <c r="AI1841" i="5"/>
  <c r="AT1792" i="5"/>
  <c r="AS1792" i="5"/>
  <c r="AR1760" i="5"/>
  <c r="AZ1760" i="5"/>
  <c r="AL1760" i="5"/>
  <c r="AW1760" i="5"/>
  <c r="AX1760" i="5" s="1"/>
  <c r="AU1760" i="5"/>
  <c r="AV1760" i="5" s="1"/>
  <c r="AJ1760" i="5"/>
  <c r="AY1760" i="5"/>
  <c r="AQ1760" i="5"/>
  <c r="AK1760" i="5"/>
  <c r="AI1760" i="5"/>
  <c r="AI1761" i="5"/>
  <c r="AT1736" i="5"/>
  <c r="AS1736" i="5"/>
  <c r="AU1733" i="5"/>
  <c r="AV1733" i="5" s="1"/>
  <c r="AK1733" i="5"/>
  <c r="AR1733" i="5"/>
  <c r="AS1733" i="5" s="1"/>
  <c r="AW1733" i="5"/>
  <c r="AX1733" i="5" s="1"/>
  <c r="AL1733" i="5"/>
  <c r="AJ1733" i="5"/>
  <c r="AY1733" i="5"/>
  <c r="AI1733" i="5"/>
  <c r="AY1728" i="5"/>
  <c r="AJ1728" i="5"/>
  <c r="AZ1728" i="5"/>
  <c r="AK1728" i="5"/>
  <c r="AI1728" i="5"/>
  <c r="AL1728" i="5"/>
  <c r="AQ1728" i="5"/>
  <c r="AT1716" i="5"/>
  <c r="AS1716" i="5"/>
  <c r="AJ1708" i="5"/>
  <c r="AL1708" i="5"/>
  <c r="AZ1708" i="5"/>
  <c r="AU1704" i="5"/>
  <c r="AV1704" i="5" s="1"/>
  <c r="AW1704" i="5"/>
  <c r="AX1704" i="5" s="1"/>
  <c r="AR1704" i="5"/>
  <c r="AS1704" i="5" s="1"/>
  <c r="AJ1704" i="5"/>
  <c r="AY1704" i="5"/>
  <c r="AL1704" i="5"/>
  <c r="AQ1704" i="5"/>
  <c r="AS1700" i="5"/>
  <c r="AT1700" i="5"/>
  <c r="AS1696" i="5"/>
  <c r="AT1696" i="5"/>
  <c r="AY1688" i="5"/>
  <c r="AZ1688" i="5"/>
  <c r="AI1689" i="5"/>
  <c r="AL1688" i="5"/>
  <c r="AK1688" i="5"/>
  <c r="AI1688" i="5"/>
  <c r="AJ1688" i="5"/>
  <c r="AS1680" i="5"/>
  <c r="AT1680" i="5"/>
  <c r="AL1677" i="5"/>
  <c r="AK1677" i="5"/>
  <c r="AJ1677" i="5"/>
  <c r="AR1677" i="5"/>
  <c r="AT1677" i="5" s="1"/>
  <c r="AU1677" i="5"/>
  <c r="AV1677" i="5" s="1"/>
  <c r="AZ1677" i="5"/>
  <c r="AW1677" i="5"/>
  <c r="AX1677" i="5" s="1"/>
  <c r="AY1677" i="5"/>
  <c r="AQ1677" i="5"/>
  <c r="AI1677" i="5"/>
  <c r="AI1672" i="5"/>
  <c r="AY1672" i="5"/>
  <c r="AZ1672" i="5"/>
  <c r="AI1673" i="5"/>
  <c r="AJ1668" i="5"/>
  <c r="AY1668" i="5"/>
  <c r="AQ1668" i="5"/>
  <c r="AI1669" i="5"/>
  <c r="AI1668" i="5"/>
  <c r="AT1664" i="5"/>
  <c r="AS1664" i="5"/>
  <c r="AS1660" i="5"/>
  <c r="AT1660" i="5"/>
  <c r="AL1652" i="5"/>
  <c r="AK1652" i="5"/>
  <c r="AZ1652" i="5"/>
  <c r="AI1653" i="5"/>
  <c r="AJ1652" i="5"/>
  <c r="AI1652" i="5"/>
  <c r="AJ1648" i="5"/>
  <c r="AZ1648" i="5"/>
  <c r="AY1648" i="5"/>
  <c r="AR1648" i="5"/>
  <c r="AT1648" i="5" s="1"/>
  <c r="AL1648" i="5"/>
  <c r="AW1648" i="5"/>
  <c r="AX1648" i="5" s="1"/>
  <c r="AI1649" i="5"/>
  <c r="AI1648" i="5"/>
  <c r="AU1648" i="5"/>
  <c r="AV1648" i="5" s="1"/>
  <c r="AT1644" i="5"/>
  <c r="AS1644" i="5"/>
  <c r="AS1640" i="5"/>
  <c r="AT1640" i="5"/>
  <c r="AL1632" i="5"/>
  <c r="AZ1632" i="5"/>
  <c r="AK1632" i="5"/>
  <c r="AY1632" i="5"/>
  <c r="AJ1632" i="5"/>
  <c r="AI1632" i="5"/>
  <c r="AQ1632" i="5"/>
  <c r="AS1624" i="5"/>
  <c r="AT1624" i="5"/>
  <c r="AJ1621" i="5"/>
  <c r="AI1622" i="5"/>
  <c r="AL1621" i="5"/>
  <c r="AY1621" i="5"/>
  <c r="AW1621" i="5"/>
  <c r="AX1621" i="5" s="1"/>
  <c r="AR1621" i="5"/>
  <c r="AZ1621" i="5"/>
  <c r="AI1621" i="5"/>
  <c r="AU1621" i="5"/>
  <c r="AV1621" i="5" s="1"/>
  <c r="AI1616" i="5"/>
  <c r="AK1616" i="5"/>
  <c r="AJ1616" i="5"/>
  <c r="AL1616" i="5"/>
  <c r="AM1616" i="5"/>
  <c r="AZ1612" i="5"/>
  <c r="AY1612" i="5"/>
  <c r="AL1612" i="5"/>
  <c r="AK1612" i="5"/>
  <c r="AI1612" i="5"/>
  <c r="AT1608" i="5"/>
  <c r="AS1608" i="5"/>
  <c r="AS1604" i="5"/>
  <c r="AT1604" i="5"/>
  <c r="AK1596" i="5"/>
  <c r="AZ1596" i="5"/>
  <c r="AL1596" i="5"/>
  <c r="AI1596" i="5"/>
  <c r="AY1596" i="5"/>
  <c r="AQ1596" i="5"/>
  <c r="AZ1592" i="5"/>
  <c r="AI1592" i="5"/>
  <c r="AK1592" i="5"/>
  <c r="AU1592" i="5"/>
  <c r="AV1592" i="5" s="1"/>
  <c r="AL1592" i="5"/>
  <c r="AJ1592" i="5"/>
  <c r="AR1592" i="5"/>
  <c r="AT1592" i="5" s="1"/>
  <c r="AW1592" i="5"/>
  <c r="AX1592" i="5" s="1"/>
  <c r="AL1576" i="5"/>
  <c r="AK1576" i="5"/>
  <c r="AZ1576" i="5"/>
  <c r="AJ1576" i="5"/>
  <c r="AI1576" i="5"/>
  <c r="AI1577" i="5"/>
  <c r="AR1571" i="5"/>
  <c r="AU1571" i="5"/>
  <c r="AV1571" i="5" s="1"/>
  <c r="AL1571" i="5"/>
  <c r="AI1572" i="5"/>
  <c r="AW1571" i="5"/>
  <c r="AX1571" i="5" s="1"/>
  <c r="AJ1571" i="5"/>
  <c r="AY1571" i="5"/>
  <c r="AZ1571" i="5"/>
  <c r="AK1571" i="5"/>
  <c r="AI1571" i="5"/>
  <c r="AS1567" i="5"/>
  <c r="AT1567" i="5"/>
  <c r="AS1563" i="5"/>
  <c r="AT1563" i="5"/>
  <c r="AS1556" i="5"/>
  <c r="AT1556" i="5"/>
  <c r="AJ2266" i="5"/>
  <c r="AK2266" i="5"/>
  <c r="AI2267" i="5"/>
  <c r="AQ2266" i="5"/>
  <c r="AR2266" i="5"/>
  <c r="AS2266" i="5" s="1"/>
  <c r="AK2210" i="5"/>
  <c r="AW2210" i="5"/>
  <c r="AX2210" i="5" s="1"/>
  <c r="AY2210" i="5"/>
  <c r="AJ2210" i="5"/>
  <c r="AI2211" i="5"/>
  <c r="AL2210" i="5"/>
  <c r="AI2210" i="5"/>
  <c r="AT2180" i="5"/>
  <c r="AS2180" i="5"/>
  <c r="AI2168" i="5"/>
  <c r="AJ2168" i="5"/>
  <c r="AT2160" i="5"/>
  <c r="AS2160" i="5"/>
  <c r="AY2024" i="5"/>
  <c r="AJ2024" i="5"/>
  <c r="AK2024" i="5"/>
  <c r="AI2024" i="5"/>
  <c r="AZ2024" i="5"/>
  <c r="AT2012" i="5"/>
  <c r="AS2012" i="5"/>
  <c r="AR2000" i="5"/>
  <c r="AT2000" i="5" s="1"/>
  <c r="AL2000" i="5"/>
  <c r="AU2000" i="5"/>
  <c r="AV2000" i="5" s="1"/>
  <c r="AJ2000" i="5"/>
  <c r="AK2000" i="5"/>
  <c r="AW2000" i="5"/>
  <c r="AX2000" i="5" s="1"/>
  <c r="AI2001" i="5"/>
  <c r="AQ2000" i="5"/>
  <c r="AT1996" i="5"/>
  <c r="AS1996" i="5"/>
  <c r="AS1992" i="5"/>
  <c r="AT1992" i="5"/>
  <c r="AZ1876" i="5"/>
  <c r="AI1877" i="5"/>
  <c r="AI1876" i="5"/>
  <c r="AL1876" i="5"/>
  <c r="AR1816" i="5"/>
  <c r="AU1816" i="5"/>
  <c r="AV1816" i="5" s="1"/>
  <c r="AJ1816" i="5"/>
  <c r="AI1816" i="5"/>
  <c r="AW1816" i="5"/>
  <c r="AX1816" i="5" s="1"/>
  <c r="AL1816" i="5"/>
  <c r="AT1752" i="5"/>
  <c r="AS1752" i="5"/>
  <c r="AI1892" i="5"/>
  <c r="AQ1708" i="5"/>
  <c r="AZ2136" i="5"/>
  <c r="AL2168" i="5"/>
  <c r="AI2136" i="5"/>
  <c r="AY1845" i="5"/>
  <c r="AM2278" i="5"/>
  <c r="AL2029" i="5"/>
  <c r="AT2342" i="5"/>
  <c r="AS2342" i="5"/>
  <c r="AJ2290" i="5"/>
  <c r="AY2290" i="5"/>
  <c r="AI2290" i="5"/>
  <c r="AZ2290" i="5"/>
  <c r="AL2250" i="5"/>
  <c r="AJ2250" i="5"/>
  <c r="AY2250" i="5"/>
  <c r="AI2250" i="5"/>
  <c r="AK2250" i="5"/>
  <c r="AS2226" i="5"/>
  <c r="AT2226" i="5"/>
  <c r="AI2116" i="5"/>
  <c r="AL2116" i="5"/>
  <c r="AI2117" i="5"/>
  <c r="AK2116" i="5"/>
  <c r="AK2096" i="5"/>
  <c r="AI2097" i="5"/>
  <c r="AL2096" i="5"/>
  <c r="AZ2096" i="5"/>
  <c r="AI2096" i="5"/>
  <c r="AZ2060" i="5"/>
  <c r="AL2060" i="5"/>
  <c r="AI2060" i="5"/>
  <c r="AI2061" i="5"/>
  <c r="AY2060" i="5"/>
  <c r="AZ2020" i="5"/>
  <c r="AJ2020" i="5"/>
  <c r="AI2020" i="5"/>
  <c r="AI2021" i="5"/>
  <c r="AK2004" i="5"/>
  <c r="AY2004" i="5"/>
  <c r="AL2004" i="5"/>
  <c r="AZ2004" i="5"/>
  <c r="AI2004" i="5"/>
  <c r="AT1914" i="5"/>
  <c r="AS1914" i="5"/>
  <c r="AS1884" i="5"/>
  <c r="AT1884" i="5"/>
  <c r="AW1872" i="5"/>
  <c r="AX1872" i="5" s="1"/>
  <c r="AI1872" i="5"/>
  <c r="AZ1872" i="5"/>
  <c r="AK1872" i="5"/>
  <c r="AL1872" i="5"/>
  <c r="AJ1872" i="5"/>
  <c r="AR1872" i="5"/>
  <c r="AT1872" i="5" s="1"/>
  <c r="AI1873" i="5"/>
  <c r="AY1872" i="5"/>
  <c r="AY1856" i="5"/>
  <c r="AJ1856" i="5"/>
  <c r="AK1856" i="5"/>
  <c r="AI1856" i="5"/>
  <c r="AL1856" i="5"/>
  <c r="AY1836" i="5"/>
  <c r="AI1836" i="5"/>
  <c r="AI1837" i="5"/>
  <c r="AJ1836" i="5"/>
  <c r="AL1836" i="5"/>
  <c r="AI1820" i="5"/>
  <c r="AL1820" i="5"/>
  <c r="AY1800" i="5"/>
  <c r="AI1801" i="5"/>
  <c r="AI1800" i="5"/>
  <c r="AZ1800" i="5"/>
  <c r="AL1800" i="5"/>
  <c r="AQ1800" i="5"/>
  <c r="AI1781" i="5"/>
  <c r="AL1780" i="5"/>
  <c r="AS1776" i="5"/>
  <c r="AT1776" i="5"/>
  <c r="AJ1764" i="5"/>
  <c r="AZ1764" i="5"/>
  <c r="AI1765" i="5"/>
  <c r="AY1764" i="5"/>
  <c r="AK1764" i="5"/>
  <c r="AI1764" i="5"/>
  <c r="AY1744" i="5"/>
  <c r="AJ1744" i="5"/>
  <c r="AK1744" i="5"/>
  <c r="AI1744" i="5"/>
  <c r="AL1744" i="5"/>
  <c r="AZ1744" i="5"/>
  <c r="AQ1744" i="5"/>
  <c r="AS1720" i="5"/>
  <c r="AT1720" i="5"/>
  <c r="AJ2076" i="5"/>
  <c r="AZ2168" i="5"/>
  <c r="AJ2194" i="5"/>
  <c r="AS2128" i="5"/>
  <c r="AY1840" i="5"/>
  <c r="AZ1820" i="5"/>
  <c r="AS1832" i="5"/>
  <c r="AY2141" i="5"/>
  <c r="AT1888" i="5"/>
  <c r="AM1073" i="5"/>
  <c r="AI1821" i="5"/>
  <c r="AY2112" i="5"/>
  <c r="AY2234" i="5"/>
  <c r="AL2076" i="5"/>
  <c r="AZ2210" i="5"/>
  <c r="AW2168" i="5"/>
  <c r="AX2168" i="5" s="1"/>
  <c r="AI1709" i="5"/>
  <c r="AJ2136" i="5"/>
  <c r="AU2168" i="5"/>
  <c r="AV2168" i="5" s="1"/>
  <c r="AR2168" i="5"/>
  <c r="AS2168" i="5" s="1"/>
  <c r="AT2262" i="5"/>
  <c r="AQ2290" i="5"/>
  <c r="AL1840" i="5"/>
  <c r="AI1705" i="5"/>
  <c r="AI1817" i="5"/>
  <c r="AI1780" i="5"/>
  <c r="AK2322" i="5"/>
  <c r="AI2323" i="5"/>
  <c r="AI2322" i="5"/>
  <c r="AL2322" i="5"/>
  <c r="AJ2295" i="5"/>
  <c r="AZ2295" i="5"/>
  <c r="AY2295" i="5"/>
  <c r="AI2296" i="5"/>
  <c r="AQ2295" i="5"/>
  <c r="AK2295" i="5"/>
  <c r="AY2230" i="5"/>
  <c r="AL2230" i="5"/>
  <c r="AL2214" i="5"/>
  <c r="AJ2214" i="5"/>
  <c r="AZ2214" i="5"/>
  <c r="AI2214" i="5"/>
  <c r="AK2214" i="5"/>
  <c r="AY2194" i="5"/>
  <c r="AZ2194" i="5"/>
  <c r="AL2194" i="5"/>
  <c r="AI2173" i="5"/>
  <c r="AY2172" i="5"/>
  <c r="AL2172" i="5"/>
  <c r="AK2172" i="5"/>
  <c r="AZ2172" i="5"/>
  <c r="AK2152" i="5"/>
  <c r="AY2152" i="5"/>
  <c r="AI2153" i="5"/>
  <c r="AZ2152" i="5"/>
  <c r="AI2119" i="5"/>
  <c r="AJ2118" i="5"/>
  <c r="AY2118" i="5"/>
  <c r="AL2118" i="5"/>
  <c r="AQ2118" i="5"/>
  <c r="AZ2118" i="5"/>
  <c r="AJ2085" i="5"/>
  <c r="AW2085" i="5"/>
  <c r="AX2085" i="5" s="1"/>
  <c r="AI2086" i="5"/>
  <c r="AY2085" i="5"/>
  <c r="AZ2085" i="5"/>
  <c r="AK2085" i="5"/>
  <c r="AU2085" i="5"/>
  <c r="AV2085" i="5" s="1"/>
  <c r="AL2085" i="5"/>
  <c r="AS2072" i="5"/>
  <c r="AT2072" i="5"/>
  <c r="AU2029" i="5"/>
  <c r="AV2029" i="5" s="1"/>
  <c r="AZ2029" i="5"/>
  <c r="AJ2029" i="5"/>
  <c r="AW2029" i="5"/>
  <c r="AX2029" i="5" s="1"/>
  <c r="AI2029" i="5"/>
  <c r="AL1988" i="5"/>
  <c r="AM1988" i="5"/>
  <c r="AJ1988" i="5"/>
  <c r="AI1988" i="5"/>
  <c r="AZ1988" i="5"/>
  <c r="AJ1845" i="5"/>
  <c r="AR1845" i="5"/>
  <c r="AS1845" i="5" s="1"/>
  <c r="AU1845" i="5"/>
  <c r="AV1845" i="5" s="1"/>
  <c r="AL1845" i="5"/>
  <c r="AZ1845" i="5"/>
  <c r="AI1846" i="5"/>
  <c r="AS1828" i="5"/>
  <c r="AT1828" i="5"/>
  <c r="AS1812" i="5"/>
  <c r="AT1812" i="5"/>
  <c r="AS1808" i="5"/>
  <c r="AT1808" i="5"/>
  <c r="AZ1784" i="5"/>
  <c r="AI1785" i="5"/>
  <c r="AK1784" i="5"/>
  <c r="AT1772" i="5"/>
  <c r="AS1772" i="5"/>
  <c r="AS1756" i="5"/>
  <c r="AT1756" i="5"/>
  <c r="AK1820" i="5"/>
  <c r="AJ1800" i="5"/>
  <c r="AI2118" i="5"/>
  <c r="AI2080" i="5"/>
  <c r="AK2080" i="5"/>
  <c r="AK1780" i="5"/>
  <c r="AI2112" i="5"/>
  <c r="AI2195" i="5"/>
  <c r="AZ2266" i="5"/>
  <c r="AY2080" i="5"/>
  <c r="AU2210" i="5"/>
  <c r="AV2210" i="5" s="1"/>
  <c r="AK2168" i="5"/>
  <c r="AT2206" i="5"/>
  <c r="AS1848" i="5"/>
  <c r="AQ2096" i="5"/>
  <c r="AI2081" i="5"/>
  <c r="AI1845" i="5"/>
  <c r="AT2144" i="5"/>
  <c r="AI1857" i="5"/>
  <c r="AI1678" i="5"/>
  <c r="AJ2234" i="5"/>
  <c r="AK2234" i="5"/>
  <c r="AZ2234" i="5"/>
  <c r="AL2234" i="5"/>
  <c r="AZ2132" i="5"/>
  <c r="AI2132" i="5"/>
  <c r="AY2132" i="5"/>
  <c r="AL2132" i="5"/>
  <c r="AK2132" i="5"/>
  <c r="AI2056" i="5"/>
  <c r="AY2056" i="5"/>
  <c r="AJ2056" i="5"/>
  <c r="AW2056" i="5"/>
  <c r="AX2056" i="5" s="1"/>
  <c r="AI2057" i="5"/>
  <c r="AU2056" i="5"/>
  <c r="AV2056" i="5" s="1"/>
  <c r="AJ2040" i="5"/>
  <c r="AL2040" i="5"/>
  <c r="AK2040" i="5"/>
  <c r="AI2040" i="5"/>
  <c r="AI2041" i="5"/>
  <c r="AZ2040" i="5"/>
  <c r="AI1989" i="5"/>
  <c r="AI2169" i="5"/>
  <c r="AI2172" i="5"/>
  <c r="AI1840" i="5"/>
  <c r="AZ1856" i="5"/>
  <c r="AZ2306" i="5"/>
  <c r="AJ2306" i="5"/>
  <c r="AY2306" i="5"/>
  <c r="AI2307" i="5"/>
  <c r="AL2306" i="5"/>
  <c r="AS2298" i="5"/>
  <c r="AT2298" i="5"/>
  <c r="AL2141" i="5"/>
  <c r="AZ2141" i="5"/>
  <c r="AK2141" i="5"/>
  <c r="AI2142" i="5"/>
  <c r="AU2141" i="5"/>
  <c r="AV2141" i="5" s="1"/>
  <c r="AI2141" i="5"/>
  <c r="AW2112" i="5"/>
  <c r="AX2112" i="5" s="1"/>
  <c r="AR2112" i="5"/>
  <c r="AK2112" i="5"/>
  <c r="AZ2112" i="5"/>
  <c r="AU2112" i="5"/>
  <c r="AV2112" i="5" s="1"/>
  <c r="AI2113" i="5"/>
  <c r="AJ2112" i="5"/>
  <c r="AW1789" i="5"/>
  <c r="AX1789" i="5" s="1"/>
  <c r="AU1789" i="5"/>
  <c r="AV1789" i="5" s="1"/>
  <c r="AI1790" i="5"/>
  <c r="AY1789" i="5"/>
  <c r="AZ1789" i="5"/>
  <c r="AL1789" i="5"/>
  <c r="AJ1789" i="5"/>
  <c r="AI1789" i="5"/>
  <c r="AR1789" i="5"/>
  <c r="AS1789" i="5" s="1"/>
  <c r="AT2032" i="5"/>
  <c r="AS2164" i="5"/>
  <c r="AJ2141" i="5"/>
  <c r="AZ2080" i="5"/>
  <c r="AR2210" i="5"/>
  <c r="AT2210" i="5" s="1"/>
  <c r="AT2338" i="5"/>
  <c r="AW2295" i="5"/>
  <c r="AX2295" i="5" s="1"/>
  <c r="AZ2056" i="5"/>
  <c r="AM2076" i="5"/>
  <c r="AJ1780" i="5"/>
  <c r="AM1575" i="5"/>
  <c r="AI1745" i="5"/>
  <c r="AY2076" i="5"/>
  <c r="AZ2116" i="5"/>
  <c r="AJ2080" i="5"/>
  <c r="AL2080" i="5"/>
  <c r="AI2215" i="5"/>
  <c r="AI2235" i="5"/>
  <c r="AJ2172" i="5"/>
  <c r="AU2295" i="5"/>
  <c r="AV2295" i="5" s="1"/>
  <c r="AR2295" i="5"/>
  <c r="AS2295" i="5" s="1"/>
  <c r="AK1988" i="5"/>
  <c r="AI1633" i="5"/>
  <c r="AJ1876" i="5"/>
  <c r="AL2286" i="5"/>
  <c r="AY2286" i="5"/>
  <c r="AI2286" i="5"/>
  <c r="AK2286" i="5"/>
  <c r="AJ2270" i="5"/>
  <c r="AZ2270" i="5"/>
  <c r="AI2271" i="5"/>
  <c r="AY2270" i="5"/>
  <c r="AK2239" i="5"/>
  <c r="AI2240" i="5"/>
  <c r="AZ2239" i="5"/>
  <c r="AJ2239" i="5"/>
  <c r="AR2239" i="5"/>
  <c r="AS2239" i="5" s="1"/>
  <c r="AI2239" i="5"/>
  <c r="AU2239" i="5"/>
  <c r="AV2239" i="5" s="1"/>
  <c r="AQ2138" i="5"/>
  <c r="AJ2138" i="5"/>
  <c r="AI2139" i="5"/>
  <c r="AL2138" i="5"/>
  <c r="AM2138" i="5"/>
  <c r="AK2138" i="5"/>
  <c r="AS2104" i="5"/>
  <c r="AT2104" i="5"/>
  <c r="AZ2000" i="5"/>
  <c r="AJ1820" i="5"/>
  <c r="AL2270" i="5"/>
  <c r="AR2056" i="5"/>
  <c r="AS2056" i="5" s="1"/>
  <c r="AZ1780" i="5"/>
  <c r="AY2096" i="5"/>
  <c r="AS2048" i="5"/>
  <c r="AJ2116" i="5"/>
  <c r="AZ2230" i="5"/>
  <c r="AT2222" i="5"/>
  <c r="AI2005" i="5"/>
  <c r="AY2214" i="5"/>
  <c r="AY1708" i="5"/>
  <c r="AI2000" i="5"/>
  <c r="AU2266" i="5"/>
  <c r="AV2266" i="5" s="1"/>
  <c r="AL2266" i="5"/>
  <c r="AY1876" i="5"/>
  <c r="AL1892" i="5"/>
  <c r="AT1495" i="5"/>
  <c r="AS1495" i="5"/>
  <c r="AT1491" i="5"/>
  <c r="AS1491" i="5"/>
  <c r="AT1471" i="5"/>
  <c r="AS1471" i="5"/>
  <c r="AS1467" i="5"/>
  <c r="AT1467" i="5"/>
  <c r="AY1459" i="5"/>
  <c r="AZ1459" i="5"/>
  <c r="AL1459" i="5"/>
  <c r="AJ1459" i="5"/>
  <c r="AU1455" i="5"/>
  <c r="AV1455" i="5" s="1"/>
  <c r="AW1455" i="5"/>
  <c r="AX1455" i="5" s="1"/>
  <c r="AR1455" i="5"/>
  <c r="AK1455" i="5"/>
  <c r="AY1455" i="5"/>
  <c r="AI1455" i="5"/>
  <c r="AL1455" i="5"/>
  <c r="AQ1455" i="5"/>
  <c r="AZ1455" i="5"/>
  <c r="AT1451" i="5"/>
  <c r="AS1451" i="5"/>
  <c r="AS1447" i="5"/>
  <c r="AT1447" i="5"/>
  <c r="AY1439" i="5"/>
  <c r="AJ1439" i="5"/>
  <c r="AI1440" i="5"/>
  <c r="AZ1439" i="5"/>
  <c r="AT1431" i="5"/>
  <c r="AS1431" i="5"/>
  <c r="AR1428" i="5"/>
  <c r="AS1428" i="5" s="1"/>
  <c r="AK1428" i="5"/>
  <c r="AZ1428" i="5"/>
  <c r="AU1428" i="5"/>
  <c r="AV1428" i="5" s="1"/>
  <c r="AW1428" i="5"/>
  <c r="AX1428" i="5" s="1"/>
  <c r="AY1428" i="5"/>
  <c r="AI1429" i="5"/>
  <c r="AJ1428" i="5"/>
  <c r="AK1423" i="5"/>
  <c r="AZ1423" i="5"/>
  <c r="AI1424" i="5"/>
  <c r="AI1423" i="5"/>
  <c r="AY1423" i="5"/>
  <c r="AL1423" i="5"/>
  <c r="AY1419" i="5"/>
  <c r="AJ1419" i="5"/>
  <c r="AZ1419" i="5"/>
  <c r="AL1419" i="5"/>
  <c r="AI1419" i="5"/>
  <c r="AK1419" i="5"/>
  <c r="AI1420" i="5"/>
  <c r="AT1411" i="5"/>
  <c r="AS1411" i="5"/>
  <c r="AZ1403" i="5"/>
  <c r="AY1403" i="5"/>
  <c r="AK1403" i="5"/>
  <c r="AI1404" i="5"/>
  <c r="AJ1403" i="5"/>
  <c r="AL1403" i="5"/>
  <c r="AI1403" i="5"/>
  <c r="AY1399" i="5"/>
  <c r="AZ1399" i="5"/>
  <c r="AJ1399" i="5"/>
  <c r="AW1399" i="5"/>
  <c r="AX1399" i="5" s="1"/>
  <c r="AK1399" i="5"/>
  <c r="AU1399" i="5"/>
  <c r="AV1399" i="5" s="1"/>
  <c r="AL1399" i="5"/>
  <c r="AR1399" i="5"/>
  <c r="AS1395" i="5"/>
  <c r="AT1395" i="5"/>
  <c r="AT1391" i="5"/>
  <c r="AS1391" i="5"/>
  <c r="AK1376" i="5"/>
  <c r="AI1377" i="5"/>
  <c r="AZ1376" i="5"/>
  <c r="AY1376" i="5"/>
  <c r="AI1376" i="5"/>
  <c r="AR1365" i="5"/>
  <c r="AL1365" i="5"/>
  <c r="AU1365" i="5"/>
  <c r="AV1365" i="5" s="1"/>
  <c r="AJ1365" i="5"/>
  <c r="AI1366" i="5"/>
  <c r="AY1365" i="5"/>
  <c r="AK1365" i="5"/>
  <c r="AY1360" i="5"/>
  <c r="AI1361" i="5"/>
  <c r="AK1360" i="5"/>
  <c r="AZ1360" i="5"/>
  <c r="AL1360" i="5"/>
  <c r="AJ1360" i="5"/>
  <c r="AI1360" i="5"/>
  <c r="AL1356" i="5"/>
  <c r="AJ1356" i="5"/>
  <c r="AK1356" i="5"/>
  <c r="AY1356" i="5"/>
  <c r="AI1357" i="5"/>
  <c r="AZ1356" i="5"/>
  <c r="AI1356" i="5"/>
  <c r="AZ1340" i="5"/>
  <c r="AL1340" i="5"/>
  <c r="AI1341" i="5"/>
  <c r="AJ1340" i="5"/>
  <c r="AK1340" i="5"/>
  <c r="AY1340" i="5"/>
  <c r="AQ1340" i="5"/>
  <c r="AZ1336" i="5"/>
  <c r="AU1336" i="5"/>
  <c r="AV1336" i="5" s="1"/>
  <c r="AL1336" i="5"/>
  <c r="AR1336" i="5"/>
  <c r="AT1336" i="5" s="1"/>
  <c r="AY1336" i="5"/>
  <c r="AK1336" i="5"/>
  <c r="AW1336" i="5"/>
  <c r="AX1336" i="5" s="1"/>
  <c r="AJ1336" i="5"/>
  <c r="AQ1336" i="5"/>
  <c r="AT1332" i="5"/>
  <c r="AS1332" i="5"/>
  <c r="AS1328" i="5"/>
  <c r="AT1328" i="5"/>
  <c r="AY1320" i="5"/>
  <c r="AK1320" i="5"/>
  <c r="AZ1320" i="5"/>
  <c r="AJ1320" i="5"/>
  <c r="AL1320" i="5"/>
  <c r="AI1320" i="5"/>
  <c r="AQ1320" i="5"/>
  <c r="AW1309" i="5"/>
  <c r="AX1309" i="5" s="1"/>
  <c r="AK1309" i="5"/>
  <c r="AR1309" i="5"/>
  <c r="AS1309" i="5" s="1"/>
  <c r="AI1310" i="5"/>
  <c r="AL1309" i="5"/>
  <c r="AU1309" i="5"/>
  <c r="AV1309" i="5" s="1"/>
  <c r="AI1305" i="5"/>
  <c r="AL1304" i="5"/>
  <c r="AJ1304" i="5"/>
  <c r="AZ1300" i="5"/>
  <c r="AI1301" i="5"/>
  <c r="AJ1300" i="5"/>
  <c r="AY1300" i="5"/>
  <c r="AI1300" i="5"/>
  <c r="AL1300" i="5"/>
  <c r="AQ1300" i="5"/>
  <c r="AS1292" i="5"/>
  <c r="AT1292" i="5"/>
  <c r="AY1284" i="5"/>
  <c r="AI1285" i="5"/>
  <c r="AL1284" i="5"/>
  <c r="AJ1284" i="5"/>
  <c r="AI1284" i="5"/>
  <c r="AZ1284" i="5"/>
  <c r="AK1280" i="5"/>
  <c r="AY1280" i="5"/>
  <c r="AU1280" i="5"/>
  <c r="AV1280" i="5" s="1"/>
  <c r="AR1280" i="5"/>
  <c r="AS1280" i="5" s="1"/>
  <c r="AW1280" i="5"/>
  <c r="AX1280" i="5" s="1"/>
  <c r="AZ1280" i="5"/>
  <c r="AL1280" i="5"/>
  <c r="AJ1280" i="5"/>
  <c r="AS1276" i="5"/>
  <c r="AT1276" i="5"/>
  <c r="AY1264" i="5"/>
  <c r="AJ1264" i="5"/>
  <c r="AZ1264" i="5"/>
  <c r="AI1265" i="5"/>
  <c r="AQ1264" i="5"/>
  <c r="AI1264" i="5"/>
  <c r="AT1256" i="5"/>
  <c r="AS1256" i="5"/>
  <c r="AU1253" i="5"/>
  <c r="AV1253" i="5" s="1"/>
  <c r="AR1253" i="5"/>
  <c r="AS1253" i="5" s="1"/>
  <c r="AZ1253" i="5"/>
  <c r="AK1253" i="5"/>
  <c r="AW1253" i="5"/>
  <c r="AX1253" i="5" s="1"/>
  <c r="AY1253" i="5"/>
  <c r="AJ1253" i="5"/>
  <c r="AI1248" i="5"/>
  <c r="AJ1248" i="5"/>
  <c r="AK1248" i="5"/>
  <c r="AZ1248" i="5"/>
  <c r="AI1249" i="5"/>
  <c r="AL1248" i="5"/>
  <c r="AZ1244" i="5"/>
  <c r="AL1244" i="5"/>
  <c r="AI1245" i="5"/>
  <c r="AI1244" i="5"/>
  <c r="AJ1244" i="5"/>
  <c r="AQ1244" i="5"/>
  <c r="AT1240" i="5"/>
  <c r="AS1240" i="5"/>
  <c r="AS1236" i="5"/>
  <c r="AT1236" i="5"/>
  <c r="AZ1228" i="5"/>
  <c r="AI1229" i="5"/>
  <c r="AY1228" i="5"/>
  <c r="AJ1224" i="5"/>
  <c r="AY1224" i="5"/>
  <c r="AL1224" i="5"/>
  <c r="AU1224" i="5"/>
  <c r="AV1224" i="5" s="1"/>
  <c r="AZ1224" i="5"/>
  <c r="AK1224" i="5"/>
  <c r="AW1224" i="5"/>
  <c r="AX1224" i="5" s="1"/>
  <c r="AQ1224" i="5"/>
  <c r="AR1224" i="5"/>
  <c r="AT1224" i="5" s="1"/>
  <c r="AI1224" i="5"/>
  <c r="AS1220" i="5"/>
  <c r="AT1220" i="5"/>
  <c r="AT1216" i="5"/>
  <c r="AS1216" i="5"/>
  <c r="AL1208" i="5"/>
  <c r="AY1208" i="5"/>
  <c r="AK1208" i="5"/>
  <c r="AJ1208" i="5"/>
  <c r="AQ1208" i="5"/>
  <c r="AI1208" i="5"/>
  <c r="AZ1208" i="5"/>
  <c r="AI1209" i="5"/>
  <c r="AI1197" i="5"/>
  <c r="AJ1197" i="5"/>
  <c r="AL1197" i="5"/>
  <c r="AR1197" i="5"/>
  <c r="AT1197" i="5" s="1"/>
  <c r="AZ1197" i="5"/>
  <c r="AK1197" i="5"/>
  <c r="AY1197" i="5"/>
  <c r="AQ1197" i="5"/>
  <c r="AW1197" i="5"/>
  <c r="AX1197" i="5" s="1"/>
  <c r="AZ1192" i="5"/>
  <c r="AL1192" i="5"/>
  <c r="AK1192" i="5"/>
  <c r="AI1192" i="5"/>
  <c r="AY1192" i="5"/>
  <c r="AI1193" i="5"/>
  <c r="AL1188" i="5"/>
  <c r="AJ1188" i="5"/>
  <c r="AK1188" i="5"/>
  <c r="AQ1188" i="5"/>
  <c r="AZ1188" i="5"/>
  <c r="AS1184" i="5"/>
  <c r="AT1184" i="5"/>
  <c r="AT1180" i="5"/>
  <c r="AS1180" i="5"/>
  <c r="AZ1172" i="5"/>
  <c r="AI1172" i="5"/>
  <c r="AK1172" i="5"/>
  <c r="AY1172" i="5"/>
  <c r="AL1172" i="5"/>
  <c r="AJ1172" i="5"/>
  <c r="AI1173" i="5"/>
  <c r="AQ1172" i="5"/>
  <c r="AU1168" i="5"/>
  <c r="AV1168" i="5" s="1"/>
  <c r="AJ1168" i="5"/>
  <c r="AK1168" i="5"/>
  <c r="AR1168" i="5"/>
  <c r="AS1168" i="5" s="1"/>
  <c r="AW1168" i="5"/>
  <c r="AX1168" i="5" s="1"/>
  <c r="AQ1168" i="5"/>
  <c r="AZ1168" i="5"/>
  <c r="AY1168" i="5"/>
  <c r="AS1164" i="5"/>
  <c r="AT1164" i="5"/>
  <c r="AT1160" i="5"/>
  <c r="AS1160" i="5"/>
  <c r="AZ1152" i="5"/>
  <c r="AI1152" i="5"/>
  <c r="AY1152" i="5"/>
  <c r="AI1153" i="5"/>
  <c r="AL1152" i="5"/>
  <c r="AK1152" i="5"/>
  <c r="AQ1152" i="5"/>
  <c r="AJ1152" i="5"/>
  <c r="AK1141" i="5"/>
  <c r="AW1141" i="5"/>
  <c r="AX1141" i="5" s="1"/>
  <c r="AJ1141" i="5"/>
  <c r="AU1141" i="5"/>
  <c r="AV1141" i="5" s="1"/>
  <c r="AR1141" i="5"/>
  <c r="AT1141" i="5" s="1"/>
  <c r="AY1141" i="5"/>
  <c r="AL1141" i="5"/>
  <c r="AI1142" i="5"/>
  <c r="AY1136" i="5"/>
  <c r="AI1136" i="5"/>
  <c r="AZ1136" i="5"/>
  <c r="AK1136" i="5"/>
  <c r="AZ1132" i="5"/>
  <c r="AK1132" i="5"/>
  <c r="AL1132" i="5"/>
  <c r="AJ1132" i="5"/>
  <c r="AI1133" i="5"/>
  <c r="AQ1132" i="5"/>
  <c r="AS1128" i="5"/>
  <c r="AT1128" i="5"/>
  <c r="AQ1253" i="5"/>
  <c r="AQ1360" i="5"/>
  <c r="AJ1309" i="5"/>
  <c r="AL1264" i="5"/>
  <c r="AS1415" i="5"/>
  <c r="AK1459" i="5"/>
  <c r="AJ1192" i="5"/>
  <c r="AM1262" i="5"/>
  <c r="AI1337" i="5"/>
  <c r="AI1456" i="5"/>
  <c r="AY1304" i="5"/>
  <c r="AK1439" i="5"/>
  <c r="AI1228" i="5"/>
  <c r="AI1399" i="5"/>
  <c r="AT1200" i="5"/>
  <c r="AQ1356" i="5"/>
  <c r="AQ1280" i="5"/>
  <c r="AJ1228" i="5"/>
  <c r="AZ1365" i="5"/>
  <c r="AQ1419" i="5"/>
  <c r="AK1300" i="5"/>
  <c r="AI1428" i="5"/>
  <c r="AQ1304" i="5"/>
  <c r="AS1272" i="5"/>
  <c r="AU1197" i="5"/>
  <c r="AV1197" i="5" s="1"/>
  <c r="AI1400" i="5"/>
  <c r="AQ1309" i="5"/>
  <c r="AQ1428" i="5"/>
  <c r="AI1439" i="5"/>
  <c r="AI1198" i="5"/>
  <c r="AJ1376" i="5"/>
  <c r="AL2193" i="5"/>
  <c r="AZ2193" i="5"/>
  <c r="AK2176" i="5"/>
  <c r="AY2176" i="5"/>
  <c r="AL2167" i="5"/>
  <c r="AK2167" i="5"/>
  <c r="AY2091" i="5"/>
  <c r="AW2091" i="5"/>
  <c r="AX2091" i="5" s="1"/>
  <c r="AL2055" i="5"/>
  <c r="AZ2055" i="5"/>
  <c r="AK2055" i="5"/>
  <c r="AT1054" i="5"/>
  <c r="AS1054" i="5"/>
  <c r="AI1038" i="5"/>
  <c r="AK1038" i="5"/>
  <c r="AR1038" i="5"/>
  <c r="AL1038" i="5"/>
  <c r="AY1038" i="5"/>
  <c r="AJ1038" i="5"/>
  <c r="AZ1038" i="5"/>
  <c r="AW1038" i="5"/>
  <c r="AX1038" i="5" s="1"/>
  <c r="AU1038" i="5"/>
  <c r="AV1038" i="5" s="1"/>
  <c r="AT1030" i="5"/>
  <c r="AS1030" i="5"/>
  <c r="AL1022" i="5"/>
  <c r="AZ1022" i="5"/>
  <c r="AI1023" i="5"/>
  <c r="AY1022" i="5"/>
  <c r="AJ1022" i="5"/>
  <c r="AK1022" i="5"/>
  <c r="AI1022" i="5"/>
  <c r="AS1014" i="5"/>
  <c r="AT1014" i="5"/>
  <c r="AK1011" i="5"/>
  <c r="AL1011" i="5"/>
  <c r="AY1011" i="5"/>
  <c r="AJ1011" i="5"/>
  <c r="AW1011" i="5"/>
  <c r="AX1011" i="5" s="1"/>
  <c r="AU1011" i="5"/>
  <c r="AV1011" i="5" s="1"/>
  <c r="AZ1011" i="5"/>
  <c r="AR1011" i="5"/>
  <c r="AS1011" i="5" s="1"/>
  <c r="AI1012" i="5"/>
  <c r="AK1006" i="5"/>
  <c r="AI1006" i="5"/>
  <c r="AY1006" i="5"/>
  <c r="AZ1006" i="5"/>
  <c r="AL1006" i="5"/>
  <c r="AJ1006" i="5"/>
  <c r="AY1002" i="5"/>
  <c r="AI1002" i="5"/>
  <c r="AJ1002" i="5"/>
  <c r="AK1002" i="5"/>
  <c r="AL1002" i="5"/>
  <c r="AS999" i="5"/>
  <c r="AT999" i="5"/>
  <c r="AS998" i="5"/>
  <c r="AT998" i="5"/>
  <c r="AS994" i="5"/>
  <c r="AT994" i="5"/>
  <c r="AJ986" i="5"/>
  <c r="AI986" i="5"/>
  <c r="AL986" i="5"/>
  <c r="AZ986" i="5"/>
  <c r="AK986" i="5"/>
  <c r="AY986" i="5"/>
  <c r="AK982" i="5"/>
  <c r="AJ982" i="5"/>
  <c r="AI982" i="5"/>
  <c r="AL982" i="5"/>
  <c r="AZ982" i="5"/>
  <c r="AU982" i="5"/>
  <c r="AV982" i="5" s="1"/>
  <c r="AY982" i="5"/>
  <c r="AR982" i="5"/>
  <c r="AS978" i="5"/>
  <c r="AT978" i="5"/>
  <c r="AS974" i="5"/>
  <c r="AT974" i="5"/>
  <c r="AY972" i="5"/>
  <c r="AZ972" i="5"/>
  <c r="AQ972" i="5"/>
  <c r="AI972" i="5"/>
  <c r="AL972" i="5"/>
  <c r="AJ972" i="5"/>
  <c r="AJ966" i="5"/>
  <c r="AI966" i="5"/>
  <c r="AI967" i="5"/>
  <c r="AL966" i="5"/>
  <c r="AK966" i="5"/>
  <c r="AS959" i="5"/>
  <c r="AT959" i="5"/>
  <c r="AS958" i="5"/>
  <c r="AT958" i="5"/>
  <c r="AI956" i="5"/>
  <c r="AU955" i="5"/>
  <c r="AV955" i="5" s="1"/>
  <c r="AR955" i="5"/>
  <c r="AS955" i="5" s="1"/>
  <c r="AL955" i="5"/>
  <c r="AZ955" i="5"/>
  <c r="AJ955" i="5"/>
  <c r="AW955" i="5"/>
  <c r="AX955" i="5" s="1"/>
  <c r="AK955" i="5"/>
  <c r="AY955" i="5"/>
  <c r="AY950" i="5"/>
  <c r="AI950" i="5"/>
  <c r="AL950" i="5"/>
  <c r="AQ950" i="5"/>
  <c r="AZ950" i="5"/>
  <c r="AI951" i="5"/>
  <c r="AJ946" i="5"/>
  <c r="AL946" i="5"/>
  <c r="AI946" i="5"/>
  <c r="AK946" i="5"/>
  <c r="AY946" i="5"/>
  <c r="AZ946" i="5"/>
  <c r="AT942" i="5"/>
  <c r="AS942" i="5"/>
  <c r="AS939" i="5"/>
  <c r="AT939" i="5"/>
  <c r="AL930" i="5"/>
  <c r="AJ930" i="5"/>
  <c r="AY930" i="5"/>
  <c r="AK930" i="5"/>
  <c r="AI931" i="5"/>
  <c r="AZ930" i="5"/>
  <c r="AI930" i="5"/>
  <c r="AT922" i="5"/>
  <c r="AS922" i="5"/>
  <c r="AT918" i="5"/>
  <c r="AS918" i="5"/>
  <c r="AZ910" i="5"/>
  <c r="AQ910" i="5"/>
  <c r="AT902" i="5"/>
  <c r="AS902" i="5"/>
  <c r="AY899" i="5"/>
  <c r="AR899" i="5"/>
  <c r="AS899" i="5" s="1"/>
  <c r="AZ899" i="5"/>
  <c r="AI900" i="5"/>
  <c r="AW899" i="5"/>
  <c r="AX899" i="5" s="1"/>
  <c r="AL899" i="5"/>
  <c r="AJ899" i="5"/>
  <c r="AU899" i="5"/>
  <c r="AV899" i="5" s="1"/>
  <c r="AQ899" i="5"/>
  <c r="AZ894" i="5"/>
  <c r="AL894" i="5"/>
  <c r="AY894" i="5"/>
  <c r="AK894" i="5"/>
  <c r="AI895" i="5"/>
  <c r="AZ890" i="5"/>
  <c r="AI891" i="5"/>
  <c r="AJ890" i="5"/>
  <c r="AQ890" i="5"/>
  <c r="AI890" i="5"/>
  <c r="AY890" i="5"/>
  <c r="AK890" i="5"/>
  <c r="AT886" i="5"/>
  <c r="AS886" i="5"/>
  <c r="AT883" i="5"/>
  <c r="AS883" i="5"/>
  <c r="AT882" i="5"/>
  <c r="AS882" i="5"/>
  <c r="AI874" i="5"/>
  <c r="AK874" i="5"/>
  <c r="AZ874" i="5"/>
  <c r="AL874" i="5"/>
  <c r="AI875" i="5"/>
  <c r="AQ874" i="5"/>
  <c r="AR870" i="5"/>
  <c r="AY870" i="5"/>
  <c r="AW870" i="5"/>
  <c r="AX870" i="5" s="1"/>
  <c r="AL870" i="5"/>
  <c r="AZ870" i="5"/>
  <c r="AJ870" i="5"/>
  <c r="AU870" i="5"/>
  <c r="AV870" i="5" s="1"/>
  <c r="AK870" i="5"/>
  <c r="AL856" i="5"/>
  <c r="AK856" i="5"/>
  <c r="AJ856" i="5"/>
  <c r="AY856" i="5"/>
  <c r="AQ856" i="5"/>
  <c r="AI854" i="5"/>
  <c r="AY854" i="5"/>
  <c r="AL854" i="5"/>
  <c r="AZ854" i="5"/>
  <c r="AI855" i="5"/>
  <c r="AJ854" i="5"/>
  <c r="AT846" i="5"/>
  <c r="AS846" i="5"/>
  <c r="AK843" i="5"/>
  <c r="AZ843" i="5"/>
  <c r="AL843" i="5"/>
  <c r="AR843" i="5"/>
  <c r="AU843" i="5"/>
  <c r="AV843" i="5" s="1"/>
  <c r="AQ843" i="5"/>
  <c r="AW843" i="5"/>
  <c r="AX843" i="5" s="1"/>
  <c r="AY843" i="5"/>
  <c r="AI844" i="5"/>
  <c r="AJ843" i="5"/>
  <c r="AK838" i="5"/>
  <c r="AZ838" i="5"/>
  <c r="AY838" i="5"/>
  <c r="AQ838" i="5"/>
  <c r="AI839" i="5"/>
  <c r="AI835" i="5"/>
  <c r="AK834" i="5"/>
  <c r="AZ834" i="5"/>
  <c r="AY834" i="5"/>
  <c r="AL834" i="5"/>
  <c r="AJ834" i="5"/>
  <c r="AT830" i="5"/>
  <c r="AS830" i="5"/>
  <c r="AJ818" i="5"/>
  <c r="AZ818" i="5"/>
  <c r="AK818" i="5"/>
  <c r="AY818" i="5"/>
  <c r="AI819" i="5"/>
  <c r="AL818" i="5"/>
  <c r="AY814" i="5"/>
  <c r="AK814" i="5"/>
  <c r="AJ814" i="5"/>
  <c r="AW814" i="5"/>
  <c r="AX814" i="5" s="1"/>
  <c r="AL814" i="5"/>
  <c r="AZ814" i="5"/>
  <c r="AU814" i="5"/>
  <c r="AV814" i="5" s="1"/>
  <c r="AR814" i="5"/>
  <c r="AS814" i="5" s="1"/>
  <c r="AI814" i="5"/>
  <c r="AT810" i="5"/>
  <c r="AS810" i="5"/>
  <c r="AT806" i="5"/>
  <c r="AS806" i="5"/>
  <c r="AI799" i="5"/>
  <c r="AK798" i="5"/>
  <c r="AL798" i="5"/>
  <c r="AZ798" i="5"/>
  <c r="AJ798" i="5"/>
  <c r="AY798" i="5"/>
  <c r="AQ798" i="5"/>
  <c r="AT790" i="5"/>
  <c r="AS790" i="5"/>
  <c r="AU787" i="5"/>
  <c r="AV787" i="5" s="1"/>
  <c r="AR787" i="5"/>
  <c r="AI788" i="5"/>
  <c r="AY787" i="5"/>
  <c r="AL787" i="5"/>
  <c r="AW787" i="5"/>
  <c r="AX787" i="5" s="1"/>
  <c r="AZ787" i="5"/>
  <c r="AQ787" i="5"/>
  <c r="AJ782" i="5"/>
  <c r="AL782" i="5"/>
  <c r="AI783" i="5"/>
  <c r="AZ782" i="5"/>
  <c r="AK782" i="5"/>
  <c r="AI782" i="5"/>
  <c r="AY782" i="5"/>
  <c r="AQ782" i="5"/>
  <c r="AZ778" i="5"/>
  <c r="AL778" i="5"/>
  <c r="AI779" i="5"/>
  <c r="AI778" i="5"/>
  <c r="AY778" i="5"/>
  <c r="AJ778" i="5"/>
  <c r="AT774" i="5"/>
  <c r="AS774" i="5"/>
  <c r="AS770" i="5"/>
  <c r="AT770" i="5"/>
  <c r="AI763" i="5"/>
  <c r="AY762" i="5"/>
  <c r="AJ762" i="5"/>
  <c r="AI762" i="5"/>
  <c r="AZ762" i="5"/>
  <c r="AI758" i="5"/>
  <c r="AR758" i="5"/>
  <c r="AL758" i="5"/>
  <c r="AW758" i="5"/>
  <c r="AX758" i="5" s="1"/>
  <c r="AJ758" i="5"/>
  <c r="AU758" i="5"/>
  <c r="AV758" i="5" s="1"/>
  <c r="AZ758" i="5"/>
  <c r="AK758" i="5"/>
  <c r="AS754" i="5"/>
  <c r="AT754" i="5"/>
  <c r="AJ2176" i="5"/>
  <c r="AL2218" i="5"/>
  <c r="AZ2249" i="5"/>
  <c r="AY2167" i="5"/>
  <c r="AY2229" i="5"/>
  <c r="AR2245" i="5"/>
  <c r="AT2245" i="5" s="1"/>
  <c r="AI838" i="5"/>
  <c r="AI894" i="5"/>
  <c r="AS866" i="5"/>
  <c r="AQ966" i="5"/>
  <c r="AI2177" i="5"/>
  <c r="AJ2218" i="5"/>
  <c r="AZ2213" i="5"/>
  <c r="AL2189" i="5"/>
  <c r="AL2229" i="5"/>
  <c r="AK2245" i="5"/>
  <c r="AI856" i="5"/>
  <c r="AR856" i="5"/>
  <c r="AJ838" i="5"/>
  <c r="AJ894" i="5"/>
  <c r="AK787" i="5"/>
  <c r="AR2176" i="5"/>
  <c r="AZ2218" i="5"/>
  <c r="AY2189" i="5"/>
  <c r="AK2229" i="5"/>
  <c r="AU2245" i="5"/>
  <c r="AV2245" i="5" s="1"/>
  <c r="AU856" i="5"/>
  <c r="AV856" i="5" s="1"/>
  <c r="AL838" i="5"/>
  <c r="AS826" i="5"/>
  <c r="AJ787" i="5"/>
  <c r="AQ982" i="5"/>
  <c r="AW2176" i="5"/>
  <c r="AX2176" i="5" s="1"/>
  <c r="AW2218" i="5"/>
  <c r="AX2218" i="5" s="1"/>
  <c r="AU2189" i="5"/>
  <c r="AV2189" i="5" s="1"/>
  <c r="AJ2229" i="5"/>
  <c r="AJ2213" i="5"/>
  <c r="AQ946" i="5"/>
  <c r="AZ856" i="5"/>
  <c r="AK854" i="5"/>
  <c r="AK2193" i="5"/>
  <c r="AR2189" i="5"/>
  <c r="AT2189" i="5" s="1"/>
  <c r="AT2237" i="5"/>
  <c r="AY966" i="5"/>
  <c r="AT862" i="5"/>
  <c r="AJ950" i="5"/>
  <c r="AI798" i="5"/>
  <c r="AY2193" i="5"/>
  <c r="AL2249" i="5"/>
  <c r="AJ2189" i="5"/>
  <c r="AW2189" i="5"/>
  <c r="AX2189" i="5" s="1"/>
  <c r="AZ966" i="5"/>
  <c r="AZ1002" i="5"/>
  <c r="AK950" i="5"/>
  <c r="AK899" i="5"/>
  <c r="AZ742" i="5"/>
  <c r="AI742" i="5"/>
  <c r="AK731" i="5"/>
  <c r="AJ731" i="5"/>
  <c r="AL731" i="5"/>
  <c r="AU731" i="5"/>
  <c r="AV731" i="5" s="1"/>
  <c r="AK726" i="5"/>
  <c r="AI727" i="5"/>
  <c r="AZ726" i="5"/>
  <c r="AJ726" i="5"/>
  <c r="AL726" i="5"/>
  <c r="AZ722" i="5"/>
  <c r="AL722" i="5"/>
  <c r="AI723" i="5"/>
  <c r="AK722" i="5"/>
  <c r="AY722" i="5"/>
  <c r="AS718" i="5"/>
  <c r="AT718" i="5"/>
  <c r="AT714" i="5"/>
  <c r="AS714" i="5"/>
  <c r="AY706" i="5"/>
  <c r="AI707" i="5"/>
  <c r="AJ706" i="5"/>
  <c r="AL706" i="5"/>
  <c r="AS703" i="5"/>
  <c r="AT703" i="5"/>
  <c r="AS663" i="5"/>
  <c r="AT663" i="5"/>
  <c r="AS639" i="5"/>
  <c r="AT639" i="5"/>
  <c r="AZ623" i="5"/>
  <c r="AY623" i="5"/>
  <c r="AJ623" i="5"/>
  <c r="AT615" i="5"/>
  <c r="AS615" i="5"/>
  <c r="AY607" i="5"/>
  <c r="AL607" i="5"/>
  <c r="AJ607" i="5"/>
  <c r="AK596" i="5"/>
  <c r="AZ596" i="5"/>
  <c r="AR596" i="5"/>
  <c r="AT596" i="5" s="1"/>
  <c r="AJ596" i="5"/>
  <c r="AU596" i="5"/>
  <c r="AV596" i="5" s="1"/>
  <c r="AW596" i="5"/>
  <c r="AX596" i="5" s="1"/>
  <c r="AL596" i="5"/>
  <c r="AY596" i="5"/>
  <c r="AJ591" i="5"/>
  <c r="AY591" i="5"/>
  <c r="AL591" i="5"/>
  <c r="AI591" i="5"/>
  <c r="AZ591" i="5"/>
  <c r="AK591" i="5"/>
  <c r="AI592" i="5"/>
  <c r="AL587" i="5"/>
  <c r="AZ587" i="5"/>
  <c r="AY587" i="5"/>
  <c r="AJ587" i="5"/>
  <c r="AI588" i="5"/>
  <c r="AK587" i="5"/>
  <c r="AS579" i="5"/>
  <c r="AT579" i="5"/>
  <c r="AT543" i="5"/>
  <c r="AS543" i="5"/>
  <c r="AK540" i="5"/>
  <c r="AJ540" i="5"/>
  <c r="AR540" i="5"/>
  <c r="AY540" i="5"/>
  <c r="AZ540" i="5"/>
  <c r="AI541" i="5"/>
  <c r="AI535" i="5"/>
  <c r="AJ535" i="5"/>
  <c r="AZ535" i="5"/>
  <c r="AY535" i="5"/>
  <c r="AJ531" i="5"/>
  <c r="AL531" i="5"/>
  <c r="AZ531" i="5"/>
  <c r="AY531" i="5"/>
  <c r="AI531" i="5"/>
  <c r="AK531" i="5"/>
  <c r="AI532" i="5"/>
  <c r="AS527" i="5"/>
  <c r="AT527" i="5"/>
  <c r="AS524" i="5"/>
  <c r="AT524" i="5"/>
  <c r="AT523" i="5"/>
  <c r="AS523" i="5"/>
  <c r="AL515" i="5"/>
  <c r="AZ515" i="5"/>
  <c r="AI516" i="5"/>
  <c r="AK515" i="5"/>
  <c r="AI515" i="5"/>
  <c r="AY515" i="5"/>
  <c r="AR511" i="5"/>
  <c r="AK511" i="5"/>
  <c r="AJ511" i="5"/>
  <c r="AZ511" i="5"/>
  <c r="AI511" i="5"/>
  <c r="AY511" i="5"/>
  <c r="AW511" i="5"/>
  <c r="AX511" i="5" s="1"/>
  <c r="AL511" i="5"/>
  <c r="AU511" i="5"/>
  <c r="AV511" i="5" s="1"/>
  <c r="AS507" i="5"/>
  <c r="AT507" i="5"/>
  <c r="AS503" i="5"/>
  <c r="AT503" i="5"/>
  <c r="AY495" i="5"/>
  <c r="AZ495" i="5"/>
  <c r="AK495" i="5"/>
  <c r="AI495" i="5"/>
  <c r="AJ495" i="5"/>
  <c r="AL495" i="5"/>
  <c r="AI496" i="5"/>
  <c r="AY484" i="5"/>
  <c r="AW484" i="5"/>
  <c r="AX484" i="5" s="1"/>
  <c r="AL484" i="5"/>
  <c r="AJ484" i="5"/>
  <c r="AI485" i="5"/>
  <c r="AK484" i="5"/>
  <c r="AR484" i="5"/>
  <c r="AS484" i="5" s="1"/>
  <c r="AZ484" i="5"/>
  <c r="AL479" i="5"/>
  <c r="AJ479" i="5"/>
  <c r="AY479" i="5"/>
  <c r="AK479" i="5"/>
  <c r="AZ479" i="5"/>
  <c r="AI479" i="5"/>
  <c r="AY475" i="5"/>
  <c r="AI476" i="5"/>
  <c r="AK475" i="5"/>
  <c r="AI475" i="5"/>
  <c r="AJ475" i="5"/>
  <c r="AI722" i="5"/>
  <c r="AK607" i="5"/>
  <c r="AI706" i="5"/>
  <c r="AS734" i="5"/>
  <c r="AT659" i="5"/>
  <c r="AL623" i="5"/>
  <c r="AZ706" i="5"/>
  <c r="AL742" i="5"/>
  <c r="AK706" i="5"/>
  <c r="AT619" i="5"/>
  <c r="AW540" i="5"/>
  <c r="AX540" i="5" s="1"/>
  <c r="AI732" i="5"/>
  <c r="AK742" i="5"/>
  <c r="AJ722" i="5"/>
  <c r="AZ607" i="5"/>
  <c r="AI597" i="5"/>
  <c r="AJ742" i="5"/>
  <c r="AY742" i="5"/>
  <c r="AI536" i="5"/>
  <c r="AU540" i="5"/>
  <c r="AV540" i="5" s="1"/>
  <c r="AL459" i="5"/>
  <c r="AY459" i="5"/>
  <c r="AK459" i="5"/>
  <c r="AJ459" i="5"/>
  <c r="AI459" i="5"/>
  <c r="AW455" i="5"/>
  <c r="AX455" i="5" s="1"/>
  <c r="AZ455" i="5"/>
  <c r="AR455" i="5"/>
  <c r="AI455" i="5"/>
  <c r="AT447" i="5"/>
  <c r="AS447" i="5"/>
  <c r="AK439" i="5"/>
  <c r="AL439" i="5"/>
  <c r="AI439" i="5"/>
  <c r="AT431" i="5"/>
  <c r="AS431" i="5"/>
  <c r="AJ428" i="5"/>
  <c r="AR428" i="5"/>
  <c r="AI429" i="5"/>
  <c r="AK423" i="5"/>
  <c r="AI423" i="5"/>
  <c r="AT415" i="5"/>
  <c r="AS415" i="5"/>
  <c r="AZ403" i="5"/>
  <c r="AL403" i="5"/>
  <c r="AJ403" i="5"/>
  <c r="AI403" i="5"/>
  <c r="AY399" i="5"/>
  <c r="AJ399" i="5"/>
  <c r="AI399" i="5"/>
  <c r="AT395" i="5"/>
  <c r="AS395" i="5"/>
  <c r="AS391" i="5"/>
  <c r="AT391" i="5"/>
  <c r="AK383" i="5"/>
  <c r="AI384" i="5"/>
  <c r="AS375" i="5"/>
  <c r="AT375" i="5"/>
  <c r="AY372" i="5"/>
  <c r="AR372" i="5"/>
  <c r="AS372" i="5" s="1"/>
  <c r="AK372" i="5"/>
  <c r="AL372" i="5"/>
  <c r="AJ367" i="5"/>
  <c r="AL367" i="5"/>
  <c r="AI368" i="5"/>
  <c r="AI367" i="5"/>
  <c r="AI364" i="5"/>
  <c r="AI363" i="5"/>
  <c r="AK363" i="5"/>
  <c r="AJ363" i="5"/>
  <c r="AZ347" i="5"/>
  <c r="AL347" i="5"/>
  <c r="AY343" i="5"/>
  <c r="AZ343" i="5"/>
  <c r="AI343" i="5"/>
  <c r="AZ327" i="5"/>
  <c r="AI327" i="5"/>
  <c r="AZ316" i="5"/>
  <c r="AL316" i="5"/>
  <c r="AU316" i="5"/>
  <c r="AV316" i="5" s="1"/>
  <c r="AK316" i="5"/>
  <c r="AI317" i="5"/>
  <c r="AI311" i="5"/>
  <c r="AK311" i="5"/>
  <c r="AY311" i="5"/>
  <c r="AL455" i="5"/>
  <c r="AI460" i="5"/>
  <c r="AU455" i="5"/>
  <c r="AV455" i="5" s="1"/>
  <c r="AZ1707" i="5"/>
  <c r="AK399" i="5"/>
  <c r="AJ455" i="5"/>
  <c r="AK307" i="5"/>
  <c r="AI296" i="5"/>
  <c r="AI307" i="5"/>
  <c r="AK296" i="5"/>
  <c r="AI308" i="5"/>
  <c r="AU1907" i="5"/>
  <c r="AV1907" i="5" s="1"/>
  <c r="AL296" i="5"/>
  <c r="F4639" i="5"/>
  <c r="AL1907" i="5"/>
  <c r="AJ1907" i="5"/>
  <c r="G4723" i="5"/>
  <c r="H4723" i="5" s="1"/>
  <c r="AM1458" i="5"/>
  <c r="AL1126" i="5"/>
  <c r="AQ2240" i="5"/>
  <c r="F4737" i="5"/>
  <c r="G3378" i="5"/>
  <c r="H3378" i="5" s="1"/>
  <c r="AZ2322" i="5"/>
  <c r="AK2290" i="5"/>
  <c r="AT2108" i="5"/>
  <c r="AY2239" i="5"/>
  <c r="AY2000" i="5"/>
  <c r="AJ2004" i="5"/>
  <c r="AO3473" i="5"/>
  <c r="AP3473" i="5" s="1"/>
  <c r="AR3473" i="5" s="1"/>
  <c r="AS399" i="5"/>
  <c r="AJ2322" i="5"/>
  <c r="AI2194" i="5"/>
  <c r="AL2290" i="5"/>
  <c r="AR2085" i="5"/>
  <c r="AT2124" i="5"/>
  <c r="AT800" i="5"/>
  <c r="AI2291" i="5"/>
  <c r="AJ2230" i="5"/>
  <c r="AR2322" i="5"/>
  <c r="AS2322" i="5" s="1"/>
  <c r="AS1934" i="5"/>
  <c r="AJ2132" i="5"/>
  <c r="M3767" i="5"/>
  <c r="L3767" i="5" s="1"/>
  <c r="AT1669" i="5"/>
  <c r="AV3234" i="5"/>
  <c r="AW3234" i="5" s="1"/>
  <c r="AY3234" i="5" s="1"/>
  <c r="AT462" i="5"/>
  <c r="AS469" i="5"/>
  <c r="S3370" i="5"/>
  <c r="Y3370" i="5" s="1"/>
  <c r="F3382" i="5" s="1"/>
  <c r="AI2251" i="5"/>
  <c r="AT2282" i="5"/>
  <c r="AZ2250" i="5"/>
  <c r="AS2366" i="5"/>
  <c r="AT2202" i="5"/>
  <c r="AW2322" i="5"/>
  <c r="AX2322" i="5" s="1"/>
  <c r="AU1872" i="5"/>
  <c r="AV1872" i="5" s="1"/>
  <c r="V3369" i="5"/>
  <c r="F3375" i="5" s="1"/>
  <c r="AL2239" i="5"/>
  <c r="AT1904" i="5"/>
  <c r="AI1738" i="5"/>
  <c r="A3470" i="5"/>
  <c r="AS630" i="5"/>
  <c r="AT2258" i="5"/>
  <c r="AS2088" i="5"/>
  <c r="AT2278" i="5"/>
  <c r="AI2030" i="5"/>
  <c r="AT2242" i="5"/>
  <c r="AK1648" i="5"/>
  <c r="AK1621" i="5"/>
  <c r="AM1206" i="5"/>
  <c r="M3766" i="5"/>
  <c r="L3766" i="5" s="1"/>
  <c r="M2773" i="5"/>
  <c r="L2773" i="5" s="1"/>
  <c r="M2765" i="5"/>
  <c r="L2765" i="5" s="1"/>
  <c r="M2749" i="5"/>
  <c r="L2749" i="5" s="1"/>
  <c r="M2741" i="5"/>
  <c r="L2741" i="5" s="1"/>
  <c r="M2725" i="5"/>
  <c r="L2725" i="5" s="1"/>
  <c r="M2717" i="5"/>
  <c r="L2717" i="5" s="1"/>
  <c r="M2644" i="5"/>
  <c r="L2644" i="5" s="1"/>
  <c r="M2813" i="5"/>
  <c r="L2813" i="5" s="1"/>
  <c r="M2968" i="5"/>
  <c r="F2968" i="5" s="1"/>
  <c r="L2968" i="5" s="1"/>
  <c r="M2944" i="5"/>
  <c r="F2944" i="5" s="1"/>
  <c r="L2944" i="5" s="1"/>
  <c r="M2871" i="5"/>
  <c r="F2871" i="5" s="1"/>
  <c r="L2871" i="5" s="1"/>
  <c r="M2847" i="5"/>
  <c r="F2847" i="5" s="1"/>
  <c r="L2847" i="5" s="1"/>
  <c r="M3071" i="5"/>
  <c r="F3071" i="5" s="1"/>
  <c r="L3071" i="5" s="1"/>
  <c r="M3079" i="5"/>
  <c r="F3079" i="5" s="1"/>
  <c r="L3079" i="5" s="1"/>
  <c r="M3095" i="5"/>
  <c r="F3095" i="5" s="1"/>
  <c r="L3095" i="5" s="1"/>
  <c r="AI1499" i="5"/>
  <c r="AM671" i="5"/>
  <c r="AM398" i="5"/>
  <c r="AM370" i="5"/>
  <c r="AM300" i="5"/>
  <c r="AM1066" i="5"/>
  <c r="AM1484" i="5"/>
  <c r="AM1377" i="5"/>
  <c r="AM1349" i="5"/>
  <c r="AM1321" i="5"/>
  <c r="AM1293" i="5"/>
  <c r="AM1279" i="5"/>
  <c r="AM1265" i="5"/>
  <c r="P3370" i="5"/>
  <c r="G3379" i="5" s="1"/>
  <c r="H3379" i="5" s="1"/>
  <c r="M3667" i="5"/>
  <c r="L3667" i="5" s="1"/>
  <c r="AM641" i="5"/>
  <c r="AM613" i="5"/>
  <c r="AM600" i="5"/>
  <c r="AM558" i="5"/>
  <c r="AM544" i="5"/>
  <c r="AM515" i="5"/>
  <c r="AM501" i="5"/>
  <c r="AM487" i="5"/>
  <c r="AM474" i="5"/>
  <c r="AM460" i="5"/>
  <c r="AM445" i="5"/>
  <c r="AM431" i="5"/>
  <c r="AM418" i="5"/>
  <c r="AM403" i="5"/>
  <c r="AM389" i="5"/>
  <c r="AM375" i="5"/>
  <c r="AM361" i="5"/>
  <c r="AM347" i="5"/>
  <c r="AM333" i="5"/>
  <c r="AM319" i="5"/>
  <c r="AM305" i="5"/>
  <c r="AM1067" i="5"/>
  <c r="AM1008" i="5"/>
  <c r="AM993" i="5"/>
  <c r="AM952" i="5"/>
  <c r="AM923" i="5"/>
  <c r="AM896" i="5"/>
  <c r="AM881" i="5"/>
  <c r="AM853" i="5"/>
  <c r="AM839" i="5"/>
  <c r="AM825" i="5"/>
  <c r="AM797" i="5"/>
  <c r="AM755" i="5"/>
  <c r="AM727" i="5"/>
  <c r="AM1503" i="5"/>
  <c r="AM1485" i="5"/>
  <c r="AM1454" i="5"/>
  <c r="AM1440" i="5"/>
  <c r="AM1426" i="5"/>
  <c r="AM1412" i="5"/>
  <c r="AM1398" i="5"/>
  <c r="AM1354" i="5"/>
  <c r="AM1326" i="5"/>
  <c r="AM1312" i="5"/>
  <c r="AM1186" i="5"/>
  <c r="AM1922" i="5"/>
  <c r="AM1909" i="5"/>
  <c r="AM1892" i="5"/>
  <c r="AM1877" i="5"/>
  <c r="AM1863" i="5"/>
  <c r="AM1849" i="5"/>
  <c r="AM1808" i="5"/>
  <c r="AM1765" i="5"/>
  <c r="AM1737" i="5"/>
  <c r="AM1724" i="5"/>
  <c r="AM1668" i="5"/>
  <c r="AM1639" i="5"/>
  <c r="AM1625" i="5"/>
  <c r="AM1612" i="5"/>
  <c r="AM1598" i="5"/>
  <c r="AM1583" i="5"/>
  <c r="AM1570" i="5"/>
  <c r="AM2350" i="5"/>
  <c r="AM2314" i="5"/>
  <c r="AM2300" i="5"/>
  <c r="AM2286" i="5"/>
  <c r="AM2272" i="5"/>
  <c r="AM2258" i="5"/>
  <c r="AM2244" i="5"/>
  <c r="AM2230" i="5"/>
  <c r="AM2216" i="5"/>
  <c r="AM2202" i="5"/>
  <c r="AM2172" i="5"/>
  <c r="AM2130" i="5"/>
  <c r="AM2103" i="5"/>
  <c r="AM2075" i="5"/>
  <c r="AM2060" i="5"/>
  <c r="AM2046" i="5"/>
  <c r="AM2032" i="5"/>
  <c r="AM2326" i="5"/>
  <c r="AN3785" i="5"/>
  <c r="A3785" i="5" s="1"/>
  <c r="AN3456" i="5"/>
  <c r="AO3456" i="5" s="1"/>
  <c r="AP3456" i="5" s="1"/>
  <c r="AR3456" i="5" s="1"/>
  <c r="AN3453" i="5"/>
  <c r="A3453" i="5" s="1"/>
  <c r="AQ2366" i="5"/>
  <c r="AQ2358" i="5"/>
  <c r="AQ2347" i="5"/>
  <c r="AQ2343" i="5"/>
  <c r="AQ2342" i="5"/>
  <c r="AQ2329" i="5"/>
  <c r="AQ2323" i="5"/>
  <c r="AQ2314" i="5"/>
  <c r="AQ2303" i="5"/>
  <c r="AQ2300" i="5"/>
  <c r="AQ2298" i="5"/>
  <c r="AQ2294" i="5"/>
  <c r="AQ2288" i="5"/>
  <c r="AQ2284" i="5"/>
  <c r="AQ2283" i="5"/>
  <c r="AQ2282" i="5"/>
  <c r="AQ2278" i="5"/>
  <c r="AQ2268" i="5"/>
  <c r="AQ2267" i="5"/>
  <c r="AQ2263" i="5"/>
  <c r="AQ2259" i="5"/>
  <c r="AQ2258" i="5"/>
  <c r="AQ2253" i="5"/>
  <c r="AQ2243" i="5"/>
  <c r="AQ2242" i="5"/>
  <c r="AQ2238" i="5"/>
  <c r="AQ2232" i="5"/>
  <c r="AQ2226" i="5"/>
  <c r="AQ2222" i="5"/>
  <c r="AQ2211" i="5"/>
  <c r="AQ2206" i="5"/>
  <c r="AQ2187" i="5"/>
  <c r="AQ2185" i="5"/>
  <c r="AQ2182" i="5"/>
  <c r="AQ2169" i="5"/>
  <c r="AQ2164" i="5"/>
  <c r="AQ2160" i="5"/>
  <c r="AQ2144" i="5"/>
  <c r="AQ2128" i="5"/>
  <c r="AQ2125" i="5"/>
  <c r="AQ2124" i="5"/>
  <c r="AQ2113" i="5"/>
  <c r="AQ2104" i="5"/>
  <c r="AQ2099" i="5"/>
  <c r="AQ2094" i="5"/>
  <c r="AQ2093" i="5"/>
  <c r="AQ2078" i="5"/>
  <c r="AQ2069" i="5"/>
  <c r="AQ2043" i="5"/>
  <c r="AQ2022" i="5"/>
  <c r="AQ2013" i="5"/>
  <c r="AQ2002" i="5"/>
  <c r="AQ1998" i="5"/>
  <c r="AQ1993" i="5"/>
  <c r="AQ1942" i="5"/>
  <c r="AQ1939" i="5"/>
  <c r="AQ1938" i="5"/>
  <c r="AQ1935" i="5"/>
  <c r="AQ1915" i="5"/>
  <c r="AQ1911" i="5"/>
  <c r="AQ1910" i="5"/>
  <c r="AQ1907" i="5"/>
  <c r="AQ1905" i="5"/>
  <c r="AQ1894" i="5"/>
  <c r="AQ1865" i="5"/>
  <c r="AQ1834" i="5"/>
  <c r="AQ1829" i="5"/>
  <c r="AQ1813" i="5"/>
  <c r="AQ1793" i="5"/>
  <c r="AQ1788" i="5"/>
  <c r="AQ1782" i="5"/>
  <c r="AQ1762" i="5"/>
  <c r="AQ1757" i="5"/>
  <c r="AQ1752" i="5"/>
  <c r="AQ1737" i="5"/>
  <c r="AQ1720" i="5"/>
  <c r="AQ1718" i="5"/>
  <c r="AQ1697" i="5"/>
  <c r="AQ1664" i="5"/>
  <c r="AQ1608" i="5"/>
  <c r="AQ1558" i="5"/>
  <c r="AQ1477" i="5"/>
  <c r="AQ1453" i="5"/>
  <c r="H23" i="11"/>
  <c r="J23" i="11"/>
  <c r="C23" i="11"/>
  <c r="E23" i="11"/>
  <c r="K23" i="11"/>
  <c r="M23" i="11"/>
  <c r="I23" i="11"/>
  <c r="D23" i="11"/>
  <c r="F23" i="11"/>
  <c r="G23" i="11"/>
  <c r="L23" i="11"/>
  <c r="N23" i="11"/>
  <c r="N43" i="11"/>
  <c r="L43" i="11"/>
  <c r="R43" i="11"/>
  <c r="K43" i="11"/>
  <c r="M43" i="11"/>
  <c r="C24" i="11"/>
  <c r="D18" i="14"/>
  <c r="Y22" i="14"/>
  <c r="R16" i="14"/>
  <c r="R20" i="14" s="1"/>
  <c r="D13" i="14"/>
  <c r="AA16" i="14"/>
  <c r="AA20" i="14" s="1"/>
  <c r="AA22" i="14" s="1"/>
  <c r="J42" i="11"/>
  <c r="F42" i="11"/>
  <c r="E42" i="11"/>
  <c r="I42" i="11"/>
  <c r="R42" i="11"/>
  <c r="H42" i="11"/>
  <c r="K42" i="11"/>
  <c r="G42" i="11"/>
  <c r="C14" i="14"/>
  <c r="W14" i="14"/>
  <c r="W16" i="14" s="1"/>
  <c r="W20" i="14" s="1"/>
  <c r="W22" i="14" s="1"/>
  <c r="AC22" i="14"/>
  <c r="F4645" i="5"/>
  <c r="M2861" i="5"/>
  <c r="F2861" i="5" s="1"/>
  <c r="L2861" i="5" s="1"/>
  <c r="M2845" i="5"/>
  <c r="F2845" i="5" s="1"/>
  <c r="L2845" i="5" s="1"/>
  <c r="AM1237" i="5"/>
  <c r="AM1181" i="5"/>
  <c r="AM1921" i="5"/>
  <c r="AM1862" i="5"/>
  <c r="AM1820" i="5"/>
  <c r="AM1792" i="5"/>
  <c r="AM1764" i="5"/>
  <c r="AM1736" i="5"/>
  <c r="AM1722" i="5"/>
  <c r="AM1708" i="5"/>
  <c r="AM1694" i="5"/>
  <c r="AM1652" i="5"/>
  <c r="AM1638" i="5"/>
  <c r="AM1624" i="5"/>
  <c r="AM2229" i="5"/>
  <c r="M3073" i="5"/>
  <c r="F3073" i="5" s="1"/>
  <c r="L3073" i="5" s="1"/>
  <c r="M3081" i="5"/>
  <c r="F3081" i="5" s="1"/>
  <c r="L3081" i="5" s="1"/>
  <c r="M3089" i="5"/>
  <c r="F3089" i="5" s="1"/>
  <c r="L3089" i="5" s="1"/>
  <c r="AI2259" i="5"/>
  <c r="AQ2003" i="5"/>
  <c r="AQ1987" i="5"/>
  <c r="AQ1940" i="5"/>
  <c r="AQ1917" i="5"/>
  <c r="AQ1896" i="5"/>
  <c r="AQ1836" i="5"/>
  <c r="AQ1764" i="5"/>
  <c r="AQ1733" i="5"/>
  <c r="AQ1688" i="5"/>
  <c r="AQ1636" i="5"/>
  <c r="AQ1621" i="5"/>
  <c r="AQ1616" i="5"/>
  <c r="AQ1612" i="5"/>
  <c r="AQ1498" i="5"/>
  <c r="AQ1423" i="5"/>
  <c r="AQ1376" i="5"/>
  <c r="AQ1365" i="5"/>
  <c r="AQ1284" i="5"/>
  <c r="AA17" i="10"/>
  <c r="M2989" i="5"/>
  <c r="F2989" i="5" s="1"/>
  <c r="L2989" i="5" s="1"/>
  <c r="M2941" i="5"/>
  <c r="F2941" i="5" s="1"/>
  <c r="L2941" i="5" s="1"/>
  <c r="M2852" i="5"/>
  <c r="F2852" i="5" s="1"/>
  <c r="L2852" i="5" s="1"/>
  <c r="Z15" i="10"/>
  <c r="Z19" i="10" s="1"/>
  <c r="P15" i="10"/>
  <c r="P19" i="10" s="1"/>
  <c r="AM1367" i="5"/>
  <c r="AM1269" i="5"/>
  <c r="AM1241" i="5"/>
  <c r="AM1171" i="5"/>
  <c r="AM1157" i="5"/>
  <c r="AM1143" i="5"/>
  <c r="AQ2068" i="5"/>
  <c r="AQ2012" i="5"/>
  <c r="AQ2001" i="5"/>
  <c r="AQ1996" i="5"/>
  <c r="AQ1992" i="5"/>
  <c r="AQ1934" i="5"/>
  <c r="AQ1888" i="5"/>
  <c r="AQ1844" i="5"/>
  <c r="AQ1832" i="5"/>
  <c r="AQ1776" i="5"/>
  <c r="AQ1562" i="5"/>
  <c r="AQ1415" i="5"/>
  <c r="P4404" i="5"/>
  <c r="AM1021" i="5"/>
  <c r="AM1022" i="5"/>
  <c r="AM938" i="5"/>
  <c r="AM937" i="5"/>
  <c r="AM784" i="5"/>
  <c r="AM783" i="5"/>
  <c r="AM1284" i="5"/>
  <c r="AM2088" i="5"/>
  <c r="AM2089" i="5"/>
  <c r="AM2005" i="5"/>
  <c r="AM2004" i="5"/>
  <c r="M2743" i="5"/>
  <c r="L2743" i="5" s="1"/>
  <c r="M2718" i="5"/>
  <c r="L2718" i="5" s="1"/>
  <c r="M2727" i="5"/>
  <c r="L2727" i="5" s="1"/>
  <c r="M2719" i="5"/>
  <c r="L2719" i="5" s="1"/>
  <c r="M2646" i="5"/>
  <c r="L2646" i="5" s="1"/>
  <c r="M2775" i="5"/>
  <c r="L2775" i="5" s="1"/>
  <c r="M2766" i="5"/>
  <c r="L2766" i="5" s="1"/>
  <c r="M2622" i="5"/>
  <c r="L2622" i="5" s="1"/>
  <c r="M2751" i="5"/>
  <c r="L2751" i="5" s="1"/>
  <c r="M2799" i="5"/>
  <c r="L2799" i="5" s="1"/>
  <c r="M2694" i="5"/>
  <c r="L2694" i="5" s="1"/>
  <c r="M2630" i="5"/>
  <c r="L2630" i="5" s="1"/>
  <c r="M2790" i="5"/>
  <c r="L2790" i="5" s="1"/>
  <c r="M2726" i="5"/>
  <c r="L2726" i="5" s="1"/>
  <c r="M2774" i="5"/>
  <c r="L2774" i="5" s="1"/>
  <c r="M2872" i="5"/>
  <c r="F2872" i="5" s="1"/>
  <c r="L2872" i="5" s="1"/>
  <c r="M2964" i="5"/>
  <c r="F2964" i="5" s="1"/>
  <c r="L2964" i="5" s="1"/>
  <c r="M2884" i="5"/>
  <c r="F2884" i="5" s="1"/>
  <c r="L2884" i="5" s="1"/>
  <c r="M2875" i="5"/>
  <c r="F2875" i="5" s="1"/>
  <c r="L2875" i="5" s="1"/>
  <c r="M3045" i="5"/>
  <c r="F3045" i="5" s="1"/>
  <c r="L3045" i="5" s="1"/>
  <c r="M2885" i="5"/>
  <c r="F2885" i="5" s="1"/>
  <c r="L2885" i="5" s="1"/>
  <c r="M2883" i="5"/>
  <c r="F2883" i="5" s="1"/>
  <c r="L2883" i="5" s="1"/>
  <c r="M2974" i="5"/>
  <c r="F2974" i="5" s="1"/>
  <c r="L2974" i="5" s="1"/>
  <c r="M2967" i="5"/>
  <c r="F2967" i="5" s="1"/>
  <c r="L2967" i="5" s="1"/>
  <c r="M3041" i="5"/>
  <c r="F3041" i="5" s="1"/>
  <c r="L3041" i="5" s="1"/>
  <c r="M3092" i="5"/>
  <c r="F3092" i="5" s="1"/>
  <c r="L3092" i="5" s="1"/>
  <c r="M3093" i="5"/>
  <c r="M3087" i="5"/>
  <c r="F3087" i="5" s="1"/>
  <c r="L3087" i="5" s="1"/>
  <c r="M3785" i="5"/>
  <c r="F3785" i="5" s="1"/>
  <c r="L3785" i="5" s="1"/>
  <c r="N3786" i="5"/>
  <c r="M3786" i="5" s="1"/>
  <c r="F3786" i="5" s="1"/>
  <c r="L3786" i="5" s="1"/>
  <c r="N3794" i="5"/>
  <c r="M3794" i="5" s="1"/>
  <c r="F3794" i="5" s="1"/>
  <c r="L3794" i="5" s="1"/>
  <c r="M1045" i="5"/>
  <c r="F1045" i="5" s="1"/>
  <c r="AY704" i="5"/>
  <c r="M955" i="5"/>
  <c r="F955" i="5" s="1"/>
  <c r="M927" i="5"/>
  <c r="F927" i="5" s="1"/>
  <c r="M787" i="5"/>
  <c r="F787" i="5" s="1"/>
  <c r="AM787" i="5" s="1"/>
  <c r="M738" i="5"/>
  <c r="F738" i="5" s="1"/>
  <c r="M864" i="5"/>
  <c r="F864" i="5" s="1"/>
  <c r="M773" i="5"/>
  <c r="F773" i="5" s="1"/>
  <c r="M731" i="5"/>
  <c r="F731" i="5" s="1"/>
  <c r="M969" i="5"/>
  <c r="F969" i="5" s="1"/>
  <c r="M801" i="5"/>
  <c r="F801" i="5" s="1"/>
  <c r="M1063" i="5"/>
  <c r="F1063" i="5" s="1"/>
  <c r="M983" i="5"/>
  <c r="F983" i="5" s="1"/>
  <c r="M850" i="5"/>
  <c r="F850" i="5" s="1"/>
  <c r="AM851" i="5" s="1"/>
  <c r="M1011" i="5"/>
  <c r="F1011" i="5" s="1"/>
  <c r="M990" i="5"/>
  <c r="F990" i="5" s="1"/>
  <c r="M808" i="5"/>
  <c r="F808" i="5" s="1"/>
  <c r="M1032" i="5"/>
  <c r="F1032" i="5" s="1"/>
  <c r="M906" i="5"/>
  <c r="F906" i="5" s="1"/>
  <c r="M941" i="5"/>
  <c r="F941" i="5" s="1"/>
  <c r="M1004" i="5"/>
  <c r="F1004" i="5" s="1"/>
  <c r="M1025" i="5"/>
  <c r="F1025" i="5" s="1"/>
  <c r="M885" i="5"/>
  <c r="F885" i="5" s="1"/>
  <c r="M794" i="5"/>
  <c r="F794" i="5" s="1"/>
  <c r="M752" i="5"/>
  <c r="F752" i="5" s="1"/>
  <c r="M1039" i="5"/>
  <c r="F1039" i="5" s="1"/>
  <c r="M934" i="5"/>
  <c r="F934" i="5" s="1"/>
  <c r="M836" i="5"/>
  <c r="F836" i="5" s="1"/>
  <c r="M717" i="5"/>
  <c r="F717" i="5" s="1"/>
  <c r="M1051" i="5"/>
  <c r="F1051" i="5" s="1"/>
  <c r="M822" i="5"/>
  <c r="F822" i="5" s="1"/>
  <c r="M976" i="5"/>
  <c r="F976" i="5" s="1"/>
  <c r="M913" i="5"/>
  <c r="F913" i="5" s="1"/>
  <c r="M948" i="5"/>
  <c r="F948" i="5" s="1"/>
  <c r="M997" i="5"/>
  <c r="F997" i="5" s="1"/>
  <c r="M1018" i="5"/>
  <c r="F1018" i="5" s="1"/>
  <c r="AM1019" i="5" s="1"/>
  <c r="M759" i="5"/>
  <c r="F759" i="5" s="1"/>
  <c r="M710" i="5"/>
  <c r="F710" i="5" s="1"/>
  <c r="M857" i="5"/>
  <c r="F857" i="5" s="1"/>
  <c r="M962" i="5"/>
  <c r="F962" i="5" s="1"/>
  <c r="AP704" i="5"/>
  <c r="AQ704" i="5" s="1"/>
  <c r="M780" i="5"/>
  <c r="F780" i="5" s="1"/>
  <c r="M899" i="5"/>
  <c r="F899" i="5" s="1"/>
  <c r="M878" i="5"/>
  <c r="F878" i="5" s="1"/>
  <c r="AI2371" i="5"/>
  <c r="AU2370" i="5"/>
  <c r="AV2370" i="5" s="1"/>
  <c r="AR2370" i="5"/>
  <c r="AT2370" i="5" s="1"/>
  <c r="AZ2370" i="5"/>
  <c r="AW2370" i="5"/>
  <c r="AX2370" i="5" s="1"/>
  <c r="AL2370" i="5"/>
  <c r="AY2363" i="5"/>
  <c r="AZ2363" i="5"/>
  <c r="AM2363" i="5"/>
  <c r="AI2364" i="5"/>
  <c r="AK2363" i="5"/>
  <c r="AL2363" i="5"/>
  <c r="AI2363" i="5"/>
  <c r="AY2361" i="5"/>
  <c r="AK2361" i="5"/>
  <c r="AI2362" i="5"/>
  <c r="AZ2361" i="5"/>
  <c r="AJ2361" i="5"/>
  <c r="AL2361" i="5"/>
  <c r="AQ2361" i="5"/>
  <c r="AZ2357" i="5"/>
  <c r="AI2358" i="5"/>
  <c r="AY2357" i="5"/>
  <c r="AK2357" i="5"/>
  <c r="AL2357" i="5"/>
  <c r="AJ2357" i="5"/>
  <c r="AS2350" i="5"/>
  <c r="AT2350" i="5"/>
  <c r="AS2349" i="5"/>
  <c r="AT2349" i="5"/>
  <c r="AI2337" i="5"/>
  <c r="AJ2337" i="5"/>
  <c r="AY2337" i="5"/>
  <c r="AI2338" i="5"/>
  <c r="AK2337" i="5"/>
  <c r="AL2337" i="5"/>
  <c r="AZ2337" i="5"/>
  <c r="AK2333" i="5"/>
  <c r="AJ2333" i="5"/>
  <c r="AY2333" i="5"/>
  <c r="AI2334" i="5"/>
  <c r="AI2333" i="5"/>
  <c r="AZ2333" i="5"/>
  <c r="AM2333" i="5"/>
  <c r="AL2333" i="5"/>
  <c r="AT2325" i="5"/>
  <c r="AS2325" i="5"/>
  <c r="AS2321" i="5"/>
  <c r="AT2321" i="5"/>
  <c r="AL2319" i="5"/>
  <c r="AJ2319" i="5"/>
  <c r="AZ2319" i="5"/>
  <c r="AK2319" i="5"/>
  <c r="AQ2319" i="5"/>
  <c r="AY2319" i="5"/>
  <c r="AK2313" i="5"/>
  <c r="AZ2313" i="5"/>
  <c r="AY2313" i="5"/>
  <c r="AM2313" i="5"/>
  <c r="AJ2313" i="5"/>
  <c r="AL2313" i="5"/>
  <c r="AQ2313" i="5"/>
  <c r="AI2314" i="5"/>
  <c r="AT2305" i="5"/>
  <c r="AS2305" i="5"/>
  <c r="AY2302" i="5"/>
  <c r="AK2302" i="5"/>
  <c r="AW2302" i="5"/>
  <c r="AX2302" i="5" s="1"/>
  <c r="AL2302" i="5"/>
  <c r="AU2302" i="5"/>
  <c r="AV2302" i="5" s="1"/>
  <c r="AQ2302" i="5"/>
  <c r="AI2297" i="5"/>
  <c r="AZ2297" i="5"/>
  <c r="AY2297" i="5"/>
  <c r="AQ2297" i="5"/>
  <c r="AJ2297" i="5"/>
  <c r="AL2297" i="5"/>
  <c r="AI2298" i="5"/>
  <c r="AK2297" i="5"/>
  <c r="AL2293" i="5"/>
  <c r="AI2293" i="5"/>
  <c r="AI2294" i="5"/>
  <c r="AJ2293" i="5"/>
  <c r="AZ2293" i="5"/>
  <c r="AY2293" i="5"/>
  <c r="AK2293" i="5"/>
  <c r="AS2289" i="5"/>
  <c r="AT2289" i="5"/>
  <c r="AT2285" i="5"/>
  <c r="AS2285" i="5"/>
  <c r="AZ2277" i="5"/>
  <c r="AJ2277" i="5"/>
  <c r="AL2277" i="5"/>
  <c r="AK2277" i="5"/>
  <c r="AY2277" i="5"/>
  <c r="AI2278" i="5"/>
  <c r="AM2277" i="5"/>
  <c r="AJ2273" i="5"/>
  <c r="AR2273" i="5"/>
  <c r="AT2273" i="5" s="1"/>
  <c r="AY2273" i="5"/>
  <c r="AK2273" i="5"/>
  <c r="AU2273" i="5"/>
  <c r="AV2273" i="5" s="1"/>
  <c r="AL2273" i="5"/>
  <c r="AQ2273" i="5"/>
  <c r="AW2273" i="5"/>
  <c r="AX2273" i="5" s="1"/>
  <c r="AZ2273" i="5"/>
  <c r="AT2269" i="5"/>
  <c r="AS2269" i="5"/>
  <c r="AS2265" i="5"/>
  <c r="AT2265" i="5"/>
  <c r="AK2257" i="5"/>
  <c r="AL2257" i="5"/>
  <c r="AZ2257" i="5"/>
  <c r="AY2257" i="5"/>
  <c r="AJ2257" i="5"/>
  <c r="AI2258" i="5"/>
  <c r="AI2257" i="5"/>
  <c r="AT2249" i="5"/>
  <c r="AS2249" i="5"/>
  <c r="AQ2246" i="5"/>
  <c r="AU2246" i="5"/>
  <c r="AV2246" i="5" s="1"/>
  <c r="AI2247" i="5"/>
  <c r="AW2246" i="5"/>
  <c r="AX2246" i="5" s="1"/>
  <c r="AI2246" i="5"/>
  <c r="AL2246" i="5"/>
  <c r="AY2246" i="5"/>
  <c r="AJ2246" i="5"/>
  <c r="AO3804" i="5"/>
  <c r="AP3804" i="5" s="1"/>
  <c r="AR3804" i="5" s="1"/>
  <c r="AQ3804" i="5"/>
  <c r="AP1106" i="5"/>
  <c r="AQ1106" i="5" s="1"/>
  <c r="M1106" i="5"/>
  <c r="F1106" i="5" s="1"/>
  <c r="G1106" i="5" s="1"/>
  <c r="H1106" i="5" s="1"/>
  <c r="AM628" i="5"/>
  <c r="AM627" i="5"/>
  <c r="AM529" i="5"/>
  <c r="AM530" i="5"/>
  <c r="AM741" i="5"/>
  <c r="AM742" i="5"/>
  <c r="AM1472" i="5"/>
  <c r="AM1471" i="5"/>
  <c r="AM1382" i="5"/>
  <c r="AM2145" i="5"/>
  <c r="AM2144" i="5"/>
  <c r="AM1835" i="5"/>
  <c r="AM1836" i="5"/>
  <c r="AM1682" i="5"/>
  <c r="AM1681" i="5"/>
  <c r="AM459" i="5"/>
  <c r="M815" i="5"/>
  <c r="F815" i="5" s="1"/>
  <c r="AM1340" i="5"/>
  <c r="M871" i="5"/>
  <c r="F871" i="5" s="1"/>
  <c r="AJ2363" i="5"/>
  <c r="A3804" i="5"/>
  <c r="AM1597" i="5"/>
  <c r="AM1807" i="5"/>
  <c r="AM2061" i="5"/>
  <c r="AM1891" i="5"/>
  <c r="M920" i="5"/>
  <c r="F920" i="5" s="1"/>
  <c r="C4759" i="5"/>
  <c r="G4759" i="5"/>
  <c r="H4759" i="5" s="1"/>
  <c r="AM910" i="5"/>
  <c r="AM909" i="5"/>
  <c r="AM811" i="5"/>
  <c r="AM812" i="5"/>
  <c r="AM714" i="5"/>
  <c r="AM713" i="5"/>
  <c r="AM1752" i="5"/>
  <c r="AM1751" i="5"/>
  <c r="AM1653" i="5"/>
  <c r="AM1654" i="5"/>
  <c r="M2965" i="5"/>
  <c r="F2965" i="5" s="1"/>
  <c r="L2965" i="5" s="1"/>
  <c r="D3804" i="5"/>
  <c r="AM446" i="5"/>
  <c r="AM432" i="5"/>
  <c r="AM1270" i="5"/>
  <c r="AM798" i="5"/>
  <c r="AM1368" i="5"/>
  <c r="AI2319" i="5"/>
  <c r="AM680" i="5"/>
  <c r="AM676" i="5"/>
  <c r="AM966" i="5"/>
  <c r="AM965" i="5"/>
  <c r="AM868" i="5"/>
  <c r="AM867" i="5"/>
  <c r="AM1256" i="5"/>
  <c r="AM1255" i="5"/>
  <c r="AM1200" i="5"/>
  <c r="AM1710" i="5"/>
  <c r="AM1709" i="5"/>
  <c r="M1081" i="5"/>
  <c r="F1081" i="5" s="1"/>
  <c r="AM543" i="5"/>
  <c r="AM1569" i="5"/>
  <c r="AM1766" i="5"/>
  <c r="AM2131" i="5"/>
  <c r="AM1144" i="5"/>
  <c r="AM1502" i="5"/>
  <c r="AM728" i="5"/>
  <c r="AY2370" i="5"/>
  <c r="M2767" i="5"/>
  <c r="L2767" i="5" s="1"/>
  <c r="M724" i="5"/>
  <c r="F724" i="5" s="1"/>
  <c r="C4795" i="5"/>
  <c r="A4796" i="5"/>
  <c r="C4796" i="5" s="1"/>
  <c r="AM658" i="5"/>
  <c r="AM659" i="5"/>
  <c r="AM571" i="5"/>
  <c r="AM572" i="5"/>
  <c r="AM980" i="5"/>
  <c r="AM979" i="5"/>
  <c r="AM769" i="5"/>
  <c r="AM770" i="5"/>
  <c r="AM1794" i="5"/>
  <c r="AM1793" i="5"/>
  <c r="AM2173" i="5"/>
  <c r="AM1611" i="5"/>
  <c r="AM1640" i="5"/>
  <c r="F4923" i="5"/>
  <c r="M1057" i="5"/>
  <c r="F1057" i="5" s="1"/>
  <c r="AM557" i="5"/>
  <c r="AM1172" i="5"/>
  <c r="M1075" i="5"/>
  <c r="F1075" i="5" s="1"/>
  <c r="AQ2370" i="5"/>
  <c r="M892" i="5"/>
  <c r="F892" i="5" s="1"/>
  <c r="AI2361" i="5"/>
  <c r="F4608" i="5"/>
  <c r="A4609" i="5"/>
  <c r="C4609" i="5" s="1"/>
  <c r="AM585" i="5"/>
  <c r="AM586" i="5"/>
  <c r="AM1228" i="5"/>
  <c r="AM1821" i="5"/>
  <c r="AM1822" i="5"/>
  <c r="AM599" i="5"/>
  <c r="AM417" i="5"/>
  <c r="Q4489" i="5"/>
  <c r="F4489" i="5" s="1"/>
  <c r="AM1723" i="5"/>
  <c r="AM1878" i="5"/>
  <c r="AM1667" i="5"/>
  <c r="AM882" i="5"/>
  <c r="M829" i="5"/>
  <c r="F829" i="5" s="1"/>
  <c r="AM1242" i="5"/>
  <c r="AM1538" i="5"/>
  <c r="AM2319" i="5"/>
  <c r="G4763" i="5"/>
  <c r="H4763" i="5" s="1"/>
  <c r="AM473" i="5"/>
  <c r="M2972" i="5"/>
  <c r="F2972" i="5" s="1"/>
  <c r="L2972" i="5" s="1"/>
  <c r="M766" i="5"/>
  <c r="F766" i="5" s="1"/>
  <c r="A3799" i="5"/>
  <c r="AO3799" i="5"/>
  <c r="AP3799" i="5" s="1"/>
  <c r="AR3799" i="5" s="1"/>
  <c r="AQ3799" i="5"/>
  <c r="AM2102" i="5"/>
  <c r="AS968" i="5"/>
  <c r="AM1864" i="5"/>
  <c r="M2973" i="5"/>
  <c r="F2973" i="5" s="1"/>
  <c r="L2973" i="5" s="1"/>
  <c r="M745" i="5"/>
  <c r="F745" i="5" s="1"/>
  <c r="AT2345" i="5"/>
  <c r="AZ2241" i="5"/>
  <c r="AY2241" i="5"/>
  <c r="AL2241" i="5"/>
  <c r="AS2229" i="5"/>
  <c r="AT2229" i="5"/>
  <c r="AL2221" i="5"/>
  <c r="AZ2221" i="5"/>
  <c r="AY2221" i="5"/>
  <c r="AJ2221" i="5"/>
  <c r="AK2217" i="5"/>
  <c r="AI2217" i="5"/>
  <c r="AJ2217" i="5"/>
  <c r="AU2217" i="5"/>
  <c r="AV2217" i="5" s="1"/>
  <c r="AL2217" i="5"/>
  <c r="AR2217" i="5"/>
  <c r="AT2217" i="5" s="1"/>
  <c r="AT2214" i="5"/>
  <c r="AS2214" i="5"/>
  <c r="AS2209" i="5"/>
  <c r="AT2209" i="5"/>
  <c r="AK2201" i="5"/>
  <c r="AJ2201" i="5"/>
  <c r="AY2201" i="5"/>
  <c r="AZ2201" i="5"/>
  <c r="AZ2175" i="5"/>
  <c r="AW2175" i="5"/>
  <c r="AX2175" i="5" s="1"/>
  <c r="AY2175" i="5"/>
  <c r="AR2175" i="5"/>
  <c r="AI2176" i="5"/>
  <c r="AT2171" i="5"/>
  <c r="AS2171" i="5"/>
  <c r="AS2167" i="5"/>
  <c r="AT2167" i="5"/>
  <c r="AY2159" i="5"/>
  <c r="AK2159" i="5"/>
  <c r="AL2159" i="5"/>
  <c r="AK2148" i="5"/>
  <c r="AU2148" i="5"/>
  <c r="AV2148" i="5" s="1"/>
  <c r="AR2148" i="5"/>
  <c r="AS2148" i="5" s="1"/>
  <c r="AQ2148" i="5"/>
  <c r="AZ2148" i="5"/>
  <c r="AL2148" i="5"/>
  <c r="AY2143" i="5"/>
  <c r="AI2143" i="5"/>
  <c r="AL2143" i="5"/>
  <c r="AZ2143" i="5"/>
  <c r="AL2139" i="5"/>
  <c r="AY2139" i="5"/>
  <c r="AZ2139" i="5"/>
  <c r="AK2123" i="5"/>
  <c r="AL2123" i="5"/>
  <c r="AZ2123" i="5"/>
  <c r="AJ2103" i="5"/>
  <c r="AL2103" i="5"/>
  <c r="AY2103" i="5"/>
  <c r="AR2092" i="5"/>
  <c r="AL2092" i="5"/>
  <c r="AI2093" i="5"/>
  <c r="AU2092" i="5"/>
  <c r="AV2092" i="5" s="1"/>
  <c r="AY2092" i="5"/>
  <c r="AJ2092" i="5"/>
  <c r="AZ2092" i="5"/>
  <c r="AW2092" i="5"/>
  <c r="AX2092" i="5" s="1"/>
  <c r="AK2087" i="5"/>
  <c r="AJ2087" i="5"/>
  <c r="AI2087" i="5"/>
  <c r="AY2087" i="5"/>
  <c r="AL2063" i="5"/>
  <c r="AI2064" i="5"/>
  <c r="AI2063" i="5"/>
  <c r="AJ2063" i="5"/>
  <c r="AS2059" i="5"/>
  <c r="AT2059" i="5"/>
  <c r="AY2036" i="5"/>
  <c r="AK2036" i="5"/>
  <c r="AJ2036" i="5"/>
  <c r="AR2036" i="5"/>
  <c r="AT2036" i="5" s="1"/>
  <c r="AI2037" i="5"/>
  <c r="AL2036" i="5"/>
  <c r="AQ2036" i="5"/>
  <c r="AZ2036" i="5"/>
  <c r="AK2031" i="5"/>
  <c r="AI2031" i="5"/>
  <c r="AL2031" i="5"/>
  <c r="AZ2027" i="5"/>
  <c r="AY2027" i="5"/>
  <c r="AS2023" i="5"/>
  <c r="AT2023" i="5"/>
  <c r="AL2011" i="5"/>
  <c r="AZ2011" i="5"/>
  <c r="AK2011" i="5"/>
  <c r="AJ2007" i="5"/>
  <c r="AY2007" i="5"/>
  <c r="AT1999" i="5"/>
  <c r="AS1999" i="5"/>
  <c r="AJ1991" i="5"/>
  <c r="AL1991" i="5"/>
  <c r="AK1991" i="5"/>
  <c r="AZ1991" i="5"/>
  <c r="AL1941" i="5"/>
  <c r="AR1941" i="5"/>
  <c r="AI1942" i="5"/>
  <c r="AZ1941" i="5"/>
  <c r="AJ1941" i="5"/>
  <c r="AK1941" i="5"/>
  <c r="AZ1933" i="5"/>
  <c r="AY1933" i="5"/>
  <c r="AJ1933" i="5"/>
  <c r="AQ1933" i="5"/>
  <c r="AY1929" i="5"/>
  <c r="AK1929" i="5"/>
  <c r="AW1929" i="5"/>
  <c r="AX1929" i="5" s="1"/>
  <c r="AI1929" i="5"/>
  <c r="AR1918" i="5"/>
  <c r="AL1918" i="5"/>
  <c r="AQ1918" i="5"/>
  <c r="AY1918" i="5"/>
  <c r="AJ1918" i="5"/>
  <c r="AI1919" i="5"/>
  <c r="AK1918" i="5"/>
  <c r="AI1918" i="5"/>
  <c r="AZ1909" i="5"/>
  <c r="AJ1909" i="5"/>
  <c r="AQ1909" i="5"/>
  <c r="AI1909" i="5"/>
  <c r="AI1910" i="5"/>
  <c r="AY1903" i="5"/>
  <c r="AZ1903" i="5"/>
  <c r="AL1903" i="5"/>
  <c r="AJ1903" i="5"/>
  <c r="AL1899" i="5"/>
  <c r="AK1899" i="5"/>
  <c r="AZ1899" i="5"/>
  <c r="AI1900" i="5"/>
  <c r="AQ1899" i="5"/>
  <c r="AJ1899" i="5"/>
  <c r="AW1899" i="5"/>
  <c r="AX1899" i="5" s="1"/>
  <c r="AU1899" i="5"/>
  <c r="AV1899" i="5" s="1"/>
  <c r="AT1895" i="5"/>
  <c r="AS1895" i="5"/>
  <c r="AZ1883" i="5"/>
  <c r="AK1883" i="5"/>
  <c r="AL1883" i="5"/>
  <c r="AJ1883" i="5"/>
  <c r="AY1879" i="5"/>
  <c r="AR1879" i="5"/>
  <c r="AW1879" i="5"/>
  <c r="AX1879" i="5" s="1"/>
  <c r="AI1880" i="5"/>
  <c r="AQ1879" i="5"/>
  <c r="AI1879" i="5"/>
  <c r="AS1875" i="5"/>
  <c r="AT1875" i="5"/>
  <c r="AT1871" i="5"/>
  <c r="AS1871" i="5"/>
  <c r="AI1863" i="5"/>
  <c r="AJ1863" i="5"/>
  <c r="AK1863" i="5"/>
  <c r="AQ1863" i="5"/>
  <c r="AY1863" i="5"/>
  <c r="AL1863" i="5"/>
  <c r="AS1855" i="5"/>
  <c r="AT1855" i="5"/>
  <c r="AI1853" i="5"/>
  <c r="AU1852" i="5"/>
  <c r="AV1852" i="5" s="1"/>
  <c r="AZ1852" i="5"/>
  <c r="AR1852" i="5"/>
  <c r="AY1852" i="5"/>
  <c r="AJ1852" i="5"/>
  <c r="AQ1852" i="5"/>
  <c r="AW1852" i="5"/>
  <c r="AX1852" i="5" s="1"/>
  <c r="AZ1847" i="5"/>
  <c r="AL1847" i="5"/>
  <c r="AY1847" i="5"/>
  <c r="AI1847" i="5"/>
  <c r="AQ1847" i="5"/>
  <c r="AI1843" i="5"/>
  <c r="AK1843" i="5"/>
  <c r="AY1843" i="5"/>
  <c r="AZ1843" i="5"/>
  <c r="AS1839" i="5"/>
  <c r="AT1839" i="5"/>
  <c r="AT1835" i="5"/>
  <c r="AS1835" i="5"/>
  <c r="AK1827" i="5"/>
  <c r="AQ1827" i="5"/>
  <c r="AY1827" i="5"/>
  <c r="AL1827" i="5"/>
  <c r="AK1823" i="5"/>
  <c r="AW1823" i="5"/>
  <c r="AX1823" i="5" s="1"/>
  <c r="AI1824" i="5"/>
  <c r="AI1823" i="5"/>
  <c r="AL1823" i="5"/>
  <c r="AY1823" i="5"/>
  <c r="AU1823" i="5"/>
  <c r="AV1823" i="5" s="1"/>
  <c r="AR1823" i="5"/>
  <c r="AT1823" i="5" s="1"/>
  <c r="AT1819" i="5"/>
  <c r="AS1819" i="5"/>
  <c r="AQ1807" i="5"/>
  <c r="AZ1807" i="5"/>
  <c r="AY1807" i="5"/>
  <c r="AK1807" i="5"/>
  <c r="AL1807" i="5"/>
  <c r="AS1799" i="5"/>
  <c r="AT1799" i="5"/>
  <c r="AI1797" i="5"/>
  <c r="AI1796" i="5"/>
  <c r="AZ1796" i="5"/>
  <c r="AJ1796" i="5"/>
  <c r="AW1796" i="5"/>
  <c r="AX1796" i="5" s="1"/>
  <c r="AL1796" i="5"/>
  <c r="AY1796" i="5"/>
  <c r="AY1791" i="5"/>
  <c r="AK1791" i="5"/>
  <c r="AJ1791" i="5"/>
  <c r="AL1791" i="5"/>
  <c r="AQ1791" i="5"/>
  <c r="AL1787" i="5"/>
  <c r="AJ1787" i="5"/>
  <c r="AI1787" i="5"/>
  <c r="AQ1787" i="5"/>
  <c r="AI1788" i="5"/>
  <c r="AS1783" i="5"/>
  <c r="AT1783" i="5"/>
  <c r="AS1779" i="5"/>
  <c r="AT1779" i="5"/>
  <c r="AL1771" i="5"/>
  <c r="AZ1771" i="5"/>
  <c r="AK1771" i="5"/>
  <c r="AJ1771" i="5"/>
  <c r="AQ1771" i="5"/>
  <c r="AI1771" i="5"/>
  <c r="AL1767" i="5"/>
  <c r="AR1767" i="5"/>
  <c r="AW1767" i="5"/>
  <c r="AX1767" i="5" s="1"/>
  <c r="AI1768" i="5"/>
  <c r="AQ1767" i="5"/>
  <c r="AI1767" i="5"/>
  <c r="AK1767" i="5"/>
  <c r="AI1752" i="5"/>
  <c r="AL1751" i="5"/>
  <c r="AZ1751" i="5"/>
  <c r="AY1751" i="5"/>
  <c r="AJ1751" i="5"/>
  <c r="AK1751" i="5"/>
  <c r="AI1741" i="5"/>
  <c r="AL1740" i="5"/>
  <c r="AK1740" i="5"/>
  <c r="AW1740" i="5"/>
  <c r="AX1740" i="5" s="1"/>
  <c r="AI1740" i="5"/>
  <c r="AU1740" i="5"/>
  <c r="AV1740" i="5" s="1"/>
  <c r="AQ1740" i="5"/>
  <c r="AY1735" i="5"/>
  <c r="AK1735" i="5"/>
  <c r="AQ1735" i="5"/>
  <c r="AZ1735" i="5"/>
  <c r="AJ1735" i="5"/>
  <c r="AZ1731" i="5"/>
  <c r="AK1731" i="5"/>
  <c r="AL1731" i="5"/>
  <c r="AM1731" i="5"/>
  <c r="AJ1715" i="5"/>
  <c r="AK1715" i="5"/>
  <c r="AI1715" i="5"/>
  <c r="AI1716" i="5"/>
  <c r="AL1715" i="5"/>
  <c r="AZ1711" i="5"/>
  <c r="AJ1711" i="5"/>
  <c r="AI1712" i="5"/>
  <c r="AU1711" i="5"/>
  <c r="AV1711" i="5" s="1"/>
  <c r="AK1711" i="5"/>
  <c r="AY1711" i="5"/>
  <c r="AI1711" i="5"/>
  <c r="AW1711" i="5"/>
  <c r="AX1711" i="5" s="1"/>
  <c r="AL1711" i="5"/>
  <c r="AQ1711" i="5"/>
  <c r="AK2241" i="5"/>
  <c r="AJ2139" i="5"/>
  <c r="AI2144" i="5"/>
  <c r="AI2242" i="5"/>
  <c r="AI2028" i="5"/>
  <c r="AI1899" i="5"/>
  <c r="AZ2047" i="5"/>
  <c r="AQ2159" i="5"/>
  <c r="AW2217" i="5"/>
  <c r="AX2217" i="5" s="1"/>
  <c r="AU1918" i="5"/>
  <c r="AV1918" i="5" s="1"/>
  <c r="AS2213" i="5"/>
  <c r="AK2092" i="5"/>
  <c r="AI1930" i="5"/>
  <c r="AJ2175" i="5"/>
  <c r="AK2143" i="5"/>
  <c r="AI2238" i="5"/>
  <c r="AQ2237" i="5"/>
  <c r="AL2237" i="5"/>
  <c r="AK2179" i="5"/>
  <c r="AI2012" i="5"/>
  <c r="AW2007" i="5"/>
  <c r="AX2007" i="5" s="1"/>
  <c r="AI2011" i="5"/>
  <c r="AQ1843" i="5"/>
  <c r="AI1883" i="5"/>
  <c r="AK2063" i="5"/>
  <c r="AI2218" i="5"/>
  <c r="AZ1918" i="5"/>
  <c r="AI2092" i="5"/>
  <c r="AS1763" i="5"/>
  <c r="AZ1929" i="5"/>
  <c r="AU2175" i="5"/>
  <c r="AV2175" i="5" s="1"/>
  <c r="AK1933" i="5"/>
  <c r="AJ1847" i="5"/>
  <c r="AJ2143" i="5"/>
  <c r="AQ2201" i="5"/>
  <c r="AI2191" i="5"/>
  <c r="AM2237" i="5"/>
  <c r="AJ2241" i="5"/>
  <c r="AQ2241" i="5"/>
  <c r="AK2237" i="5"/>
  <c r="AL2175" i="5"/>
  <c r="AI1934" i="5"/>
  <c r="AI1884" i="5"/>
  <c r="AL1933" i="5"/>
  <c r="AQ1903" i="5"/>
  <c r="AY2047" i="5"/>
  <c r="AJ1767" i="5"/>
  <c r="AR2063" i="5"/>
  <c r="AS2063" i="5" s="1"/>
  <c r="AW1918" i="5"/>
  <c r="AX1918" i="5" s="1"/>
  <c r="AS2115" i="5"/>
  <c r="AK1796" i="5"/>
  <c r="AS2055" i="5"/>
  <c r="AL2201" i="5"/>
  <c r="AT1987" i="5"/>
  <c r="AK1847" i="5"/>
  <c r="AJ2237" i="5"/>
  <c r="AI2241" i="5"/>
  <c r="AW2190" i="5"/>
  <c r="AX2190" i="5" s="1"/>
  <c r="AI2222" i="5"/>
  <c r="AI1992" i="5"/>
  <c r="AT2019" i="5"/>
  <c r="AR1929" i="5"/>
  <c r="AI1903" i="5"/>
  <c r="AY2123" i="5"/>
  <c r="AY2063" i="5"/>
  <c r="AR2007" i="5"/>
  <c r="AZ1791" i="5"/>
  <c r="AK2221" i="5"/>
  <c r="AU1796" i="5"/>
  <c r="AV1796" i="5" s="1"/>
  <c r="AT2233" i="5"/>
  <c r="AZ2087" i="5"/>
  <c r="AT2111" i="5"/>
  <c r="AY2237" i="5"/>
  <c r="AZ2190" i="5"/>
  <c r="AI2221" i="5"/>
  <c r="AT2135" i="5"/>
  <c r="AY2148" i="5"/>
  <c r="AY2011" i="5"/>
  <c r="AU1929" i="5"/>
  <c r="AV1929" i="5" s="1"/>
  <c r="AR1899" i="5"/>
  <c r="AS1899" i="5" s="1"/>
  <c r="AI2175" i="5"/>
  <c r="AQ1929" i="5"/>
  <c r="AY1767" i="5"/>
  <c r="AK2139" i="5"/>
  <c r="AS1815" i="5"/>
  <c r="AL2007" i="5"/>
  <c r="AI1791" i="5"/>
  <c r="AR1796" i="5"/>
  <c r="AT1796" i="5" s="1"/>
  <c r="AL1879" i="5"/>
  <c r="AL2087" i="5"/>
  <c r="AI2237" i="5"/>
  <c r="AI2032" i="5"/>
  <c r="AZ2007" i="5"/>
  <c r="AY1883" i="5"/>
  <c r="AJ1843" i="5"/>
  <c r="AJ2159" i="5"/>
  <c r="AJ1823" i="5"/>
  <c r="AS2039" i="5"/>
  <c r="AY1909" i="5"/>
  <c r="AT1891" i="5"/>
  <c r="AZ1879" i="5"/>
  <c r="AQ2221" i="5"/>
  <c r="AK2190" i="5"/>
  <c r="AI2148" i="5"/>
  <c r="AK2027" i="5"/>
  <c r="AL1843" i="5"/>
  <c r="AJ1879" i="5"/>
  <c r="AI1933" i="5"/>
  <c r="AI2159" i="5"/>
  <c r="AI2007" i="5"/>
  <c r="AQ2011" i="5"/>
  <c r="AI1827" i="5"/>
  <c r="AZ2159" i="5"/>
  <c r="AK1852" i="5"/>
  <c r="AI2149" i="5"/>
  <c r="AL1909" i="5"/>
  <c r="AU1879" i="5"/>
  <c r="AV1879" i="5" s="1"/>
  <c r="AY1771" i="5"/>
  <c r="AK1787" i="5"/>
  <c r="AZ1684" i="5"/>
  <c r="AI1684" i="5"/>
  <c r="AL1679" i="5"/>
  <c r="AJ1679" i="5"/>
  <c r="AZ1679" i="5"/>
  <c r="AY1675" i="5"/>
  <c r="AZ1675" i="5"/>
  <c r="AI1675" i="5"/>
  <c r="AI1659" i="5"/>
  <c r="AY1659" i="5"/>
  <c r="AJ1639" i="5"/>
  <c r="AY1639" i="5"/>
  <c r="AL1623" i="5"/>
  <c r="AZ1623" i="5"/>
  <c r="AJ1623" i="5"/>
  <c r="AJ1619" i="5"/>
  <c r="AL1619" i="5"/>
  <c r="AZ1619" i="5"/>
  <c r="AL1583" i="5"/>
  <c r="AY1583" i="5"/>
  <c r="AI1555" i="5"/>
  <c r="AZ1555" i="5"/>
  <c r="AJ1509" i="5"/>
  <c r="AL1509" i="5"/>
  <c r="AR1486" i="5"/>
  <c r="AY1486" i="5"/>
  <c r="AJ1486" i="5"/>
  <c r="AQ1486" i="5"/>
  <c r="AL1486" i="5"/>
  <c r="AQ1475" i="5"/>
  <c r="AU1475" i="5"/>
  <c r="AV1475" i="5" s="1"/>
  <c r="AZ1475" i="5"/>
  <c r="AZ1466" i="5"/>
  <c r="AJ1466" i="5"/>
  <c r="AZ1462" i="5"/>
  <c r="AY1462" i="5"/>
  <c r="AU1462" i="5"/>
  <c r="AV1462" i="5" s="1"/>
  <c r="AR1462" i="5"/>
  <c r="AT1462" i="5" s="1"/>
  <c r="AW1435" i="5"/>
  <c r="AX1435" i="5" s="1"/>
  <c r="AL1435" i="5"/>
  <c r="AQ1430" i="5"/>
  <c r="AJ1430" i="5"/>
  <c r="AJ1426" i="5"/>
  <c r="AY1426" i="5"/>
  <c r="AI1426" i="5"/>
  <c r="AZ1426" i="5"/>
  <c r="AL1410" i="5"/>
  <c r="AJ1410" i="5"/>
  <c r="AK1390" i="5"/>
  <c r="AI1390" i="5"/>
  <c r="AJ1385" i="5"/>
  <c r="AI1386" i="5"/>
  <c r="AW1385" i="5"/>
  <c r="AX1385" i="5" s="1"/>
  <c r="AK1385" i="5"/>
  <c r="AL1385" i="5"/>
  <c r="AQ1383" i="5"/>
  <c r="AL1383" i="5"/>
  <c r="AZ1347" i="5"/>
  <c r="AI1347" i="5"/>
  <c r="AK1347" i="5"/>
  <c r="AK1490" i="5"/>
  <c r="AT1611" i="5"/>
  <c r="AK1628" i="5"/>
  <c r="AU1499" i="5"/>
  <c r="AV1499" i="5" s="1"/>
  <c r="AJ1562" i="5"/>
  <c r="AI1599" i="5"/>
  <c r="AK1599" i="5"/>
  <c r="AL1655" i="5"/>
  <c r="AQ1684" i="5"/>
  <c r="AI1463" i="5"/>
  <c r="AQ1555" i="5"/>
  <c r="AI1603" i="5"/>
  <c r="AU1509" i="5"/>
  <c r="AV1509" i="5" s="1"/>
  <c r="AK1619" i="5"/>
  <c r="AK1679" i="5"/>
  <c r="AZ1435" i="5"/>
  <c r="AI1583" i="5"/>
  <c r="AL1639" i="5"/>
  <c r="AK1410" i="5"/>
  <c r="AJ1446" i="5"/>
  <c r="AW1475" i="5"/>
  <c r="AX1475" i="5" s="1"/>
  <c r="AI1623" i="5"/>
  <c r="AK1426" i="5"/>
  <c r="AS1667" i="5"/>
  <c r="AJ1628" i="5"/>
  <c r="AI1600" i="5"/>
  <c r="AK1655" i="5"/>
  <c r="AT1671" i="5"/>
  <c r="AL1684" i="5"/>
  <c r="AY1679" i="5"/>
  <c r="AJ1603" i="5"/>
  <c r="AS1651" i="5"/>
  <c r="AI1679" i="5"/>
  <c r="AQ1583" i="5"/>
  <c r="AI1639" i="5"/>
  <c r="AS1687" i="5"/>
  <c r="AL1675" i="5"/>
  <c r="AQ1490" i="5"/>
  <c r="AW1628" i="5"/>
  <c r="AX1628" i="5" s="1"/>
  <c r="AY1628" i="5"/>
  <c r="AZ1499" i="5"/>
  <c r="AZ1562" i="5"/>
  <c r="AZ1599" i="5"/>
  <c r="AJ1655" i="5"/>
  <c r="AI1685" i="5"/>
  <c r="AY1684" i="5"/>
  <c r="AY1430" i="5"/>
  <c r="AL1462" i="5"/>
  <c r="AK1555" i="5"/>
  <c r="AL1603" i="5"/>
  <c r="AJ1675" i="5"/>
  <c r="AI1509" i="5"/>
  <c r="AJ1695" i="5"/>
  <c r="AI1436" i="5"/>
  <c r="AZ1583" i="5"/>
  <c r="AZ1639" i="5"/>
  <c r="AI1466" i="5"/>
  <c r="AJ1475" i="5"/>
  <c r="AI1487" i="5"/>
  <c r="AK1675" i="5"/>
  <c r="AR1628" i="5"/>
  <c r="AR1655" i="5"/>
  <c r="AS1655" i="5" s="1"/>
  <c r="AK1684" i="5"/>
  <c r="AZ1659" i="5"/>
  <c r="AI1695" i="5"/>
  <c r="AZ1486" i="5"/>
  <c r="AQ1679" i="5"/>
  <c r="AQ1628" i="5"/>
  <c r="AR1599" i="5"/>
  <c r="AU1655" i="5"/>
  <c r="AV1655" i="5" s="1"/>
  <c r="AW1684" i="5"/>
  <c r="AX1684" i="5" s="1"/>
  <c r="AI1462" i="5"/>
  <c r="AT1647" i="5"/>
  <c r="AY1619" i="5"/>
  <c r="AL1659" i="5"/>
  <c r="AL1695" i="5"/>
  <c r="AQ1435" i="5"/>
  <c r="AT1506" i="5"/>
  <c r="AZ1446" i="5"/>
  <c r="AI1475" i="5"/>
  <c r="AY1623" i="5"/>
  <c r="AU1486" i="5"/>
  <c r="AV1486" i="5" s="1"/>
  <c r="AL1343" i="5"/>
  <c r="M4217" i="5"/>
  <c r="F4218" i="5" s="1"/>
  <c r="L4217" i="5" s="1"/>
  <c r="M4007" i="5"/>
  <c r="F4007" i="5" s="1"/>
  <c r="L4007" i="5" s="1"/>
  <c r="M3773" i="5"/>
  <c r="F3773" i="5" s="1"/>
  <c r="L3773" i="5" s="1"/>
  <c r="M3663" i="5"/>
  <c r="L3663" i="5" s="1"/>
  <c r="M2795" i="5"/>
  <c r="L2795" i="5" s="1"/>
  <c r="M2771" i="5"/>
  <c r="L2771" i="5" s="1"/>
  <c r="M2747" i="5"/>
  <c r="L2747" i="5" s="1"/>
  <c r="M2723" i="5"/>
  <c r="L2723" i="5" s="1"/>
  <c r="AM1049" i="5"/>
  <c r="AM1251" i="5"/>
  <c r="AM1139" i="5"/>
  <c r="AM2201" i="5"/>
  <c r="AN3787" i="5"/>
  <c r="AO3787" i="5" s="1"/>
  <c r="AP3787" i="5" s="1"/>
  <c r="AR3787" i="5" s="1"/>
  <c r="AN3691" i="5"/>
  <c r="A3691" i="5" s="1"/>
  <c r="AN3686" i="5"/>
  <c r="AO3686" i="5" s="1"/>
  <c r="AP3686" i="5" s="1"/>
  <c r="AR3686" i="5" s="1"/>
  <c r="AN3458" i="5"/>
  <c r="AO3458" i="5" s="1"/>
  <c r="AP3458" i="5" s="1"/>
  <c r="AR3458" i="5" s="1"/>
  <c r="AQ2348" i="5"/>
  <c r="AQ2324" i="5"/>
  <c r="AQ2227" i="5"/>
  <c r="AM2187" i="5"/>
  <c r="AQ2134" i="5"/>
  <c r="AQ2114" i="5"/>
  <c r="AQ2105" i="5"/>
  <c r="AQ1924" i="5"/>
  <c r="AQ1920" i="5"/>
  <c r="AQ1890" i="5"/>
  <c r="AQ1859" i="5"/>
  <c r="AQ1830" i="5"/>
  <c r="AQ1379" i="5"/>
  <c r="AI1218" i="5"/>
  <c r="AU1343" i="5"/>
  <c r="AV1343" i="5" s="1"/>
  <c r="AM1185" i="5"/>
  <c r="AM1311" i="5"/>
  <c r="M3763" i="5"/>
  <c r="L3763" i="5" s="1"/>
  <c r="M2876" i="5"/>
  <c r="F2876" i="5" s="1"/>
  <c r="L2876" i="5" s="1"/>
  <c r="M2868" i="5"/>
  <c r="F2868" i="5" s="1"/>
  <c r="L2868" i="5" s="1"/>
  <c r="AM551" i="5"/>
  <c r="AM453" i="5"/>
  <c r="AM412" i="5"/>
  <c r="AM368" i="5"/>
  <c r="AM312" i="5"/>
  <c r="AM1061" i="5"/>
  <c r="AM1030" i="5"/>
  <c r="AM987" i="5"/>
  <c r="AM890" i="5"/>
  <c r="AM735" i="5"/>
  <c r="AM721" i="5"/>
  <c r="AM707" i="5"/>
  <c r="AM1496" i="5"/>
  <c r="AM1479" i="5"/>
  <c r="AM1465" i="5"/>
  <c r="AM1451" i="5"/>
  <c r="AM1376" i="5"/>
  <c r="AM1361" i="5"/>
  <c r="AM1319" i="5"/>
  <c r="AM1278" i="5"/>
  <c r="AM1193" i="5"/>
  <c r="AM1165" i="5"/>
  <c r="AM1151" i="5"/>
  <c r="AM1933" i="5"/>
  <c r="AM1843" i="5"/>
  <c r="AM1801" i="5"/>
  <c r="AM1773" i="5"/>
  <c r="AM1703" i="5"/>
  <c r="AM1689" i="5"/>
  <c r="AM1675" i="5"/>
  <c r="AM1633" i="5"/>
  <c r="AM2357" i="5"/>
  <c r="AM2167" i="5"/>
  <c r="AM2139" i="5"/>
  <c r="M2821" i="5"/>
  <c r="L2821" i="5" s="1"/>
  <c r="M3040" i="5"/>
  <c r="F3040" i="5" s="1"/>
  <c r="L3040" i="5" s="1"/>
  <c r="M2991" i="5"/>
  <c r="F2991" i="5" s="1"/>
  <c r="L2991" i="5" s="1"/>
  <c r="M3090" i="5"/>
  <c r="F3090" i="5" s="1"/>
  <c r="L3090" i="5" s="1"/>
  <c r="AI2329" i="5"/>
  <c r="AQ2274" i="5"/>
  <c r="AI1079" i="5"/>
  <c r="AY1343" i="5"/>
  <c r="M2750" i="5"/>
  <c r="L2750" i="5" s="1"/>
  <c r="M2742" i="5"/>
  <c r="L2742" i="5" s="1"/>
  <c r="AM614" i="5"/>
  <c r="AM502" i="5"/>
  <c r="AM1054" i="5"/>
  <c r="AM1036" i="5"/>
  <c r="AM854" i="5"/>
  <c r="AM826" i="5"/>
  <c r="AM1383" i="5"/>
  <c r="AM1298" i="5"/>
  <c r="AM1214" i="5"/>
  <c r="AM1850" i="5"/>
  <c r="AM1696" i="5"/>
  <c r="AM1584" i="5"/>
  <c r="AM2159" i="5"/>
  <c r="AM2047" i="5"/>
  <c r="M3086" i="5"/>
  <c r="F3086" i="5" s="1"/>
  <c r="L3086" i="5" s="1"/>
  <c r="AI2027" i="5"/>
  <c r="AT1044" i="5"/>
  <c r="AT1051" i="5"/>
  <c r="AS1051" i="5"/>
  <c r="P4842" i="5"/>
  <c r="U4841" i="5"/>
  <c r="C5024" i="5"/>
  <c r="A5025" i="5"/>
  <c r="C5025" i="5" s="1"/>
  <c r="A5143" i="5"/>
  <c r="I5142" i="5"/>
  <c r="G4721" i="5"/>
  <c r="H4721" i="5" s="1"/>
  <c r="A4722" i="5"/>
  <c r="G4722" i="5" s="1"/>
  <c r="H4722" i="5" s="1"/>
  <c r="Q3350" i="5"/>
  <c r="G3360" i="5" s="1"/>
  <c r="H3360" i="5" s="1"/>
  <c r="G3356" i="5"/>
  <c r="H3356" i="5" s="1"/>
  <c r="AT780" i="5"/>
  <c r="AS780" i="5"/>
  <c r="AS1393" i="5"/>
  <c r="AT1393" i="5"/>
  <c r="M2864" i="5"/>
  <c r="F2864" i="5" s="1"/>
  <c r="L2864" i="5" s="1"/>
  <c r="M2863" i="5"/>
  <c r="F2863" i="5" s="1"/>
  <c r="L2863" i="5" s="1"/>
  <c r="AS379" i="5"/>
  <c r="AT379" i="5"/>
  <c r="L3857" i="5"/>
  <c r="M4012" i="5"/>
  <c r="F4012" i="5" s="1"/>
  <c r="L4012" i="5" s="1"/>
  <c r="M4014" i="5"/>
  <c r="F4014" i="5" s="1"/>
  <c r="L4014" i="5" s="1"/>
  <c r="M2815" i="5"/>
  <c r="L2815" i="5" s="1"/>
  <c r="M2832" i="5"/>
  <c r="L2832" i="5" s="1"/>
  <c r="M3046" i="5"/>
  <c r="F3046" i="5" s="1"/>
  <c r="L3046" i="5" s="1"/>
  <c r="M3038" i="5"/>
  <c r="F3038" i="5" s="1"/>
  <c r="L3038" i="5" s="1"/>
  <c r="M3022" i="5"/>
  <c r="F3022" i="5" s="1"/>
  <c r="L3022" i="5" s="1"/>
  <c r="M2990" i="5"/>
  <c r="F2990" i="5" s="1"/>
  <c r="L2990" i="5" s="1"/>
  <c r="M2966" i="5"/>
  <c r="F2966" i="5" s="1"/>
  <c r="L2966" i="5" s="1"/>
  <c r="M2950" i="5"/>
  <c r="F2950" i="5" s="1"/>
  <c r="L2950" i="5" s="1"/>
  <c r="M2934" i="5"/>
  <c r="F2934" i="5" s="1"/>
  <c r="L2934" i="5" s="1"/>
  <c r="M2893" i="5"/>
  <c r="F2893" i="5" s="1"/>
  <c r="L2893" i="5" s="1"/>
  <c r="AM653" i="5"/>
  <c r="AM622" i="5"/>
  <c r="AM608" i="5"/>
  <c r="AM594" i="5"/>
  <c r="AM580" i="5"/>
  <c r="AM552" i="5"/>
  <c r="AM538" i="5"/>
  <c r="AM524" i="5"/>
  <c r="AM496" i="5"/>
  <c r="AM482" i="5"/>
  <c r="AM468" i="5"/>
  <c r="AM454" i="5"/>
  <c r="AM440" i="5"/>
  <c r="AM426" i="5"/>
  <c r="AM355" i="5"/>
  <c r="AM327" i="5"/>
  <c r="AM313" i="5"/>
  <c r="AM988" i="5"/>
  <c r="AM904" i="5"/>
  <c r="AM876" i="5"/>
  <c r="AM862" i="5"/>
  <c r="AM848" i="5"/>
  <c r="AM834" i="5"/>
  <c r="AM820" i="5"/>
  <c r="AM806" i="5"/>
  <c r="AM792" i="5"/>
  <c r="AM778" i="5"/>
  <c r="AM764" i="5"/>
  <c r="AM750" i="5"/>
  <c r="AM736" i="5"/>
  <c r="AM722" i="5"/>
  <c r="AM1497" i="5"/>
  <c r="AM1452" i="5"/>
  <c r="AM1438" i="5"/>
  <c r="AM1410" i="5"/>
  <c r="AM1396" i="5"/>
  <c r="AM1362" i="5"/>
  <c r="AM1334" i="5"/>
  <c r="AM1306" i="5"/>
  <c r="AM1208" i="5"/>
  <c r="AM1194" i="5"/>
  <c r="AM1166" i="5"/>
  <c r="AM1152" i="5"/>
  <c r="AM1934" i="5"/>
  <c r="AM1903" i="5"/>
  <c r="AM2344" i="5"/>
  <c r="AM2327" i="5"/>
  <c r="AM2312" i="5"/>
  <c r="AM2298" i="5"/>
  <c r="AM2284" i="5"/>
  <c r="AM2256" i="5"/>
  <c r="AM2242" i="5"/>
  <c r="AM2181" i="5"/>
  <c r="AM2111" i="5"/>
  <c r="AM2083" i="5"/>
  <c r="AM2055" i="5"/>
  <c r="AM2041" i="5"/>
  <c r="AM1999" i="5"/>
  <c r="M2895" i="5"/>
  <c r="F2895" i="5" s="1"/>
  <c r="L2895" i="5" s="1"/>
  <c r="AN3789" i="5"/>
  <c r="A3789" i="5" s="1"/>
  <c r="AN3455" i="5"/>
  <c r="AX3174" i="5"/>
  <c r="D3149" i="5"/>
  <c r="AU3133" i="5"/>
  <c r="A3133" i="5" s="1"/>
  <c r="AX3131" i="5"/>
  <c r="AU3125" i="5"/>
  <c r="AV3125" i="5" s="1"/>
  <c r="AW3125" i="5" s="1"/>
  <c r="AY3125" i="5" s="1"/>
  <c r="AX3121" i="5"/>
  <c r="AU3118" i="5"/>
  <c r="AV3118" i="5" s="1"/>
  <c r="AW3118" i="5" s="1"/>
  <c r="AY3118" i="5" s="1"/>
  <c r="D3108" i="5"/>
  <c r="AQ2368" i="5"/>
  <c r="AQ2364" i="5"/>
  <c r="AQ2353" i="5"/>
  <c r="AQ2350" i="5"/>
  <c r="AQ2344" i="5"/>
  <c r="AQ2340" i="5"/>
  <c r="AQ2320" i="5"/>
  <c r="AQ2309" i="5"/>
  <c r="AQ2304" i="5"/>
  <c r="AQ2280" i="5"/>
  <c r="AQ2264" i="5"/>
  <c r="AQ2250" i="5"/>
  <c r="AQ2213" i="5"/>
  <c r="AQ2193" i="5"/>
  <c r="AQ2188" i="5"/>
  <c r="AQ2168" i="5"/>
  <c r="AI2166" i="5"/>
  <c r="AQ2150" i="5"/>
  <c r="AQ2090" i="5"/>
  <c r="AQ2085" i="5"/>
  <c r="AQ2070" i="5"/>
  <c r="AS1295" i="5"/>
  <c r="AY2284" i="5"/>
  <c r="AY2368" i="5"/>
  <c r="M1505" i="5"/>
  <c r="F1505" i="5" s="1"/>
  <c r="AM1506" i="5" s="1"/>
  <c r="M1253" i="5"/>
  <c r="F1253" i="5" s="1"/>
  <c r="AM1254" i="5" s="1"/>
  <c r="M1239" i="5"/>
  <c r="F1239" i="5" s="1"/>
  <c r="AM1240" i="5" s="1"/>
  <c r="AY1128" i="5"/>
  <c r="M1190" i="5"/>
  <c r="F1190" i="5" s="1"/>
  <c r="M1323" i="5"/>
  <c r="F1323" i="5" s="1"/>
  <c r="M637" i="5"/>
  <c r="F637" i="5" s="1"/>
  <c r="AJ2304" i="5"/>
  <c r="AL2309" i="5"/>
  <c r="AL2353" i="5"/>
  <c r="AR2364" i="5"/>
  <c r="AT2364" i="5" s="1"/>
  <c r="M568" i="5"/>
  <c r="F568" i="5" s="1"/>
  <c r="M365" i="5"/>
  <c r="F365" i="5" s="1"/>
  <c r="M561" i="5"/>
  <c r="F561" i="5" s="1"/>
  <c r="M603" i="5"/>
  <c r="F603" i="5" s="1"/>
  <c r="M673" i="5"/>
  <c r="F673" i="5" s="1"/>
  <c r="M449" i="5"/>
  <c r="F449" i="5" s="1"/>
  <c r="C4751" i="5"/>
  <c r="AM411" i="5"/>
  <c r="AS568" i="5"/>
  <c r="P4130" i="5"/>
  <c r="G4132" i="5" s="1"/>
  <c r="H4132" i="5" s="1"/>
  <c r="AI2320" i="5"/>
  <c r="M1218" i="5"/>
  <c r="F1218" i="5" s="1"/>
  <c r="M2896" i="5"/>
  <c r="F2896" i="5" s="1"/>
  <c r="L2896" i="5" s="1"/>
  <c r="AM1029" i="5"/>
  <c r="AZ2284" i="5"/>
  <c r="AZ2368" i="5"/>
  <c r="M1169" i="5"/>
  <c r="F1169" i="5" s="1"/>
  <c r="M1183" i="5"/>
  <c r="F1183" i="5" s="1"/>
  <c r="AM1184" i="5" s="1"/>
  <c r="M1358" i="5"/>
  <c r="F1358" i="5" s="1"/>
  <c r="AM1359" i="5" s="1"/>
  <c r="M1225" i="5"/>
  <c r="F1225" i="5" s="1"/>
  <c r="M1372" i="5"/>
  <c r="F1372" i="5" s="1"/>
  <c r="AM1373" i="5" s="1"/>
  <c r="M1176" i="5"/>
  <c r="F1176" i="5" s="1"/>
  <c r="AY2264" i="5"/>
  <c r="AI2304" i="5"/>
  <c r="AT2356" i="5"/>
  <c r="AT2178" i="5"/>
  <c r="AZ2309" i="5"/>
  <c r="AK2344" i="5"/>
  <c r="AU2353" i="5"/>
  <c r="AV2353" i="5" s="1"/>
  <c r="AU2364" i="5"/>
  <c r="AV2364" i="5" s="1"/>
  <c r="M344" i="5"/>
  <c r="F344" i="5" s="1"/>
  <c r="M379" i="5"/>
  <c r="F379" i="5" s="1"/>
  <c r="M386" i="5"/>
  <c r="F386" i="5" s="1"/>
  <c r="M547" i="5"/>
  <c r="F547" i="5" s="1"/>
  <c r="M302" i="5"/>
  <c r="F302" i="5" s="1"/>
  <c r="M393" i="5"/>
  <c r="F393" i="5" s="1"/>
  <c r="M1386" i="5"/>
  <c r="F1386" i="5" s="1"/>
  <c r="AM1387" i="5" s="1"/>
  <c r="AJ2300" i="5"/>
  <c r="M477" i="5"/>
  <c r="F477" i="5" s="1"/>
  <c r="G4725" i="5"/>
  <c r="H4725" i="5" s="1"/>
  <c r="AM1375" i="5"/>
  <c r="AL2284" i="5"/>
  <c r="AW2340" i="5"/>
  <c r="AX2340" i="5" s="1"/>
  <c r="AK2368" i="5"/>
  <c r="M1148" i="5"/>
  <c r="F1148" i="5" s="1"/>
  <c r="AM1149" i="5" s="1"/>
  <c r="M1481" i="5"/>
  <c r="F1481" i="5" s="1"/>
  <c r="M1393" i="5"/>
  <c r="F1393" i="5" s="1"/>
  <c r="M1274" i="5"/>
  <c r="F1274" i="5" s="1"/>
  <c r="M1260" i="5"/>
  <c r="F1260" i="5" s="1"/>
  <c r="AM1261" i="5" s="1"/>
  <c r="M1302" i="5"/>
  <c r="F1302" i="5" s="1"/>
  <c r="AM1303" i="5" s="1"/>
  <c r="F4403" i="5"/>
  <c r="AL2264" i="5"/>
  <c r="AY2304" i="5"/>
  <c r="AY2309" i="5"/>
  <c r="AZ2344" i="5"/>
  <c r="AR2353" i="5"/>
  <c r="AT2353" i="5" s="1"/>
  <c r="AK2364" i="5"/>
  <c r="M519" i="5"/>
  <c r="F519" i="5" s="1"/>
  <c r="M575" i="5"/>
  <c r="F575" i="5" s="1"/>
  <c r="M491" i="5"/>
  <c r="F491" i="5" s="1"/>
  <c r="M610" i="5"/>
  <c r="F610" i="5" s="1"/>
  <c r="M540" i="5"/>
  <c r="F540" i="5" s="1"/>
  <c r="M3047" i="5"/>
  <c r="F3047" i="5" s="1"/>
  <c r="L3047" i="5" s="1"/>
  <c r="AY2300" i="5"/>
  <c r="AZ2320" i="5"/>
  <c r="AM1522" i="5"/>
  <c r="M1211" i="5"/>
  <c r="F1211" i="5" s="1"/>
  <c r="M1510" i="5"/>
  <c r="F1510" i="5" s="1"/>
  <c r="M1428" i="5"/>
  <c r="F1428" i="5" s="1"/>
  <c r="M1162" i="5"/>
  <c r="F1162" i="5" s="1"/>
  <c r="M1400" i="5"/>
  <c r="F1400" i="5" s="1"/>
  <c r="M1330" i="5"/>
  <c r="F1330" i="5" s="1"/>
  <c r="AJ2320" i="5"/>
  <c r="AK2309" i="5"/>
  <c r="AY2344" i="5"/>
  <c r="AY2364" i="5"/>
  <c r="M407" i="5"/>
  <c r="F407" i="5" s="1"/>
  <c r="M667" i="5"/>
  <c r="F667" i="5" s="1"/>
  <c r="M661" i="5"/>
  <c r="F661" i="5" s="1"/>
  <c r="M505" i="5"/>
  <c r="F505" i="5" s="1"/>
  <c r="M2957" i="5"/>
  <c r="F2957" i="5" s="1"/>
  <c r="L2957" i="5" s="1"/>
  <c r="AM1904" i="5"/>
  <c r="AM1411" i="5"/>
  <c r="AS2235" i="5"/>
  <c r="AM384" i="5"/>
  <c r="AM383" i="5"/>
  <c r="AM1466" i="5"/>
  <c r="AM1467" i="5"/>
  <c r="AM1424" i="5"/>
  <c r="AM1425" i="5"/>
  <c r="AM1223" i="5"/>
  <c r="AM1222" i="5"/>
  <c r="AM1876" i="5"/>
  <c r="AM1750" i="5"/>
  <c r="AM1610" i="5"/>
  <c r="AM2270" i="5"/>
  <c r="AM2271" i="5"/>
  <c r="AM2215" i="5"/>
  <c r="AM2214" i="5"/>
  <c r="M2625" i="5"/>
  <c r="L2625" i="5" s="1"/>
  <c r="M2793" i="5"/>
  <c r="L2793" i="5" s="1"/>
  <c r="M2722" i="5"/>
  <c r="L2722" i="5" s="1"/>
  <c r="M2770" i="5"/>
  <c r="L2770" i="5" s="1"/>
  <c r="M2746" i="5"/>
  <c r="L2746" i="5" s="1"/>
  <c r="M2673" i="5"/>
  <c r="L2673" i="5" s="1"/>
  <c r="M2697" i="5"/>
  <c r="L2697" i="5" s="1"/>
  <c r="M2699" i="5"/>
  <c r="L2699" i="5" s="1"/>
  <c r="M2833" i="5"/>
  <c r="L2833" i="5" s="1"/>
  <c r="M2789" i="5"/>
  <c r="L2789" i="5" s="1"/>
  <c r="M2788" i="5"/>
  <c r="L2788" i="5" s="1"/>
  <c r="M2701" i="5"/>
  <c r="L2701" i="5" s="1"/>
  <c r="M2830" i="5"/>
  <c r="L2830" i="5" s="1"/>
  <c r="W3067" i="5"/>
  <c r="Z3067" i="5" s="1"/>
  <c r="Y3067" i="5"/>
  <c r="N3798" i="5"/>
  <c r="M3798" i="5" s="1"/>
  <c r="F3798" i="5" s="1"/>
  <c r="L3798" i="5" s="1"/>
  <c r="N3790" i="5"/>
  <c r="M3789" i="5"/>
  <c r="F3789" i="5" s="1"/>
  <c r="L3789" i="5" s="1"/>
  <c r="F4588" i="5"/>
  <c r="F4578" i="5"/>
  <c r="M630" i="5"/>
  <c r="F630" i="5" s="1"/>
  <c r="AM630" i="5" s="1"/>
  <c r="M308" i="5"/>
  <c r="F308" i="5" s="1"/>
  <c r="AM308" i="5" s="1"/>
  <c r="M567" i="5"/>
  <c r="F567" i="5" s="1"/>
  <c r="AM567" i="5" s="1"/>
  <c r="M518" i="5"/>
  <c r="F518" i="5" s="1"/>
  <c r="AM518" i="5" s="1"/>
  <c r="M322" i="5"/>
  <c r="F322" i="5" s="1"/>
  <c r="AM322" i="5" s="1"/>
  <c r="M469" i="5"/>
  <c r="F469" i="5" s="1"/>
  <c r="AM469" i="5" s="1"/>
  <c r="M448" i="5"/>
  <c r="F448" i="5" s="1"/>
  <c r="M427" i="5"/>
  <c r="F427" i="5" s="1"/>
  <c r="AM427" i="5" s="1"/>
  <c r="M677" i="5"/>
  <c r="F677" i="5" s="1"/>
  <c r="AM677" i="5" s="1"/>
  <c r="M336" i="5"/>
  <c r="F336" i="5" s="1"/>
  <c r="M588" i="5"/>
  <c r="F588" i="5" s="1"/>
  <c r="M581" i="5"/>
  <c r="F581" i="5" s="1"/>
  <c r="M616" i="5"/>
  <c r="F616" i="5" s="1"/>
  <c r="AM616" i="5" s="1"/>
  <c r="M511" i="5"/>
  <c r="F511" i="5" s="1"/>
  <c r="AM511" i="5" s="1"/>
  <c r="M420" i="5"/>
  <c r="F420" i="5" s="1"/>
  <c r="AM420" i="5" s="1"/>
  <c r="M392" i="5"/>
  <c r="F392" i="5" s="1"/>
  <c r="AM392" i="5" s="1"/>
  <c r="M666" i="5"/>
  <c r="F666" i="5" s="1"/>
  <c r="AM666" i="5" s="1"/>
  <c r="M329" i="5"/>
  <c r="F329" i="5" s="1"/>
  <c r="AM329" i="5" s="1"/>
  <c r="M595" i="5"/>
  <c r="F595" i="5" s="1"/>
  <c r="AM595" i="5" s="1"/>
  <c r="M553" i="5"/>
  <c r="F553" i="5" s="1"/>
  <c r="M455" i="5"/>
  <c r="F455" i="5" s="1"/>
  <c r="AM455" i="5" s="1"/>
  <c r="M532" i="5"/>
  <c r="F532" i="5" s="1"/>
  <c r="AM532" i="5" s="1"/>
  <c r="M642" i="5"/>
  <c r="F642" i="5" s="1"/>
  <c r="AM642" i="5" s="1"/>
  <c r="M371" i="5"/>
  <c r="F371" i="5" s="1"/>
  <c r="AM371" i="5" s="1"/>
  <c r="M378" i="5"/>
  <c r="F378" i="5" s="1"/>
  <c r="AM378" i="5" s="1"/>
  <c r="M660" i="5"/>
  <c r="F660" i="5" s="1"/>
  <c r="AM660" i="5" s="1"/>
  <c r="M672" i="5"/>
  <c r="F672" i="5" s="1"/>
  <c r="AM672" i="5" s="1"/>
  <c r="M441" i="5"/>
  <c r="F441" i="5" s="1"/>
  <c r="AM441" i="5" s="1"/>
  <c r="M350" i="5"/>
  <c r="F350" i="5" s="1"/>
  <c r="M434" i="5"/>
  <c r="F434" i="5" s="1"/>
  <c r="M636" i="5"/>
  <c r="F636" i="5" s="1"/>
  <c r="AM636" i="5" s="1"/>
  <c r="M343" i="5"/>
  <c r="F343" i="5" s="1"/>
  <c r="AM343" i="5" s="1"/>
  <c r="M406" i="5"/>
  <c r="F406" i="5" s="1"/>
  <c r="AM406" i="5" s="1"/>
  <c r="M546" i="5"/>
  <c r="F546" i="5" s="1"/>
  <c r="AM546" i="5" s="1"/>
  <c r="M654" i="5"/>
  <c r="F654" i="5" s="1"/>
  <c r="M539" i="5"/>
  <c r="F539" i="5" s="1"/>
  <c r="AM539" i="5" s="1"/>
  <c r="M413" i="5"/>
  <c r="F413" i="5" s="1"/>
  <c r="AM413" i="5" s="1"/>
  <c r="M602" i="5"/>
  <c r="F602" i="5" s="1"/>
  <c r="AM602" i="5" s="1"/>
  <c r="M497" i="5"/>
  <c r="F497" i="5" s="1"/>
  <c r="AM497" i="5" s="1"/>
  <c r="M483" i="5"/>
  <c r="F483" i="5" s="1"/>
  <c r="AM483" i="5" s="1"/>
  <c r="M364" i="5"/>
  <c r="F364" i="5" s="1"/>
  <c r="AM364" i="5" s="1"/>
  <c r="M560" i="5"/>
  <c r="F560" i="5" s="1"/>
  <c r="AM560" i="5" s="1"/>
  <c r="M399" i="5"/>
  <c r="F399" i="5" s="1"/>
  <c r="AM399" i="5" s="1"/>
  <c r="M490" i="5"/>
  <c r="F490" i="5" s="1"/>
  <c r="AM490" i="5" s="1"/>
  <c r="M504" i="5"/>
  <c r="F504" i="5" s="1"/>
  <c r="AM504" i="5" s="1"/>
  <c r="M1203" i="5"/>
  <c r="F1203" i="5" s="1"/>
  <c r="AM1203" i="5" s="1"/>
  <c r="M1238" i="5"/>
  <c r="F1238" i="5" s="1"/>
  <c r="M1364" i="5"/>
  <c r="F1364" i="5" s="1"/>
  <c r="AM1364" i="5" s="1"/>
  <c r="M1468" i="5"/>
  <c r="F1468" i="5" s="1"/>
  <c r="AM1468" i="5" s="1"/>
  <c r="M1474" i="5"/>
  <c r="F1474" i="5" s="1"/>
  <c r="AM1474" i="5" s="1"/>
  <c r="M1392" i="5"/>
  <c r="F1392" i="5" s="1"/>
  <c r="M1280" i="5"/>
  <c r="F1280" i="5" s="1"/>
  <c r="AM1280" i="5" s="1"/>
  <c r="M1448" i="5"/>
  <c r="F1448" i="5" s="1"/>
  <c r="M1455" i="5"/>
  <c r="F1455" i="5" s="1"/>
  <c r="M1399" i="5"/>
  <c r="F1399" i="5" s="1"/>
  <c r="AM1399" i="5" s="1"/>
  <c r="M1252" i="5"/>
  <c r="F1252" i="5" s="1"/>
  <c r="AM1252" i="5" s="1"/>
  <c r="M1161" i="5"/>
  <c r="F1161" i="5" s="1"/>
  <c r="M1224" i="5"/>
  <c r="F1224" i="5" s="1"/>
  <c r="AM1224" i="5" s="1"/>
  <c r="M1434" i="5"/>
  <c r="F1434" i="5" s="1"/>
  <c r="AM1434" i="5" s="1"/>
  <c r="M1480" i="5"/>
  <c r="F1480" i="5" s="1"/>
  <c r="AM1480" i="5" s="1"/>
  <c r="M1266" i="5"/>
  <c r="F1266" i="5" s="1"/>
  <c r="M1385" i="5"/>
  <c r="F1385" i="5" s="1"/>
  <c r="AM1385" i="5" s="1"/>
  <c r="M1427" i="5"/>
  <c r="F1427" i="5" s="1"/>
  <c r="AM1427" i="5" s="1"/>
  <c r="M1259" i="5"/>
  <c r="F1259" i="5" s="1"/>
  <c r="M1189" i="5"/>
  <c r="F1189" i="5" s="1"/>
  <c r="AM1189" i="5" s="1"/>
  <c r="M1273" i="5"/>
  <c r="F1273" i="5" s="1"/>
  <c r="AM1273" i="5" s="1"/>
  <c r="M1336" i="5"/>
  <c r="F1336" i="5" s="1"/>
  <c r="AM1336" i="5" s="1"/>
  <c r="M1504" i="5"/>
  <c r="F1504" i="5" s="1"/>
  <c r="M1315" i="5"/>
  <c r="F1315" i="5" s="1"/>
  <c r="AM1315" i="5" s="1"/>
  <c r="M1486" i="5"/>
  <c r="F1486" i="5" s="1"/>
  <c r="M1147" i="5"/>
  <c r="F1147" i="5" s="1"/>
  <c r="AM1147" i="5" s="1"/>
  <c r="M1441" i="5"/>
  <c r="F1441" i="5" s="1"/>
  <c r="M1462" i="5"/>
  <c r="F1462" i="5" s="1"/>
  <c r="AM1462" i="5" s="1"/>
  <c r="M1182" i="5"/>
  <c r="F1182" i="5" s="1"/>
  <c r="AM1182" i="5" s="1"/>
  <c r="AP1128" i="5"/>
  <c r="AQ1128" i="5" s="1"/>
  <c r="M1329" i="5"/>
  <c r="F1329" i="5" s="1"/>
  <c r="AM1329" i="5" s="1"/>
  <c r="M1308" i="5"/>
  <c r="F1308" i="5" s="1"/>
  <c r="AM1308" i="5" s="1"/>
  <c r="M1350" i="5"/>
  <c r="F1350" i="5" s="1"/>
  <c r="M1357" i="5"/>
  <c r="F1357" i="5" s="1"/>
  <c r="AM1357" i="5" s="1"/>
  <c r="M1245" i="5"/>
  <c r="F1245" i="5" s="1"/>
  <c r="M1371" i="5"/>
  <c r="F1371" i="5" s="1"/>
  <c r="AM1371" i="5" s="1"/>
  <c r="M1343" i="5"/>
  <c r="F1343" i="5" s="1"/>
  <c r="M1154" i="5"/>
  <c r="F1154" i="5" s="1"/>
  <c r="AM1154" i="5" s="1"/>
  <c r="M1406" i="5"/>
  <c r="F1406" i="5" s="1"/>
  <c r="AM1406" i="5" s="1"/>
  <c r="M1378" i="5"/>
  <c r="F1378" i="5" s="1"/>
  <c r="AM1378" i="5" s="1"/>
  <c r="M1210" i="5"/>
  <c r="F1210" i="5" s="1"/>
  <c r="AM1210" i="5" s="1"/>
  <c r="M1509" i="5"/>
  <c r="F1509" i="5" s="1"/>
  <c r="AM1509" i="5" s="1"/>
  <c r="M1413" i="5"/>
  <c r="F1413" i="5" s="1"/>
  <c r="AM1413" i="5" s="1"/>
  <c r="M1420" i="5"/>
  <c r="F1420" i="5" s="1"/>
  <c r="AM1420" i="5" s="1"/>
  <c r="D3111" i="5"/>
  <c r="AY2367" i="5"/>
  <c r="AI2367" i="5"/>
  <c r="AI2368" i="5"/>
  <c r="AT2351" i="5"/>
  <c r="AS2351" i="5"/>
  <c r="AL2343" i="5"/>
  <c r="AI2344" i="5"/>
  <c r="AK2339" i="5"/>
  <c r="AZ2339" i="5"/>
  <c r="AY2339" i="5"/>
  <c r="AI2340" i="5"/>
  <c r="AL2339" i="5"/>
  <c r="AI2339" i="5"/>
  <c r="AS2327" i="5"/>
  <c r="AT2327" i="5"/>
  <c r="AR2315" i="5"/>
  <c r="AY2315" i="5"/>
  <c r="AZ2315" i="5"/>
  <c r="AU2315" i="5"/>
  <c r="AV2315" i="5" s="1"/>
  <c r="AQ2315" i="5"/>
  <c r="AI2315" i="5"/>
  <c r="AT2307" i="5"/>
  <c r="AS2307" i="5"/>
  <c r="AK2299" i="5"/>
  <c r="AY2299" i="5"/>
  <c r="AI2300" i="5"/>
  <c r="AL2299" i="5"/>
  <c r="AQ2299" i="5"/>
  <c r="AZ2299" i="5"/>
  <c r="AS2291" i="5"/>
  <c r="AT2291" i="5"/>
  <c r="AK2288" i="5"/>
  <c r="AI2289" i="5"/>
  <c r="AY2288" i="5"/>
  <c r="AI2280" i="5"/>
  <c r="AQ2279" i="5"/>
  <c r="AT2271" i="5"/>
  <c r="AS2271" i="5"/>
  <c r="AJ2243" i="5"/>
  <c r="AI2244" i="5"/>
  <c r="AI2243" i="5"/>
  <c r="AQ2223" i="5"/>
  <c r="AZ2223" i="5"/>
  <c r="AQ2207" i="5"/>
  <c r="AJ2207" i="5"/>
  <c r="AI2207" i="5"/>
  <c r="AJ2203" i="5"/>
  <c r="AQ2203" i="5"/>
  <c r="AK2203" i="5"/>
  <c r="AM1048" i="5"/>
  <c r="AM670" i="5"/>
  <c r="AM356" i="5"/>
  <c r="AM328" i="5"/>
  <c r="AM1153" i="5"/>
  <c r="A4993" i="5"/>
  <c r="C4993" i="5" s="1"/>
  <c r="M2794" i="5"/>
  <c r="L2794" i="5" s="1"/>
  <c r="AM1195" i="5"/>
  <c r="M1196" i="5"/>
  <c r="F1196" i="5" s="1"/>
  <c r="AM1196" i="5" s="1"/>
  <c r="M1498" i="5"/>
  <c r="F1498" i="5" s="1"/>
  <c r="AM1453" i="5"/>
  <c r="AM1180" i="5"/>
  <c r="AM2243" i="5"/>
  <c r="M2791" i="5"/>
  <c r="L2791" i="5" s="1"/>
  <c r="AT2311" i="5"/>
  <c r="AI2279" i="5"/>
  <c r="M2627" i="5"/>
  <c r="L2627" i="5" s="1"/>
  <c r="AM1292" i="5"/>
  <c r="M2649" i="5"/>
  <c r="L2649" i="5" s="1"/>
  <c r="AM1307" i="5"/>
  <c r="AM1320" i="5"/>
  <c r="AM1250" i="5"/>
  <c r="AS616" i="5"/>
  <c r="G4992" i="5"/>
  <c r="H4992" i="5" s="1"/>
  <c r="AM1264" i="5"/>
  <c r="M2703" i="5"/>
  <c r="L2703" i="5" s="1"/>
  <c r="F4528" i="5"/>
  <c r="F3490" i="5"/>
  <c r="T3490" i="5"/>
  <c r="F3492" i="5" s="1"/>
  <c r="X3067" i="5"/>
  <c r="AA3067" i="5" s="1"/>
  <c r="M1175" i="5"/>
  <c r="F1175" i="5" s="1"/>
  <c r="AM1175" i="5" s="1"/>
  <c r="M2831" i="5"/>
  <c r="L2831" i="5" s="1"/>
  <c r="AM1236" i="5"/>
  <c r="AM1209" i="5"/>
  <c r="M2651" i="5"/>
  <c r="L2651" i="5" s="1"/>
  <c r="AM1680" i="5"/>
  <c r="M1133" i="5"/>
  <c r="F1133" i="5" s="1"/>
  <c r="AM1133" i="5" s="1"/>
  <c r="M2675" i="5"/>
  <c r="L2675" i="5" s="1"/>
  <c r="AM1848" i="5"/>
  <c r="AM1335" i="5"/>
  <c r="M1287" i="5"/>
  <c r="F1287" i="5" s="1"/>
  <c r="AM1287" i="5" s="1"/>
  <c r="AI2013" i="5"/>
  <c r="AQ2017" i="5"/>
  <c r="AQ2181" i="5"/>
  <c r="AZ2145" i="5"/>
  <c r="AI2146" i="5"/>
  <c r="AJ2073" i="5"/>
  <c r="AI2074" i="5"/>
  <c r="AT2061" i="5"/>
  <c r="AS2061" i="5"/>
  <c r="AS2025" i="5"/>
  <c r="AT2025" i="5"/>
  <c r="AL2022" i="5"/>
  <c r="AK2022" i="5"/>
  <c r="AJ1993" i="5"/>
  <c r="AI1994" i="5"/>
  <c r="AR1993" i="5"/>
  <c r="AS1989" i="5"/>
  <c r="AT1989" i="5"/>
  <c r="AK1924" i="5"/>
  <c r="AJ1924" i="5"/>
  <c r="AZ1924" i="5"/>
  <c r="AR1924" i="5"/>
  <c r="AK1915" i="5"/>
  <c r="AI1916" i="5"/>
  <c r="AL1911" i="5"/>
  <c r="AZ1911" i="5"/>
  <c r="AW1911" i="5"/>
  <c r="AX1911" i="5" s="1"/>
  <c r="AL1905" i="5"/>
  <c r="AK1905" i="5"/>
  <c r="AU1894" i="5"/>
  <c r="AV1894" i="5" s="1"/>
  <c r="AI1895" i="5"/>
  <c r="AL1865" i="5"/>
  <c r="AU1865" i="5"/>
  <c r="AV1865" i="5" s="1"/>
  <c r="AZ1865" i="5"/>
  <c r="AK1865" i="5"/>
  <c r="AK1829" i="5"/>
  <c r="AZ1829" i="5"/>
  <c r="AJ1829" i="5"/>
  <c r="AL1813" i="5"/>
  <c r="AZ1813" i="5"/>
  <c r="AJ1809" i="5"/>
  <c r="AK1809" i="5"/>
  <c r="AY1809" i="5"/>
  <c r="AL1809" i="5"/>
  <c r="AJ1793" i="5"/>
  <c r="AK1793" i="5"/>
  <c r="AR1782" i="5"/>
  <c r="AZ1782" i="5"/>
  <c r="AI1777" i="5"/>
  <c r="AY1777" i="5"/>
  <c r="AZ1757" i="5"/>
  <c r="AL1757" i="5"/>
  <c r="AJ1757" i="5"/>
  <c r="AL1753" i="5"/>
  <c r="AI1753" i="5"/>
  <c r="AY1753" i="5"/>
  <c r="AZ1753" i="5"/>
  <c r="AW1753" i="5"/>
  <c r="AX1753" i="5" s="1"/>
  <c r="AS1749" i="5"/>
  <c r="AT1749" i="5"/>
  <c r="AW1726" i="5"/>
  <c r="AX1726" i="5" s="1"/>
  <c r="AL1726" i="5"/>
  <c r="AK1726" i="5"/>
  <c r="AJ1721" i="5"/>
  <c r="AI1722" i="5"/>
  <c r="AL1721" i="5"/>
  <c r="AY1717" i="5"/>
  <c r="AJ1717" i="5"/>
  <c r="AZ1717" i="5"/>
  <c r="AL1717" i="5"/>
  <c r="AK1717" i="5"/>
  <c r="AJ1701" i="5"/>
  <c r="AK1701" i="5"/>
  <c r="AS1693" i="5"/>
  <c r="AT1693" i="5"/>
  <c r="AK1681" i="5"/>
  <c r="AL1681" i="5"/>
  <c r="AY1681" i="5"/>
  <c r="AS1673" i="5"/>
  <c r="AT1673" i="5"/>
  <c r="AK1670" i="5"/>
  <c r="AU1670" i="5"/>
  <c r="AV1670" i="5" s="1"/>
  <c r="AZ1670" i="5"/>
  <c r="AJ1670" i="5"/>
  <c r="AR1670" i="5"/>
  <c r="AJ1665" i="5"/>
  <c r="AZ1665" i="5"/>
  <c r="AZ1661" i="5"/>
  <c r="AK1661" i="5"/>
  <c r="AL1661" i="5"/>
  <c r="AY1661" i="5"/>
  <c r="AJ1661" i="5"/>
  <c r="AS1657" i="5"/>
  <c r="AT1657" i="5"/>
  <c r="AJ1645" i="5"/>
  <c r="AY1645" i="5"/>
  <c r="AZ1645" i="5"/>
  <c r="AK1645" i="5"/>
  <c r="AL1645" i="5"/>
  <c r="AL1641" i="5"/>
  <c r="AZ1641" i="5"/>
  <c r="AW1641" i="5"/>
  <c r="AX1641" i="5" s="1"/>
  <c r="AK1641" i="5"/>
  <c r="AY1641" i="5"/>
  <c r="AJ1641" i="5"/>
  <c r="AU1641" i="5"/>
  <c r="AV1641" i="5" s="1"/>
  <c r="AI1642" i="5"/>
  <c r="AS1637" i="5"/>
  <c r="AT1637" i="5"/>
  <c r="AS1633" i="5"/>
  <c r="AT1633" i="5"/>
  <c r="AY1625" i="5"/>
  <c r="AL1625" i="5"/>
  <c r="AZ1625" i="5"/>
  <c r="AR1614" i="5"/>
  <c r="AJ1614" i="5"/>
  <c r="AU1614" i="5"/>
  <c r="AV1614" i="5" s="1"/>
  <c r="AI1615" i="5"/>
  <c r="AZ1614" i="5"/>
  <c r="AY1614" i="5"/>
  <c r="AL1614" i="5"/>
  <c r="AU1924" i="5"/>
  <c r="AV1924" i="5" s="1"/>
  <c r="AZ1773" i="5"/>
  <c r="AT1689" i="5"/>
  <c r="AT2101" i="5"/>
  <c r="AL2017" i="5"/>
  <c r="G207" i="5"/>
  <c r="H207" i="5" s="1"/>
  <c r="U216" i="5"/>
  <c r="AI2109" i="5"/>
  <c r="AK2073" i="5"/>
  <c r="AY1829" i="5"/>
  <c r="AL2105" i="5"/>
  <c r="AZ1726" i="5"/>
  <c r="AZ2185" i="5"/>
  <c r="AZ2089" i="5"/>
  <c r="AL2095" i="5"/>
  <c r="AQ2073" i="5"/>
  <c r="AI1993" i="5"/>
  <c r="AQ2145" i="5"/>
  <c r="AL1829" i="5"/>
  <c r="AK1753" i="5"/>
  <c r="AL1701" i="5"/>
  <c r="AL1993" i="5"/>
  <c r="AY1701" i="5"/>
  <c r="AI1682" i="5"/>
  <c r="AR1697" i="5"/>
  <c r="AQ2109" i="5"/>
  <c r="AQ2165" i="5"/>
  <c r="AI1911" i="5"/>
  <c r="AJ1849" i="5"/>
  <c r="AU1993" i="5"/>
  <c r="AV1993" i="5" s="1"/>
  <c r="AW1935" i="5"/>
  <c r="AX1935" i="5" s="1"/>
  <c r="AL1777" i="5"/>
  <c r="AY1609" i="5"/>
  <c r="AL1589" i="5"/>
  <c r="AW1302" i="5"/>
  <c r="AX1302" i="5" s="1"/>
  <c r="AS1488" i="5"/>
  <c r="AZ1468" i="5"/>
  <c r="AT1484" i="5"/>
  <c r="AK1496" i="5"/>
  <c r="AZ1505" i="5"/>
  <c r="AJ1605" i="5"/>
  <c r="AI1481" i="5"/>
  <c r="AS1460" i="5"/>
  <c r="AY1432" i="5"/>
  <c r="AK1145" i="5"/>
  <c r="AK1313" i="5"/>
  <c r="AK1302" i="5"/>
  <c r="AT1289" i="5"/>
  <c r="AW1246" i="5"/>
  <c r="AX1246" i="5" s="1"/>
  <c r="AJ1448" i="5"/>
  <c r="AY1190" i="5"/>
  <c r="AL1221" i="5"/>
  <c r="AS1341" i="5"/>
  <c r="AJ1134" i="5"/>
  <c r="AU1134" i="5"/>
  <c r="AV1134" i="5" s="1"/>
  <c r="AI1453" i="5"/>
  <c r="AI1610" i="5"/>
  <c r="AI1417" i="5"/>
  <c r="AK1165" i="5"/>
  <c r="AJ1237" i="5"/>
  <c r="AI1421" i="5"/>
  <c r="AW1190" i="5"/>
  <c r="AX1190" i="5" s="1"/>
  <c r="AR948" i="5"/>
  <c r="AS948" i="5" s="1"/>
  <c r="AJ999" i="5"/>
  <c r="AL1302" i="5"/>
  <c r="AL1564" i="5"/>
  <c r="AJ1241" i="5"/>
  <c r="AI1565" i="5"/>
  <c r="AJ1468" i="5"/>
  <c r="AW1161" i="5"/>
  <c r="AX1161" i="5" s="1"/>
  <c r="AY1181" i="5"/>
  <c r="AL1496" i="5"/>
  <c r="AI1506" i="5"/>
  <c r="AZ1605" i="5"/>
  <c r="AU1481" i="5"/>
  <c r="AV1481" i="5" s="1"/>
  <c r="AZ1452" i="5"/>
  <c r="AL1035" i="5"/>
  <c r="AL1145" i="5"/>
  <c r="AK1246" i="5"/>
  <c r="AZ1217" i="5"/>
  <c r="AR919" i="5"/>
  <c r="AI1359" i="5"/>
  <c r="AL1432" i="5"/>
  <c r="AY1246" i="5"/>
  <c r="AY1201" i="5"/>
  <c r="AU1273" i="5"/>
  <c r="AV1273" i="5" s="1"/>
  <c r="AZ1257" i="5"/>
  <c r="AK1217" i="5"/>
  <c r="AL1329" i="5"/>
  <c r="AI1297" i="5"/>
  <c r="AY1333" i="5"/>
  <c r="AZ1190" i="5"/>
  <c r="AY1302" i="5"/>
  <c r="AY1564" i="5"/>
  <c r="AL1241" i="5"/>
  <c r="AR1329" i="5"/>
  <c r="AK1472" i="5"/>
  <c r="AT1387" i="5"/>
  <c r="AT1153" i="5"/>
  <c r="AR1161" i="5"/>
  <c r="AL1181" i="5"/>
  <c r="AZ1492" i="5"/>
  <c r="AY1496" i="5"/>
  <c r="AS1511" i="5"/>
  <c r="AY1605" i="5"/>
  <c r="AJ1481" i="5"/>
  <c r="AS1464" i="5"/>
  <c r="AT1507" i="5"/>
  <c r="AR1246" i="5"/>
  <c r="AJ1217" i="5"/>
  <c r="AS1233" i="5"/>
  <c r="AZ1329" i="5"/>
  <c r="AU1358" i="5"/>
  <c r="AV1358" i="5" s="1"/>
  <c r="AJ1035" i="5"/>
  <c r="AK1358" i="5"/>
  <c r="AK1201" i="5"/>
  <c r="AW1273" i="5"/>
  <c r="AX1273" i="5" s="1"/>
  <c r="AY1257" i="5"/>
  <c r="AS1345" i="5"/>
  <c r="AI1449" i="5"/>
  <c r="AK1349" i="5"/>
  <c r="AK1452" i="5"/>
  <c r="AI1303" i="5"/>
  <c r="AW1564" i="5"/>
  <c r="AX1564" i="5" s="1"/>
  <c r="AY1369" i="5"/>
  <c r="AR1481" i="5"/>
  <c r="AY1329" i="5"/>
  <c r="AJ1181" i="5"/>
  <c r="AY1161" i="5"/>
  <c r="AR1492" i="5"/>
  <c r="AJ1505" i="5"/>
  <c r="AZ1609" i="5"/>
  <c r="AL1557" i="5"/>
  <c r="AR1448" i="5"/>
  <c r="AJ1246" i="5"/>
  <c r="AW1217" i="5"/>
  <c r="AX1217" i="5" s="1"/>
  <c r="AZ1293" i="5"/>
  <c r="AI1353" i="5"/>
  <c r="AY1217" i="5"/>
  <c r="AL1246" i="5"/>
  <c r="AJ1353" i="5"/>
  <c r="AK1190" i="5"/>
  <c r="AL1273" i="5"/>
  <c r="AU1448" i="5"/>
  <c r="AV1448" i="5" s="1"/>
  <c r="AT987" i="5"/>
  <c r="AK1448" i="5"/>
  <c r="AY1448" i="5"/>
  <c r="M4216" i="5"/>
  <c r="F4217" i="5" s="1"/>
  <c r="L4216" i="5" s="1"/>
  <c r="AL1349" i="5"/>
  <c r="AZ1302" i="5"/>
  <c r="AZ1564" i="5"/>
  <c r="AL1369" i="5"/>
  <c r="AZ1481" i="5"/>
  <c r="AW1492" i="5"/>
  <c r="AX1492" i="5" s="1"/>
  <c r="AR1505" i="5"/>
  <c r="AJ1609" i="5"/>
  <c r="AK1585" i="5"/>
  <c r="AZ1472" i="5"/>
  <c r="AY1557" i="5"/>
  <c r="AZ1448" i="5"/>
  <c r="AZ1277" i="5"/>
  <c r="AZ1246" i="5"/>
  <c r="AU1217" i="5"/>
  <c r="AV1217" i="5" s="1"/>
  <c r="AL1237" i="5"/>
  <c r="AY1353" i="5"/>
  <c r="AK1293" i="5"/>
  <c r="AJ1313" i="5"/>
  <c r="AT1043" i="5"/>
  <c r="AS1071" i="5"/>
  <c r="AJ1165" i="5"/>
  <c r="AR1004" i="5"/>
  <c r="AS1004" i="5" s="1"/>
  <c r="M3664" i="5"/>
  <c r="L3664" i="5" s="1"/>
  <c r="M2653" i="5"/>
  <c r="L2653" i="5" s="1"/>
  <c r="M2645" i="5"/>
  <c r="L2645" i="5" s="1"/>
  <c r="M3094" i="5"/>
  <c r="F3094" i="5" s="1"/>
  <c r="L3094" i="5" s="1"/>
  <c r="AN3689" i="5"/>
  <c r="A3689" i="5" s="1"/>
  <c r="AQ2371" i="5"/>
  <c r="AQ2363" i="5"/>
  <c r="AI1378" i="5"/>
  <c r="AQ1496" i="5"/>
  <c r="AY1221" i="5"/>
  <c r="AT1173" i="5"/>
  <c r="AZ1333" i="5"/>
  <c r="AZ1237" i="5"/>
  <c r="AR1302" i="5"/>
  <c r="AJ1564" i="5"/>
  <c r="AL1481" i="5"/>
  <c r="AL1468" i="5"/>
  <c r="AU1492" i="5"/>
  <c r="AV1492" i="5" s="1"/>
  <c r="AL1505" i="5"/>
  <c r="AS1560" i="5"/>
  <c r="AK1609" i="5"/>
  <c r="AL1472" i="5"/>
  <c r="AZ1557" i="5"/>
  <c r="AJ1277" i="5"/>
  <c r="AI1422" i="5"/>
  <c r="AR1358" i="5"/>
  <c r="AL1448" i="5"/>
  <c r="AL1353" i="5"/>
  <c r="AJ1432" i="5"/>
  <c r="AS935" i="5"/>
  <c r="AZ1273" i="5"/>
  <c r="AZ1185" i="5"/>
  <c r="AW1329" i="5"/>
  <c r="AX1329" i="5" s="1"/>
  <c r="AS1413" i="5"/>
  <c r="AM1527" i="5"/>
  <c r="M357" i="5"/>
  <c r="F357" i="5" s="1"/>
  <c r="AM357" i="5" s="1"/>
  <c r="M525" i="5"/>
  <c r="F525" i="5" s="1"/>
  <c r="AM525" i="5" s="1"/>
  <c r="M301" i="5"/>
  <c r="F301" i="5" s="1"/>
  <c r="AM301" i="5" s="1"/>
  <c r="M1217" i="5"/>
  <c r="F1217" i="5" s="1"/>
  <c r="AM1217" i="5" s="1"/>
  <c r="M1492" i="5"/>
  <c r="F1492" i="5" s="1"/>
  <c r="AM1492" i="5" s="1"/>
  <c r="M1322" i="5"/>
  <c r="F1322" i="5" s="1"/>
  <c r="AM1322" i="5" s="1"/>
  <c r="M1140" i="5"/>
  <c r="F1140" i="5" s="1"/>
  <c r="M574" i="5"/>
  <c r="F574" i="5" s="1"/>
  <c r="AM574" i="5" s="1"/>
  <c r="M623" i="5"/>
  <c r="F623" i="5" s="1"/>
  <c r="AM623" i="5" s="1"/>
  <c r="M476" i="5"/>
  <c r="F476" i="5" s="1"/>
  <c r="AM476" i="5" s="1"/>
  <c r="M2301" i="5"/>
  <c r="F2301" i="5" s="1"/>
  <c r="AM2301" i="5" s="1"/>
  <c r="M2119" i="5"/>
  <c r="F2119" i="5" s="1"/>
  <c r="AM2119" i="5" s="1"/>
  <c r="M2308" i="5"/>
  <c r="F2308" i="5" s="1"/>
  <c r="AM2308" i="5" s="1"/>
  <c r="AR2260" i="5"/>
  <c r="M385" i="5"/>
  <c r="F385" i="5" s="1"/>
  <c r="AM385" i="5" s="1"/>
  <c r="AM1602" i="5"/>
  <c r="M2798" i="5"/>
  <c r="L2798" i="5" s="1"/>
  <c r="M2677" i="5"/>
  <c r="L2677" i="5" s="1"/>
  <c r="AM559" i="5"/>
  <c r="AM531" i="5"/>
  <c r="AM447" i="5"/>
  <c r="AM419" i="5"/>
  <c r="AM376" i="5"/>
  <c r="AM348" i="5"/>
  <c r="AM334" i="5"/>
  <c r="AM320" i="5"/>
  <c r="AM939" i="5"/>
  <c r="AM1271" i="5"/>
  <c r="AM1159" i="5"/>
  <c r="AM2221" i="5"/>
  <c r="AM2193" i="5"/>
  <c r="AM2132" i="5"/>
  <c r="AM2117" i="5"/>
  <c r="AM2062" i="5"/>
  <c r="AN3790" i="5"/>
  <c r="AN3788" i="5"/>
  <c r="AN3451" i="5"/>
  <c r="D3451" i="5" s="1"/>
  <c r="AQ2367" i="5"/>
  <c r="AQ2339" i="5"/>
  <c r="AQ2333" i="5"/>
  <c r="AQ2317" i="5"/>
  <c r="AQ2293" i="5"/>
  <c r="AI2292" i="5"/>
  <c r="AQ2261" i="5"/>
  <c r="AI2236" i="5"/>
  <c r="AQ2217" i="5"/>
  <c r="AQ2163" i="5"/>
  <c r="AQ2143" i="5"/>
  <c r="AQ2046" i="5"/>
  <c r="AQ2016" i="5"/>
  <c r="AQ2007" i="5"/>
  <c r="AQ1883" i="5"/>
  <c r="AQ1878" i="5"/>
  <c r="M2084" i="5"/>
  <c r="F2084" i="5" s="1"/>
  <c r="AM2084" i="5" s="1"/>
  <c r="M2112" i="5"/>
  <c r="F2112" i="5" s="1"/>
  <c r="AM2112" i="5" s="1"/>
  <c r="M2049" i="5"/>
  <c r="F2049" i="5" s="1"/>
  <c r="AM2049" i="5" s="1"/>
  <c r="M1110" i="5"/>
  <c r="F1110" i="5" s="1"/>
  <c r="AM1110" i="5" s="1"/>
  <c r="F4548" i="5"/>
  <c r="F4556" i="5" s="1"/>
  <c r="W4557" i="5" s="1"/>
  <c r="F4534" i="5"/>
  <c r="F4542" i="5" s="1"/>
  <c r="W4543" i="5" s="1"/>
  <c r="AM1116" i="5"/>
  <c r="M648" i="5"/>
  <c r="F648" i="5" s="1"/>
  <c r="AM648" i="5" s="1"/>
  <c r="AJ2299" i="5"/>
  <c r="M4013" i="5"/>
  <c r="F4013" i="5" s="1"/>
  <c r="L4013" i="5" s="1"/>
  <c r="M3674" i="5"/>
  <c r="F3674" i="5" s="1"/>
  <c r="L3674" i="5" s="1"/>
  <c r="M2820" i="5"/>
  <c r="L2820" i="5" s="1"/>
  <c r="M3049" i="5"/>
  <c r="F3049" i="5" s="1"/>
  <c r="L3049" i="5" s="1"/>
  <c r="AM2368" i="5"/>
  <c r="M3082" i="5"/>
  <c r="F3082" i="5" s="1"/>
  <c r="L3082" i="5" s="1"/>
  <c r="D3141" i="5"/>
  <c r="AM1990" i="5"/>
  <c r="N4991" i="5"/>
  <c r="N4992" i="5" s="1"/>
  <c r="N4993" i="5" s="1"/>
  <c r="N4994" i="5" s="1"/>
  <c r="A4999" i="5"/>
  <c r="C4999" i="5" s="1"/>
  <c r="M3216" i="5"/>
  <c r="F3216" i="5" s="1"/>
  <c r="L3216" i="5" s="1"/>
  <c r="M3011" i="5"/>
  <c r="F3011" i="5" s="1"/>
  <c r="L3011" i="5" s="1"/>
  <c r="M2915" i="5"/>
  <c r="F2915" i="5" s="1"/>
  <c r="L2915" i="5" s="1"/>
  <c r="AT441" i="5"/>
  <c r="M3078" i="5"/>
  <c r="F3078" i="5" s="1"/>
  <c r="L3078" i="5" s="1"/>
  <c r="AX3128" i="5"/>
  <c r="M2783" i="5"/>
  <c r="L2783" i="5" s="1"/>
  <c r="M2806" i="5"/>
  <c r="L2806" i="5" s="1"/>
  <c r="M2804" i="5"/>
  <c r="L2804" i="5" s="1"/>
  <c r="M2782" i="5"/>
  <c r="L2782" i="5" s="1"/>
  <c r="AA2619" i="5"/>
  <c r="M2761" i="5" s="1"/>
  <c r="L2761" i="5" s="1"/>
  <c r="M2781" i="5"/>
  <c r="L2781" i="5" s="1"/>
  <c r="M2780" i="5"/>
  <c r="L2780" i="5" s="1"/>
  <c r="M2807" i="5"/>
  <c r="L2807" i="5" s="1"/>
  <c r="M2735" i="5"/>
  <c r="L2735" i="5" s="1"/>
  <c r="G4743" i="5"/>
  <c r="H4743" i="5" s="1"/>
  <c r="A3231" i="5"/>
  <c r="A4816" i="5"/>
  <c r="C4816" i="5" s="1"/>
  <c r="AU2365" i="5"/>
  <c r="AV2365" i="5" s="1"/>
  <c r="AW2365" i="5"/>
  <c r="AX2365" i="5" s="1"/>
  <c r="M2071" i="5"/>
  <c r="F2071" i="5" s="1"/>
  <c r="M891" i="5"/>
  <c r="F891" i="5" s="1"/>
  <c r="AM891" i="5" s="1"/>
  <c r="M961" i="5"/>
  <c r="F961" i="5" s="1"/>
  <c r="AM961" i="5" s="1"/>
  <c r="M940" i="5"/>
  <c r="F940" i="5" s="1"/>
  <c r="AT2368" i="5"/>
  <c r="M2797" i="5"/>
  <c r="L2797" i="5" s="1"/>
  <c r="AJ2356" i="5"/>
  <c r="M2211" i="5"/>
  <c r="F2211" i="5" s="1"/>
  <c r="N3105" i="5"/>
  <c r="N3106" i="5" s="1"/>
  <c r="M3106" i="5" s="1"/>
  <c r="F3106" i="5" s="1"/>
  <c r="L3106" i="5" s="1"/>
  <c r="M2365" i="5"/>
  <c r="F2365" i="5" s="1"/>
  <c r="M863" i="5"/>
  <c r="F863" i="5" s="1"/>
  <c r="AM863" i="5" s="1"/>
  <c r="AI2365" i="5"/>
  <c r="AT2348" i="5"/>
  <c r="AJ2365" i="5"/>
  <c r="AY1988" i="5"/>
  <c r="M1074" i="5"/>
  <c r="F1074" i="5" s="1"/>
  <c r="AM1074" i="5" s="1"/>
  <c r="M1038" i="5"/>
  <c r="F1038" i="5" s="1"/>
  <c r="AM1038" i="5" s="1"/>
  <c r="M933" i="5"/>
  <c r="F933" i="5" s="1"/>
  <c r="AM933" i="5" s="1"/>
  <c r="AY2308" i="5"/>
  <c r="M2796" i="5"/>
  <c r="L2796" i="5" s="1"/>
  <c r="A3297" i="5"/>
  <c r="M926" i="5"/>
  <c r="F926" i="5" s="1"/>
  <c r="AM926" i="5" s="1"/>
  <c r="M2232" i="5"/>
  <c r="F2232" i="5" s="1"/>
  <c r="M982" i="5"/>
  <c r="F982" i="5" s="1"/>
  <c r="AM982" i="5" s="1"/>
  <c r="M2329" i="5"/>
  <c r="F2329" i="5" s="1"/>
  <c r="AY2356" i="5"/>
  <c r="AR2352" i="5"/>
  <c r="M2008" i="5"/>
  <c r="F2008" i="5" s="1"/>
  <c r="M2316" i="5"/>
  <c r="F2316" i="5" s="1"/>
  <c r="M954" i="5"/>
  <c r="F954" i="5" s="1"/>
  <c r="AM954" i="5" s="1"/>
  <c r="M765" i="5"/>
  <c r="F765" i="5" s="1"/>
  <c r="AM765" i="5" s="1"/>
  <c r="M2700" i="5"/>
  <c r="L2700" i="5" s="1"/>
  <c r="AU2308" i="5"/>
  <c r="AV2308" i="5" s="1"/>
  <c r="AT2324" i="5"/>
  <c r="AM1215" i="5"/>
  <c r="AS730" i="5"/>
  <c r="AV3218" i="5"/>
  <c r="AW3218" i="5" s="1"/>
  <c r="AY3218" i="5" s="1"/>
  <c r="AK2328" i="5"/>
  <c r="M2652" i="5"/>
  <c r="L2652" i="5" s="1"/>
  <c r="M2288" i="5"/>
  <c r="F2288" i="5" s="1"/>
  <c r="AT2304" i="5"/>
  <c r="M2309" i="5"/>
  <c r="F2309" i="5" s="1"/>
  <c r="M947" i="5"/>
  <c r="F947" i="5" s="1"/>
  <c r="AM947" i="5" s="1"/>
  <c r="AS2192" i="5"/>
  <c r="AY2216" i="5"/>
  <c r="AS2248" i="5"/>
  <c r="AM1158" i="5"/>
  <c r="M3764" i="5"/>
  <c r="L3764" i="5" s="1"/>
  <c r="M3768" i="5"/>
  <c r="L3768" i="5" s="1"/>
  <c r="M2748" i="5"/>
  <c r="L2748" i="5" s="1"/>
  <c r="Y2619" i="5"/>
  <c r="M2728" i="5" s="1"/>
  <c r="L2728" i="5" s="1"/>
  <c r="M2628" i="5"/>
  <c r="L2628" i="5" s="1"/>
  <c r="W2619" i="5"/>
  <c r="M2687" i="5" s="1"/>
  <c r="L2687" i="5" s="1"/>
  <c r="M912" i="5"/>
  <c r="F912" i="5" s="1"/>
  <c r="AM912" i="5" s="1"/>
  <c r="M821" i="5"/>
  <c r="F821" i="5" s="1"/>
  <c r="AM821" i="5" s="1"/>
  <c r="M905" i="5"/>
  <c r="F905" i="5" s="1"/>
  <c r="AM905" i="5" s="1"/>
  <c r="M849" i="5"/>
  <c r="F849" i="5" s="1"/>
  <c r="AM849" i="5" s="1"/>
  <c r="M758" i="5"/>
  <c r="F758" i="5" s="1"/>
  <c r="AM758" i="5" s="1"/>
  <c r="M779" i="5"/>
  <c r="F779" i="5" s="1"/>
  <c r="AM779" i="5" s="1"/>
  <c r="M1003" i="5"/>
  <c r="F1003" i="5" s="1"/>
  <c r="AM1003" i="5" s="1"/>
  <c r="M793" i="5"/>
  <c r="F793" i="5" s="1"/>
  <c r="AM793" i="5" s="1"/>
  <c r="M800" i="5"/>
  <c r="F800" i="5" s="1"/>
  <c r="AM800" i="5" s="1"/>
  <c r="M730" i="5"/>
  <c r="F730" i="5" s="1"/>
  <c r="M835" i="5"/>
  <c r="F835" i="5" s="1"/>
  <c r="AM835" i="5" s="1"/>
  <c r="M772" i="5"/>
  <c r="F772" i="5" s="1"/>
  <c r="AM772" i="5" s="1"/>
  <c r="M1080" i="5"/>
  <c r="F1080" i="5" s="1"/>
  <c r="AM1080" i="5" s="1"/>
  <c r="M828" i="5"/>
  <c r="F828" i="5" s="1"/>
  <c r="AM828" i="5" s="1"/>
  <c r="M723" i="5"/>
  <c r="F723" i="5" s="1"/>
  <c r="AM723" i="5" s="1"/>
  <c r="M1068" i="5"/>
  <c r="F1068" i="5" s="1"/>
  <c r="AM1068" i="5" s="1"/>
  <c r="M807" i="5"/>
  <c r="F807" i="5" s="1"/>
  <c r="AM807" i="5" s="1"/>
  <c r="M716" i="5"/>
  <c r="F716" i="5" s="1"/>
  <c r="AM716" i="5" s="1"/>
  <c r="M2274" i="5"/>
  <c r="F2274" i="5" s="1"/>
  <c r="M2127" i="5"/>
  <c r="F2127" i="5" s="1"/>
  <c r="M2134" i="5"/>
  <c r="F2134" i="5" s="1"/>
  <c r="M2043" i="5"/>
  <c r="F2043" i="5" s="1"/>
  <c r="M2078" i="5"/>
  <c r="F2078" i="5" s="1"/>
  <c r="M2218" i="5"/>
  <c r="F2218" i="5" s="1"/>
  <c r="M2120" i="5"/>
  <c r="F2120" i="5" s="1"/>
  <c r="M2225" i="5"/>
  <c r="F2225" i="5" s="1"/>
  <c r="M2239" i="5"/>
  <c r="F2239" i="5" s="1"/>
  <c r="M2197" i="5"/>
  <c r="F2197" i="5" s="1"/>
  <c r="M2260" i="5"/>
  <c r="F2260" i="5" s="1"/>
  <c r="M1994" i="5"/>
  <c r="F1994" i="5" s="1"/>
  <c r="M2085" i="5"/>
  <c r="F2085" i="5" s="1"/>
  <c r="AK2356" i="5"/>
  <c r="AI2357" i="5"/>
  <c r="AZ2356" i="5"/>
  <c r="AI2353" i="5"/>
  <c r="AJ2352" i="5"/>
  <c r="AW2352" i="5"/>
  <c r="AX2352" i="5" s="1"/>
  <c r="AU2341" i="5"/>
  <c r="AV2341" i="5" s="1"/>
  <c r="AI2341" i="5"/>
  <c r="AR2341" i="5"/>
  <c r="AZ2332" i="5"/>
  <c r="AK2332" i="5"/>
  <c r="AY2332" i="5"/>
  <c r="AY2328" i="5"/>
  <c r="AJ2328" i="5"/>
  <c r="AZ2328" i="5"/>
  <c r="AI2313" i="5"/>
  <c r="AJ2312" i="5"/>
  <c r="AY2312" i="5"/>
  <c r="AW2308" i="5"/>
  <c r="AX2308" i="5" s="1"/>
  <c r="AZ2308" i="5"/>
  <c r="AI2308" i="5"/>
  <c r="AL2292" i="5"/>
  <c r="AY2292" i="5"/>
  <c r="AJ2292" i="5"/>
  <c r="AI2282" i="5"/>
  <c r="AZ2281" i="5"/>
  <c r="AK2281" i="5"/>
  <c r="AW2281" i="5"/>
  <c r="AX2281" i="5" s="1"/>
  <c r="AY2276" i="5"/>
  <c r="AJ2276" i="5"/>
  <c r="AY2256" i="5"/>
  <c r="AK2256" i="5"/>
  <c r="AJ2256" i="5"/>
  <c r="AR2252" i="5"/>
  <c r="AZ2252" i="5"/>
  <c r="AW2252" i="5"/>
  <c r="AX2252" i="5" s="1"/>
  <c r="AJ2220" i="5"/>
  <c r="AY2220" i="5"/>
  <c r="AQ2202" i="5"/>
  <c r="AI2202" i="5"/>
  <c r="AR2196" i="5"/>
  <c r="AI2196" i="5"/>
  <c r="AW2196" i="5"/>
  <c r="AX2196" i="5" s="1"/>
  <c r="AL2183" i="5"/>
  <c r="AJ2183" i="5"/>
  <c r="AR2183" i="5"/>
  <c r="AU2183" i="5"/>
  <c r="AV2183" i="5" s="1"/>
  <c r="AY2183" i="5"/>
  <c r="AL2178" i="5"/>
  <c r="AK2178" i="5"/>
  <c r="AY2174" i="5"/>
  <c r="AI2174" i="5"/>
  <c r="AM2174" i="5"/>
  <c r="AZ2158" i="5"/>
  <c r="AM2158" i="5"/>
  <c r="AZ2154" i="5"/>
  <c r="AU2154" i="5"/>
  <c r="AV2154" i="5" s="1"/>
  <c r="AK2127" i="5"/>
  <c r="AL2127" i="5"/>
  <c r="AZ2127" i="5"/>
  <c r="AJ2122" i="5"/>
  <c r="AI2122" i="5"/>
  <c r="AY2102" i="5"/>
  <c r="AI2102" i="5"/>
  <c r="AJ2098" i="5"/>
  <c r="AQ2098" i="5"/>
  <c r="AI2098" i="5"/>
  <c r="M2702" i="5"/>
  <c r="L2702" i="5" s="1"/>
  <c r="M2113" i="5"/>
  <c r="F2113" i="5" s="1"/>
  <c r="M870" i="5"/>
  <c r="F870" i="5" s="1"/>
  <c r="AM870" i="5" s="1"/>
  <c r="M2267" i="5"/>
  <c r="F2267" i="5" s="1"/>
  <c r="M2676" i="5"/>
  <c r="L2676" i="5" s="1"/>
  <c r="M2370" i="5"/>
  <c r="F2370" i="5" s="1"/>
  <c r="AM2332" i="5"/>
  <c r="N3183" i="5"/>
  <c r="M3183" i="5" s="1"/>
  <c r="F3183" i="5" s="1"/>
  <c r="L3183" i="5" s="1"/>
  <c r="AR2365" i="5"/>
  <c r="AT2365" i="5" s="1"/>
  <c r="M2359" i="5"/>
  <c r="F2359" i="5" s="1"/>
  <c r="Y2842" i="5"/>
  <c r="M2858" i="5" s="1"/>
  <c r="F2858" i="5" s="1"/>
  <c r="L2858" i="5" s="1"/>
  <c r="M996" i="5"/>
  <c r="F996" i="5" s="1"/>
  <c r="AM996" i="5" s="1"/>
  <c r="M919" i="5"/>
  <c r="F919" i="5" s="1"/>
  <c r="AM919" i="5" s="1"/>
  <c r="M842" i="5"/>
  <c r="F842" i="5" s="1"/>
  <c r="AM842" i="5" s="1"/>
  <c r="AZ2312" i="5"/>
  <c r="AR2328" i="5"/>
  <c r="M2772" i="5"/>
  <c r="L2772" i="5" s="1"/>
  <c r="AS1818" i="5"/>
  <c r="G4852" i="5"/>
  <c r="H4852" i="5" s="1"/>
  <c r="AJ1842" i="5"/>
  <c r="AM1035" i="5"/>
  <c r="AM1007" i="5"/>
  <c r="AL2082" i="5"/>
  <c r="AR2071" i="5"/>
  <c r="AQ2071" i="5"/>
  <c r="AL2046" i="5"/>
  <c r="AY2071" i="5"/>
  <c r="AQ1806" i="5"/>
  <c r="AR1831" i="5"/>
  <c r="AZ1802" i="5"/>
  <c r="AM1989" i="5"/>
  <c r="AY1842" i="5"/>
  <c r="AI1786" i="5"/>
  <c r="AU1414" i="5"/>
  <c r="AV1414" i="5" s="1"/>
  <c r="AJ1658" i="5"/>
  <c r="AQ1822" i="5"/>
  <c r="AJ1802" i="5"/>
  <c r="AI1766" i="5"/>
  <c r="AR1802" i="5"/>
  <c r="AK1842" i="5"/>
  <c r="AK1878" i="5"/>
  <c r="AI1842" i="5"/>
  <c r="AZ1842" i="5"/>
  <c r="AT1477" i="5"/>
  <c r="M3052" i="5"/>
  <c r="F3052" i="5" s="1"/>
  <c r="L3052" i="5" s="1"/>
  <c r="AQ2326" i="5"/>
  <c r="AI1990" i="5"/>
  <c r="AT1798" i="5"/>
  <c r="M2947" i="5"/>
  <c r="F2947" i="5" s="1"/>
  <c r="L2947" i="5" s="1"/>
  <c r="M2923" i="5"/>
  <c r="F2923" i="5" s="1"/>
  <c r="L2923" i="5" s="1"/>
  <c r="AI2047" i="5"/>
  <c r="AQ1766" i="5"/>
  <c r="AQ1842" i="5"/>
  <c r="AK1690" i="5"/>
  <c r="AY1694" i="5"/>
  <c r="AL1598" i="5"/>
  <c r="AM629" i="5"/>
  <c r="AM475" i="5"/>
  <c r="AR2259" i="5"/>
  <c r="AJ2259" i="5"/>
  <c r="AZ2259" i="5"/>
  <c r="AW2259" i="5"/>
  <c r="AX2259" i="5" s="1"/>
  <c r="AY2259" i="5"/>
  <c r="AI2260" i="5"/>
  <c r="AL2259" i="5"/>
  <c r="AS2255" i="5"/>
  <c r="AT2255" i="5"/>
  <c r="AS2251" i="5"/>
  <c r="AT2251" i="5"/>
  <c r="AL2232" i="5"/>
  <c r="AI2233" i="5"/>
  <c r="AK2232" i="5"/>
  <c r="AZ2232" i="5"/>
  <c r="AJ2232" i="5"/>
  <c r="AR2232" i="5"/>
  <c r="AU2232" i="5"/>
  <c r="AV2232" i="5" s="1"/>
  <c r="AW2232" i="5"/>
  <c r="AX2232" i="5" s="1"/>
  <c r="AY2232" i="5"/>
  <c r="AK2227" i="5"/>
  <c r="AL2227" i="5"/>
  <c r="AY2227" i="5"/>
  <c r="AJ2227" i="5"/>
  <c r="AL2223" i="5"/>
  <c r="AJ2223" i="5"/>
  <c r="AY2207" i="5"/>
  <c r="AL2207" i="5"/>
  <c r="AU2203" i="5"/>
  <c r="AV2203" i="5" s="1"/>
  <c r="AW2203" i="5"/>
  <c r="AX2203" i="5" s="1"/>
  <c r="AS2195" i="5"/>
  <c r="AT2195" i="5"/>
  <c r="AL2187" i="5"/>
  <c r="AJ2187" i="5"/>
  <c r="AT2177" i="5"/>
  <c r="AS2177" i="5"/>
  <c r="AK2161" i="5"/>
  <c r="AI2162" i="5"/>
  <c r="AR2161" i="5"/>
  <c r="AW2147" i="5"/>
  <c r="AX2147" i="5" s="1"/>
  <c r="AZ2147" i="5"/>
  <c r="AU2147" i="5"/>
  <c r="AV2147" i="5" s="1"/>
  <c r="AI2135" i="5"/>
  <c r="AR2134" i="5"/>
  <c r="AS2134" i="5" s="1"/>
  <c r="AT2121" i="5"/>
  <c r="AS2121" i="5"/>
  <c r="AK2109" i="5"/>
  <c r="AY2109" i="5"/>
  <c r="AJ2109" i="5"/>
  <c r="AY2105" i="5"/>
  <c r="AZ2105" i="5"/>
  <c r="AK2105" i="5"/>
  <c r="AJ2105" i="5"/>
  <c r="AU2105" i="5"/>
  <c r="AV2105" i="5" s="1"/>
  <c r="AR2105" i="5"/>
  <c r="AW2105" i="5"/>
  <c r="AX2105" i="5" s="1"/>
  <c r="AZ2078" i="5"/>
  <c r="AY2078" i="5"/>
  <c r="AK2078" i="5"/>
  <c r="AW2078" i="5"/>
  <c r="AX2078" i="5" s="1"/>
  <c r="AL2073" i="5"/>
  <c r="AY2073" i="5"/>
  <c r="AI2073" i="5"/>
  <c r="AZ2073" i="5"/>
  <c r="AY2069" i="5"/>
  <c r="AL2069" i="5"/>
  <c r="AZ2069" i="5"/>
  <c r="AK2069" i="5"/>
  <c r="AT2065" i="5"/>
  <c r="AS2065" i="5"/>
  <c r="AY2049" i="5"/>
  <c r="AW2049" i="5"/>
  <c r="AX2049" i="5" s="1"/>
  <c r="AU2049" i="5"/>
  <c r="AV2049" i="5" s="1"/>
  <c r="AJ2049" i="5"/>
  <c r="AL2049" i="5"/>
  <c r="AR2049" i="5"/>
  <c r="AS2045" i="5"/>
  <c r="AT2045" i="5"/>
  <c r="AS2041" i="5"/>
  <c r="AT2041" i="5"/>
  <c r="AK2033" i="5"/>
  <c r="AZ2033" i="5"/>
  <c r="AY2033" i="5"/>
  <c r="AL2033" i="5"/>
  <c r="AJ2033" i="5"/>
  <c r="AW2022" i="5"/>
  <c r="AX2022" i="5" s="1"/>
  <c r="AI2023" i="5"/>
  <c r="AR2022" i="5"/>
  <c r="AY2022" i="5"/>
  <c r="AZ2022" i="5"/>
  <c r="AU2022" i="5"/>
  <c r="AV2022" i="5" s="1"/>
  <c r="AJ2022" i="5"/>
  <c r="AI2017" i="5"/>
  <c r="AY2017" i="5"/>
  <c r="AZ2017" i="5"/>
  <c r="AK2017" i="5"/>
  <c r="AK2013" i="5"/>
  <c r="AL2013" i="5"/>
  <c r="AY2013" i="5"/>
  <c r="AZ2013" i="5"/>
  <c r="M484" i="5"/>
  <c r="F484" i="5" s="1"/>
  <c r="M533" i="5"/>
  <c r="F533" i="5" s="1"/>
  <c r="M526" i="5"/>
  <c r="F526" i="5" s="1"/>
  <c r="M323" i="5"/>
  <c r="F323" i="5" s="1"/>
  <c r="M309" i="5"/>
  <c r="F309" i="5" s="1"/>
  <c r="M631" i="5"/>
  <c r="F631" i="5" s="1"/>
  <c r="M596" i="5"/>
  <c r="F596" i="5" s="1"/>
  <c r="M617" i="5"/>
  <c r="F617" i="5" s="1"/>
  <c r="M463" i="5"/>
  <c r="F463" i="5" s="1"/>
  <c r="M1281" i="5"/>
  <c r="F1281" i="5" s="1"/>
  <c r="M1204" i="5"/>
  <c r="F1204" i="5" s="1"/>
  <c r="AZ2340" i="5"/>
  <c r="AK2340" i="5"/>
  <c r="M2988" i="5"/>
  <c r="F2988" i="5" s="1"/>
  <c r="L2988" i="5" s="1"/>
  <c r="M2940" i="5"/>
  <c r="F2940" i="5" s="1"/>
  <c r="L2940" i="5" s="1"/>
  <c r="M2891" i="5"/>
  <c r="F2891" i="5" s="1"/>
  <c r="L2891" i="5" s="1"/>
  <c r="AU2259" i="5"/>
  <c r="AV2259" i="5" s="1"/>
  <c r="AK2207" i="5"/>
  <c r="AL2109" i="5"/>
  <c r="AY2147" i="5"/>
  <c r="AT2219" i="5"/>
  <c r="AK2259" i="5"/>
  <c r="AJ1915" i="5"/>
  <c r="AI1912" i="5"/>
  <c r="AR1838" i="5"/>
  <c r="AJ1894" i="5"/>
  <c r="AZ1993" i="5"/>
  <c r="AW1993" i="5"/>
  <c r="AX1993" i="5" s="1"/>
  <c r="AY1911" i="5"/>
  <c r="AJ1935" i="5"/>
  <c r="AT1713" i="5"/>
  <c r="AR1753" i="5"/>
  <c r="AY1665" i="5"/>
  <c r="AY1468" i="5"/>
  <c r="AJ1492" i="5"/>
  <c r="AZ1496" i="5"/>
  <c r="AW1505" i="5"/>
  <c r="AX1505" i="5" s="1"/>
  <c r="AL1605" i="5"/>
  <c r="AY1481" i="5"/>
  <c r="AJ1472" i="5"/>
  <c r="AW1614" i="5"/>
  <c r="AX1614" i="5" s="1"/>
  <c r="AS1988" i="5"/>
  <c r="AR1421" i="5"/>
  <c r="AK1333" i="5"/>
  <c r="AR1726" i="5"/>
  <c r="AS1726" i="5" s="1"/>
  <c r="AS1408" i="5"/>
  <c r="AZ1721" i="5"/>
  <c r="AY1726" i="5"/>
  <c r="M3860" i="5"/>
  <c r="L3860" i="5" s="1"/>
  <c r="M4011" i="5"/>
  <c r="F4011" i="5" s="1"/>
  <c r="L4011" i="5" s="1"/>
  <c r="M4008" i="5"/>
  <c r="F4008" i="5" s="1"/>
  <c r="L4008" i="5" s="1"/>
  <c r="M3771" i="5"/>
  <c r="F3771" i="5" s="1"/>
  <c r="L3771" i="5" s="1"/>
  <c r="M3668" i="5"/>
  <c r="L3668" i="5" s="1"/>
  <c r="M2792" i="5"/>
  <c r="L2792" i="5" s="1"/>
  <c r="M2744" i="5"/>
  <c r="L2744" i="5" s="1"/>
  <c r="M2720" i="5"/>
  <c r="L2720" i="5" s="1"/>
  <c r="M2695" i="5"/>
  <c r="L2695" i="5" s="1"/>
  <c r="M2679" i="5"/>
  <c r="L2679" i="5" s="1"/>
  <c r="M2671" i="5"/>
  <c r="L2671" i="5" s="1"/>
  <c r="M2655" i="5"/>
  <c r="L2655" i="5" s="1"/>
  <c r="M2647" i="5"/>
  <c r="L2647" i="5" s="1"/>
  <c r="M2631" i="5"/>
  <c r="L2631" i="5" s="1"/>
  <c r="M2623" i="5"/>
  <c r="L2623" i="5" s="1"/>
  <c r="M2826" i="5"/>
  <c r="L2826" i="5" s="1"/>
  <c r="M3051" i="5"/>
  <c r="F3051" i="5" s="1"/>
  <c r="L3051" i="5" s="1"/>
  <c r="M3043" i="5"/>
  <c r="F3043" i="5" s="1"/>
  <c r="L3043" i="5" s="1"/>
  <c r="M3027" i="5"/>
  <c r="F3027" i="5" s="1"/>
  <c r="L3027" i="5" s="1"/>
  <c r="M2995" i="5"/>
  <c r="F2995" i="5" s="1"/>
  <c r="L2995" i="5" s="1"/>
  <c r="M2987" i="5"/>
  <c r="F2987" i="5" s="1"/>
  <c r="L2987" i="5" s="1"/>
  <c r="M2971" i="5"/>
  <c r="F2971" i="5" s="1"/>
  <c r="L2971" i="5" s="1"/>
  <c r="M2963" i="5"/>
  <c r="F2963" i="5" s="1"/>
  <c r="L2963" i="5" s="1"/>
  <c r="M2899" i="5"/>
  <c r="F2899" i="5" s="1"/>
  <c r="L2899" i="5" s="1"/>
  <c r="M2874" i="5"/>
  <c r="F2874" i="5" s="1"/>
  <c r="L2874" i="5" s="1"/>
  <c r="M2850" i="5"/>
  <c r="F2850" i="5" s="1"/>
  <c r="L2850" i="5" s="1"/>
  <c r="M3676" i="5"/>
  <c r="F3676" i="5" s="1"/>
  <c r="L3676" i="5" s="1"/>
  <c r="AM664" i="5"/>
  <c r="AM592" i="5"/>
  <c r="AM578" i="5"/>
  <c r="AM564" i="5"/>
  <c r="AM550" i="5"/>
  <c r="AM536" i="5"/>
  <c r="AM522" i="5"/>
  <c r="AM508" i="5"/>
  <c r="AM494" i="5"/>
  <c r="AM466" i="5"/>
  <c r="AM452" i="5"/>
  <c r="AM424" i="5"/>
  <c r="AM410" i="5"/>
  <c r="AM391" i="5"/>
  <c r="AM377" i="5"/>
  <c r="AM349" i="5"/>
  <c r="AM335" i="5"/>
  <c r="AM321" i="5"/>
  <c r="AM307" i="5"/>
  <c r="AM1060" i="5"/>
  <c r="AM1042" i="5"/>
  <c r="AM1028" i="5"/>
  <c r="AM1014" i="5"/>
  <c r="AM972" i="5"/>
  <c r="AM958" i="5"/>
  <c r="AM930" i="5"/>
  <c r="AM916" i="5"/>
  <c r="AM902" i="5"/>
  <c r="AM888" i="5"/>
  <c r="AM874" i="5"/>
  <c r="AM860" i="5"/>
  <c r="AM832" i="5"/>
  <c r="AM818" i="5"/>
  <c r="AM804" i="5"/>
  <c r="AM776" i="5"/>
  <c r="AM1491" i="5"/>
  <c r="AM1478" i="5"/>
  <c r="AM1446" i="5"/>
  <c r="AM1433" i="5"/>
  <c r="AM1418" i="5"/>
  <c r="AM1405" i="5"/>
  <c r="AM1390" i="5"/>
  <c r="AM1342" i="5"/>
  <c r="AM1328" i="5"/>
  <c r="AM1286" i="5"/>
  <c r="AM1272" i="5"/>
  <c r="AM1244" i="5"/>
  <c r="AM1230" i="5"/>
  <c r="AM1216" i="5"/>
  <c r="AM1202" i="5"/>
  <c r="AM1188" i="5"/>
  <c r="AM1174" i="5"/>
  <c r="AM1160" i="5"/>
  <c r="AM1146" i="5"/>
  <c r="AM1898" i="5"/>
  <c r="AM1884" i="5"/>
  <c r="AM1870" i="5"/>
  <c r="AM1856" i="5"/>
  <c r="AM1841" i="5"/>
  <c r="AM1828" i="5"/>
  <c r="AM1813" i="5"/>
  <c r="AM1799" i="5"/>
  <c r="AM1785" i="5"/>
  <c r="AM1771" i="5"/>
  <c r="AM1758" i="5"/>
  <c r="AM1716" i="5"/>
  <c r="AL1915" i="5"/>
  <c r="AR1905" i="5"/>
  <c r="AT1931" i="5"/>
  <c r="AY1997" i="5"/>
  <c r="AR1911" i="5"/>
  <c r="AK1935" i="5"/>
  <c r="AS2005" i="5"/>
  <c r="AR1935" i="5"/>
  <c r="AJ1726" i="5"/>
  <c r="M2678" i="5"/>
  <c r="L2678" i="5" s="1"/>
  <c r="M3050" i="5"/>
  <c r="F3050" i="5" s="1"/>
  <c r="L3050" i="5" s="1"/>
  <c r="AK1911" i="5"/>
  <c r="AJ1997" i="5"/>
  <c r="AR1865" i="5"/>
  <c r="AY1924" i="5"/>
  <c r="AY1935" i="5"/>
  <c r="AU1935" i="5"/>
  <c r="AV1935" i="5" s="1"/>
  <c r="AW1894" i="5"/>
  <c r="AX1894" i="5" s="1"/>
  <c r="AU1726" i="5"/>
  <c r="AV1726" i="5" s="1"/>
  <c r="AT1729" i="5"/>
  <c r="AK1813" i="5"/>
  <c r="AJ1865" i="5"/>
  <c r="AJ1911" i="5"/>
  <c r="AJ1869" i="5"/>
  <c r="AW1809" i="5"/>
  <c r="AX1809" i="5" s="1"/>
  <c r="AZ1894" i="5"/>
  <c r="AI1925" i="5"/>
  <c r="AY1757" i="5"/>
  <c r="AL1935" i="5"/>
  <c r="AT1581" i="5"/>
  <c r="AI1609" i="5"/>
  <c r="AK1625" i="5"/>
  <c r="AI1482" i="5"/>
  <c r="AW1481" i="5"/>
  <c r="AX1481" i="5" s="1"/>
  <c r="AK1614" i="5"/>
  <c r="AY1452" i="5"/>
  <c r="AY1313" i="5"/>
  <c r="AY1358" i="5"/>
  <c r="AK1353" i="5"/>
  <c r="AZ1421" i="5"/>
  <c r="AT1381" i="5"/>
  <c r="AS1927" i="5"/>
  <c r="AY1721" i="5"/>
  <c r="AZ1358" i="5"/>
  <c r="AI1924" i="5"/>
  <c r="AZ1885" i="5"/>
  <c r="AU1911" i="5"/>
  <c r="AV1911" i="5" s="1"/>
  <c r="AK1993" i="5"/>
  <c r="AL1924" i="5"/>
  <c r="AY1782" i="5"/>
  <c r="AU1753" i="5"/>
  <c r="AV1753" i="5" s="1"/>
  <c r="AZ1701" i="5"/>
  <c r="AT1877" i="5"/>
  <c r="AK1757" i="5"/>
  <c r="AT1577" i="5"/>
  <c r="AJ1421" i="5"/>
  <c r="AL1421" i="5"/>
  <c r="AM1016" i="5"/>
  <c r="AM1002" i="5"/>
  <c r="AM974" i="5"/>
  <c r="AI1889" i="5"/>
  <c r="AY1993" i="5"/>
  <c r="AT1901" i="5"/>
  <c r="AW1924" i="5"/>
  <c r="AX1924" i="5" s="1"/>
  <c r="AL1782" i="5"/>
  <c r="AJ1753" i="5"/>
  <c r="AK1721" i="5"/>
  <c r="AK1782" i="5"/>
  <c r="AI1721" i="5"/>
  <c r="AI1727" i="5"/>
  <c r="AM959" i="5"/>
  <c r="AM1702" i="5"/>
  <c r="AM1660" i="5"/>
  <c r="AM1646" i="5"/>
  <c r="AM1632" i="5"/>
  <c r="AM1618" i="5"/>
  <c r="AM1603" i="5"/>
  <c r="AM1590" i="5"/>
  <c r="AM2320" i="5"/>
  <c r="AM2293" i="5"/>
  <c r="AM2251" i="5"/>
  <c r="AM2223" i="5"/>
  <c r="AM2195" i="5"/>
  <c r="AM2151" i="5"/>
  <c r="AM2137" i="5"/>
  <c r="AM2110" i="5"/>
  <c r="AM2095" i="5"/>
  <c r="AM2081" i="5"/>
  <c r="AM2068" i="5"/>
  <c r="AM2053" i="5"/>
  <c r="AM2025" i="5"/>
  <c r="AM2011" i="5"/>
  <c r="M2933" i="5"/>
  <c r="F2933" i="5" s="1"/>
  <c r="L2933" i="5" s="1"/>
  <c r="M3075" i="5"/>
  <c r="F3075" i="5" s="1"/>
  <c r="L3075" i="5" s="1"/>
  <c r="M3083" i="5"/>
  <c r="F3083" i="5" s="1"/>
  <c r="L3083" i="5" s="1"/>
  <c r="AN3791" i="5"/>
  <c r="AQ3791" i="5" s="1"/>
  <c r="AN3784" i="5"/>
  <c r="AO3784" i="5" s="1"/>
  <c r="AP3784" i="5" s="1"/>
  <c r="AR3784" i="5" s="1"/>
  <c r="AN3690" i="5"/>
  <c r="A3690" i="5" s="1"/>
  <c r="AN3688" i="5"/>
  <c r="AQ3688" i="5" s="1"/>
  <c r="AN3685" i="5"/>
  <c r="AN3457" i="5"/>
  <c r="AN3450" i="5"/>
  <c r="AU3175" i="5"/>
  <c r="A3175" i="5" s="1"/>
  <c r="D3174" i="5"/>
  <c r="AU3173" i="5"/>
  <c r="AV3173" i="5" s="1"/>
  <c r="AW3173" i="5" s="1"/>
  <c r="AY3173" i="5" s="1"/>
  <c r="AX3170" i="5"/>
  <c r="AU3165" i="5"/>
  <c r="AV3165" i="5" s="1"/>
  <c r="AW3165" i="5" s="1"/>
  <c r="AY3165" i="5" s="1"/>
  <c r="AX3162" i="5"/>
  <c r="D3161" i="5"/>
  <c r="AU3159" i="5"/>
  <c r="A3159" i="5" s="1"/>
  <c r="AU3158" i="5"/>
  <c r="AU3155" i="5"/>
  <c r="AX3151" i="5"/>
  <c r="AU3150" i="5"/>
  <c r="AV3150" i="5" s="1"/>
  <c r="AW3150" i="5" s="1"/>
  <c r="AY3150" i="5" s="1"/>
  <c r="D3148" i="5"/>
  <c r="AX3147" i="5"/>
  <c r="D3146" i="5"/>
  <c r="AU3141" i="5"/>
  <c r="A3141" i="5" s="1"/>
  <c r="AU3135" i="5"/>
  <c r="D3134" i="5"/>
  <c r="D3131" i="5"/>
  <c r="D3127" i="5"/>
  <c r="D3126" i="5"/>
  <c r="AU3124" i="5"/>
  <c r="A3124" i="5" s="1"/>
  <c r="D3121" i="5"/>
  <c r="AU3120" i="5"/>
  <c r="A3120" i="5" s="1"/>
  <c r="AU3119" i="5"/>
  <c r="D3118" i="5"/>
  <c r="D3115" i="5"/>
  <c r="AX3113" i="5"/>
  <c r="AU3112" i="5"/>
  <c r="AV3112" i="5" s="1"/>
  <c r="AW3112" i="5" s="1"/>
  <c r="AY3112" i="5" s="1"/>
  <c r="AU3109" i="5"/>
  <c r="A3109" i="5" s="1"/>
  <c r="AU3108" i="5"/>
  <c r="A3108" i="5" s="1"/>
  <c r="AX3106" i="5"/>
  <c r="AU3103" i="5"/>
  <c r="AZ3103" i="5" s="1"/>
  <c r="AQ2365" i="5"/>
  <c r="AQ2359" i="5"/>
  <c r="AQ2355" i="5"/>
  <c r="AQ2354" i="5"/>
  <c r="AQ2346" i="5"/>
  <c r="AQ2341" i="5"/>
  <c r="AQ2336" i="5"/>
  <c r="AQ2331" i="5"/>
  <c r="AQ2327" i="5"/>
  <c r="AQ2322" i="5"/>
  <c r="AQ2316" i="5"/>
  <c r="AQ2312" i="5"/>
  <c r="AQ2311" i="5"/>
  <c r="AQ2310" i="5"/>
  <c r="AQ2308" i="5"/>
  <c r="AQ2307" i="5"/>
  <c r="AQ2306" i="5"/>
  <c r="AQ2287" i="5"/>
  <c r="AQ2286" i="5"/>
  <c r="AQ2281" i="5"/>
  <c r="AQ2272" i="5"/>
  <c r="AQ2260" i="5"/>
  <c r="AQ2251" i="5"/>
  <c r="AQ2235" i="5"/>
  <c r="AQ2234" i="5"/>
  <c r="AQ2233" i="5"/>
  <c r="AQ2230" i="5"/>
  <c r="AQ2229" i="5"/>
  <c r="AQ2224" i="5"/>
  <c r="AQ2214" i="5"/>
  <c r="AQ2210" i="5"/>
  <c r="AQ2209" i="5"/>
  <c r="AQ2204" i="5"/>
  <c r="AQ2198" i="5"/>
  <c r="AQ2195" i="5"/>
  <c r="AQ2194" i="5"/>
  <c r="AQ2189" i="5"/>
  <c r="AQ2177" i="5"/>
  <c r="AQ2176" i="5"/>
  <c r="AQ2171" i="5"/>
  <c r="AQ2167" i="5"/>
  <c r="AQ2157" i="5"/>
  <c r="AQ2156" i="5"/>
  <c r="AQ2153" i="5"/>
  <c r="AQ2152" i="5"/>
  <c r="AQ2151" i="5"/>
  <c r="AQ2147" i="5"/>
  <c r="AQ2141" i="5"/>
  <c r="AQ2135" i="5"/>
  <c r="AQ2121" i="5"/>
  <c r="AQ2117" i="5"/>
  <c r="AQ2116" i="5"/>
  <c r="AQ2115" i="5"/>
  <c r="AQ2112" i="5"/>
  <c r="AQ2111" i="5"/>
  <c r="AQ2106" i="5"/>
  <c r="AQ2101" i="5"/>
  <c r="AQ2095" i="5"/>
  <c r="AQ2082" i="5"/>
  <c r="AQ2076" i="5"/>
  <c r="AQ2060" i="5"/>
  <c r="AQ2056" i="5"/>
  <c r="AQ2050" i="5"/>
  <c r="AQ2045" i="5"/>
  <c r="AQ2041" i="5"/>
  <c r="AQ2040" i="5"/>
  <c r="AQ2029" i="5"/>
  <c r="AQ2024" i="5"/>
  <c r="AQ2021" i="5"/>
  <c r="AQ2020" i="5"/>
  <c r="AQ2019" i="5"/>
  <c r="AQ2009" i="5"/>
  <c r="AQ2008" i="5"/>
  <c r="AQ2005" i="5"/>
  <c r="AQ2004" i="5"/>
  <c r="AQ1936" i="5"/>
  <c r="AQ1931" i="5"/>
  <c r="AQ1925" i="5"/>
  <c r="AQ1923" i="5"/>
  <c r="AQ1922" i="5"/>
  <c r="AQ1893" i="5"/>
  <c r="AQ1891" i="5"/>
  <c r="AQ1881" i="5"/>
  <c r="AQ1877" i="5"/>
  <c r="AQ1876" i="5"/>
  <c r="AQ1872" i="5"/>
  <c r="AQ1871" i="5"/>
  <c r="AQ1866" i="5"/>
  <c r="AQ1861" i="5"/>
  <c r="AQ1860" i="5"/>
  <c r="AQ1851" i="5"/>
  <c r="AQ1841" i="5"/>
  <c r="AQ1840" i="5"/>
  <c r="AQ1839" i="5"/>
  <c r="AQ1835" i="5"/>
  <c r="AQ1825" i="5"/>
  <c r="AQ1816" i="5"/>
  <c r="AQ1784" i="5"/>
  <c r="AQ1781" i="5"/>
  <c r="AQ1780" i="5"/>
  <c r="AQ1769" i="5"/>
  <c r="AQ1749" i="5"/>
  <c r="AQ1748" i="5"/>
  <c r="AM2067" i="5"/>
  <c r="AM1786" i="5"/>
  <c r="AM1631" i="5"/>
  <c r="G4917" i="5"/>
  <c r="H4917" i="5" s="1"/>
  <c r="G4989" i="5"/>
  <c r="H4989" i="5" s="1"/>
  <c r="AM1897" i="5"/>
  <c r="AM2109" i="5"/>
  <c r="A4990" i="5"/>
  <c r="G4990" i="5" s="1"/>
  <c r="H4990" i="5" s="1"/>
  <c r="AX3108" i="5"/>
  <c r="AU3131" i="5"/>
  <c r="AV3131" i="5" s="1"/>
  <c r="AW3131" i="5" s="1"/>
  <c r="AY3131" i="5" s="1"/>
  <c r="AX3158" i="5"/>
  <c r="AX3141" i="5"/>
  <c r="AM2012" i="5"/>
  <c r="AM2082" i="5"/>
  <c r="N3199" i="5"/>
  <c r="M3120" i="5"/>
  <c r="F3120" i="5" s="1"/>
  <c r="L3120" i="5" s="1"/>
  <c r="N3121" i="5"/>
  <c r="M4355" i="5"/>
  <c r="F4355" i="5" s="1"/>
  <c r="M4352" i="5"/>
  <c r="F4349" i="5"/>
  <c r="M4353" i="5"/>
  <c r="F4353" i="5" s="1"/>
  <c r="AM748" i="5"/>
  <c r="AM1129" i="5"/>
  <c r="AM1130" i="5"/>
  <c r="AM1461" i="5"/>
  <c r="AM1460" i="5"/>
  <c r="AM1915" i="5"/>
  <c r="AM1744" i="5"/>
  <c r="AM1743" i="5"/>
  <c r="AM1687" i="5"/>
  <c r="AM1688" i="5"/>
  <c r="AM1561" i="5"/>
  <c r="AM1562" i="5"/>
  <c r="AM2339" i="5"/>
  <c r="AM2338" i="5"/>
  <c r="AM2306" i="5"/>
  <c r="AM2307" i="5"/>
  <c r="AM2123" i="5"/>
  <c r="AM2124" i="5"/>
  <c r="AM2039" i="5"/>
  <c r="AM2040" i="5"/>
  <c r="AM1997" i="5"/>
  <c r="AM1998" i="5"/>
  <c r="M2834" i="5"/>
  <c r="L2834" i="5" s="1"/>
  <c r="M2816" i="5"/>
  <c r="L2816" i="5" s="1"/>
  <c r="M2822" i="5"/>
  <c r="L2822" i="5" s="1"/>
  <c r="M2823" i="5"/>
  <c r="L2823" i="5" s="1"/>
  <c r="M2998" i="5"/>
  <c r="F2998" i="5" s="1"/>
  <c r="L2998" i="5" s="1"/>
  <c r="M2901" i="5"/>
  <c r="F2901" i="5" s="1"/>
  <c r="L2901" i="5" s="1"/>
  <c r="M2917" i="5"/>
  <c r="F2917" i="5" s="1"/>
  <c r="L2917" i="5" s="1"/>
  <c r="M2942" i="5"/>
  <c r="F2942" i="5" s="1"/>
  <c r="L2942" i="5" s="1"/>
  <c r="M2878" i="5"/>
  <c r="F2878" i="5" s="1"/>
  <c r="L2878" i="5" s="1"/>
  <c r="M2994" i="5"/>
  <c r="F2994" i="5" s="1"/>
  <c r="L2994" i="5" s="1"/>
  <c r="M2902" i="5"/>
  <c r="F2902" i="5" s="1"/>
  <c r="L2902" i="5" s="1"/>
  <c r="M2969" i="5"/>
  <c r="F2969" i="5" s="1"/>
  <c r="L2969" i="5" s="1"/>
  <c r="M2921" i="5"/>
  <c r="F2921" i="5" s="1"/>
  <c r="L2921" i="5" s="1"/>
  <c r="M2877" i="5"/>
  <c r="F2877" i="5" s="1"/>
  <c r="L2877" i="5" s="1"/>
  <c r="M2897" i="5"/>
  <c r="F2897" i="5" s="1"/>
  <c r="L2897" i="5" s="1"/>
  <c r="M2898" i="5"/>
  <c r="F2898" i="5" s="1"/>
  <c r="L2898" i="5" s="1"/>
  <c r="M2870" i="5"/>
  <c r="F2870" i="5" s="1"/>
  <c r="L2870" i="5" s="1"/>
  <c r="M2873" i="5"/>
  <c r="F2873" i="5" s="1"/>
  <c r="L2873" i="5" s="1"/>
  <c r="M3017" i="5"/>
  <c r="F3017" i="5" s="1"/>
  <c r="L3017" i="5" s="1"/>
  <c r="M2946" i="5"/>
  <c r="F2946" i="5" s="1"/>
  <c r="L2946" i="5" s="1"/>
  <c r="M2894" i="5"/>
  <c r="F2894" i="5" s="1"/>
  <c r="L2894" i="5" s="1"/>
  <c r="M3056" i="5"/>
  <c r="F3056" i="5" s="1"/>
  <c r="L3056" i="5" s="1"/>
  <c r="M3012" i="5"/>
  <c r="F3012" i="5" s="1"/>
  <c r="L3012" i="5" s="1"/>
  <c r="M3057" i="5"/>
  <c r="F3057" i="5" s="1"/>
  <c r="L3057" i="5" s="1"/>
  <c r="M3054" i="5"/>
  <c r="F3054" i="5" s="1"/>
  <c r="L3054" i="5" s="1"/>
  <c r="M2920" i="5"/>
  <c r="F2920" i="5" s="1"/>
  <c r="L2920" i="5" s="1"/>
  <c r="M3016" i="5"/>
  <c r="F3016" i="5" s="1"/>
  <c r="L3016" i="5" s="1"/>
  <c r="M2932" i="5"/>
  <c r="F2932" i="5" s="1"/>
  <c r="L2932" i="5" s="1"/>
  <c r="M3058" i="5"/>
  <c r="F3058" i="5" s="1"/>
  <c r="L3058" i="5" s="1"/>
  <c r="M3686" i="5"/>
  <c r="F3686" i="5" s="1"/>
  <c r="L3686" i="5" s="1"/>
  <c r="N3687" i="5"/>
  <c r="M3687" i="5" s="1"/>
  <c r="F3687" i="5" s="1"/>
  <c r="L3687" i="5" s="1"/>
  <c r="M625" i="5"/>
  <c r="F625" i="5" s="1"/>
  <c r="AM626" i="5" s="1"/>
  <c r="M656" i="5"/>
  <c r="F656" i="5" s="1"/>
  <c r="AM657" i="5" s="1"/>
  <c r="M534" i="5"/>
  <c r="F534" i="5" s="1"/>
  <c r="M506" i="5"/>
  <c r="F506" i="5" s="1"/>
  <c r="AM507" i="5" s="1"/>
  <c r="M604" i="5"/>
  <c r="F604" i="5" s="1"/>
  <c r="AM605" i="5" s="1"/>
  <c r="M464" i="5"/>
  <c r="F464" i="5" s="1"/>
  <c r="AM465" i="5" s="1"/>
  <c r="M338" i="5"/>
  <c r="F338" i="5" s="1"/>
  <c r="AM339" i="5" s="1"/>
  <c r="M331" i="5"/>
  <c r="F331" i="5" s="1"/>
  <c r="AM332" i="5" s="1"/>
  <c r="M576" i="5"/>
  <c r="F576" i="5" s="1"/>
  <c r="AM577" i="5" s="1"/>
  <c r="M662" i="5"/>
  <c r="F662" i="5" s="1"/>
  <c r="M394" i="5"/>
  <c r="F394" i="5" s="1"/>
  <c r="AM395" i="5" s="1"/>
  <c r="M618" i="5"/>
  <c r="F618" i="5" s="1"/>
  <c r="AM619" i="5" s="1"/>
  <c r="M679" i="5"/>
  <c r="F679" i="5" s="1"/>
  <c r="AM694" i="5" s="1"/>
  <c r="M638" i="5"/>
  <c r="F638" i="5" s="1"/>
  <c r="AM639" i="5" s="1"/>
  <c r="M443" i="5"/>
  <c r="F443" i="5" s="1"/>
  <c r="M590" i="5"/>
  <c r="F590" i="5" s="1"/>
  <c r="M668" i="5"/>
  <c r="F668" i="5" s="1"/>
  <c r="M359" i="5"/>
  <c r="F359" i="5" s="1"/>
  <c r="AM360" i="5" s="1"/>
  <c r="M520" i="5"/>
  <c r="F520" i="5" s="1"/>
  <c r="AM521" i="5" s="1"/>
  <c r="M1732" i="5"/>
  <c r="F1732" i="5" s="1"/>
  <c r="M1746" i="5"/>
  <c r="F1746" i="5" s="1"/>
  <c r="AM1746" i="5" s="1"/>
  <c r="M1704" i="5"/>
  <c r="F1704" i="5" s="1"/>
  <c r="AM1704" i="5" s="1"/>
  <c r="M1809" i="5"/>
  <c r="F1809" i="5" s="1"/>
  <c r="M1879" i="5"/>
  <c r="F1879" i="5" s="1"/>
  <c r="AM1879" i="5" s="1"/>
  <c r="M1816" i="5"/>
  <c r="F1816" i="5" s="1"/>
  <c r="AM1816" i="5" s="1"/>
  <c r="M1774" i="5"/>
  <c r="F1774" i="5" s="1"/>
  <c r="AM1774" i="5" s="1"/>
  <c r="M1767" i="5"/>
  <c r="F1767" i="5" s="1"/>
  <c r="AM1767" i="5" s="1"/>
  <c r="M1725" i="5"/>
  <c r="F1725" i="5" s="1"/>
  <c r="AM1725" i="5" s="1"/>
  <c r="M1893" i="5"/>
  <c r="F1893" i="5" s="1"/>
  <c r="M1795" i="5"/>
  <c r="F1795" i="5" s="1"/>
  <c r="AM1795" i="5" s="1"/>
  <c r="M1585" i="5"/>
  <c r="F1585" i="5" s="1"/>
  <c r="AM1585" i="5" s="1"/>
  <c r="M1844" i="5"/>
  <c r="F1844" i="5" s="1"/>
  <c r="AM1844" i="5" s="1"/>
  <c r="M1669" i="5"/>
  <c r="F1669" i="5" s="1"/>
  <c r="M1905" i="5"/>
  <c r="F1905" i="5" s="1"/>
  <c r="AM1905" i="5" s="1"/>
  <c r="M1718" i="5"/>
  <c r="F1718" i="5" s="1"/>
  <c r="AM1718" i="5" s="1"/>
  <c r="M1564" i="5"/>
  <c r="F1564" i="5" s="1"/>
  <c r="AM1564" i="5" s="1"/>
  <c r="M1837" i="5"/>
  <c r="F1837" i="5" s="1"/>
  <c r="AM1837" i="5" s="1"/>
  <c r="M1865" i="5"/>
  <c r="F1865" i="5" s="1"/>
  <c r="AM1865" i="5" s="1"/>
  <c r="M1858" i="5"/>
  <c r="F1858" i="5" s="1"/>
  <c r="AM1858" i="5" s="1"/>
  <c r="AP1559" i="5"/>
  <c r="AQ1559" i="5" s="1"/>
  <c r="M1627" i="5"/>
  <c r="F1627" i="5" s="1"/>
  <c r="AM1627" i="5" s="1"/>
  <c r="AU3172" i="5"/>
  <c r="D3172" i="5"/>
  <c r="AU3171" i="5"/>
  <c r="A3171" i="5" s="1"/>
  <c r="AX3171" i="5"/>
  <c r="D3171" i="5"/>
  <c r="AU3170" i="5"/>
  <c r="D3170" i="5"/>
  <c r="D3169" i="5"/>
  <c r="AU3169" i="5"/>
  <c r="AV3169" i="5" s="1"/>
  <c r="AW3169" i="5" s="1"/>
  <c r="AY3169" i="5" s="1"/>
  <c r="AX3169" i="5"/>
  <c r="D3168" i="5"/>
  <c r="AU3168" i="5"/>
  <c r="AV3168" i="5" s="1"/>
  <c r="AW3168" i="5" s="1"/>
  <c r="AY3168" i="5" s="1"/>
  <c r="AX3167" i="5"/>
  <c r="AU3167" i="5"/>
  <c r="AV3167" i="5" s="1"/>
  <c r="AW3167" i="5" s="1"/>
  <c r="AY3167" i="5" s="1"/>
  <c r="D3167" i="5"/>
  <c r="D3166" i="5"/>
  <c r="AX3166" i="5"/>
  <c r="AU3166" i="5"/>
  <c r="D3164" i="5"/>
  <c r="AX3164" i="5"/>
  <c r="AX3163" i="5"/>
  <c r="AU3163" i="5"/>
  <c r="D3160" i="5"/>
  <c r="AX3157" i="5"/>
  <c r="AU3157" i="5"/>
  <c r="D3157" i="5"/>
  <c r="D3156" i="5"/>
  <c r="AU3156" i="5"/>
  <c r="AV3156" i="5" s="1"/>
  <c r="AW3156" i="5" s="1"/>
  <c r="AY3156" i="5" s="1"/>
  <c r="AX3156" i="5"/>
  <c r="D3154" i="5"/>
  <c r="AX3154" i="5"/>
  <c r="AU3154" i="5"/>
  <c r="A3154" i="5" s="1"/>
  <c r="AX3153" i="5"/>
  <c r="D3153" i="5"/>
  <c r="AX3152" i="5"/>
  <c r="AU3152" i="5"/>
  <c r="AV3152" i="5" s="1"/>
  <c r="AW3152" i="5" s="1"/>
  <c r="AY3152" i="5" s="1"/>
  <c r="AU3149" i="5"/>
  <c r="AV3149" i="5" s="1"/>
  <c r="AW3149" i="5" s="1"/>
  <c r="AY3149" i="5" s="1"/>
  <c r="AX3149" i="5"/>
  <c r="AU3147" i="5"/>
  <c r="D3147" i="5"/>
  <c r="D3145" i="5"/>
  <c r="AX3145" i="5"/>
  <c r="AU3145" i="5"/>
  <c r="AU3144" i="5"/>
  <c r="A3144" i="5" s="1"/>
  <c r="AX3144" i="5"/>
  <c r="D3144" i="5"/>
  <c r="AU3143" i="5"/>
  <c r="D3143" i="5"/>
  <c r="AX3143" i="5"/>
  <c r="AU3142" i="5"/>
  <c r="D3142" i="5"/>
  <c r="D3140" i="5"/>
  <c r="AX3140" i="5"/>
  <c r="AU3140" i="5"/>
  <c r="AV3140" i="5" s="1"/>
  <c r="AW3140" i="5" s="1"/>
  <c r="AY3140" i="5" s="1"/>
  <c r="AU3139" i="5"/>
  <c r="D3139" i="5"/>
  <c r="AX3139" i="5"/>
  <c r="AX3138" i="5"/>
  <c r="AU3138" i="5"/>
  <c r="D3137" i="5"/>
  <c r="AX3137" i="5"/>
  <c r="AX3136" i="5"/>
  <c r="D3136" i="5"/>
  <c r="AX3133" i="5"/>
  <c r="D3133" i="5"/>
  <c r="D3132" i="5"/>
  <c r="AU3132" i="5"/>
  <c r="AX3130" i="5"/>
  <c r="AU3130" i="5"/>
  <c r="D3130" i="5"/>
  <c r="AU3129" i="5"/>
  <c r="AX3129" i="5"/>
  <c r="D3128" i="5"/>
  <c r="AU3128" i="5"/>
  <c r="A3128" i="5" s="1"/>
  <c r="AU3127" i="5"/>
  <c r="AX3127" i="5"/>
  <c r="D3125" i="5"/>
  <c r="AX3125" i="5"/>
  <c r="D3123" i="5"/>
  <c r="AX3123" i="5"/>
  <c r="AX3122" i="5"/>
  <c r="AU3122" i="5"/>
  <c r="A3122" i="5" s="1"/>
  <c r="D3122" i="5"/>
  <c r="AU3121" i="5"/>
  <c r="A3121" i="5" s="1"/>
  <c r="AX3118" i="5"/>
  <c r="AU3117" i="5"/>
  <c r="AV3117" i="5" s="1"/>
  <c r="AW3117" i="5" s="1"/>
  <c r="AY3117" i="5" s="1"/>
  <c r="D3117" i="5"/>
  <c r="D3116" i="5"/>
  <c r="AU3116" i="5"/>
  <c r="AX3116" i="5"/>
  <c r="AX3114" i="5"/>
  <c r="AU3113" i="5"/>
  <c r="D3113" i="5"/>
  <c r="AX3111" i="5"/>
  <c r="AU3111" i="5"/>
  <c r="AV3111" i="5" s="1"/>
  <c r="AW3111" i="5" s="1"/>
  <c r="AY3111" i="5" s="1"/>
  <c r="D3110" i="5"/>
  <c r="AX3110" i="5"/>
  <c r="AU3110" i="5"/>
  <c r="AV3110" i="5" s="1"/>
  <c r="AW3110" i="5" s="1"/>
  <c r="AY3110" i="5" s="1"/>
  <c r="AX3109" i="5"/>
  <c r="D3109" i="5"/>
  <c r="AU3107" i="5"/>
  <c r="A3107" i="5" s="1"/>
  <c r="AX3107" i="5"/>
  <c r="D3107" i="5"/>
  <c r="AU3106" i="5"/>
  <c r="AV3106" i="5" s="1"/>
  <c r="AW3106" i="5" s="1"/>
  <c r="AY3106" i="5" s="1"/>
  <c r="D3106" i="5"/>
  <c r="AU3105" i="5"/>
  <c r="AX3105" i="5"/>
  <c r="AX3104" i="5"/>
  <c r="AU3104" i="5"/>
  <c r="AV3104" i="5" s="1"/>
  <c r="AW3104" i="5" s="1"/>
  <c r="AY3104" i="5" s="1"/>
  <c r="D3104" i="5"/>
  <c r="AW2369" i="5"/>
  <c r="AX2369" i="5" s="1"/>
  <c r="AR2369" i="5"/>
  <c r="AS2369" i="5" s="1"/>
  <c r="AQ2369" i="5"/>
  <c r="AY2369" i="5"/>
  <c r="AL2369" i="5"/>
  <c r="AT2362" i="5"/>
  <c r="AS2362" i="5"/>
  <c r="AJ2351" i="5"/>
  <c r="AI2351" i="5"/>
  <c r="AZ2349" i="5"/>
  <c r="AL2349" i="5"/>
  <c r="AI2350" i="5"/>
  <c r="AQ2349" i="5"/>
  <c r="AJ2345" i="5"/>
  <c r="AI2345" i="5"/>
  <c r="AL2345" i="5"/>
  <c r="AM2345" i="5"/>
  <c r="AQ2345" i="5"/>
  <c r="AI2346" i="5"/>
  <c r="AT2337" i="5"/>
  <c r="AS2337" i="5"/>
  <c r="AT2333" i="5"/>
  <c r="AS2333" i="5"/>
  <c r="AI2325" i="5"/>
  <c r="AJ2325" i="5"/>
  <c r="AL2325" i="5"/>
  <c r="AL2321" i="5"/>
  <c r="AK2321" i="5"/>
  <c r="AZ2321" i="5"/>
  <c r="AQ2321" i="5"/>
  <c r="AT2318" i="5"/>
  <c r="AS2318" i="5"/>
  <c r="AS2317" i="5"/>
  <c r="AT2317" i="5"/>
  <c r="AL2305" i="5"/>
  <c r="AQ2305" i="5"/>
  <c r="AI2306" i="5"/>
  <c r="AI2305" i="5"/>
  <c r="AU2301" i="5"/>
  <c r="AV2301" i="5" s="1"/>
  <c r="AI2302" i="5"/>
  <c r="AR2301" i="5"/>
  <c r="AS2301" i="5" s="1"/>
  <c r="AY2301" i="5"/>
  <c r="AQ2301" i="5"/>
  <c r="AL2301" i="5"/>
  <c r="AT2297" i="5"/>
  <c r="AS2297" i="5"/>
  <c r="AJ2285" i="5"/>
  <c r="AY2285" i="5"/>
  <c r="AI2285" i="5"/>
  <c r="AQ2285" i="5"/>
  <c r="AT2277" i="5"/>
  <c r="AS2277" i="5"/>
  <c r="AJ2274" i="5"/>
  <c r="AZ2274" i="5"/>
  <c r="AW2274" i="5"/>
  <c r="AX2274" i="5" s="1"/>
  <c r="AI2274" i="5"/>
  <c r="AI2275" i="5"/>
  <c r="AL2274" i="5"/>
  <c r="AK2269" i="5"/>
  <c r="AZ2269" i="5"/>
  <c r="AI2269" i="5"/>
  <c r="AI2270" i="5"/>
  <c r="AJ2269" i="5"/>
  <c r="AL2269" i="5"/>
  <c r="AL2265" i="5"/>
  <c r="AI2265" i="5"/>
  <c r="AS2261" i="5"/>
  <c r="AT2261" i="5"/>
  <c r="AS2256" i="5"/>
  <c r="AT2256" i="5"/>
  <c r="AR2253" i="5"/>
  <c r="AI2254" i="5"/>
  <c r="AJ2253" i="5"/>
  <c r="AY2253" i="5"/>
  <c r="AK2253" i="5"/>
  <c r="AI2253" i="5"/>
  <c r="AW2253" i="5"/>
  <c r="AX2253" i="5" s="1"/>
  <c r="AL2253" i="5"/>
  <c r="AZ2253" i="5"/>
  <c r="AI2248" i="5"/>
  <c r="AL2248" i="5"/>
  <c r="AJ2248" i="5"/>
  <c r="AZ2248" i="5"/>
  <c r="AI2249" i="5"/>
  <c r="AY2248" i="5"/>
  <c r="AZ2244" i="5"/>
  <c r="AI2245" i="5"/>
  <c r="AJ2244" i="5"/>
  <c r="AK2244" i="5"/>
  <c r="AY2244" i="5"/>
  <c r="AQ2244" i="5"/>
  <c r="AT2236" i="5"/>
  <c r="AS2236" i="5"/>
  <c r="AL2228" i="5"/>
  <c r="AQ2228" i="5"/>
  <c r="AY2228" i="5"/>
  <c r="AK2228" i="5"/>
  <c r="AM2228" i="5"/>
  <c r="AI2228" i="5"/>
  <c r="AZ2228" i="5"/>
  <c r="AI2229" i="5"/>
  <c r="AU2224" i="5"/>
  <c r="AV2224" i="5" s="1"/>
  <c r="AJ2224" i="5"/>
  <c r="AI2225" i="5"/>
  <c r="AY2224" i="5"/>
  <c r="AZ2224" i="5"/>
  <c r="AI2224" i="5"/>
  <c r="AL2224" i="5"/>
  <c r="AW2224" i="5"/>
  <c r="AX2224" i="5" s="1"/>
  <c r="AS2220" i="5"/>
  <c r="AT2220" i="5"/>
  <c r="AM2208" i="5"/>
  <c r="AL2208" i="5"/>
  <c r="AI2208" i="5"/>
  <c r="AZ2208" i="5"/>
  <c r="AJ2208" i="5"/>
  <c r="AK2208" i="5"/>
  <c r="AQ2208" i="5"/>
  <c r="AY2208" i="5"/>
  <c r="AT2201" i="5"/>
  <c r="AS2201" i="5"/>
  <c r="AS2200" i="5"/>
  <c r="AT2200" i="5"/>
  <c r="AZ2197" i="5"/>
  <c r="AY2197" i="5"/>
  <c r="AJ2197" i="5"/>
  <c r="AI2197" i="5"/>
  <c r="AU2197" i="5"/>
  <c r="AV2197" i="5" s="1"/>
  <c r="AR2197" i="5"/>
  <c r="AQ2197" i="5"/>
  <c r="AK2197" i="5"/>
  <c r="AL2192" i="5"/>
  <c r="AK2192" i="5"/>
  <c r="AJ2192" i="5"/>
  <c r="AI2193" i="5"/>
  <c r="AI2192" i="5"/>
  <c r="AZ2192" i="5"/>
  <c r="AY2192" i="5"/>
  <c r="AI2188" i="5"/>
  <c r="AI2189" i="5"/>
  <c r="AJ2188" i="5"/>
  <c r="AM2188" i="5"/>
  <c r="AJ2186" i="5"/>
  <c r="AL2186" i="5"/>
  <c r="AI2187" i="5"/>
  <c r="AZ2186" i="5"/>
  <c r="AY2186" i="5"/>
  <c r="AQ2186" i="5"/>
  <c r="AL2182" i="5"/>
  <c r="AR2182" i="5"/>
  <c r="AK2182" i="5"/>
  <c r="AU2182" i="5"/>
  <c r="AV2182" i="5" s="1"/>
  <c r="AZ2182" i="5"/>
  <c r="AI2183" i="5"/>
  <c r="AJ2182" i="5"/>
  <c r="AY2182" i="5"/>
  <c r="AS2174" i="5"/>
  <c r="AT2174" i="5"/>
  <c r="AL2166" i="5"/>
  <c r="AK2166" i="5"/>
  <c r="AJ2166" i="5"/>
  <c r="AZ2166" i="5"/>
  <c r="AY2166" i="5"/>
  <c r="AI2167" i="5"/>
  <c r="AQ2166" i="5"/>
  <c r="AT2158" i="5"/>
  <c r="AS2158" i="5"/>
  <c r="AW2155" i="5"/>
  <c r="AX2155" i="5" s="1"/>
  <c r="AY2155" i="5"/>
  <c r="AI2155" i="5"/>
  <c r="AK2155" i="5"/>
  <c r="AZ2155" i="5"/>
  <c r="AJ2155" i="5"/>
  <c r="AR2155" i="5"/>
  <c r="AT2155" i="5" s="1"/>
  <c r="AQ2155" i="5"/>
  <c r="AS2358" i="5"/>
  <c r="AM1827" i="5"/>
  <c r="AM1589" i="5"/>
  <c r="M2853" i="5"/>
  <c r="F2853" i="5" s="1"/>
  <c r="L2853" i="5" s="1"/>
  <c r="M2817" i="5"/>
  <c r="L2817" i="5" s="1"/>
  <c r="AM1814" i="5"/>
  <c r="AX3150" i="5"/>
  <c r="M3055" i="5"/>
  <c r="F3055" i="5" s="1"/>
  <c r="L3055" i="5" s="1"/>
  <c r="AM1000" i="5"/>
  <c r="AX3112" i="5"/>
  <c r="AX3134" i="5"/>
  <c r="AX3126" i="5"/>
  <c r="AX3146" i="5"/>
  <c r="AU3174" i="5"/>
  <c r="A3174" i="5" s="1"/>
  <c r="AU3123" i="5"/>
  <c r="D3152" i="5"/>
  <c r="AU3160" i="5"/>
  <c r="AV3160" i="5" s="1"/>
  <c r="AW3160" i="5" s="1"/>
  <c r="AY3160" i="5" s="1"/>
  <c r="AX3148" i="5"/>
  <c r="M2925" i="5"/>
  <c r="F2925" i="5" s="1"/>
  <c r="L2925" i="5" s="1"/>
  <c r="AK2369" i="5"/>
  <c r="M583" i="5"/>
  <c r="F583" i="5" s="1"/>
  <c r="AM584" i="5" s="1"/>
  <c r="AI2301" i="5"/>
  <c r="AS2216" i="5"/>
  <c r="F4917" i="5"/>
  <c r="M2835" i="5"/>
  <c r="L2835" i="5" s="1"/>
  <c r="D3112" i="5"/>
  <c r="AU3134" i="5"/>
  <c r="AU3126" i="5"/>
  <c r="A3126" i="5" s="1"/>
  <c r="AU3146" i="5"/>
  <c r="A3146" i="5" s="1"/>
  <c r="AX3132" i="5"/>
  <c r="AU3153" i="5"/>
  <c r="AV3153" i="5" s="1"/>
  <c r="AW3153" i="5" s="1"/>
  <c r="AY3153" i="5" s="1"/>
  <c r="AX3160" i="5"/>
  <c r="AQ2269" i="5"/>
  <c r="AU3151" i="5"/>
  <c r="A3151" i="5" s="1"/>
  <c r="AI2326" i="5"/>
  <c r="AI2321" i="5"/>
  <c r="AR2224" i="5"/>
  <c r="W4916" i="5"/>
  <c r="F4926" i="5" s="1"/>
  <c r="R4917" i="5"/>
  <c r="M2982" i="5"/>
  <c r="F2982" i="5" s="1"/>
  <c r="L2982" i="5" s="1"/>
  <c r="M2909" i="5"/>
  <c r="F2909" i="5" s="1"/>
  <c r="L2909" i="5" s="1"/>
  <c r="M499" i="5"/>
  <c r="F499" i="5" s="1"/>
  <c r="AM500" i="5" s="1"/>
  <c r="M2869" i="5"/>
  <c r="F2869" i="5" s="1"/>
  <c r="L2869" i="5" s="1"/>
  <c r="AM1800" i="5"/>
  <c r="M2916" i="5"/>
  <c r="F2916" i="5" s="1"/>
  <c r="L2916" i="5" s="1"/>
  <c r="M2993" i="5"/>
  <c r="F2993" i="5" s="1"/>
  <c r="L2993" i="5" s="1"/>
  <c r="M2945" i="5"/>
  <c r="F2945" i="5" s="1"/>
  <c r="L2945" i="5" s="1"/>
  <c r="D3120" i="5"/>
  <c r="AX3161" i="5"/>
  <c r="D3150" i="5"/>
  <c r="AU3136" i="5"/>
  <c r="D3158" i="5"/>
  <c r="D3163" i="5"/>
  <c r="AX3159" i="5"/>
  <c r="M408" i="5"/>
  <c r="F408" i="5" s="1"/>
  <c r="AM409" i="5" s="1"/>
  <c r="M352" i="5"/>
  <c r="F352" i="5" s="1"/>
  <c r="AM1258" i="5"/>
  <c r="AK2224" i="5"/>
  <c r="M2854" i="5"/>
  <c r="F2854" i="5" s="1"/>
  <c r="L2854" i="5" s="1"/>
  <c r="AM1013" i="5"/>
  <c r="AM363" i="5"/>
  <c r="AM1447" i="5"/>
  <c r="M2910" i="5"/>
  <c r="F2910" i="5" s="1"/>
  <c r="L2910" i="5" s="1"/>
  <c r="AM1701" i="5"/>
  <c r="M1613" i="5"/>
  <c r="F1613" i="5" s="1"/>
  <c r="AU3164" i="5"/>
  <c r="A3164" i="5" s="1"/>
  <c r="M2922" i="5"/>
  <c r="F2922" i="5" s="1"/>
  <c r="L2922" i="5" s="1"/>
  <c r="M2919" i="5"/>
  <c r="F2919" i="5" s="1"/>
  <c r="L2919" i="5" s="1"/>
  <c r="AX3142" i="5"/>
  <c r="AX3120" i="5"/>
  <c r="AU3161" i="5"/>
  <c r="A3161" i="5" s="1"/>
  <c r="D3129" i="5"/>
  <c r="D3162" i="5"/>
  <c r="AX3168" i="5"/>
  <c r="AY2321" i="5"/>
  <c r="M548" i="5"/>
  <c r="F548" i="5" s="1"/>
  <c r="AM549" i="5" s="1"/>
  <c r="W4586" i="5"/>
  <c r="AM1659" i="5"/>
  <c r="AM1043" i="5"/>
  <c r="AM1404" i="5"/>
  <c r="M3030" i="5"/>
  <c r="F3030" i="5" s="1"/>
  <c r="L3030" i="5" s="1"/>
  <c r="M2862" i="5"/>
  <c r="F2862" i="5" s="1"/>
  <c r="L2862" i="5" s="1"/>
  <c r="AM1883" i="5"/>
  <c r="M1923" i="5"/>
  <c r="F1923" i="5" s="1"/>
  <c r="AM1645" i="5"/>
  <c r="M2970" i="5"/>
  <c r="F2970" i="5" s="1"/>
  <c r="L2970" i="5" s="1"/>
  <c r="M3018" i="5"/>
  <c r="F3018" i="5" s="1"/>
  <c r="L3018" i="5" s="1"/>
  <c r="M2849" i="5"/>
  <c r="F2849" i="5" s="1"/>
  <c r="L2849" i="5" s="1"/>
  <c r="AX3165" i="5"/>
  <c r="AX3124" i="5"/>
  <c r="AM2096" i="5"/>
  <c r="AU3114" i="5"/>
  <c r="A3114" i="5" s="1"/>
  <c r="D3138" i="5"/>
  <c r="D3173" i="5"/>
  <c r="D3159" i="5"/>
  <c r="AU3162" i="5"/>
  <c r="M2829" i="5"/>
  <c r="L2829" i="5" s="1"/>
  <c r="AX3115" i="5"/>
  <c r="AX3172" i="5"/>
  <c r="AR2274" i="5"/>
  <c r="AS2274" i="5" s="1"/>
  <c r="AY2345" i="5"/>
  <c r="M3014" i="5"/>
  <c r="F3014" i="5" s="1"/>
  <c r="L3014" i="5" s="1"/>
  <c r="AK2248" i="5"/>
  <c r="M3775" i="5"/>
  <c r="F3775" i="5" s="1"/>
  <c r="L3775" i="5" s="1"/>
  <c r="AM1432" i="5"/>
  <c r="AM665" i="5"/>
  <c r="M2886" i="5"/>
  <c r="F2886" i="5" s="1"/>
  <c r="L2886" i="5" s="1"/>
  <c r="M1935" i="5"/>
  <c r="F1935" i="5" s="1"/>
  <c r="AM1935" i="5" s="1"/>
  <c r="AW2301" i="5"/>
  <c r="AX2301" i="5" s="1"/>
  <c r="AI2370" i="5"/>
  <c r="AM2054" i="5"/>
  <c r="F4370" i="5"/>
  <c r="AM2285" i="5"/>
  <c r="AU3137" i="5"/>
  <c r="D3124" i="5"/>
  <c r="AM2152" i="5"/>
  <c r="M3015" i="5"/>
  <c r="F3015" i="5" s="1"/>
  <c r="L3015" i="5" s="1"/>
  <c r="D3114" i="5"/>
  <c r="AX3173" i="5"/>
  <c r="AU3148" i="5"/>
  <c r="D3165" i="5"/>
  <c r="D3151" i="5"/>
  <c r="AU3115" i="5"/>
  <c r="AV3115" i="5" s="1"/>
  <c r="AW3115" i="5" s="1"/>
  <c r="AY3115" i="5" s="1"/>
  <c r="AX3117" i="5"/>
  <c r="D3105" i="5"/>
  <c r="AU2253" i="5"/>
  <c r="AV2253" i="5" s="1"/>
  <c r="AL2244" i="5"/>
  <c r="AJ2150" i="5"/>
  <c r="AL2150" i="5"/>
  <c r="AI2151" i="5"/>
  <c r="AY2150" i="5"/>
  <c r="AK2146" i="5"/>
  <c r="AY2146" i="5"/>
  <c r="AM2146" i="5"/>
  <c r="AL2146" i="5"/>
  <c r="AS2138" i="5"/>
  <c r="AT2138" i="5"/>
  <c r="AK2130" i="5"/>
  <c r="AJ2130" i="5"/>
  <c r="AY2130" i="5"/>
  <c r="AZ2130" i="5"/>
  <c r="AI2130" i="5"/>
  <c r="AI2127" i="5"/>
  <c r="AI2126" i="5"/>
  <c r="AK2126" i="5"/>
  <c r="AT2122" i="5"/>
  <c r="AS2122" i="5"/>
  <c r="AL2110" i="5"/>
  <c r="AI2111" i="5"/>
  <c r="AJ2099" i="5"/>
  <c r="AL2099" i="5"/>
  <c r="AK2099" i="5"/>
  <c r="AW2099" i="5"/>
  <c r="AX2099" i="5" s="1"/>
  <c r="AR2099" i="5"/>
  <c r="AU2099" i="5"/>
  <c r="AV2099" i="5" s="1"/>
  <c r="AZ2094" i="5"/>
  <c r="AI2094" i="5"/>
  <c r="AK2094" i="5"/>
  <c r="AY2094" i="5"/>
  <c r="AL2094" i="5"/>
  <c r="AJ2090" i="5"/>
  <c r="AK2090" i="5"/>
  <c r="AI2091" i="5"/>
  <c r="AI2075" i="5"/>
  <c r="AZ2074" i="5"/>
  <c r="AL2074" i="5"/>
  <c r="AM2074" i="5"/>
  <c r="AZ2070" i="5"/>
  <c r="AU2070" i="5"/>
  <c r="AV2070" i="5" s="1"/>
  <c r="AK2070" i="5"/>
  <c r="AI2070" i="5"/>
  <c r="AI2054" i="5"/>
  <c r="AJ2054" i="5"/>
  <c r="AL2054" i="5"/>
  <c r="AY2054" i="5"/>
  <c r="AK2054" i="5"/>
  <c r="AW2043" i="5"/>
  <c r="AX2043" i="5" s="1"/>
  <c r="AJ2043" i="5"/>
  <c r="AZ2043" i="5"/>
  <c r="AR2043" i="5"/>
  <c r="AS2043" i="5" s="1"/>
  <c r="AI2044" i="5"/>
  <c r="AI2043" i="5"/>
  <c r="AZ2038" i="5"/>
  <c r="AL2038" i="5"/>
  <c r="AK2034" i="5"/>
  <c r="AY2034" i="5"/>
  <c r="AZ2034" i="5"/>
  <c r="AT2030" i="5"/>
  <c r="AS2030" i="5"/>
  <c r="AT2026" i="5"/>
  <c r="AS2026" i="5"/>
  <c r="AJ2018" i="5"/>
  <c r="AK2018" i="5"/>
  <c r="AI2019" i="5"/>
  <c r="AM2018" i="5"/>
  <c r="AI2014" i="5"/>
  <c r="AZ2014" i="5"/>
  <c r="AY2014" i="5"/>
  <c r="AJ2014" i="5"/>
  <c r="AI2015" i="5"/>
  <c r="AK2014" i="5"/>
  <c r="AQ2014" i="5"/>
  <c r="AK1998" i="5"/>
  <c r="AJ1998" i="5"/>
  <c r="AL1998" i="5"/>
  <c r="AY1998" i="5"/>
  <c r="AS1990" i="5"/>
  <c r="AT1990" i="5"/>
  <c r="AJ1986" i="5"/>
  <c r="AK1986" i="5"/>
  <c r="AQ1986" i="5"/>
  <c r="AM1986" i="5"/>
  <c r="AL1939" i="5"/>
  <c r="AZ1939" i="5"/>
  <c r="AJ1939" i="5"/>
  <c r="AY1939" i="5"/>
  <c r="AS1932" i="5"/>
  <c r="AT1932" i="5"/>
  <c r="AS1928" i="5"/>
  <c r="AT1928" i="5"/>
  <c r="AK1920" i="5"/>
  <c r="AZ1920" i="5"/>
  <c r="AI1921" i="5"/>
  <c r="AY1920" i="5"/>
  <c r="AI1917" i="5"/>
  <c r="AZ1916" i="5"/>
  <c r="AJ1916" i="5"/>
  <c r="AL1916" i="5"/>
  <c r="AQ1916" i="5"/>
  <c r="AS1908" i="5"/>
  <c r="AT1908" i="5"/>
  <c r="AY1890" i="5"/>
  <c r="AM1890" i="5"/>
  <c r="AL1890" i="5"/>
  <c r="AJ1890" i="5"/>
  <c r="AZ1890" i="5"/>
  <c r="AL1886" i="5"/>
  <c r="AJ1886" i="5"/>
  <c r="AZ1886" i="5"/>
  <c r="AI1887" i="5"/>
  <c r="AQ1886" i="5"/>
  <c r="AR1886" i="5"/>
  <c r="AS1886" i="5" s="1"/>
  <c r="AJ1870" i="5"/>
  <c r="AZ1870" i="5"/>
  <c r="AL1870" i="5"/>
  <c r="AI1871" i="5"/>
  <c r="AK1870" i="5"/>
  <c r="AY1870" i="5"/>
  <c r="AT1862" i="5"/>
  <c r="AS1862" i="5"/>
  <c r="AI1860" i="5"/>
  <c r="AK1859" i="5"/>
  <c r="AR1859" i="5"/>
  <c r="AL1859" i="5"/>
  <c r="AZ1859" i="5"/>
  <c r="AJ1854" i="5"/>
  <c r="AI1855" i="5"/>
  <c r="AZ1854" i="5"/>
  <c r="AJ1850" i="5"/>
  <c r="AK1850" i="5"/>
  <c r="AI1850" i="5"/>
  <c r="AZ1850" i="5"/>
  <c r="AY1850" i="5"/>
  <c r="AI1851" i="5"/>
  <c r="AL1850" i="5"/>
  <c r="AS1842" i="5"/>
  <c r="AT1842" i="5"/>
  <c r="AK1834" i="5"/>
  <c r="AI1835" i="5"/>
  <c r="AY1834" i="5"/>
  <c r="AI1834" i="5"/>
  <c r="AL1830" i="5"/>
  <c r="AR1830" i="5"/>
  <c r="AT1830" i="5" s="1"/>
  <c r="AK1830" i="5"/>
  <c r="AW1830" i="5"/>
  <c r="AX1830" i="5" s="1"/>
  <c r="AJ1830" i="5"/>
  <c r="AI1830" i="5"/>
  <c r="AS1826" i="5"/>
  <c r="AT1826" i="5"/>
  <c r="AS1822" i="5"/>
  <c r="AT1822" i="5"/>
  <c r="AZ1778" i="5"/>
  <c r="AI1779" i="5"/>
  <c r="AM1778" i="5"/>
  <c r="AJ1778" i="5"/>
  <c r="AK1778" i="5"/>
  <c r="AQ1778" i="5"/>
  <c r="AI1774" i="5"/>
  <c r="AR1774" i="5"/>
  <c r="AS1774" i="5" s="1"/>
  <c r="AY1774" i="5"/>
  <c r="AU1774" i="5"/>
  <c r="AV1774" i="5" s="1"/>
  <c r="AQ1774" i="5"/>
  <c r="AK1774" i="5"/>
  <c r="AS1766" i="5"/>
  <c r="AT1766" i="5"/>
  <c r="AY1758" i="5"/>
  <c r="AI1759" i="5"/>
  <c r="AJ1758" i="5"/>
  <c r="AL1758" i="5"/>
  <c r="AI1758" i="5"/>
  <c r="AQ1758" i="5"/>
  <c r="AS1751" i="5"/>
  <c r="AT1751" i="5"/>
  <c r="AT1750" i="5"/>
  <c r="AS1750" i="5"/>
  <c r="AW1747" i="5"/>
  <c r="AX1747" i="5" s="1"/>
  <c r="AJ1747" i="5"/>
  <c r="AU1747" i="5"/>
  <c r="AV1747" i="5" s="1"/>
  <c r="AR1747" i="5"/>
  <c r="AK1747" i="5"/>
  <c r="AI1748" i="5"/>
  <c r="AL1747" i="5"/>
  <c r="AY1747" i="5"/>
  <c r="AZ1747" i="5"/>
  <c r="AT2102" i="5"/>
  <c r="AY2090" i="5"/>
  <c r="AY2110" i="5"/>
  <c r="AI2131" i="5"/>
  <c r="AZ2090" i="5"/>
  <c r="AR2126" i="5"/>
  <c r="AS2126" i="5" s="1"/>
  <c r="AS1909" i="5"/>
  <c r="AI1940" i="5"/>
  <c r="AI1998" i="5"/>
  <c r="AL2018" i="5"/>
  <c r="AU2043" i="5"/>
  <c r="AV2043" i="5" s="1"/>
  <c r="AI2071" i="5"/>
  <c r="AJ2094" i="5"/>
  <c r="AL2126" i="5"/>
  <c r="AZ2146" i="5"/>
  <c r="AI2035" i="5"/>
  <c r="AK1916" i="5"/>
  <c r="AK1939" i="5"/>
  <c r="AS2006" i="5"/>
  <c r="AI2018" i="5"/>
  <c r="AY2043" i="5"/>
  <c r="AY2074" i="5"/>
  <c r="AY2099" i="5"/>
  <c r="AZ2126" i="5"/>
  <c r="AI2147" i="5"/>
  <c r="AI2055" i="5"/>
  <c r="AQ2110" i="5"/>
  <c r="AQ2146" i="5"/>
  <c r="AI1939" i="5"/>
  <c r="AR2014" i="5"/>
  <c r="AM2034" i="5"/>
  <c r="AK2043" i="5"/>
  <c r="AJ2074" i="5"/>
  <c r="AI2100" i="5"/>
  <c r="AU2126" i="5"/>
  <c r="AV2126" i="5" s="1"/>
  <c r="AJ2146" i="5"/>
  <c r="AS2046" i="5"/>
  <c r="AJ2034" i="5"/>
  <c r="AL2043" i="5"/>
  <c r="AK2074" i="5"/>
  <c r="AZ2099" i="5"/>
  <c r="AJ2126" i="5"/>
  <c r="AK2150" i="5"/>
  <c r="G206" i="5"/>
  <c r="H206" i="5" s="1"/>
  <c r="T202" i="5"/>
  <c r="F206" i="5" s="1"/>
  <c r="T216" i="5"/>
  <c r="AM634" i="5"/>
  <c r="AM620" i="5"/>
  <c r="AM480" i="5"/>
  <c r="AM438" i="5"/>
  <c r="F4624" i="5"/>
  <c r="M3669" i="5"/>
  <c r="L3669" i="5" s="1"/>
  <c r="AM647" i="5"/>
  <c r="F4373" i="5"/>
  <c r="AM887" i="5"/>
  <c r="M2955" i="5"/>
  <c r="F2955" i="5" s="1"/>
  <c r="L2955" i="5" s="1"/>
  <c r="A5028" i="5"/>
  <c r="C5028" i="5" s="1"/>
  <c r="C5027" i="5"/>
  <c r="A3697" i="5"/>
  <c r="AQ3697" i="5"/>
  <c r="A4678" i="5"/>
  <c r="C4678" i="5" s="1"/>
  <c r="C4677" i="5"/>
  <c r="S217" i="5"/>
  <c r="F220" i="5" s="1"/>
  <c r="G220" i="5"/>
  <c r="H220" i="5" s="1"/>
  <c r="AT745" i="5"/>
  <c r="AS745" i="5"/>
  <c r="AM1729" i="5"/>
  <c r="M450" i="5"/>
  <c r="F450" i="5" s="1"/>
  <c r="A4804" i="5"/>
  <c r="C4804" i="5" s="1"/>
  <c r="M387" i="5"/>
  <c r="F387" i="5" s="1"/>
  <c r="M513" i="5"/>
  <c r="F513" i="5" s="1"/>
  <c r="AM514" i="5" s="1"/>
  <c r="M555" i="5"/>
  <c r="F555" i="5" s="1"/>
  <c r="M373" i="5"/>
  <c r="F373" i="5" s="1"/>
  <c r="AM374" i="5" s="1"/>
  <c r="M1662" i="5"/>
  <c r="F1662" i="5" s="1"/>
  <c r="AM1662" i="5" s="1"/>
  <c r="M1655" i="5"/>
  <c r="F1655" i="5" s="1"/>
  <c r="AM1655" i="5" s="1"/>
  <c r="M1940" i="5"/>
  <c r="F1940" i="5" s="1"/>
  <c r="AM1940" i="5" s="1"/>
  <c r="M1634" i="5"/>
  <c r="F1634" i="5" s="1"/>
  <c r="M1929" i="5"/>
  <c r="F1929" i="5" s="1"/>
  <c r="AM1929" i="5" s="1"/>
  <c r="N3695" i="5"/>
  <c r="N3704" i="5" s="1"/>
  <c r="M3704" i="5" s="1"/>
  <c r="F3704" i="5" s="1"/>
  <c r="L3704" i="5" s="1"/>
  <c r="AM1738" i="5"/>
  <c r="M401" i="5"/>
  <c r="F401" i="5" s="1"/>
  <c r="AM402" i="5" s="1"/>
  <c r="M380" i="5"/>
  <c r="F380" i="5" s="1"/>
  <c r="M317" i="5"/>
  <c r="F317" i="5" s="1"/>
  <c r="M303" i="5"/>
  <c r="F303" i="5" s="1"/>
  <c r="M541" i="5"/>
  <c r="F541" i="5" s="1"/>
  <c r="AM542" i="5" s="1"/>
  <c r="M1599" i="5"/>
  <c r="F1599" i="5" s="1"/>
  <c r="M1886" i="5"/>
  <c r="F1886" i="5" s="1"/>
  <c r="AM1886" i="5" s="1"/>
  <c r="M1606" i="5"/>
  <c r="F1606" i="5" s="1"/>
  <c r="M1676" i="5"/>
  <c r="F1676" i="5" s="1"/>
  <c r="AM1676" i="5" s="1"/>
  <c r="M1911" i="5"/>
  <c r="F1911" i="5" s="1"/>
  <c r="AM1911" i="5" s="1"/>
  <c r="M1760" i="5"/>
  <c r="F1760" i="5" s="1"/>
  <c r="N3456" i="5"/>
  <c r="N3457" i="5" s="1"/>
  <c r="M3457" i="5" s="1"/>
  <c r="F3457" i="5" s="1"/>
  <c r="L3457" i="5" s="1"/>
  <c r="M2846" i="5"/>
  <c r="F2846" i="5" s="1"/>
  <c r="L2846" i="5" s="1"/>
  <c r="F4525" i="5"/>
  <c r="AI2352" i="5"/>
  <c r="M2828" i="5"/>
  <c r="L2828" i="5" s="1"/>
  <c r="C4750" i="5"/>
  <c r="AT2142" i="5"/>
  <c r="AT2313" i="5"/>
  <c r="AK2274" i="5"/>
  <c r="M310" i="5"/>
  <c r="F310" i="5" s="1"/>
  <c r="AM311" i="5" s="1"/>
  <c r="M650" i="5"/>
  <c r="F650" i="5" s="1"/>
  <c r="AM651" i="5" s="1"/>
  <c r="M632" i="5"/>
  <c r="F632" i="5" s="1"/>
  <c r="M569" i="5"/>
  <c r="F569" i="5" s="1"/>
  <c r="AZ2325" i="5"/>
  <c r="M1753" i="5"/>
  <c r="F1753" i="5" s="1"/>
  <c r="M1917" i="5"/>
  <c r="F1917" i="5" s="1"/>
  <c r="M1711" i="5"/>
  <c r="F1711" i="5" s="1"/>
  <c r="AM1711" i="5" s="1"/>
  <c r="M1872" i="5"/>
  <c r="F1872" i="5" s="1"/>
  <c r="AJ2349" i="5"/>
  <c r="M597" i="5"/>
  <c r="F597" i="5" s="1"/>
  <c r="AM598" i="5" s="1"/>
  <c r="AY2269" i="5"/>
  <c r="AK2351" i="5"/>
  <c r="M562" i="5"/>
  <c r="F562" i="5" s="1"/>
  <c r="AM563" i="5" s="1"/>
  <c r="F4759" i="5"/>
  <c r="M2698" i="5"/>
  <c r="L2698" i="5" s="1"/>
  <c r="AM960" i="5"/>
  <c r="AM951" i="5"/>
  <c r="AM895" i="5"/>
  <c r="M436" i="5"/>
  <c r="F436" i="5" s="1"/>
  <c r="AM437" i="5" s="1"/>
  <c r="AY2274" i="5"/>
  <c r="AZ296" i="5"/>
  <c r="M422" i="5"/>
  <c r="F422" i="5" s="1"/>
  <c r="AM423" i="5" s="1"/>
  <c r="M429" i="5"/>
  <c r="F429" i="5" s="1"/>
  <c r="AM430" i="5" s="1"/>
  <c r="M345" i="5"/>
  <c r="F345" i="5" s="1"/>
  <c r="AK2325" i="5"/>
  <c r="M1690" i="5"/>
  <c r="F1690" i="5" s="1"/>
  <c r="M1823" i="5"/>
  <c r="F1823" i="5" s="1"/>
  <c r="AM1823" i="5" s="1"/>
  <c r="M1788" i="5"/>
  <c r="F1788" i="5" s="1"/>
  <c r="M1578" i="5"/>
  <c r="F1578" i="5" s="1"/>
  <c r="AM1578" i="5" s="1"/>
  <c r="AI2349" i="5"/>
  <c r="M1899" i="5"/>
  <c r="F1899" i="5" s="1"/>
  <c r="AM1899" i="5" s="1"/>
  <c r="AK2345" i="5"/>
  <c r="AZ2351" i="5"/>
  <c r="AM803" i="5"/>
  <c r="AM831" i="5"/>
  <c r="M1648" i="5"/>
  <c r="F1648" i="5" s="1"/>
  <c r="M366" i="5"/>
  <c r="F366" i="5" s="1"/>
  <c r="AM367" i="5" s="1"/>
  <c r="M611" i="5"/>
  <c r="F611" i="5" s="1"/>
  <c r="AM612" i="5" s="1"/>
  <c r="M478" i="5"/>
  <c r="F478" i="5" s="1"/>
  <c r="AM479" i="5" s="1"/>
  <c r="M527" i="5"/>
  <c r="F527" i="5" s="1"/>
  <c r="AM528" i="5" s="1"/>
  <c r="M324" i="5"/>
  <c r="F324" i="5" s="1"/>
  <c r="AM325" i="5" s="1"/>
  <c r="AY2325" i="5"/>
  <c r="M1781" i="5"/>
  <c r="F1781" i="5" s="1"/>
  <c r="AM1781" i="5" s="1"/>
  <c r="M1739" i="5"/>
  <c r="F1739" i="5" s="1"/>
  <c r="M1571" i="5"/>
  <c r="F1571" i="5" s="1"/>
  <c r="AM1571" i="5" s="1"/>
  <c r="M1697" i="5"/>
  <c r="F1697" i="5" s="1"/>
  <c r="AM1697" i="5" s="1"/>
  <c r="M415" i="5"/>
  <c r="F415" i="5" s="1"/>
  <c r="AM416" i="5" s="1"/>
  <c r="AY2349" i="5"/>
  <c r="AZ2345" i="5"/>
  <c r="AL2351" i="5"/>
  <c r="M3053" i="5"/>
  <c r="F3053" i="5" s="1"/>
  <c r="L3053" i="5" s="1"/>
  <c r="F4616" i="5"/>
  <c r="M2931" i="5"/>
  <c r="F2931" i="5" s="1"/>
  <c r="L2931" i="5" s="1"/>
  <c r="M457" i="5"/>
  <c r="F457" i="5" s="1"/>
  <c r="AM458" i="5" s="1"/>
  <c r="M674" i="5"/>
  <c r="F674" i="5" s="1"/>
  <c r="M644" i="5"/>
  <c r="F644" i="5" s="1"/>
  <c r="AM645" i="5" s="1"/>
  <c r="M471" i="5"/>
  <c r="F471" i="5" s="1"/>
  <c r="AM472" i="5" s="1"/>
  <c r="M1592" i="5"/>
  <c r="F1592" i="5" s="1"/>
  <c r="AM1592" i="5" s="1"/>
  <c r="AS2361" i="5"/>
  <c r="M1851" i="5"/>
  <c r="F1851" i="5" s="1"/>
  <c r="M1641" i="5"/>
  <c r="F1641" i="5" s="1"/>
  <c r="AM1641" i="5" s="1"/>
  <c r="M1802" i="5"/>
  <c r="F1802" i="5" s="1"/>
  <c r="AM1802" i="5" s="1"/>
  <c r="M1683" i="5"/>
  <c r="F1683" i="5" s="1"/>
  <c r="AM1683" i="5" s="1"/>
  <c r="M492" i="5"/>
  <c r="F492" i="5" s="1"/>
  <c r="AK2349" i="5"/>
  <c r="AY2351" i="5"/>
  <c r="G4787" i="5"/>
  <c r="H4787" i="5" s="1"/>
  <c r="AT1217" i="5"/>
  <c r="M2911" i="5"/>
  <c r="F2911" i="5" s="1"/>
  <c r="L2911" i="5" s="1"/>
  <c r="W4842" i="5"/>
  <c r="F4852" i="5" s="1"/>
  <c r="AS2141" i="5"/>
  <c r="F4598" i="5"/>
  <c r="M2912" i="5"/>
  <c r="F2912" i="5" s="1"/>
  <c r="L2912" i="5" s="1"/>
  <c r="A4747" i="5"/>
  <c r="C4747" i="5" s="1"/>
  <c r="AS1480" i="5"/>
  <c r="O3910" i="5"/>
  <c r="O3911" i="5" s="1"/>
  <c r="F3910" i="5" s="1"/>
  <c r="F4372" i="5"/>
  <c r="AT2281" i="5"/>
  <c r="AV3190" i="5"/>
  <c r="AW3190" i="5" s="1"/>
  <c r="AY3190" i="5" s="1"/>
  <c r="W4841" i="5"/>
  <c r="F4849" i="5" s="1"/>
  <c r="F4619" i="5"/>
  <c r="F4988" i="5"/>
  <c r="R3349" i="5"/>
  <c r="R3350" i="5" s="1"/>
  <c r="G3361" i="5" s="1"/>
  <c r="H3361" i="5" s="1"/>
  <c r="N3692" i="5"/>
  <c r="M3692" i="5" s="1"/>
  <c r="F3692" i="5" s="1"/>
  <c r="L3692" i="5" s="1"/>
  <c r="AS836" i="5"/>
  <c r="M2888" i="5"/>
  <c r="F2888" i="5" s="1"/>
  <c r="L2888" i="5" s="1"/>
  <c r="C4988" i="5"/>
  <c r="R4843" i="5"/>
  <c r="W4843" i="5" s="1"/>
  <c r="F4855" i="5" s="1"/>
  <c r="M2938" i="5"/>
  <c r="F2938" i="5" s="1"/>
  <c r="L2938" i="5" s="1"/>
  <c r="M2865" i="5"/>
  <c r="F2865" i="5" s="1"/>
  <c r="L2865" i="5" s="1"/>
  <c r="M2889" i="5"/>
  <c r="F2889" i="5" s="1"/>
  <c r="L2889" i="5" s="1"/>
  <c r="G3906" i="5"/>
  <c r="H3906" i="5" s="1"/>
  <c r="A4613" i="5"/>
  <c r="C4613" i="5" s="1"/>
  <c r="M3691" i="5"/>
  <c r="F3691" i="5" s="1"/>
  <c r="L3691" i="5" s="1"/>
  <c r="AS975" i="5"/>
  <c r="G4783" i="5"/>
  <c r="H4783" i="5" s="1"/>
  <c r="M2890" i="5"/>
  <c r="F2890" i="5" s="1"/>
  <c r="L2890" i="5" s="1"/>
  <c r="G4920" i="5"/>
  <c r="AT330" i="5"/>
  <c r="C5029" i="5"/>
  <c r="M2914" i="5"/>
  <c r="F2914" i="5" s="1"/>
  <c r="L2914" i="5" s="1"/>
  <c r="M2866" i="5"/>
  <c r="F2866" i="5" s="1"/>
  <c r="L2866" i="5" s="1"/>
  <c r="F4920" i="5"/>
  <c r="AS1273" i="5"/>
  <c r="AO3464" i="5"/>
  <c r="AP3464" i="5" s="1"/>
  <c r="AR3464" i="5" s="1"/>
  <c r="M2935" i="5"/>
  <c r="F2935" i="5" s="1"/>
  <c r="L2935" i="5" s="1"/>
  <c r="M2936" i="5"/>
  <c r="F2936" i="5" s="1"/>
  <c r="L2936" i="5" s="1"/>
  <c r="M2913" i="5"/>
  <c r="F2913" i="5" s="1"/>
  <c r="L2913" i="5" s="1"/>
  <c r="P4490" i="5"/>
  <c r="P4491" i="5" s="1"/>
  <c r="Q4491" i="5" s="1"/>
  <c r="F4491" i="5" s="1"/>
  <c r="F4742" i="5"/>
  <c r="AM1779" i="5"/>
  <c r="AM1780" i="5"/>
  <c r="AT1593" i="5"/>
  <c r="M3005" i="5"/>
  <c r="F3005" i="5" s="1"/>
  <c r="L3005" i="5" s="1"/>
  <c r="M3028" i="5"/>
  <c r="F3028" i="5" s="1"/>
  <c r="L3028" i="5" s="1"/>
  <c r="AY2322" i="5"/>
  <c r="AM1588" i="5"/>
  <c r="M2956" i="5"/>
  <c r="F2956" i="5" s="1"/>
  <c r="L2956" i="5" s="1"/>
  <c r="M3006" i="5"/>
  <c r="F3006" i="5" s="1"/>
  <c r="L3006" i="5" s="1"/>
  <c r="AM369" i="5"/>
  <c r="C4653" i="5"/>
  <c r="AS815" i="5"/>
  <c r="AS1287" i="5"/>
  <c r="P4438" i="5"/>
  <c r="Q4438" i="5" s="1"/>
  <c r="F4438" i="5" s="1"/>
  <c r="R216" i="5"/>
  <c r="G219" i="5" s="1"/>
  <c r="H219" i="5" s="1"/>
  <c r="M2648" i="5"/>
  <c r="L2648" i="5" s="1"/>
  <c r="G204" i="5"/>
  <c r="H204" i="5" s="1"/>
  <c r="AS954" i="5"/>
  <c r="AA2842" i="5"/>
  <c r="M3009" i="5" s="1"/>
  <c r="F3009" i="5" s="1"/>
  <c r="L3009" i="5" s="1"/>
  <c r="M2981" i="5"/>
  <c r="F2981" i="5" s="1"/>
  <c r="L2981" i="5" s="1"/>
  <c r="AM1294" i="5"/>
  <c r="AU2322" i="5"/>
  <c r="AV2322" i="5" s="1"/>
  <c r="AQ775" i="5"/>
  <c r="AQ774" i="5"/>
  <c r="AQ771" i="5"/>
  <c r="AQ770" i="5"/>
  <c r="AQ765" i="5"/>
  <c r="AQ755" i="5"/>
  <c r="AQ754" i="5"/>
  <c r="AQ753" i="5"/>
  <c r="AQ751" i="5"/>
  <c r="AQ750" i="5"/>
  <c r="AQ749" i="5"/>
  <c r="AI745" i="5"/>
  <c r="AQ739" i="5"/>
  <c r="AQ738" i="5"/>
  <c r="AQ734" i="5"/>
  <c r="AQ729" i="5"/>
  <c r="AQ724" i="5"/>
  <c r="AQ719" i="5"/>
  <c r="AQ718" i="5"/>
  <c r="AQ715" i="5"/>
  <c r="AQ713" i="5"/>
  <c r="AQ709" i="5"/>
  <c r="AQ703" i="5"/>
  <c r="AQ662" i="5"/>
  <c r="AQ658" i="5"/>
  <c r="AQ657" i="5"/>
  <c r="AQ654" i="5"/>
  <c r="AQ653" i="5"/>
  <c r="AQ643" i="5"/>
  <c r="AQ637" i="5"/>
  <c r="AQ634" i="5"/>
  <c r="AQ633" i="5"/>
  <c r="AQ632" i="5"/>
  <c r="AQ630" i="5"/>
  <c r="AQ629" i="5"/>
  <c r="AQ628" i="5"/>
  <c r="AQ623" i="5"/>
  <c r="AQ617" i="5"/>
  <c r="AQ613" i="5"/>
  <c r="AQ612" i="5"/>
  <c r="AQ611" i="5"/>
  <c r="AQ608" i="5"/>
  <c r="AQ607" i="5"/>
  <c r="AQ597" i="5"/>
  <c r="AQ593" i="5"/>
  <c r="AQ592" i="5"/>
  <c r="AQ591" i="5"/>
  <c r="AQ588" i="5"/>
  <c r="AQ582" i="5"/>
  <c r="AQ577" i="5"/>
  <c r="AQ573" i="5"/>
  <c r="AQ572" i="5"/>
  <c r="AQ541" i="5"/>
  <c r="AQ537" i="5"/>
  <c r="AQ535" i="5"/>
  <c r="AQ532" i="5"/>
  <c r="AQ531" i="5"/>
  <c r="AQ520" i="5"/>
  <c r="AQ519" i="5"/>
  <c r="AQ516" i="5"/>
  <c r="AQ515" i="5"/>
  <c r="AQ514" i="5"/>
  <c r="AQ499" i="5"/>
  <c r="AQ463" i="5"/>
  <c r="AQ407" i="5"/>
  <c r="AQ398" i="5"/>
  <c r="AQ387" i="5"/>
  <c r="AQ343" i="5"/>
  <c r="F4607" i="5"/>
  <c r="AX3208" i="5"/>
  <c r="D3262" i="5"/>
  <c r="AX3265" i="5"/>
  <c r="AX3320" i="5"/>
  <c r="AN3478" i="5"/>
  <c r="AN3710" i="5"/>
  <c r="AN3803" i="5"/>
  <c r="AQ1087" i="5"/>
  <c r="G1524" i="5"/>
  <c r="H1524" i="5" s="1"/>
  <c r="AM1524" i="5"/>
  <c r="AM1528" i="5"/>
  <c r="AS581" i="5"/>
  <c r="AT581" i="5"/>
  <c r="A3270" i="5"/>
  <c r="AT871" i="5"/>
  <c r="AS871" i="5"/>
  <c r="C4624" i="5"/>
  <c r="A4625" i="5"/>
  <c r="AS2340" i="5"/>
  <c r="AT2340" i="5"/>
  <c r="M2732" i="5"/>
  <c r="L2732" i="5" s="1"/>
  <c r="M2734" i="5"/>
  <c r="L2734" i="5" s="1"/>
  <c r="M2758" i="5"/>
  <c r="L2758" i="5" s="1"/>
  <c r="M2733" i="5"/>
  <c r="L2733" i="5" s="1"/>
  <c r="M2756" i="5"/>
  <c r="L2756" i="5" s="1"/>
  <c r="M2759" i="5"/>
  <c r="L2759" i="5" s="1"/>
  <c r="M2805" i="5"/>
  <c r="L2805" i="5" s="1"/>
  <c r="Q4131" i="5"/>
  <c r="G4135" i="5" s="1"/>
  <c r="H4135" i="5" s="1"/>
  <c r="AM315" i="5"/>
  <c r="AV3204" i="5"/>
  <c r="AW3204" i="5" s="1"/>
  <c r="AY3204" i="5" s="1"/>
  <c r="M2757" i="5"/>
  <c r="L2757" i="5" s="1"/>
  <c r="A3324" i="5"/>
  <c r="AT1063" i="5"/>
  <c r="AS1063" i="5"/>
  <c r="AM2234" i="5"/>
  <c r="F4405" i="5"/>
  <c r="AS1930" i="5"/>
  <c r="AM1620" i="5"/>
  <c r="U4990" i="5"/>
  <c r="A3205" i="5"/>
  <c r="AS498" i="5"/>
  <c r="F4595" i="5"/>
  <c r="W4583" i="5"/>
  <c r="F4840" i="5"/>
  <c r="G4840" i="5"/>
  <c r="H4840" i="5" s="1"/>
  <c r="AT765" i="5"/>
  <c r="AS765" i="5"/>
  <c r="AI1512" i="5"/>
  <c r="M3864" i="5"/>
  <c r="F3864" i="5" s="1"/>
  <c r="L3864" i="5" s="1"/>
  <c r="M4212" i="5"/>
  <c r="L4212" i="5" s="1"/>
  <c r="M3762" i="5"/>
  <c r="L3762" i="5" s="1"/>
  <c r="M2769" i="5"/>
  <c r="L2769" i="5" s="1"/>
  <c r="M2745" i="5"/>
  <c r="L2745" i="5" s="1"/>
  <c r="M2721" i="5"/>
  <c r="L2721" i="5" s="1"/>
  <c r="M2825" i="5"/>
  <c r="L2825" i="5" s="1"/>
  <c r="M3044" i="5"/>
  <c r="F3044" i="5" s="1"/>
  <c r="L3044" i="5" s="1"/>
  <c r="M3020" i="5"/>
  <c r="F3020" i="5" s="1"/>
  <c r="L3020" i="5" s="1"/>
  <c r="M2996" i="5"/>
  <c r="F2996" i="5" s="1"/>
  <c r="L2996" i="5" s="1"/>
  <c r="M2948" i="5"/>
  <c r="F2948" i="5" s="1"/>
  <c r="L2948" i="5" s="1"/>
  <c r="M2924" i="5"/>
  <c r="F2924" i="5" s="1"/>
  <c r="L2924" i="5" s="1"/>
  <c r="M2867" i="5"/>
  <c r="F2867" i="5" s="1"/>
  <c r="L2867" i="5" s="1"/>
  <c r="M2851" i="5"/>
  <c r="F2851" i="5" s="1"/>
  <c r="L2851" i="5" s="1"/>
  <c r="AM607" i="5"/>
  <c r="AM593" i="5"/>
  <c r="AM565" i="5"/>
  <c r="AM537" i="5"/>
  <c r="AM509" i="5"/>
  <c r="AM495" i="5"/>
  <c r="AM425" i="5"/>
  <c r="AS1175" i="5"/>
  <c r="C4612" i="5"/>
  <c r="AQ1127" i="5"/>
  <c r="A3794" i="5"/>
  <c r="AS400" i="5"/>
  <c r="H3601" i="5"/>
  <c r="AK2049" i="5"/>
  <c r="AQ2296" i="5"/>
  <c r="AM1473" i="5"/>
  <c r="AM1285" i="5"/>
  <c r="AQ1366" i="5"/>
  <c r="G3841" i="5"/>
  <c r="H3841" i="5" s="1"/>
  <c r="G3840" i="5"/>
  <c r="H3840" i="5" s="1"/>
  <c r="AM396" i="5"/>
  <c r="AM397" i="5"/>
  <c r="M3136" i="5"/>
  <c r="F3136" i="5" s="1"/>
  <c r="L3136" i="5" s="1"/>
  <c r="N3215" i="5"/>
  <c r="M4005" i="5"/>
  <c r="F4005" i="5" s="1"/>
  <c r="L4005" i="5" s="1"/>
  <c r="M4006" i="5"/>
  <c r="F4006" i="5" s="1"/>
  <c r="L4006" i="5" s="1"/>
  <c r="M3776" i="5"/>
  <c r="F3776" i="5" s="1"/>
  <c r="L3776" i="5" s="1"/>
  <c r="M3772" i="5"/>
  <c r="F3772" i="5" s="1"/>
  <c r="L3772" i="5" s="1"/>
  <c r="M3004" i="5"/>
  <c r="F3004" i="5" s="1"/>
  <c r="L3004" i="5" s="1"/>
  <c r="C4743" i="5"/>
  <c r="M2980" i="5"/>
  <c r="F2980" i="5" s="1"/>
  <c r="L2980" i="5" s="1"/>
  <c r="M3003" i="5"/>
  <c r="F3003" i="5" s="1"/>
  <c r="L3003" i="5" s="1"/>
  <c r="M2958" i="5"/>
  <c r="F2958" i="5" s="1"/>
  <c r="L2958" i="5" s="1"/>
  <c r="M2979" i="5"/>
  <c r="F2979" i="5" s="1"/>
  <c r="L2979" i="5" s="1"/>
  <c r="G4926" i="5"/>
  <c r="I4926" i="5" s="1"/>
  <c r="G4849" i="5"/>
  <c r="H4849" i="5" s="1"/>
  <c r="A4646" i="5"/>
  <c r="C4645" i="5"/>
  <c r="I5106" i="5"/>
  <c r="C5106" i="5"/>
  <c r="AT776" i="5"/>
  <c r="AS776" i="5"/>
  <c r="AJ773" i="5"/>
  <c r="AZ773" i="5"/>
  <c r="AL773" i="5"/>
  <c r="AI774" i="5"/>
  <c r="AY768" i="5"/>
  <c r="AI768" i="5"/>
  <c r="AQ768" i="5"/>
  <c r="AY764" i="5"/>
  <c r="AK764" i="5"/>
  <c r="AZ764" i="5"/>
  <c r="AS756" i="5"/>
  <c r="AT756" i="5"/>
  <c r="AL677" i="5"/>
  <c r="AI677" i="5"/>
  <c r="AY677" i="5"/>
  <c r="AZ677" i="5"/>
  <c r="AJ677" i="5"/>
  <c r="AR677" i="5"/>
  <c r="AU672" i="5"/>
  <c r="AV672" i="5" s="1"/>
  <c r="AW672" i="5"/>
  <c r="AX672" i="5" s="1"/>
  <c r="AI672" i="5"/>
  <c r="AJ672" i="5"/>
  <c r="AK672" i="5"/>
  <c r="AY672" i="5"/>
  <c r="AR672" i="5"/>
  <c r="AQ672" i="5"/>
  <c r="AS668" i="5"/>
  <c r="AT668" i="5"/>
  <c r="AK661" i="5"/>
  <c r="AL661" i="5"/>
  <c r="AU661" i="5"/>
  <c r="AV661" i="5" s="1"/>
  <c r="AZ652" i="5"/>
  <c r="AI652" i="5"/>
  <c r="AJ652" i="5"/>
  <c r="AI653" i="5"/>
  <c r="AI649" i="5"/>
  <c r="AL648" i="5"/>
  <c r="AZ648" i="5"/>
  <c r="AI627" i="5"/>
  <c r="AZ627" i="5"/>
  <c r="AI628" i="5"/>
  <c r="AL627" i="5"/>
  <c r="AJ627" i="5"/>
  <c r="AI626" i="5"/>
  <c r="AL626" i="5"/>
  <c r="AK626" i="5"/>
  <c r="AY606" i="5"/>
  <c r="AJ606" i="5"/>
  <c r="AZ606" i="5"/>
  <c r="AL606" i="5"/>
  <c r="AK606" i="5"/>
  <c r="AK602" i="5"/>
  <c r="AR602" i="5"/>
  <c r="AW602" i="5"/>
  <c r="AX602" i="5" s="1"/>
  <c r="AZ602" i="5"/>
  <c r="AY602" i="5"/>
  <c r="AU602" i="5"/>
  <c r="AV602" i="5" s="1"/>
  <c r="AT598" i="5"/>
  <c r="AS598" i="5"/>
  <c r="AT594" i="5"/>
  <c r="AS594" i="5"/>
  <c r="AZ586" i="5"/>
  <c r="AY586" i="5"/>
  <c r="AL586" i="5"/>
  <c r="AK586" i="5"/>
  <c r="AI587" i="5"/>
  <c r="AJ586" i="5"/>
  <c r="AI576" i="5"/>
  <c r="AU575" i="5"/>
  <c r="AV575" i="5" s="1"/>
  <c r="AW575" i="5"/>
  <c r="AX575" i="5" s="1"/>
  <c r="AL575" i="5"/>
  <c r="AK575" i="5"/>
  <c r="AY575" i="5"/>
  <c r="AL570" i="5"/>
  <c r="AK570" i="5"/>
  <c r="AI570" i="5"/>
  <c r="AJ570" i="5"/>
  <c r="AZ570" i="5"/>
  <c r="AZ566" i="5"/>
  <c r="AY566" i="5"/>
  <c r="AJ566" i="5"/>
  <c r="AS558" i="5"/>
  <c r="AT558" i="5"/>
  <c r="AZ550" i="5"/>
  <c r="AY550" i="5"/>
  <c r="AL550" i="5"/>
  <c r="AK550" i="5"/>
  <c r="AK546" i="5"/>
  <c r="AZ546" i="5"/>
  <c r="AW546" i="5"/>
  <c r="AX546" i="5" s="1"/>
  <c r="AR546" i="5"/>
  <c r="AT480" i="5"/>
  <c r="AS480" i="5"/>
  <c r="AR477" i="5"/>
  <c r="AJ477" i="5"/>
  <c r="AI477" i="5"/>
  <c r="AU477" i="5"/>
  <c r="AV477" i="5" s="1"/>
  <c r="AZ477" i="5"/>
  <c r="AY472" i="5"/>
  <c r="AL472" i="5"/>
  <c r="AI472" i="5"/>
  <c r="AZ472" i="5"/>
  <c r="AL468" i="5"/>
  <c r="AK468" i="5"/>
  <c r="AY468" i="5"/>
  <c r="AJ468" i="5"/>
  <c r="AS464" i="5"/>
  <c r="AT464" i="5"/>
  <c r="AJ452" i="5"/>
  <c r="AL452" i="5"/>
  <c r="AK452" i="5"/>
  <c r="AY452" i="5"/>
  <c r="AL448" i="5"/>
  <c r="AY448" i="5"/>
  <c r="AZ448" i="5"/>
  <c r="AW448" i="5"/>
  <c r="AX448" i="5" s="1"/>
  <c r="AT444" i="5"/>
  <c r="AS444" i="5"/>
  <c r="AY432" i="5"/>
  <c r="AL432" i="5"/>
  <c r="AK432" i="5"/>
  <c r="AJ432" i="5"/>
  <c r="AI422" i="5"/>
  <c r="AY421" i="5"/>
  <c r="AL421" i="5"/>
  <c r="AJ421" i="5"/>
  <c r="AZ421" i="5"/>
  <c r="AW421" i="5"/>
  <c r="AX421" i="5" s="1"/>
  <c r="AK421" i="5"/>
  <c r="AJ416" i="5"/>
  <c r="AL416" i="5"/>
  <c r="AK416" i="5"/>
  <c r="AY416" i="5"/>
  <c r="AI416" i="5"/>
  <c r="AZ412" i="5"/>
  <c r="AJ412" i="5"/>
  <c r="AY412" i="5"/>
  <c r="AT408" i="5"/>
  <c r="AS408" i="5"/>
  <c r="AT404" i="5"/>
  <c r="AS404" i="5"/>
  <c r="AK396" i="5"/>
  <c r="AL396" i="5"/>
  <c r="AJ396" i="5"/>
  <c r="AZ396" i="5"/>
  <c r="AI397" i="5"/>
  <c r="AK392" i="5"/>
  <c r="AI393" i="5"/>
  <c r="AU392" i="5"/>
  <c r="AV392" i="5" s="1"/>
  <c r="AR392" i="5"/>
  <c r="AL392" i="5"/>
  <c r="AW392" i="5"/>
  <c r="AX392" i="5" s="1"/>
  <c r="AZ392" i="5"/>
  <c r="AT388" i="5"/>
  <c r="AS388" i="5"/>
  <c r="AS384" i="5"/>
  <c r="AT384" i="5"/>
  <c r="AY376" i="5"/>
  <c r="AL376" i="5"/>
  <c r="AZ376" i="5"/>
  <c r="AK376" i="5"/>
  <c r="AT368" i="5"/>
  <c r="AS368" i="5"/>
  <c r="AK365" i="5"/>
  <c r="AL365" i="5"/>
  <c r="AZ365" i="5"/>
  <c r="AR365" i="5"/>
  <c r="AU365" i="5"/>
  <c r="AV365" i="5" s="1"/>
  <c r="AY365" i="5"/>
  <c r="AJ365" i="5"/>
  <c r="AY360" i="5"/>
  <c r="AI360" i="5"/>
  <c r="AL360" i="5"/>
  <c r="AK360" i="5"/>
  <c r="AJ356" i="5"/>
  <c r="AZ356" i="5"/>
  <c r="AL356" i="5"/>
  <c r="AY356" i="5"/>
  <c r="AK356" i="5"/>
  <c r="AS352" i="5"/>
  <c r="AT352" i="5"/>
  <c r="AT348" i="5"/>
  <c r="AS348" i="5"/>
  <c r="AJ340" i="5"/>
  <c r="AL340" i="5"/>
  <c r="AY340" i="5"/>
  <c r="AR336" i="5"/>
  <c r="AW336" i="5"/>
  <c r="AX336" i="5" s="1"/>
  <c r="AI337" i="5"/>
  <c r="AK336" i="5"/>
  <c r="AS332" i="5"/>
  <c r="AT332" i="5"/>
  <c r="AZ320" i="5"/>
  <c r="AJ320" i="5"/>
  <c r="AL320" i="5"/>
  <c r="AK320" i="5"/>
  <c r="AS312" i="5"/>
  <c r="AT312" i="5"/>
  <c r="AL309" i="5"/>
  <c r="AI310" i="5"/>
  <c r="AI309" i="5"/>
  <c r="AZ309" i="5"/>
  <c r="AW309" i="5"/>
  <c r="AX309" i="5" s="1"/>
  <c r="AY309" i="5"/>
  <c r="AJ309" i="5"/>
  <c r="AR309" i="5"/>
  <c r="AS309" i="5" s="1"/>
  <c r="AK309" i="5"/>
  <c r="AU309" i="5"/>
  <c r="AV309" i="5" s="1"/>
  <c r="AL300" i="5"/>
  <c r="AJ300" i="5"/>
  <c r="AZ300" i="5"/>
  <c r="AT296" i="5"/>
  <c r="AS296" i="5"/>
  <c r="AJ293" i="5"/>
  <c r="AL293" i="5"/>
  <c r="AM293" i="5"/>
  <c r="AZ293" i="5"/>
  <c r="AK293" i="5"/>
  <c r="AI293" i="5"/>
  <c r="AI602" i="5"/>
  <c r="AQ606" i="5"/>
  <c r="AI622" i="5"/>
  <c r="AL622" i="5"/>
  <c r="AL764" i="5"/>
  <c r="AS562" i="5"/>
  <c r="AI708" i="5"/>
  <c r="AY701" i="5"/>
  <c r="AJ712" i="5"/>
  <c r="AW717" i="5"/>
  <c r="AX717" i="5" s="1"/>
  <c r="AI728" i="5"/>
  <c r="AK744" i="5"/>
  <c r="AW744" i="5"/>
  <c r="AX744" i="5" s="1"/>
  <c r="AW648" i="5"/>
  <c r="AX648" i="5" s="1"/>
  <c r="AQ773" i="5"/>
  <c r="AJ768" i="5"/>
  <c r="AM635" i="5"/>
  <c r="AM606" i="5"/>
  <c r="AI765" i="5"/>
  <c r="AI773" i="5"/>
  <c r="AI623" i="5"/>
  <c r="AJ764" i="5"/>
  <c r="AQ701" i="5"/>
  <c r="AY712" i="5"/>
  <c r="AU717" i="5"/>
  <c r="AV717" i="5" s="1"/>
  <c r="AQ728" i="5"/>
  <c r="AY744" i="5"/>
  <c r="AI748" i="5"/>
  <c r="AJ648" i="5"/>
  <c r="AL672" i="5"/>
  <c r="AZ768" i="5"/>
  <c r="AT542" i="5"/>
  <c r="AU546" i="5"/>
  <c r="AV546" i="5" s="1"/>
  <c r="AT2165" i="5"/>
  <c r="AS2165" i="5"/>
  <c r="AY1214" i="5"/>
  <c r="AQ1214" i="5"/>
  <c r="AI1188" i="5"/>
  <c r="AY1188" i="5"/>
  <c r="AL1168" i="5"/>
  <c r="AI1168" i="5"/>
  <c r="AT1144" i="5"/>
  <c r="AS1144" i="5"/>
  <c r="AJ1136" i="5"/>
  <c r="AL1136" i="5"/>
  <c r="AY1132" i="5"/>
  <c r="AI1132" i="5"/>
  <c r="AJ1059" i="5"/>
  <c r="AY1059" i="5"/>
  <c r="AK1055" i="5"/>
  <c r="AL1055" i="5"/>
  <c r="AT1047" i="5"/>
  <c r="AS1047" i="5"/>
  <c r="AS521" i="5"/>
  <c r="AI678" i="5"/>
  <c r="AQ648" i="5"/>
  <c r="AQ575" i="5"/>
  <c r="AJ708" i="5"/>
  <c r="AI701" i="5"/>
  <c r="AL712" i="5"/>
  <c r="AR717" i="5"/>
  <c r="AJ728" i="5"/>
  <c r="AZ744" i="5"/>
  <c r="AT736" i="5"/>
  <c r="AZ748" i="5"/>
  <c r="AK648" i="5"/>
  <c r="AZ672" i="5"/>
  <c r="AR773" i="5"/>
  <c r="AY570" i="5"/>
  <c r="AR661" i="5"/>
  <c r="AL546" i="5"/>
  <c r="AM481" i="5"/>
  <c r="AQ652" i="5"/>
  <c r="AQ550" i="5"/>
  <c r="AQ622" i="5"/>
  <c r="AQ661" i="5"/>
  <c r="AL768" i="5"/>
  <c r="AL529" i="5"/>
  <c r="AQ708" i="5"/>
  <c r="AK701" i="5"/>
  <c r="AQ748" i="5"/>
  <c r="AK712" i="5"/>
  <c r="AZ717" i="5"/>
  <c r="AY728" i="5"/>
  <c r="AU744" i="5"/>
  <c r="AV744" i="5" s="1"/>
  <c r="AS720" i="5"/>
  <c r="AY748" i="5"/>
  <c r="AS644" i="5"/>
  <c r="AY648" i="5"/>
  <c r="AW477" i="5"/>
  <c r="AX477" i="5" s="1"/>
  <c r="AT538" i="5"/>
  <c r="AZ360" i="5"/>
  <c r="AU677" i="5"/>
  <c r="AV677" i="5" s="1"/>
  <c r="AK1876" i="5"/>
  <c r="AU773" i="5"/>
  <c r="AV773" i="5" s="1"/>
  <c r="AY293" i="5"/>
  <c r="AT440" i="5"/>
  <c r="AZ468" i="5"/>
  <c r="AI662" i="5"/>
  <c r="AK412" i="5"/>
  <c r="AM652" i="5"/>
  <c r="AM566" i="5"/>
  <c r="AQ570" i="5"/>
  <c r="F4371" i="5"/>
  <c r="AI769" i="5"/>
  <c r="AZ529" i="5"/>
  <c r="AQ626" i="5"/>
  <c r="AL566" i="5"/>
  <c r="AK768" i="5"/>
  <c r="AY529" i="5"/>
  <c r="AY708" i="5"/>
  <c r="AL701" i="5"/>
  <c r="AZ728" i="5"/>
  <c r="AZ712" i="5"/>
  <c r="AL717" i="5"/>
  <c r="AK728" i="5"/>
  <c r="AL744" i="5"/>
  <c r="AL748" i="5"/>
  <c r="AY477" i="5"/>
  <c r="AQ677" i="5"/>
  <c r="AI607" i="5"/>
  <c r="AY546" i="5"/>
  <c r="AJ575" i="5"/>
  <c r="AZ416" i="5"/>
  <c r="AT460" i="5"/>
  <c r="AY320" i="5"/>
  <c r="AU448" i="5"/>
  <c r="AV448" i="5" s="1"/>
  <c r="AJ550" i="5"/>
  <c r="AQ586" i="5"/>
  <c r="AK566" i="5"/>
  <c r="AK773" i="5"/>
  <c r="AI575" i="5"/>
  <c r="AY622" i="5"/>
  <c r="AL708" i="5"/>
  <c r="AM701" i="5"/>
  <c r="AJ701" i="5"/>
  <c r="AK717" i="5"/>
  <c r="AR744" i="5"/>
  <c r="AJ748" i="5"/>
  <c r="AI648" i="5"/>
  <c r="AI764" i="5"/>
  <c r="AR575" i="5"/>
  <c r="AZ575" i="5"/>
  <c r="AL602" i="5"/>
  <c r="AS1426" i="5"/>
  <c r="AT1426" i="5"/>
  <c r="AW1371" i="5"/>
  <c r="AX1371" i="5" s="1"/>
  <c r="AZ1371" i="5"/>
  <c r="AS1307" i="5"/>
  <c r="AT1307" i="5"/>
  <c r="AI1289" i="5"/>
  <c r="AR1288" i="5"/>
  <c r="AZ1283" i="5"/>
  <c r="AY1283" i="5"/>
  <c r="AL1279" i="5"/>
  <c r="AI1280" i="5"/>
  <c r="AS1271" i="5"/>
  <c r="AT1271" i="5"/>
  <c r="AI586" i="5"/>
  <c r="AI749" i="5"/>
  <c r="AI603" i="5"/>
  <c r="AI717" i="5"/>
  <c r="AW773" i="5"/>
  <c r="AX773" i="5" s="1"/>
  <c r="AI673" i="5"/>
  <c r="AS640" i="5"/>
  <c r="AQ717" i="5"/>
  <c r="AI744" i="5"/>
  <c r="AU648" i="5"/>
  <c r="AV648" i="5" s="1"/>
  <c r="AW677" i="5"/>
  <c r="AX677" i="5" s="1"/>
  <c r="AT618" i="5"/>
  <c r="AJ626" i="5"/>
  <c r="AJ602" i="5"/>
  <c r="AZ1816" i="5"/>
  <c r="AY1816" i="5"/>
  <c r="AY1784" i="5"/>
  <c r="AL1784" i="5"/>
  <c r="AJ1784" i="5"/>
  <c r="AI1784" i="5"/>
  <c r="AI1734" i="5"/>
  <c r="AZ1733" i="5"/>
  <c r="S3801" i="5"/>
  <c r="O3801" i="5" s="1"/>
  <c r="N4028" i="5"/>
  <c r="M4028" i="5" s="1"/>
  <c r="F4028" i="5" s="1"/>
  <c r="L4028" i="5" s="1"/>
  <c r="A4636" i="5"/>
  <c r="AI1513" i="5"/>
  <c r="AJ1512" i="5"/>
  <c r="AQ2337" i="5"/>
  <c r="AQ2334" i="5"/>
  <c r="AL1512" i="5"/>
  <c r="F108" i="5"/>
  <c r="A4690" i="5"/>
  <c r="C4656" i="5"/>
  <c r="A4604" i="5"/>
  <c r="AL1507" i="5"/>
  <c r="AM2116" i="5"/>
  <c r="AM2019" i="5"/>
  <c r="M3042" i="5"/>
  <c r="F3042" i="5" s="1"/>
  <c r="L3042" i="5" s="1"/>
  <c r="AZ1512" i="5"/>
  <c r="AM1806" i="5"/>
  <c r="AQ2018" i="5"/>
  <c r="AI1906" i="5"/>
  <c r="AQ1856" i="5"/>
  <c r="AQ1845" i="5"/>
  <c r="A4649" i="5"/>
  <c r="AB3260" i="5"/>
  <c r="X3260" i="5" s="1"/>
  <c r="F4603" i="5"/>
  <c r="AM1507" i="5"/>
  <c r="AQ1527" i="5"/>
  <c r="AM924" i="5"/>
  <c r="AQ2205" i="5"/>
  <c r="AQ2142" i="5"/>
  <c r="P4992" i="5"/>
  <c r="U4991" i="5"/>
  <c r="AR2246" i="5"/>
  <c r="AZ2246" i="5"/>
  <c r="F4615" i="5"/>
  <c r="W3370" i="5"/>
  <c r="F3380" i="5" s="1"/>
  <c r="Q4437" i="5"/>
  <c r="F4437" i="5" s="1"/>
  <c r="W4572" i="5"/>
  <c r="G3504" i="5"/>
  <c r="H3504" i="5" s="1"/>
  <c r="U3501" i="5"/>
  <c r="F3504" i="5" s="1"/>
  <c r="AS567" i="5"/>
  <c r="R4642" i="5"/>
  <c r="R4643" i="5" s="1"/>
  <c r="R4644" i="5" s="1"/>
  <c r="AY2365" i="5"/>
  <c r="AI2366" i="5"/>
  <c r="AL2352" i="5"/>
  <c r="AY2352" i="5"/>
  <c r="AS2344" i="5"/>
  <c r="AT2344" i="5"/>
  <c r="AW2316" i="5"/>
  <c r="AX2316" i="5" s="1"/>
  <c r="AY2316" i="5"/>
  <c r="G1540" i="5"/>
  <c r="H1540" i="5" s="1"/>
  <c r="F3435" i="5"/>
  <c r="M2626" i="5"/>
  <c r="L2626" i="5" s="1"/>
  <c r="M2674" i="5"/>
  <c r="L2674" i="5" s="1"/>
  <c r="M2654" i="5"/>
  <c r="L2654" i="5" s="1"/>
  <c r="M2650" i="5"/>
  <c r="L2650" i="5" s="1"/>
  <c r="AJ2370" i="5"/>
  <c r="AK2370" i="5"/>
  <c r="T4129" i="5"/>
  <c r="F4128" i="5"/>
  <c r="O4608" i="5"/>
  <c r="F4611" i="5"/>
  <c r="AT1606" i="5"/>
  <c r="G3380" i="5"/>
  <c r="H3380" i="5" s="1"/>
  <c r="F4653" i="5"/>
  <c r="A4800" i="5"/>
  <c r="C4800" i="5" s="1"/>
  <c r="A4715" i="5"/>
  <c r="C4715" i="5" s="1"/>
  <c r="AK2047" i="5"/>
  <c r="AJ2047" i="5"/>
  <c r="AU2036" i="5"/>
  <c r="AV2036" i="5" s="1"/>
  <c r="AI2036" i="5"/>
  <c r="AW2036" i="5"/>
  <c r="AX2036" i="5" s="1"/>
  <c r="AY2031" i="5"/>
  <c r="AJ2031" i="5"/>
  <c r="AZ2031" i="5"/>
  <c r="AL2027" i="5"/>
  <c r="AJ2027" i="5"/>
  <c r="AS2003" i="5"/>
  <c r="AT2003" i="5"/>
  <c r="X4748" i="5"/>
  <c r="G2390" i="5"/>
  <c r="H2390" i="5" s="1"/>
  <c r="AS1189" i="5"/>
  <c r="P4722" i="5"/>
  <c r="G4727" i="5"/>
  <c r="H4727" i="5" s="1"/>
  <c r="AY2225" i="5"/>
  <c r="AR2225" i="5"/>
  <c r="AI2220" i="5"/>
  <c r="AK2220" i="5"/>
  <c r="AZ2220" i="5"/>
  <c r="AZ2216" i="5"/>
  <c r="AJ2216" i="5"/>
  <c r="AK2202" i="5"/>
  <c r="AI2203" i="5"/>
  <c r="AI2200" i="5"/>
  <c r="AI2201" i="5"/>
  <c r="AL2196" i="5"/>
  <c r="AK2196" i="5"/>
  <c r="AY2195" i="5"/>
  <c r="AZ2195" i="5"/>
  <c r="AT2159" i="5"/>
  <c r="AS2159" i="5"/>
  <c r="AY2151" i="5"/>
  <c r="AJ2151" i="5"/>
  <c r="AL2151" i="5"/>
  <c r="AS2143" i="5"/>
  <c r="AT2143" i="5"/>
  <c r="AS2139" i="5"/>
  <c r="AT2139" i="5"/>
  <c r="AJ2131" i="5"/>
  <c r="AZ2131" i="5"/>
  <c r="AL2131" i="5"/>
  <c r="AL2111" i="5"/>
  <c r="AK2111" i="5"/>
  <c r="AY2111" i="5"/>
  <c r="AS2081" i="5"/>
  <c r="AT2081" i="5"/>
  <c r="AQ2127" i="5"/>
  <c r="AY1838" i="5"/>
  <c r="AU1905" i="5"/>
  <c r="AV1905" i="5" s="1"/>
  <c r="AY1813" i="5"/>
  <c r="M2670" i="5"/>
  <c r="L2670" i="5" s="1"/>
  <c r="AI2106" i="5"/>
  <c r="AQ1941" i="5"/>
  <c r="AL1929" i="5"/>
  <c r="AY1941" i="5"/>
  <c r="AQ1849" i="5"/>
  <c r="AJ1813" i="5"/>
  <c r="AS1801" i="5"/>
  <c r="AI1890" i="5"/>
  <c r="AY1773" i="5"/>
  <c r="AZ1809" i="5"/>
  <c r="AI1838" i="5"/>
  <c r="AL1869" i="5"/>
  <c r="AL1894" i="5"/>
  <c r="G4923" i="5"/>
  <c r="AR1809" i="5"/>
  <c r="AS1417" i="5"/>
  <c r="AJ1389" i="5"/>
  <c r="AU1782" i="5"/>
  <c r="AV1782" i="5" s="1"/>
  <c r="AT1841" i="5"/>
  <c r="AY1905" i="5"/>
  <c r="AS1785" i="5"/>
  <c r="F4763" i="5"/>
  <c r="AM1772" i="5"/>
  <c r="AQ2184" i="5"/>
  <c r="AQ2170" i="5"/>
  <c r="AQ1991" i="5"/>
  <c r="AY1991" i="5"/>
  <c r="AJ1929" i="5"/>
  <c r="AT1921" i="5"/>
  <c r="AM1991" i="5"/>
  <c r="AI1941" i="5"/>
  <c r="AU1941" i="5"/>
  <c r="AV1941" i="5" s="1"/>
  <c r="AQ1889" i="5"/>
  <c r="AL1773" i="5"/>
  <c r="AZ1777" i="5"/>
  <c r="AU1809" i="5"/>
  <c r="AV1809" i="5" s="1"/>
  <c r="AJ1838" i="5"/>
  <c r="AZ1869" i="5"/>
  <c r="AJ1905" i="5"/>
  <c r="AT1453" i="5"/>
  <c r="AS1437" i="5"/>
  <c r="AS1919" i="5"/>
  <c r="AJ1782" i="5"/>
  <c r="AJ1777" i="5"/>
  <c r="AS1821" i="5"/>
  <c r="AW1905" i="5"/>
  <c r="AX1905" i="5" s="1"/>
  <c r="F3540" i="5"/>
  <c r="AW1941" i="5"/>
  <c r="AX1941" i="5" s="1"/>
  <c r="AK1777" i="5"/>
  <c r="AU1838" i="5"/>
  <c r="AV1838" i="5" s="1"/>
  <c r="AL1885" i="5"/>
  <c r="AZ1905" i="5"/>
  <c r="AI1783" i="5"/>
  <c r="AM1501" i="5"/>
  <c r="AM1757" i="5"/>
  <c r="AN3454" i="5"/>
  <c r="AK1889" i="5"/>
  <c r="AK1849" i="5"/>
  <c r="AT1805" i="5"/>
  <c r="AW1782" i="5"/>
  <c r="AX1782" i="5" s="1"/>
  <c r="AT1825" i="5"/>
  <c r="AJ1889" i="5"/>
  <c r="AM2033" i="5"/>
  <c r="AI2252" i="5"/>
  <c r="AI2110" i="5"/>
  <c r="O3742" i="5"/>
  <c r="F3741" i="5" s="1"/>
  <c r="M3700" i="5"/>
  <c r="F3700" i="5" s="1"/>
  <c r="L3700" i="5" s="1"/>
  <c r="G3742" i="5"/>
  <c r="H3742" i="5" s="1"/>
  <c r="D3699" i="5"/>
  <c r="G3907" i="5"/>
  <c r="H3907" i="5" s="1"/>
  <c r="P3910" i="5"/>
  <c r="AJ2343" i="5"/>
  <c r="AZ2343" i="5"/>
  <c r="AK2343" i="5"/>
  <c r="AI2343" i="5"/>
  <c r="AJ2302" i="5"/>
  <c r="AI2303" i="5"/>
  <c r="AZ2302" i="5"/>
  <c r="AR2302" i="5"/>
  <c r="AL2287" i="5"/>
  <c r="AY2287" i="5"/>
  <c r="AW2287" i="5"/>
  <c r="AX2287" i="5" s="1"/>
  <c r="AL2179" i="5"/>
  <c r="AI2179" i="5"/>
  <c r="AL2158" i="5"/>
  <c r="AY2158" i="5"/>
  <c r="AY2154" i="5"/>
  <c r="AK2154" i="5"/>
  <c r="AS2150" i="5"/>
  <c r="AT2150" i="5"/>
  <c r="D4623" i="5"/>
  <c r="F4623" i="5" s="1"/>
  <c r="M3137" i="5"/>
  <c r="F3137" i="5" s="1"/>
  <c r="L3137" i="5" s="1"/>
  <c r="AS302" i="5"/>
  <c r="M4233" i="5"/>
  <c r="F4234" i="5" s="1"/>
  <c r="L4233" i="5" s="1"/>
  <c r="M4229" i="5"/>
  <c r="F4230" i="5" s="1"/>
  <c r="L4229" i="5" s="1"/>
  <c r="M4230" i="5"/>
  <c r="F4231" i="5" s="1"/>
  <c r="L4230" i="5" s="1"/>
  <c r="M1845" i="5"/>
  <c r="F1845" i="5" s="1"/>
  <c r="M1684" i="5"/>
  <c r="F1684" i="5" s="1"/>
  <c r="M1572" i="5"/>
  <c r="F1572" i="5" s="1"/>
  <c r="M1656" i="5"/>
  <c r="F1656" i="5" s="1"/>
  <c r="M1642" i="5"/>
  <c r="F1642" i="5" s="1"/>
  <c r="M1712" i="5"/>
  <c r="F1712" i="5" s="1"/>
  <c r="M1698" i="5"/>
  <c r="F1698" i="5" s="1"/>
  <c r="AM1699" i="5" s="1"/>
  <c r="M1824" i="5"/>
  <c r="F1824" i="5" s="1"/>
  <c r="AK2213" i="5"/>
  <c r="AL2213" i="5"/>
  <c r="AS2016" i="5"/>
  <c r="AW1865" i="5"/>
  <c r="AX1865" i="5" s="1"/>
  <c r="AI1839" i="5"/>
  <c r="AK1894" i="5"/>
  <c r="AM790" i="5"/>
  <c r="AM708" i="5"/>
  <c r="AL2120" i="5"/>
  <c r="AJ2120" i="5"/>
  <c r="AI2120" i="5"/>
  <c r="AZ1849" i="5"/>
  <c r="AR1894" i="5"/>
  <c r="AW2120" i="5"/>
  <c r="AX2120" i="5" s="1"/>
  <c r="AI1866" i="5"/>
  <c r="AJ1885" i="5"/>
  <c r="AI1704" i="5"/>
  <c r="AY1849" i="5"/>
  <c r="AY1885" i="5"/>
  <c r="AL2024" i="5"/>
  <c r="AY1894" i="5"/>
  <c r="AM2209" i="5"/>
  <c r="AL1838" i="5"/>
  <c r="AK2008" i="5"/>
  <c r="AZ2120" i="5"/>
  <c r="AW1838" i="5"/>
  <c r="AX1838" i="5" s="1"/>
  <c r="AY1865" i="5"/>
  <c r="AZ1889" i="5"/>
  <c r="AZ1704" i="5"/>
  <c r="AK1869" i="5"/>
  <c r="AK1838" i="5"/>
  <c r="AT1897" i="5"/>
  <c r="AL1889" i="5"/>
  <c r="AQ1537" i="5"/>
  <c r="AY2040" i="5"/>
  <c r="AY1652" i="5"/>
  <c r="AM1591" i="5"/>
  <c r="AT2223" i="5"/>
  <c r="AS2223" i="5"/>
  <c r="AR2029" i="5"/>
  <c r="AK2029" i="5"/>
  <c r="AY2020" i="5"/>
  <c r="AK2020" i="5"/>
  <c r="AL2020" i="5"/>
  <c r="AT1910" i="5"/>
  <c r="AS1910" i="5"/>
  <c r="F4658" i="5"/>
  <c r="W4989" i="5"/>
  <c r="N3138" i="5"/>
  <c r="M3138" i="5" s="1"/>
  <c r="F3138" i="5" s="1"/>
  <c r="L3138" i="5" s="1"/>
  <c r="U4129" i="5"/>
  <c r="AI2045" i="5"/>
  <c r="AK2045" i="5"/>
  <c r="AY2045" i="5"/>
  <c r="AL2045" i="5"/>
  <c r="AZ2045" i="5"/>
  <c r="F3358" i="5"/>
  <c r="AT2173" i="5"/>
  <c r="AS2173" i="5"/>
  <c r="AL2165" i="5"/>
  <c r="AK2165" i="5"/>
  <c r="AJ2165" i="5"/>
  <c r="AZ2165" i="5"/>
  <c r="R4991" i="5"/>
  <c r="W4991" i="5" s="1"/>
  <c r="G4742" i="5"/>
  <c r="H4742" i="5" s="1"/>
  <c r="C4754" i="5"/>
  <c r="A4755" i="5"/>
  <c r="AK2053" i="5"/>
  <c r="AY2053" i="5"/>
  <c r="AJ2053" i="5"/>
  <c r="AZ2053" i="5"/>
  <c r="A5146" i="5"/>
  <c r="C5145" i="5"/>
  <c r="P3502" i="5"/>
  <c r="T3502" i="5" s="1"/>
  <c r="F3505" i="5" s="1"/>
  <c r="AZ2271" i="5"/>
  <c r="AL2271" i="5"/>
  <c r="AJ2271" i="5"/>
  <c r="AJ2152" i="5"/>
  <c r="AI2152" i="5"/>
  <c r="AL2152" i="5"/>
  <c r="AS2069" i="5"/>
  <c r="AT2069" i="5"/>
  <c r="AL2153" i="5"/>
  <c r="AY2153" i="5"/>
  <c r="AK2153" i="5"/>
  <c r="AL2283" i="5"/>
  <c r="AK1704" i="5"/>
  <c r="AT1777" i="5"/>
  <c r="AI1665" i="5"/>
  <c r="AI1597" i="5"/>
  <c r="AM326" i="5"/>
  <c r="AM911" i="5"/>
  <c r="AM819" i="5"/>
  <c r="AM771" i="5"/>
  <c r="G4775" i="5"/>
  <c r="H4775" i="5" s="1"/>
  <c r="AM756" i="5"/>
  <c r="AM1759" i="5"/>
  <c r="AL1764" i="5"/>
  <c r="AW2239" i="5"/>
  <c r="AX2239" i="5" s="1"/>
  <c r="AS1584" i="5"/>
  <c r="AY1592" i="5"/>
  <c r="AM404" i="5"/>
  <c r="AM791" i="5"/>
  <c r="AM2186" i="5"/>
  <c r="AM777" i="5"/>
  <c r="AM2265" i="5"/>
  <c r="AM2200" i="5"/>
  <c r="AL1670" i="5"/>
  <c r="AL1665" i="5"/>
  <c r="AT1494" i="5"/>
  <c r="AT1609" i="5"/>
  <c r="AM516" i="5"/>
  <c r="AM488" i="5"/>
  <c r="AM986" i="5"/>
  <c r="AI2046" i="5"/>
  <c r="AY1670" i="5"/>
  <c r="AK1665" i="5"/>
  <c r="O4645" i="5"/>
  <c r="O4646" i="5" s="1"/>
  <c r="O4647" i="5" s="1"/>
  <c r="O4648" i="5" s="1"/>
  <c r="F4657" i="5"/>
  <c r="S4644" i="5"/>
  <c r="S4645" i="5" s="1"/>
  <c r="S4646" i="5" s="1"/>
  <c r="Q4374" i="5"/>
  <c r="F4374" i="5" s="1"/>
  <c r="AM299" i="5"/>
  <c r="AM298" i="5"/>
  <c r="AM931" i="5"/>
  <c r="AM932" i="5"/>
  <c r="AS623" i="5"/>
  <c r="N3475" i="5"/>
  <c r="M3475" i="5" s="1"/>
  <c r="F3475" i="5" s="1"/>
  <c r="L3475" i="5" s="1"/>
  <c r="AM762" i="5"/>
  <c r="AM1380" i="5"/>
  <c r="F252" i="5"/>
  <c r="AS885" i="5"/>
  <c r="AT885" i="5"/>
  <c r="N5028" i="5"/>
  <c r="AS842" i="5"/>
  <c r="AT842" i="5"/>
  <c r="M2937" i="5"/>
  <c r="F2937" i="5" s="1"/>
  <c r="L2937" i="5" s="1"/>
  <c r="M2887" i="5"/>
  <c r="F2887" i="5" s="1"/>
  <c r="L2887" i="5" s="1"/>
  <c r="G1117" i="5"/>
  <c r="H1117" i="5" s="1"/>
  <c r="F4647" i="5"/>
  <c r="A3303" i="5"/>
  <c r="G4846" i="5"/>
  <c r="H4846" i="5" s="1"/>
  <c r="AR2147" i="5"/>
  <c r="AJ2147" i="5"/>
  <c r="AL2147" i="5"/>
  <c r="G267" i="5"/>
  <c r="H267" i="5" s="1"/>
  <c r="F253" i="5"/>
  <c r="G251" i="5"/>
  <c r="H251" i="5" s="1"/>
  <c r="AM1115" i="5"/>
  <c r="AM1113" i="5"/>
  <c r="G1113" i="5"/>
  <c r="H1113" i="5" s="1"/>
  <c r="D5156" i="5"/>
  <c r="R4742" i="5"/>
  <c r="G4746" i="5"/>
  <c r="H4746" i="5" s="1"/>
  <c r="AM2227" i="5"/>
  <c r="W4538" i="5"/>
  <c r="W4537" i="5"/>
  <c r="A5036" i="5"/>
  <c r="C5035" i="5"/>
  <c r="Q3385" i="5"/>
  <c r="W3385" i="5" s="1"/>
  <c r="F3389" i="5" s="1"/>
  <c r="G3385" i="5"/>
  <c r="H3385" i="5" s="1"/>
  <c r="W3384" i="5"/>
  <c r="F3385" i="5" s="1"/>
  <c r="F4746" i="5"/>
  <c r="W4742" i="5"/>
  <c r="W4743" i="5" s="1"/>
  <c r="D4929" i="5"/>
  <c r="G249" i="5"/>
  <c r="H249" i="5" s="1"/>
  <c r="U252" i="5"/>
  <c r="F251" i="5"/>
  <c r="G252" i="5"/>
  <c r="H252" i="5" s="1"/>
  <c r="G253" i="5"/>
  <c r="G246" i="5"/>
  <c r="H246" i="5" s="1"/>
  <c r="F261" i="5"/>
  <c r="F246" i="5"/>
  <c r="G247" i="5"/>
  <c r="H247" i="5" s="1"/>
  <c r="G261" i="5"/>
  <c r="H261" i="5" s="1"/>
  <c r="F247" i="5"/>
  <c r="G248" i="5"/>
  <c r="H248" i="5" s="1"/>
  <c r="F267" i="5"/>
  <c r="F248" i="5"/>
  <c r="F249" i="5"/>
  <c r="G250" i="5"/>
  <c r="H250" i="5" s="1"/>
  <c r="F250" i="5"/>
  <c r="F266" i="5"/>
  <c r="F262" i="5"/>
  <c r="F263" i="5"/>
  <c r="G262" i="5"/>
  <c r="H262" i="5" s="1"/>
  <c r="F265" i="5"/>
  <c r="O267" i="5"/>
  <c r="G268" i="5" s="1"/>
  <c r="H268" i="5" s="1"/>
  <c r="P252" i="5"/>
  <c r="G255" i="5" s="1"/>
  <c r="R252" i="5"/>
  <c r="T252" i="5"/>
  <c r="F4651" i="5"/>
  <c r="Q4643" i="5"/>
  <c r="R5150" i="5"/>
  <c r="R5151" i="5" s="1"/>
  <c r="S5147" i="5"/>
  <c r="S5148" i="5" s="1"/>
  <c r="S5149" i="5" s="1"/>
  <c r="S4791" i="5"/>
  <c r="D4995" i="5"/>
  <c r="AT1824" i="5"/>
  <c r="AS1824" i="5"/>
  <c r="A3314" i="5"/>
  <c r="A3187" i="5"/>
  <c r="Q4408" i="5"/>
  <c r="F3569" i="5"/>
  <c r="S3570" i="5"/>
  <c r="AS1190" i="5"/>
  <c r="AT1190" i="5"/>
  <c r="AS1620" i="5"/>
  <c r="AT1620" i="5"/>
  <c r="M4549" i="5"/>
  <c r="F4535" i="5"/>
  <c r="A3212" i="5"/>
  <c r="AV3212" i="5"/>
  <c r="AW3212" i="5" s="1"/>
  <c r="AY3212" i="5" s="1"/>
  <c r="V3350" i="5" l="1"/>
  <c r="F3359" i="5" s="1"/>
  <c r="AT2335" i="5"/>
  <c r="AO3796" i="5"/>
  <c r="AP3796" i="5" s="1"/>
  <c r="AR3796" i="5" s="1"/>
  <c r="AQ3796" i="5"/>
  <c r="AS660" i="5"/>
  <c r="A3796" i="5"/>
  <c r="AT724" i="5"/>
  <c r="AT1392" i="5"/>
  <c r="AT976" i="5"/>
  <c r="AT1134" i="5"/>
  <c r="AS421" i="5"/>
  <c r="AS329" i="5"/>
  <c r="AT828" i="5"/>
  <c r="AM1692" i="5"/>
  <c r="AT1378" i="5"/>
  <c r="AM2336" i="5"/>
  <c r="AM2052" i="5"/>
  <c r="AS2078" i="5"/>
  <c r="A5147" i="5"/>
  <c r="I5147" i="5" s="1"/>
  <c r="N5144" i="5"/>
  <c r="AT1245" i="5"/>
  <c r="AQ3794" i="5"/>
  <c r="AO3476" i="5"/>
  <c r="AP3476" i="5" s="1"/>
  <c r="AR3476" i="5" s="1"/>
  <c r="AT385" i="5"/>
  <c r="AM767" i="5"/>
  <c r="AM844" i="5"/>
  <c r="AO3699" i="5"/>
  <c r="AP3699" i="5" s="1"/>
  <c r="AR3699" i="5" s="1"/>
  <c r="AM1076" i="5"/>
  <c r="AM956" i="5"/>
  <c r="AO3794" i="5"/>
  <c r="AP3794" i="5" s="1"/>
  <c r="AR3794" i="5" s="1"/>
  <c r="AQ3699" i="5"/>
  <c r="AM949" i="5"/>
  <c r="AM1040" i="5"/>
  <c r="AM1033" i="5"/>
  <c r="D3476" i="5"/>
  <c r="AM774" i="5"/>
  <c r="AO3467" i="5"/>
  <c r="AP3467" i="5" s="1"/>
  <c r="AR3467" i="5" s="1"/>
  <c r="A3476" i="5"/>
  <c r="AO3466" i="5"/>
  <c r="AP3466" i="5" s="1"/>
  <c r="AR3466" i="5" s="1"/>
  <c r="AS448" i="5"/>
  <c r="AS547" i="5"/>
  <c r="AS912" i="5"/>
  <c r="G217" i="5"/>
  <c r="H217" i="5" s="1"/>
  <c r="AT490" i="5"/>
  <c r="AS301" i="5"/>
  <c r="AM1331" i="5"/>
  <c r="AT2288" i="5"/>
  <c r="AM1394" i="5"/>
  <c r="AM1163" i="5"/>
  <c r="AT649" i="5"/>
  <c r="AT386" i="5"/>
  <c r="Q217" i="5"/>
  <c r="F218" i="5" s="1"/>
  <c r="AS357" i="5"/>
  <c r="AT1239" i="5"/>
  <c r="AS637" i="5"/>
  <c r="C4654" i="5"/>
  <c r="AM1005" i="5"/>
  <c r="AO3800" i="5"/>
  <c r="AP3800" i="5" s="1"/>
  <c r="AR3800" i="5" s="1"/>
  <c r="P3491" i="5"/>
  <c r="G3494" i="5" s="1"/>
  <c r="H3494" i="5" s="1"/>
  <c r="AQ3467" i="5"/>
  <c r="AM1366" i="5"/>
  <c r="F4989" i="5"/>
  <c r="AM1247" i="5"/>
  <c r="AS694" i="5"/>
  <c r="D3467" i="5"/>
  <c r="A3709" i="5"/>
  <c r="D3709" i="5"/>
  <c r="AM1051" i="5"/>
  <c r="AM738" i="5"/>
  <c r="AV3211" i="5"/>
  <c r="AW3211" i="5" s="1"/>
  <c r="AY3211" i="5" s="1"/>
  <c r="AO3709" i="5"/>
  <c r="AP3709" i="5" s="1"/>
  <c r="AR3709" i="5" s="1"/>
  <c r="AM1476" i="5"/>
  <c r="AM914" i="5"/>
  <c r="AM732" i="5"/>
  <c r="AS1062" i="5"/>
  <c r="AM1443" i="5"/>
  <c r="AM1913" i="5"/>
  <c r="AT892" i="5"/>
  <c r="AS1075" i="5"/>
  <c r="AT491" i="5"/>
  <c r="AM1464" i="5"/>
  <c r="AS2077" i="5"/>
  <c r="Q4142" i="5"/>
  <c r="Q4143" i="5" s="1"/>
  <c r="Q4144" i="5" s="1"/>
  <c r="U4144" i="5" s="1"/>
  <c r="F4150" i="5" s="1"/>
  <c r="AM928" i="5"/>
  <c r="G4144" i="5"/>
  <c r="H4144" i="5" s="1"/>
  <c r="AS2346" i="5"/>
  <c r="D3463" i="5"/>
  <c r="AQ3463" i="5"/>
  <c r="AT1469" i="5"/>
  <c r="G4841" i="5"/>
  <c r="H4841" i="5" s="1"/>
  <c r="AV3227" i="5"/>
  <c r="AW3227" i="5" s="1"/>
  <c r="AY3227" i="5" s="1"/>
  <c r="AS1154" i="5"/>
  <c r="AM1482" i="5"/>
  <c r="F4841" i="5"/>
  <c r="U4721" i="5"/>
  <c r="F4727" i="5" s="1"/>
  <c r="AT643" i="5"/>
  <c r="AM977" i="5"/>
  <c r="AM795" i="5"/>
  <c r="AM1219" i="5"/>
  <c r="AO3703" i="5"/>
  <c r="AP3703" i="5" s="1"/>
  <c r="AR3703" i="5" s="1"/>
  <c r="AT1456" i="5"/>
  <c r="A3461" i="5"/>
  <c r="AQ3461" i="5"/>
  <c r="D3461" i="5"/>
  <c r="AT779" i="5"/>
  <c r="A3798" i="5"/>
  <c r="AS1427" i="5"/>
  <c r="AM1608" i="5"/>
  <c r="AM1422" i="5"/>
  <c r="A3808" i="5"/>
  <c r="AV3188" i="5"/>
  <c r="AW3188" i="5" s="1"/>
  <c r="AY3188" i="5" s="1"/>
  <c r="AS1074" i="5"/>
  <c r="AT1385" i="5"/>
  <c r="AS751" i="5"/>
  <c r="AT751" i="5"/>
  <c r="A3200" i="5"/>
  <c r="AM886" i="5"/>
  <c r="AM865" i="5"/>
  <c r="AT667" i="5"/>
  <c r="AS3460" i="5"/>
  <c r="AS666" i="5"/>
  <c r="AO3460" i="5"/>
  <c r="AP3460" i="5" s="1"/>
  <c r="AR3460" i="5" s="1"/>
  <c r="O208" i="5"/>
  <c r="O209" i="5" s="1"/>
  <c r="F208" i="5" s="1"/>
  <c r="AM1177" i="5"/>
  <c r="AT1032" i="5"/>
  <c r="AS532" i="5"/>
  <c r="AT1069" i="5"/>
  <c r="AT1564" i="5"/>
  <c r="AM1064" i="5"/>
  <c r="AM1226" i="5"/>
  <c r="AM907" i="5"/>
  <c r="AM802" i="5"/>
  <c r="AM1198" i="5"/>
  <c r="AV3196" i="5"/>
  <c r="AW3196" i="5" s="1"/>
  <c r="AY3196" i="5" s="1"/>
  <c r="G193" i="5"/>
  <c r="H193" i="5" s="1"/>
  <c r="AM1191" i="5"/>
  <c r="D3809" i="5"/>
  <c r="AQ3809" i="5"/>
  <c r="AT371" i="5"/>
  <c r="AT1912" i="5"/>
  <c r="AM998" i="5"/>
  <c r="AS497" i="5"/>
  <c r="AM1070" i="5"/>
  <c r="AM1942" i="5"/>
  <c r="AT1050" i="5"/>
  <c r="AM1401" i="5"/>
  <c r="AM1275" i="5"/>
  <c r="AM781" i="5"/>
  <c r="AM1142" i="5"/>
  <c r="AM753" i="5"/>
  <c r="A3694" i="5"/>
  <c r="AM1907" i="5"/>
  <c r="A3705" i="5"/>
  <c r="AS1155" i="5"/>
  <c r="D3705" i="5"/>
  <c r="AQ3705" i="5"/>
  <c r="A3228" i="5"/>
  <c r="AM1511" i="5"/>
  <c r="AM1082" i="5"/>
  <c r="AM872" i="5"/>
  <c r="AM1537" i="5"/>
  <c r="AM1352" i="5"/>
  <c r="U3490" i="5"/>
  <c r="F3493" i="5" s="1"/>
  <c r="AT1414" i="5"/>
  <c r="AT898" i="5"/>
  <c r="AM1408" i="5"/>
  <c r="F3489" i="5"/>
  <c r="S3349" i="5"/>
  <c r="S3350" i="5" s="1"/>
  <c r="G3362" i="5" s="1"/>
  <c r="H3362" i="5" s="1"/>
  <c r="AM1233" i="5"/>
  <c r="AM1317" i="5"/>
  <c r="AM1345" i="5"/>
  <c r="AM2347" i="5"/>
  <c r="A3203" i="5"/>
  <c r="D3800" i="5"/>
  <c r="AM1741" i="5"/>
  <c r="AQ3800" i="5"/>
  <c r="AS1225" i="5"/>
  <c r="AM935" i="5"/>
  <c r="AS420" i="5"/>
  <c r="D3798" i="5"/>
  <c r="AT609" i="5"/>
  <c r="AO3474" i="5"/>
  <c r="AP3474" i="5" s="1"/>
  <c r="AR3474" i="5" s="1"/>
  <c r="A3463" i="5"/>
  <c r="AT414" i="5"/>
  <c r="D3808" i="5"/>
  <c r="S3599" i="5"/>
  <c r="G3599" i="5"/>
  <c r="H3599" i="5" s="1"/>
  <c r="AM2086" i="5"/>
  <c r="AS983" i="5"/>
  <c r="AM858" i="5"/>
  <c r="AQ3795" i="5"/>
  <c r="AM1494" i="5"/>
  <c r="AT1337" i="5"/>
  <c r="AQ3808" i="5"/>
  <c r="AQ3798" i="5"/>
  <c r="AT406" i="5"/>
  <c r="A3703" i="5"/>
  <c r="AM963" i="5"/>
  <c r="AQ3700" i="5"/>
  <c r="AS1068" i="5"/>
  <c r="AT1057" i="5"/>
  <c r="A3700" i="5"/>
  <c r="AS1323" i="5"/>
  <c r="AM1429" i="5"/>
  <c r="AM921" i="5"/>
  <c r="AO3700" i="5"/>
  <c r="AP3700" i="5" s="1"/>
  <c r="AR3700" i="5" s="1"/>
  <c r="AM1470" i="5"/>
  <c r="X3384" i="5"/>
  <c r="F3386" i="5" s="1"/>
  <c r="AS610" i="5"/>
  <c r="AT786" i="5"/>
  <c r="AM830" i="5"/>
  <c r="G195" i="5"/>
  <c r="H195" i="5" s="1"/>
  <c r="AM1500" i="5"/>
  <c r="AM1338" i="5"/>
  <c r="AT2203" i="5"/>
  <c r="AM1212" i="5"/>
  <c r="AM837" i="5"/>
  <c r="AM1324" i="5"/>
  <c r="AT470" i="5"/>
  <c r="AO3697" i="5"/>
  <c r="AP3697" i="5" s="1"/>
  <c r="AR3697" i="5" s="1"/>
  <c r="AT364" i="5"/>
  <c r="AM1296" i="5"/>
  <c r="AM1888" i="5"/>
  <c r="A3795" i="5"/>
  <c r="F3437" i="5"/>
  <c r="AT2329" i="5"/>
  <c r="AO3795" i="5"/>
  <c r="AP3795" i="5" s="1"/>
  <c r="AR3795" i="5" s="1"/>
  <c r="AM1881" i="5"/>
  <c r="V3438" i="5"/>
  <c r="H3443" i="5"/>
  <c r="G3438" i="5"/>
  <c r="H3438" i="5" s="1"/>
  <c r="A3807" i="5"/>
  <c r="AV3232" i="5"/>
  <c r="AW3232" i="5" s="1"/>
  <c r="AY3232" i="5" s="1"/>
  <c r="A3809" i="5"/>
  <c r="AO3807" i="5"/>
  <c r="AP3807" i="5" s="1"/>
  <c r="AR3807" i="5" s="1"/>
  <c r="AS505" i="5"/>
  <c r="AM1135" i="5"/>
  <c r="U208" i="5"/>
  <c r="U223" i="5" s="1"/>
  <c r="U224" i="5" s="1"/>
  <c r="F229" i="5" s="1"/>
  <c r="AT821" i="5"/>
  <c r="A3241" i="5"/>
  <c r="AS1400" i="5"/>
  <c r="AQ3807" i="5"/>
  <c r="F268" i="5"/>
  <c r="AS642" i="5"/>
  <c r="AS1024" i="5"/>
  <c r="AO3694" i="5"/>
  <c r="AP3694" i="5" s="1"/>
  <c r="AR3694" i="5" s="1"/>
  <c r="AS582" i="5"/>
  <c r="G199" i="5"/>
  <c r="H199" i="5" s="1"/>
  <c r="O282" i="5"/>
  <c r="F283" i="5" s="1"/>
  <c r="A4674" i="5"/>
  <c r="C4674" i="5" s="1"/>
  <c r="AO3465" i="5"/>
  <c r="AP3465" i="5" s="1"/>
  <c r="AR3465" i="5" s="1"/>
  <c r="AS358" i="5"/>
  <c r="Q282" i="5"/>
  <c r="AS553" i="5"/>
  <c r="S282" i="5"/>
  <c r="AQ3708" i="5"/>
  <c r="AS759" i="5"/>
  <c r="AO3708" i="5"/>
  <c r="AP3708" i="5" s="1"/>
  <c r="AR3708" i="5" s="1"/>
  <c r="AM2323" i="5"/>
  <c r="AM2282" i="5"/>
  <c r="A3695" i="5"/>
  <c r="AV3247" i="5"/>
  <c r="AW3247" i="5" s="1"/>
  <c r="AY3247" i="5" s="1"/>
  <c r="A3708" i="5"/>
  <c r="AS2098" i="5"/>
  <c r="AS1746" i="5"/>
  <c r="AQ3473" i="5"/>
  <c r="A3220" i="5"/>
  <c r="AS2323" i="5"/>
  <c r="F4662" i="5"/>
  <c r="AO3471" i="5"/>
  <c r="AP3471" i="5" s="1"/>
  <c r="AR3471" i="5" s="1"/>
  <c r="AM1889" i="5"/>
  <c r="AQ3465" i="5"/>
  <c r="D3704" i="5"/>
  <c r="A3471" i="5"/>
  <c r="D3465" i="5"/>
  <c r="AV3186" i="5"/>
  <c r="AW3186" i="5" s="1"/>
  <c r="AY3186" i="5" s="1"/>
  <c r="A3210" i="5"/>
  <c r="AT308" i="5"/>
  <c r="AM746" i="5"/>
  <c r="AM1012" i="5"/>
  <c r="AT315" i="5"/>
  <c r="AS337" i="5"/>
  <c r="AM1895" i="5"/>
  <c r="AM1832" i="5"/>
  <c r="AM760" i="5"/>
  <c r="AM718" i="5"/>
  <c r="AM1720" i="5"/>
  <c r="C4807" i="5"/>
  <c r="AO3704" i="5"/>
  <c r="AP3704" i="5" s="1"/>
  <c r="AR3704" i="5" s="1"/>
  <c r="AQ3471" i="5"/>
  <c r="A3805" i="5"/>
  <c r="A3206" i="5"/>
  <c r="A3222" i="5"/>
  <c r="A3704" i="5"/>
  <c r="AV3249" i="5"/>
  <c r="AW3249" i="5" s="1"/>
  <c r="AY3249" i="5" s="1"/>
  <c r="AS1351" i="5"/>
  <c r="D3473" i="5"/>
  <c r="AM2359" i="5"/>
  <c r="AS539" i="5"/>
  <c r="AS561" i="5"/>
  <c r="A4996" i="5"/>
  <c r="C4996" i="5" s="1"/>
  <c r="AM2289" i="5"/>
  <c r="A3462" i="5"/>
  <c r="AO3462" i="5"/>
  <c r="AP3462" i="5" s="1"/>
  <c r="AR3462" i="5" s="1"/>
  <c r="AV3244" i="5"/>
  <c r="AW3244" i="5" s="1"/>
  <c r="AY3244" i="5" s="1"/>
  <c r="AM1740" i="5"/>
  <c r="D3462" i="5"/>
  <c r="AM1924" i="5"/>
  <c r="AT2091" i="5"/>
  <c r="AM2283" i="5"/>
  <c r="AM1671" i="5"/>
  <c r="AS476" i="5"/>
  <c r="AV3238" i="5"/>
  <c r="AW3238" i="5" s="1"/>
  <c r="AY3238" i="5" s="1"/>
  <c r="AM1678" i="5"/>
  <c r="AT1740" i="5"/>
  <c r="AV3195" i="5"/>
  <c r="AW3195" i="5" s="1"/>
  <c r="AY3195" i="5" s="1"/>
  <c r="C4685" i="5"/>
  <c r="AM1594" i="5"/>
  <c r="AM1937" i="5"/>
  <c r="AT1162" i="5"/>
  <c r="AT1133" i="5"/>
  <c r="AS1788" i="5"/>
  <c r="AM2191" i="5"/>
  <c r="AT2267" i="5"/>
  <c r="AS2231" i="5"/>
  <c r="AM1295" i="5"/>
  <c r="AM1518" i="5"/>
  <c r="AS1718" i="5"/>
  <c r="AT1837" i="5"/>
  <c r="AT835" i="5"/>
  <c r="AS1994" i="5"/>
  <c r="G26" i="11"/>
  <c r="AQ3477" i="5"/>
  <c r="AM823" i="5"/>
  <c r="AA19" i="10"/>
  <c r="AT1493" i="5"/>
  <c r="A3225" i="5"/>
  <c r="A3802" i="5"/>
  <c r="AS617" i="5"/>
  <c r="AV3216" i="5"/>
  <c r="AW3216" i="5" s="1"/>
  <c r="AY3216" i="5" s="1"/>
  <c r="AM2219" i="5"/>
  <c r="A3182" i="5"/>
  <c r="AV3329" i="5"/>
  <c r="AW3329" i="5" s="1"/>
  <c r="AV3192" i="5"/>
  <c r="AW3192" i="5" s="1"/>
  <c r="AY3192" i="5" s="1"/>
  <c r="AV3209" i="5"/>
  <c r="AW3209" i="5" s="1"/>
  <c r="AY3209" i="5" s="1"/>
  <c r="AT483" i="5"/>
  <c r="A3706" i="5"/>
  <c r="AM1938" i="5"/>
  <c r="AV3184" i="5"/>
  <c r="AW3184" i="5" s="1"/>
  <c r="AY3184" i="5" s="1"/>
  <c r="AS1010" i="5"/>
  <c r="AM893" i="5"/>
  <c r="AM900" i="5"/>
  <c r="D3466" i="5"/>
  <c r="A3472" i="5"/>
  <c r="AO3472" i="5"/>
  <c r="AP3472" i="5" s="1"/>
  <c r="AR3472" i="5" s="1"/>
  <c r="AO3477" i="5"/>
  <c r="AP3477" i="5" s="1"/>
  <c r="AR3477" i="5" s="1"/>
  <c r="AM970" i="5"/>
  <c r="AO3706" i="5"/>
  <c r="AP3706" i="5" s="1"/>
  <c r="AR3706" i="5" s="1"/>
  <c r="AS3802" i="5"/>
  <c r="AS624" i="5"/>
  <c r="AZ3182" i="5"/>
  <c r="AS1308" i="5"/>
  <c r="A3245" i="5"/>
  <c r="A3477" i="5"/>
  <c r="AM725" i="5"/>
  <c r="AM809" i="5"/>
  <c r="AT588" i="5"/>
  <c r="AQ3706" i="5"/>
  <c r="C4843" i="5"/>
  <c r="F4843" i="5"/>
  <c r="A3215" i="5"/>
  <c r="AQ3472" i="5"/>
  <c r="A3466" i="5"/>
  <c r="AS3793" i="5"/>
  <c r="AO3793" i="5"/>
  <c r="AP3793" i="5" s="1"/>
  <c r="AR3793" i="5" s="1"/>
  <c r="AS801" i="5"/>
  <c r="AT1498" i="5"/>
  <c r="W4544" i="5"/>
  <c r="AT940" i="5"/>
  <c r="O3829" i="5"/>
  <c r="F3828" i="5" s="1"/>
  <c r="AS1705" i="5"/>
  <c r="A3223" i="5"/>
  <c r="A3230" i="5"/>
  <c r="G4300" i="5"/>
  <c r="H4300" i="5" s="1"/>
  <c r="AO3695" i="5"/>
  <c r="AP3695" i="5" s="1"/>
  <c r="AR3695" i="5" s="1"/>
  <c r="D3695" i="5"/>
  <c r="O3831" i="5"/>
  <c r="G3831" i="5" s="1"/>
  <c r="H3831" i="5" s="1"/>
  <c r="AO3797" i="5"/>
  <c r="AP3797" i="5" s="1"/>
  <c r="AR3797" i="5" s="1"/>
  <c r="C4681" i="5"/>
  <c r="AV3239" i="5"/>
  <c r="AW3239" i="5" s="1"/>
  <c r="AY3239" i="5" s="1"/>
  <c r="AS1080" i="5"/>
  <c r="AM1629" i="5"/>
  <c r="AM2064" i="5"/>
  <c r="AM2106" i="5"/>
  <c r="AM2177" i="5"/>
  <c r="AM2149" i="5"/>
  <c r="AM969" i="5"/>
  <c r="A3248" i="5"/>
  <c r="AM1529" i="5"/>
  <c r="AS2127" i="5"/>
  <c r="AM2121" i="5"/>
  <c r="AM463" i="5"/>
  <c r="S223" i="5"/>
  <c r="G227" i="5" s="1"/>
  <c r="H227" i="5" s="1"/>
  <c r="AM1351" i="5"/>
  <c r="AT518" i="5"/>
  <c r="AT1406" i="5"/>
  <c r="AM878" i="5"/>
  <c r="AT2106" i="5"/>
  <c r="AS1866" i="5"/>
  <c r="AT1845" i="5"/>
  <c r="AM1614" i="5"/>
  <c r="AT1649" i="5"/>
  <c r="AT2021" i="5"/>
  <c r="AT2308" i="5"/>
  <c r="AT1499" i="5"/>
  <c r="Q3509" i="5"/>
  <c r="G3511" i="5" s="1"/>
  <c r="H3511" i="5" s="1"/>
  <c r="AT2050" i="5"/>
  <c r="U3508" i="5"/>
  <c r="F3509" i="5" s="1"/>
  <c r="AS2218" i="5"/>
  <c r="G212" i="5"/>
  <c r="H212" i="5" s="1"/>
  <c r="G4730" i="5"/>
  <c r="H4730" i="5" s="1"/>
  <c r="AT1435" i="5"/>
  <c r="A3786" i="5"/>
  <c r="AM1530" i="5"/>
  <c r="AM1532" i="5"/>
  <c r="AM2198" i="5"/>
  <c r="M3461" i="5"/>
  <c r="F3461" i="5" s="1"/>
  <c r="L3461" i="5" s="1"/>
  <c r="AS891" i="5"/>
  <c r="AM1636" i="5"/>
  <c r="AS1761" i="5"/>
  <c r="AS1648" i="5"/>
  <c r="AO3786" i="5"/>
  <c r="AP3786" i="5" s="1"/>
  <c r="AR3786" i="5" s="1"/>
  <c r="AS1775" i="5"/>
  <c r="A5001" i="5"/>
  <c r="A5002" i="5" s="1"/>
  <c r="C5002" i="5" s="1"/>
  <c r="AM2370" i="5"/>
  <c r="AT1371" i="5"/>
  <c r="F3357" i="5"/>
  <c r="AT1900" i="5"/>
  <c r="AS1203" i="5"/>
  <c r="AO3453" i="5"/>
  <c r="AP3453" i="5" s="1"/>
  <c r="AR3453" i="5" s="1"/>
  <c r="P3571" i="5"/>
  <c r="G3571" i="5" s="1"/>
  <c r="H3571" i="5" s="1"/>
  <c r="AM1344" i="5"/>
  <c r="AS1795" i="5"/>
  <c r="AM1664" i="5"/>
  <c r="AM1580" i="5"/>
  <c r="AM1499" i="5"/>
  <c r="AM1734" i="5"/>
  <c r="AM2176" i="5"/>
  <c r="AM2281" i="5"/>
  <c r="G228" i="5"/>
  <c r="H228" i="5" s="1"/>
  <c r="AT2140" i="5"/>
  <c r="AT1025" i="5"/>
  <c r="AV3229" i="5"/>
  <c r="AW3229" i="5" s="1"/>
  <c r="AY3229" i="5" s="1"/>
  <c r="AS857" i="5"/>
  <c r="Q4841" i="5"/>
  <c r="Q4842" i="5" s="1"/>
  <c r="V4842" i="5" s="1"/>
  <c r="C4661" i="5"/>
  <c r="AT996" i="5"/>
  <c r="AS2113" i="5"/>
  <c r="AS2238" i="5"/>
  <c r="A4703" i="5"/>
  <c r="C4703" i="5" s="1"/>
  <c r="AM879" i="5"/>
  <c r="D3786" i="5"/>
  <c r="T19" i="10"/>
  <c r="AM2170" i="5"/>
  <c r="AM2142" i="5"/>
  <c r="AM2058" i="5"/>
  <c r="AV3327" i="5"/>
  <c r="AW3327" i="5" s="1"/>
  <c r="AV3303" i="5"/>
  <c r="AW3303" i="5" s="1"/>
  <c r="AV3316" i="5"/>
  <c r="AW3316" i="5" s="1"/>
  <c r="AM1776" i="5"/>
  <c r="A3208" i="5"/>
  <c r="AQ3805" i="5"/>
  <c r="AM1777" i="5"/>
  <c r="AM2288" i="5"/>
  <c r="AM1058" i="5"/>
  <c r="AM1919" i="5"/>
  <c r="D3805" i="5"/>
  <c r="AS2070" i="5"/>
  <c r="AM1797" i="5"/>
  <c r="C4620" i="5"/>
  <c r="AV3219" i="5"/>
  <c r="AW3219" i="5" s="1"/>
  <c r="AY3219" i="5" s="1"/>
  <c r="AS1420" i="5"/>
  <c r="W3349" i="5"/>
  <c r="F3356" i="5" s="1"/>
  <c r="AV3183" i="5"/>
  <c r="AW3183" i="5" s="1"/>
  <c r="AY3183" i="5" s="1"/>
  <c r="AT709" i="5"/>
  <c r="AQ3475" i="5"/>
  <c r="A4621" i="5"/>
  <c r="C4621" i="5" s="1"/>
  <c r="AT1510" i="5"/>
  <c r="AM1811" i="5"/>
  <c r="D3452" i="5"/>
  <c r="AT1281" i="5"/>
  <c r="AT2063" i="5"/>
  <c r="AM711" i="5"/>
  <c r="AM2184" i="5"/>
  <c r="AT393" i="5"/>
  <c r="AM984" i="5"/>
  <c r="AM2348" i="5"/>
  <c r="AV3185" i="5"/>
  <c r="AW3185" i="5" s="1"/>
  <c r="AY3185" i="5" s="1"/>
  <c r="AM942" i="5"/>
  <c r="AT1475" i="5"/>
  <c r="AT1386" i="5"/>
  <c r="AM2303" i="5"/>
  <c r="AT1343" i="5"/>
  <c r="AT1056" i="5"/>
  <c r="AM2043" i="5"/>
  <c r="AS1148" i="5"/>
  <c r="AM435" i="5"/>
  <c r="G4845" i="5"/>
  <c r="H4845" i="5" s="1"/>
  <c r="AS2015" i="5"/>
  <c r="AS2190" i="5"/>
  <c r="AM2280" i="5"/>
  <c r="AT1442" i="5"/>
  <c r="AS906" i="5"/>
  <c r="AS723" i="5"/>
  <c r="AM2232" i="5"/>
  <c r="AS989" i="5"/>
  <c r="AT1642" i="5"/>
  <c r="AM2275" i="5"/>
  <c r="AV3198" i="5"/>
  <c r="AW3198" i="5" s="1"/>
  <c r="AY3198" i="5" s="1"/>
  <c r="AM2169" i="5"/>
  <c r="AM2100" i="5"/>
  <c r="AM2225" i="5"/>
  <c r="AT2347" i="5"/>
  <c r="AT808" i="5"/>
  <c r="AS738" i="5"/>
  <c r="AM2247" i="5"/>
  <c r="P3581" i="5"/>
  <c r="G3581" i="5" s="1"/>
  <c r="H3581" i="5" s="1"/>
  <c r="AV3246" i="5"/>
  <c r="AW3246" i="5" s="1"/>
  <c r="AY3246" i="5" s="1"/>
  <c r="AS1274" i="5"/>
  <c r="P22" i="11"/>
  <c r="AM1032" i="5"/>
  <c r="AM655" i="5"/>
  <c r="AM610" i="5"/>
  <c r="C4632" i="5"/>
  <c r="AM1867" i="5"/>
  <c r="AS1211" i="5"/>
  <c r="AS1204" i="5"/>
  <c r="AM1045" i="5"/>
  <c r="AM1520" i="5"/>
  <c r="AS1893" i="5"/>
  <c r="A3250" i="5"/>
  <c r="V19" i="10"/>
  <c r="G3382" i="5"/>
  <c r="H3382" i="5" s="1"/>
  <c r="AM2127" i="5"/>
  <c r="AT716" i="5"/>
  <c r="AV3253" i="5"/>
  <c r="AW3253" i="5" s="1"/>
  <c r="AY3253" i="5" s="1"/>
  <c r="AS574" i="5"/>
  <c r="AM1706" i="5"/>
  <c r="S3384" i="5"/>
  <c r="Y3384" i="5" s="1"/>
  <c r="F3387" i="5" s="1"/>
  <c r="AS1923" i="5"/>
  <c r="AM1755" i="5"/>
  <c r="AT1936" i="5"/>
  <c r="A3254" i="5"/>
  <c r="I28" i="11"/>
  <c r="M28" i="11"/>
  <c r="R19" i="10"/>
  <c r="AS1141" i="5"/>
  <c r="AM1931" i="5"/>
  <c r="AT1683" i="5"/>
  <c r="AS449" i="5"/>
  <c r="AM2254" i="5"/>
  <c r="AM2156" i="5"/>
  <c r="AS1817" i="5"/>
  <c r="AS2057" i="5"/>
  <c r="AM1456" i="5"/>
  <c r="AS1018" i="5"/>
  <c r="AV3242" i="5"/>
  <c r="AW3242" i="5" s="1"/>
  <c r="AY3242" i="5" s="1"/>
  <c r="AT1887" i="5"/>
  <c r="AS884" i="5"/>
  <c r="A3475" i="5"/>
  <c r="AM2157" i="5"/>
  <c r="AM2037" i="5"/>
  <c r="AT1509" i="5"/>
  <c r="AT850" i="5"/>
  <c r="AT1858" i="5"/>
  <c r="A4666" i="5"/>
  <c r="C4666" i="5" s="1"/>
  <c r="AM2163" i="5"/>
  <c r="AT794" i="5"/>
  <c r="AV3194" i="5"/>
  <c r="AW3194" i="5" s="1"/>
  <c r="AY3194" i="5" s="1"/>
  <c r="AM1025" i="5"/>
  <c r="A3202" i="5"/>
  <c r="AT961" i="5"/>
  <c r="AS1364" i="5"/>
  <c r="AS1039" i="5"/>
  <c r="AS2042" i="5"/>
  <c r="A3235" i="5"/>
  <c r="Q3911" i="5"/>
  <c r="F3912" i="5" s="1"/>
  <c r="AM857" i="5"/>
  <c r="AT927" i="5"/>
  <c r="AO3475" i="5"/>
  <c r="AP3475" i="5" s="1"/>
  <c r="AR3475" i="5" s="1"/>
  <c r="AS1803" i="5"/>
  <c r="AM2107" i="5"/>
  <c r="AT1690" i="5"/>
  <c r="A3193" i="5"/>
  <c r="AT1662" i="5"/>
  <c r="AM1246" i="5"/>
  <c r="AS1231" i="5"/>
  <c r="AT654" i="5"/>
  <c r="A3118" i="5"/>
  <c r="AV3233" i="5"/>
  <c r="AW3233" i="5" s="1"/>
  <c r="AY3233" i="5" s="1"/>
  <c r="AT2008" i="5"/>
  <c r="AM2175" i="5"/>
  <c r="AT1266" i="5"/>
  <c r="AO3468" i="5"/>
  <c r="AP3468" i="5" s="1"/>
  <c r="AR3468" i="5" s="1"/>
  <c r="AM2016" i="5"/>
  <c r="AM2239" i="5"/>
  <c r="A3226" i="5"/>
  <c r="AS2000" i="5"/>
  <c r="G3377" i="5"/>
  <c r="H3377" i="5" s="1"/>
  <c r="X3369" i="5"/>
  <c r="F3377" i="5" s="1"/>
  <c r="AQ3701" i="5"/>
  <c r="C4669" i="5"/>
  <c r="G3386" i="5"/>
  <c r="H3386" i="5" s="1"/>
  <c r="F4728" i="5"/>
  <c r="P4131" i="5"/>
  <c r="G4134" i="5" s="1"/>
  <c r="H4134" i="5" s="1"/>
  <c r="F4546" i="5"/>
  <c r="F4550" i="5" s="1"/>
  <c r="W4551" i="5" s="1"/>
  <c r="AM2341" i="5"/>
  <c r="AS926" i="5"/>
  <c r="AM2316" i="5"/>
  <c r="AM1487" i="5"/>
  <c r="Q208" i="5"/>
  <c r="Q223" i="5" s="1"/>
  <c r="AM1018" i="5"/>
  <c r="V4723" i="5"/>
  <c r="F4736" i="5" s="1"/>
  <c r="AS1725" i="5"/>
  <c r="AV3213" i="5"/>
  <c r="AW3213" i="5" s="1"/>
  <c r="AY3213" i="5" s="1"/>
  <c r="A3201" i="5"/>
  <c r="AT772" i="5"/>
  <c r="AS1906" i="5"/>
  <c r="A3806" i="5"/>
  <c r="AT947" i="5"/>
  <c r="W4565" i="5"/>
  <c r="D3453" i="5"/>
  <c r="AM2253" i="5"/>
  <c r="AT1851" i="5"/>
  <c r="G3381" i="5"/>
  <c r="H3381" i="5" s="1"/>
  <c r="AT1196" i="5"/>
  <c r="A3701" i="5"/>
  <c r="AM2071" i="5"/>
  <c r="AS2028" i="5"/>
  <c r="AS737" i="5"/>
  <c r="AT1218" i="5"/>
  <c r="D3701" i="5"/>
  <c r="AM1727" i="5"/>
  <c r="AM2141" i="5"/>
  <c r="C4617" i="5"/>
  <c r="AT1316" i="5"/>
  <c r="AT1441" i="5"/>
  <c r="AV3199" i="5"/>
  <c r="AW3199" i="5" s="1"/>
  <c r="AY3199" i="5" s="1"/>
  <c r="AT323" i="5"/>
  <c r="AV3240" i="5"/>
  <c r="AW3240" i="5" s="1"/>
  <c r="AY3240" i="5" s="1"/>
  <c r="AT1140" i="5"/>
  <c r="X3370" i="5"/>
  <c r="F3381" i="5" s="1"/>
  <c r="AM2162" i="5"/>
  <c r="T3491" i="5"/>
  <c r="F3494" i="5" s="1"/>
  <c r="A3236" i="5"/>
  <c r="AV3251" i="5"/>
  <c r="AW3251" i="5" s="1"/>
  <c r="AY3251" i="5" s="1"/>
  <c r="AT1873" i="5"/>
  <c r="AS1712" i="5"/>
  <c r="AT877" i="5"/>
  <c r="AM1839" i="5"/>
  <c r="AM843" i="5"/>
  <c r="AT1844" i="5"/>
  <c r="AM1566" i="5"/>
  <c r="AO3696" i="5"/>
  <c r="AP3696" i="5" s="1"/>
  <c r="AR3696" i="5" s="1"/>
  <c r="AT1344" i="5"/>
  <c r="AT2294" i="5"/>
  <c r="AM1914" i="5"/>
  <c r="AT752" i="5"/>
  <c r="A3452" i="5"/>
  <c r="D3687" i="5"/>
  <c r="AS1656" i="5"/>
  <c r="AS1197" i="5"/>
  <c r="AM2078" i="5"/>
  <c r="AM582" i="5"/>
  <c r="AS1600" i="5"/>
  <c r="AT1045" i="5"/>
  <c r="F4641" i="5"/>
  <c r="M2760" i="5"/>
  <c r="L2760" i="5" s="1"/>
  <c r="M2739" i="5"/>
  <c r="L2739" i="5" s="1"/>
  <c r="AM2164" i="5"/>
  <c r="AT878" i="5"/>
  <c r="AM2183" i="5"/>
  <c r="AV3279" i="5"/>
  <c r="AW3279" i="5" s="1"/>
  <c r="AS1260" i="5"/>
  <c r="AT920" i="5"/>
  <c r="AV3288" i="5"/>
  <c r="AW3288" i="5" s="1"/>
  <c r="AT2056" i="5"/>
  <c r="AV3284" i="5"/>
  <c r="AW3284" i="5" s="1"/>
  <c r="N3184" i="5"/>
  <c r="N3263" i="5" s="1"/>
  <c r="M3263" i="5" s="1"/>
  <c r="F3263" i="5" s="1"/>
  <c r="L3263" i="5" s="1"/>
  <c r="AS1698" i="5"/>
  <c r="AM1873" i="5"/>
  <c r="AM2093" i="5"/>
  <c r="AM2354" i="5"/>
  <c r="I5111" i="5"/>
  <c r="F4642" i="5"/>
  <c r="C4642" i="5"/>
  <c r="T4142" i="5"/>
  <c r="F4145" i="5" s="1"/>
  <c r="AM2353" i="5"/>
  <c r="AV3262" i="5"/>
  <c r="AW3262" i="5" s="1"/>
  <c r="G4796" i="5"/>
  <c r="H4796" i="5" s="1"/>
  <c r="C5111" i="5"/>
  <c r="AT595" i="5"/>
  <c r="AT1635" i="5"/>
  <c r="AM2240" i="5"/>
  <c r="O202" i="5"/>
  <c r="F201" i="5" s="1"/>
  <c r="C4641" i="5"/>
  <c r="P194" i="5"/>
  <c r="F194" i="5" s="1"/>
  <c r="P208" i="5"/>
  <c r="G194" i="5"/>
  <c r="H194" i="5" s="1"/>
  <c r="AM1046" i="5"/>
  <c r="C4766" i="5"/>
  <c r="AM1449" i="5"/>
  <c r="AM351" i="5"/>
  <c r="A3243" i="5"/>
  <c r="A3237" i="5"/>
  <c r="O217" i="5"/>
  <c r="F216" i="5" s="1"/>
  <c r="AM643" i="5"/>
  <c r="AM352" i="5"/>
  <c r="A3698" i="5"/>
  <c r="AM1358" i="5"/>
  <c r="A5112" i="5"/>
  <c r="C5112" i="5" s="1"/>
  <c r="AS2280" i="5"/>
  <c r="AV3197" i="5"/>
  <c r="AW3197" i="5" s="1"/>
  <c r="AY3197" i="5" s="1"/>
  <c r="AM2094" i="5"/>
  <c r="N3708" i="5"/>
  <c r="M3708" i="5" s="1"/>
  <c r="F3708" i="5" s="1"/>
  <c r="L3708" i="5" s="1"/>
  <c r="A3191" i="5"/>
  <c r="P4144" i="5"/>
  <c r="T4144" i="5" s="1"/>
  <c r="F4149" i="5" s="1"/>
  <c r="AT2322" i="5"/>
  <c r="M2786" i="5"/>
  <c r="L2786" i="5" s="1"/>
  <c r="AM1637" i="5"/>
  <c r="AS512" i="5"/>
  <c r="N5107" i="5"/>
  <c r="A5113" i="5" s="1"/>
  <c r="A5114" i="5" s="1"/>
  <c r="C5114" i="5" s="1"/>
  <c r="AV3221" i="5"/>
  <c r="AW3221" i="5" s="1"/>
  <c r="AY3221" i="5" s="1"/>
  <c r="AV3265" i="5"/>
  <c r="AW3265" i="5" s="1"/>
  <c r="AM2114" i="5"/>
  <c r="AM337" i="5"/>
  <c r="AS1586" i="5"/>
  <c r="I5110" i="5"/>
  <c r="C5110" i="5"/>
  <c r="AT344" i="5"/>
  <c r="AS1169" i="5"/>
  <c r="Q4722" i="5"/>
  <c r="Q4723" i="5" s="1"/>
  <c r="AM1169" i="5"/>
  <c r="AS456" i="5"/>
  <c r="G201" i="5"/>
  <c r="H201" i="5" s="1"/>
  <c r="AS1224" i="5"/>
  <c r="A3707" i="5"/>
  <c r="AM1063" i="5"/>
  <c r="AM2029" i="5"/>
  <c r="AM2001" i="5"/>
  <c r="AM2002" i="5"/>
  <c r="AS427" i="5"/>
  <c r="AM2015" i="5"/>
  <c r="AM2148" i="5"/>
  <c r="AT1267" i="5"/>
  <c r="AM1761" i="5"/>
  <c r="G3493" i="5"/>
  <c r="H3493" i="5" s="1"/>
  <c r="AM2337" i="5"/>
  <c r="N3262" i="5"/>
  <c r="M3262" i="5" s="1"/>
  <c r="F3262" i="5" s="1"/>
  <c r="L3262" i="5" s="1"/>
  <c r="AS2169" i="5"/>
  <c r="AM1542" i="5"/>
  <c r="AM1622" i="5"/>
  <c r="AQ3787" i="5"/>
  <c r="A3787" i="5"/>
  <c r="A3217" i="5"/>
  <c r="AS525" i="5"/>
  <c r="AM2065" i="5"/>
  <c r="AT2133" i="5"/>
  <c r="AS2217" i="5"/>
  <c r="AM2365" i="5"/>
  <c r="G3733" i="5"/>
  <c r="H3733" i="5" s="1"/>
  <c r="AM1901" i="5"/>
  <c r="AM2057" i="5"/>
  <c r="M4547" i="5"/>
  <c r="F4547" i="5" s="1"/>
  <c r="F4553" i="5" s="1"/>
  <c r="F4629" i="5"/>
  <c r="F3351" i="5"/>
  <c r="AM1062" i="5"/>
  <c r="AS1634" i="5"/>
  <c r="AM2260" i="5"/>
  <c r="AM2135" i="5"/>
  <c r="AM2092" i="5"/>
  <c r="AT2211" i="5"/>
  <c r="AV3252" i="5"/>
  <c r="AW3252" i="5" s="1"/>
  <c r="AY3252" i="5" s="1"/>
  <c r="AT1003" i="5"/>
  <c r="D4610" i="5"/>
  <c r="AM1232" i="5"/>
  <c r="G211" i="5"/>
  <c r="H211" i="5" s="1"/>
  <c r="A3224" i="5"/>
  <c r="AT2154" i="5"/>
  <c r="AT1252" i="5"/>
  <c r="AT997" i="5"/>
  <c r="AM2022" i="5"/>
  <c r="AM2295" i="5"/>
  <c r="AM2036" i="5"/>
  <c r="G4301" i="5"/>
  <c r="H4301" i="5" s="1"/>
  <c r="Q4303" i="5"/>
  <c r="Q4300" i="5"/>
  <c r="F4301" i="5" s="1"/>
  <c r="AM2155" i="5"/>
  <c r="AS1719" i="5"/>
  <c r="AM1762" i="5"/>
  <c r="AV3207" i="5"/>
  <c r="AW3207" i="5" s="1"/>
  <c r="AY3207" i="5" s="1"/>
  <c r="F4993" i="5"/>
  <c r="A5108" i="5"/>
  <c r="C5107" i="5"/>
  <c r="AM990" i="5"/>
  <c r="AM906" i="5"/>
  <c r="AT1294" i="5"/>
  <c r="AT1691" i="5"/>
  <c r="R223" i="5"/>
  <c r="G226" i="5" s="1"/>
  <c r="H226" i="5" s="1"/>
  <c r="A3189" i="5"/>
  <c r="AT2309" i="5"/>
  <c r="AS913" i="5"/>
  <c r="AM2099" i="5"/>
  <c r="Q4989" i="5"/>
  <c r="V4989" i="5" s="1"/>
  <c r="AM885" i="5"/>
  <c r="AM752" i="5"/>
  <c r="AT1579" i="5"/>
  <c r="AT2295" i="5"/>
  <c r="AS2210" i="5"/>
  <c r="A3696" i="5"/>
  <c r="AM2182" i="5"/>
  <c r="AM1769" i="5"/>
  <c r="AT1578" i="5"/>
  <c r="AM2246" i="5"/>
  <c r="I26" i="11"/>
  <c r="Q19" i="10"/>
  <c r="AM2296" i="5"/>
  <c r="D3696" i="5"/>
  <c r="AS1781" i="5"/>
  <c r="AT1732" i="5"/>
  <c r="AS1677" i="5"/>
  <c r="AT2084" i="5"/>
  <c r="AM1141" i="5"/>
  <c r="AS1182" i="5"/>
  <c r="M26" i="11"/>
  <c r="AS969" i="5"/>
  <c r="AM2030" i="5"/>
  <c r="AM2335" i="5"/>
  <c r="AM2324" i="5"/>
  <c r="AS2359" i="5"/>
  <c r="AT1754" i="5"/>
  <c r="AM2023" i="5"/>
  <c r="R20" i="11"/>
  <c r="R24" i="11" s="1"/>
  <c r="R28" i="11" s="1"/>
  <c r="AM815" i="5"/>
  <c r="P24" i="11"/>
  <c r="AM1860" i="5"/>
  <c r="AS1301" i="5"/>
  <c r="AM1995" i="5"/>
  <c r="AT1676" i="5"/>
  <c r="P20" i="11"/>
  <c r="AS1372" i="5"/>
  <c r="AV3214" i="5"/>
  <c r="AW3214" i="5" s="1"/>
  <c r="AY3214" i="5" s="1"/>
  <c r="AS554" i="5"/>
  <c r="C47" i="11"/>
  <c r="P41" i="11"/>
  <c r="C45" i="11"/>
  <c r="AT316" i="5"/>
  <c r="N4504" i="5"/>
  <c r="A4504" i="5" s="1"/>
  <c r="C4504" i="5" s="1"/>
  <c r="AT1684" i="5"/>
  <c r="D47" i="11"/>
  <c r="D45" i="11"/>
  <c r="F4722" i="5"/>
  <c r="AM822" i="5"/>
  <c r="AT1899" i="5"/>
  <c r="AV3314" i="5"/>
  <c r="AW3314" i="5" s="1"/>
  <c r="AV3300" i="5"/>
  <c r="AW3300" i="5" s="1"/>
  <c r="AV3292" i="5"/>
  <c r="AW3292" i="5" s="1"/>
  <c r="AS603" i="5"/>
  <c r="AT603" i="5"/>
  <c r="AM1486" i="5"/>
  <c r="AV3267" i="5"/>
  <c r="AW3267" i="5" s="1"/>
  <c r="AV3323" i="5"/>
  <c r="AW3323" i="5" s="1"/>
  <c r="AV3272" i="5"/>
  <c r="AW3272" i="5" s="1"/>
  <c r="AV3318" i="5"/>
  <c r="AW3318" i="5" s="1"/>
  <c r="AV3306" i="5"/>
  <c r="AW3306" i="5" s="1"/>
  <c r="AV3261" i="5"/>
  <c r="AW3261" i="5" s="1"/>
  <c r="AV3268" i="5"/>
  <c r="AW3268" i="5" s="1"/>
  <c r="AM1790" i="5"/>
  <c r="AM1525" i="5"/>
  <c r="AM1505" i="5"/>
  <c r="M2737" i="5"/>
  <c r="L2737" i="5" s="1"/>
  <c r="AV3275" i="5"/>
  <c r="AW3275" i="5" s="1"/>
  <c r="M2808" i="5"/>
  <c r="L2808" i="5" s="1"/>
  <c r="AV3293" i="5"/>
  <c r="AW3293" i="5" s="1"/>
  <c r="AV3278" i="5"/>
  <c r="AW3278" i="5" s="1"/>
  <c r="AV3324" i="5"/>
  <c r="AW3324" i="5" s="1"/>
  <c r="AV3310" i="5"/>
  <c r="AW3310" i="5" s="1"/>
  <c r="AV3317" i="5"/>
  <c r="AW3317" i="5" s="1"/>
  <c r="AV3301" i="5"/>
  <c r="AW3301" i="5" s="1"/>
  <c r="AV3280" i="5"/>
  <c r="AW3280" i="5" s="1"/>
  <c r="AV3271" i="5"/>
  <c r="AW3271" i="5" s="1"/>
  <c r="AV3305" i="5"/>
  <c r="AW3305" i="5" s="1"/>
  <c r="AV3313" i="5"/>
  <c r="AW3313" i="5" s="1"/>
  <c r="AV3264" i="5"/>
  <c r="AW3264" i="5" s="1"/>
  <c r="AV3286" i="5"/>
  <c r="AW3286" i="5" s="1"/>
  <c r="AT2168" i="5"/>
  <c r="AM456" i="5"/>
  <c r="AV3266" i="5"/>
  <c r="AW3266" i="5" s="1"/>
  <c r="M2811" i="5"/>
  <c r="L2811" i="5" s="1"/>
  <c r="AM1504" i="5"/>
  <c r="AV3330" i="5"/>
  <c r="AW3330" i="5" s="1"/>
  <c r="AV3281" i="5"/>
  <c r="AW3281" i="5" s="1"/>
  <c r="AV3298" i="5"/>
  <c r="AW3298" i="5" s="1"/>
  <c r="AO3452" i="5"/>
  <c r="AP3452" i="5" s="1"/>
  <c r="AR3452" i="5" s="1"/>
  <c r="AV3294" i="5"/>
  <c r="AW3294" i="5" s="1"/>
  <c r="AV3282" i="5"/>
  <c r="AW3282" i="5" s="1"/>
  <c r="AV3287" i="5"/>
  <c r="AW3287" i="5" s="1"/>
  <c r="AV3277" i="5"/>
  <c r="AW3277" i="5" s="1"/>
  <c r="AV3331" i="5"/>
  <c r="AW3331" i="5" s="1"/>
  <c r="AV3312" i="5"/>
  <c r="AW3312" i="5" s="1"/>
  <c r="AV3285" i="5"/>
  <c r="AW3285" i="5" s="1"/>
  <c r="AM1672" i="5"/>
  <c r="AV3273" i="5"/>
  <c r="AW3273" i="5" s="1"/>
  <c r="M2738" i="5"/>
  <c r="L2738" i="5" s="1"/>
  <c r="W4558" i="5"/>
  <c r="AV3302" i="5"/>
  <c r="AW3302" i="5" s="1"/>
  <c r="AV3308" i="5"/>
  <c r="AW3308" i="5" s="1"/>
  <c r="AV3328" i="5"/>
  <c r="AW3328" i="5" s="1"/>
  <c r="AV3321" i="5"/>
  <c r="AW3321" i="5" s="1"/>
  <c r="AT1253" i="5"/>
  <c r="AM788" i="5"/>
  <c r="AT2266" i="5"/>
  <c r="AT2204" i="5"/>
  <c r="AM2190" i="5"/>
  <c r="M2787" i="5"/>
  <c r="L2787" i="5" s="1"/>
  <c r="AV3333" i="5"/>
  <c r="AW3333" i="5" s="1"/>
  <c r="AV3290" i="5"/>
  <c r="AW3290" i="5" s="1"/>
  <c r="AT1407" i="5"/>
  <c r="M2763" i="5"/>
  <c r="L2763" i="5" s="1"/>
  <c r="AV3325" i="5"/>
  <c r="AW3325" i="5" s="1"/>
  <c r="AV3291" i="5"/>
  <c r="AW3291" i="5" s="1"/>
  <c r="AM1448" i="5"/>
  <c r="AV3322" i="5"/>
  <c r="AW3322" i="5" s="1"/>
  <c r="AV3276" i="5"/>
  <c r="AW3276" i="5" s="1"/>
  <c r="AV3299" i="5"/>
  <c r="AW3299" i="5" s="1"/>
  <c r="M2785" i="5"/>
  <c r="L2785" i="5" s="1"/>
  <c r="AV3332" i="5"/>
  <c r="AW3332" i="5" s="1"/>
  <c r="AV3270" i="5"/>
  <c r="AW3270" i="5" s="1"/>
  <c r="AV3263" i="5"/>
  <c r="AW3263" i="5" s="1"/>
  <c r="AV3304" i="5"/>
  <c r="AW3304" i="5" s="1"/>
  <c r="AT814" i="5"/>
  <c r="AM1748" i="5"/>
  <c r="AM871" i="5"/>
  <c r="A5007" i="5"/>
  <c r="C5007" i="5" s="1"/>
  <c r="AM2371" i="5"/>
  <c r="AM962" i="5"/>
  <c r="AM1057" i="5"/>
  <c r="A3125" i="5"/>
  <c r="AM1365" i="5"/>
  <c r="AM421" i="5"/>
  <c r="AS2189" i="5"/>
  <c r="AM498" i="5"/>
  <c r="AM1170" i="5"/>
  <c r="AM393" i="5"/>
  <c r="AS1796" i="5"/>
  <c r="N3467" i="5"/>
  <c r="M3467" i="5" s="1"/>
  <c r="F3467" i="5" s="1"/>
  <c r="L3467" i="5" s="1"/>
  <c r="M2809" i="5"/>
  <c r="L2809" i="5" s="1"/>
  <c r="M2784" i="5"/>
  <c r="L2784" i="5" s="1"/>
  <c r="M2810" i="5"/>
  <c r="L2810" i="5" s="1"/>
  <c r="M2736" i="5"/>
  <c r="L2736" i="5" s="1"/>
  <c r="M2762" i="5"/>
  <c r="L2762" i="5" s="1"/>
  <c r="AM414" i="5"/>
  <c r="G4145" i="5"/>
  <c r="H4145" i="5" s="1"/>
  <c r="AM1211" i="5"/>
  <c r="T209" i="5"/>
  <c r="F213" i="5" s="1"/>
  <c r="AM2342" i="5"/>
  <c r="T4143" i="5"/>
  <c r="F4147" i="5" s="1"/>
  <c r="AM512" i="5"/>
  <c r="AM2204" i="5"/>
  <c r="AS2364" i="5"/>
  <c r="AT2316" i="5"/>
  <c r="AS2334" i="5"/>
  <c r="AT1504" i="5"/>
  <c r="AT941" i="5"/>
  <c r="AS1210" i="5"/>
  <c r="AS1322" i="5"/>
  <c r="AT1434" i="5"/>
  <c r="AM1840" i="5"/>
  <c r="AM589" i="5"/>
  <c r="AS1607" i="5"/>
  <c r="F4845" i="5"/>
  <c r="AS1872" i="5"/>
  <c r="AS2353" i="5"/>
  <c r="AS933" i="5"/>
  <c r="AT1428" i="5"/>
  <c r="AT962" i="5"/>
  <c r="AT1463" i="5"/>
  <c r="AT434" i="5"/>
  <c r="F3353" i="5"/>
  <c r="AS1592" i="5"/>
  <c r="AM1442" i="5"/>
  <c r="AT2035" i="5"/>
  <c r="AM1350" i="5"/>
  <c r="G213" i="5"/>
  <c r="H213" i="5" s="1"/>
  <c r="A3110" i="5"/>
  <c r="AM2267" i="5"/>
  <c r="AM1874" i="5"/>
  <c r="AS1768" i="5"/>
  <c r="M4357" i="5"/>
  <c r="F4357" i="5" s="1"/>
  <c r="N3462" i="5"/>
  <c r="N3472" i="5" s="1"/>
  <c r="M3472" i="5" s="1"/>
  <c r="F3472" i="5" s="1"/>
  <c r="L3472" i="5" s="1"/>
  <c r="N3453" i="5"/>
  <c r="AS1183" i="5"/>
  <c r="AT1183" i="5"/>
  <c r="AS1663" i="5"/>
  <c r="AT1663" i="5"/>
  <c r="AM344" i="5"/>
  <c r="AM442" i="5"/>
  <c r="AM1853" i="5"/>
  <c r="AM1831" i="5"/>
  <c r="AM1475" i="5"/>
  <c r="AM773" i="5"/>
  <c r="P3384" i="5"/>
  <c r="G3384" i="5" s="1"/>
  <c r="H3384" i="5" s="1"/>
  <c r="AM2168" i="5"/>
  <c r="AS1907" i="5"/>
  <c r="AM1267" i="5"/>
  <c r="AM766" i="5"/>
  <c r="G4792" i="5"/>
  <c r="H4792" i="5" s="1"/>
  <c r="AM976" i="5"/>
  <c r="AM1735" i="5"/>
  <c r="A3687" i="5"/>
  <c r="AT864" i="5"/>
  <c r="AM443" i="5"/>
  <c r="AM1875" i="5"/>
  <c r="AS2119" i="5"/>
  <c r="V3370" i="5"/>
  <c r="F3379" i="5" s="1"/>
  <c r="AM1288" i="5"/>
  <c r="AM2008" i="5"/>
  <c r="N3787" i="5"/>
  <c r="M3787" i="5" s="1"/>
  <c r="F3787" i="5" s="1"/>
  <c r="L3787" i="5" s="1"/>
  <c r="AS2287" i="5"/>
  <c r="AS596" i="5"/>
  <c r="AS1627" i="5"/>
  <c r="A5034" i="5"/>
  <c r="C5034" i="5" s="1"/>
  <c r="AT2001" i="5"/>
  <c r="AM336" i="5"/>
  <c r="AS343" i="5"/>
  <c r="AT2064" i="5"/>
  <c r="AM991" i="5"/>
  <c r="M3034" i="5"/>
  <c r="F3034" i="5" s="1"/>
  <c r="L3034" i="5" s="1"/>
  <c r="AQ3687" i="5"/>
  <c r="M2637" i="5"/>
  <c r="L2637" i="5" s="1"/>
  <c r="M2661" i="5"/>
  <c r="L2661" i="5" s="1"/>
  <c r="M2638" i="5"/>
  <c r="L2638" i="5" s="1"/>
  <c r="M2663" i="5"/>
  <c r="L2663" i="5" s="1"/>
  <c r="AS519" i="5"/>
  <c r="AT1232" i="5"/>
  <c r="AM2329" i="5"/>
  <c r="C5032" i="5"/>
  <c r="AM2205" i="5"/>
  <c r="W4540" i="5"/>
  <c r="AM2268" i="5"/>
  <c r="M2662" i="5"/>
  <c r="L2662" i="5" s="1"/>
  <c r="M2685" i="5"/>
  <c r="L2685" i="5" s="1"/>
  <c r="M2711" i="5"/>
  <c r="L2711" i="5" s="1"/>
  <c r="M2660" i="5"/>
  <c r="L2660" i="5" s="1"/>
  <c r="AT1330" i="5"/>
  <c r="AS1330" i="5"/>
  <c r="AS2162" i="5"/>
  <c r="AT2162" i="5"/>
  <c r="Z2619" i="5"/>
  <c r="M2642" i="5" s="1"/>
  <c r="L2642" i="5" s="1"/>
  <c r="AT1565" i="5"/>
  <c r="AS1565" i="5"/>
  <c r="AS1449" i="5"/>
  <c r="AT1449" i="5"/>
  <c r="AS1613" i="5"/>
  <c r="AT1613" i="5"/>
  <c r="M2686" i="5"/>
  <c r="L2686" i="5" s="1"/>
  <c r="AT1810" i="5"/>
  <c r="AS1810" i="5"/>
  <c r="AM717" i="5"/>
  <c r="AM624" i="5"/>
  <c r="AT1704" i="5"/>
  <c r="F3093" i="5"/>
  <c r="L3093" i="5" s="1"/>
  <c r="AV3320" i="5"/>
  <c r="AW3320" i="5" s="1"/>
  <c r="AS2370" i="5"/>
  <c r="AM2226" i="5"/>
  <c r="AM372" i="5"/>
  <c r="AS1462" i="5"/>
  <c r="AM581" i="5"/>
  <c r="AM1407" i="5"/>
  <c r="AM519" i="5"/>
  <c r="A3458" i="5"/>
  <c r="AM780" i="5"/>
  <c r="AM934" i="5"/>
  <c r="A4994" i="5"/>
  <c r="F4994" i="5" s="1"/>
  <c r="AO3785" i="5"/>
  <c r="AP3785" i="5" s="1"/>
  <c r="AR3785" i="5" s="1"/>
  <c r="AS905" i="5"/>
  <c r="AM2261" i="5"/>
  <c r="AM1783" i="5"/>
  <c r="AM899" i="5"/>
  <c r="AQ3785" i="5"/>
  <c r="AM568" i="5"/>
  <c r="AM1337" i="5"/>
  <c r="AM1218" i="5"/>
  <c r="D3785" i="5"/>
  <c r="AM1081" i="5"/>
  <c r="AM673" i="5"/>
  <c r="AM434" i="5"/>
  <c r="AM603" i="5"/>
  <c r="AM1386" i="5"/>
  <c r="AM2218" i="5"/>
  <c r="AM745" i="5"/>
  <c r="AM1455" i="5"/>
  <c r="AT372" i="5"/>
  <c r="AT1655" i="5"/>
  <c r="AT2301" i="5"/>
  <c r="AM533" i="5"/>
  <c r="AM1176" i="5"/>
  <c r="AM1052" i="5"/>
  <c r="F4990" i="5"/>
  <c r="AM583" i="5"/>
  <c r="AM331" i="5"/>
  <c r="AM1026" i="5"/>
  <c r="AT1259" i="5"/>
  <c r="AT1789" i="5"/>
  <c r="AM892" i="5"/>
  <c r="A4991" i="5"/>
  <c r="G4991" i="5" s="1"/>
  <c r="H4991" i="5" s="1"/>
  <c r="AM739" i="5"/>
  <c r="AT1379" i="5"/>
  <c r="AM1069" i="5"/>
  <c r="AM794" i="5"/>
  <c r="AO3791" i="5"/>
  <c r="AP3791" i="5" s="1"/>
  <c r="AR3791" i="5" s="1"/>
  <c r="AM710" i="5"/>
  <c r="D3456" i="5"/>
  <c r="A5000" i="5"/>
  <c r="G5000" i="5" s="1"/>
  <c r="H5000" i="5" s="1"/>
  <c r="AM379" i="5"/>
  <c r="AS822" i="5"/>
  <c r="AO3789" i="5"/>
  <c r="AP3789" i="5" s="1"/>
  <c r="AR3789" i="5" s="1"/>
  <c r="G28" i="11"/>
  <c r="N3701" i="5"/>
  <c r="N3710" i="5" s="1"/>
  <c r="M3710" i="5" s="1"/>
  <c r="F3710" i="5" s="1"/>
  <c r="L3710" i="5" s="1"/>
  <c r="AM816" i="5"/>
  <c r="AS1357" i="5"/>
  <c r="AV3108" i="5"/>
  <c r="AW3108" i="5" s="1"/>
  <c r="AY3108" i="5" s="1"/>
  <c r="AM801" i="5"/>
  <c r="AM1134" i="5"/>
  <c r="AS2036" i="5"/>
  <c r="AM569" i="5"/>
  <c r="AM948" i="5"/>
  <c r="AT1350" i="5"/>
  <c r="AS1350" i="5"/>
  <c r="G3910" i="5"/>
  <c r="H3910" i="5" s="1"/>
  <c r="F4747" i="5"/>
  <c r="AQ3789" i="5"/>
  <c r="AM1309" i="5"/>
  <c r="AM350" i="5"/>
  <c r="AM1316" i="5"/>
  <c r="AM1004" i="5"/>
  <c r="D3789" i="5"/>
  <c r="N3107" i="5"/>
  <c r="N3108" i="5" s="1"/>
  <c r="N3187" i="5" s="1"/>
  <c r="N3266" i="5" s="1"/>
  <c r="M3266" i="5" s="1"/>
  <c r="F3266" i="5" s="1"/>
  <c r="L3266" i="5" s="1"/>
  <c r="AM1266" i="5"/>
  <c r="AM1379" i="5"/>
  <c r="S3579" i="5"/>
  <c r="F3579" i="5" s="1"/>
  <c r="AM540" i="5"/>
  <c r="AS1487" i="5"/>
  <c r="R217" i="5"/>
  <c r="F219" i="5" s="1"/>
  <c r="A3791" i="5"/>
  <c r="AM2134" i="5"/>
  <c r="AM759" i="5"/>
  <c r="AS407" i="5"/>
  <c r="AM654" i="5"/>
  <c r="AT1733" i="5"/>
  <c r="AM1912" i="5"/>
  <c r="A5004" i="5"/>
  <c r="C5004" i="5" s="1"/>
  <c r="AT2148" i="5"/>
  <c r="G4993" i="5"/>
  <c r="H4993" i="5" s="1"/>
  <c r="AT1880" i="5"/>
  <c r="N3458" i="5"/>
  <c r="M3458" i="5" s="1"/>
  <c r="F3458" i="5" s="1"/>
  <c r="L3458" i="5" s="1"/>
  <c r="N3807" i="5"/>
  <c r="M3807" i="5" s="1"/>
  <c r="F3807" i="5" s="1"/>
  <c r="L3807" i="5" s="1"/>
  <c r="AM1039" i="5"/>
  <c r="AM913" i="5"/>
  <c r="AM309" i="5"/>
  <c r="AV3326" i="5"/>
  <c r="AW3326" i="5" s="1"/>
  <c r="M3105" i="5"/>
  <c r="F3105" i="5" s="1"/>
  <c r="L3105" i="5" s="1"/>
  <c r="N3185" i="5"/>
  <c r="N3264" i="5" s="1"/>
  <c r="M3264" i="5" s="1"/>
  <c r="F3264" i="5" s="1"/>
  <c r="L3264" i="5" s="1"/>
  <c r="AV3309" i="5"/>
  <c r="AW3309" i="5" s="1"/>
  <c r="M2983" i="5"/>
  <c r="F2983" i="5" s="1"/>
  <c r="L2983" i="5" s="1"/>
  <c r="AM850" i="5"/>
  <c r="AM2197" i="5"/>
  <c r="M2984" i="5"/>
  <c r="F2984" i="5" s="1"/>
  <c r="L2984" i="5" s="1"/>
  <c r="AS2365" i="5"/>
  <c r="AM1190" i="5"/>
  <c r="AT2239" i="5"/>
  <c r="N3795" i="5"/>
  <c r="N3217" i="5"/>
  <c r="N3296" i="5" s="1"/>
  <c r="M3296" i="5" s="1"/>
  <c r="F3296" i="5" s="1"/>
  <c r="L3296" i="5" s="1"/>
  <c r="AM1323" i="5"/>
  <c r="AM2072" i="5"/>
  <c r="AM365" i="5"/>
  <c r="AM1498" i="5"/>
  <c r="AM1469" i="5"/>
  <c r="F4609" i="5"/>
  <c r="AM678" i="5"/>
  <c r="AM1510" i="5"/>
  <c r="D3787" i="5"/>
  <c r="M2906" i="5"/>
  <c r="F2906" i="5" s="1"/>
  <c r="L2906" i="5" s="1"/>
  <c r="AM353" i="5"/>
  <c r="F4613" i="5"/>
  <c r="M2999" i="5"/>
  <c r="F2999" i="5" s="1"/>
  <c r="L2999" i="5" s="1"/>
  <c r="AT793" i="5"/>
  <c r="A3112" i="5"/>
  <c r="AM1183" i="5"/>
  <c r="AM927" i="5"/>
  <c r="AM1343" i="5"/>
  <c r="AT1011" i="5"/>
  <c r="Q4490" i="5"/>
  <c r="F4490" i="5" s="1"/>
  <c r="G4490" i="5"/>
  <c r="H4490" i="5" s="1"/>
  <c r="AS1336" i="5"/>
  <c r="A3692" i="5"/>
  <c r="AT1474" i="5"/>
  <c r="AV3289" i="5"/>
  <c r="AW3289" i="5" s="1"/>
  <c r="AQ3692" i="5"/>
  <c r="AM1763" i="5"/>
  <c r="AV3295" i="5"/>
  <c r="AW3295" i="5" s="1"/>
  <c r="AV3319" i="5"/>
  <c r="AW3319" i="5" s="1"/>
  <c r="D3692" i="5"/>
  <c r="A3456" i="5"/>
  <c r="AT1280" i="5"/>
  <c r="AQ3456" i="5"/>
  <c r="AM2079" i="5"/>
  <c r="AM1441" i="5"/>
  <c r="AM520" i="5"/>
  <c r="AM1253" i="5"/>
  <c r="AM1941" i="5"/>
  <c r="AV3122" i="5"/>
  <c r="AW3122" i="5" s="1"/>
  <c r="AY3122" i="5" s="1"/>
  <c r="AT484" i="5"/>
  <c r="AT955" i="5"/>
  <c r="AM1719" i="5"/>
  <c r="AM2317" i="5"/>
  <c r="AM997" i="5"/>
  <c r="AM1245" i="5"/>
  <c r="I4917" i="5"/>
  <c r="AV3128" i="5"/>
  <c r="AW3128" i="5" s="1"/>
  <c r="AY3128" i="5" s="1"/>
  <c r="AM428" i="5"/>
  <c r="AQ3453" i="5"/>
  <c r="AT1168" i="5"/>
  <c r="AM1768" i="5"/>
  <c r="AV3151" i="5"/>
  <c r="AW3151" i="5" s="1"/>
  <c r="AY3151" i="5" s="1"/>
  <c r="AT731" i="5"/>
  <c r="AS731" i="5"/>
  <c r="AM1579" i="5"/>
  <c r="AV3296" i="5"/>
  <c r="AW3296" i="5" s="1"/>
  <c r="AM596" i="5"/>
  <c r="AT899" i="5"/>
  <c r="AS1940" i="5"/>
  <c r="AT1940" i="5"/>
  <c r="AS655" i="5"/>
  <c r="AT655" i="5"/>
  <c r="AM1925" i="5"/>
  <c r="AT322" i="5"/>
  <c r="AS322" i="5"/>
  <c r="AM604" i="5"/>
  <c r="AM649" i="5"/>
  <c r="AT948" i="5"/>
  <c r="AS1823" i="5"/>
  <c r="AS710" i="5"/>
  <c r="AM1613" i="5"/>
  <c r="AS351" i="5"/>
  <c r="AT351" i="5"/>
  <c r="AM1162" i="5"/>
  <c r="D3688" i="5"/>
  <c r="AM618" i="5"/>
  <c r="AM2274" i="5"/>
  <c r="AV3133" i="5"/>
  <c r="AW3133" i="5" s="1"/>
  <c r="AY3133" i="5" s="1"/>
  <c r="D3686" i="5"/>
  <c r="AT1309" i="5"/>
  <c r="AM1161" i="5"/>
  <c r="AS849" i="5"/>
  <c r="AM1421" i="5"/>
  <c r="AM631" i="5"/>
  <c r="AM1463" i="5"/>
  <c r="AM2085" i="5"/>
  <c r="A3688" i="5"/>
  <c r="AM1372" i="5"/>
  <c r="AO3688" i="5"/>
  <c r="AP3688" i="5" s="1"/>
  <c r="AR3688" i="5" s="1"/>
  <c r="AV3297" i="5"/>
  <c r="AW3297" i="5" s="1"/>
  <c r="AS1147" i="5"/>
  <c r="AT1147" i="5"/>
  <c r="AS3784" i="5"/>
  <c r="AT990" i="5"/>
  <c r="AS990" i="5"/>
  <c r="AS766" i="5"/>
  <c r="AT766" i="5"/>
  <c r="AS934" i="5"/>
  <c r="AT934" i="5"/>
  <c r="AT2134" i="5"/>
  <c r="AS631" i="5"/>
  <c r="AT631" i="5"/>
  <c r="AS463" i="5"/>
  <c r="AT463" i="5"/>
  <c r="AS1017" i="5"/>
  <c r="AT1017" i="5"/>
  <c r="AS1176" i="5"/>
  <c r="AT1176" i="5"/>
  <c r="AS1315" i="5"/>
  <c r="AT1315" i="5"/>
  <c r="AV3269" i="5"/>
  <c r="AW3269" i="5" s="1"/>
  <c r="AM1225" i="5"/>
  <c r="AV3174" i="5"/>
  <c r="AW3174" i="5" s="1"/>
  <c r="AY3174" i="5" s="1"/>
  <c r="AM1760" i="5"/>
  <c r="D3791" i="5"/>
  <c r="AM1817" i="5"/>
  <c r="AV3164" i="5"/>
  <c r="AW3164" i="5" s="1"/>
  <c r="AY3164" i="5" s="1"/>
  <c r="AV3154" i="5"/>
  <c r="AW3154" i="5" s="1"/>
  <c r="AY3154" i="5" s="1"/>
  <c r="AM330" i="5"/>
  <c r="AM394" i="5"/>
  <c r="AV3171" i="5"/>
  <c r="AW3171" i="5" s="1"/>
  <c r="AY3171" i="5" s="1"/>
  <c r="AS2245" i="5"/>
  <c r="AM656" i="5"/>
  <c r="A3784" i="5"/>
  <c r="AM1140" i="5"/>
  <c r="AM617" i="5"/>
  <c r="AM323" i="5"/>
  <c r="A3169" i="5"/>
  <c r="C4990" i="5"/>
  <c r="AM505" i="5"/>
  <c r="AM597" i="5"/>
  <c r="A3165" i="5"/>
  <c r="AM506" i="5"/>
  <c r="A3131" i="5"/>
  <c r="AQ3691" i="5"/>
  <c r="A3115" i="5"/>
  <c r="AM1775" i="5"/>
  <c r="A3111" i="5"/>
  <c r="AM2309" i="5"/>
  <c r="AM1302" i="5"/>
  <c r="AM1726" i="5"/>
  <c r="A3153" i="5"/>
  <c r="AM1400" i="5"/>
  <c r="AM561" i="5"/>
  <c r="G4491" i="5"/>
  <c r="H4491" i="5" s="1"/>
  <c r="P4492" i="5"/>
  <c r="Q4492" i="5" s="1"/>
  <c r="F4492" i="5" s="1"/>
  <c r="AM1565" i="5"/>
  <c r="AM373" i="5"/>
  <c r="AM2233" i="5"/>
  <c r="AM1435" i="5"/>
  <c r="AM1880" i="5"/>
  <c r="AV3124" i="5"/>
  <c r="AW3124" i="5" s="1"/>
  <c r="AY3124" i="5" s="1"/>
  <c r="AM562" i="5"/>
  <c r="AM1155" i="5"/>
  <c r="AO3689" i="5"/>
  <c r="AP3689" i="5" s="1"/>
  <c r="AR3689" i="5" s="1"/>
  <c r="AM1747" i="5"/>
  <c r="AM1011" i="5"/>
  <c r="AS2273" i="5"/>
  <c r="AV3144" i="5"/>
  <c r="AW3144" i="5" s="1"/>
  <c r="AY3144" i="5" s="1"/>
  <c r="AM2302" i="5"/>
  <c r="AM1906" i="5"/>
  <c r="AM359" i="5"/>
  <c r="AM1148" i="5"/>
  <c r="AT1739" i="5"/>
  <c r="AS1739" i="5"/>
  <c r="AM2113" i="5"/>
  <c r="A3106" i="5"/>
  <c r="A3173" i="5"/>
  <c r="AM1260" i="5"/>
  <c r="AM1330" i="5"/>
  <c r="G4747" i="5"/>
  <c r="H4747" i="5" s="1"/>
  <c r="AM1782" i="5"/>
  <c r="AM401" i="5"/>
  <c r="AM470" i="5"/>
  <c r="AM499" i="5"/>
  <c r="M3695" i="5"/>
  <c r="F3695" i="5" s="1"/>
  <c r="L3695" i="5" s="1"/>
  <c r="AM625" i="5"/>
  <c r="AM1414" i="5"/>
  <c r="AM407" i="5"/>
  <c r="AM1428" i="5"/>
  <c r="AT2369" i="5"/>
  <c r="AM1838" i="5"/>
  <c r="A3168" i="5"/>
  <c r="AM1803" i="5"/>
  <c r="AM576" i="5"/>
  <c r="AV3126" i="5"/>
  <c r="AW3126" i="5" s="1"/>
  <c r="AY3126" i="5" s="1"/>
  <c r="AM1628" i="5"/>
  <c r="AM1481" i="5"/>
  <c r="AM415" i="5"/>
  <c r="AV3120" i="5"/>
  <c r="AW3120" i="5" s="1"/>
  <c r="AY3120" i="5" s="1"/>
  <c r="AS856" i="5"/>
  <c r="AT856" i="5"/>
  <c r="AS982" i="5"/>
  <c r="AT982" i="5"/>
  <c r="AM338" i="5"/>
  <c r="A3160" i="5"/>
  <c r="AM588" i="5"/>
  <c r="AS455" i="5"/>
  <c r="AT455" i="5"/>
  <c r="AT1038" i="5"/>
  <c r="AS1038" i="5"/>
  <c r="AT1399" i="5"/>
  <c r="AS1399" i="5"/>
  <c r="AM2330" i="5"/>
  <c r="AM477" i="5"/>
  <c r="AT787" i="5"/>
  <c r="AS787" i="5"/>
  <c r="AT1816" i="5"/>
  <c r="AS1816" i="5"/>
  <c r="AT1621" i="5"/>
  <c r="AS1621" i="5"/>
  <c r="AT2274" i="5"/>
  <c r="AV3159" i="5"/>
  <c r="AW3159" i="5" s="1"/>
  <c r="AY3159" i="5" s="1"/>
  <c r="AM400" i="5"/>
  <c r="AS758" i="5"/>
  <c r="AT758" i="5"/>
  <c r="AT843" i="5"/>
  <c r="AS843" i="5"/>
  <c r="AS870" i="5"/>
  <c r="AT870" i="5"/>
  <c r="AM637" i="5"/>
  <c r="AS511" i="5"/>
  <c r="AT511" i="5"/>
  <c r="AT2176" i="5"/>
  <c r="AS2176" i="5"/>
  <c r="AS1571" i="5"/>
  <c r="AT1571" i="5"/>
  <c r="AM1586" i="5"/>
  <c r="A3140" i="5"/>
  <c r="H4926" i="5"/>
  <c r="AM1274" i="5"/>
  <c r="AM661" i="5"/>
  <c r="AS2112" i="5"/>
  <c r="AT2112" i="5"/>
  <c r="AM1859" i="5"/>
  <c r="AT428" i="5"/>
  <c r="AS428" i="5"/>
  <c r="AS540" i="5"/>
  <c r="AT540" i="5"/>
  <c r="AT1365" i="5"/>
  <c r="AS1365" i="5"/>
  <c r="AS1455" i="5"/>
  <c r="AT1455" i="5"/>
  <c r="AS1760" i="5"/>
  <c r="AT1760" i="5"/>
  <c r="AT1774" i="5"/>
  <c r="O4609" i="5"/>
  <c r="F4632" i="5" s="1"/>
  <c r="AS1830" i="5"/>
  <c r="AS2085" i="5"/>
  <c r="AT2085" i="5"/>
  <c r="AM650" i="5"/>
  <c r="M2639" i="5"/>
  <c r="L2639" i="5" s="1"/>
  <c r="AM1887" i="5"/>
  <c r="AM408" i="5"/>
  <c r="AM547" i="5"/>
  <c r="F4628" i="5"/>
  <c r="AT1726" i="5"/>
  <c r="H47" i="11"/>
  <c r="H45" i="11"/>
  <c r="N47" i="11"/>
  <c r="N45" i="11"/>
  <c r="K26" i="11"/>
  <c r="K28" i="11"/>
  <c r="R45" i="11"/>
  <c r="R47" i="11"/>
  <c r="N26" i="11"/>
  <c r="N28" i="11"/>
  <c r="E26" i="11"/>
  <c r="E28" i="11"/>
  <c r="I47" i="11"/>
  <c r="I45" i="11"/>
  <c r="L28" i="11"/>
  <c r="L26" i="11"/>
  <c r="P23" i="11"/>
  <c r="C28" i="11"/>
  <c r="C26" i="11"/>
  <c r="D14" i="14"/>
  <c r="E45" i="11"/>
  <c r="P42" i="11"/>
  <c r="E47" i="11"/>
  <c r="J26" i="11"/>
  <c r="J28" i="11"/>
  <c r="N3466" i="5"/>
  <c r="M3466" i="5" s="1"/>
  <c r="F3466" i="5" s="1"/>
  <c r="L3466" i="5" s="1"/>
  <c r="AM2120" i="5"/>
  <c r="AM386" i="5"/>
  <c r="F47" i="11"/>
  <c r="F45" i="11"/>
  <c r="M45" i="11"/>
  <c r="M47" i="11"/>
  <c r="F26" i="11"/>
  <c r="F28" i="11"/>
  <c r="H26" i="11"/>
  <c r="H28" i="11"/>
  <c r="AM541" i="5"/>
  <c r="J47" i="11"/>
  <c r="J45" i="11"/>
  <c r="P43" i="11"/>
  <c r="D28" i="11"/>
  <c r="D26" i="11"/>
  <c r="G45" i="11"/>
  <c r="G47" i="11"/>
  <c r="D20" i="14"/>
  <c r="R22" i="14"/>
  <c r="K45" i="11"/>
  <c r="K47" i="11"/>
  <c r="L45" i="11"/>
  <c r="L47" i="11"/>
  <c r="G4404" i="5"/>
  <c r="H4404" i="5" s="1"/>
  <c r="P4405" i="5"/>
  <c r="AS2007" i="5"/>
  <c r="AT2007" i="5"/>
  <c r="AT1879" i="5"/>
  <c r="AS1879" i="5"/>
  <c r="AS1918" i="5"/>
  <c r="AT1918" i="5"/>
  <c r="G4855" i="5"/>
  <c r="H4855" i="5" s="1"/>
  <c r="M2882" i="5"/>
  <c r="F2882" i="5" s="1"/>
  <c r="L2882" i="5" s="1"/>
  <c r="AM484" i="5"/>
  <c r="AS1486" i="5"/>
  <c r="AT1486" i="5"/>
  <c r="AS1767" i="5"/>
  <c r="AT1767" i="5"/>
  <c r="M2928" i="5"/>
  <c r="F2928" i="5" s="1"/>
  <c r="L2928" i="5" s="1"/>
  <c r="AM724" i="5"/>
  <c r="AM575" i="5"/>
  <c r="AS2092" i="5"/>
  <c r="AT2092" i="5"/>
  <c r="R4844" i="5"/>
  <c r="W4844" i="5" s="1"/>
  <c r="F4858" i="5" s="1"/>
  <c r="AM1900" i="5"/>
  <c r="U4143" i="5"/>
  <c r="F4148" i="5" s="1"/>
  <c r="M3024" i="5"/>
  <c r="F3024" i="5" s="1"/>
  <c r="L3024" i="5" s="1"/>
  <c r="AV3175" i="5"/>
  <c r="AW3175" i="5" s="1"/>
  <c r="AY3175" i="5" s="1"/>
  <c r="AM444" i="5"/>
  <c r="AM1259" i="5"/>
  <c r="N3803" i="5"/>
  <c r="M3803" i="5" s="1"/>
  <c r="F3803" i="5" s="1"/>
  <c r="L3803" i="5" s="1"/>
  <c r="AM1106" i="5"/>
  <c r="AS1599" i="5"/>
  <c r="AT1599" i="5"/>
  <c r="U4142" i="5"/>
  <c r="F4146" i="5" s="1"/>
  <c r="A3117" i="5"/>
  <c r="AQ3686" i="5"/>
  <c r="A3686" i="5"/>
  <c r="AS1628" i="5"/>
  <c r="AT1628" i="5"/>
  <c r="AS1929" i="5"/>
  <c r="AT1929" i="5"/>
  <c r="AS1852" i="5"/>
  <c r="AT1852" i="5"/>
  <c r="AV3274" i="5"/>
  <c r="AW3274" i="5" s="1"/>
  <c r="AV3315" i="5"/>
  <c r="AW3315" i="5" s="1"/>
  <c r="AV3307" i="5"/>
  <c r="AW3307" i="5" s="1"/>
  <c r="AV3311" i="5"/>
  <c r="AW3311" i="5" s="1"/>
  <c r="AV3283" i="5"/>
  <c r="AW3283" i="5" s="1"/>
  <c r="AM1197" i="5"/>
  <c r="AM491" i="5"/>
  <c r="D3691" i="5"/>
  <c r="AO3691" i="5"/>
  <c r="AP3691" i="5" s="1"/>
  <c r="AR3691" i="5" s="1"/>
  <c r="AS1941" i="5"/>
  <c r="AT1941" i="5"/>
  <c r="AS2175" i="5"/>
  <c r="AT2175" i="5"/>
  <c r="D4847" i="5"/>
  <c r="F4847" i="5" s="1"/>
  <c r="F4844" i="5"/>
  <c r="AM1923" i="5"/>
  <c r="AM1930" i="5"/>
  <c r="AM526" i="5"/>
  <c r="A3167" i="5"/>
  <c r="AM548" i="5"/>
  <c r="AM667" i="5"/>
  <c r="A3451" i="5"/>
  <c r="AS2155" i="5"/>
  <c r="AT1004" i="5"/>
  <c r="AQ3451" i="5"/>
  <c r="AQ3455" i="5"/>
  <c r="A3455" i="5"/>
  <c r="AO3455" i="5"/>
  <c r="AP3455" i="5" s="1"/>
  <c r="AR3455" i="5" s="1"/>
  <c r="D3455" i="5"/>
  <c r="P4843" i="5"/>
  <c r="U4842" i="5"/>
  <c r="AT309" i="5"/>
  <c r="A3156" i="5"/>
  <c r="AT2043" i="5"/>
  <c r="G4148" i="5"/>
  <c r="H4148" i="5" s="1"/>
  <c r="AM1872" i="5"/>
  <c r="M3456" i="5"/>
  <c r="F3456" i="5" s="1"/>
  <c r="L3456" i="5" s="1"/>
  <c r="AM679" i="5"/>
  <c r="AM1936" i="5"/>
  <c r="G4146" i="5"/>
  <c r="H4146" i="5" s="1"/>
  <c r="AV3121" i="5"/>
  <c r="AW3121" i="5" s="1"/>
  <c r="AY3121" i="5" s="1"/>
  <c r="A3152" i="5"/>
  <c r="AM644" i="5"/>
  <c r="AO3451" i="5"/>
  <c r="AP3451" i="5" s="1"/>
  <c r="AR3451" i="5" s="1"/>
  <c r="C5143" i="5"/>
  <c r="I5143" i="5"/>
  <c r="G3357" i="5"/>
  <c r="H3357" i="5" s="1"/>
  <c r="F4656" i="5"/>
  <c r="AT1448" i="5"/>
  <c r="AS1448" i="5"/>
  <c r="AS1481" i="5"/>
  <c r="AT1481" i="5"/>
  <c r="AM358" i="5"/>
  <c r="AS1302" i="5"/>
  <c r="AT1302" i="5"/>
  <c r="AS1246" i="5"/>
  <c r="AT1246" i="5"/>
  <c r="U217" i="5"/>
  <c r="F222" i="5" s="1"/>
  <c r="G222" i="5"/>
  <c r="H222" i="5" s="1"/>
  <c r="W4579" i="5"/>
  <c r="W4580" i="5"/>
  <c r="F4592" i="5"/>
  <c r="AM1663" i="5"/>
  <c r="AM302" i="5"/>
  <c r="AT1161" i="5"/>
  <c r="AS1161" i="5"/>
  <c r="AS1697" i="5"/>
  <c r="AT1697" i="5"/>
  <c r="AS1993" i="5"/>
  <c r="AT1993" i="5"/>
  <c r="AM1238" i="5"/>
  <c r="AM1239" i="5"/>
  <c r="AM449" i="5"/>
  <c r="AM448" i="5"/>
  <c r="F4652" i="5"/>
  <c r="AS1505" i="5"/>
  <c r="AT1505" i="5"/>
  <c r="AT1782" i="5"/>
  <c r="AS1782" i="5"/>
  <c r="G1110" i="5"/>
  <c r="H1110" i="5" s="1"/>
  <c r="AT1492" i="5"/>
  <c r="AS1492" i="5"/>
  <c r="AT1924" i="5"/>
  <c r="AS1924" i="5"/>
  <c r="N3799" i="5"/>
  <c r="M3790" i="5"/>
  <c r="F3790" i="5" s="1"/>
  <c r="L3790" i="5" s="1"/>
  <c r="N3791" i="5"/>
  <c r="AS1358" i="5"/>
  <c r="AT1358" i="5"/>
  <c r="AT919" i="5"/>
  <c r="AS919" i="5"/>
  <c r="AS1670" i="5"/>
  <c r="AT1670" i="5"/>
  <c r="AM553" i="5"/>
  <c r="AM554" i="5"/>
  <c r="AS1329" i="5"/>
  <c r="AT1329" i="5"/>
  <c r="AM1393" i="5"/>
  <c r="AM1392" i="5"/>
  <c r="AV3114" i="5"/>
  <c r="AW3114" i="5" s="1"/>
  <c r="AY3114" i="5" s="1"/>
  <c r="AM1677" i="5"/>
  <c r="AV3109" i="5"/>
  <c r="AW3109" i="5" s="1"/>
  <c r="AY3109" i="5" s="1"/>
  <c r="AT1614" i="5"/>
  <c r="AS1614" i="5"/>
  <c r="AT2315" i="5"/>
  <c r="AS2315" i="5"/>
  <c r="AM1739" i="5"/>
  <c r="AO3788" i="5"/>
  <c r="AP3788" i="5" s="1"/>
  <c r="AR3788" i="5" s="1"/>
  <c r="A3788" i="5"/>
  <c r="AT2260" i="5"/>
  <c r="AS2260" i="5"/>
  <c r="A3790" i="5"/>
  <c r="AQ3790" i="5"/>
  <c r="AO3790" i="5"/>
  <c r="AP3790" i="5" s="1"/>
  <c r="AR3790" i="5" s="1"/>
  <c r="D3790" i="5"/>
  <c r="M3007" i="5"/>
  <c r="F3007" i="5" s="1"/>
  <c r="L3007" i="5" s="1"/>
  <c r="M2959" i="5"/>
  <c r="F2959" i="5" s="1"/>
  <c r="L2959" i="5" s="1"/>
  <c r="AM1493" i="5"/>
  <c r="AM2050" i="5"/>
  <c r="F4670" i="5"/>
  <c r="AM983" i="5"/>
  <c r="AM436" i="5"/>
  <c r="AM829" i="5"/>
  <c r="AM2360" i="5"/>
  <c r="AM2009" i="5"/>
  <c r="AT1886" i="5"/>
  <c r="AT2126" i="5"/>
  <c r="AM1705" i="5"/>
  <c r="AV3146" i="5"/>
  <c r="AW3146" i="5" s="1"/>
  <c r="AY3146" i="5" s="1"/>
  <c r="AV3161" i="5"/>
  <c r="AW3161" i="5" s="1"/>
  <c r="AY3161" i="5" s="1"/>
  <c r="M2779" i="5"/>
  <c r="L2779" i="5" s="1"/>
  <c r="A3150" i="5"/>
  <c r="M2800" i="5"/>
  <c r="L2800" i="5" s="1"/>
  <c r="AM1866" i="5"/>
  <c r="AM1796" i="5"/>
  <c r="AM570" i="5"/>
  <c r="M2752" i="5"/>
  <c r="L2752" i="5" s="1"/>
  <c r="AV3107" i="5"/>
  <c r="AW3107" i="5" s="1"/>
  <c r="AY3107" i="5" s="1"/>
  <c r="AM2044" i="5"/>
  <c r="D3690" i="5"/>
  <c r="AM864" i="5"/>
  <c r="AO3690" i="5"/>
  <c r="AP3690" i="5" s="1"/>
  <c r="AR3690" i="5" s="1"/>
  <c r="M2633" i="5"/>
  <c r="L2633" i="5" s="1"/>
  <c r="AQ3690" i="5"/>
  <c r="AM1994" i="5"/>
  <c r="M2704" i="5"/>
  <c r="L2704" i="5" s="1"/>
  <c r="AM464" i="5"/>
  <c r="A3149" i="5"/>
  <c r="AM638" i="5"/>
  <c r="AM611" i="5"/>
  <c r="A3104" i="5"/>
  <c r="AM730" i="5"/>
  <c r="AM731" i="5"/>
  <c r="AM2128" i="5"/>
  <c r="AM485" i="5"/>
  <c r="AT1802" i="5"/>
  <c r="AS1802" i="5"/>
  <c r="AT2252" i="5"/>
  <c r="AS2252" i="5"/>
  <c r="AV3141" i="5"/>
  <c r="AW3141" i="5" s="1"/>
  <c r="AY3141" i="5" s="1"/>
  <c r="AS2071" i="5"/>
  <c r="AT2071" i="5"/>
  <c r="AT2196" i="5"/>
  <c r="AS2196" i="5"/>
  <c r="AS2341" i="5"/>
  <c r="AT2341" i="5"/>
  <c r="M2708" i="5"/>
  <c r="L2708" i="5" s="1"/>
  <c r="M2684" i="5"/>
  <c r="L2684" i="5" s="1"/>
  <c r="M2709" i="5"/>
  <c r="L2709" i="5" s="1"/>
  <c r="M2636" i="5"/>
  <c r="L2636" i="5" s="1"/>
  <c r="M2710" i="5"/>
  <c r="L2710" i="5" s="1"/>
  <c r="M2930" i="5"/>
  <c r="F2930" i="5" s="1"/>
  <c r="L2930" i="5" s="1"/>
  <c r="M2855" i="5"/>
  <c r="F2855" i="5" s="1"/>
  <c r="L2855" i="5" s="1"/>
  <c r="M2929" i="5"/>
  <c r="F2929" i="5" s="1"/>
  <c r="L2929" i="5" s="1"/>
  <c r="M3002" i="5"/>
  <c r="F3002" i="5" s="1"/>
  <c r="L3002" i="5" s="1"/>
  <c r="M2857" i="5"/>
  <c r="F2857" i="5" s="1"/>
  <c r="L2857" i="5" s="1"/>
  <c r="M3000" i="5"/>
  <c r="F3000" i="5" s="1"/>
  <c r="L3000" i="5" s="1"/>
  <c r="M2954" i="5"/>
  <c r="F2954" i="5" s="1"/>
  <c r="L2954" i="5" s="1"/>
  <c r="M2880" i="5"/>
  <c r="F2880" i="5" s="1"/>
  <c r="L2880" i="5" s="1"/>
  <c r="M2927" i="5"/>
  <c r="F2927" i="5" s="1"/>
  <c r="L2927" i="5" s="1"/>
  <c r="M2952" i="5"/>
  <c r="F2952" i="5" s="1"/>
  <c r="L2952" i="5" s="1"/>
  <c r="M2903" i="5"/>
  <c r="F2903" i="5" s="1"/>
  <c r="L2903" i="5" s="1"/>
  <c r="M3001" i="5"/>
  <c r="F3001" i="5" s="1"/>
  <c r="L3001" i="5" s="1"/>
  <c r="M2978" i="5"/>
  <c r="F2978" i="5" s="1"/>
  <c r="L2978" i="5" s="1"/>
  <c r="M2975" i="5"/>
  <c r="F2975" i="5" s="1"/>
  <c r="L2975" i="5" s="1"/>
  <c r="M2856" i="5"/>
  <c r="F2856" i="5" s="1"/>
  <c r="L2856" i="5" s="1"/>
  <c r="M3023" i="5"/>
  <c r="F3023" i="5" s="1"/>
  <c r="L3023" i="5" s="1"/>
  <c r="M2905" i="5"/>
  <c r="F2905" i="5" s="1"/>
  <c r="L2905" i="5" s="1"/>
  <c r="M2881" i="5"/>
  <c r="F2881" i="5" s="1"/>
  <c r="L2881" i="5" s="1"/>
  <c r="M2976" i="5"/>
  <c r="F2976" i="5" s="1"/>
  <c r="L2976" i="5" s="1"/>
  <c r="M3025" i="5"/>
  <c r="F3025" i="5" s="1"/>
  <c r="L3025" i="5" s="1"/>
  <c r="M2953" i="5"/>
  <c r="F2953" i="5" s="1"/>
  <c r="L2953" i="5" s="1"/>
  <c r="M2904" i="5"/>
  <c r="F2904" i="5" s="1"/>
  <c r="L2904" i="5" s="1"/>
  <c r="M2951" i="5"/>
  <c r="F2951" i="5" s="1"/>
  <c r="L2951" i="5" s="1"/>
  <c r="M2977" i="5"/>
  <c r="F2977" i="5" s="1"/>
  <c r="L2977" i="5" s="1"/>
  <c r="M2879" i="5"/>
  <c r="F2879" i="5" s="1"/>
  <c r="L2879" i="5" s="1"/>
  <c r="M3026" i="5"/>
  <c r="F3026" i="5" s="1"/>
  <c r="L3026" i="5" s="1"/>
  <c r="AM1075" i="5"/>
  <c r="AM2391" i="5"/>
  <c r="AM2366" i="5"/>
  <c r="AT1831" i="5"/>
  <c r="AS1831" i="5"/>
  <c r="M2634" i="5"/>
  <c r="L2634" i="5" s="1"/>
  <c r="M2777" i="5"/>
  <c r="L2777" i="5" s="1"/>
  <c r="M2635" i="5"/>
  <c r="L2635" i="5" s="1"/>
  <c r="M2680" i="5"/>
  <c r="L2680" i="5" s="1"/>
  <c r="M2755" i="5"/>
  <c r="L2755" i="5" s="1"/>
  <c r="M2659" i="5"/>
  <c r="L2659" i="5" s="1"/>
  <c r="M2656" i="5"/>
  <c r="L2656" i="5" s="1"/>
  <c r="M2776" i="5"/>
  <c r="L2776" i="5" s="1"/>
  <c r="M2705" i="5"/>
  <c r="L2705" i="5" s="1"/>
  <c r="M2681" i="5"/>
  <c r="L2681" i="5" s="1"/>
  <c r="M2706" i="5"/>
  <c r="L2706" i="5" s="1"/>
  <c r="M2682" i="5"/>
  <c r="L2682" i="5" s="1"/>
  <c r="M2778" i="5"/>
  <c r="L2778" i="5" s="1"/>
  <c r="M2707" i="5"/>
  <c r="L2707" i="5" s="1"/>
  <c r="M2632" i="5"/>
  <c r="L2632" i="5" s="1"/>
  <c r="M2731" i="5"/>
  <c r="L2731" i="5" s="1"/>
  <c r="M2801" i="5"/>
  <c r="L2801" i="5" s="1"/>
  <c r="M2683" i="5"/>
  <c r="L2683" i="5" s="1"/>
  <c r="M2802" i="5"/>
  <c r="L2802" i="5" s="1"/>
  <c r="M2657" i="5"/>
  <c r="L2657" i="5" s="1"/>
  <c r="M2658" i="5"/>
  <c r="L2658" i="5" s="1"/>
  <c r="M2803" i="5"/>
  <c r="L2803" i="5" s="1"/>
  <c r="M2754" i="5"/>
  <c r="L2754" i="5" s="1"/>
  <c r="M2729" i="5"/>
  <c r="L2729" i="5" s="1"/>
  <c r="M2753" i="5"/>
  <c r="L2753" i="5" s="1"/>
  <c r="M2730" i="5"/>
  <c r="L2730" i="5" s="1"/>
  <c r="AM836" i="5"/>
  <c r="AM940" i="5"/>
  <c r="AM941" i="5"/>
  <c r="AT2183" i="5"/>
  <c r="AS2183" i="5"/>
  <c r="AS2352" i="5"/>
  <c r="AT2352" i="5"/>
  <c r="AM955" i="5"/>
  <c r="AT2328" i="5"/>
  <c r="AS2328" i="5"/>
  <c r="AM2310" i="5"/>
  <c r="AM2211" i="5"/>
  <c r="AM2212" i="5"/>
  <c r="AM808" i="5"/>
  <c r="AM920" i="5"/>
  <c r="D4627" i="5"/>
  <c r="F4627" i="5" s="1"/>
  <c r="AS3685" i="5"/>
  <c r="AO3685" i="5"/>
  <c r="AP3685" i="5" s="1"/>
  <c r="AR3685" i="5" s="1"/>
  <c r="A3685" i="5"/>
  <c r="AS2022" i="5"/>
  <c r="AT2022" i="5"/>
  <c r="AM324" i="5"/>
  <c r="AM1204" i="5"/>
  <c r="AM1205" i="5"/>
  <c r="AS2105" i="5"/>
  <c r="AT2105" i="5"/>
  <c r="AS2161" i="5"/>
  <c r="AT2161" i="5"/>
  <c r="AS1905" i="5"/>
  <c r="AT1905" i="5"/>
  <c r="AT1421" i="5"/>
  <c r="AS1421" i="5"/>
  <c r="AM1282" i="5"/>
  <c r="AM1281" i="5"/>
  <c r="AM1698" i="5"/>
  <c r="AT1935" i="5"/>
  <c r="AS1935" i="5"/>
  <c r="AV3155" i="5"/>
  <c r="AW3155" i="5" s="1"/>
  <c r="AY3155" i="5" s="1"/>
  <c r="A3155" i="5"/>
  <c r="AT1838" i="5"/>
  <c r="AS1838" i="5"/>
  <c r="AT2049" i="5"/>
  <c r="AS2049" i="5"/>
  <c r="A3103" i="5"/>
  <c r="AV3103" i="5"/>
  <c r="AW3103" i="5" s="1"/>
  <c r="AY3103" i="5" s="1"/>
  <c r="AV3119" i="5"/>
  <c r="AW3119" i="5" s="1"/>
  <c r="AY3119" i="5" s="1"/>
  <c r="A3119" i="5"/>
  <c r="AV3135" i="5"/>
  <c r="AW3135" i="5" s="1"/>
  <c r="AY3135" i="5" s="1"/>
  <c r="A3135" i="5"/>
  <c r="AV3158" i="5"/>
  <c r="AW3158" i="5" s="1"/>
  <c r="AY3158" i="5" s="1"/>
  <c r="A3158" i="5"/>
  <c r="AS1865" i="5"/>
  <c r="AT1865" i="5"/>
  <c r="AT1753" i="5"/>
  <c r="AS1753" i="5"/>
  <c r="AO3450" i="5"/>
  <c r="AP3450" i="5" s="1"/>
  <c r="AR3450" i="5" s="1"/>
  <c r="AS3450" i="5"/>
  <c r="A3450" i="5"/>
  <c r="AS1911" i="5"/>
  <c r="AT1911" i="5"/>
  <c r="C4767" i="5"/>
  <c r="F4767" i="5"/>
  <c r="G4767" i="5"/>
  <c r="H4767" i="5" s="1"/>
  <c r="AQ3457" i="5"/>
  <c r="D3457" i="5"/>
  <c r="A3457" i="5"/>
  <c r="AO3457" i="5"/>
  <c r="AP3457" i="5" s="1"/>
  <c r="AR3457" i="5" s="1"/>
  <c r="AS2232" i="5"/>
  <c r="AT2232" i="5"/>
  <c r="AS2259" i="5"/>
  <c r="AT2259" i="5"/>
  <c r="AV3137" i="5"/>
  <c r="AW3137" i="5" s="1"/>
  <c r="AY3137" i="5" s="1"/>
  <c r="A3137" i="5"/>
  <c r="AV3134" i="5"/>
  <c r="AW3134" i="5" s="1"/>
  <c r="AY3134" i="5" s="1"/>
  <c r="A3134" i="5"/>
  <c r="A3127" i="5"/>
  <c r="AV3127" i="5"/>
  <c r="AW3127" i="5" s="1"/>
  <c r="AY3127" i="5" s="1"/>
  <c r="A3132" i="5"/>
  <c r="AV3132" i="5"/>
  <c r="AW3132" i="5" s="1"/>
  <c r="AY3132" i="5" s="1"/>
  <c r="A3138" i="5"/>
  <c r="AV3138" i="5"/>
  <c r="AW3138" i="5" s="1"/>
  <c r="AY3138" i="5" s="1"/>
  <c r="A3145" i="5"/>
  <c r="AV3145" i="5"/>
  <c r="AW3145" i="5" s="1"/>
  <c r="AY3145" i="5" s="1"/>
  <c r="AM1732" i="5"/>
  <c r="AM1733" i="5"/>
  <c r="AV3162" i="5"/>
  <c r="AW3162" i="5" s="1"/>
  <c r="AY3162" i="5" s="1"/>
  <c r="A3162" i="5"/>
  <c r="A3105" i="5"/>
  <c r="AV3105" i="5"/>
  <c r="AW3105" i="5" s="1"/>
  <c r="AY3105" i="5" s="1"/>
  <c r="A3142" i="5"/>
  <c r="AV3142" i="5"/>
  <c r="AW3142" i="5" s="1"/>
  <c r="AY3142" i="5" s="1"/>
  <c r="AV3166" i="5"/>
  <c r="AW3166" i="5" s="1"/>
  <c r="AY3166" i="5" s="1"/>
  <c r="A3166" i="5"/>
  <c r="AM535" i="5"/>
  <c r="AM534" i="5"/>
  <c r="M3199" i="5"/>
  <c r="F3199" i="5" s="1"/>
  <c r="L3199" i="5" s="1"/>
  <c r="N3278" i="5"/>
  <c r="M3278" i="5" s="1"/>
  <c r="F3278" i="5" s="1"/>
  <c r="L3278" i="5" s="1"/>
  <c r="AM471" i="5"/>
  <c r="A3148" i="5"/>
  <c r="AV3148" i="5"/>
  <c r="AW3148" i="5" s="1"/>
  <c r="AY3148" i="5" s="1"/>
  <c r="AV3123" i="5"/>
  <c r="AW3123" i="5" s="1"/>
  <c r="AY3123" i="5" s="1"/>
  <c r="A3123" i="5"/>
  <c r="A3116" i="5"/>
  <c r="AV3116" i="5"/>
  <c r="AW3116" i="5" s="1"/>
  <c r="AY3116" i="5" s="1"/>
  <c r="A3157" i="5"/>
  <c r="AV3157" i="5"/>
  <c r="AW3157" i="5" s="1"/>
  <c r="AY3157" i="5" s="1"/>
  <c r="AV3172" i="5"/>
  <c r="AW3172" i="5" s="1"/>
  <c r="AY3172" i="5" s="1"/>
  <c r="A3172" i="5"/>
  <c r="AM663" i="5"/>
  <c r="AM662" i="5"/>
  <c r="AT1747" i="5"/>
  <c r="AS1747" i="5"/>
  <c r="AS1859" i="5"/>
  <c r="AT1859" i="5"/>
  <c r="AM1669" i="5"/>
  <c r="AM1670" i="5"/>
  <c r="AM668" i="5"/>
  <c r="AM669" i="5"/>
  <c r="AM513" i="5"/>
  <c r="AT2014" i="5"/>
  <c r="AS2014" i="5"/>
  <c r="W4917" i="5"/>
  <c r="F4929" i="5" s="1"/>
  <c r="R4918" i="5"/>
  <c r="AS2197" i="5"/>
  <c r="AT2197" i="5"/>
  <c r="A3129" i="5"/>
  <c r="AV3129" i="5"/>
  <c r="AW3129" i="5" s="1"/>
  <c r="AY3129" i="5" s="1"/>
  <c r="AV3139" i="5"/>
  <c r="AW3139" i="5" s="1"/>
  <c r="AY3139" i="5" s="1"/>
  <c r="A3139" i="5"/>
  <c r="AV3143" i="5"/>
  <c r="AW3143" i="5" s="1"/>
  <c r="AY3143" i="5" s="1"/>
  <c r="A3143" i="5"/>
  <c r="AV3147" i="5"/>
  <c r="AW3147" i="5" s="1"/>
  <c r="AY3147" i="5" s="1"/>
  <c r="A3147" i="5"/>
  <c r="AM591" i="5"/>
  <c r="AM590" i="5"/>
  <c r="N3696" i="5"/>
  <c r="N3688" i="5"/>
  <c r="AV3136" i="5"/>
  <c r="AW3136" i="5" s="1"/>
  <c r="AY3136" i="5" s="1"/>
  <c r="A3136" i="5"/>
  <c r="A3163" i="5"/>
  <c r="AV3163" i="5"/>
  <c r="AW3163" i="5" s="1"/>
  <c r="AY3163" i="5" s="1"/>
  <c r="AV3170" i="5"/>
  <c r="AW3170" i="5" s="1"/>
  <c r="AY3170" i="5" s="1"/>
  <c r="A3170" i="5"/>
  <c r="AM1809" i="5"/>
  <c r="AM1810" i="5"/>
  <c r="F4352" i="5"/>
  <c r="M4356" i="5"/>
  <c r="G221" i="5"/>
  <c r="H221" i="5" s="1"/>
  <c r="T217" i="5"/>
  <c r="F221" i="5" s="1"/>
  <c r="AT2099" i="5"/>
  <c r="AS2099" i="5"/>
  <c r="AS2224" i="5"/>
  <c r="AT2224" i="5"/>
  <c r="AT2253" i="5"/>
  <c r="AS2253" i="5"/>
  <c r="AV3130" i="5"/>
  <c r="AW3130" i="5" s="1"/>
  <c r="AY3130" i="5" s="1"/>
  <c r="A3130" i="5"/>
  <c r="AT2182" i="5"/>
  <c r="AS2182" i="5"/>
  <c r="A3113" i="5"/>
  <c r="AV3113" i="5"/>
  <c r="AW3113" i="5" s="1"/>
  <c r="AY3113" i="5" s="1"/>
  <c r="AM1893" i="5"/>
  <c r="AM1894" i="5"/>
  <c r="N3200" i="5"/>
  <c r="N3122" i="5"/>
  <c r="M3121" i="5"/>
  <c r="F3121" i="5" s="1"/>
  <c r="L3121" i="5" s="1"/>
  <c r="AM1599" i="5"/>
  <c r="AM1600" i="5"/>
  <c r="AM422" i="5"/>
  <c r="AM366" i="5"/>
  <c r="Q4145" i="5"/>
  <c r="U4145" i="5" s="1"/>
  <c r="F4152" i="5" s="1"/>
  <c r="AM633" i="5"/>
  <c r="AM632" i="5"/>
  <c r="AM429" i="5"/>
  <c r="AM478" i="5"/>
  <c r="AM310" i="5"/>
  <c r="AM493" i="5"/>
  <c r="AM492" i="5"/>
  <c r="AM1788" i="5"/>
  <c r="AM1789" i="5"/>
  <c r="AM304" i="5"/>
  <c r="AM303" i="5"/>
  <c r="AM674" i="5"/>
  <c r="AM675" i="5"/>
  <c r="AM1649" i="5"/>
  <c r="AM1648" i="5"/>
  <c r="AM318" i="5"/>
  <c r="AM317" i="5"/>
  <c r="AM556" i="5"/>
  <c r="AM555" i="5"/>
  <c r="AM1690" i="5"/>
  <c r="AM1691" i="5"/>
  <c r="AM380" i="5"/>
  <c r="AM381" i="5"/>
  <c r="AM527" i="5"/>
  <c r="AM1918" i="5"/>
  <c r="AM1917" i="5"/>
  <c r="AM388" i="5"/>
  <c r="AM387" i="5"/>
  <c r="AM1851" i="5"/>
  <c r="AM1852" i="5"/>
  <c r="AM346" i="5"/>
  <c r="AM345" i="5"/>
  <c r="AM1753" i="5"/>
  <c r="AM1754" i="5"/>
  <c r="AM1606" i="5"/>
  <c r="AM1607" i="5"/>
  <c r="AM1634" i="5"/>
  <c r="AM1635" i="5"/>
  <c r="Q4375" i="5"/>
  <c r="F4375" i="5" s="1"/>
  <c r="AM1593" i="5"/>
  <c r="AM451" i="5"/>
  <c r="AM450" i="5"/>
  <c r="AM457" i="5"/>
  <c r="G4150" i="5"/>
  <c r="H4150" i="5" s="1"/>
  <c r="I4920" i="5"/>
  <c r="H4920" i="5"/>
  <c r="AQ3803" i="5"/>
  <c r="D3803" i="5"/>
  <c r="A3803" i="5"/>
  <c r="AO3803" i="5"/>
  <c r="AP3803" i="5" s="1"/>
  <c r="AR3803" i="5" s="1"/>
  <c r="G4438" i="5"/>
  <c r="H4438" i="5" s="1"/>
  <c r="P4439" i="5"/>
  <c r="A3710" i="5"/>
  <c r="D3710" i="5"/>
  <c r="AO3710" i="5"/>
  <c r="AP3710" i="5" s="1"/>
  <c r="AR3710" i="5" s="1"/>
  <c r="AQ3710" i="5"/>
  <c r="A3478" i="5"/>
  <c r="AO3478" i="5"/>
  <c r="AP3478" i="5" s="1"/>
  <c r="AR3478" i="5" s="1"/>
  <c r="M3010" i="5"/>
  <c r="F3010" i="5" s="1"/>
  <c r="L3010" i="5" s="1"/>
  <c r="M3032" i="5"/>
  <c r="F3032" i="5" s="1"/>
  <c r="L3032" i="5" s="1"/>
  <c r="M3008" i="5"/>
  <c r="F3008" i="5" s="1"/>
  <c r="L3008" i="5" s="1"/>
  <c r="M3031" i="5"/>
  <c r="F3031" i="5" s="1"/>
  <c r="L3031" i="5" s="1"/>
  <c r="M3033" i="5"/>
  <c r="F3033" i="5" s="1"/>
  <c r="L3033" i="5" s="1"/>
  <c r="M2960" i="5"/>
  <c r="F2960" i="5" s="1"/>
  <c r="L2960" i="5" s="1"/>
  <c r="M2962" i="5"/>
  <c r="F2962" i="5" s="1"/>
  <c r="L2962" i="5" s="1"/>
  <c r="M2961" i="5"/>
  <c r="F2961" i="5" s="1"/>
  <c r="L2961" i="5" s="1"/>
  <c r="M2985" i="5"/>
  <c r="F2985" i="5" s="1"/>
  <c r="L2985" i="5" s="1"/>
  <c r="M2986" i="5"/>
  <c r="F2986" i="5" s="1"/>
  <c r="L2986" i="5" s="1"/>
  <c r="Q3386" i="5"/>
  <c r="Q3387" i="5" s="1"/>
  <c r="D4851" i="5"/>
  <c r="R4992" i="5"/>
  <c r="R4993" i="5" s="1"/>
  <c r="C4625" i="5"/>
  <c r="F4625" i="5"/>
  <c r="AT575" i="5"/>
  <c r="AS575" i="5"/>
  <c r="C4636" i="5"/>
  <c r="A4637" i="5"/>
  <c r="C4637" i="5" s="1"/>
  <c r="AT336" i="5"/>
  <c r="AS336" i="5"/>
  <c r="AS546" i="5"/>
  <c r="AT546" i="5"/>
  <c r="F4750" i="5"/>
  <c r="F4649" i="5"/>
  <c r="A4650" i="5"/>
  <c r="C4649" i="5"/>
  <c r="F4604" i="5"/>
  <c r="C4604" i="5"/>
  <c r="A4605" i="5"/>
  <c r="AS661" i="5"/>
  <c r="AT661" i="5"/>
  <c r="AT677" i="5"/>
  <c r="AS677" i="5"/>
  <c r="C4646" i="5"/>
  <c r="F4646" i="5"/>
  <c r="AT717" i="5"/>
  <c r="AS717" i="5"/>
  <c r="AT672" i="5"/>
  <c r="AS672" i="5"/>
  <c r="N3294" i="5"/>
  <c r="M3294" i="5" s="1"/>
  <c r="F3294" i="5" s="1"/>
  <c r="L3294" i="5" s="1"/>
  <c r="M3215" i="5"/>
  <c r="F3215" i="5" s="1"/>
  <c r="L3215" i="5" s="1"/>
  <c r="AS744" i="5"/>
  <c r="AT744" i="5"/>
  <c r="AS773" i="5"/>
  <c r="AT773" i="5"/>
  <c r="C4690" i="5"/>
  <c r="A4691" i="5"/>
  <c r="C4691" i="5" s="1"/>
  <c r="AS365" i="5"/>
  <c r="AT365" i="5"/>
  <c r="AS1288" i="5"/>
  <c r="AT1288" i="5"/>
  <c r="AT392" i="5"/>
  <c r="AS392" i="5"/>
  <c r="AS477" i="5"/>
  <c r="AT477" i="5"/>
  <c r="AS602" i="5"/>
  <c r="AT602" i="5"/>
  <c r="AS1809" i="5"/>
  <c r="AT1809" i="5"/>
  <c r="X4749" i="5"/>
  <c r="F4775" i="5"/>
  <c r="F4130" i="5"/>
  <c r="T4130" i="5"/>
  <c r="R5152" i="5"/>
  <c r="R5178" i="5" s="1"/>
  <c r="N3139" i="5"/>
  <c r="M3139" i="5" s="1"/>
  <c r="F3139" i="5" s="1"/>
  <c r="L3139" i="5" s="1"/>
  <c r="I4923" i="5"/>
  <c r="H4923" i="5"/>
  <c r="AO3454" i="5"/>
  <c r="AP3454" i="5" s="1"/>
  <c r="AR3454" i="5" s="1"/>
  <c r="A3454" i="5"/>
  <c r="P4723" i="5"/>
  <c r="G4731" i="5"/>
  <c r="H4731" i="5" s="1"/>
  <c r="AT2225" i="5"/>
  <c r="AS2225" i="5"/>
  <c r="AT2246" i="5"/>
  <c r="AS2246" i="5"/>
  <c r="U4992" i="5"/>
  <c r="P4993" i="5"/>
  <c r="AM1657" i="5"/>
  <c r="AM1656" i="5"/>
  <c r="AM1573" i="5"/>
  <c r="AM1572" i="5"/>
  <c r="AT2302" i="5"/>
  <c r="AS2302" i="5"/>
  <c r="AM1685" i="5"/>
  <c r="AM1684" i="5"/>
  <c r="F4665" i="5"/>
  <c r="AM1845" i="5"/>
  <c r="AM1846" i="5"/>
  <c r="AM1825" i="5"/>
  <c r="AM1824" i="5"/>
  <c r="G3911" i="5"/>
  <c r="H3911" i="5" s="1"/>
  <c r="P3911" i="5"/>
  <c r="F3911" i="5" s="1"/>
  <c r="AT1894" i="5"/>
  <c r="AS1894" i="5"/>
  <c r="AM1713" i="5"/>
  <c r="AM1712" i="5"/>
  <c r="AM1642" i="5"/>
  <c r="AM1643" i="5"/>
  <c r="AS2029" i="5"/>
  <c r="AT2029" i="5"/>
  <c r="U4130" i="5"/>
  <c r="F4131" i="5"/>
  <c r="I5146" i="5"/>
  <c r="C5146" i="5"/>
  <c r="C4755" i="5"/>
  <c r="G4755" i="5"/>
  <c r="H4755" i="5" s="1"/>
  <c r="F4755" i="5"/>
  <c r="P3508" i="5"/>
  <c r="G3505" i="5"/>
  <c r="H3505" i="5" s="1"/>
  <c r="F254" i="5"/>
  <c r="F4661" i="5"/>
  <c r="Q5145" i="5"/>
  <c r="F4660" i="5"/>
  <c r="R4645" i="5"/>
  <c r="G259" i="5"/>
  <c r="H259" i="5" s="1"/>
  <c r="G3389" i="5"/>
  <c r="H3389" i="5" s="1"/>
  <c r="F258" i="5"/>
  <c r="N5029" i="5"/>
  <c r="A5038" i="5"/>
  <c r="N4995" i="5"/>
  <c r="A5010" i="5"/>
  <c r="AT2147" i="5"/>
  <c r="AS2147" i="5"/>
  <c r="G254" i="5"/>
  <c r="H254" i="5" s="1"/>
  <c r="F259" i="5"/>
  <c r="G256" i="5"/>
  <c r="H256" i="5" s="1"/>
  <c r="F256" i="5"/>
  <c r="G4750" i="5"/>
  <c r="H4750" i="5" s="1"/>
  <c r="R4743" i="5"/>
  <c r="G258" i="5"/>
  <c r="H258" i="5" s="1"/>
  <c r="D5159" i="5"/>
  <c r="F257" i="5"/>
  <c r="G257" i="5"/>
  <c r="H257" i="5" s="1"/>
  <c r="C5036" i="5"/>
  <c r="A5037" i="5"/>
  <c r="C5037" i="5" s="1"/>
  <c r="F255" i="5"/>
  <c r="G4929" i="5"/>
  <c r="D4932" i="5"/>
  <c r="D5123" i="5"/>
  <c r="R3386" i="5"/>
  <c r="G3390" i="5"/>
  <c r="H3390" i="5" s="1"/>
  <c r="X3385" i="5"/>
  <c r="F3390" i="5" s="1"/>
  <c r="H253" i="5"/>
  <c r="G274" i="5"/>
  <c r="H274" i="5" s="1"/>
  <c r="F271" i="5"/>
  <c r="F270" i="5"/>
  <c r="F273" i="5"/>
  <c r="F274" i="5"/>
  <c r="G269" i="5"/>
  <c r="H269" i="5" s="1"/>
  <c r="F269" i="5"/>
  <c r="G272" i="5"/>
  <c r="H272" i="5" s="1"/>
  <c r="G271" i="5"/>
  <c r="H271" i="5" s="1"/>
  <c r="G270" i="5"/>
  <c r="H270" i="5" s="1"/>
  <c r="F272" i="5"/>
  <c r="H255" i="5"/>
  <c r="G273" i="5"/>
  <c r="H273" i="5" s="1"/>
  <c r="F3570" i="5"/>
  <c r="S3571" i="5"/>
  <c r="G4800" i="5"/>
  <c r="H4800" i="5" s="1"/>
  <c r="S4792" i="5"/>
  <c r="D4998" i="5"/>
  <c r="G4995" i="5"/>
  <c r="H4995" i="5" s="1"/>
  <c r="F4995" i="5"/>
  <c r="F4549" i="5"/>
  <c r="M4563" i="5"/>
  <c r="F4563" i="5" s="1"/>
  <c r="S5150" i="5"/>
  <c r="F4754" i="5"/>
  <c r="W4744" i="5"/>
  <c r="Q4644" i="5"/>
  <c r="F4655" i="5"/>
  <c r="Q4409" i="5"/>
  <c r="F4408" i="5"/>
  <c r="O4649" i="5"/>
  <c r="F4678" i="5"/>
  <c r="S4647" i="5"/>
  <c r="F4669" i="5"/>
  <c r="R5182" i="5" l="1"/>
  <c r="R5183" i="5" s="1"/>
  <c r="I5186" i="5" s="1"/>
  <c r="I5179" i="5"/>
  <c r="N5145" i="5"/>
  <c r="A5150" i="5"/>
  <c r="A5148" i="5"/>
  <c r="C5147" i="5"/>
  <c r="U4722" i="5"/>
  <c r="F4731" i="5" s="1"/>
  <c r="F4996" i="5"/>
  <c r="O223" i="5"/>
  <c r="G223" i="5" s="1"/>
  <c r="H223" i="5" s="1"/>
  <c r="G3358" i="5"/>
  <c r="H3358" i="5" s="1"/>
  <c r="F4674" i="5"/>
  <c r="U3491" i="5"/>
  <c r="F3495" i="5" s="1"/>
  <c r="G208" i="5"/>
  <c r="H208" i="5" s="1"/>
  <c r="A4997" i="5"/>
  <c r="F4997" i="5" s="1"/>
  <c r="F3599" i="5"/>
  <c r="G229" i="5"/>
  <c r="H229" i="5" s="1"/>
  <c r="G214" i="5"/>
  <c r="H214" i="5" s="1"/>
  <c r="U209" i="5"/>
  <c r="F214" i="5" s="1"/>
  <c r="F285" i="5"/>
  <c r="G285" i="5"/>
  <c r="F3438" i="5"/>
  <c r="F287" i="5"/>
  <c r="G287" i="5"/>
  <c r="G289" i="5"/>
  <c r="G284" i="5"/>
  <c r="F284" i="5"/>
  <c r="G288" i="5"/>
  <c r="F288" i="5"/>
  <c r="G286" i="5"/>
  <c r="F286" i="5"/>
  <c r="F289" i="5"/>
  <c r="G283" i="5"/>
  <c r="O3832" i="5"/>
  <c r="F3831" i="5" s="1"/>
  <c r="A5003" i="5"/>
  <c r="F5003" i="5" s="1"/>
  <c r="C5001" i="5"/>
  <c r="S224" i="5"/>
  <c r="F227" i="5" s="1"/>
  <c r="G4851" i="5"/>
  <c r="H4851" i="5" s="1"/>
  <c r="Q3510" i="5"/>
  <c r="G3513" i="5" s="1"/>
  <c r="H3513" i="5" s="1"/>
  <c r="U3509" i="5"/>
  <c r="F3511" i="5" s="1"/>
  <c r="Q4843" i="5"/>
  <c r="V4843" i="5" s="1"/>
  <c r="V4841" i="5"/>
  <c r="F4848" i="5" s="1"/>
  <c r="P4493" i="5"/>
  <c r="P4494" i="5" s="1"/>
  <c r="P3385" i="5"/>
  <c r="G3388" i="5" s="1"/>
  <c r="H3388" i="5" s="1"/>
  <c r="N4505" i="5"/>
  <c r="A4505" i="5" s="1"/>
  <c r="C4505" i="5" s="1"/>
  <c r="G4732" i="5"/>
  <c r="H4732" i="5" s="1"/>
  <c r="V4740" i="5"/>
  <c r="V4741" i="5" s="1"/>
  <c r="M4360" i="5"/>
  <c r="F4360" i="5" s="1"/>
  <c r="G4848" i="5"/>
  <c r="H4848" i="5" s="1"/>
  <c r="I5112" i="5"/>
  <c r="G3387" i="5"/>
  <c r="H3387" i="5" s="1"/>
  <c r="S3385" i="5"/>
  <c r="Y3385" i="5" s="1"/>
  <c r="F3391" i="5" s="1"/>
  <c r="S3581" i="5"/>
  <c r="F3581" i="5" s="1"/>
  <c r="P3572" i="5"/>
  <c r="G3572" i="5" s="1"/>
  <c r="H3572" i="5" s="1"/>
  <c r="P3582" i="5"/>
  <c r="S3582" i="5" s="1"/>
  <c r="F3582" i="5" s="1"/>
  <c r="F4621" i="5"/>
  <c r="F4666" i="5"/>
  <c r="R26" i="11"/>
  <c r="M4561" i="5"/>
  <c r="F4561" i="5" s="1"/>
  <c r="F4567" i="5" s="1"/>
  <c r="W4568" i="5" s="1"/>
  <c r="R224" i="5"/>
  <c r="F226" i="5" s="1"/>
  <c r="W4552" i="5"/>
  <c r="G4149" i="5"/>
  <c r="H4149" i="5" s="1"/>
  <c r="P4145" i="5"/>
  <c r="T4145" i="5" s="1"/>
  <c r="F4151" i="5" s="1"/>
  <c r="G4994" i="5"/>
  <c r="H4994" i="5" s="1"/>
  <c r="W3350" i="5"/>
  <c r="F3360" i="5" s="1"/>
  <c r="M2640" i="5"/>
  <c r="L2640" i="5" s="1"/>
  <c r="M2691" i="5"/>
  <c r="L2691" i="5" s="1"/>
  <c r="M2712" i="5"/>
  <c r="L2712" i="5" s="1"/>
  <c r="M2643" i="5"/>
  <c r="L2643" i="5" s="1"/>
  <c r="I5113" i="5"/>
  <c r="M2715" i="5"/>
  <c r="L2715" i="5" s="1"/>
  <c r="I5114" i="5"/>
  <c r="M2688" i="5"/>
  <c r="L2688" i="5" s="1"/>
  <c r="M2665" i="5"/>
  <c r="L2665" i="5" s="1"/>
  <c r="M2713" i="5"/>
  <c r="L2713" i="5" s="1"/>
  <c r="M2666" i="5"/>
  <c r="L2666" i="5" s="1"/>
  <c r="M2667" i="5"/>
  <c r="L2667" i="5" s="1"/>
  <c r="M2664" i="5"/>
  <c r="L2664" i="5" s="1"/>
  <c r="N3796" i="5"/>
  <c r="N3805" i="5" s="1"/>
  <c r="M3805" i="5" s="1"/>
  <c r="F3805" i="5" s="1"/>
  <c r="L3805" i="5" s="1"/>
  <c r="N3477" i="5"/>
  <c r="M3477" i="5" s="1"/>
  <c r="F3477" i="5" s="1"/>
  <c r="L3477" i="5" s="1"/>
  <c r="M2689" i="5"/>
  <c r="L2689" i="5" s="1"/>
  <c r="N5108" i="5"/>
  <c r="N5109" i="5" s="1"/>
  <c r="N5110" i="5" s="1"/>
  <c r="N5111" i="5" s="1"/>
  <c r="F4991" i="5"/>
  <c r="C4991" i="5"/>
  <c r="A5115" i="5"/>
  <c r="C5113" i="5"/>
  <c r="Q209" i="5"/>
  <c r="F210" i="5" s="1"/>
  <c r="G210" i="5"/>
  <c r="H210" i="5" s="1"/>
  <c r="Q224" i="5"/>
  <c r="F225" i="5" s="1"/>
  <c r="G225" i="5"/>
  <c r="H225" i="5" s="1"/>
  <c r="M3184" i="5"/>
  <c r="F3184" i="5" s="1"/>
  <c r="L3184" i="5" s="1"/>
  <c r="P223" i="5"/>
  <c r="G209" i="5"/>
  <c r="H209" i="5" s="1"/>
  <c r="P209" i="5"/>
  <c r="F209" i="5" s="1"/>
  <c r="Q4990" i="5"/>
  <c r="G4999" i="5" s="1"/>
  <c r="H4999" i="5" s="1"/>
  <c r="D4614" i="5"/>
  <c r="F4610" i="5"/>
  <c r="A5109" i="5"/>
  <c r="C5108" i="5"/>
  <c r="I5108" i="5"/>
  <c r="G4304" i="5"/>
  <c r="H4304" i="5" s="1"/>
  <c r="Q4304" i="5"/>
  <c r="F4304" i="5" s="1"/>
  <c r="G4996" i="5"/>
  <c r="H4996" i="5" s="1"/>
  <c r="G4152" i="5"/>
  <c r="H4152" i="5" s="1"/>
  <c r="C5000" i="5"/>
  <c r="F5000" i="5"/>
  <c r="Q4146" i="5"/>
  <c r="G4154" i="5" s="1"/>
  <c r="H4154" i="5" s="1"/>
  <c r="C4994" i="5"/>
  <c r="N3468" i="5"/>
  <c r="N3478" i="5" s="1"/>
  <c r="M3478" i="5" s="1"/>
  <c r="F3478" i="5" s="1"/>
  <c r="L3478" i="5" s="1"/>
  <c r="A5008" i="5"/>
  <c r="A5009" i="5" s="1"/>
  <c r="C5009" i="5" s="1"/>
  <c r="F4633" i="5"/>
  <c r="O4610" i="5"/>
  <c r="F4636" i="5" s="1"/>
  <c r="V3384" i="5"/>
  <c r="F3384" i="5" s="1"/>
  <c r="M3462" i="5"/>
  <c r="F3462" i="5" s="1"/>
  <c r="L3462" i="5" s="1"/>
  <c r="M3453" i="5"/>
  <c r="F3453" i="5" s="1"/>
  <c r="L3453" i="5" s="1"/>
  <c r="N3463" i="5"/>
  <c r="M2690" i="5"/>
  <c r="L2690" i="5" s="1"/>
  <c r="M2714" i="5"/>
  <c r="L2714" i="5" s="1"/>
  <c r="M2641" i="5"/>
  <c r="L2641" i="5" s="1"/>
  <c r="N3186" i="5"/>
  <c r="A5005" i="5"/>
  <c r="C5005" i="5" s="1"/>
  <c r="M3107" i="5"/>
  <c r="F3107" i="5" s="1"/>
  <c r="L3107" i="5" s="1"/>
  <c r="M3108" i="5"/>
  <c r="F3108" i="5" s="1"/>
  <c r="L3108" i="5" s="1"/>
  <c r="M3187" i="5"/>
  <c r="F3187" i="5" s="1"/>
  <c r="L3187" i="5" s="1"/>
  <c r="M3185" i="5"/>
  <c r="F3185" i="5" s="1"/>
  <c r="L3185" i="5" s="1"/>
  <c r="N3109" i="5"/>
  <c r="M3701" i="5"/>
  <c r="F3701" i="5" s="1"/>
  <c r="L3701" i="5" s="1"/>
  <c r="M3217" i="5"/>
  <c r="F3217" i="5" s="1"/>
  <c r="L3217" i="5" s="1"/>
  <c r="D4631" i="5"/>
  <c r="D4635" i="5" s="1"/>
  <c r="N3804" i="5"/>
  <c r="M3804" i="5" s="1"/>
  <c r="F3804" i="5" s="1"/>
  <c r="L3804" i="5" s="1"/>
  <c r="M3795" i="5"/>
  <c r="F3795" i="5" s="1"/>
  <c r="L3795" i="5" s="1"/>
  <c r="W4992" i="5"/>
  <c r="G4492" i="5"/>
  <c r="H4492" i="5" s="1"/>
  <c r="W3386" i="5"/>
  <c r="F3393" i="5" s="1"/>
  <c r="G4847" i="5"/>
  <c r="H4847" i="5" s="1"/>
  <c r="G4858" i="5"/>
  <c r="H4858" i="5" s="1"/>
  <c r="N3476" i="5"/>
  <c r="M3476" i="5" s="1"/>
  <c r="F3476" i="5" s="1"/>
  <c r="L3476" i="5" s="1"/>
  <c r="D4850" i="5"/>
  <c r="F4850" i="5" s="1"/>
  <c r="R4845" i="5"/>
  <c r="R4846" i="5" s="1"/>
  <c r="G3393" i="5"/>
  <c r="H3393" i="5" s="1"/>
  <c r="P47" i="11"/>
  <c r="P45" i="11"/>
  <c r="P26" i="11"/>
  <c r="P28" i="11"/>
  <c r="P4406" i="5"/>
  <c r="G4405" i="5"/>
  <c r="H4405" i="5" s="1"/>
  <c r="U4843" i="5"/>
  <c r="P4844" i="5"/>
  <c r="N3808" i="5"/>
  <c r="M3808" i="5" s="1"/>
  <c r="F3808" i="5" s="1"/>
  <c r="L3808" i="5" s="1"/>
  <c r="M3799" i="5"/>
  <c r="F3799" i="5" s="1"/>
  <c r="L3799" i="5" s="1"/>
  <c r="G4736" i="5"/>
  <c r="H4736" i="5" s="1"/>
  <c r="Q4740" i="5"/>
  <c r="M3791" i="5"/>
  <c r="F3791" i="5" s="1"/>
  <c r="L3791" i="5" s="1"/>
  <c r="N3800" i="5"/>
  <c r="N3123" i="5"/>
  <c r="N3201" i="5"/>
  <c r="M3122" i="5"/>
  <c r="F3122" i="5" s="1"/>
  <c r="L3122" i="5" s="1"/>
  <c r="N3279" i="5"/>
  <c r="M3279" i="5" s="1"/>
  <c r="F3279" i="5" s="1"/>
  <c r="L3279" i="5" s="1"/>
  <c r="M3200" i="5"/>
  <c r="F3200" i="5" s="1"/>
  <c r="L3200" i="5" s="1"/>
  <c r="M4359" i="5"/>
  <c r="F4359" i="5" s="1"/>
  <c r="F4356" i="5"/>
  <c r="R4919" i="5"/>
  <c r="W4918" i="5"/>
  <c r="F4932" i="5" s="1"/>
  <c r="F4851" i="5"/>
  <c r="N3218" i="5"/>
  <c r="N3297" i="5" s="1"/>
  <c r="M3297" i="5" s="1"/>
  <c r="F3297" i="5" s="1"/>
  <c r="L3297" i="5" s="1"/>
  <c r="M3688" i="5"/>
  <c r="F3688" i="5" s="1"/>
  <c r="L3688" i="5" s="1"/>
  <c r="N3697" i="5"/>
  <c r="D4854" i="5"/>
  <c r="D4857" i="5" s="1"/>
  <c r="N3140" i="5"/>
  <c r="N3219" i="5" s="1"/>
  <c r="Q4376" i="5"/>
  <c r="N3705" i="5"/>
  <c r="M3705" i="5" s="1"/>
  <c r="F3705" i="5" s="1"/>
  <c r="L3705" i="5" s="1"/>
  <c r="M3696" i="5"/>
  <c r="F3696" i="5" s="1"/>
  <c r="L3696" i="5" s="1"/>
  <c r="Q4439" i="5"/>
  <c r="F4439" i="5" s="1"/>
  <c r="G4439" i="5"/>
  <c r="H4439" i="5" s="1"/>
  <c r="P4440" i="5"/>
  <c r="C4605" i="5"/>
  <c r="F4605" i="5"/>
  <c r="C4650" i="5"/>
  <c r="F4650" i="5"/>
  <c r="P4740" i="5"/>
  <c r="G4735" i="5"/>
  <c r="H4735" i="5" s="1"/>
  <c r="F4132" i="5"/>
  <c r="T4131" i="5"/>
  <c r="F4134" i="5" s="1"/>
  <c r="S5151" i="5"/>
  <c r="P4994" i="5"/>
  <c r="U4993" i="5"/>
  <c r="X4750" i="5"/>
  <c r="F4779" i="5"/>
  <c r="U4131" i="5"/>
  <c r="F4135" i="5" s="1"/>
  <c r="F4133" i="5"/>
  <c r="P3509" i="5"/>
  <c r="G3508" i="5"/>
  <c r="H3508" i="5" s="1"/>
  <c r="T3508" i="5"/>
  <c r="F3508" i="5" s="1"/>
  <c r="W4554" i="5"/>
  <c r="W4555" i="5"/>
  <c r="Q5146" i="5"/>
  <c r="F4664" i="5"/>
  <c r="R4646" i="5"/>
  <c r="C5038" i="5"/>
  <c r="A5039" i="5"/>
  <c r="N5030" i="5"/>
  <c r="A5041" i="5"/>
  <c r="A5042" i="5" s="1"/>
  <c r="A5043" i="5" s="1"/>
  <c r="W4993" i="5"/>
  <c r="R4994" i="5"/>
  <c r="A5011" i="5"/>
  <c r="C5010" i="5"/>
  <c r="N4996" i="5"/>
  <c r="A5013" i="5"/>
  <c r="D5126" i="5"/>
  <c r="D4935" i="5"/>
  <c r="G4932" i="5"/>
  <c r="I4929" i="5"/>
  <c r="H4929" i="5"/>
  <c r="R4744" i="5"/>
  <c r="G4754" i="5"/>
  <c r="H4754" i="5" s="1"/>
  <c r="G3394" i="5"/>
  <c r="H3394" i="5" s="1"/>
  <c r="R3387" i="5"/>
  <c r="X3386" i="5"/>
  <c r="F3394" i="5" s="1"/>
  <c r="D5162" i="5"/>
  <c r="S4648" i="5"/>
  <c r="F4673" i="5"/>
  <c r="W4745" i="5"/>
  <c r="F4758" i="5"/>
  <c r="D5001" i="5"/>
  <c r="F4998" i="5"/>
  <c r="G4998" i="5"/>
  <c r="H4998" i="5" s="1"/>
  <c r="S4793" i="5"/>
  <c r="G4804" i="5"/>
  <c r="H4804" i="5" s="1"/>
  <c r="O4650" i="5"/>
  <c r="F4691" i="5" s="1"/>
  <c r="F4682" i="5"/>
  <c r="F3571" i="5"/>
  <c r="S3572" i="5"/>
  <c r="F3572" i="5" s="1"/>
  <c r="W3387" i="5"/>
  <c r="F3397" i="5" s="1"/>
  <c r="G3397" i="5"/>
  <c r="H3397" i="5" s="1"/>
  <c r="Q3401" i="5"/>
  <c r="F4409" i="5"/>
  <c r="Q4410" i="5"/>
  <c r="F4659" i="5"/>
  <c r="Q4645" i="5"/>
  <c r="H286" i="5" l="1"/>
  <c r="H283" i="5"/>
  <c r="H285" i="5"/>
  <c r="H288" i="5"/>
  <c r="H284" i="5"/>
  <c r="H289" i="5"/>
  <c r="H287" i="5"/>
  <c r="R5184" i="5"/>
  <c r="I5189" i="5" s="1"/>
  <c r="N5146" i="5"/>
  <c r="A5153" i="5"/>
  <c r="A5149" i="5"/>
  <c r="C5148" i="5"/>
  <c r="I5148" i="5"/>
  <c r="A5151" i="5"/>
  <c r="C5150" i="5"/>
  <c r="I5150" i="5"/>
  <c r="O224" i="5"/>
  <c r="F223" i="5" s="1"/>
  <c r="U4723" i="5"/>
  <c r="F4735" i="5" s="1"/>
  <c r="C4997" i="5"/>
  <c r="G4997" i="5"/>
  <c r="H4997" i="5" s="1"/>
  <c r="P4515" i="5"/>
  <c r="Q4514" i="5"/>
  <c r="F4514" i="5" s="1"/>
  <c r="H4514" i="5"/>
  <c r="G5003" i="5"/>
  <c r="H5003" i="5" s="1"/>
  <c r="C5003" i="5"/>
  <c r="V3385" i="5"/>
  <c r="F3388" i="5" s="1"/>
  <c r="Q3511" i="5"/>
  <c r="Q3517" i="5" s="1"/>
  <c r="U3510" i="5"/>
  <c r="F3513" i="5" s="1"/>
  <c r="P3386" i="5"/>
  <c r="V3386" i="5" s="1"/>
  <c r="F3392" i="5" s="1"/>
  <c r="Q4844" i="5"/>
  <c r="Q4845" i="5" s="1"/>
  <c r="G4493" i="5"/>
  <c r="H4493" i="5" s="1"/>
  <c r="F4741" i="5"/>
  <c r="G3391" i="5"/>
  <c r="H3391" i="5" s="1"/>
  <c r="Q4493" i="5"/>
  <c r="F4493" i="5" s="1"/>
  <c r="N4506" i="5"/>
  <c r="A4506" i="5" s="1"/>
  <c r="G3582" i="5"/>
  <c r="H3582" i="5" s="1"/>
  <c r="P3583" i="5"/>
  <c r="P3584" i="5" s="1"/>
  <c r="M3468" i="5"/>
  <c r="F3468" i="5" s="1"/>
  <c r="L3468" i="5" s="1"/>
  <c r="W4569" i="5"/>
  <c r="Q4147" i="5"/>
  <c r="Q4148" i="5" s="1"/>
  <c r="U4146" i="5"/>
  <c r="F4154" i="5" s="1"/>
  <c r="S3386" i="5"/>
  <c r="S3387" i="5" s="1"/>
  <c r="Q4991" i="5"/>
  <c r="G5002" i="5" s="1"/>
  <c r="H5002" i="5" s="1"/>
  <c r="V4990" i="5"/>
  <c r="F4999" i="5" s="1"/>
  <c r="P4146" i="5"/>
  <c r="T4146" i="5" s="1"/>
  <c r="F4153" i="5" s="1"/>
  <c r="M3796" i="5"/>
  <c r="F3796" i="5" s="1"/>
  <c r="L3796" i="5" s="1"/>
  <c r="F5009" i="5"/>
  <c r="G4151" i="5"/>
  <c r="H4151" i="5" s="1"/>
  <c r="A5116" i="5"/>
  <c r="A5117" i="5" s="1"/>
  <c r="C5117" i="5" s="1"/>
  <c r="G5009" i="5"/>
  <c r="H5009" i="5" s="1"/>
  <c r="C5008" i="5"/>
  <c r="A5122" i="5"/>
  <c r="A5123" i="5" s="1"/>
  <c r="A5119" i="5"/>
  <c r="A5120" i="5" s="1"/>
  <c r="I5115" i="5"/>
  <c r="C5115" i="5"/>
  <c r="A5125" i="5"/>
  <c r="N5112" i="5"/>
  <c r="F4637" i="5"/>
  <c r="P224" i="5"/>
  <c r="F224" i="5" s="1"/>
  <c r="G224" i="5"/>
  <c r="H224" i="5" s="1"/>
  <c r="I5109" i="5"/>
  <c r="C5109" i="5"/>
  <c r="D4618" i="5"/>
  <c r="F4614" i="5"/>
  <c r="D4853" i="5"/>
  <c r="G4853" i="5" s="1"/>
  <c r="H4853" i="5" s="1"/>
  <c r="G4850" i="5"/>
  <c r="H4850" i="5" s="1"/>
  <c r="A5006" i="5"/>
  <c r="G5006" i="5" s="1"/>
  <c r="H5006" i="5" s="1"/>
  <c r="F4635" i="5"/>
  <c r="S3583" i="5"/>
  <c r="F3583" i="5" s="1"/>
  <c r="W4845" i="5"/>
  <c r="F4861" i="5" s="1"/>
  <c r="N3473" i="5"/>
  <c r="M3473" i="5" s="1"/>
  <c r="F3473" i="5" s="1"/>
  <c r="L3473" i="5" s="1"/>
  <c r="M3463" i="5"/>
  <c r="F3463" i="5" s="1"/>
  <c r="L3463" i="5" s="1"/>
  <c r="N3265" i="5"/>
  <c r="M3265" i="5" s="1"/>
  <c r="F3265" i="5" s="1"/>
  <c r="L3265" i="5" s="1"/>
  <c r="M3186" i="5"/>
  <c r="F3186" i="5" s="1"/>
  <c r="L3186" i="5" s="1"/>
  <c r="G4854" i="5"/>
  <c r="H4854" i="5" s="1"/>
  <c r="N3110" i="5"/>
  <c r="M3109" i="5"/>
  <c r="F3109" i="5" s="1"/>
  <c r="L3109" i="5" s="1"/>
  <c r="N3188" i="5"/>
  <c r="F4631" i="5"/>
  <c r="G4861" i="5"/>
  <c r="I4861" i="5" s="1"/>
  <c r="M3140" i="5"/>
  <c r="F3140" i="5" s="1"/>
  <c r="L3140" i="5" s="1"/>
  <c r="N3141" i="5"/>
  <c r="N3220" i="5" s="1"/>
  <c r="I4858" i="5"/>
  <c r="M3218" i="5"/>
  <c r="F3218" i="5" s="1"/>
  <c r="L3218" i="5" s="1"/>
  <c r="P4408" i="5"/>
  <c r="G4406" i="5"/>
  <c r="H4406" i="5" s="1"/>
  <c r="P4845" i="5"/>
  <c r="U4844" i="5"/>
  <c r="M3800" i="5"/>
  <c r="F3800" i="5" s="1"/>
  <c r="L3800" i="5" s="1"/>
  <c r="N3809" i="5"/>
  <c r="M3809" i="5" s="1"/>
  <c r="F3809" i="5" s="1"/>
  <c r="L3809" i="5" s="1"/>
  <c r="G4741" i="5"/>
  <c r="H4741" i="5" s="1"/>
  <c r="Q4741" i="5"/>
  <c r="F4854" i="5"/>
  <c r="M3697" i="5"/>
  <c r="F3697" i="5" s="1"/>
  <c r="L3697" i="5" s="1"/>
  <c r="N3706" i="5"/>
  <c r="M3706" i="5" s="1"/>
  <c r="F3706" i="5" s="1"/>
  <c r="L3706" i="5" s="1"/>
  <c r="N3280" i="5"/>
  <c r="M3280" i="5" s="1"/>
  <c r="F3280" i="5" s="1"/>
  <c r="L3280" i="5" s="1"/>
  <c r="M3201" i="5"/>
  <c r="F3201" i="5" s="1"/>
  <c r="L3201" i="5" s="1"/>
  <c r="N3124" i="5"/>
  <c r="N3202" i="5"/>
  <c r="M3123" i="5"/>
  <c r="F3123" i="5" s="1"/>
  <c r="L3123" i="5" s="1"/>
  <c r="Q4377" i="5"/>
  <c r="F4376" i="5"/>
  <c r="R4920" i="5"/>
  <c r="W4919" i="5"/>
  <c r="F4935" i="5" s="1"/>
  <c r="P4441" i="5"/>
  <c r="G4440" i="5"/>
  <c r="H4440" i="5" s="1"/>
  <c r="Q4440" i="5"/>
  <c r="F4440" i="5" s="1"/>
  <c r="S5152" i="5"/>
  <c r="S5178" i="5" s="1"/>
  <c r="F4783" i="5"/>
  <c r="X4751" i="5"/>
  <c r="P4741" i="5"/>
  <c r="G4740" i="5"/>
  <c r="H4740" i="5" s="1"/>
  <c r="U4994" i="5"/>
  <c r="P4995" i="5"/>
  <c r="V4742" i="5"/>
  <c r="F4745" i="5"/>
  <c r="G3510" i="5"/>
  <c r="H3510" i="5" s="1"/>
  <c r="T3509" i="5"/>
  <c r="F3510" i="5" s="1"/>
  <c r="P3510" i="5"/>
  <c r="F4668" i="5"/>
  <c r="R4647" i="5"/>
  <c r="Q5147" i="5"/>
  <c r="A5012" i="5"/>
  <c r="C5011" i="5"/>
  <c r="W4846" i="5"/>
  <c r="F4864" i="5" s="1"/>
  <c r="R4847" i="5"/>
  <c r="G4864" i="5"/>
  <c r="M3219" i="5"/>
  <c r="F3219" i="5" s="1"/>
  <c r="L3219" i="5" s="1"/>
  <c r="N3298" i="5"/>
  <c r="M3298" i="5" s="1"/>
  <c r="F3298" i="5" s="1"/>
  <c r="L3298" i="5" s="1"/>
  <c r="R4995" i="5"/>
  <c r="W4994" i="5"/>
  <c r="A5040" i="5"/>
  <c r="C5040" i="5" s="1"/>
  <c r="C5039" i="5"/>
  <c r="A5014" i="5"/>
  <c r="C5013" i="5"/>
  <c r="A5016" i="5"/>
  <c r="N4997" i="5"/>
  <c r="A5019" i="5" s="1"/>
  <c r="A545" i="6"/>
  <c r="N5031" i="5"/>
  <c r="G4494" i="5"/>
  <c r="H4494" i="5" s="1"/>
  <c r="Q4494" i="5"/>
  <c r="F4494" i="5" s="1"/>
  <c r="P4495" i="5"/>
  <c r="R3401" i="5"/>
  <c r="X3387" i="5"/>
  <c r="F3398" i="5" s="1"/>
  <c r="G3398" i="5"/>
  <c r="H3398" i="5" s="1"/>
  <c r="R4745" i="5"/>
  <c r="G4758" i="5"/>
  <c r="H4758" i="5" s="1"/>
  <c r="D5129" i="5"/>
  <c r="D5165" i="5"/>
  <c r="D4860" i="5"/>
  <c r="I4932" i="5"/>
  <c r="H4932" i="5"/>
  <c r="G4935" i="5"/>
  <c r="D4938" i="5"/>
  <c r="G3402" i="5"/>
  <c r="H3402" i="5" s="1"/>
  <c r="W3401" i="5"/>
  <c r="F3402" i="5" s="1"/>
  <c r="Q3402" i="5"/>
  <c r="F5001" i="5"/>
  <c r="G5001" i="5"/>
  <c r="H5001" i="5" s="1"/>
  <c r="D5004" i="5"/>
  <c r="Q4411" i="5"/>
  <c r="F4410" i="5"/>
  <c r="F4663" i="5"/>
  <c r="Q4646" i="5"/>
  <c r="S4649" i="5"/>
  <c r="F4677" i="5"/>
  <c r="W4746" i="5"/>
  <c r="F4762" i="5"/>
  <c r="F4699" i="5"/>
  <c r="F4715" i="5"/>
  <c r="F4711" i="5"/>
  <c r="F4695" i="5"/>
  <c r="F4686" i="5"/>
  <c r="F4707" i="5"/>
  <c r="F4703" i="5"/>
  <c r="S4794" i="5"/>
  <c r="G4808" i="5"/>
  <c r="H4808" i="5" s="1"/>
  <c r="C4506" i="5" l="1"/>
  <c r="S5182" i="5"/>
  <c r="S5183" i="5" s="1"/>
  <c r="I5187" i="5" s="1"/>
  <c r="I5180" i="5"/>
  <c r="C5149" i="5"/>
  <c r="I5149" i="5"/>
  <c r="A5154" i="5"/>
  <c r="C5153" i="5"/>
  <c r="I5153" i="5"/>
  <c r="I5151" i="5"/>
  <c r="C5151" i="5"/>
  <c r="A5152" i="5"/>
  <c r="A5156" i="5"/>
  <c r="N5147" i="5"/>
  <c r="U4740" i="5"/>
  <c r="U4741" i="5" s="1"/>
  <c r="F4744" i="5" s="1"/>
  <c r="G3515" i="5"/>
  <c r="H3515" i="5" s="1"/>
  <c r="U3511" i="5"/>
  <c r="F3515" i="5" s="1"/>
  <c r="G4156" i="5"/>
  <c r="H4156" i="5" s="1"/>
  <c r="U4147" i="5"/>
  <c r="F4156" i="5" s="1"/>
  <c r="Q4515" i="5"/>
  <c r="F4515" i="5" s="1"/>
  <c r="P4516" i="5"/>
  <c r="G4515" i="5"/>
  <c r="H4515" i="5" s="1"/>
  <c r="G3392" i="5"/>
  <c r="H3392" i="5" s="1"/>
  <c r="P3387" i="5"/>
  <c r="P3401" i="5" s="1"/>
  <c r="G4857" i="5"/>
  <c r="I4857" i="5" s="1"/>
  <c r="V4844" i="5"/>
  <c r="F4857" i="5" s="1"/>
  <c r="N4507" i="5"/>
  <c r="N4508" i="5" s="1"/>
  <c r="N4509" i="5" s="1"/>
  <c r="V4991" i="5"/>
  <c r="F5002" i="5" s="1"/>
  <c r="Q4992" i="5"/>
  <c r="G5005" i="5" s="1"/>
  <c r="H5005" i="5" s="1"/>
  <c r="G3395" i="5"/>
  <c r="H3395" i="5" s="1"/>
  <c r="Y3386" i="5"/>
  <c r="F3395" i="5" s="1"/>
  <c r="G3583" i="5"/>
  <c r="H3583" i="5" s="1"/>
  <c r="G4153" i="5"/>
  <c r="H4153" i="5" s="1"/>
  <c r="P4147" i="5"/>
  <c r="T4147" i="5" s="1"/>
  <c r="F4155" i="5" s="1"/>
  <c r="C5122" i="5"/>
  <c r="I5122" i="5"/>
  <c r="C5119" i="5"/>
  <c r="F4853" i="5"/>
  <c r="I5119" i="5"/>
  <c r="C5116" i="5"/>
  <c r="I5116" i="5"/>
  <c r="A5128" i="5"/>
  <c r="N5113" i="5"/>
  <c r="C5125" i="5"/>
  <c r="I5125" i="5"/>
  <c r="A5126" i="5"/>
  <c r="D4856" i="5"/>
  <c r="G4856" i="5" s="1"/>
  <c r="A5118" i="5"/>
  <c r="C5118" i="5" s="1"/>
  <c r="I5117" i="5"/>
  <c r="F4618" i="5"/>
  <c r="D4622" i="5"/>
  <c r="C5006" i="5"/>
  <c r="F5006" i="5"/>
  <c r="C5120" i="5"/>
  <c r="I5120" i="5"/>
  <c r="A5121" i="5"/>
  <c r="S3584" i="5"/>
  <c r="F3584" i="5" s="1"/>
  <c r="G3584" i="5"/>
  <c r="H3584" i="5" s="1"/>
  <c r="P3586" i="5"/>
  <c r="C5123" i="5"/>
  <c r="A5124" i="5"/>
  <c r="I5123" i="5"/>
  <c r="H4861" i="5"/>
  <c r="M3188" i="5"/>
  <c r="F3188" i="5" s="1"/>
  <c r="L3188" i="5" s="1"/>
  <c r="N3267" i="5"/>
  <c r="M3267" i="5" s="1"/>
  <c r="F3267" i="5" s="1"/>
  <c r="L3267" i="5" s="1"/>
  <c r="N3189" i="5"/>
  <c r="M3110" i="5"/>
  <c r="F3110" i="5" s="1"/>
  <c r="L3110" i="5" s="1"/>
  <c r="N3111" i="5"/>
  <c r="M3141" i="5"/>
  <c r="F3141" i="5" s="1"/>
  <c r="L3141" i="5" s="1"/>
  <c r="N3142" i="5"/>
  <c r="N3143" i="5" s="1"/>
  <c r="G4408" i="5"/>
  <c r="H4408" i="5" s="1"/>
  <c r="P4409" i="5"/>
  <c r="P4846" i="5"/>
  <c r="U4845" i="5"/>
  <c r="Q4742" i="5"/>
  <c r="G4745" i="5"/>
  <c r="H4745" i="5" s="1"/>
  <c r="F4377" i="5"/>
  <c r="Q4379" i="5"/>
  <c r="N3281" i="5"/>
  <c r="M3281" i="5" s="1"/>
  <c r="F3281" i="5" s="1"/>
  <c r="L3281" i="5" s="1"/>
  <c r="M3202" i="5"/>
  <c r="F3202" i="5" s="1"/>
  <c r="L3202" i="5" s="1"/>
  <c r="N3203" i="5"/>
  <c r="M3124" i="5"/>
  <c r="F3124" i="5" s="1"/>
  <c r="L3124" i="5" s="1"/>
  <c r="N3125" i="5"/>
  <c r="R4921" i="5"/>
  <c r="W4920" i="5"/>
  <c r="F4938" i="5" s="1"/>
  <c r="Q4441" i="5"/>
  <c r="F4441" i="5" s="1"/>
  <c r="G4441" i="5"/>
  <c r="H4441" i="5" s="1"/>
  <c r="P4442" i="5"/>
  <c r="V4845" i="5"/>
  <c r="F4860" i="5" s="1"/>
  <c r="Q4846" i="5"/>
  <c r="U4995" i="5"/>
  <c r="P4996" i="5"/>
  <c r="G4744" i="5"/>
  <c r="H4744" i="5" s="1"/>
  <c r="P4742" i="5"/>
  <c r="X4789" i="5"/>
  <c r="F4787" i="5"/>
  <c r="F4749" i="5"/>
  <c r="V4743" i="5"/>
  <c r="G3512" i="5"/>
  <c r="H3512" i="5" s="1"/>
  <c r="T3510" i="5"/>
  <c r="F3512" i="5" s="1"/>
  <c r="P3511" i="5"/>
  <c r="R4648" i="5"/>
  <c r="F4672" i="5"/>
  <c r="Q5148" i="5"/>
  <c r="M3220" i="5"/>
  <c r="F3220" i="5" s="1"/>
  <c r="L3220" i="5" s="1"/>
  <c r="N3299" i="5"/>
  <c r="M3299" i="5" s="1"/>
  <c r="F3299" i="5" s="1"/>
  <c r="L3299" i="5" s="1"/>
  <c r="A548" i="6"/>
  <c r="N5032" i="5"/>
  <c r="C5014" i="5"/>
  <c r="A5015" i="5"/>
  <c r="C545" i="6"/>
  <c r="A546" i="6"/>
  <c r="F545" i="6"/>
  <c r="A5020" i="5"/>
  <c r="C5019" i="5"/>
  <c r="A5017" i="5"/>
  <c r="C5016" i="5"/>
  <c r="W4995" i="5"/>
  <c r="R4996" i="5"/>
  <c r="H4864" i="5"/>
  <c r="I4864" i="5"/>
  <c r="G4867" i="5"/>
  <c r="R4848" i="5"/>
  <c r="W4847" i="5"/>
  <c r="F4867" i="5" s="1"/>
  <c r="G5012" i="5"/>
  <c r="H5012" i="5" s="1"/>
  <c r="C5012" i="5"/>
  <c r="F5012" i="5"/>
  <c r="X3401" i="5"/>
  <c r="F3403" i="5" s="1"/>
  <c r="G3403" i="5"/>
  <c r="H3403" i="5" s="1"/>
  <c r="R3402" i="5"/>
  <c r="D4863" i="5"/>
  <c r="G4860" i="5"/>
  <c r="D5132" i="5"/>
  <c r="G4938" i="5"/>
  <c r="D4941" i="5"/>
  <c r="G4495" i="5"/>
  <c r="H4495" i="5" s="1"/>
  <c r="Q4495" i="5"/>
  <c r="F4495" i="5" s="1"/>
  <c r="P4496" i="5"/>
  <c r="H4935" i="5"/>
  <c r="I4935" i="5"/>
  <c r="D5168" i="5"/>
  <c r="G4762" i="5"/>
  <c r="H4762" i="5" s="1"/>
  <c r="R4746" i="5"/>
  <c r="U4742" i="5"/>
  <c r="G3518" i="5"/>
  <c r="H3518" i="5" s="1"/>
  <c r="U3517" i="5"/>
  <c r="F3518" i="5" s="1"/>
  <c r="Q3518" i="5"/>
  <c r="W4747" i="5"/>
  <c r="F4766" i="5"/>
  <c r="Q3403" i="5"/>
  <c r="G3406" i="5"/>
  <c r="H3406" i="5" s="1"/>
  <c r="W3402" i="5"/>
  <c r="F3406" i="5" s="1"/>
  <c r="S3401" i="5"/>
  <c r="Y3387" i="5"/>
  <c r="F3399" i="5" s="1"/>
  <c r="G3399" i="5"/>
  <c r="H3399" i="5" s="1"/>
  <c r="S4795" i="5"/>
  <c r="G4812" i="5"/>
  <c r="H4812" i="5" s="1"/>
  <c r="F4411" i="5"/>
  <c r="Q4412" i="5"/>
  <c r="F5004" i="5"/>
  <c r="D5007" i="5"/>
  <c r="G5004" i="5"/>
  <c r="H5004" i="5" s="1"/>
  <c r="Q4647" i="5"/>
  <c r="F4667" i="5"/>
  <c r="S4650" i="5"/>
  <c r="F4681" i="5"/>
  <c r="Q4149" i="5"/>
  <c r="G4158" i="5"/>
  <c r="H4158" i="5" s="1"/>
  <c r="U4148" i="5"/>
  <c r="F4158" i="5" s="1"/>
  <c r="S5184" i="5" l="1"/>
  <c r="I5190" i="5" s="1"/>
  <c r="I5154" i="5"/>
  <c r="C5154" i="5"/>
  <c r="A5155" i="5"/>
  <c r="A5159" i="5"/>
  <c r="N5148" i="5"/>
  <c r="C5156" i="5"/>
  <c r="A5157" i="5"/>
  <c r="I5156" i="5"/>
  <c r="C5152" i="5"/>
  <c r="I5152" i="5"/>
  <c r="V3387" i="5"/>
  <c r="F3396" i="5" s="1"/>
  <c r="F4740" i="5"/>
  <c r="G3396" i="5"/>
  <c r="H3396" i="5" s="1"/>
  <c r="Q4516" i="5"/>
  <c r="F4516" i="5" s="1"/>
  <c r="G4516" i="5"/>
  <c r="H4516" i="5" s="1"/>
  <c r="H4857" i="5"/>
  <c r="V4992" i="5"/>
  <c r="F5005" i="5" s="1"/>
  <c r="Q4993" i="5"/>
  <c r="G5008" i="5" s="1"/>
  <c r="H5008" i="5" s="1"/>
  <c r="A4508" i="5"/>
  <c r="C4508" i="5" s="1"/>
  <c r="A4507" i="5"/>
  <c r="G4155" i="5"/>
  <c r="H4155" i="5" s="1"/>
  <c r="P4148" i="5"/>
  <c r="T4148" i="5" s="1"/>
  <c r="F4157" i="5" s="1"/>
  <c r="F4856" i="5"/>
  <c r="D4859" i="5"/>
  <c r="G4859" i="5" s="1"/>
  <c r="I5118" i="5"/>
  <c r="A5127" i="5"/>
  <c r="I5126" i="5"/>
  <c r="C5126" i="5"/>
  <c r="A5131" i="5"/>
  <c r="N5114" i="5"/>
  <c r="A5129" i="5"/>
  <c r="I5128" i="5"/>
  <c r="C5128" i="5"/>
  <c r="F4622" i="5"/>
  <c r="D4626" i="5"/>
  <c r="C5121" i="5"/>
  <c r="I5121" i="5"/>
  <c r="G3586" i="5"/>
  <c r="H3586" i="5" s="1"/>
  <c r="P3587" i="5"/>
  <c r="S3586" i="5"/>
  <c r="F3586" i="5" s="1"/>
  <c r="I5124" i="5"/>
  <c r="C5124" i="5"/>
  <c r="M3142" i="5"/>
  <c r="F3142" i="5" s="1"/>
  <c r="L3142" i="5" s="1"/>
  <c r="N3112" i="5"/>
  <c r="M3111" i="5"/>
  <c r="F3111" i="5" s="1"/>
  <c r="L3111" i="5" s="1"/>
  <c r="N3190" i="5"/>
  <c r="N3221" i="5"/>
  <c r="N3300" i="5" s="1"/>
  <c r="M3300" i="5" s="1"/>
  <c r="F3300" i="5" s="1"/>
  <c r="L3300" i="5" s="1"/>
  <c r="N3268" i="5"/>
  <c r="M3268" i="5" s="1"/>
  <c r="F3268" i="5" s="1"/>
  <c r="L3268" i="5" s="1"/>
  <c r="M3189" i="5"/>
  <c r="F3189" i="5" s="1"/>
  <c r="L3189" i="5" s="1"/>
  <c r="G4409" i="5"/>
  <c r="H4409" i="5" s="1"/>
  <c r="P4410" i="5"/>
  <c r="U4846" i="5"/>
  <c r="P4847" i="5"/>
  <c r="Q4743" i="5"/>
  <c r="G4749" i="5"/>
  <c r="H4749" i="5" s="1"/>
  <c r="R4922" i="5"/>
  <c r="W4921" i="5"/>
  <c r="F4941" i="5" s="1"/>
  <c r="N3204" i="5"/>
  <c r="M3125" i="5"/>
  <c r="F3125" i="5" s="1"/>
  <c r="L3125" i="5" s="1"/>
  <c r="N3126" i="5"/>
  <c r="N3282" i="5"/>
  <c r="M3282" i="5" s="1"/>
  <c r="F3282" i="5" s="1"/>
  <c r="L3282" i="5" s="1"/>
  <c r="M3203" i="5"/>
  <c r="F3203" i="5" s="1"/>
  <c r="L3203" i="5" s="1"/>
  <c r="F4379" i="5"/>
  <c r="Q4380" i="5"/>
  <c r="Q4442" i="5"/>
  <c r="F4442" i="5" s="1"/>
  <c r="P4443" i="5"/>
  <c r="G4442" i="5"/>
  <c r="H4442" i="5" s="1"/>
  <c r="Q4847" i="5"/>
  <c r="V4846" i="5"/>
  <c r="F4863" i="5" s="1"/>
  <c r="F4753" i="5"/>
  <c r="V4744" i="5"/>
  <c r="F4792" i="5"/>
  <c r="X4790" i="5"/>
  <c r="G4748" i="5"/>
  <c r="H4748" i="5" s="1"/>
  <c r="P4743" i="5"/>
  <c r="P4997" i="5"/>
  <c r="U4996" i="5"/>
  <c r="G3514" i="5"/>
  <c r="H3514" i="5" s="1"/>
  <c r="T3511" i="5"/>
  <c r="F3514" i="5" s="1"/>
  <c r="P3517" i="5"/>
  <c r="N4510" i="5"/>
  <c r="A4510" i="5" s="1"/>
  <c r="C4510" i="5" s="1"/>
  <c r="A4509" i="5"/>
  <c r="C4509" i="5" s="1"/>
  <c r="Q5149" i="5"/>
  <c r="R4649" i="5"/>
  <c r="F4676" i="5"/>
  <c r="A549" i="6"/>
  <c r="C548" i="6"/>
  <c r="F548" i="6"/>
  <c r="C546" i="6"/>
  <c r="F546" i="6"/>
  <c r="A547" i="6"/>
  <c r="R4849" i="5"/>
  <c r="G4870" i="5"/>
  <c r="W4848" i="5"/>
  <c r="F4870" i="5" s="1"/>
  <c r="A5018" i="5"/>
  <c r="C5017" i="5"/>
  <c r="H4867" i="5"/>
  <c r="I4867" i="5"/>
  <c r="N3144" i="5"/>
  <c r="M3143" i="5"/>
  <c r="F3143" i="5" s="1"/>
  <c r="L3143" i="5" s="1"/>
  <c r="N3222" i="5"/>
  <c r="W4996" i="5"/>
  <c r="R4997" i="5"/>
  <c r="G5015" i="5"/>
  <c r="H5015" i="5" s="1"/>
  <c r="F5015" i="5"/>
  <c r="C5015" i="5"/>
  <c r="P3402" i="5"/>
  <c r="V3401" i="5"/>
  <c r="F3401" i="5" s="1"/>
  <c r="G3401" i="5"/>
  <c r="H3401" i="5" s="1"/>
  <c r="A5021" i="5"/>
  <c r="C5020" i="5"/>
  <c r="N5033" i="5"/>
  <c r="A551" i="6"/>
  <c r="P4497" i="5"/>
  <c r="Q4496" i="5"/>
  <c r="F4496" i="5" s="1"/>
  <c r="G4496" i="5"/>
  <c r="H4496" i="5" s="1"/>
  <c r="D5135" i="5"/>
  <c r="R3403" i="5"/>
  <c r="G3407" i="5"/>
  <c r="H3407" i="5" s="1"/>
  <c r="X3402" i="5"/>
  <c r="F3407" i="5" s="1"/>
  <c r="I4860" i="5"/>
  <c r="H4860" i="5"/>
  <c r="R4747" i="5"/>
  <c r="G4766" i="5"/>
  <c r="H4766" i="5" s="1"/>
  <c r="G4941" i="5"/>
  <c r="D4944" i="5"/>
  <c r="D5171" i="5"/>
  <c r="D5174" i="5" s="1"/>
  <c r="D4866" i="5"/>
  <c r="G4863" i="5"/>
  <c r="I4938" i="5"/>
  <c r="H4938" i="5"/>
  <c r="S4688" i="5"/>
  <c r="F4685" i="5"/>
  <c r="Q3519" i="5"/>
  <c r="U3518" i="5"/>
  <c r="F3520" i="5" s="1"/>
  <c r="G3520" i="5"/>
  <c r="H3520" i="5" s="1"/>
  <c r="Q4150" i="5"/>
  <c r="G4160" i="5"/>
  <c r="H4160" i="5" s="1"/>
  <c r="U4149" i="5"/>
  <c r="F4160" i="5" s="1"/>
  <c r="Y3401" i="5"/>
  <c r="F3404" i="5" s="1"/>
  <c r="G3404" i="5"/>
  <c r="H3404" i="5" s="1"/>
  <c r="S3402" i="5"/>
  <c r="Q4413" i="5"/>
  <c r="F4412" i="5"/>
  <c r="W4748" i="5"/>
  <c r="F4770" i="5"/>
  <c r="Q4648" i="5"/>
  <c r="F4671" i="5"/>
  <c r="U4743" i="5"/>
  <c r="F4748" i="5"/>
  <c r="I4856" i="5"/>
  <c r="H4856" i="5"/>
  <c r="G5007" i="5"/>
  <c r="H5007" i="5" s="1"/>
  <c r="D5010" i="5"/>
  <c r="F5007" i="5"/>
  <c r="G4816" i="5"/>
  <c r="H4816" i="5" s="1"/>
  <c r="S4796" i="5"/>
  <c r="W3403" i="5"/>
  <c r="F3410" i="5" s="1"/>
  <c r="Q3404" i="5"/>
  <c r="G3410" i="5"/>
  <c r="H3410" i="5" s="1"/>
  <c r="C4507" i="5" l="1"/>
  <c r="A5162" i="5"/>
  <c r="N5149" i="5"/>
  <c r="A5160" i="5"/>
  <c r="C5159" i="5"/>
  <c r="I5159" i="5"/>
  <c r="I5155" i="5"/>
  <c r="C5155" i="5"/>
  <c r="A5158" i="5"/>
  <c r="I5157" i="5"/>
  <c r="C5157" i="5"/>
  <c r="Q4994" i="5"/>
  <c r="V4994" i="5" s="1"/>
  <c r="F5011" i="5" s="1"/>
  <c r="V4993" i="5"/>
  <c r="F5008" i="5" s="1"/>
  <c r="F4859" i="5"/>
  <c r="P4149" i="5"/>
  <c r="G4159" i="5" s="1"/>
  <c r="H4159" i="5" s="1"/>
  <c r="G4157" i="5"/>
  <c r="H4157" i="5" s="1"/>
  <c r="D4862" i="5"/>
  <c r="D4865" i="5" s="1"/>
  <c r="M3221" i="5"/>
  <c r="F3221" i="5" s="1"/>
  <c r="L3221" i="5" s="1"/>
  <c r="N5115" i="5"/>
  <c r="A5137" i="5" s="1"/>
  <c r="A5134" i="5"/>
  <c r="I5131" i="5"/>
  <c r="C5131" i="5"/>
  <c r="A5132" i="5"/>
  <c r="C5129" i="5"/>
  <c r="A5130" i="5"/>
  <c r="I5129" i="5"/>
  <c r="I5127" i="5"/>
  <c r="C5127" i="5"/>
  <c r="D4630" i="5"/>
  <c r="F4626" i="5"/>
  <c r="G3587" i="5"/>
  <c r="H3587" i="5" s="1"/>
  <c r="S3587" i="5"/>
  <c r="F3587" i="5" s="1"/>
  <c r="P3588" i="5"/>
  <c r="N3269" i="5"/>
  <c r="M3269" i="5" s="1"/>
  <c r="F3269" i="5" s="1"/>
  <c r="L3269" i="5" s="1"/>
  <c r="M3190" i="5"/>
  <c r="F3190" i="5" s="1"/>
  <c r="L3190" i="5" s="1"/>
  <c r="N3191" i="5"/>
  <c r="M3112" i="5"/>
  <c r="F3112" i="5" s="1"/>
  <c r="L3112" i="5" s="1"/>
  <c r="N3113" i="5"/>
  <c r="P4411" i="5"/>
  <c r="G4410" i="5"/>
  <c r="H4410" i="5" s="1"/>
  <c r="P4848" i="5"/>
  <c r="U4847" i="5"/>
  <c r="Q4744" i="5"/>
  <c r="G4753" i="5"/>
  <c r="H4753" i="5" s="1"/>
  <c r="N3205" i="5"/>
  <c r="M3126" i="5"/>
  <c r="F3126" i="5" s="1"/>
  <c r="L3126" i="5" s="1"/>
  <c r="N3127" i="5"/>
  <c r="M3204" i="5"/>
  <c r="F3204" i="5" s="1"/>
  <c r="L3204" i="5" s="1"/>
  <c r="N3283" i="5"/>
  <c r="M3283" i="5" s="1"/>
  <c r="F3283" i="5" s="1"/>
  <c r="L3283" i="5" s="1"/>
  <c r="F4380" i="5"/>
  <c r="Q4381" i="5"/>
  <c r="R4923" i="5"/>
  <c r="W4922" i="5"/>
  <c r="F4944" i="5" s="1"/>
  <c r="P4444" i="5"/>
  <c r="G4443" i="5"/>
  <c r="H4443" i="5" s="1"/>
  <c r="Q4443" i="5"/>
  <c r="F4443" i="5" s="1"/>
  <c r="Q4848" i="5"/>
  <c r="V4847" i="5"/>
  <c r="F4866" i="5" s="1"/>
  <c r="P5023" i="5"/>
  <c r="U4997" i="5"/>
  <c r="P4744" i="5"/>
  <c r="G4752" i="5"/>
  <c r="H4752" i="5" s="1"/>
  <c r="F4796" i="5"/>
  <c r="X4791" i="5"/>
  <c r="V4745" i="5"/>
  <c r="F4757" i="5"/>
  <c r="P3518" i="5"/>
  <c r="T3517" i="5"/>
  <c r="F3517" i="5" s="1"/>
  <c r="G3517" i="5"/>
  <c r="H3517" i="5" s="1"/>
  <c r="R4650" i="5"/>
  <c r="F4680" i="5"/>
  <c r="Q5150" i="5"/>
  <c r="C5021" i="5"/>
  <c r="G5021" i="5"/>
  <c r="H5021" i="5" s="1"/>
  <c r="V3402" i="5"/>
  <c r="F3405" i="5" s="1"/>
  <c r="P3403" i="5"/>
  <c r="G3405" i="5"/>
  <c r="H3405" i="5" s="1"/>
  <c r="R5023" i="5"/>
  <c r="W4997" i="5"/>
  <c r="F5021" i="5" s="1"/>
  <c r="I4870" i="5"/>
  <c r="H4870" i="5"/>
  <c r="R4875" i="5"/>
  <c r="G4873" i="5"/>
  <c r="W4849" i="5"/>
  <c r="F4873" i="5" s="1"/>
  <c r="M3222" i="5"/>
  <c r="F3222" i="5" s="1"/>
  <c r="L3222" i="5" s="1"/>
  <c r="N3301" i="5"/>
  <c r="M3301" i="5" s="1"/>
  <c r="F3301" i="5" s="1"/>
  <c r="L3301" i="5" s="1"/>
  <c r="C547" i="6"/>
  <c r="F547" i="6"/>
  <c r="A552" i="6"/>
  <c r="C551" i="6"/>
  <c r="F551" i="6"/>
  <c r="N3145" i="5"/>
  <c r="M3144" i="5"/>
  <c r="F3144" i="5" s="1"/>
  <c r="L3144" i="5" s="1"/>
  <c r="N3223" i="5"/>
  <c r="A554" i="6"/>
  <c r="N5034" i="5"/>
  <c r="A557" i="6" s="1"/>
  <c r="G5018" i="5"/>
  <c r="H5018" i="5" s="1"/>
  <c r="C5018" i="5"/>
  <c r="F5018" i="5"/>
  <c r="C549" i="6"/>
  <c r="A550" i="6"/>
  <c r="F549" i="6"/>
  <c r="I4941" i="5"/>
  <c r="H4941" i="5"/>
  <c r="I4863" i="5"/>
  <c r="H4863" i="5"/>
  <c r="R4748" i="5"/>
  <c r="G4770" i="5"/>
  <c r="H4770" i="5" s="1"/>
  <c r="G4866" i="5"/>
  <c r="D4869" i="5"/>
  <c r="R3404" i="5"/>
  <c r="G3411" i="5"/>
  <c r="H3411" i="5" s="1"/>
  <c r="X3403" i="5"/>
  <c r="F3411" i="5" s="1"/>
  <c r="P4499" i="5"/>
  <c r="Q4497" i="5"/>
  <c r="F4497" i="5" s="1"/>
  <c r="G4497" i="5"/>
  <c r="H4497" i="5" s="1"/>
  <c r="D5138" i="5"/>
  <c r="D4947" i="5"/>
  <c r="G4944" i="5"/>
  <c r="F4774" i="5"/>
  <c r="W4749" i="5"/>
  <c r="U4744" i="5"/>
  <c r="F4752" i="5"/>
  <c r="H4859" i="5"/>
  <c r="I4859" i="5"/>
  <c r="Q4414" i="5"/>
  <c r="F4413" i="5"/>
  <c r="S3403" i="5"/>
  <c r="Y3402" i="5"/>
  <c r="F3408" i="5" s="1"/>
  <c r="G3408" i="5"/>
  <c r="H3408" i="5" s="1"/>
  <c r="U3519" i="5"/>
  <c r="F3522" i="5" s="1"/>
  <c r="Q3520" i="5"/>
  <c r="G3522" i="5"/>
  <c r="H3522" i="5" s="1"/>
  <c r="S4689" i="5"/>
  <c r="F4690" i="5"/>
  <c r="G3414" i="5"/>
  <c r="H3414" i="5" s="1"/>
  <c r="W3404" i="5"/>
  <c r="F3414" i="5" s="1"/>
  <c r="Q3418" i="5"/>
  <c r="S4797" i="5"/>
  <c r="G4820" i="5"/>
  <c r="H4820" i="5" s="1"/>
  <c r="F5010" i="5"/>
  <c r="D5013" i="5"/>
  <c r="G5010" i="5"/>
  <c r="H5010" i="5" s="1"/>
  <c r="Q4649" i="5"/>
  <c r="F4675" i="5"/>
  <c r="U4150" i="5"/>
  <c r="F4162" i="5" s="1"/>
  <c r="Q4164" i="5"/>
  <c r="G4162" i="5"/>
  <c r="H4162" i="5" s="1"/>
  <c r="F4862" i="5" l="1"/>
  <c r="C5160" i="5"/>
  <c r="A5161" i="5"/>
  <c r="I5160" i="5"/>
  <c r="C5158" i="5"/>
  <c r="I5158" i="5"/>
  <c r="N5150" i="5"/>
  <c r="A5165" i="5"/>
  <c r="A5163" i="5"/>
  <c r="C5162" i="5"/>
  <c r="I5162" i="5"/>
  <c r="G5011" i="5"/>
  <c r="H5011" i="5" s="1"/>
  <c r="Q4995" i="5"/>
  <c r="V4995" i="5" s="1"/>
  <c r="F5014" i="5" s="1"/>
  <c r="G4862" i="5"/>
  <c r="I4862" i="5" s="1"/>
  <c r="T4149" i="5"/>
  <c r="F4159" i="5" s="1"/>
  <c r="P4150" i="5"/>
  <c r="G4161" i="5" s="1"/>
  <c r="H4161" i="5" s="1"/>
  <c r="I5130" i="5"/>
  <c r="C5130" i="5"/>
  <c r="C5132" i="5"/>
  <c r="A5133" i="5"/>
  <c r="I5132" i="5"/>
  <c r="A5135" i="5"/>
  <c r="C5134" i="5"/>
  <c r="I5134" i="5"/>
  <c r="A5138" i="5"/>
  <c r="I5138" i="5" s="1"/>
  <c r="I5137" i="5"/>
  <c r="C5137" i="5"/>
  <c r="D4634" i="5"/>
  <c r="F4634" i="5" s="1"/>
  <c r="F4630" i="5"/>
  <c r="P3589" i="5"/>
  <c r="G3588" i="5"/>
  <c r="H3588" i="5" s="1"/>
  <c r="S3588" i="5"/>
  <c r="F3588" i="5" s="1"/>
  <c r="M3113" i="5"/>
  <c r="F3113" i="5" s="1"/>
  <c r="L3113" i="5" s="1"/>
  <c r="N3114" i="5"/>
  <c r="N3192" i="5"/>
  <c r="N3270" i="5"/>
  <c r="M3270" i="5" s="1"/>
  <c r="F3270" i="5" s="1"/>
  <c r="L3270" i="5" s="1"/>
  <c r="M3191" i="5"/>
  <c r="F3191" i="5" s="1"/>
  <c r="L3191" i="5" s="1"/>
  <c r="P4412" i="5"/>
  <c r="G4411" i="5"/>
  <c r="H4411" i="5" s="1"/>
  <c r="U4848" i="5"/>
  <c r="P4849" i="5"/>
  <c r="G4757" i="5"/>
  <c r="H4757" i="5" s="1"/>
  <c r="Q4745" i="5"/>
  <c r="W4923" i="5"/>
  <c r="F4947" i="5" s="1"/>
  <c r="R4949" i="5"/>
  <c r="F4381" i="5"/>
  <c r="Q4382" i="5"/>
  <c r="M3127" i="5"/>
  <c r="F3127" i="5" s="1"/>
  <c r="L3127" i="5" s="1"/>
  <c r="N3206" i="5"/>
  <c r="N3128" i="5"/>
  <c r="N3284" i="5"/>
  <c r="M3284" i="5" s="1"/>
  <c r="F3284" i="5" s="1"/>
  <c r="L3284" i="5" s="1"/>
  <c r="M3205" i="5"/>
  <c r="F3205" i="5" s="1"/>
  <c r="L3205" i="5" s="1"/>
  <c r="G4444" i="5"/>
  <c r="H4444" i="5" s="1"/>
  <c r="P4445" i="5"/>
  <c r="Q4444" i="5"/>
  <c r="F4444" i="5" s="1"/>
  <c r="Q4849" i="5"/>
  <c r="V4848" i="5"/>
  <c r="F4869" i="5" s="1"/>
  <c r="V4746" i="5"/>
  <c r="F4761" i="5"/>
  <c r="F4800" i="5"/>
  <c r="X4792" i="5"/>
  <c r="G4756" i="5"/>
  <c r="H4756" i="5" s="1"/>
  <c r="P4745" i="5"/>
  <c r="Q5151" i="5"/>
  <c r="U5023" i="5"/>
  <c r="F5023" i="5" s="1"/>
  <c r="G5023" i="5"/>
  <c r="H5023" i="5" s="1"/>
  <c r="P5024" i="5"/>
  <c r="P3519" i="5"/>
  <c r="T3518" i="5"/>
  <c r="F3519" i="5" s="1"/>
  <c r="G3519" i="5"/>
  <c r="H3519" i="5" s="1"/>
  <c r="R4688" i="5"/>
  <c r="F4684" i="5"/>
  <c r="F554" i="6"/>
  <c r="C554" i="6"/>
  <c r="A555" i="6"/>
  <c r="F552" i="6"/>
  <c r="C552" i="6"/>
  <c r="A553" i="6"/>
  <c r="P3404" i="5"/>
  <c r="V3403" i="5"/>
  <c r="F3409" i="5" s="1"/>
  <c r="G3409" i="5"/>
  <c r="H3409" i="5" s="1"/>
  <c r="I4873" i="5"/>
  <c r="H4873" i="5"/>
  <c r="C550" i="6"/>
  <c r="F550" i="6"/>
  <c r="W4875" i="5"/>
  <c r="F4877" i="5" s="1"/>
  <c r="R4876" i="5"/>
  <c r="G4877" i="5"/>
  <c r="N3302" i="5"/>
  <c r="M3302" i="5" s="1"/>
  <c r="F3302" i="5" s="1"/>
  <c r="L3302" i="5" s="1"/>
  <c r="M3223" i="5"/>
  <c r="F3223" i="5" s="1"/>
  <c r="L3223" i="5" s="1"/>
  <c r="N3146" i="5"/>
  <c r="N3224" i="5"/>
  <c r="M3145" i="5"/>
  <c r="F3145" i="5" s="1"/>
  <c r="L3145" i="5" s="1"/>
  <c r="G5025" i="5"/>
  <c r="H5025" i="5" s="1"/>
  <c r="R5024" i="5"/>
  <c r="W5023" i="5"/>
  <c r="F5025" i="5" s="1"/>
  <c r="F557" i="6"/>
  <c r="C557" i="6"/>
  <c r="A558" i="6"/>
  <c r="I4944" i="5"/>
  <c r="H4944" i="5"/>
  <c r="G4947" i="5"/>
  <c r="X3404" i="5"/>
  <c r="F3415" i="5" s="1"/>
  <c r="G3415" i="5"/>
  <c r="H3415" i="5" s="1"/>
  <c r="R3418" i="5"/>
  <c r="G4869" i="5"/>
  <c r="D4872" i="5"/>
  <c r="H4866" i="5"/>
  <c r="I4866" i="5"/>
  <c r="R4749" i="5"/>
  <c r="G4774" i="5"/>
  <c r="H4774" i="5" s="1"/>
  <c r="Q4499" i="5"/>
  <c r="F4499" i="5" s="1"/>
  <c r="G4499" i="5"/>
  <c r="H4499" i="5" s="1"/>
  <c r="P4500" i="5"/>
  <c r="U4745" i="5"/>
  <c r="F4756" i="5"/>
  <c r="U3520" i="5"/>
  <c r="F3524" i="5" s="1"/>
  <c r="Q3526" i="5"/>
  <c r="G3524" i="5"/>
  <c r="H3524" i="5" s="1"/>
  <c r="G4824" i="5"/>
  <c r="H4824" i="5" s="1"/>
  <c r="S4798" i="5"/>
  <c r="W3418" i="5"/>
  <c r="F3419" i="5" s="1"/>
  <c r="Q3419" i="5"/>
  <c r="G3419" i="5"/>
  <c r="H3419" i="5" s="1"/>
  <c r="F4778" i="5"/>
  <c r="W4750" i="5"/>
  <c r="Y3403" i="5"/>
  <c r="F3412" i="5" s="1"/>
  <c r="S3404" i="5"/>
  <c r="G3412" i="5"/>
  <c r="H3412" i="5" s="1"/>
  <c r="Q4165" i="5"/>
  <c r="U4164" i="5"/>
  <c r="F4165" i="5" s="1"/>
  <c r="G4165" i="5"/>
  <c r="H4165" i="5" s="1"/>
  <c r="Q4650" i="5"/>
  <c r="F4679" i="5"/>
  <c r="F4414" i="5"/>
  <c r="Q4415" i="5"/>
  <c r="D4868" i="5"/>
  <c r="G4865" i="5"/>
  <c r="F4865" i="5"/>
  <c r="D5016" i="5"/>
  <c r="G5013" i="5"/>
  <c r="H5013" i="5" s="1"/>
  <c r="F5013" i="5"/>
  <c r="S4690" i="5"/>
  <c r="F4694" i="5"/>
  <c r="I5133" i="5" l="1"/>
  <c r="H4862" i="5"/>
  <c r="A5166" i="5"/>
  <c r="C5165" i="5"/>
  <c r="I5165" i="5"/>
  <c r="N5151" i="5"/>
  <c r="A5168" i="5"/>
  <c r="C5161" i="5"/>
  <c r="I5161" i="5"/>
  <c r="I5163" i="5"/>
  <c r="C5163" i="5"/>
  <c r="A5164" i="5"/>
  <c r="G5014" i="5"/>
  <c r="H5014" i="5" s="1"/>
  <c r="Q4996" i="5"/>
  <c r="V4996" i="5" s="1"/>
  <c r="F5017" i="5" s="1"/>
  <c r="P4164" i="5"/>
  <c r="G4164" i="5" s="1"/>
  <c r="H4164" i="5" s="1"/>
  <c r="T4150" i="5"/>
  <c r="F4161" i="5" s="1"/>
  <c r="A5136" i="5"/>
  <c r="C5135" i="5"/>
  <c r="I5135" i="5"/>
  <c r="C5133" i="5"/>
  <c r="A5139" i="5"/>
  <c r="C5138" i="5"/>
  <c r="G3589" i="5"/>
  <c r="H3589" i="5" s="1"/>
  <c r="S3589" i="5"/>
  <c r="F3589" i="5" s="1"/>
  <c r="P3591" i="5"/>
  <c r="M3192" i="5"/>
  <c r="F3192" i="5" s="1"/>
  <c r="L3192" i="5" s="1"/>
  <c r="N3271" i="5"/>
  <c r="M3271" i="5" s="1"/>
  <c r="F3271" i="5" s="1"/>
  <c r="L3271" i="5" s="1"/>
  <c r="M3114" i="5"/>
  <c r="F3114" i="5" s="1"/>
  <c r="L3114" i="5" s="1"/>
  <c r="N3193" i="5"/>
  <c r="N3115" i="5"/>
  <c r="G4412" i="5"/>
  <c r="H4412" i="5" s="1"/>
  <c r="P4413" i="5"/>
  <c r="U4849" i="5"/>
  <c r="P4875" i="5"/>
  <c r="G4761" i="5"/>
  <c r="H4761" i="5" s="1"/>
  <c r="Q4746" i="5"/>
  <c r="N3129" i="5"/>
  <c r="N3207" i="5"/>
  <c r="M3128" i="5"/>
  <c r="F3128" i="5" s="1"/>
  <c r="L3128" i="5" s="1"/>
  <c r="N3285" i="5"/>
  <c r="M3285" i="5" s="1"/>
  <c r="F3285" i="5" s="1"/>
  <c r="L3285" i="5" s="1"/>
  <c r="M3206" i="5"/>
  <c r="F3206" i="5" s="1"/>
  <c r="L3206" i="5" s="1"/>
  <c r="F4382" i="5"/>
  <c r="Q4383" i="5"/>
  <c r="G4951" i="5"/>
  <c r="W4949" i="5"/>
  <c r="F4951" i="5" s="1"/>
  <c r="R4950" i="5"/>
  <c r="G4445" i="5"/>
  <c r="H4445" i="5" s="1"/>
  <c r="P4447" i="5"/>
  <c r="Q4445" i="5"/>
  <c r="F4445" i="5" s="1"/>
  <c r="V4849" i="5"/>
  <c r="F4872" i="5" s="1"/>
  <c r="Q4875" i="5"/>
  <c r="Q5152" i="5"/>
  <c r="P4746" i="5"/>
  <c r="G4760" i="5"/>
  <c r="H4760" i="5" s="1"/>
  <c r="F4804" i="5"/>
  <c r="X4793" i="5"/>
  <c r="P5025" i="5"/>
  <c r="U5024" i="5"/>
  <c r="F5026" i="5" s="1"/>
  <c r="G5026" i="5"/>
  <c r="H5026" i="5" s="1"/>
  <c r="V4747" i="5"/>
  <c r="F4765" i="5"/>
  <c r="G3521" i="5"/>
  <c r="H3521" i="5" s="1"/>
  <c r="P3520" i="5"/>
  <c r="T3519" i="5"/>
  <c r="F3521" i="5" s="1"/>
  <c r="R4689" i="5"/>
  <c r="F4689" i="5"/>
  <c r="R5025" i="5"/>
  <c r="W5024" i="5"/>
  <c r="F5028" i="5" s="1"/>
  <c r="G5028" i="5"/>
  <c r="H5028" i="5" s="1"/>
  <c r="P3418" i="5"/>
  <c r="G3413" i="5"/>
  <c r="H3413" i="5" s="1"/>
  <c r="V3404" i="5"/>
  <c r="F3413" i="5" s="1"/>
  <c r="C553" i="6"/>
  <c r="F553" i="6"/>
  <c r="I4877" i="5"/>
  <c r="H4877" i="5"/>
  <c r="N3303" i="5"/>
  <c r="M3303" i="5" s="1"/>
  <c r="F3303" i="5" s="1"/>
  <c r="L3303" i="5" s="1"/>
  <c r="M3224" i="5"/>
  <c r="F3224" i="5" s="1"/>
  <c r="L3224" i="5" s="1"/>
  <c r="R4877" i="5"/>
  <c r="W4876" i="5"/>
  <c r="F4880" i="5" s="1"/>
  <c r="G4880" i="5"/>
  <c r="C558" i="6"/>
  <c r="A559" i="6"/>
  <c r="F558" i="6"/>
  <c r="N3225" i="5"/>
  <c r="M3146" i="5"/>
  <c r="F3146" i="5" s="1"/>
  <c r="L3146" i="5" s="1"/>
  <c r="N3147" i="5"/>
  <c r="C555" i="6"/>
  <c r="A556" i="6"/>
  <c r="F555" i="6"/>
  <c r="P4501" i="5"/>
  <c r="G4500" i="5"/>
  <c r="H4500" i="5" s="1"/>
  <c r="Q4500" i="5"/>
  <c r="F4500" i="5" s="1"/>
  <c r="H4947" i="5"/>
  <c r="I4947" i="5"/>
  <c r="G4872" i="5"/>
  <c r="H4869" i="5"/>
  <c r="I4869" i="5"/>
  <c r="G4778" i="5"/>
  <c r="H4778" i="5" s="1"/>
  <c r="R4750" i="5"/>
  <c r="X3418" i="5"/>
  <c r="F3420" i="5" s="1"/>
  <c r="R3419" i="5"/>
  <c r="G3420" i="5"/>
  <c r="H3420" i="5" s="1"/>
  <c r="S4691" i="5"/>
  <c r="F4698" i="5"/>
  <c r="F4868" i="5"/>
  <c r="D4871" i="5"/>
  <c r="G4868" i="5"/>
  <c r="D5019" i="5"/>
  <c r="G5016" i="5"/>
  <c r="H5016" i="5" s="1"/>
  <c r="F5016" i="5"/>
  <c r="Q4416" i="5"/>
  <c r="F4415" i="5"/>
  <c r="U3526" i="5"/>
  <c r="F3527" i="5" s="1"/>
  <c r="G3527" i="5"/>
  <c r="H3527" i="5" s="1"/>
  <c r="Q3527" i="5"/>
  <c r="Q4688" i="5"/>
  <c r="F4683" i="5"/>
  <c r="U4165" i="5"/>
  <c r="F4167" i="5" s="1"/>
  <c r="G4167" i="5"/>
  <c r="H4167" i="5" s="1"/>
  <c r="Q4166" i="5"/>
  <c r="S3418" i="5"/>
  <c r="G3416" i="5"/>
  <c r="H3416" i="5" s="1"/>
  <c r="Y3404" i="5"/>
  <c r="F3416" i="5" s="1"/>
  <c r="Q3420" i="5"/>
  <c r="G3423" i="5"/>
  <c r="H3423" i="5" s="1"/>
  <c r="W3419" i="5"/>
  <c r="F3423" i="5" s="1"/>
  <c r="S4799" i="5"/>
  <c r="G4828" i="5"/>
  <c r="H4828" i="5" s="1"/>
  <c r="U4746" i="5"/>
  <c r="F4760" i="5"/>
  <c r="H4865" i="5"/>
  <c r="I4865" i="5"/>
  <c r="W4751" i="5"/>
  <c r="F4782" i="5"/>
  <c r="Q4997" i="5" l="1"/>
  <c r="G5020" i="5" s="1"/>
  <c r="H5020" i="5" s="1"/>
  <c r="C5168" i="5"/>
  <c r="A5169" i="5"/>
  <c r="I5168" i="5"/>
  <c r="N5152" i="5"/>
  <c r="A5171" i="5"/>
  <c r="C5164" i="5"/>
  <c r="I5164" i="5"/>
  <c r="C5166" i="5"/>
  <c r="I5166" i="5"/>
  <c r="A5167" i="5"/>
  <c r="G5017" i="5"/>
  <c r="H5017" i="5" s="1"/>
  <c r="P4165" i="5"/>
  <c r="P4166" i="5" s="1"/>
  <c r="G4168" i="5" s="1"/>
  <c r="H4168" i="5" s="1"/>
  <c r="T4164" i="5"/>
  <c r="F4164" i="5" s="1"/>
  <c r="I5139" i="5"/>
  <c r="C5139" i="5"/>
  <c r="I5136" i="5"/>
  <c r="C5136" i="5"/>
  <c r="S3591" i="5"/>
  <c r="F3591" i="5" s="1"/>
  <c r="P3592" i="5"/>
  <c r="G3591" i="5"/>
  <c r="H3591" i="5" s="1"/>
  <c r="N3194" i="5"/>
  <c r="N3116" i="5"/>
  <c r="M3115" i="5"/>
  <c r="F3115" i="5" s="1"/>
  <c r="L3115" i="5" s="1"/>
  <c r="M3193" i="5"/>
  <c r="F3193" i="5" s="1"/>
  <c r="L3193" i="5" s="1"/>
  <c r="N3272" i="5"/>
  <c r="M3272" i="5" s="1"/>
  <c r="F3272" i="5" s="1"/>
  <c r="L3272" i="5" s="1"/>
  <c r="Q5178" i="5"/>
  <c r="P4414" i="5"/>
  <c r="G4413" i="5"/>
  <c r="H4413" i="5" s="1"/>
  <c r="P4876" i="5"/>
  <c r="G4875" i="5"/>
  <c r="U4875" i="5"/>
  <c r="F4875" i="5" s="1"/>
  <c r="Q4747" i="5"/>
  <c r="G4765" i="5"/>
  <c r="H4765" i="5" s="1"/>
  <c r="H4951" i="5"/>
  <c r="I4951" i="5"/>
  <c r="F4383" i="5"/>
  <c r="Q4384" i="5"/>
  <c r="W4950" i="5"/>
  <c r="F4954" i="5" s="1"/>
  <c r="G4954" i="5"/>
  <c r="R4951" i="5"/>
  <c r="M3207" i="5"/>
  <c r="F3207" i="5" s="1"/>
  <c r="L3207" i="5" s="1"/>
  <c r="N3286" i="5"/>
  <c r="M3286" i="5" s="1"/>
  <c r="F3286" i="5" s="1"/>
  <c r="L3286" i="5" s="1"/>
  <c r="M3129" i="5"/>
  <c r="F3129" i="5" s="1"/>
  <c r="L3129" i="5" s="1"/>
  <c r="N3208" i="5"/>
  <c r="N3130" i="5"/>
  <c r="G4447" i="5"/>
  <c r="H4447" i="5" s="1"/>
  <c r="Q4447" i="5"/>
  <c r="F4447" i="5" s="1"/>
  <c r="P4448" i="5"/>
  <c r="G4876" i="5"/>
  <c r="V4875" i="5"/>
  <c r="F4876" i="5" s="1"/>
  <c r="Q4876" i="5"/>
  <c r="U5025" i="5"/>
  <c r="F5029" i="5" s="1"/>
  <c r="G5029" i="5"/>
  <c r="H5029" i="5" s="1"/>
  <c r="P5026" i="5"/>
  <c r="X4794" i="5"/>
  <c r="F4808" i="5"/>
  <c r="P4747" i="5"/>
  <c r="G4764" i="5"/>
  <c r="H4764" i="5" s="1"/>
  <c r="F4769" i="5"/>
  <c r="V4748" i="5"/>
  <c r="G3523" i="5"/>
  <c r="H3523" i="5" s="1"/>
  <c r="T3520" i="5"/>
  <c r="F3523" i="5" s="1"/>
  <c r="P3526" i="5"/>
  <c r="R4690" i="5"/>
  <c r="F4693" i="5"/>
  <c r="I4880" i="5"/>
  <c r="H4880" i="5"/>
  <c r="V3418" i="5"/>
  <c r="F3418" i="5" s="1"/>
  <c r="P3419" i="5"/>
  <c r="G3418" i="5"/>
  <c r="H3418" i="5" s="1"/>
  <c r="M3147" i="5"/>
  <c r="F3147" i="5" s="1"/>
  <c r="L3147" i="5" s="1"/>
  <c r="N3226" i="5"/>
  <c r="N3148" i="5"/>
  <c r="R4878" i="5"/>
  <c r="G4883" i="5"/>
  <c r="W4877" i="5"/>
  <c r="F4883" i="5" s="1"/>
  <c r="W5025" i="5"/>
  <c r="F5031" i="5" s="1"/>
  <c r="G5031" i="5"/>
  <c r="H5031" i="5" s="1"/>
  <c r="R5026" i="5"/>
  <c r="M3225" i="5"/>
  <c r="F3225" i="5" s="1"/>
  <c r="L3225" i="5" s="1"/>
  <c r="N3304" i="5"/>
  <c r="M3304" i="5" s="1"/>
  <c r="F3304" i="5" s="1"/>
  <c r="L3304" i="5" s="1"/>
  <c r="C556" i="6"/>
  <c r="F556" i="6"/>
  <c r="C559" i="6"/>
  <c r="F559" i="6"/>
  <c r="G4782" i="5"/>
  <c r="H4782" i="5" s="1"/>
  <c r="R4751" i="5"/>
  <c r="H4872" i="5"/>
  <c r="I4872" i="5"/>
  <c r="P4502" i="5"/>
  <c r="Q4501" i="5"/>
  <c r="F4501" i="5" s="1"/>
  <c r="G4501" i="5"/>
  <c r="H4501" i="5" s="1"/>
  <c r="G3424" i="5"/>
  <c r="H3424" i="5" s="1"/>
  <c r="R3420" i="5"/>
  <c r="X3419" i="5"/>
  <c r="F3424" i="5" s="1"/>
  <c r="F5019" i="5"/>
  <c r="G5019" i="5"/>
  <c r="H5019" i="5" s="1"/>
  <c r="G4832" i="5"/>
  <c r="H4832" i="5" s="1"/>
  <c r="S4800" i="5"/>
  <c r="G4836" i="5" s="1"/>
  <c r="H4836" i="5" s="1"/>
  <c r="F4764" i="5"/>
  <c r="U4747" i="5"/>
  <c r="Q3421" i="5"/>
  <c r="W3420" i="5"/>
  <c r="F3427" i="5" s="1"/>
  <c r="G3427" i="5"/>
  <c r="H3427" i="5" s="1"/>
  <c r="U3527" i="5"/>
  <c r="F3529" i="5" s="1"/>
  <c r="Q3528" i="5"/>
  <c r="G3529" i="5"/>
  <c r="H3529" i="5" s="1"/>
  <c r="F4416" i="5"/>
  <c r="Q4417" i="5"/>
  <c r="I4868" i="5"/>
  <c r="H4868" i="5"/>
  <c r="F4871" i="5"/>
  <c r="G4871" i="5"/>
  <c r="Y3418" i="5"/>
  <c r="F3421" i="5" s="1"/>
  <c r="S3419" i="5"/>
  <c r="G3421" i="5"/>
  <c r="H3421" i="5" s="1"/>
  <c r="F4786" i="5"/>
  <c r="W4789" i="5"/>
  <c r="Q4167" i="5"/>
  <c r="U4166" i="5"/>
  <c r="F4169" i="5" s="1"/>
  <c r="G4169" i="5"/>
  <c r="H4169" i="5" s="1"/>
  <c r="Q4689" i="5"/>
  <c r="F4688" i="5"/>
  <c r="S4692" i="5"/>
  <c r="F4702" i="5"/>
  <c r="Q5182" i="5" l="1"/>
  <c r="Q5183" i="5" s="1"/>
  <c r="I5185" i="5" s="1"/>
  <c r="I5183" i="5"/>
  <c r="I5184" i="5"/>
  <c r="Q5023" i="5"/>
  <c r="G5024" i="5" s="1"/>
  <c r="H5024" i="5" s="1"/>
  <c r="I5178" i="5"/>
  <c r="V4997" i="5"/>
  <c r="F5020" i="5" s="1"/>
  <c r="C5171" i="5"/>
  <c r="A5172" i="5"/>
  <c r="I5171" i="5"/>
  <c r="A5174" i="5"/>
  <c r="I5167" i="5"/>
  <c r="C5167" i="5"/>
  <c r="A5170" i="5"/>
  <c r="C5169" i="5"/>
  <c r="I5169" i="5"/>
  <c r="P4167" i="5"/>
  <c r="T4167" i="5" s="1"/>
  <c r="F4170" i="5" s="1"/>
  <c r="T4166" i="5"/>
  <c r="F4168" i="5" s="1"/>
  <c r="G4166" i="5"/>
  <c r="H4166" i="5" s="1"/>
  <c r="T4165" i="5"/>
  <c r="F4166" i="5" s="1"/>
  <c r="G3592" i="5"/>
  <c r="H3592" i="5" s="1"/>
  <c r="P3593" i="5"/>
  <c r="S3592" i="5"/>
  <c r="F3592" i="5" s="1"/>
  <c r="M3116" i="5"/>
  <c r="F3116" i="5" s="1"/>
  <c r="L3116" i="5" s="1"/>
  <c r="N3117" i="5"/>
  <c r="N3195" i="5"/>
  <c r="M3194" i="5"/>
  <c r="F3194" i="5" s="1"/>
  <c r="L3194" i="5" s="1"/>
  <c r="N3273" i="5"/>
  <c r="M3273" i="5" s="1"/>
  <c r="F3273" i="5" s="1"/>
  <c r="L3273" i="5" s="1"/>
  <c r="G4414" i="5"/>
  <c r="H4414" i="5" s="1"/>
  <c r="P4415" i="5"/>
  <c r="H4875" i="5"/>
  <c r="I4875" i="5"/>
  <c r="G4878" i="5"/>
  <c r="P4877" i="5"/>
  <c r="U4876" i="5"/>
  <c r="F4878" i="5" s="1"/>
  <c r="G4769" i="5"/>
  <c r="H4769" i="5" s="1"/>
  <c r="Q4748" i="5"/>
  <c r="G4957" i="5"/>
  <c r="W4951" i="5"/>
  <c r="F4957" i="5" s="1"/>
  <c r="R4952" i="5"/>
  <c r="I4954" i="5"/>
  <c r="H4954" i="5"/>
  <c r="N3131" i="5"/>
  <c r="M3130" i="5"/>
  <c r="F3130" i="5" s="1"/>
  <c r="L3130" i="5" s="1"/>
  <c r="N3209" i="5"/>
  <c r="Q4385" i="5"/>
  <c r="F4384" i="5"/>
  <c r="M3208" i="5"/>
  <c r="F3208" i="5" s="1"/>
  <c r="L3208" i="5" s="1"/>
  <c r="N3287" i="5"/>
  <c r="M3287" i="5" s="1"/>
  <c r="F3287" i="5" s="1"/>
  <c r="L3287" i="5" s="1"/>
  <c r="Q4448" i="5"/>
  <c r="F4448" i="5" s="1"/>
  <c r="P4449" i="5"/>
  <c r="G4448" i="5"/>
  <c r="H4448" i="5" s="1"/>
  <c r="Q4877" i="5"/>
  <c r="G4879" i="5"/>
  <c r="V4876" i="5"/>
  <c r="F4879" i="5" s="1"/>
  <c r="H4876" i="5"/>
  <c r="I4876" i="5"/>
  <c r="P4748" i="5"/>
  <c r="G4768" i="5"/>
  <c r="H4768" i="5" s="1"/>
  <c r="X4795" i="5"/>
  <c r="F4812" i="5"/>
  <c r="U5026" i="5"/>
  <c r="F5032" i="5" s="1"/>
  <c r="P5027" i="5"/>
  <c r="G5032" i="5"/>
  <c r="H5032" i="5" s="1"/>
  <c r="F4773" i="5"/>
  <c r="V4749" i="5"/>
  <c r="G3526" i="5"/>
  <c r="H3526" i="5" s="1"/>
  <c r="P3527" i="5"/>
  <c r="T3526" i="5"/>
  <c r="F3526" i="5" s="1"/>
  <c r="R4691" i="5"/>
  <c r="F4697" i="5"/>
  <c r="I4883" i="5"/>
  <c r="H4883" i="5"/>
  <c r="W5026" i="5"/>
  <c r="F5034" i="5" s="1"/>
  <c r="G5034" i="5"/>
  <c r="H5034" i="5" s="1"/>
  <c r="R5027" i="5"/>
  <c r="G4886" i="5"/>
  <c r="R4879" i="5"/>
  <c r="W4878" i="5"/>
  <c r="F4886" i="5" s="1"/>
  <c r="N3227" i="5"/>
  <c r="N3149" i="5"/>
  <c r="M3148" i="5"/>
  <c r="F3148" i="5" s="1"/>
  <c r="L3148" i="5" s="1"/>
  <c r="M3226" i="5"/>
  <c r="F3226" i="5" s="1"/>
  <c r="L3226" i="5" s="1"/>
  <c r="N3305" i="5"/>
  <c r="M3305" i="5" s="1"/>
  <c r="F3305" i="5" s="1"/>
  <c r="L3305" i="5" s="1"/>
  <c r="Q5024" i="5"/>
  <c r="P3420" i="5"/>
  <c r="V3419" i="5"/>
  <c r="F3422" i="5" s="1"/>
  <c r="G3422" i="5"/>
  <c r="H3422" i="5" s="1"/>
  <c r="R3421" i="5"/>
  <c r="G3428" i="5"/>
  <c r="H3428" i="5" s="1"/>
  <c r="X3420" i="5"/>
  <c r="F3428" i="5" s="1"/>
  <c r="G4786" i="5"/>
  <c r="H4786" i="5" s="1"/>
  <c r="R4789" i="5"/>
  <c r="P4503" i="5"/>
  <c r="Q4502" i="5"/>
  <c r="F4502" i="5" s="1"/>
  <c r="G4502" i="5"/>
  <c r="H4502" i="5" s="1"/>
  <c r="Q4690" i="5"/>
  <c r="F4692" i="5"/>
  <c r="Q4168" i="5"/>
  <c r="G4171" i="5"/>
  <c r="H4171" i="5" s="1"/>
  <c r="U4167" i="5"/>
  <c r="F4171" i="5" s="1"/>
  <c r="G3431" i="5"/>
  <c r="H3431" i="5" s="1"/>
  <c r="W3421" i="5"/>
  <c r="F3431" i="5" s="1"/>
  <c r="S4693" i="5"/>
  <c r="F4706" i="5"/>
  <c r="F4417" i="5"/>
  <c r="Q4418" i="5"/>
  <c r="F4791" i="5"/>
  <c r="W4790" i="5"/>
  <c r="Y3419" i="5"/>
  <c r="F3425" i="5" s="1"/>
  <c r="S3420" i="5"/>
  <c r="G3425" i="5"/>
  <c r="H3425" i="5" s="1"/>
  <c r="F4768" i="5"/>
  <c r="U4748" i="5"/>
  <c r="I4871" i="5"/>
  <c r="H4871" i="5"/>
  <c r="U3528" i="5"/>
  <c r="F3531" i="5" s="1"/>
  <c r="Q3529" i="5"/>
  <c r="G3531" i="5"/>
  <c r="H3531" i="5" s="1"/>
  <c r="I5182" i="5" l="1"/>
  <c r="V5023" i="5"/>
  <c r="F5024" i="5" s="1"/>
  <c r="Q5184" i="5"/>
  <c r="I5188" i="5" s="1"/>
  <c r="C5174" i="5"/>
  <c r="A5175" i="5"/>
  <c r="I5174" i="5"/>
  <c r="I5172" i="5"/>
  <c r="C5172" i="5"/>
  <c r="A5173" i="5"/>
  <c r="C5170" i="5"/>
  <c r="I5170" i="5"/>
  <c r="P4168" i="5"/>
  <c r="G4172" i="5" s="1"/>
  <c r="H4172" i="5" s="1"/>
  <c r="G4170" i="5"/>
  <c r="H4170" i="5" s="1"/>
  <c r="S3593" i="5"/>
  <c r="F3593" i="5" s="1"/>
  <c r="P3594" i="5"/>
  <c r="G3593" i="5"/>
  <c r="H3593" i="5" s="1"/>
  <c r="N3274" i="5"/>
  <c r="M3274" i="5" s="1"/>
  <c r="F3274" i="5" s="1"/>
  <c r="L3274" i="5" s="1"/>
  <c r="M3195" i="5"/>
  <c r="F3195" i="5" s="1"/>
  <c r="L3195" i="5" s="1"/>
  <c r="M3117" i="5"/>
  <c r="F3117" i="5" s="1"/>
  <c r="L3117" i="5" s="1"/>
  <c r="N3196" i="5"/>
  <c r="N3118" i="5"/>
  <c r="P4416" i="5"/>
  <c r="G4415" i="5"/>
  <c r="H4415" i="5" s="1"/>
  <c r="U4877" i="5"/>
  <c r="F4881" i="5" s="1"/>
  <c r="G4881" i="5"/>
  <c r="P4878" i="5"/>
  <c r="H4878" i="5"/>
  <c r="I4878" i="5"/>
  <c r="Q4749" i="5"/>
  <c r="G4773" i="5"/>
  <c r="H4773" i="5" s="1"/>
  <c r="N3288" i="5"/>
  <c r="M3288" i="5" s="1"/>
  <c r="F3288" i="5" s="1"/>
  <c r="L3288" i="5" s="1"/>
  <c r="M3209" i="5"/>
  <c r="F3209" i="5" s="1"/>
  <c r="L3209" i="5" s="1"/>
  <c r="N3132" i="5"/>
  <c r="N3210" i="5"/>
  <c r="M3131" i="5"/>
  <c r="F3131" i="5" s="1"/>
  <c r="L3131" i="5" s="1"/>
  <c r="G4960" i="5"/>
  <c r="R4953" i="5"/>
  <c r="W4952" i="5"/>
  <c r="F4960" i="5" s="1"/>
  <c r="Q4386" i="5"/>
  <c r="F4385" i="5"/>
  <c r="H4957" i="5"/>
  <c r="I4957" i="5"/>
  <c r="Q4449" i="5"/>
  <c r="F4449" i="5" s="1"/>
  <c r="P4450" i="5"/>
  <c r="G4449" i="5"/>
  <c r="H4449" i="5" s="1"/>
  <c r="I4879" i="5"/>
  <c r="H4879" i="5"/>
  <c r="G4882" i="5"/>
  <c r="Q4878" i="5"/>
  <c r="V4877" i="5"/>
  <c r="F4882" i="5" s="1"/>
  <c r="U5027" i="5"/>
  <c r="F5035" i="5" s="1"/>
  <c r="G5035" i="5"/>
  <c r="H5035" i="5" s="1"/>
  <c r="P5028" i="5"/>
  <c r="F4816" i="5"/>
  <c r="X4796" i="5"/>
  <c r="V4750" i="5"/>
  <c r="F4777" i="5"/>
  <c r="G4772" i="5"/>
  <c r="H4772" i="5" s="1"/>
  <c r="P4749" i="5"/>
  <c r="T3527" i="5"/>
  <c r="F3528" i="5" s="1"/>
  <c r="G3528" i="5"/>
  <c r="H3528" i="5" s="1"/>
  <c r="P3528" i="5"/>
  <c r="R4692" i="5"/>
  <c r="F4701" i="5"/>
  <c r="G4889" i="5"/>
  <c r="R4880" i="5"/>
  <c r="W4879" i="5"/>
  <c r="F4889" i="5" s="1"/>
  <c r="I4886" i="5"/>
  <c r="H4886" i="5"/>
  <c r="P3421" i="5"/>
  <c r="V3420" i="5"/>
  <c r="F3426" i="5" s="1"/>
  <c r="G3426" i="5"/>
  <c r="H3426" i="5" s="1"/>
  <c r="R5028" i="5"/>
  <c r="W5027" i="5"/>
  <c r="F5037" i="5" s="1"/>
  <c r="G5037" i="5"/>
  <c r="H5037" i="5" s="1"/>
  <c r="G5027" i="5"/>
  <c r="H5027" i="5" s="1"/>
  <c r="V5024" i="5"/>
  <c r="F5027" i="5" s="1"/>
  <c r="Q5025" i="5"/>
  <c r="N3150" i="5"/>
  <c r="M3149" i="5"/>
  <c r="F3149" i="5" s="1"/>
  <c r="L3149" i="5" s="1"/>
  <c r="N3228" i="5"/>
  <c r="M3227" i="5"/>
  <c r="F3227" i="5" s="1"/>
  <c r="L3227" i="5" s="1"/>
  <c r="N3306" i="5"/>
  <c r="M3306" i="5" s="1"/>
  <c r="F3306" i="5" s="1"/>
  <c r="L3306" i="5" s="1"/>
  <c r="G3432" i="5"/>
  <c r="H3432" i="5" s="1"/>
  <c r="X3421" i="5"/>
  <c r="F3432" i="5" s="1"/>
  <c r="P4504" i="5"/>
  <c r="Q4503" i="5"/>
  <c r="F4503" i="5" s="1"/>
  <c r="G4503" i="5"/>
  <c r="H4503" i="5" s="1"/>
  <c r="R4790" i="5"/>
  <c r="G4791" i="5"/>
  <c r="H4791" i="5" s="1"/>
  <c r="U4749" i="5"/>
  <c r="F4772" i="5"/>
  <c r="U3529" i="5"/>
  <c r="F3533" i="5" s="1"/>
  <c r="G3533" i="5"/>
  <c r="H3533" i="5" s="1"/>
  <c r="S4694" i="5"/>
  <c r="F4714" i="5" s="1"/>
  <c r="F4710" i="5"/>
  <c r="Y3420" i="5"/>
  <c r="F3429" i="5" s="1"/>
  <c r="S3421" i="5"/>
  <c r="G3429" i="5"/>
  <c r="H3429" i="5" s="1"/>
  <c r="W4791" i="5"/>
  <c r="F4795" i="5"/>
  <c r="F4418" i="5"/>
  <c r="Q4419" i="5"/>
  <c r="G4173" i="5"/>
  <c r="H4173" i="5" s="1"/>
  <c r="Q4169" i="5"/>
  <c r="U4168" i="5"/>
  <c r="F4173" i="5" s="1"/>
  <c r="Q4691" i="5"/>
  <c r="F4696" i="5"/>
  <c r="C5173" i="5" l="1"/>
  <c r="I5173" i="5"/>
  <c r="A5176" i="5"/>
  <c r="I5175" i="5"/>
  <c r="C5175" i="5"/>
  <c r="P4169" i="5"/>
  <c r="P4170" i="5" s="1"/>
  <c r="T4168" i="5"/>
  <c r="F4172" i="5" s="1"/>
  <c r="S3594" i="5"/>
  <c r="F3594" i="5" s="1"/>
  <c r="G3594" i="5"/>
  <c r="H3594" i="5" s="1"/>
  <c r="N3197" i="5"/>
  <c r="M3118" i="5"/>
  <c r="F3118" i="5" s="1"/>
  <c r="L3118" i="5" s="1"/>
  <c r="M3196" i="5"/>
  <c r="F3196" i="5" s="1"/>
  <c r="L3196" i="5" s="1"/>
  <c r="N3275" i="5"/>
  <c r="M3275" i="5" s="1"/>
  <c r="F3275" i="5" s="1"/>
  <c r="L3275" i="5" s="1"/>
  <c r="G4416" i="5"/>
  <c r="H4416" i="5" s="1"/>
  <c r="P4417" i="5"/>
  <c r="P4879" i="5"/>
  <c r="G4884" i="5"/>
  <c r="U4878" i="5"/>
  <c r="F4884" i="5" s="1"/>
  <c r="I4881" i="5"/>
  <c r="H4881" i="5"/>
  <c r="G4777" i="5"/>
  <c r="H4777" i="5" s="1"/>
  <c r="Q4750" i="5"/>
  <c r="W4953" i="5"/>
  <c r="F4963" i="5" s="1"/>
  <c r="R4954" i="5"/>
  <c r="G4963" i="5"/>
  <c r="I4960" i="5"/>
  <c r="H4960" i="5"/>
  <c r="N3289" i="5"/>
  <c r="M3289" i="5" s="1"/>
  <c r="F3289" i="5" s="1"/>
  <c r="L3289" i="5" s="1"/>
  <c r="M3210" i="5"/>
  <c r="F3210" i="5" s="1"/>
  <c r="L3210" i="5" s="1"/>
  <c r="N3133" i="5"/>
  <c r="N3211" i="5"/>
  <c r="M3132" i="5"/>
  <c r="F3132" i="5" s="1"/>
  <c r="L3132" i="5" s="1"/>
  <c r="F4386" i="5"/>
  <c r="Q4387" i="5"/>
  <c r="Q4450" i="5"/>
  <c r="F4450" i="5" s="1"/>
  <c r="G4450" i="5"/>
  <c r="H4450" i="5" s="1"/>
  <c r="P4451" i="5"/>
  <c r="Q4879" i="5"/>
  <c r="V4878" i="5"/>
  <c r="F4885" i="5" s="1"/>
  <c r="G4885" i="5"/>
  <c r="H4882" i="5"/>
  <c r="I4882" i="5"/>
  <c r="F4781" i="5"/>
  <c r="V4751" i="5"/>
  <c r="X4797" i="5"/>
  <c r="F4820" i="5"/>
  <c r="P5029" i="5"/>
  <c r="U5028" i="5"/>
  <c r="F5038" i="5" s="1"/>
  <c r="G5038" i="5"/>
  <c r="H5038" i="5" s="1"/>
  <c r="P4750" i="5"/>
  <c r="G4776" i="5"/>
  <c r="H4776" i="5" s="1"/>
  <c r="G3530" i="5"/>
  <c r="H3530" i="5" s="1"/>
  <c r="P3529" i="5"/>
  <c r="T3528" i="5"/>
  <c r="F3530" i="5" s="1"/>
  <c r="R4693" i="5"/>
  <c r="F4705" i="5"/>
  <c r="M3150" i="5"/>
  <c r="F3150" i="5" s="1"/>
  <c r="L3150" i="5" s="1"/>
  <c r="N3229" i="5"/>
  <c r="N3151" i="5"/>
  <c r="G3430" i="5"/>
  <c r="H3430" i="5" s="1"/>
  <c r="V3421" i="5"/>
  <c r="F3430" i="5" s="1"/>
  <c r="W4880" i="5"/>
  <c r="F4892" i="5" s="1"/>
  <c r="R4881" i="5"/>
  <c r="G4892" i="5"/>
  <c r="V5025" i="5"/>
  <c r="F5030" i="5" s="1"/>
  <c r="G5030" i="5"/>
  <c r="H5030" i="5" s="1"/>
  <c r="Q5026" i="5"/>
  <c r="G5040" i="5"/>
  <c r="H5040" i="5" s="1"/>
  <c r="W5028" i="5"/>
  <c r="F5040" i="5" s="1"/>
  <c r="R5029" i="5"/>
  <c r="H4889" i="5"/>
  <c r="I4889" i="5"/>
  <c r="M3228" i="5"/>
  <c r="F3228" i="5" s="1"/>
  <c r="L3228" i="5" s="1"/>
  <c r="N3307" i="5"/>
  <c r="M3307" i="5" s="1"/>
  <c r="F3307" i="5" s="1"/>
  <c r="L3307" i="5" s="1"/>
  <c r="G4504" i="5"/>
  <c r="H4504" i="5" s="1"/>
  <c r="Q4504" i="5"/>
  <c r="F4504" i="5" s="1"/>
  <c r="P4505" i="5"/>
  <c r="R4791" i="5"/>
  <c r="G4795" i="5"/>
  <c r="H4795" i="5" s="1"/>
  <c r="G4175" i="5"/>
  <c r="H4175" i="5" s="1"/>
  <c r="U4169" i="5"/>
  <c r="F4175" i="5" s="1"/>
  <c r="Q4170" i="5"/>
  <c r="F4776" i="5"/>
  <c r="U4750" i="5"/>
  <c r="Q4421" i="5"/>
  <c r="F4419" i="5"/>
  <c r="F4799" i="5"/>
  <c r="W4792" i="5"/>
  <c r="Y3421" i="5"/>
  <c r="F3433" i="5" s="1"/>
  <c r="G3433" i="5"/>
  <c r="H3433" i="5" s="1"/>
  <c r="Q4692" i="5"/>
  <c r="F4700" i="5"/>
  <c r="C5176" i="5" l="1"/>
  <c r="I5176" i="5"/>
  <c r="T4169" i="5"/>
  <c r="F4174" i="5" s="1"/>
  <c r="G4174" i="5"/>
  <c r="H4174" i="5" s="1"/>
  <c r="M3197" i="5"/>
  <c r="F3197" i="5" s="1"/>
  <c r="L3197" i="5" s="1"/>
  <c r="N3276" i="5"/>
  <c r="M3276" i="5" s="1"/>
  <c r="F3276" i="5" s="1"/>
  <c r="L3276" i="5" s="1"/>
  <c r="P4418" i="5"/>
  <c r="G4417" i="5"/>
  <c r="H4417" i="5" s="1"/>
  <c r="I4884" i="5"/>
  <c r="H4884" i="5"/>
  <c r="U4879" i="5"/>
  <c r="F4887" i="5" s="1"/>
  <c r="G4887" i="5"/>
  <c r="P4880" i="5"/>
  <c r="Q4751" i="5"/>
  <c r="G4781" i="5"/>
  <c r="H4781" i="5" s="1"/>
  <c r="N3212" i="5"/>
  <c r="M3133" i="5"/>
  <c r="F3133" i="5" s="1"/>
  <c r="L3133" i="5" s="1"/>
  <c r="N3134" i="5"/>
  <c r="Q4388" i="5"/>
  <c r="F4387" i="5"/>
  <c r="H4963" i="5"/>
  <c r="I4963" i="5"/>
  <c r="W4954" i="5"/>
  <c r="F4966" i="5" s="1"/>
  <c r="G4966" i="5"/>
  <c r="R4955" i="5"/>
  <c r="M3211" i="5"/>
  <c r="F3211" i="5" s="1"/>
  <c r="L3211" i="5" s="1"/>
  <c r="N3290" i="5"/>
  <c r="M3290" i="5" s="1"/>
  <c r="F3290" i="5" s="1"/>
  <c r="L3290" i="5" s="1"/>
  <c r="G4451" i="5"/>
  <c r="H4451" i="5" s="1"/>
  <c r="Q4451" i="5"/>
  <c r="F4451" i="5" s="1"/>
  <c r="P4452" i="5"/>
  <c r="H4885" i="5"/>
  <c r="I4885" i="5"/>
  <c r="Q4880" i="5"/>
  <c r="G4888" i="5"/>
  <c r="V4879" i="5"/>
  <c r="F4888" i="5" s="1"/>
  <c r="P4751" i="5"/>
  <c r="G4780" i="5"/>
  <c r="H4780" i="5" s="1"/>
  <c r="G5041" i="5"/>
  <c r="H5041" i="5" s="1"/>
  <c r="U5029" i="5"/>
  <c r="F5041" i="5" s="1"/>
  <c r="X4798" i="5"/>
  <c r="F4824" i="5"/>
  <c r="V4789" i="5"/>
  <c r="F4785" i="5"/>
  <c r="T3529" i="5"/>
  <c r="F3532" i="5" s="1"/>
  <c r="G3532" i="5"/>
  <c r="H3532" i="5" s="1"/>
  <c r="F4709" i="5"/>
  <c r="R4694" i="5"/>
  <c r="F4713" i="5" s="1"/>
  <c r="P4171" i="5"/>
  <c r="G4176" i="5"/>
  <c r="H4176" i="5" s="1"/>
  <c r="T4170" i="5"/>
  <c r="F4176" i="5" s="1"/>
  <c r="V5026" i="5"/>
  <c r="F5033" i="5" s="1"/>
  <c r="G5033" i="5"/>
  <c r="H5033" i="5" s="1"/>
  <c r="Q5027" i="5"/>
  <c r="H4892" i="5"/>
  <c r="I4892" i="5"/>
  <c r="R4882" i="5"/>
  <c r="W4881" i="5"/>
  <c r="F4895" i="5" s="1"/>
  <c r="G4895" i="5"/>
  <c r="G5043" i="5"/>
  <c r="H5043" i="5" s="1"/>
  <c r="W5029" i="5"/>
  <c r="F5043" i="5" s="1"/>
  <c r="M3151" i="5"/>
  <c r="F3151" i="5" s="1"/>
  <c r="L3151" i="5" s="1"/>
  <c r="N3230" i="5"/>
  <c r="N3152" i="5"/>
  <c r="N3308" i="5"/>
  <c r="M3308" i="5" s="1"/>
  <c r="F3308" i="5" s="1"/>
  <c r="L3308" i="5" s="1"/>
  <c r="M3229" i="5"/>
  <c r="F3229" i="5" s="1"/>
  <c r="L3229" i="5" s="1"/>
  <c r="P4506" i="5"/>
  <c r="G4505" i="5"/>
  <c r="H4505" i="5" s="1"/>
  <c r="Q4505" i="5"/>
  <c r="F4505" i="5" s="1"/>
  <c r="R4792" i="5"/>
  <c r="G4799" i="5"/>
  <c r="H4799" i="5" s="1"/>
  <c r="W4793" i="5"/>
  <c r="F4803" i="5"/>
  <c r="F4421" i="5"/>
  <c r="Q4422" i="5"/>
  <c r="Q4693" i="5"/>
  <c r="F4704" i="5"/>
  <c r="F4780" i="5"/>
  <c r="U4751" i="5"/>
  <c r="Q4171" i="5"/>
  <c r="U4170" i="5"/>
  <c r="F4177" i="5" s="1"/>
  <c r="G4177" i="5"/>
  <c r="H4177" i="5" s="1"/>
  <c r="P4419" i="5" l="1"/>
  <c r="G4418" i="5"/>
  <c r="H4418" i="5" s="1"/>
  <c r="G4890" i="5"/>
  <c r="U4880" i="5"/>
  <c r="F4890" i="5" s="1"/>
  <c r="P4881" i="5"/>
  <c r="I4887" i="5"/>
  <c r="H4887" i="5"/>
  <c r="G4785" i="5"/>
  <c r="H4785" i="5" s="1"/>
  <c r="Q4789" i="5"/>
  <c r="Q4389" i="5"/>
  <c r="F4388" i="5"/>
  <c r="N3213" i="5"/>
  <c r="M3134" i="5"/>
  <c r="F3134" i="5" s="1"/>
  <c r="L3134" i="5" s="1"/>
  <c r="G4969" i="5"/>
  <c r="R4956" i="5"/>
  <c r="W4955" i="5"/>
  <c r="F4969" i="5" s="1"/>
  <c r="I4966" i="5"/>
  <c r="H4966" i="5"/>
  <c r="N3291" i="5"/>
  <c r="M3291" i="5" s="1"/>
  <c r="F3291" i="5" s="1"/>
  <c r="L3291" i="5" s="1"/>
  <c r="M3212" i="5"/>
  <c r="F3212" i="5" s="1"/>
  <c r="L3212" i="5" s="1"/>
  <c r="G4452" i="5"/>
  <c r="H4452" i="5" s="1"/>
  <c r="P4453" i="5"/>
  <c r="Q4452" i="5"/>
  <c r="F4452" i="5" s="1"/>
  <c r="H4888" i="5"/>
  <c r="I4888" i="5"/>
  <c r="Q4881" i="5"/>
  <c r="V4880" i="5"/>
  <c r="F4891" i="5" s="1"/>
  <c r="G4891" i="5"/>
  <c r="F4790" i="5"/>
  <c r="V4790" i="5"/>
  <c r="X4799" i="5"/>
  <c r="F4828" i="5"/>
  <c r="G4784" i="5"/>
  <c r="H4784" i="5" s="1"/>
  <c r="P4789" i="5"/>
  <c r="I4895" i="5"/>
  <c r="H4895" i="5"/>
  <c r="R4883" i="5"/>
  <c r="W4882" i="5"/>
  <c r="F4898" i="5" s="1"/>
  <c r="G4898" i="5"/>
  <c r="Q5028" i="5"/>
  <c r="G5036" i="5"/>
  <c r="H5036" i="5" s="1"/>
  <c r="V5027" i="5"/>
  <c r="F5036" i="5" s="1"/>
  <c r="N3231" i="5"/>
  <c r="M3152" i="5"/>
  <c r="F3152" i="5" s="1"/>
  <c r="L3152" i="5" s="1"/>
  <c r="N3153" i="5"/>
  <c r="N3309" i="5"/>
  <c r="M3309" i="5" s="1"/>
  <c r="F3309" i="5" s="1"/>
  <c r="L3309" i="5" s="1"/>
  <c r="M3230" i="5"/>
  <c r="F3230" i="5" s="1"/>
  <c r="L3230" i="5" s="1"/>
  <c r="P4172" i="5"/>
  <c r="T4171" i="5"/>
  <c r="F4178" i="5" s="1"/>
  <c r="G4178" i="5"/>
  <c r="H4178" i="5" s="1"/>
  <c r="P4507" i="5"/>
  <c r="Q4506" i="5"/>
  <c r="F4506" i="5" s="1"/>
  <c r="G4506" i="5"/>
  <c r="H4506" i="5" s="1"/>
  <c r="R4793" i="5"/>
  <c r="G4803" i="5"/>
  <c r="H4803" i="5" s="1"/>
  <c r="F4784" i="5"/>
  <c r="U4789" i="5"/>
  <c r="Q4172" i="5"/>
  <c r="U4171" i="5"/>
  <c r="F4179" i="5" s="1"/>
  <c r="G4179" i="5"/>
  <c r="H4179" i="5" s="1"/>
  <c r="F4807" i="5"/>
  <c r="W4794" i="5"/>
  <c r="Q4694" i="5"/>
  <c r="F4712" i="5" s="1"/>
  <c r="F4708" i="5"/>
  <c r="F4422" i="5"/>
  <c r="Q4423" i="5"/>
  <c r="P4421" i="5" l="1"/>
  <c r="G4419" i="5"/>
  <c r="H4419" i="5" s="1"/>
  <c r="G4893" i="5"/>
  <c r="P4882" i="5"/>
  <c r="U4881" i="5"/>
  <c r="F4893" i="5" s="1"/>
  <c r="I4890" i="5"/>
  <c r="H4890" i="5"/>
  <c r="G4790" i="5"/>
  <c r="H4790" i="5" s="1"/>
  <c r="Q4790" i="5"/>
  <c r="W4956" i="5"/>
  <c r="F4972" i="5" s="1"/>
  <c r="R4957" i="5"/>
  <c r="G4972" i="5"/>
  <c r="H4969" i="5"/>
  <c r="I4969" i="5"/>
  <c r="N3292" i="5"/>
  <c r="M3292" i="5" s="1"/>
  <c r="F3292" i="5" s="1"/>
  <c r="L3292" i="5" s="1"/>
  <c r="M3213" i="5"/>
  <c r="F3213" i="5" s="1"/>
  <c r="L3213" i="5" s="1"/>
  <c r="Q4390" i="5"/>
  <c r="F4389" i="5"/>
  <c r="Q4453" i="5"/>
  <c r="F4453" i="5" s="1"/>
  <c r="P4454" i="5"/>
  <c r="G4453" i="5"/>
  <c r="H4453" i="5" s="1"/>
  <c r="H4891" i="5"/>
  <c r="I4891" i="5"/>
  <c r="G4894" i="5"/>
  <c r="Q4882" i="5"/>
  <c r="V4881" i="5"/>
  <c r="F4894" i="5" s="1"/>
  <c r="P4790" i="5"/>
  <c r="G4789" i="5"/>
  <c r="H4789" i="5" s="1"/>
  <c r="X4800" i="5"/>
  <c r="F4836" i="5" s="1"/>
  <c r="F4832" i="5"/>
  <c r="V4791" i="5"/>
  <c r="F4794" i="5"/>
  <c r="V5028" i="5"/>
  <c r="F5039" i="5" s="1"/>
  <c r="G5039" i="5"/>
  <c r="H5039" i="5" s="1"/>
  <c r="Q5029" i="5"/>
  <c r="I4898" i="5"/>
  <c r="H4898" i="5"/>
  <c r="N3154" i="5"/>
  <c r="N3232" i="5"/>
  <c r="M3153" i="5"/>
  <c r="F3153" i="5" s="1"/>
  <c r="L3153" i="5" s="1"/>
  <c r="G4901" i="5"/>
  <c r="W4883" i="5"/>
  <c r="F4901" i="5" s="1"/>
  <c r="R4884" i="5"/>
  <c r="G4180" i="5"/>
  <c r="H4180" i="5" s="1"/>
  <c r="P4173" i="5"/>
  <c r="T4172" i="5"/>
  <c r="F4180" i="5" s="1"/>
  <c r="M3231" i="5"/>
  <c r="F3231" i="5" s="1"/>
  <c r="L3231" i="5" s="1"/>
  <c r="N3310" i="5"/>
  <c r="M3310" i="5" s="1"/>
  <c r="F3310" i="5" s="1"/>
  <c r="L3310" i="5" s="1"/>
  <c r="R4794" i="5"/>
  <c r="G4807" i="5"/>
  <c r="H4807" i="5" s="1"/>
  <c r="G4507" i="5"/>
  <c r="H4507" i="5" s="1"/>
  <c r="P4508" i="5"/>
  <c r="Q4507" i="5"/>
  <c r="F4507" i="5" s="1"/>
  <c r="F4423" i="5"/>
  <c r="Q4424" i="5"/>
  <c r="F4789" i="5"/>
  <c r="U4790" i="5"/>
  <c r="W4795" i="5"/>
  <c r="F4811" i="5"/>
  <c r="G4181" i="5"/>
  <c r="H4181" i="5" s="1"/>
  <c r="U4172" i="5"/>
  <c r="F4181" i="5" s="1"/>
  <c r="Q4173" i="5"/>
  <c r="G4421" i="5" l="1"/>
  <c r="H4421" i="5" s="1"/>
  <c r="P4422" i="5"/>
  <c r="P4883" i="5"/>
  <c r="G4896" i="5"/>
  <c r="U4882" i="5"/>
  <c r="F4896" i="5" s="1"/>
  <c r="I4893" i="5"/>
  <c r="H4893" i="5"/>
  <c r="Q4791" i="5"/>
  <c r="G4794" i="5"/>
  <c r="H4794" i="5" s="1"/>
  <c r="Q4392" i="5"/>
  <c r="F4390" i="5"/>
  <c r="H4972" i="5"/>
  <c r="I4972" i="5"/>
  <c r="R4958" i="5"/>
  <c r="W4957" i="5"/>
  <c r="F4975" i="5" s="1"/>
  <c r="G4975" i="5"/>
  <c r="G4454" i="5"/>
  <c r="H4454" i="5" s="1"/>
  <c r="Q4454" i="5"/>
  <c r="F4454" i="5" s="1"/>
  <c r="P4455" i="5"/>
  <c r="V4882" i="5"/>
  <c r="F4897" i="5" s="1"/>
  <c r="Q4883" i="5"/>
  <c r="G4897" i="5"/>
  <c r="H4894" i="5"/>
  <c r="I4894" i="5"/>
  <c r="V4792" i="5"/>
  <c r="F4798" i="5"/>
  <c r="G4793" i="5"/>
  <c r="H4793" i="5" s="1"/>
  <c r="P4791" i="5"/>
  <c r="M3154" i="5"/>
  <c r="F3154" i="5" s="1"/>
  <c r="L3154" i="5" s="1"/>
  <c r="N3233" i="5"/>
  <c r="N3155" i="5"/>
  <c r="T4173" i="5"/>
  <c r="F4182" i="5" s="1"/>
  <c r="P4174" i="5"/>
  <c r="G4182" i="5"/>
  <c r="H4182" i="5" s="1"/>
  <c r="W4884" i="5"/>
  <c r="F4904" i="5" s="1"/>
  <c r="G4904" i="5"/>
  <c r="R4885" i="5"/>
  <c r="G5042" i="5"/>
  <c r="H5042" i="5" s="1"/>
  <c r="V5029" i="5"/>
  <c r="F5042" i="5" s="1"/>
  <c r="I4901" i="5"/>
  <c r="H4901" i="5"/>
  <c r="N3311" i="5"/>
  <c r="M3311" i="5" s="1"/>
  <c r="F3311" i="5" s="1"/>
  <c r="L3311" i="5" s="1"/>
  <c r="M3232" i="5"/>
  <c r="F3232" i="5" s="1"/>
  <c r="L3232" i="5" s="1"/>
  <c r="P4509" i="5"/>
  <c r="Q4508" i="5"/>
  <c r="F4508" i="5" s="1"/>
  <c r="G4508" i="5"/>
  <c r="H4508" i="5" s="1"/>
  <c r="R4795" i="5"/>
  <c r="G4811" i="5"/>
  <c r="H4811" i="5" s="1"/>
  <c r="U4791" i="5"/>
  <c r="F4793" i="5"/>
  <c r="U4173" i="5"/>
  <c r="F4183" i="5" s="1"/>
  <c r="Q4174" i="5"/>
  <c r="G4183" i="5"/>
  <c r="H4183" i="5" s="1"/>
  <c r="F4424" i="5"/>
  <c r="Q4425" i="5"/>
  <c r="W4796" i="5"/>
  <c r="F4815" i="5"/>
  <c r="P4423" i="5" l="1"/>
  <c r="G4422" i="5"/>
  <c r="H4422" i="5" s="1"/>
  <c r="I4896" i="5"/>
  <c r="H4896" i="5"/>
  <c r="U4883" i="5"/>
  <c r="F4899" i="5" s="1"/>
  <c r="G4899" i="5"/>
  <c r="P4884" i="5"/>
  <c r="Q4792" i="5"/>
  <c r="G4798" i="5"/>
  <c r="H4798" i="5" s="1"/>
  <c r="H4975" i="5"/>
  <c r="I4975" i="5"/>
  <c r="G4978" i="5"/>
  <c r="W4958" i="5"/>
  <c r="F4978" i="5" s="1"/>
  <c r="R4959" i="5"/>
  <c r="Q4393" i="5"/>
  <c r="F4392" i="5"/>
  <c r="G4455" i="5"/>
  <c r="H4455" i="5" s="1"/>
  <c r="Q4455" i="5"/>
  <c r="F4455" i="5" s="1"/>
  <c r="P4456" i="5"/>
  <c r="H4897" i="5"/>
  <c r="I4897" i="5"/>
  <c r="G4900" i="5"/>
  <c r="V4883" i="5"/>
  <c r="F4900" i="5" s="1"/>
  <c r="Q4884" i="5"/>
  <c r="G4797" i="5"/>
  <c r="H4797" i="5" s="1"/>
  <c r="P4792" i="5"/>
  <c r="V4793" i="5"/>
  <c r="F4802" i="5"/>
  <c r="P4175" i="5"/>
  <c r="G4184" i="5"/>
  <c r="H4184" i="5" s="1"/>
  <c r="T4174" i="5"/>
  <c r="F4184" i="5" s="1"/>
  <c r="R4886" i="5"/>
  <c r="W4885" i="5"/>
  <c r="F4907" i="5" s="1"/>
  <c r="G4907" i="5"/>
  <c r="N3234" i="5"/>
  <c r="M3155" i="5"/>
  <c r="F3155" i="5" s="1"/>
  <c r="L3155" i="5" s="1"/>
  <c r="N3156" i="5"/>
  <c r="I4904" i="5"/>
  <c r="H4904" i="5"/>
  <c r="N3312" i="5"/>
  <c r="M3312" i="5" s="1"/>
  <c r="F3312" i="5" s="1"/>
  <c r="L3312" i="5" s="1"/>
  <c r="M3233" i="5"/>
  <c r="F3233" i="5" s="1"/>
  <c r="L3233" i="5" s="1"/>
  <c r="G4509" i="5"/>
  <c r="H4509" i="5" s="1"/>
  <c r="P4510" i="5"/>
  <c r="Q4509" i="5"/>
  <c r="F4509" i="5" s="1"/>
  <c r="R4796" i="5"/>
  <c r="G4815" i="5"/>
  <c r="H4815" i="5" s="1"/>
  <c r="W4797" i="5"/>
  <c r="F4819" i="5"/>
  <c r="Q4175" i="5"/>
  <c r="U4174" i="5"/>
  <c r="F4185" i="5" s="1"/>
  <c r="G4185" i="5"/>
  <c r="H4185" i="5" s="1"/>
  <c r="U4792" i="5"/>
  <c r="F4797" i="5"/>
  <c r="F4425" i="5"/>
  <c r="Q4426" i="5"/>
  <c r="Q4512" i="5" l="1"/>
  <c r="F4512" i="5" s="1"/>
  <c r="G4512" i="5"/>
  <c r="H4512" i="5" s="1"/>
  <c r="G4423" i="5"/>
  <c r="H4423" i="5" s="1"/>
  <c r="P4424" i="5"/>
  <c r="P4885" i="5"/>
  <c r="G4902" i="5"/>
  <c r="U4884" i="5"/>
  <c r="F4902" i="5" s="1"/>
  <c r="I4899" i="5"/>
  <c r="H4899" i="5"/>
  <c r="Q4793" i="5"/>
  <c r="G4802" i="5"/>
  <c r="H4802" i="5" s="1"/>
  <c r="Q4394" i="5"/>
  <c r="F4393" i="5"/>
  <c r="G4981" i="5"/>
  <c r="W4959" i="5"/>
  <c r="F4981" i="5" s="1"/>
  <c r="R4960" i="5"/>
  <c r="I4978" i="5"/>
  <c r="H4978" i="5"/>
  <c r="P4457" i="5"/>
  <c r="G4456" i="5"/>
  <c r="H4456" i="5" s="1"/>
  <c r="Q4456" i="5"/>
  <c r="F4456" i="5" s="1"/>
  <c r="G4903" i="5"/>
  <c r="V4884" i="5"/>
  <c r="F4903" i="5" s="1"/>
  <c r="Q4885" i="5"/>
  <c r="I4900" i="5"/>
  <c r="H4900" i="5"/>
  <c r="V4794" i="5"/>
  <c r="F4806" i="5"/>
  <c r="G4801" i="5"/>
  <c r="H4801" i="5" s="1"/>
  <c r="P4793" i="5"/>
  <c r="H4907" i="5"/>
  <c r="I4907" i="5"/>
  <c r="W4886" i="5"/>
  <c r="F4910" i="5" s="1"/>
  <c r="R4912" i="5"/>
  <c r="G4910" i="5"/>
  <c r="N3235" i="5"/>
  <c r="N3157" i="5"/>
  <c r="M3156" i="5"/>
  <c r="F3156" i="5" s="1"/>
  <c r="L3156" i="5" s="1"/>
  <c r="T4175" i="5"/>
  <c r="F4186" i="5" s="1"/>
  <c r="G4186" i="5"/>
  <c r="H4186" i="5" s="1"/>
  <c r="N3313" i="5"/>
  <c r="M3313" i="5" s="1"/>
  <c r="F3313" i="5" s="1"/>
  <c r="L3313" i="5" s="1"/>
  <c r="M3234" i="5"/>
  <c r="F3234" i="5" s="1"/>
  <c r="L3234" i="5" s="1"/>
  <c r="Q4510" i="5"/>
  <c r="F4510" i="5" s="1"/>
  <c r="G4510" i="5"/>
  <c r="H4510" i="5" s="1"/>
  <c r="G4819" i="5"/>
  <c r="H4819" i="5" s="1"/>
  <c r="R4797" i="5"/>
  <c r="F4426" i="5"/>
  <c r="Q4427" i="5"/>
  <c r="G4187" i="5"/>
  <c r="H4187" i="5" s="1"/>
  <c r="U4175" i="5"/>
  <c r="F4187" i="5" s="1"/>
  <c r="F4801" i="5"/>
  <c r="U4793" i="5"/>
  <c r="F4823" i="5"/>
  <c r="W4798" i="5"/>
  <c r="P4425" i="5" l="1"/>
  <c r="G4424" i="5"/>
  <c r="H4424" i="5" s="1"/>
  <c r="I4902" i="5"/>
  <c r="H4902" i="5"/>
  <c r="U4885" i="5"/>
  <c r="F4905" i="5" s="1"/>
  <c r="P4886" i="5"/>
  <c r="G4905" i="5"/>
  <c r="Q4794" i="5"/>
  <c r="G4806" i="5"/>
  <c r="H4806" i="5" s="1"/>
  <c r="W4960" i="5"/>
  <c r="F4984" i="5" s="1"/>
  <c r="G4984" i="5"/>
  <c r="I4981" i="5"/>
  <c r="H4981" i="5"/>
  <c r="F4394" i="5"/>
  <c r="Q4395" i="5"/>
  <c r="G4457" i="5"/>
  <c r="H4457" i="5" s="1"/>
  <c r="Q4457" i="5"/>
  <c r="F4457" i="5" s="1"/>
  <c r="P4458" i="5"/>
  <c r="G4906" i="5"/>
  <c r="Q4886" i="5"/>
  <c r="V4885" i="5"/>
  <c r="F4906" i="5" s="1"/>
  <c r="H4903" i="5"/>
  <c r="I4903" i="5"/>
  <c r="P4794" i="5"/>
  <c r="G4805" i="5"/>
  <c r="H4805" i="5" s="1"/>
  <c r="V4795" i="5"/>
  <c r="F4810" i="5"/>
  <c r="N3158" i="5"/>
  <c r="N3236" i="5"/>
  <c r="M3157" i="5"/>
  <c r="F3157" i="5" s="1"/>
  <c r="L3157" i="5" s="1"/>
  <c r="N3314" i="5"/>
  <c r="M3314" i="5" s="1"/>
  <c r="F3314" i="5" s="1"/>
  <c r="L3314" i="5" s="1"/>
  <c r="M3235" i="5"/>
  <c r="F3235" i="5" s="1"/>
  <c r="L3235" i="5" s="1"/>
  <c r="I4910" i="5"/>
  <c r="H4910" i="5"/>
  <c r="G4914" i="5"/>
  <c r="W4912" i="5"/>
  <c r="F4914" i="5" s="1"/>
  <c r="G4823" i="5"/>
  <c r="H4823" i="5" s="1"/>
  <c r="R4798" i="5"/>
  <c r="W4799" i="5"/>
  <c r="F4827" i="5"/>
  <c r="Q4428" i="5"/>
  <c r="F4427" i="5"/>
  <c r="U4794" i="5"/>
  <c r="F4805" i="5"/>
  <c r="P4426" i="5" l="1"/>
  <c r="G4425" i="5"/>
  <c r="H4425" i="5" s="1"/>
  <c r="I4905" i="5"/>
  <c r="H4905" i="5"/>
  <c r="U4886" i="5"/>
  <c r="F4908" i="5" s="1"/>
  <c r="G4908" i="5"/>
  <c r="P4912" i="5"/>
  <c r="G4810" i="5"/>
  <c r="H4810" i="5" s="1"/>
  <c r="Q4795" i="5"/>
  <c r="F4395" i="5"/>
  <c r="Q4396" i="5"/>
  <c r="I4984" i="5"/>
  <c r="H4984" i="5"/>
  <c r="P4460" i="5"/>
  <c r="G4458" i="5"/>
  <c r="H4458" i="5" s="1"/>
  <c r="Q4458" i="5"/>
  <c r="F4458" i="5" s="1"/>
  <c r="H4906" i="5"/>
  <c r="I4906" i="5"/>
  <c r="Q4912" i="5"/>
  <c r="G4909" i="5"/>
  <c r="V4886" i="5"/>
  <c r="F4909" i="5" s="1"/>
  <c r="P4795" i="5"/>
  <c r="G4809" i="5"/>
  <c r="H4809" i="5" s="1"/>
  <c r="F4814" i="5"/>
  <c r="V4796" i="5"/>
  <c r="H4914" i="5"/>
  <c r="I4914" i="5"/>
  <c r="M3236" i="5"/>
  <c r="F3236" i="5" s="1"/>
  <c r="L3236" i="5" s="1"/>
  <c r="N3315" i="5"/>
  <c r="M3315" i="5" s="1"/>
  <c r="F3315" i="5" s="1"/>
  <c r="L3315" i="5" s="1"/>
  <c r="M3158" i="5"/>
  <c r="F3158" i="5" s="1"/>
  <c r="L3158" i="5" s="1"/>
  <c r="N3237" i="5"/>
  <c r="N3159" i="5"/>
  <c r="G4827" i="5"/>
  <c r="H4827" i="5" s="1"/>
  <c r="R4799" i="5"/>
  <c r="Q4429" i="5"/>
  <c r="F4428" i="5"/>
  <c r="F4809" i="5"/>
  <c r="U4795" i="5"/>
  <c r="W4800" i="5"/>
  <c r="F4835" i="5" s="1"/>
  <c r="F4831" i="5"/>
  <c r="P4427" i="5" l="1"/>
  <c r="G4426" i="5"/>
  <c r="H4426" i="5" s="1"/>
  <c r="G4912" i="5"/>
  <c r="U4912" i="5"/>
  <c r="F4912" i="5" s="1"/>
  <c r="P4913" i="5"/>
  <c r="H4908" i="5"/>
  <c r="I4908" i="5"/>
  <c r="G4814" i="5"/>
  <c r="H4814" i="5" s="1"/>
  <c r="Q4796" i="5"/>
  <c r="F4396" i="5"/>
  <c r="Q4397" i="5"/>
  <c r="Q4460" i="5"/>
  <c r="F4460" i="5" s="1"/>
  <c r="G4460" i="5"/>
  <c r="H4460" i="5" s="1"/>
  <c r="P4461" i="5"/>
  <c r="H4909" i="5"/>
  <c r="I4909" i="5"/>
  <c r="V4912" i="5"/>
  <c r="F4913" i="5" s="1"/>
  <c r="G4913" i="5"/>
  <c r="Q4913" i="5"/>
  <c r="G4813" i="5"/>
  <c r="H4813" i="5" s="1"/>
  <c r="P4796" i="5"/>
  <c r="F4818" i="5"/>
  <c r="V4797" i="5"/>
  <c r="N3238" i="5"/>
  <c r="M3159" i="5"/>
  <c r="F3159" i="5" s="1"/>
  <c r="L3159" i="5" s="1"/>
  <c r="N3160" i="5"/>
  <c r="M3237" i="5"/>
  <c r="F3237" i="5" s="1"/>
  <c r="L3237" i="5" s="1"/>
  <c r="N3316" i="5"/>
  <c r="M3316" i="5" s="1"/>
  <c r="F3316" i="5" s="1"/>
  <c r="L3316" i="5" s="1"/>
  <c r="G4831" i="5"/>
  <c r="H4831" i="5" s="1"/>
  <c r="R4800" i="5"/>
  <c r="G4835" i="5" s="1"/>
  <c r="H4835" i="5" s="1"/>
  <c r="F4813" i="5"/>
  <c r="U4796" i="5"/>
  <c r="Q4430" i="5"/>
  <c r="F4429" i="5"/>
  <c r="G4427" i="5" l="1"/>
  <c r="H4427" i="5" s="1"/>
  <c r="P4428" i="5"/>
  <c r="G4915" i="5"/>
  <c r="P4914" i="5"/>
  <c r="U4913" i="5"/>
  <c r="F4915" i="5" s="1"/>
  <c r="H4912" i="5"/>
  <c r="I4912" i="5"/>
  <c r="G4818" i="5"/>
  <c r="H4818" i="5" s="1"/>
  <c r="Q4797" i="5"/>
  <c r="Q4398" i="5"/>
  <c r="F4398" i="5" s="1"/>
  <c r="F4397" i="5"/>
  <c r="G4461" i="5"/>
  <c r="H4461" i="5" s="1"/>
  <c r="P4462" i="5"/>
  <c r="Q4461" i="5"/>
  <c r="F4461" i="5" s="1"/>
  <c r="G4916" i="5"/>
  <c r="Q4914" i="5"/>
  <c r="V4913" i="5"/>
  <c r="F4916" i="5" s="1"/>
  <c r="I4913" i="5"/>
  <c r="H4913" i="5"/>
  <c r="V4798" i="5"/>
  <c r="F4822" i="5"/>
  <c r="G4817" i="5"/>
  <c r="H4817" i="5" s="1"/>
  <c r="P4797" i="5"/>
  <c r="N3239" i="5"/>
  <c r="N3161" i="5"/>
  <c r="M3160" i="5"/>
  <c r="F3160" i="5" s="1"/>
  <c r="L3160" i="5" s="1"/>
  <c r="N3317" i="5"/>
  <c r="M3317" i="5" s="1"/>
  <c r="F3317" i="5" s="1"/>
  <c r="L3317" i="5" s="1"/>
  <c r="M3238" i="5"/>
  <c r="F3238" i="5" s="1"/>
  <c r="L3238" i="5" s="1"/>
  <c r="F4430" i="5"/>
  <c r="Q4431" i="5"/>
  <c r="U4797" i="5"/>
  <c r="F4817" i="5"/>
  <c r="G4428" i="5" l="1"/>
  <c r="H4428" i="5" s="1"/>
  <c r="P4429" i="5"/>
  <c r="G4918" i="5"/>
  <c r="U4914" i="5"/>
  <c r="F4918" i="5" s="1"/>
  <c r="P4915" i="5"/>
  <c r="H4915" i="5"/>
  <c r="I4915" i="5"/>
  <c r="Q4798" i="5"/>
  <c r="G4822" i="5"/>
  <c r="H4822" i="5" s="1"/>
  <c r="P4463" i="5"/>
  <c r="G4462" i="5"/>
  <c r="H4462" i="5" s="1"/>
  <c r="Q4462" i="5"/>
  <c r="F4462" i="5" s="1"/>
  <c r="G4919" i="5"/>
  <c r="V4914" i="5"/>
  <c r="F4919" i="5" s="1"/>
  <c r="Q4915" i="5"/>
  <c r="I4916" i="5"/>
  <c r="H4916" i="5"/>
  <c r="F4826" i="5"/>
  <c r="V4799" i="5"/>
  <c r="P4798" i="5"/>
  <c r="G4821" i="5"/>
  <c r="H4821" i="5" s="1"/>
  <c r="N3162" i="5"/>
  <c r="N3240" i="5"/>
  <c r="M3161" i="5"/>
  <c r="F3161" i="5" s="1"/>
  <c r="L3161" i="5" s="1"/>
  <c r="N3318" i="5"/>
  <c r="M3318" i="5" s="1"/>
  <c r="F3318" i="5" s="1"/>
  <c r="L3318" i="5" s="1"/>
  <c r="M3239" i="5"/>
  <c r="F3239" i="5" s="1"/>
  <c r="L3239" i="5" s="1"/>
  <c r="F4821" i="5"/>
  <c r="U4798" i="5"/>
  <c r="F4431" i="5"/>
  <c r="Q4432" i="5"/>
  <c r="F4432" i="5" s="1"/>
  <c r="P4430" i="5" l="1"/>
  <c r="G4429" i="5"/>
  <c r="H4429" i="5" s="1"/>
  <c r="P4916" i="5"/>
  <c r="G4921" i="5"/>
  <c r="U4915" i="5"/>
  <c r="F4921" i="5" s="1"/>
  <c r="I4918" i="5"/>
  <c r="H4918" i="5"/>
  <c r="Q4799" i="5"/>
  <c r="G4826" i="5"/>
  <c r="H4826" i="5" s="1"/>
  <c r="G4463" i="5"/>
  <c r="H4463" i="5" s="1"/>
  <c r="P4464" i="5"/>
  <c r="Q4463" i="5"/>
  <c r="F4463" i="5" s="1"/>
  <c r="G4922" i="5"/>
  <c r="V4915" i="5"/>
  <c r="F4922" i="5" s="1"/>
  <c r="Q4916" i="5"/>
  <c r="H4919" i="5"/>
  <c r="I4919" i="5"/>
  <c r="P4799" i="5"/>
  <c r="G4825" i="5"/>
  <c r="H4825" i="5" s="1"/>
  <c r="V4800" i="5"/>
  <c r="F4834" i="5" s="1"/>
  <c r="F4830" i="5"/>
  <c r="M3240" i="5"/>
  <c r="F3240" i="5" s="1"/>
  <c r="L3240" i="5" s="1"/>
  <c r="N3319" i="5"/>
  <c r="M3319" i="5" s="1"/>
  <c r="F3319" i="5" s="1"/>
  <c r="L3319" i="5" s="1"/>
  <c r="N3241" i="5"/>
  <c r="M3162" i="5"/>
  <c r="F3162" i="5" s="1"/>
  <c r="L3162" i="5" s="1"/>
  <c r="N3163" i="5"/>
  <c r="U4799" i="5"/>
  <c r="F4825" i="5"/>
  <c r="P4431" i="5" l="1"/>
  <c r="G4430" i="5"/>
  <c r="H4430" i="5" s="1"/>
  <c r="I4921" i="5"/>
  <c r="H4921" i="5"/>
  <c r="G4924" i="5"/>
  <c r="U4916" i="5"/>
  <c r="F4924" i="5" s="1"/>
  <c r="P4917" i="5"/>
  <c r="G4830" i="5"/>
  <c r="H4830" i="5" s="1"/>
  <c r="Q4800" i="5"/>
  <c r="G4834" i="5" s="1"/>
  <c r="H4834" i="5" s="1"/>
  <c r="P4465" i="5"/>
  <c r="G4464" i="5"/>
  <c r="H4464" i="5" s="1"/>
  <c r="Q4464" i="5"/>
  <c r="F4464" i="5" s="1"/>
  <c r="Q4917" i="5"/>
  <c r="V4916" i="5"/>
  <c r="F4925" i="5" s="1"/>
  <c r="G4925" i="5"/>
  <c r="H4922" i="5"/>
  <c r="I4922" i="5"/>
  <c r="P4800" i="5"/>
  <c r="G4833" i="5" s="1"/>
  <c r="H4833" i="5" s="1"/>
  <c r="G4829" i="5"/>
  <c r="H4829" i="5" s="1"/>
  <c r="N3242" i="5"/>
  <c r="N3164" i="5"/>
  <c r="M3163" i="5"/>
  <c r="F3163" i="5" s="1"/>
  <c r="L3163" i="5" s="1"/>
  <c r="M3241" i="5"/>
  <c r="F3241" i="5" s="1"/>
  <c r="L3241" i="5" s="1"/>
  <c r="N3320" i="5"/>
  <c r="M3320" i="5" s="1"/>
  <c r="F3320" i="5" s="1"/>
  <c r="L3320" i="5" s="1"/>
  <c r="F4829" i="5"/>
  <c r="U4800" i="5"/>
  <c r="F4833" i="5" s="1"/>
  <c r="P4432" i="5" l="1"/>
  <c r="G4432" i="5" s="1"/>
  <c r="H4432" i="5" s="1"/>
  <c r="G4431" i="5"/>
  <c r="H4431" i="5" s="1"/>
  <c r="G4927" i="5"/>
  <c r="U4917" i="5"/>
  <c r="F4927" i="5" s="1"/>
  <c r="P4918" i="5"/>
  <c r="I4924" i="5"/>
  <c r="H4924" i="5"/>
  <c r="P4466" i="5"/>
  <c r="G4465" i="5"/>
  <c r="H4465" i="5" s="1"/>
  <c r="Q4465" i="5"/>
  <c r="F4465" i="5" s="1"/>
  <c r="I4925" i="5"/>
  <c r="H4925" i="5"/>
  <c r="V4917" i="5"/>
  <c r="F4928" i="5" s="1"/>
  <c r="G4928" i="5"/>
  <c r="Q4918" i="5"/>
  <c r="M3164" i="5"/>
  <c r="F3164" i="5" s="1"/>
  <c r="L3164" i="5" s="1"/>
  <c r="N3243" i="5"/>
  <c r="N3165" i="5"/>
  <c r="N3321" i="5"/>
  <c r="M3321" i="5" s="1"/>
  <c r="F3321" i="5" s="1"/>
  <c r="L3321" i="5" s="1"/>
  <c r="M3242" i="5"/>
  <c r="F3242" i="5" s="1"/>
  <c r="L3242" i="5" s="1"/>
  <c r="G4930" i="5" l="1"/>
  <c r="P4919" i="5"/>
  <c r="U4918" i="5"/>
  <c r="F4930" i="5" s="1"/>
  <c r="I4927" i="5"/>
  <c r="H4927" i="5"/>
  <c r="G4466" i="5"/>
  <c r="H4466" i="5" s="1"/>
  <c r="P4467" i="5"/>
  <c r="Q4466" i="5"/>
  <c r="F4466" i="5" s="1"/>
  <c r="I4928" i="5"/>
  <c r="H4928" i="5"/>
  <c r="G4931" i="5"/>
  <c r="V4918" i="5"/>
  <c r="F4931" i="5" s="1"/>
  <c r="Q4919" i="5"/>
  <c r="N3166" i="5"/>
  <c r="N3244" i="5"/>
  <c r="M3165" i="5"/>
  <c r="F3165" i="5" s="1"/>
  <c r="L3165" i="5" s="1"/>
  <c r="N3322" i="5"/>
  <c r="M3322" i="5" s="1"/>
  <c r="F3322" i="5" s="1"/>
  <c r="L3322" i="5" s="1"/>
  <c r="M3243" i="5"/>
  <c r="F3243" i="5" s="1"/>
  <c r="L3243" i="5" s="1"/>
  <c r="G4933" i="5" l="1"/>
  <c r="U4919" i="5"/>
  <c r="F4933" i="5" s="1"/>
  <c r="P4920" i="5"/>
  <c r="H4930" i="5"/>
  <c r="I4930" i="5"/>
  <c r="G4467" i="5"/>
  <c r="H4467" i="5" s="1"/>
  <c r="Q4467" i="5"/>
  <c r="F4467" i="5" s="1"/>
  <c r="P4468" i="5"/>
  <c r="V4919" i="5"/>
  <c r="F4934" i="5" s="1"/>
  <c r="Q4920" i="5"/>
  <c r="G4934" i="5"/>
  <c r="H4931" i="5"/>
  <c r="I4931" i="5"/>
  <c r="M3244" i="5"/>
  <c r="F3244" i="5" s="1"/>
  <c r="L3244" i="5" s="1"/>
  <c r="N3323" i="5"/>
  <c r="M3323" i="5" s="1"/>
  <c r="F3323" i="5" s="1"/>
  <c r="L3323" i="5" s="1"/>
  <c r="N3167" i="5"/>
  <c r="M3166" i="5"/>
  <c r="F3166" i="5" s="1"/>
  <c r="L3166" i="5" s="1"/>
  <c r="N3245" i="5"/>
  <c r="U4920" i="5" l="1"/>
  <c r="F4936" i="5" s="1"/>
  <c r="P4921" i="5"/>
  <c r="G4936" i="5"/>
  <c r="H4933" i="5"/>
  <c r="I4933" i="5"/>
  <c r="Q4468" i="5"/>
  <c r="F4468" i="5" s="1"/>
  <c r="G4468" i="5"/>
  <c r="H4468" i="5" s="1"/>
  <c r="P4469" i="5"/>
  <c r="I4934" i="5"/>
  <c r="H4934" i="5"/>
  <c r="G4937" i="5"/>
  <c r="Q4921" i="5"/>
  <c r="V4920" i="5"/>
  <c r="F4937" i="5" s="1"/>
  <c r="M3245" i="5"/>
  <c r="F3245" i="5" s="1"/>
  <c r="L3245" i="5" s="1"/>
  <c r="N3324" i="5"/>
  <c r="M3324" i="5" s="1"/>
  <c r="F3324" i="5" s="1"/>
  <c r="L3324" i="5" s="1"/>
  <c r="N3168" i="5"/>
  <c r="N3246" i="5"/>
  <c r="M3167" i="5"/>
  <c r="F3167" i="5" s="1"/>
  <c r="L3167" i="5" s="1"/>
  <c r="I4936" i="5" l="1"/>
  <c r="H4936" i="5"/>
  <c r="U4921" i="5"/>
  <c r="F4939" i="5" s="1"/>
  <c r="G4939" i="5"/>
  <c r="P4922" i="5"/>
  <c r="G4469" i="5"/>
  <c r="H4469" i="5" s="1"/>
  <c r="Q4469" i="5"/>
  <c r="F4469" i="5" s="1"/>
  <c r="P4470" i="5"/>
  <c r="Q4922" i="5"/>
  <c r="V4921" i="5"/>
  <c r="F4940" i="5" s="1"/>
  <c r="G4940" i="5"/>
  <c r="I4937" i="5"/>
  <c r="H4937" i="5"/>
  <c r="M3246" i="5"/>
  <c r="F3246" i="5" s="1"/>
  <c r="L3246" i="5" s="1"/>
  <c r="N3325" i="5"/>
  <c r="M3325" i="5" s="1"/>
  <c r="F3325" i="5" s="1"/>
  <c r="L3325" i="5" s="1"/>
  <c r="M3168" i="5"/>
  <c r="F3168" i="5" s="1"/>
  <c r="L3168" i="5" s="1"/>
  <c r="N3247" i="5"/>
  <c r="N3169" i="5"/>
  <c r="U4922" i="5" l="1"/>
  <c r="F4942" i="5" s="1"/>
  <c r="G4942" i="5"/>
  <c r="P4923" i="5"/>
  <c r="I4939" i="5"/>
  <c r="H4939" i="5"/>
  <c r="P4471" i="5"/>
  <c r="Q4470" i="5"/>
  <c r="F4470" i="5" s="1"/>
  <c r="G4470" i="5"/>
  <c r="H4470" i="5" s="1"/>
  <c r="G4943" i="5"/>
  <c r="Q4923" i="5"/>
  <c r="V4922" i="5"/>
  <c r="F4943" i="5" s="1"/>
  <c r="H4940" i="5"/>
  <c r="I4940" i="5"/>
  <c r="N3170" i="5"/>
  <c r="M3169" i="5"/>
  <c r="F3169" i="5" s="1"/>
  <c r="L3169" i="5" s="1"/>
  <c r="N3248" i="5"/>
  <c r="M3247" i="5"/>
  <c r="F3247" i="5" s="1"/>
  <c r="L3247" i="5" s="1"/>
  <c r="N3326" i="5"/>
  <c r="M3326" i="5" s="1"/>
  <c r="F3326" i="5" s="1"/>
  <c r="L3326" i="5" s="1"/>
  <c r="U4923" i="5" l="1"/>
  <c r="F4945" i="5" s="1"/>
  <c r="G4945" i="5"/>
  <c r="P4949" i="5"/>
  <c r="H4942" i="5"/>
  <c r="I4942" i="5"/>
  <c r="G4471" i="5"/>
  <c r="H4471" i="5" s="1"/>
  <c r="P4473" i="5"/>
  <c r="Q4471" i="5"/>
  <c r="F4471" i="5" s="1"/>
  <c r="I4943" i="5"/>
  <c r="H4943" i="5"/>
  <c r="Q4949" i="5"/>
  <c r="V4923" i="5"/>
  <c r="F4946" i="5" s="1"/>
  <c r="G4946" i="5"/>
  <c r="M3248" i="5"/>
  <c r="F3248" i="5" s="1"/>
  <c r="L3248" i="5" s="1"/>
  <c r="N3327" i="5"/>
  <c r="M3327" i="5" s="1"/>
  <c r="F3327" i="5" s="1"/>
  <c r="L3327" i="5" s="1"/>
  <c r="M3170" i="5"/>
  <c r="F3170" i="5" s="1"/>
  <c r="L3170" i="5" s="1"/>
  <c r="N3249" i="5"/>
  <c r="N3171" i="5"/>
  <c r="U4949" i="5" l="1"/>
  <c r="F4949" i="5" s="1"/>
  <c r="P4950" i="5"/>
  <c r="G4949" i="5"/>
  <c r="I4945" i="5"/>
  <c r="H4945" i="5"/>
  <c r="Q4473" i="5"/>
  <c r="F4473" i="5" s="1"/>
  <c r="G4473" i="5"/>
  <c r="H4473" i="5" s="1"/>
  <c r="P4474" i="5"/>
  <c r="I4946" i="5"/>
  <c r="H4946" i="5"/>
  <c r="G4950" i="5"/>
  <c r="V4949" i="5"/>
  <c r="F4950" i="5" s="1"/>
  <c r="Q4950" i="5"/>
  <c r="N3172" i="5"/>
  <c r="N3250" i="5"/>
  <c r="M3171" i="5"/>
  <c r="F3171" i="5" s="1"/>
  <c r="L3171" i="5" s="1"/>
  <c r="M3249" i="5"/>
  <c r="F3249" i="5" s="1"/>
  <c r="L3249" i="5" s="1"/>
  <c r="N3328" i="5"/>
  <c r="M3328" i="5" s="1"/>
  <c r="F3328" i="5" s="1"/>
  <c r="L3328" i="5" s="1"/>
  <c r="H4949" i="5" l="1"/>
  <c r="I4949" i="5"/>
  <c r="P4951" i="5"/>
  <c r="U4950" i="5"/>
  <c r="F4952" i="5" s="1"/>
  <c r="G4952" i="5"/>
  <c r="Q4474" i="5"/>
  <c r="F4474" i="5" s="1"/>
  <c r="P4475" i="5"/>
  <c r="G4474" i="5"/>
  <c r="H4474" i="5" s="1"/>
  <c r="V4950" i="5"/>
  <c r="F4953" i="5" s="1"/>
  <c r="Q4951" i="5"/>
  <c r="G4953" i="5"/>
  <c r="H4950" i="5"/>
  <c r="I4950" i="5"/>
  <c r="N3329" i="5"/>
  <c r="M3329" i="5" s="1"/>
  <c r="F3329" i="5" s="1"/>
  <c r="L3329" i="5" s="1"/>
  <c r="M3250" i="5"/>
  <c r="F3250" i="5" s="1"/>
  <c r="L3250" i="5" s="1"/>
  <c r="N3251" i="5"/>
  <c r="M3172" i="5"/>
  <c r="F3172" i="5" s="1"/>
  <c r="L3172" i="5" s="1"/>
  <c r="N3173" i="5"/>
  <c r="H4952" i="5" l="1"/>
  <c r="I4952" i="5"/>
  <c r="U4951" i="5"/>
  <c r="F4955" i="5" s="1"/>
  <c r="P4952" i="5"/>
  <c r="G4955" i="5"/>
  <c r="P4476" i="5"/>
  <c r="G4475" i="5"/>
  <c r="H4475" i="5" s="1"/>
  <c r="Q4475" i="5"/>
  <c r="F4475" i="5" s="1"/>
  <c r="I4953" i="5"/>
  <c r="H4953" i="5"/>
  <c r="G4956" i="5"/>
  <c r="Q4952" i="5"/>
  <c r="V4951" i="5"/>
  <c r="F4956" i="5" s="1"/>
  <c r="M3173" i="5"/>
  <c r="F3173" i="5" s="1"/>
  <c r="L3173" i="5" s="1"/>
  <c r="N3174" i="5"/>
  <c r="N3252" i="5"/>
  <c r="M3251" i="5"/>
  <c r="F3251" i="5" s="1"/>
  <c r="L3251" i="5" s="1"/>
  <c r="N3330" i="5"/>
  <c r="M3330" i="5" s="1"/>
  <c r="F3330" i="5" s="1"/>
  <c r="L3330" i="5" s="1"/>
  <c r="H4955" i="5" l="1"/>
  <c r="I4955" i="5"/>
  <c r="U4952" i="5"/>
  <c r="F4958" i="5" s="1"/>
  <c r="P4953" i="5"/>
  <c r="G4958" i="5"/>
  <c r="P4477" i="5"/>
  <c r="Q4476" i="5"/>
  <c r="F4476" i="5" s="1"/>
  <c r="G4476" i="5"/>
  <c r="H4476" i="5" s="1"/>
  <c r="V4952" i="5"/>
  <c r="F4959" i="5" s="1"/>
  <c r="Q4953" i="5"/>
  <c r="G4959" i="5"/>
  <c r="I4956" i="5"/>
  <c r="H4956" i="5"/>
  <c r="M3252" i="5"/>
  <c r="F3252" i="5" s="1"/>
  <c r="L3252" i="5" s="1"/>
  <c r="N3331" i="5"/>
  <c r="M3331" i="5" s="1"/>
  <c r="F3331" i="5" s="1"/>
  <c r="L3331" i="5" s="1"/>
  <c r="M3174" i="5"/>
  <c r="F3174" i="5" s="1"/>
  <c r="L3174" i="5" s="1"/>
  <c r="N3253" i="5"/>
  <c r="I4958" i="5" l="1"/>
  <c r="H4958" i="5"/>
  <c r="P4954" i="5"/>
  <c r="G4961" i="5"/>
  <c r="U4953" i="5"/>
  <c r="F4961" i="5" s="1"/>
  <c r="G4477" i="5"/>
  <c r="H4477" i="5" s="1"/>
  <c r="P4478" i="5"/>
  <c r="Q4477" i="5"/>
  <c r="F4477" i="5" s="1"/>
  <c r="H4959" i="5"/>
  <c r="I4959" i="5"/>
  <c r="Q4954" i="5"/>
  <c r="G4962" i="5"/>
  <c r="V4953" i="5"/>
  <c r="F4962" i="5" s="1"/>
  <c r="M3253" i="5"/>
  <c r="F3253" i="5" s="1"/>
  <c r="L3253" i="5" s="1"/>
  <c r="N3332" i="5"/>
  <c r="M3332" i="5" s="1"/>
  <c r="F3332" i="5" s="1"/>
  <c r="L3332" i="5" s="1"/>
  <c r="I4961" i="5" l="1"/>
  <c r="H4961" i="5"/>
  <c r="U4954" i="5"/>
  <c r="F4964" i="5" s="1"/>
  <c r="P4955" i="5"/>
  <c r="G4964" i="5"/>
  <c r="P4479" i="5"/>
  <c r="Q4478" i="5"/>
  <c r="F4478" i="5" s="1"/>
  <c r="G4478" i="5"/>
  <c r="H4478" i="5" s="1"/>
  <c r="H4962" i="5"/>
  <c r="I4962" i="5"/>
  <c r="V4954" i="5"/>
  <c r="F4965" i="5" s="1"/>
  <c r="Q4955" i="5"/>
  <c r="G4965" i="5"/>
  <c r="I4964" i="5" l="1"/>
  <c r="H4964" i="5"/>
  <c r="G4967" i="5"/>
  <c r="U4955" i="5"/>
  <c r="F4967" i="5" s="1"/>
  <c r="P4956" i="5"/>
  <c r="P4480" i="5"/>
  <c r="Q4479" i="5"/>
  <c r="F4479" i="5" s="1"/>
  <c r="G4479" i="5"/>
  <c r="H4479" i="5" s="1"/>
  <c r="I4965" i="5"/>
  <c r="H4965" i="5"/>
  <c r="V4955" i="5"/>
  <c r="F4968" i="5" s="1"/>
  <c r="Q4956" i="5"/>
  <c r="G4968" i="5"/>
  <c r="U4956" i="5" l="1"/>
  <c r="F4970" i="5" s="1"/>
  <c r="P4957" i="5"/>
  <c r="G4970" i="5"/>
  <c r="I4967" i="5"/>
  <c r="H4967" i="5"/>
  <c r="Q4480" i="5"/>
  <c r="F4480" i="5" s="1"/>
  <c r="G4480" i="5"/>
  <c r="H4480" i="5" s="1"/>
  <c r="P4481" i="5"/>
  <c r="H4968" i="5"/>
  <c r="I4968" i="5"/>
  <c r="G4971" i="5"/>
  <c r="V4956" i="5"/>
  <c r="F4971" i="5" s="1"/>
  <c r="Q4957" i="5"/>
  <c r="I4970" i="5" l="1"/>
  <c r="H4970" i="5"/>
  <c r="U4957" i="5"/>
  <c r="F4973" i="5" s="1"/>
  <c r="P4958" i="5"/>
  <c r="G4973" i="5"/>
  <c r="G4481" i="5"/>
  <c r="H4481" i="5" s="1"/>
  <c r="Q4481" i="5"/>
  <c r="F4481" i="5" s="1"/>
  <c r="P4482" i="5"/>
  <c r="V4957" i="5"/>
  <c r="F4974" i="5" s="1"/>
  <c r="Q4958" i="5"/>
  <c r="G4974" i="5"/>
  <c r="I4971" i="5"/>
  <c r="H4971" i="5"/>
  <c r="H4973" i="5" l="1"/>
  <c r="I4973" i="5"/>
  <c r="U4958" i="5"/>
  <c r="F4976" i="5" s="1"/>
  <c r="P4959" i="5"/>
  <c r="G4976" i="5"/>
  <c r="P4483" i="5"/>
  <c r="G4482" i="5"/>
  <c r="H4482" i="5" s="1"/>
  <c r="Q4482" i="5"/>
  <c r="F4482" i="5" s="1"/>
  <c r="H4974" i="5"/>
  <c r="I4974" i="5"/>
  <c r="Q4959" i="5"/>
  <c r="V4958" i="5"/>
  <c r="F4977" i="5" s="1"/>
  <c r="G4977" i="5"/>
  <c r="I4976" i="5" l="1"/>
  <c r="H4976" i="5"/>
  <c r="G4979" i="5"/>
  <c r="P4960" i="5"/>
  <c r="U4959" i="5"/>
  <c r="F4979" i="5" s="1"/>
  <c r="G4483" i="5"/>
  <c r="H4483" i="5" s="1"/>
  <c r="Q4483" i="5"/>
  <c r="F4483" i="5" s="1"/>
  <c r="P4484" i="5"/>
  <c r="I4977" i="5"/>
  <c r="H4977" i="5"/>
  <c r="V4959" i="5"/>
  <c r="F4980" i="5" s="1"/>
  <c r="Q4960" i="5"/>
  <c r="G4980" i="5"/>
  <c r="U4960" i="5" l="1"/>
  <c r="F4982" i="5" s="1"/>
  <c r="G4982" i="5"/>
  <c r="I4979" i="5"/>
  <c r="H4979" i="5"/>
  <c r="Q4484" i="5"/>
  <c r="F4484" i="5" s="1"/>
  <c r="G4484" i="5"/>
  <c r="H4484" i="5" s="1"/>
  <c r="H4980" i="5"/>
  <c r="I4980" i="5"/>
  <c r="V4960" i="5"/>
  <c r="F4983" i="5" s="1"/>
  <c r="G4983" i="5"/>
  <c r="H4982" i="5" l="1"/>
  <c r="I4982" i="5"/>
  <c r="I4983" i="5"/>
  <c r="H498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Dr. Hagner, Gert</author>
    <author>Benjamin Düvel</author>
  </authors>
  <commentList>
    <comment ref="I43" authorId="0" shapeId="0" xr:uid="{00000000-0006-0000-0200-000001000000}">
      <text>
        <r>
          <rPr>
            <b/>
            <sz val="9"/>
            <color indexed="81"/>
            <rFont val="Tahoma"/>
            <family val="2"/>
          </rPr>
          <t>Inbetriebnahme 2012:</t>
        </r>
        <r>
          <rPr>
            <sz val="9"/>
            <color indexed="81"/>
            <rFont val="Tahoma"/>
            <family val="2"/>
          </rPr>
          <t xml:space="preserve">
Die Anwendbarkeit des EEG 2009 auf Anlagen mit Inbetriebnahme im Jahr 2012 ist durch die Übergangsregelungen des § 66 Abs. 5 und 6 EEG 2012 bestimmt und auf Wasserkraftanlagen und Biomasseanlagen mit fester Biomasse beschränkt.</t>
        </r>
      </text>
    </comment>
    <comment ref="B100" authorId="1" shapeId="0" xr:uid="{00000000-0006-0000-0200-000002000000}">
      <text>
        <r>
          <rPr>
            <b/>
            <sz val="8"/>
            <color indexed="81"/>
            <rFont val="Tahoma"/>
            <family val="2"/>
          </rPr>
          <t>Benjamin Düvel:</t>
        </r>
        <r>
          <rPr>
            <sz val="8"/>
            <color indexed="81"/>
            <rFont val="Tahoma"/>
            <family val="2"/>
          </rPr>
          <t xml:space="preserve">
Die Vergütungszone 0 bis 150 KW wurde für Biomasseanlagen der Inbetriebnahmejahre bis 2003 mit der EEG-Novelle 2009 neu eingeführt, vorher reichte der untere Vergütungsbereich von 0 bis 500 kW.</t>
        </r>
      </text>
    </comment>
    <comment ref="B137" authorId="1" shapeId="0" xr:uid="{00000000-0006-0000-0200-000003000000}">
      <text>
        <r>
          <rPr>
            <b/>
            <sz val="8"/>
            <color indexed="81"/>
            <rFont val="Tahoma"/>
            <family val="2"/>
          </rPr>
          <t>Benjamin Düvel:</t>
        </r>
        <r>
          <rPr>
            <sz val="8"/>
            <color indexed="81"/>
            <rFont val="Tahoma"/>
            <family val="2"/>
          </rPr>
          <t xml:space="preserve">
Da vor August 2004 keine Geothermieanlagen nach dem EEG in Betrieb genommen wurden, wurde von der nachträglichen Ergänzung der Vergütungskategorien mit Boni für die Inbetriebnahmejahre bis Juli 2004 abgesehen.</t>
        </r>
      </text>
    </comment>
    <comment ref="B144" authorId="1" shapeId="0" xr:uid="{00000000-0006-0000-0200-000004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150" authorId="1" shapeId="0" xr:uid="{00000000-0006-0000-0200-00000500000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192" authorId="1" shapeId="0" xr:uid="{00000000-0006-0000-0200-000006000000}">
      <text>
        <r>
          <rPr>
            <b/>
            <sz val="8"/>
            <color indexed="81"/>
            <rFont val="Tahoma"/>
            <family val="2"/>
          </rPr>
          <t>Benjamin Düvel:</t>
        </r>
        <r>
          <rPr>
            <sz val="8"/>
            <color indexed="81"/>
            <rFont val="Tahoma"/>
            <family val="2"/>
          </rPr>
          <t xml:space="preserve">
auch bei den Repowering-Kategorien</t>
        </r>
      </text>
    </comment>
    <comment ref="B193" authorId="1" shapeId="0" xr:uid="{00000000-0006-0000-0200-000007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 ref="B207" authorId="1" shapeId="0" xr:uid="{00000000-0006-0000-0200-000008000000}">
      <text>
        <r>
          <rPr>
            <b/>
            <sz val="8"/>
            <color indexed="81"/>
            <rFont val="Tahoma"/>
            <family val="2"/>
          </rPr>
          <t>Benjamin Düvel:</t>
        </r>
        <r>
          <rPr>
            <sz val="8"/>
            <color indexed="81"/>
            <rFont val="Tahoma"/>
            <family val="2"/>
          </rPr>
          <t xml:space="preserve">
Die Kürzel für die Energiearten wurden bei Gasen, Windenergie und Solarenergie an oder auf Ge-bäuden aufgrund der Neuordnung des Gesetzes gegenüber den Bezeichnungen bei Anlagen der Inbetriebnahmejahre bis 2008 geändert.</t>
        </r>
      </text>
    </comment>
    <comment ref="A262" authorId="1" shapeId="0" xr:uid="{00000000-0006-0000-0200-000009000000}">
      <text>
        <r>
          <rPr>
            <b/>
            <sz val="8"/>
            <color indexed="81"/>
            <rFont val="Tahoma"/>
            <family val="2"/>
          </rPr>
          <t>Benjamin Düvel:</t>
        </r>
        <r>
          <rPr>
            <sz val="8"/>
            <color indexed="81"/>
            <rFont val="Tahoma"/>
            <family val="2"/>
          </rPr>
          <t xml:space="preserve">
auch bei den Repowering-Kategorien</t>
        </r>
      </text>
    </comment>
    <comment ref="B263" authorId="1" shapeId="0" xr:uid="{00000000-0006-0000-0200-00000A000000}">
      <text>
        <r>
          <rPr>
            <b/>
            <sz val="8"/>
            <color indexed="81"/>
            <rFont val="Tahoma"/>
            <family val="2"/>
          </rPr>
          <t>Benjamin Düvel:</t>
        </r>
        <r>
          <rPr>
            <sz val="8"/>
            <color indexed="81"/>
            <rFont val="Tahoma"/>
            <family val="2"/>
          </rPr>
          <t xml:space="preserve">
Dieser Bonus kann erst nach Inkrafttreten der Verordnung nach § 66 Abs. 1 Nr. 1 EEG beansprucht werden. Bei Windenergieanlagen, die die Bonusvoraussetzungen erfüllen, ist die Vergütungskategorie entsprechend zu ändern.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admkar10</author>
    <author>Dr. Hagner, Gert</author>
    <author>Benjamin Düvel</author>
    <author>Kirchenbaur Stephan</author>
    <author>Koch, Andreas</author>
    <author>Ihr Benutzername</author>
    <author>Lipinski Sven (50HzT MC-C)</author>
    <author>Hagner, Gert, Dr.</author>
    <author>Andreas Koch</author>
    <author>Knuth Christian (50HzT ME-A)</author>
    <author>Kirchenbaur, Stephan</author>
    <author>Härle Lukas</author>
  </authors>
  <commentList>
    <comment ref="F133" authorId="0" shapeId="0" xr:uid="{00000000-0006-0000-0300-000001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4" authorId="0" shapeId="0" xr:uid="{00000000-0006-0000-0300-000002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5" authorId="0" shapeId="0" xr:uid="{00000000-0006-0000-0300-000003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6" authorId="0" shapeId="0" xr:uid="{00000000-0006-0000-0300-000004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7" authorId="0" shapeId="0" xr:uid="{00000000-0006-0000-0300-00000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8" authorId="0" shapeId="0" xr:uid="{00000000-0006-0000-0300-000006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39" authorId="0" shapeId="0" xr:uid="{00000000-0006-0000-0300-000007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8" authorId="0" shapeId="0" xr:uid="{00000000-0006-0000-0300-000008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49" authorId="0" shapeId="0" xr:uid="{00000000-0006-0000-0300-000009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0" authorId="0" shapeId="0" xr:uid="{00000000-0006-0000-0300-00000A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1" authorId="0" shapeId="0" xr:uid="{00000000-0006-0000-0300-00000B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2" authorId="0" shapeId="0" xr:uid="{00000000-0006-0000-0300-00000C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3" authorId="0" shapeId="0" xr:uid="{00000000-0006-0000-0300-00000D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54" authorId="0" shapeId="0" xr:uid="{00000000-0006-0000-0300-00000E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3" authorId="0" shapeId="0" xr:uid="{00000000-0006-0000-0300-00000F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4" authorId="0" shapeId="0" xr:uid="{00000000-0006-0000-0300-000010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5" authorId="0" shapeId="0" xr:uid="{00000000-0006-0000-0300-000011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6" authorId="0" shapeId="0" xr:uid="{00000000-0006-0000-0300-000012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7" authorId="0" shapeId="0" xr:uid="{00000000-0006-0000-0300-000013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8" authorId="0" shapeId="0" xr:uid="{00000000-0006-0000-0300-000014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169" authorId="0" shapeId="0" xr:uid="{00000000-0006-0000-0300-00001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P293" authorId="1" shapeId="0" xr:uid="{00000000-0006-0000-0300-000016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294" authorId="2" shapeId="0" xr:uid="{00000000-0006-0000-0300-000017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294" authorId="2" shapeId="0" xr:uid="{00000000-0006-0000-0300-000018000000}">
      <text>
        <r>
          <rPr>
            <b/>
            <sz val="8"/>
            <color indexed="81"/>
            <rFont val="Tahoma"/>
            <family val="2"/>
          </rPr>
          <t>KWK-Bonus nach Anlage 3 EEG 2009 erstmals 2009 erfüllt</t>
        </r>
        <r>
          <rPr>
            <sz val="8"/>
            <color indexed="81"/>
            <rFont val="Tahoma"/>
            <family val="2"/>
          </rPr>
          <t xml:space="preserve">
(§ 66 Abs. 1 Nr.3 Satz 1 EEG 2009)</t>
        </r>
      </text>
    </comment>
    <comment ref="R294" authorId="2" shapeId="0" xr:uid="{00000000-0006-0000-0300-000019000000}">
      <text>
        <r>
          <rPr>
            <b/>
            <sz val="8"/>
            <color indexed="81"/>
            <rFont val="Tahoma"/>
            <family val="2"/>
          </rPr>
          <t>KWK-Bonus nach Anlage 3 EEG 2009 erstmals 2010 erfüllt</t>
        </r>
        <r>
          <rPr>
            <sz val="8"/>
            <color indexed="81"/>
            <rFont val="Tahoma"/>
            <family val="2"/>
          </rPr>
          <t xml:space="preserve">
(§ 66 Abs. 1 Nr.3 Satz 1 EEG 2009)</t>
        </r>
      </text>
    </comment>
    <comment ref="S294" authorId="2" shapeId="0" xr:uid="{00000000-0006-0000-0300-00001A000000}">
      <text>
        <r>
          <rPr>
            <b/>
            <sz val="8"/>
            <color indexed="81"/>
            <rFont val="Tahoma"/>
            <family val="2"/>
          </rPr>
          <t>KWK-Bonus nach Anlage 3 EEG 2009 erstmals 2011 erfüllt</t>
        </r>
        <r>
          <rPr>
            <sz val="8"/>
            <color indexed="81"/>
            <rFont val="Tahoma"/>
            <family val="2"/>
          </rPr>
          <t xml:space="preserve">
(§ 66 Abs. 1 Nr.3 Satz 1 EEG 2009)</t>
        </r>
      </text>
    </comment>
    <comment ref="T294" authorId="2" shapeId="0" xr:uid="{00000000-0006-0000-0300-00001B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294" authorId="2" shapeId="0" xr:uid="{00000000-0006-0000-0300-00001C000000}">
      <text>
        <r>
          <rPr>
            <b/>
            <sz val="8"/>
            <color indexed="81"/>
            <rFont val="Tahoma"/>
            <family val="2"/>
          </rPr>
          <t>BDEW:</t>
        </r>
        <r>
          <rPr>
            <sz val="8"/>
            <color indexed="81"/>
            <rFont val="Tahoma"/>
            <family val="2"/>
          </rPr>
          <t xml:space="preserve">
§ 66 (1) Nr. 4a EEG 2009</t>
        </r>
      </text>
    </comment>
    <comment ref="V294" authorId="2" shapeId="0" xr:uid="{00000000-0006-0000-0300-00001D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294" authorId="2" shapeId="0" xr:uid="{00000000-0006-0000-0300-00001E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294" authorId="2" shapeId="0" xr:uid="{00000000-0006-0000-0300-00001F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294" authorId="2" shapeId="0" xr:uid="{00000000-0006-0000-0300-000020000000}">
      <text>
        <r>
          <rPr>
            <b/>
            <sz val="8"/>
            <color indexed="81"/>
            <rFont val="Tahoma"/>
            <family val="2"/>
          </rPr>
          <t>BDEW:</t>
        </r>
        <r>
          <rPr>
            <sz val="8"/>
            <color indexed="81"/>
            <rFont val="Tahoma"/>
            <family val="2"/>
          </rPr>
          <t xml:space="preserve">
§ 27 Abs. 4 S.1 Nr.2 EEG 2009 i.V.m. Anl. 2 Pkt. VI Nr. 2a</t>
        </r>
      </text>
    </comment>
    <comment ref="Z294" authorId="2" shapeId="0" xr:uid="{00000000-0006-0000-0300-000021000000}">
      <text>
        <r>
          <rPr>
            <b/>
            <sz val="8"/>
            <color indexed="81"/>
            <rFont val="Tahoma"/>
            <family val="2"/>
          </rPr>
          <t>BDEW:</t>
        </r>
        <r>
          <rPr>
            <sz val="8"/>
            <color indexed="81"/>
            <rFont val="Tahoma"/>
            <family val="2"/>
          </rPr>
          <t xml:space="preserve">
§ 27 Abs. 4 S.1 Nr.2 EEG 2009 i.V.m. Anl. 2 Pkt. VI Nr. 2b (1)</t>
        </r>
      </text>
    </comment>
    <comment ref="AA294" authorId="2" shapeId="0" xr:uid="{00000000-0006-0000-0300-000022000000}">
      <text>
        <r>
          <rPr>
            <b/>
            <sz val="8"/>
            <color indexed="81"/>
            <rFont val="Tahoma"/>
            <family val="2"/>
          </rPr>
          <t>BDEW:</t>
        </r>
        <r>
          <rPr>
            <sz val="8"/>
            <color indexed="81"/>
            <rFont val="Tahoma"/>
            <family val="2"/>
          </rPr>
          <t xml:space="preserve">
§ 27 Abs. 4 S.1 Nr.2 EEG 2009 i.V.m. Anl. 2 Pkt. VI Nr. 2b (2)</t>
        </r>
      </text>
    </comment>
    <comment ref="AB294" authorId="2" shapeId="0" xr:uid="{00000000-0006-0000-0300-000023000000}">
      <text>
        <r>
          <rPr>
            <b/>
            <sz val="8"/>
            <color indexed="81"/>
            <rFont val="Tahoma"/>
            <family val="2"/>
          </rPr>
          <t>BDEW:</t>
        </r>
        <r>
          <rPr>
            <sz val="8"/>
            <color indexed="81"/>
            <rFont val="Tahoma"/>
            <family val="2"/>
          </rPr>
          <t xml:space="preserve">
§ 27 Abs. 4 S.1 Nr.2 EEG 2009 i.V.m. Anl. 2 Pkt. VI Nr. 2c</t>
        </r>
      </text>
    </comment>
    <comment ref="AC294" authorId="2" shapeId="0" xr:uid="{00000000-0006-0000-0300-000024000000}">
      <text>
        <r>
          <rPr>
            <b/>
            <sz val="8"/>
            <color indexed="81"/>
            <rFont val="Tahoma"/>
            <family val="2"/>
          </rPr>
          <t>BDEW:</t>
        </r>
        <r>
          <rPr>
            <sz val="8"/>
            <color indexed="81"/>
            <rFont val="Tahoma"/>
            <family val="2"/>
          </rPr>
          <t xml:space="preserve">
§ 27 Abs. 4 S.1 Nr.2 EEG 2009 i.V.m. Anl. 2 Pkt. VI Nr. 2b (1) und Nr. 2c</t>
        </r>
      </text>
    </comment>
    <comment ref="AD294" authorId="2" shapeId="0" xr:uid="{00000000-0006-0000-0300-000025000000}">
      <text>
        <r>
          <rPr>
            <b/>
            <sz val="8"/>
            <color indexed="81"/>
            <rFont val="Tahoma"/>
            <family val="2"/>
          </rPr>
          <t>BDEW:</t>
        </r>
        <r>
          <rPr>
            <sz val="8"/>
            <color indexed="81"/>
            <rFont val="Tahoma"/>
            <family val="2"/>
          </rPr>
          <t xml:space="preserve">
§ 27 Abs. 4 S.1 Nr.2 EEG 2009 i.V.m. Anl. 2 Pkt. VI Nr. 2b (2) und Nr. 2c</t>
        </r>
      </text>
    </comment>
    <comment ref="X295" authorId="2" shapeId="0" xr:uid="{00000000-0006-0000-0300-000026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D675" authorId="2" shapeId="0" xr:uid="{00000000-0006-0000-0300-000027000000}">
      <text>
        <r>
          <rPr>
            <sz val="8"/>
            <color indexed="81"/>
            <rFont val="Tahoma"/>
            <family val="2"/>
          </rPr>
          <t>Voraussetzungen siehe § 66 Abs. 1 Nr. 5 EEG 2009</t>
        </r>
      </text>
    </comment>
    <comment ref="D676" authorId="2" shapeId="0" xr:uid="{00000000-0006-0000-0300-000028000000}">
      <text>
        <r>
          <rPr>
            <sz val="8"/>
            <color indexed="81"/>
            <rFont val="Tahoma"/>
            <family val="2"/>
          </rPr>
          <t>Voraussetzungen siehe § 66 Abs. 1 Nr. 5 EEG 2009</t>
        </r>
      </text>
    </comment>
    <comment ref="D677" authorId="2" shapeId="0" xr:uid="{00000000-0006-0000-0300-000029000000}">
      <text>
        <r>
          <rPr>
            <sz val="8"/>
            <color indexed="81"/>
            <rFont val="Tahoma"/>
            <family val="2"/>
          </rPr>
          <t>Voraussetzungen siehe § 66 Abs. 1 Nr. 5 EEG 2009</t>
        </r>
      </text>
    </comment>
    <comment ref="D678" authorId="2" shapeId="0" xr:uid="{00000000-0006-0000-0300-00002A000000}">
      <text>
        <r>
          <rPr>
            <sz val="8"/>
            <color indexed="81"/>
            <rFont val="Tahoma"/>
            <family val="2"/>
          </rPr>
          <t>Voraussetzungen siehe § 66 Abs. 1 Nr. 5 EEG 2009</t>
        </r>
      </text>
    </comment>
    <comment ref="D679" authorId="2" shapeId="0" xr:uid="{00000000-0006-0000-0300-00002B000000}">
      <text>
        <r>
          <rPr>
            <sz val="8"/>
            <color indexed="81"/>
            <rFont val="Tahoma"/>
            <family val="2"/>
          </rPr>
          <t>Voraussetzungen siehe § 66 Abs. 1 Nr. 5 EEG 2009</t>
        </r>
      </text>
    </comment>
    <comment ref="P701" authorId="1" shapeId="0" xr:uid="{00000000-0006-0000-0300-00002C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702" authorId="2" shapeId="0" xr:uid="{00000000-0006-0000-0300-00002D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702" authorId="2" shapeId="0" xr:uid="{00000000-0006-0000-0300-00002E000000}">
      <text>
        <r>
          <rPr>
            <b/>
            <sz val="8"/>
            <color indexed="81"/>
            <rFont val="Tahoma"/>
            <family val="2"/>
          </rPr>
          <t>KWK-Bonus nach Anlage 3 EEG 2009 erstmals 2009 erfüllt</t>
        </r>
        <r>
          <rPr>
            <sz val="8"/>
            <color indexed="81"/>
            <rFont val="Tahoma"/>
            <family val="2"/>
          </rPr>
          <t xml:space="preserve">
(§ 66 Abs. 1 Nr.3 Satz 1 EEG 2009)</t>
        </r>
      </text>
    </comment>
    <comment ref="R702" authorId="2" shapeId="0" xr:uid="{00000000-0006-0000-0300-00002F000000}">
      <text>
        <r>
          <rPr>
            <b/>
            <sz val="8"/>
            <color indexed="81"/>
            <rFont val="Tahoma"/>
            <family val="2"/>
          </rPr>
          <t>KWK-Bonus nach Anlage 3 EEG 2009 erstmals 2010 erfüllt</t>
        </r>
        <r>
          <rPr>
            <sz val="8"/>
            <color indexed="81"/>
            <rFont val="Tahoma"/>
            <family val="2"/>
          </rPr>
          <t xml:space="preserve">
(§ 66 Abs. 1 Nr.3 Satz 1 EEG 2009)</t>
        </r>
      </text>
    </comment>
    <comment ref="S702" authorId="2" shapeId="0" xr:uid="{00000000-0006-0000-0300-000030000000}">
      <text>
        <r>
          <rPr>
            <b/>
            <sz val="8"/>
            <color indexed="81"/>
            <rFont val="Tahoma"/>
            <family val="2"/>
          </rPr>
          <t>KWK-Bonus nach Anlage 3 EEG 2009 erstmals 2011 erfüllt</t>
        </r>
        <r>
          <rPr>
            <sz val="8"/>
            <color indexed="81"/>
            <rFont val="Tahoma"/>
            <family val="2"/>
          </rPr>
          <t xml:space="preserve">
(§ 66 Abs. 1 Nr.3 Satz 1 EEG 2009)</t>
        </r>
      </text>
    </comment>
    <comment ref="T702" authorId="2" shapeId="0" xr:uid="{00000000-0006-0000-0300-000031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702" authorId="2" shapeId="0" xr:uid="{00000000-0006-0000-0300-000032000000}">
      <text>
        <r>
          <rPr>
            <b/>
            <sz val="8"/>
            <color indexed="81"/>
            <rFont val="Tahoma"/>
            <family val="2"/>
          </rPr>
          <t>BDEW:</t>
        </r>
        <r>
          <rPr>
            <sz val="8"/>
            <color indexed="81"/>
            <rFont val="Tahoma"/>
            <family val="2"/>
          </rPr>
          <t xml:space="preserve">
§ 66 (1) Nr. 4a EEG 2009</t>
        </r>
      </text>
    </comment>
    <comment ref="V702" authorId="2" shapeId="0" xr:uid="{00000000-0006-0000-0300-000033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702" authorId="2" shapeId="0" xr:uid="{00000000-0006-0000-0300-000034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702" authorId="2" shapeId="0" xr:uid="{00000000-0006-0000-0300-000035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702" authorId="2" shapeId="0" xr:uid="{00000000-0006-0000-0300-000036000000}">
      <text>
        <r>
          <rPr>
            <b/>
            <sz val="8"/>
            <color indexed="81"/>
            <rFont val="Tahoma"/>
            <family val="2"/>
          </rPr>
          <t>BDEW:</t>
        </r>
        <r>
          <rPr>
            <sz val="8"/>
            <color indexed="81"/>
            <rFont val="Tahoma"/>
            <family val="2"/>
          </rPr>
          <t xml:space="preserve">
§ 27 Abs. 4 S.1 Nr.2 EEG 2009 i.V.m. Anl. 2 Pkt. VI Nr. 2a</t>
        </r>
      </text>
    </comment>
    <comment ref="Z702" authorId="2" shapeId="0" xr:uid="{00000000-0006-0000-0300-000037000000}">
      <text>
        <r>
          <rPr>
            <b/>
            <sz val="8"/>
            <color indexed="81"/>
            <rFont val="Tahoma"/>
            <family val="2"/>
          </rPr>
          <t>BDEW:</t>
        </r>
        <r>
          <rPr>
            <sz val="8"/>
            <color indexed="81"/>
            <rFont val="Tahoma"/>
            <family val="2"/>
          </rPr>
          <t xml:space="preserve">
§ 27 Abs. 4 S.1 Nr.2 EEG 2009 i.V.m. Anl. 2 Pkt. VI Nr. 2b (1)</t>
        </r>
      </text>
    </comment>
    <comment ref="AA702" authorId="2" shapeId="0" xr:uid="{00000000-0006-0000-0300-000038000000}">
      <text>
        <r>
          <rPr>
            <b/>
            <sz val="8"/>
            <color indexed="81"/>
            <rFont val="Tahoma"/>
            <family val="2"/>
          </rPr>
          <t>BDEW:</t>
        </r>
        <r>
          <rPr>
            <sz val="8"/>
            <color indexed="81"/>
            <rFont val="Tahoma"/>
            <family val="2"/>
          </rPr>
          <t xml:space="preserve">
§ 27 Abs. 4 S.1 Nr.2 EEG 2009 i.V.m. Anl. 2 Pkt. VI Nr. 2b (2)</t>
        </r>
      </text>
    </comment>
    <comment ref="AB702" authorId="2" shapeId="0" xr:uid="{00000000-0006-0000-0300-000039000000}">
      <text>
        <r>
          <rPr>
            <b/>
            <sz val="8"/>
            <color indexed="81"/>
            <rFont val="Tahoma"/>
            <family val="2"/>
          </rPr>
          <t>BDEW:</t>
        </r>
        <r>
          <rPr>
            <sz val="8"/>
            <color indexed="81"/>
            <rFont val="Tahoma"/>
            <family val="2"/>
          </rPr>
          <t xml:space="preserve">
§ 27 Abs. 4 S.1 Nr.2 EEG 2009 i.V.m. Anl. 2 Pkt. VI Nr. 2c</t>
        </r>
      </text>
    </comment>
    <comment ref="AC702" authorId="2" shapeId="0" xr:uid="{00000000-0006-0000-0300-00003A000000}">
      <text>
        <r>
          <rPr>
            <b/>
            <sz val="8"/>
            <color indexed="81"/>
            <rFont val="Tahoma"/>
            <family val="2"/>
          </rPr>
          <t>BDEW:</t>
        </r>
        <r>
          <rPr>
            <sz val="8"/>
            <color indexed="81"/>
            <rFont val="Tahoma"/>
            <family val="2"/>
          </rPr>
          <t xml:space="preserve">
§ 27 Abs. 4 S.1 Nr.2 EEG 2009 i.V.m. Anl. 2 Pkt. VI Nr. 2b (1) und Nr. 2c</t>
        </r>
      </text>
    </comment>
    <comment ref="AD702" authorId="2" shapeId="0" xr:uid="{00000000-0006-0000-0300-00003B000000}">
      <text>
        <r>
          <rPr>
            <b/>
            <sz val="8"/>
            <color indexed="81"/>
            <rFont val="Tahoma"/>
            <family val="2"/>
          </rPr>
          <t>BDEW:</t>
        </r>
        <r>
          <rPr>
            <sz val="8"/>
            <color indexed="81"/>
            <rFont val="Tahoma"/>
            <family val="2"/>
          </rPr>
          <t xml:space="preserve">
§ 27 Abs. 4 S.1 Nr.2 EEG 2009 i.V.m. Anl. 2 Pkt. VI Nr. 2b (2) und Nr. 2c</t>
        </r>
      </text>
    </comment>
    <comment ref="X703" authorId="2" shapeId="0" xr:uid="{00000000-0006-0000-0300-00003C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125" authorId="1" shapeId="0" xr:uid="{00000000-0006-0000-0300-00003D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126" authorId="2" shapeId="0" xr:uid="{00000000-0006-0000-0300-00003E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126" authorId="2" shapeId="0" xr:uid="{00000000-0006-0000-0300-00003F000000}">
      <text>
        <r>
          <rPr>
            <b/>
            <sz val="8"/>
            <color indexed="81"/>
            <rFont val="Tahoma"/>
            <family val="2"/>
          </rPr>
          <t>KWK-Bonus nach Anlage 3 EEG 2009 erstmals 2009 erfüllt</t>
        </r>
        <r>
          <rPr>
            <sz val="8"/>
            <color indexed="81"/>
            <rFont val="Tahoma"/>
            <family val="2"/>
          </rPr>
          <t xml:space="preserve">
(§ 66 Abs. 1 Nr.3 Satz 1 EEG 2009)</t>
        </r>
      </text>
    </comment>
    <comment ref="R1126" authorId="2" shapeId="0" xr:uid="{00000000-0006-0000-0300-000040000000}">
      <text>
        <r>
          <rPr>
            <b/>
            <sz val="8"/>
            <color indexed="81"/>
            <rFont val="Tahoma"/>
            <family val="2"/>
          </rPr>
          <t>KWK-Bonus nach Anlage 3 EEG 2009 erstmals 2010 erfüllt</t>
        </r>
        <r>
          <rPr>
            <sz val="8"/>
            <color indexed="81"/>
            <rFont val="Tahoma"/>
            <family val="2"/>
          </rPr>
          <t xml:space="preserve">
(§ 66 Abs. 1 Nr.3 Satz 1 EEG 2009)</t>
        </r>
      </text>
    </comment>
    <comment ref="S1126" authorId="2" shapeId="0" xr:uid="{00000000-0006-0000-0300-000041000000}">
      <text>
        <r>
          <rPr>
            <b/>
            <sz val="8"/>
            <color indexed="81"/>
            <rFont val="Tahoma"/>
            <family val="2"/>
          </rPr>
          <t>KWK-Bonus nach Anlage 3 EEG 2009 erstmals 2011 erfüllt</t>
        </r>
        <r>
          <rPr>
            <sz val="8"/>
            <color indexed="81"/>
            <rFont val="Tahoma"/>
            <family val="2"/>
          </rPr>
          <t xml:space="preserve">
(§ 66 Abs. 1 Nr.3 Satz 1 EEG 2009)</t>
        </r>
      </text>
    </comment>
    <comment ref="T1126" authorId="2" shapeId="0" xr:uid="{00000000-0006-0000-0300-000042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126" authorId="2" shapeId="0" xr:uid="{00000000-0006-0000-0300-000043000000}">
      <text>
        <r>
          <rPr>
            <b/>
            <sz val="8"/>
            <color indexed="81"/>
            <rFont val="Tahoma"/>
            <family val="2"/>
          </rPr>
          <t>BDEW:</t>
        </r>
        <r>
          <rPr>
            <sz val="8"/>
            <color indexed="81"/>
            <rFont val="Tahoma"/>
            <family val="2"/>
          </rPr>
          <t xml:space="preserve">
§ 66 (1) Nr. 4a EEG 2009</t>
        </r>
      </text>
    </comment>
    <comment ref="V1126" authorId="2" shapeId="0" xr:uid="{00000000-0006-0000-0300-000044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126" authorId="2" shapeId="0" xr:uid="{00000000-0006-0000-0300-000045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126" authorId="2" shapeId="0" xr:uid="{00000000-0006-0000-0300-000046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126" authorId="2" shapeId="0" xr:uid="{00000000-0006-0000-0300-000047000000}">
      <text>
        <r>
          <rPr>
            <b/>
            <sz val="8"/>
            <color indexed="81"/>
            <rFont val="Tahoma"/>
            <family val="2"/>
          </rPr>
          <t>BDEW:</t>
        </r>
        <r>
          <rPr>
            <sz val="8"/>
            <color indexed="81"/>
            <rFont val="Tahoma"/>
            <family val="2"/>
          </rPr>
          <t xml:space="preserve">
§ 27 Abs. 4 S.1 Nr.2 EEG 2009 i.V.m. Anl. 2 Pkt. VI Nr. 2a</t>
        </r>
      </text>
    </comment>
    <comment ref="Z1126" authorId="2" shapeId="0" xr:uid="{00000000-0006-0000-0300-000048000000}">
      <text>
        <r>
          <rPr>
            <b/>
            <sz val="8"/>
            <color indexed="81"/>
            <rFont val="Tahoma"/>
            <family val="2"/>
          </rPr>
          <t>BDEW:</t>
        </r>
        <r>
          <rPr>
            <sz val="8"/>
            <color indexed="81"/>
            <rFont val="Tahoma"/>
            <family val="2"/>
          </rPr>
          <t xml:space="preserve">
§ 27 Abs. 4 S.1 Nr.2 EEG 2009 i.V.m. Anl. 2 Pkt. VI Nr. 2b (1)</t>
        </r>
      </text>
    </comment>
    <comment ref="AA1126" authorId="2" shapeId="0" xr:uid="{00000000-0006-0000-0300-000049000000}">
      <text>
        <r>
          <rPr>
            <b/>
            <sz val="8"/>
            <color indexed="81"/>
            <rFont val="Tahoma"/>
            <family val="2"/>
          </rPr>
          <t>BDEW:</t>
        </r>
        <r>
          <rPr>
            <sz val="8"/>
            <color indexed="81"/>
            <rFont val="Tahoma"/>
            <family val="2"/>
          </rPr>
          <t xml:space="preserve">
§ 27 Abs. 4 S.1 Nr.2 EEG 2009 i.V.m. Anl. 2 Pkt. VI Nr. 2b (2)</t>
        </r>
      </text>
    </comment>
    <comment ref="AB1126" authorId="2" shapeId="0" xr:uid="{00000000-0006-0000-0300-00004A000000}">
      <text>
        <r>
          <rPr>
            <b/>
            <sz val="8"/>
            <color indexed="81"/>
            <rFont val="Tahoma"/>
            <family val="2"/>
          </rPr>
          <t>BDEW:</t>
        </r>
        <r>
          <rPr>
            <sz val="8"/>
            <color indexed="81"/>
            <rFont val="Tahoma"/>
            <family val="2"/>
          </rPr>
          <t xml:space="preserve">
§ 27 Abs. 4 S.1 Nr.2 EEG 2009 i.V.m. Anl. 2 Pkt. VI Nr. 2c</t>
        </r>
      </text>
    </comment>
    <comment ref="AC1126" authorId="2" shapeId="0" xr:uid="{00000000-0006-0000-0300-00004B000000}">
      <text>
        <r>
          <rPr>
            <b/>
            <sz val="8"/>
            <color indexed="81"/>
            <rFont val="Tahoma"/>
            <family val="2"/>
          </rPr>
          <t>BDEW:</t>
        </r>
        <r>
          <rPr>
            <sz val="8"/>
            <color indexed="81"/>
            <rFont val="Tahoma"/>
            <family val="2"/>
          </rPr>
          <t xml:space="preserve">
§ 27 Abs. 4 S.1 Nr.2 EEG 2009 i.V.m. Anl. 2 Pkt. VI Nr. 2b (1) und Nr. 2c</t>
        </r>
      </text>
    </comment>
    <comment ref="AD1126" authorId="2" shapeId="0" xr:uid="{00000000-0006-0000-0300-00004C000000}">
      <text>
        <r>
          <rPr>
            <b/>
            <sz val="8"/>
            <color indexed="81"/>
            <rFont val="Tahoma"/>
            <family val="2"/>
          </rPr>
          <t>BDEW:</t>
        </r>
        <r>
          <rPr>
            <sz val="8"/>
            <color indexed="81"/>
            <rFont val="Tahoma"/>
            <family val="2"/>
          </rPr>
          <t xml:space="preserve">
§ 27 Abs. 4 S.1 Nr.2 EEG 2009 i.V.m. Anl. 2 Pkt. VI Nr. 2b (2) und Nr. 2c</t>
        </r>
      </text>
    </comment>
    <comment ref="X1127" authorId="2" shapeId="0" xr:uid="{00000000-0006-0000-0300-00004D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556" authorId="1" shapeId="0" xr:uid="{00000000-0006-0000-0300-00004E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557" authorId="2" shapeId="0" xr:uid="{00000000-0006-0000-0300-00004F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557" authorId="2" shapeId="0" xr:uid="{00000000-0006-0000-0300-000050000000}">
      <text>
        <r>
          <rPr>
            <b/>
            <sz val="8"/>
            <color indexed="81"/>
            <rFont val="Tahoma"/>
            <family val="2"/>
          </rPr>
          <t>KWK-Bonus nach Anlage 3 EEG 2009 erstmals 2009 erfüllt</t>
        </r>
        <r>
          <rPr>
            <sz val="8"/>
            <color indexed="81"/>
            <rFont val="Tahoma"/>
            <family val="2"/>
          </rPr>
          <t xml:space="preserve">
(§ 66 Abs. 1 Nr.3 Satz 1 EEG 2009)</t>
        </r>
      </text>
    </comment>
    <comment ref="R1557" authorId="2" shapeId="0" xr:uid="{00000000-0006-0000-0300-000051000000}">
      <text>
        <r>
          <rPr>
            <b/>
            <sz val="8"/>
            <color indexed="81"/>
            <rFont val="Tahoma"/>
            <family val="2"/>
          </rPr>
          <t>KWK-Bonus nach Anlage 3 EEG 2009 erstmals 2010 erfüllt</t>
        </r>
        <r>
          <rPr>
            <sz val="8"/>
            <color indexed="81"/>
            <rFont val="Tahoma"/>
            <family val="2"/>
          </rPr>
          <t xml:space="preserve">
(§ 66 Abs. 1 Nr.3 Satz 1 EEG 2009)</t>
        </r>
      </text>
    </comment>
    <comment ref="S1557" authorId="2" shapeId="0" xr:uid="{00000000-0006-0000-0300-000052000000}">
      <text>
        <r>
          <rPr>
            <b/>
            <sz val="8"/>
            <color indexed="81"/>
            <rFont val="Tahoma"/>
            <family val="2"/>
          </rPr>
          <t>KWK-Bonus nach Anlage 3 EEG 2009 erstmals 2011 erfüllt</t>
        </r>
        <r>
          <rPr>
            <sz val="8"/>
            <color indexed="81"/>
            <rFont val="Tahoma"/>
            <family val="2"/>
          </rPr>
          <t xml:space="preserve">
(§ 66 Abs. 1 Nr.3 Satz 1 EEG 2009)</t>
        </r>
      </text>
    </comment>
    <comment ref="T1557" authorId="2" shapeId="0" xr:uid="{00000000-0006-0000-0300-000053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557" authorId="2" shapeId="0" xr:uid="{00000000-0006-0000-0300-000054000000}">
      <text>
        <r>
          <rPr>
            <b/>
            <sz val="8"/>
            <color indexed="81"/>
            <rFont val="Tahoma"/>
            <family val="2"/>
          </rPr>
          <t>BDEW:</t>
        </r>
        <r>
          <rPr>
            <sz val="8"/>
            <color indexed="81"/>
            <rFont val="Tahoma"/>
            <family val="2"/>
          </rPr>
          <t xml:space="preserve">
§ 66 (1) Nr. 4a EEG 2009</t>
        </r>
      </text>
    </comment>
    <comment ref="V1557" authorId="2" shapeId="0" xr:uid="{00000000-0006-0000-0300-000055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557" authorId="2" shapeId="0" xr:uid="{00000000-0006-0000-0300-000056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557" authorId="2" shapeId="0" xr:uid="{00000000-0006-0000-0300-000057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557" authorId="2" shapeId="0" xr:uid="{00000000-0006-0000-0300-000058000000}">
      <text>
        <r>
          <rPr>
            <b/>
            <sz val="8"/>
            <color indexed="81"/>
            <rFont val="Tahoma"/>
            <family val="2"/>
          </rPr>
          <t>BDEW:</t>
        </r>
        <r>
          <rPr>
            <sz val="8"/>
            <color indexed="81"/>
            <rFont val="Tahoma"/>
            <family val="2"/>
          </rPr>
          <t xml:space="preserve">
§ 27 Abs. 4 S.1 Nr.2 EEG 2009 i.V.m. Anl. 2 Pkt. VI Nr. 2a</t>
        </r>
      </text>
    </comment>
    <comment ref="Z1557" authorId="2" shapeId="0" xr:uid="{00000000-0006-0000-0300-000059000000}">
      <text>
        <r>
          <rPr>
            <b/>
            <sz val="8"/>
            <color indexed="81"/>
            <rFont val="Tahoma"/>
            <family val="2"/>
          </rPr>
          <t>BDEW:</t>
        </r>
        <r>
          <rPr>
            <sz val="8"/>
            <color indexed="81"/>
            <rFont val="Tahoma"/>
            <family val="2"/>
          </rPr>
          <t xml:space="preserve">
§ 27 Abs. 4 S.1 Nr.2 EEG 2009 i.V.m. Anl. 2 Pkt. VI Nr. 2b (1)</t>
        </r>
      </text>
    </comment>
    <comment ref="AA1557" authorId="2" shapeId="0" xr:uid="{00000000-0006-0000-0300-00005A000000}">
      <text>
        <r>
          <rPr>
            <b/>
            <sz val="8"/>
            <color indexed="81"/>
            <rFont val="Tahoma"/>
            <family val="2"/>
          </rPr>
          <t>BDEW:</t>
        </r>
        <r>
          <rPr>
            <sz val="8"/>
            <color indexed="81"/>
            <rFont val="Tahoma"/>
            <family val="2"/>
          </rPr>
          <t xml:space="preserve">
§ 27 Abs. 4 S.1 Nr.2 EEG 2009 i.V.m. Anl. 2 Pkt. VI Nr. 2b (2)</t>
        </r>
      </text>
    </comment>
    <comment ref="AB1557" authorId="2" shapeId="0" xr:uid="{00000000-0006-0000-0300-00005B000000}">
      <text>
        <r>
          <rPr>
            <b/>
            <sz val="8"/>
            <color indexed="81"/>
            <rFont val="Tahoma"/>
            <family val="2"/>
          </rPr>
          <t>BDEW:</t>
        </r>
        <r>
          <rPr>
            <sz val="8"/>
            <color indexed="81"/>
            <rFont val="Tahoma"/>
            <family val="2"/>
          </rPr>
          <t xml:space="preserve">
§ 27 Abs. 4 S.1 Nr.2 EEG 2009 i.V.m. Anl. 2 Pkt. VI Nr. 2c</t>
        </r>
      </text>
    </comment>
    <comment ref="AC1557" authorId="2" shapeId="0" xr:uid="{00000000-0006-0000-0300-00005C000000}">
      <text>
        <r>
          <rPr>
            <b/>
            <sz val="8"/>
            <color indexed="81"/>
            <rFont val="Tahoma"/>
            <family val="2"/>
          </rPr>
          <t>BDEW:</t>
        </r>
        <r>
          <rPr>
            <sz val="8"/>
            <color indexed="81"/>
            <rFont val="Tahoma"/>
            <family val="2"/>
          </rPr>
          <t xml:space="preserve">
§ 27 Abs. 4 S.1 Nr.2 EEG 2009 i.V.m. Anl. 2 Pkt. VI Nr. 2b (1) und Nr. 2c</t>
        </r>
      </text>
    </comment>
    <comment ref="AD1557" authorId="2" shapeId="0" xr:uid="{00000000-0006-0000-0300-00005D000000}">
      <text>
        <r>
          <rPr>
            <b/>
            <sz val="8"/>
            <color indexed="81"/>
            <rFont val="Tahoma"/>
            <family val="2"/>
          </rPr>
          <t>BDEW:</t>
        </r>
        <r>
          <rPr>
            <sz val="8"/>
            <color indexed="81"/>
            <rFont val="Tahoma"/>
            <family val="2"/>
          </rPr>
          <t xml:space="preserve">
§ 27 Abs. 4 S.1 Nr.2 EEG 2009 i.V.m. Anl. 2 Pkt. VI Nr. 2b (2) und Nr. 2c</t>
        </r>
      </text>
    </comment>
    <comment ref="X1558" authorId="2" shapeId="0" xr:uid="{00000000-0006-0000-0300-00005E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P1985" authorId="1" shapeId="0" xr:uid="{00000000-0006-0000-0300-00005F000000}">
      <text>
        <r>
          <rPr>
            <b/>
            <sz val="9"/>
            <color indexed="81"/>
            <rFont val="Tahoma"/>
            <family val="2"/>
          </rPr>
          <t xml:space="preserve">KWK-Bonus nach Anlage 3 EEG 2009 erstmals in den Jahren 2013 und später
</t>
        </r>
        <r>
          <rPr>
            <sz val="9"/>
            <color indexed="81"/>
            <rFont val="Tahoma"/>
            <family val="2"/>
          </rPr>
          <t>Bitte beachten Sie die Hinweise zu Beginn der Biomasse-Kategorien weiter oben in dieser Tabelle.</t>
        </r>
      </text>
    </comment>
    <comment ref="P1986" authorId="2" shapeId="0" xr:uid="{00000000-0006-0000-0300-000060000000}">
      <text>
        <r>
          <rPr>
            <b/>
            <sz val="8"/>
            <color indexed="81"/>
            <rFont val="Tahoma"/>
            <family val="2"/>
          </rPr>
          <t>Anforderungen an KWK-Bonus nach Anlage 3 EEG 2009 bereits vor dem 01.01.2009 erfüllt</t>
        </r>
        <r>
          <rPr>
            <sz val="8"/>
            <color indexed="81"/>
            <rFont val="Tahoma"/>
            <family val="2"/>
          </rPr>
          <t xml:space="preserve">
(§ 66 Abs. 1 Nr. 3 Satz 3 EEG 2009)
</t>
        </r>
        <r>
          <rPr>
            <b/>
            <sz val="8"/>
            <color indexed="81"/>
            <rFont val="Tahoma"/>
            <family val="2"/>
          </rPr>
          <t>Bonus ist begrenzt bis 500 kW.</t>
        </r>
      </text>
    </comment>
    <comment ref="Q1986" authorId="2" shapeId="0" xr:uid="{00000000-0006-0000-0300-000061000000}">
      <text>
        <r>
          <rPr>
            <b/>
            <sz val="8"/>
            <color indexed="81"/>
            <rFont val="Tahoma"/>
            <family val="2"/>
          </rPr>
          <t>KWK-Bonus nach Anlage 3 EEG 2009 erstmals 2009 erfüllt</t>
        </r>
        <r>
          <rPr>
            <sz val="8"/>
            <color indexed="81"/>
            <rFont val="Tahoma"/>
            <family val="2"/>
          </rPr>
          <t xml:space="preserve">
(§ 66 Abs. 1 Nr.3 Satz 1 EEG 2009)</t>
        </r>
      </text>
    </comment>
    <comment ref="R1986" authorId="2" shapeId="0" xr:uid="{00000000-0006-0000-0300-000062000000}">
      <text>
        <r>
          <rPr>
            <b/>
            <sz val="8"/>
            <color indexed="81"/>
            <rFont val="Tahoma"/>
            <family val="2"/>
          </rPr>
          <t>KWK-Bonus nach Anlage 3 EEG 2009 erstmals 2010 erfüllt</t>
        </r>
        <r>
          <rPr>
            <sz val="8"/>
            <color indexed="81"/>
            <rFont val="Tahoma"/>
            <family val="2"/>
          </rPr>
          <t xml:space="preserve">
(§ 66 Abs. 1 Nr.3 Satz 1 EEG 2009)</t>
        </r>
      </text>
    </comment>
    <comment ref="S1986" authorId="2" shapeId="0" xr:uid="{00000000-0006-0000-0300-000063000000}">
      <text>
        <r>
          <rPr>
            <b/>
            <sz val="8"/>
            <color indexed="81"/>
            <rFont val="Tahoma"/>
            <family val="2"/>
          </rPr>
          <t>KWK-Bonus nach Anlage 3 EEG 2009 erstmals 2011 erfüllt</t>
        </r>
        <r>
          <rPr>
            <sz val="8"/>
            <color indexed="81"/>
            <rFont val="Tahoma"/>
            <family val="2"/>
          </rPr>
          <t xml:space="preserve">
(§ 66 Abs. 1 Nr.3 Satz 1 EEG 2009)</t>
        </r>
      </text>
    </comment>
    <comment ref="T1986" authorId="2" shapeId="0" xr:uid="{00000000-0006-0000-0300-000064000000}">
      <text>
        <r>
          <rPr>
            <b/>
            <sz val="8"/>
            <color indexed="81"/>
            <rFont val="Tahoma"/>
            <family val="2"/>
          </rPr>
          <t>KWK-Bonus nach Anlage 3 EEG 2009 erstmals 2012 erfüllt</t>
        </r>
        <r>
          <rPr>
            <sz val="8"/>
            <color indexed="81"/>
            <rFont val="Tahoma"/>
            <family val="2"/>
          </rPr>
          <t xml:space="preserve">
(§ 66 Abs. 1 Nr.3 Satz 1 EEG 2009)
</t>
        </r>
        <r>
          <rPr>
            <b/>
            <sz val="8"/>
            <color indexed="81"/>
            <rFont val="Tahoma"/>
            <family val="2"/>
          </rPr>
          <t>KWK-Bonus nach Anlage 3 EEG 2009 erstmals in den Jahren 2013 und später erfüllt</t>
        </r>
        <r>
          <rPr>
            <sz val="8"/>
            <color indexed="81"/>
            <rFont val="Tahoma"/>
            <family val="2"/>
          </rPr>
          <t xml:space="preserve">
Bitte beachten Sie die Hinweise zu Beginn der Biomasse-Kategorien weiter oben in dieser Tabelle.</t>
        </r>
      </text>
    </comment>
    <comment ref="U1986" authorId="2" shapeId="0" xr:uid="{00000000-0006-0000-0300-000065000000}">
      <text>
        <r>
          <rPr>
            <b/>
            <sz val="8"/>
            <color indexed="81"/>
            <rFont val="Tahoma"/>
            <family val="2"/>
          </rPr>
          <t>BDEW:</t>
        </r>
        <r>
          <rPr>
            <sz val="8"/>
            <color indexed="81"/>
            <rFont val="Tahoma"/>
            <family val="2"/>
          </rPr>
          <t xml:space="preserve">
§ 66 (1) Nr. 4a EEG 2009</t>
        </r>
      </text>
    </comment>
    <comment ref="V1986" authorId="2" shapeId="0" xr:uid="{00000000-0006-0000-0300-000066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W1986" authorId="2" shapeId="0" xr:uid="{00000000-0006-0000-0300-000067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X1986" authorId="2" shapeId="0" xr:uid="{00000000-0006-0000-0300-000068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Y1986" authorId="2" shapeId="0" xr:uid="{00000000-0006-0000-0300-000069000000}">
      <text>
        <r>
          <rPr>
            <b/>
            <sz val="8"/>
            <color indexed="81"/>
            <rFont val="Tahoma"/>
            <family val="2"/>
          </rPr>
          <t>BDEW:</t>
        </r>
        <r>
          <rPr>
            <sz val="8"/>
            <color indexed="81"/>
            <rFont val="Tahoma"/>
            <family val="2"/>
          </rPr>
          <t xml:space="preserve">
§ 27 Abs. 4 S.1 Nr.2 EEG 2009 i.V.m. Anl. 2 Pkt. VI Nr. 2a</t>
        </r>
      </text>
    </comment>
    <comment ref="Z1986" authorId="2" shapeId="0" xr:uid="{00000000-0006-0000-0300-00006A000000}">
      <text>
        <r>
          <rPr>
            <b/>
            <sz val="8"/>
            <color indexed="81"/>
            <rFont val="Tahoma"/>
            <family val="2"/>
          </rPr>
          <t>BDEW:</t>
        </r>
        <r>
          <rPr>
            <sz val="8"/>
            <color indexed="81"/>
            <rFont val="Tahoma"/>
            <family val="2"/>
          </rPr>
          <t xml:space="preserve">
§ 27 Abs. 4 S.1 Nr.2 EEG 2009 i.V.m. Anl. 2 Pkt. VI Nr. 2b (1)</t>
        </r>
      </text>
    </comment>
    <comment ref="AA1986" authorId="2" shapeId="0" xr:uid="{00000000-0006-0000-0300-00006B000000}">
      <text>
        <r>
          <rPr>
            <b/>
            <sz val="8"/>
            <color indexed="81"/>
            <rFont val="Tahoma"/>
            <family val="2"/>
          </rPr>
          <t>BDEW:</t>
        </r>
        <r>
          <rPr>
            <sz val="8"/>
            <color indexed="81"/>
            <rFont val="Tahoma"/>
            <family val="2"/>
          </rPr>
          <t xml:space="preserve">
§ 27 Abs. 4 S.1 Nr.2 EEG 2009 i.V.m. Anl. 2 Pkt. VI Nr. 2b (2)</t>
        </r>
      </text>
    </comment>
    <comment ref="AB1986" authorId="2" shapeId="0" xr:uid="{00000000-0006-0000-0300-00006C000000}">
      <text>
        <r>
          <rPr>
            <b/>
            <sz val="8"/>
            <color indexed="81"/>
            <rFont val="Tahoma"/>
            <family val="2"/>
          </rPr>
          <t>BDEW:</t>
        </r>
        <r>
          <rPr>
            <sz val="8"/>
            <color indexed="81"/>
            <rFont val="Tahoma"/>
            <family val="2"/>
          </rPr>
          <t xml:space="preserve">
§ 27 Abs. 4 S.1 Nr.2 EEG 2009 i.V.m. Anl. 2 Pkt. VI Nr. 2c</t>
        </r>
      </text>
    </comment>
    <comment ref="AC1986" authorId="2" shapeId="0" xr:uid="{00000000-0006-0000-0300-00006D000000}">
      <text>
        <r>
          <rPr>
            <b/>
            <sz val="8"/>
            <color indexed="81"/>
            <rFont val="Tahoma"/>
            <family val="2"/>
          </rPr>
          <t>BDEW:</t>
        </r>
        <r>
          <rPr>
            <sz val="8"/>
            <color indexed="81"/>
            <rFont val="Tahoma"/>
            <family val="2"/>
          </rPr>
          <t xml:space="preserve">
§ 27 Abs. 4 S.1 Nr.2 EEG 2009 i.V.m. Anl. 2 Pkt. VI Nr. 2b (1) und Nr. 2c</t>
        </r>
      </text>
    </comment>
    <comment ref="AD1986" authorId="2" shapeId="0" xr:uid="{00000000-0006-0000-0300-00006E000000}">
      <text>
        <r>
          <rPr>
            <b/>
            <sz val="8"/>
            <color indexed="81"/>
            <rFont val="Tahoma"/>
            <family val="2"/>
          </rPr>
          <t>BDEW:</t>
        </r>
        <r>
          <rPr>
            <sz val="8"/>
            <color indexed="81"/>
            <rFont val="Tahoma"/>
            <family val="2"/>
          </rPr>
          <t xml:space="preserve">
§ 27 Abs. 4 S.1 Nr.2 EEG 2009 i.V.m. Anl. 2 Pkt. VI Nr. 2b (2) und Nr. 2c</t>
        </r>
      </text>
    </comment>
    <comment ref="X1987" authorId="2" shapeId="0" xr:uid="{00000000-0006-0000-0300-00006F000000}">
      <text>
        <r>
          <rPr>
            <b/>
            <sz val="8"/>
            <color indexed="81"/>
            <rFont val="Tahoma"/>
            <family val="2"/>
          </rPr>
          <t>BDEW:</t>
        </r>
        <r>
          <rPr>
            <sz val="8"/>
            <color indexed="81"/>
            <rFont val="Tahoma"/>
            <family val="2"/>
          </rPr>
          <t xml:space="preserve">
Holzverbrennungs-Bonus für Bestandsanlagen (IB bis 2008) weiterhin mit "a3" bezeichnet; für IB-Jahre ab 2009 als "ah" bezeichnet</t>
        </r>
      </text>
    </comment>
    <comment ref="R2394" authorId="2" shapeId="0" xr:uid="{00000000-0006-0000-0300-000070000000}">
      <text>
        <r>
          <rPr>
            <b/>
            <sz val="8"/>
            <color indexed="81"/>
            <rFont val="Tahoma"/>
            <family val="2"/>
          </rPr>
          <t>BDEW:</t>
        </r>
        <r>
          <rPr>
            <sz val="8"/>
            <color indexed="81"/>
            <rFont val="Tahoma"/>
            <family val="2"/>
          </rPr>
          <t xml:space="preserve">
§ 27 (5) EEG 2009</t>
        </r>
      </text>
    </comment>
    <comment ref="S2394" authorId="2" shapeId="0" xr:uid="{00000000-0006-0000-0300-000071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394" authorId="2" shapeId="0" xr:uid="{00000000-0006-0000-0300-000072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394" authorId="2" shapeId="0" xr:uid="{00000000-0006-0000-0300-000073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394" authorId="2" shapeId="0" xr:uid="{00000000-0006-0000-0300-000074000000}">
      <text>
        <r>
          <rPr>
            <b/>
            <sz val="8"/>
            <color indexed="81"/>
            <rFont val="Tahoma"/>
            <family val="2"/>
          </rPr>
          <t>BDEW:</t>
        </r>
        <r>
          <rPr>
            <sz val="8"/>
            <color indexed="81"/>
            <rFont val="Tahoma"/>
            <family val="2"/>
          </rPr>
          <t xml:space="preserve">
§ 27 Abs. 4 S.1 Nr.2 EEG 2009 i.V.m. Anl. 2 Pkt. VI Nr. 2a</t>
        </r>
      </text>
    </comment>
    <comment ref="W2394" authorId="2" shapeId="0" xr:uid="{00000000-0006-0000-0300-000075000000}">
      <text>
        <r>
          <rPr>
            <b/>
            <sz val="8"/>
            <color indexed="81"/>
            <rFont val="Tahoma"/>
            <family val="2"/>
          </rPr>
          <t>BDEW:</t>
        </r>
        <r>
          <rPr>
            <sz val="8"/>
            <color indexed="81"/>
            <rFont val="Tahoma"/>
            <family val="2"/>
          </rPr>
          <t xml:space="preserve">
§ 27 Abs. 4 S.1 Nr.2 EEG 2009 i.V.m. Anl. 2 Pkt. VI Nr. 2b (1)</t>
        </r>
      </text>
    </comment>
    <comment ref="X2394" authorId="2" shapeId="0" xr:uid="{00000000-0006-0000-0300-000076000000}">
      <text>
        <r>
          <rPr>
            <b/>
            <sz val="8"/>
            <color indexed="81"/>
            <rFont val="Tahoma"/>
            <family val="2"/>
          </rPr>
          <t>BDEW:</t>
        </r>
        <r>
          <rPr>
            <sz val="8"/>
            <color indexed="81"/>
            <rFont val="Tahoma"/>
            <family val="2"/>
          </rPr>
          <t xml:space="preserve">
§ 27 Abs. 4 S.1 Nr.2 EEG 2009 i.V.m. Anl. 2 Pkt. VI Nr. 2b (2)</t>
        </r>
      </text>
    </comment>
    <comment ref="Y2394" authorId="2" shapeId="0" xr:uid="{00000000-0006-0000-0300-000077000000}">
      <text>
        <r>
          <rPr>
            <b/>
            <sz val="8"/>
            <color indexed="81"/>
            <rFont val="Tahoma"/>
            <family val="2"/>
          </rPr>
          <t>BDEW:</t>
        </r>
        <r>
          <rPr>
            <sz val="8"/>
            <color indexed="81"/>
            <rFont val="Tahoma"/>
            <family val="2"/>
          </rPr>
          <t xml:space="preserve">
§ 27 Abs. 4 S.1 Nr.2 EEG 2009 i.V.m. Anl. 2 Pkt. VI Nr. 2c</t>
        </r>
      </text>
    </comment>
    <comment ref="Z2394" authorId="2" shapeId="0" xr:uid="{00000000-0006-0000-0300-000078000000}">
      <text>
        <r>
          <rPr>
            <b/>
            <sz val="8"/>
            <color indexed="81"/>
            <rFont val="Tahoma"/>
            <family val="2"/>
          </rPr>
          <t>BDEW:</t>
        </r>
        <r>
          <rPr>
            <sz val="8"/>
            <color indexed="81"/>
            <rFont val="Tahoma"/>
            <family val="2"/>
          </rPr>
          <t xml:space="preserve">
§ 27 Abs. 4 S.1 Nr.2 EEG 2009 i.V.m. Anl. 2 Pkt. VI Nr. 2b (1) und Nr. 2c</t>
        </r>
      </text>
    </comment>
    <comment ref="AA2394" authorId="2" shapeId="0" xr:uid="{00000000-0006-0000-0300-000079000000}">
      <text>
        <r>
          <rPr>
            <b/>
            <sz val="8"/>
            <color indexed="81"/>
            <rFont val="Tahoma"/>
            <family val="2"/>
          </rPr>
          <t>BDEW:</t>
        </r>
        <r>
          <rPr>
            <sz val="8"/>
            <color indexed="81"/>
            <rFont val="Tahoma"/>
            <family val="2"/>
          </rPr>
          <t xml:space="preserve">
§ 27 Abs. 4 S.1 Nr.2 EEG 2009 i.V.m. Anl. 2 Pkt. VI Nr. 2b (2) und Nr. 2c</t>
        </r>
      </text>
    </comment>
    <comment ref="AB2394" authorId="2" shapeId="0" xr:uid="{00000000-0006-0000-0300-00007A000000}">
      <text>
        <r>
          <rPr>
            <b/>
            <sz val="8"/>
            <color indexed="81"/>
            <rFont val="Tahoma"/>
            <family val="2"/>
          </rPr>
          <t>BDEW:</t>
        </r>
        <r>
          <rPr>
            <sz val="8"/>
            <color indexed="81"/>
            <rFont val="Tahoma"/>
            <family val="2"/>
          </rPr>
          <t xml:space="preserve">
§ 27 Abs. 4 S.1 Nr.1 EEG 2009 i.V.m. Anl. 1 Pkt. I Nr. 2a</t>
        </r>
      </text>
    </comment>
    <comment ref="AC2394" authorId="2" shapeId="0" xr:uid="{00000000-0006-0000-0300-00007B000000}">
      <text>
        <r>
          <rPr>
            <b/>
            <sz val="8"/>
            <color indexed="81"/>
            <rFont val="Tahoma"/>
            <family val="2"/>
          </rPr>
          <t>BDEW:</t>
        </r>
        <r>
          <rPr>
            <sz val="8"/>
            <color indexed="81"/>
            <rFont val="Tahoma"/>
            <family val="2"/>
          </rPr>
          <t xml:space="preserve">
§ 27 Abs. 4 S.1 Nr.1 EEG 2009 i.V.m. Anl. 1 Pkt. I Nr. 2b</t>
        </r>
      </text>
    </comment>
    <comment ref="AD2394" authorId="2" shapeId="0" xr:uid="{00000000-0006-0000-0300-00007C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2617" authorId="2" shapeId="0" xr:uid="{00000000-0006-0000-0300-00007D000000}">
      <text>
        <r>
          <rPr>
            <b/>
            <sz val="8"/>
            <color indexed="81"/>
            <rFont val="Tahoma"/>
            <family val="2"/>
          </rPr>
          <t>BDEW:</t>
        </r>
        <r>
          <rPr>
            <sz val="8"/>
            <color indexed="81"/>
            <rFont val="Tahoma"/>
            <family val="2"/>
          </rPr>
          <t xml:space="preserve">
§ 27 (5) EEG 2009</t>
        </r>
      </text>
    </comment>
    <comment ref="S2617" authorId="2" shapeId="0" xr:uid="{00000000-0006-0000-0300-00007E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617" authorId="2" shapeId="0" xr:uid="{00000000-0006-0000-0300-00007F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617" authorId="2" shapeId="0" xr:uid="{00000000-0006-0000-0300-000080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617" authorId="2" shapeId="0" xr:uid="{00000000-0006-0000-0300-000081000000}">
      <text>
        <r>
          <rPr>
            <b/>
            <sz val="8"/>
            <color indexed="81"/>
            <rFont val="Tahoma"/>
            <family val="2"/>
          </rPr>
          <t>BDEW:</t>
        </r>
        <r>
          <rPr>
            <sz val="8"/>
            <color indexed="81"/>
            <rFont val="Tahoma"/>
            <family val="2"/>
          </rPr>
          <t xml:space="preserve">
§ 27 Abs. 4 S.1 Nr.2 EEG 2009 i.V.m. Anl. 2 Pkt. VI Nr. 2a</t>
        </r>
      </text>
    </comment>
    <comment ref="W2617" authorId="2" shapeId="0" xr:uid="{00000000-0006-0000-0300-000082000000}">
      <text>
        <r>
          <rPr>
            <b/>
            <sz val="8"/>
            <color indexed="81"/>
            <rFont val="Tahoma"/>
            <family val="2"/>
          </rPr>
          <t>BDEW:</t>
        </r>
        <r>
          <rPr>
            <sz val="8"/>
            <color indexed="81"/>
            <rFont val="Tahoma"/>
            <family val="2"/>
          </rPr>
          <t xml:space="preserve">
§ 27 Abs. 4 S.1 Nr.2 EEG 2009 i.V.m. Anl. 2 Pkt. VI Nr. 2b (1)</t>
        </r>
      </text>
    </comment>
    <comment ref="X2617" authorId="2" shapeId="0" xr:uid="{00000000-0006-0000-0300-000083000000}">
      <text>
        <r>
          <rPr>
            <b/>
            <sz val="8"/>
            <color indexed="81"/>
            <rFont val="Tahoma"/>
            <family val="2"/>
          </rPr>
          <t>BDEW:</t>
        </r>
        <r>
          <rPr>
            <sz val="8"/>
            <color indexed="81"/>
            <rFont val="Tahoma"/>
            <family val="2"/>
          </rPr>
          <t xml:space="preserve">
§ 27 Abs. 4 S.1 Nr.2 EEG 2009 i.V.m. Anl. 2 Pkt. VI Nr. 2b (2)</t>
        </r>
      </text>
    </comment>
    <comment ref="Y2617" authorId="2" shapeId="0" xr:uid="{00000000-0006-0000-0300-000084000000}">
      <text>
        <r>
          <rPr>
            <b/>
            <sz val="8"/>
            <color indexed="81"/>
            <rFont val="Tahoma"/>
            <family val="2"/>
          </rPr>
          <t>BDEW:</t>
        </r>
        <r>
          <rPr>
            <sz val="8"/>
            <color indexed="81"/>
            <rFont val="Tahoma"/>
            <family val="2"/>
          </rPr>
          <t xml:space="preserve">
§ 27 Abs. 4 S.1 Nr.2 EEG 2009 i.V.m. Anl. 2 Pkt. VI Nr. 2c</t>
        </r>
      </text>
    </comment>
    <comment ref="Z2617" authorId="2" shapeId="0" xr:uid="{00000000-0006-0000-0300-000085000000}">
      <text>
        <r>
          <rPr>
            <b/>
            <sz val="8"/>
            <color indexed="81"/>
            <rFont val="Tahoma"/>
            <family val="2"/>
          </rPr>
          <t>BDEW:</t>
        </r>
        <r>
          <rPr>
            <sz val="8"/>
            <color indexed="81"/>
            <rFont val="Tahoma"/>
            <family val="2"/>
          </rPr>
          <t xml:space="preserve">
§ 27 Abs. 4 S.1 Nr.2 EEG 2009 i.V.m. Anl. 2 Pkt. VI Nr. 2b (1) und Nr. 2c</t>
        </r>
      </text>
    </comment>
    <comment ref="AA2617" authorId="2" shapeId="0" xr:uid="{00000000-0006-0000-0300-000086000000}">
      <text>
        <r>
          <rPr>
            <b/>
            <sz val="8"/>
            <color indexed="81"/>
            <rFont val="Tahoma"/>
            <family val="2"/>
          </rPr>
          <t>BDEW:</t>
        </r>
        <r>
          <rPr>
            <sz val="8"/>
            <color indexed="81"/>
            <rFont val="Tahoma"/>
            <family val="2"/>
          </rPr>
          <t xml:space="preserve">
§ 27 Abs. 4 S.1 Nr.2 EEG 2009 i.V.m. Anl. 2 Pkt. VI Nr. 2b (2) und Nr. 2c</t>
        </r>
      </text>
    </comment>
    <comment ref="AB2617" authorId="2" shapeId="0" xr:uid="{00000000-0006-0000-0300-000087000000}">
      <text>
        <r>
          <rPr>
            <b/>
            <sz val="8"/>
            <color indexed="81"/>
            <rFont val="Tahoma"/>
            <family val="2"/>
          </rPr>
          <t>BDEW:</t>
        </r>
        <r>
          <rPr>
            <sz val="8"/>
            <color indexed="81"/>
            <rFont val="Tahoma"/>
            <family val="2"/>
          </rPr>
          <t xml:space="preserve">
§ 27 Abs. 4 S.1 Nr.1 EEG 2009 i.V.m. Anl. 1 Pkt. I Nr. 2a</t>
        </r>
      </text>
    </comment>
    <comment ref="AC2617" authorId="2" shapeId="0" xr:uid="{00000000-0006-0000-0300-000088000000}">
      <text>
        <r>
          <rPr>
            <b/>
            <sz val="8"/>
            <color indexed="81"/>
            <rFont val="Tahoma"/>
            <family val="2"/>
          </rPr>
          <t>BDEW:</t>
        </r>
        <r>
          <rPr>
            <sz val="8"/>
            <color indexed="81"/>
            <rFont val="Tahoma"/>
            <family val="2"/>
          </rPr>
          <t xml:space="preserve">
§ 27 Abs. 4 S.1 Nr.1 EEG 2009 i.V.m. Anl. 1 Pkt. I Nr. 2b</t>
        </r>
      </text>
    </comment>
    <comment ref="AD2617" authorId="2" shapeId="0" xr:uid="{00000000-0006-0000-0300-000089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2840" authorId="2" shapeId="0" xr:uid="{00000000-0006-0000-0300-00008A000000}">
      <text>
        <r>
          <rPr>
            <b/>
            <sz val="8"/>
            <color indexed="81"/>
            <rFont val="Tahoma"/>
            <family val="2"/>
          </rPr>
          <t>BDEW:</t>
        </r>
        <r>
          <rPr>
            <sz val="8"/>
            <color indexed="81"/>
            <rFont val="Tahoma"/>
            <family val="2"/>
          </rPr>
          <t xml:space="preserve">
§ 27 (5) EEG 2009</t>
        </r>
      </text>
    </comment>
    <comment ref="S2840" authorId="2" shapeId="0" xr:uid="{00000000-0006-0000-0300-00008B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2840" authorId="2" shapeId="0" xr:uid="{00000000-0006-0000-0300-00008C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2840" authorId="2" shapeId="0" xr:uid="{00000000-0006-0000-0300-00008D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2840" authorId="2" shapeId="0" xr:uid="{00000000-0006-0000-0300-00008E000000}">
      <text>
        <r>
          <rPr>
            <b/>
            <sz val="8"/>
            <color indexed="81"/>
            <rFont val="Tahoma"/>
            <family val="2"/>
          </rPr>
          <t>BDEW:</t>
        </r>
        <r>
          <rPr>
            <sz val="8"/>
            <color indexed="81"/>
            <rFont val="Tahoma"/>
            <family val="2"/>
          </rPr>
          <t xml:space="preserve">
§ 27 Abs. 4 S.1 Nr.2 EEG 2009 i.V.m. Anl. 2 Pkt. VI Nr. 2a</t>
        </r>
      </text>
    </comment>
    <comment ref="W2840" authorId="2" shapeId="0" xr:uid="{00000000-0006-0000-0300-00008F000000}">
      <text>
        <r>
          <rPr>
            <b/>
            <sz val="8"/>
            <color indexed="81"/>
            <rFont val="Tahoma"/>
            <family val="2"/>
          </rPr>
          <t>BDEW:</t>
        </r>
        <r>
          <rPr>
            <sz val="8"/>
            <color indexed="81"/>
            <rFont val="Tahoma"/>
            <family val="2"/>
          </rPr>
          <t xml:space="preserve">
§ 27 Abs. 4 S.1 Nr.2 EEG 2009 i.V.m. Anl. 2 Pkt. VI Nr. 2b (1)</t>
        </r>
      </text>
    </comment>
    <comment ref="X2840" authorId="2" shapeId="0" xr:uid="{00000000-0006-0000-0300-000090000000}">
      <text>
        <r>
          <rPr>
            <b/>
            <sz val="8"/>
            <color indexed="81"/>
            <rFont val="Tahoma"/>
            <family val="2"/>
          </rPr>
          <t>BDEW:</t>
        </r>
        <r>
          <rPr>
            <sz val="8"/>
            <color indexed="81"/>
            <rFont val="Tahoma"/>
            <family val="2"/>
          </rPr>
          <t xml:space="preserve">
§ 27 Abs. 4 S.1 Nr.2 EEG 2009 i.V.m. Anl. 2 Pkt. VI Nr. 2b (2)</t>
        </r>
      </text>
    </comment>
    <comment ref="Y2840" authorId="2" shapeId="0" xr:uid="{00000000-0006-0000-0300-000091000000}">
      <text>
        <r>
          <rPr>
            <b/>
            <sz val="8"/>
            <color indexed="81"/>
            <rFont val="Tahoma"/>
            <family val="2"/>
          </rPr>
          <t>BDEW:</t>
        </r>
        <r>
          <rPr>
            <sz val="8"/>
            <color indexed="81"/>
            <rFont val="Tahoma"/>
            <family val="2"/>
          </rPr>
          <t xml:space="preserve">
§ 27 Abs. 4 S.1 Nr.2 EEG 2009 i.V.m. Anl. 2 Pkt. VI Nr. 2c</t>
        </r>
      </text>
    </comment>
    <comment ref="Z2840" authorId="2" shapeId="0" xr:uid="{00000000-0006-0000-0300-000092000000}">
      <text>
        <r>
          <rPr>
            <b/>
            <sz val="8"/>
            <color indexed="81"/>
            <rFont val="Tahoma"/>
            <family val="2"/>
          </rPr>
          <t>BDEW:</t>
        </r>
        <r>
          <rPr>
            <sz val="8"/>
            <color indexed="81"/>
            <rFont val="Tahoma"/>
            <family val="2"/>
          </rPr>
          <t xml:space="preserve">
§ 27 Abs. 4 S.1 Nr.2 EEG 2009 i.V.m. Anl. 2 Pkt. VI Nr. 2b (1) und Nr. 2c</t>
        </r>
      </text>
    </comment>
    <comment ref="AA2840" authorId="2" shapeId="0" xr:uid="{00000000-0006-0000-0300-000093000000}">
      <text>
        <r>
          <rPr>
            <b/>
            <sz val="8"/>
            <color indexed="81"/>
            <rFont val="Tahoma"/>
            <family val="2"/>
          </rPr>
          <t>BDEW:</t>
        </r>
        <r>
          <rPr>
            <sz val="8"/>
            <color indexed="81"/>
            <rFont val="Tahoma"/>
            <family val="2"/>
          </rPr>
          <t xml:space="preserve">
§ 27 Abs. 4 S.1 Nr.2 EEG 2009 i.V.m. Anl. 2 Pkt. VI Nr. 2b (2) und Nr. 2c</t>
        </r>
      </text>
    </comment>
    <comment ref="AB2840" authorId="2" shapeId="0" xr:uid="{00000000-0006-0000-0300-000094000000}">
      <text>
        <r>
          <rPr>
            <b/>
            <sz val="8"/>
            <color indexed="81"/>
            <rFont val="Tahoma"/>
            <family val="2"/>
          </rPr>
          <t>BDEW:</t>
        </r>
        <r>
          <rPr>
            <sz val="8"/>
            <color indexed="81"/>
            <rFont val="Tahoma"/>
            <family val="2"/>
          </rPr>
          <t xml:space="preserve">
§ 27 Abs. 4 S.1 Nr.1 EEG 2009 i.V.m. Anl. 1 Pkt. I Nr. 2a</t>
        </r>
      </text>
    </comment>
    <comment ref="AC2840" authorId="2" shapeId="0" xr:uid="{00000000-0006-0000-0300-000095000000}">
      <text>
        <r>
          <rPr>
            <b/>
            <sz val="8"/>
            <color indexed="81"/>
            <rFont val="Tahoma"/>
            <family val="2"/>
          </rPr>
          <t>BDEW:</t>
        </r>
        <r>
          <rPr>
            <sz val="8"/>
            <color indexed="81"/>
            <rFont val="Tahoma"/>
            <family val="2"/>
          </rPr>
          <t xml:space="preserve">
§ 27 Abs. 4 S.1 Nr.1 EEG 2009 i.V.m. Anl. 1 Pkt. I Nr. 2b</t>
        </r>
      </text>
    </comment>
    <comment ref="AD2840" authorId="2" shapeId="0" xr:uid="{00000000-0006-0000-0300-000096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065" authorId="2" shapeId="0" xr:uid="{00000000-0006-0000-0300-000097000000}">
      <text>
        <r>
          <rPr>
            <b/>
            <sz val="8"/>
            <color indexed="81"/>
            <rFont val="Tahoma"/>
            <family val="2"/>
          </rPr>
          <t>BDEW:</t>
        </r>
        <r>
          <rPr>
            <sz val="8"/>
            <color indexed="81"/>
            <rFont val="Tahoma"/>
            <family val="2"/>
          </rPr>
          <t xml:space="preserve">
§ 27 (5) EEG 2009</t>
        </r>
      </text>
    </comment>
    <comment ref="S3065" authorId="2" shapeId="0" xr:uid="{00000000-0006-0000-0300-000098000000}">
      <text>
        <r>
          <rPr>
            <b/>
            <sz val="8"/>
            <color indexed="81"/>
            <rFont val="Tahoma"/>
            <family val="2"/>
          </rPr>
          <t>BDEW:</t>
        </r>
        <r>
          <rPr>
            <sz val="8"/>
            <color indexed="81"/>
            <rFont val="Tahoma"/>
            <family val="2"/>
          </rPr>
          <t xml:space="preserve">
§ 27 Abs. 4 S.1 Nr.2 EEG 2009 i.V.m. Anl. 2 Pkt. VI Nr. 1a (1)
entspricht § 8 Abs. 2 Satz 1 EEG 2004</t>
        </r>
      </text>
    </comment>
    <comment ref="T3065" authorId="2" shapeId="0" xr:uid="{00000000-0006-0000-0300-000099000000}">
      <text>
        <r>
          <rPr>
            <b/>
            <sz val="8"/>
            <color indexed="81"/>
            <rFont val="Tahoma"/>
            <family val="2"/>
          </rPr>
          <t>BDEW:</t>
        </r>
        <r>
          <rPr>
            <sz val="8"/>
            <color indexed="81"/>
            <rFont val="Tahoma"/>
            <family val="2"/>
          </rPr>
          <t xml:space="preserve">
§ 27 Abs. 4 S.1 Nr.2 EEG 2009 i.V.m. Anl. 2 Pkt. VI Nr. 1a (2)
entspricht § 8 Abs. 2 Satz 1 EEG 2004</t>
        </r>
      </text>
    </comment>
    <comment ref="U3065" authorId="2" shapeId="0" xr:uid="{00000000-0006-0000-0300-00009A000000}">
      <text>
        <r>
          <rPr>
            <b/>
            <sz val="8"/>
            <color indexed="81"/>
            <rFont val="Tahoma"/>
            <family val="2"/>
          </rPr>
          <t>BDEW:</t>
        </r>
        <r>
          <rPr>
            <sz val="8"/>
            <color indexed="81"/>
            <rFont val="Tahoma"/>
            <family val="2"/>
          </rPr>
          <t xml:space="preserve">
§ 27 Abs. 4 S.1 Nr.2 EEG 2009 i.V.m. Anl. 2 Pkt. VI Nr. 1b
entspricht § 8 Abs. 2 Satz 2 EEG 2004 (Bonusregel a3)</t>
        </r>
      </text>
    </comment>
    <comment ref="V3065" authorId="2" shapeId="0" xr:uid="{00000000-0006-0000-0300-00009B000000}">
      <text>
        <r>
          <rPr>
            <b/>
            <sz val="8"/>
            <color indexed="81"/>
            <rFont val="Tahoma"/>
            <family val="2"/>
          </rPr>
          <t>BDEW:</t>
        </r>
        <r>
          <rPr>
            <sz val="8"/>
            <color indexed="81"/>
            <rFont val="Tahoma"/>
            <family val="2"/>
          </rPr>
          <t xml:space="preserve">
§ 27 Abs. 4 S.1 Nr.2 EEG 2009 i.V.m. Anl. 2 Pkt. VI Nr. 2a</t>
        </r>
      </text>
    </comment>
    <comment ref="W3065" authorId="2" shapeId="0" xr:uid="{00000000-0006-0000-0300-00009C000000}">
      <text>
        <r>
          <rPr>
            <b/>
            <sz val="8"/>
            <color indexed="81"/>
            <rFont val="Tahoma"/>
            <family val="2"/>
          </rPr>
          <t>BDEW:</t>
        </r>
        <r>
          <rPr>
            <sz val="8"/>
            <color indexed="81"/>
            <rFont val="Tahoma"/>
            <family val="2"/>
          </rPr>
          <t xml:space="preserve">
§ 27 Abs. 4 S.1 Nr.2 EEG 2009 i.V.m. Anl. 2 Pkt. VI Nr. 2b (1)</t>
        </r>
      </text>
    </comment>
    <comment ref="X3065" authorId="2" shapeId="0" xr:uid="{00000000-0006-0000-0300-00009D000000}">
      <text>
        <r>
          <rPr>
            <b/>
            <sz val="8"/>
            <color indexed="81"/>
            <rFont val="Tahoma"/>
            <family val="2"/>
          </rPr>
          <t>BDEW:</t>
        </r>
        <r>
          <rPr>
            <sz val="8"/>
            <color indexed="81"/>
            <rFont val="Tahoma"/>
            <family val="2"/>
          </rPr>
          <t xml:space="preserve">
§ 27 Abs. 4 S.1 Nr.2 EEG 2009 i.V.m. Anl. 2 Pkt. VI Nr. 2b (2)</t>
        </r>
      </text>
    </comment>
    <comment ref="Y3065" authorId="2" shapeId="0" xr:uid="{00000000-0006-0000-0300-00009E000000}">
      <text>
        <r>
          <rPr>
            <b/>
            <sz val="8"/>
            <color indexed="81"/>
            <rFont val="Tahoma"/>
            <family val="2"/>
          </rPr>
          <t>BDEW:</t>
        </r>
        <r>
          <rPr>
            <sz val="8"/>
            <color indexed="81"/>
            <rFont val="Tahoma"/>
            <family val="2"/>
          </rPr>
          <t xml:space="preserve">
§ 27 Abs. 4 S.1 Nr.2 EEG 2009 i.V.m. Anl. 2 Pkt. VI Nr. 2c</t>
        </r>
      </text>
    </comment>
    <comment ref="Z3065" authorId="2" shapeId="0" xr:uid="{00000000-0006-0000-0300-00009F000000}">
      <text>
        <r>
          <rPr>
            <b/>
            <sz val="8"/>
            <color indexed="81"/>
            <rFont val="Tahoma"/>
            <family val="2"/>
          </rPr>
          <t>BDEW:</t>
        </r>
        <r>
          <rPr>
            <sz val="8"/>
            <color indexed="81"/>
            <rFont val="Tahoma"/>
            <family val="2"/>
          </rPr>
          <t xml:space="preserve">
§ 27 Abs. 4 S.1 Nr.2 EEG 2009 i.V.m. Anl. 2 Pkt. VI Nr. 2b (1) und Nr. 2c</t>
        </r>
      </text>
    </comment>
    <comment ref="AA3065" authorId="2" shapeId="0" xr:uid="{00000000-0006-0000-0300-0000A0000000}">
      <text>
        <r>
          <rPr>
            <b/>
            <sz val="8"/>
            <color indexed="81"/>
            <rFont val="Tahoma"/>
            <family val="2"/>
          </rPr>
          <t>BDEW:</t>
        </r>
        <r>
          <rPr>
            <sz val="8"/>
            <color indexed="81"/>
            <rFont val="Tahoma"/>
            <family val="2"/>
          </rPr>
          <t xml:space="preserve">
§ 27 Abs. 4 S.1 Nr.2 EEG 2009 i.V.m. Anl. 2 Pkt. VI Nr. 2b (2) und Nr. 2c</t>
        </r>
      </text>
    </comment>
    <comment ref="AB3065" authorId="2" shapeId="0" xr:uid="{00000000-0006-0000-0300-0000A1000000}">
      <text>
        <r>
          <rPr>
            <b/>
            <sz val="8"/>
            <color indexed="81"/>
            <rFont val="Tahoma"/>
            <family val="2"/>
          </rPr>
          <t>BDEW:</t>
        </r>
        <r>
          <rPr>
            <sz val="8"/>
            <color indexed="81"/>
            <rFont val="Tahoma"/>
            <family val="2"/>
          </rPr>
          <t xml:space="preserve">
§ 27 Abs. 4 S.1 Nr.1 EEG 2009 i.V.m. Anl. 1 Pkt. I Nr. 2a</t>
        </r>
      </text>
    </comment>
    <comment ref="AC3065" authorId="2" shapeId="0" xr:uid="{00000000-0006-0000-0300-0000A2000000}">
      <text>
        <r>
          <rPr>
            <b/>
            <sz val="8"/>
            <color indexed="81"/>
            <rFont val="Tahoma"/>
            <family val="2"/>
          </rPr>
          <t>BDEW:</t>
        </r>
        <r>
          <rPr>
            <sz val="8"/>
            <color indexed="81"/>
            <rFont val="Tahoma"/>
            <family val="2"/>
          </rPr>
          <t xml:space="preserve">
§ 27 Abs. 4 S.1 Nr.1 EEG 2009 i.V.m. Anl. 1 Pkt. I Nr. 2b</t>
        </r>
      </text>
    </comment>
    <comment ref="AD3065" authorId="2" shapeId="0" xr:uid="{00000000-0006-0000-0300-0000A3000000}">
      <text>
        <r>
          <rPr>
            <b/>
            <sz val="8"/>
            <color indexed="81"/>
            <rFont val="Tahoma"/>
            <family val="2"/>
          </rPr>
          <t>BDEW:</t>
        </r>
        <r>
          <rPr>
            <sz val="8"/>
            <color indexed="81"/>
            <rFont val="Tahoma"/>
            <family val="2"/>
          </rPr>
          <t xml:space="preserve">
§ 27 Abs. 4 S.1 Nr.1 EEG 2009 i.V.m. Anl. 1 Pkt. II Nr. 2;
Nachfolgeregelung zu § 8 Abs. 4 EEG 2004 (Bonusregel b)</t>
        </r>
      </text>
    </comment>
    <comment ref="R3100" authorId="1" shapeId="0" xr:uid="{00000000-0006-0000-0300-0000A4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179" authorId="1" shapeId="0" xr:uid="{00000000-0006-0000-0300-0000A5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R3258" authorId="1" shapeId="0" xr:uid="{00000000-0006-0000-0300-0000A6000000}">
      <text>
        <r>
          <rPr>
            <b/>
            <sz val="9"/>
            <color indexed="81"/>
            <rFont val="Tahoma"/>
            <family val="2"/>
          </rPr>
          <t>Rinde und Waldrestholz:</t>
        </r>
        <r>
          <rPr>
            <sz val="9"/>
            <color indexed="81"/>
            <rFont val="Tahoma"/>
            <family val="2"/>
          </rPr>
          <t xml:space="preserve">
Für Rinde und Waldrestholz beträgt der Bonus abweichend zu § 27 Abs. 2 Nr. 1 Buchstaben b und c die Vergütung von 750 bis 5000 kW Bemessungsleistung nur 2,50 ct/kWh.</t>
        </r>
      </text>
    </comment>
    <comment ref="O3650" authorId="2" shapeId="0" xr:uid="{00000000-0006-0000-0300-0000A7000000}">
      <text>
        <r>
          <rPr>
            <b/>
            <sz val="8"/>
            <color indexed="81"/>
            <rFont val="Tahoma"/>
            <family val="2"/>
          </rPr>
          <t>BDEW:</t>
        </r>
        <r>
          <rPr>
            <sz val="8"/>
            <color indexed="81"/>
            <rFont val="Tahoma"/>
            <family val="2"/>
          </rPr>
          <t xml:space="preserve">
§ 24 Abs. 3 EEG 2009 i.V.m. Anl. 1 Pkt. I Nr. 2a</t>
        </r>
      </text>
    </comment>
    <comment ref="P3650" authorId="2" shapeId="0" xr:uid="{00000000-0006-0000-0300-0000A8000000}">
      <text>
        <r>
          <rPr>
            <b/>
            <sz val="8"/>
            <color indexed="81"/>
            <rFont val="Tahoma"/>
            <family val="2"/>
          </rPr>
          <t>BDEW:</t>
        </r>
        <r>
          <rPr>
            <sz val="8"/>
            <color indexed="81"/>
            <rFont val="Tahoma"/>
            <family val="2"/>
          </rPr>
          <t xml:space="preserve">
§ 24 Abs. 3 EEG 2009 i.V.m. Anl. 1 Pkt. I Nr. 2b</t>
        </r>
      </text>
    </comment>
    <comment ref="Q3650" authorId="2" shapeId="0" xr:uid="{00000000-0006-0000-0300-0000A9000000}">
      <text>
        <r>
          <rPr>
            <b/>
            <sz val="8"/>
            <color indexed="81"/>
            <rFont val="Tahoma"/>
            <family val="2"/>
          </rPr>
          <t>BDEW:</t>
        </r>
        <r>
          <rPr>
            <sz val="8"/>
            <color indexed="81"/>
            <rFont val="Tahoma"/>
            <family val="2"/>
          </rPr>
          <t xml:space="preserve">
§ 24 Abs. 3 EEG 2009 i.V.m. Anl. 1 Pkt. II Nr. 2</t>
        </r>
      </text>
    </comment>
    <comment ref="O3749" authorId="2" shapeId="0" xr:uid="{00000000-0006-0000-0300-0000AA000000}">
      <text>
        <r>
          <rPr>
            <b/>
            <sz val="8"/>
            <color indexed="81"/>
            <rFont val="Tahoma"/>
            <family val="2"/>
          </rPr>
          <t>BDEW:</t>
        </r>
        <r>
          <rPr>
            <sz val="8"/>
            <color indexed="81"/>
            <rFont val="Tahoma"/>
            <family val="2"/>
          </rPr>
          <t xml:space="preserve">
§ 25 Abs. 3 EEG 2009 i.V.m. Anl. 1 Pkt. I Nr. 2a</t>
        </r>
      </text>
    </comment>
    <comment ref="P3749" authorId="2" shapeId="0" xr:uid="{00000000-0006-0000-0300-0000AB000000}">
      <text>
        <r>
          <rPr>
            <b/>
            <sz val="8"/>
            <color indexed="81"/>
            <rFont val="Tahoma"/>
            <family val="2"/>
          </rPr>
          <t>BDEW:</t>
        </r>
        <r>
          <rPr>
            <sz val="8"/>
            <color indexed="81"/>
            <rFont val="Tahoma"/>
            <family val="2"/>
          </rPr>
          <t xml:space="preserve">
§ 25 Abs. 3 EEG 2009 i.V.m. Anl. 1 Pkt. I Nr. 2b</t>
        </r>
      </text>
    </comment>
    <comment ref="Q3749" authorId="2" shapeId="0" xr:uid="{00000000-0006-0000-0300-0000AC000000}">
      <text>
        <r>
          <rPr>
            <b/>
            <sz val="8"/>
            <color indexed="81"/>
            <rFont val="Tahoma"/>
            <family val="2"/>
          </rPr>
          <t>BDEW:</t>
        </r>
        <r>
          <rPr>
            <sz val="8"/>
            <color indexed="81"/>
            <rFont val="Tahoma"/>
            <family val="2"/>
          </rPr>
          <t xml:space="preserve">
§ 25 Abs. 3 EEG 2009 i.V.m. Anl. 1 Pkt. II Nr. 2</t>
        </r>
      </text>
    </comment>
    <comment ref="O3848" authorId="2" shapeId="0" xr:uid="{00000000-0006-0000-0300-0000AD000000}">
      <text>
        <r>
          <rPr>
            <b/>
            <sz val="8"/>
            <color indexed="81"/>
            <rFont val="Tahoma"/>
            <family val="2"/>
          </rPr>
          <t>BDEW:</t>
        </r>
        <r>
          <rPr>
            <sz val="8"/>
            <color indexed="81"/>
            <rFont val="Tahoma"/>
            <family val="2"/>
          </rPr>
          <t xml:space="preserve">
§ 26 Abs. 3 EEG 2009 i.V.m. Anl. 1 Pkt. I Nr. 2a</t>
        </r>
      </text>
    </comment>
    <comment ref="P3848" authorId="2" shapeId="0" xr:uid="{00000000-0006-0000-0300-0000AE000000}">
      <text>
        <r>
          <rPr>
            <b/>
            <sz val="8"/>
            <color indexed="81"/>
            <rFont val="Tahoma"/>
            <family val="2"/>
          </rPr>
          <t>BDEW:</t>
        </r>
        <r>
          <rPr>
            <sz val="8"/>
            <color indexed="81"/>
            <rFont val="Tahoma"/>
            <family val="2"/>
          </rPr>
          <t xml:space="preserve">
§ 26 Abs. 3 EEG 2009 i.V.m. Anl. 1 Pkt. I Nr. 2b</t>
        </r>
      </text>
    </comment>
    <comment ref="Q3848" authorId="2" shapeId="0" xr:uid="{00000000-0006-0000-0300-0000AF000000}">
      <text>
        <r>
          <rPr>
            <b/>
            <sz val="8"/>
            <color indexed="81"/>
            <rFont val="Tahoma"/>
            <family val="2"/>
          </rPr>
          <t>BDEW:</t>
        </r>
        <r>
          <rPr>
            <sz val="8"/>
            <color indexed="81"/>
            <rFont val="Tahoma"/>
            <family val="2"/>
          </rPr>
          <t xml:space="preserve">
§ 26 Abs. 3 EEG 2009 i.V.m. Anl. 1 Pkt. II Nr. 2</t>
        </r>
      </text>
    </comment>
    <comment ref="P3933" authorId="2" shapeId="0" xr:uid="{00000000-0006-0000-0300-0000B0000000}">
      <text>
        <r>
          <rPr>
            <b/>
            <sz val="8"/>
            <color indexed="81"/>
            <rFont val="Tahoma"/>
            <family val="2"/>
          </rPr>
          <t>BDEW:</t>
        </r>
        <r>
          <rPr>
            <sz val="8"/>
            <color indexed="81"/>
            <rFont val="Tahoma"/>
            <family val="2"/>
          </rPr>
          <t xml:space="preserve">
§ 28 Abs. 2 EEG 2009</t>
        </r>
      </text>
    </comment>
    <comment ref="Q3933" authorId="2" shapeId="0" xr:uid="{00000000-0006-0000-0300-0000B1000000}">
      <text>
        <r>
          <rPr>
            <b/>
            <sz val="8"/>
            <color indexed="81"/>
            <rFont val="Tahoma"/>
            <family val="2"/>
          </rPr>
          <t>BDEW:</t>
        </r>
        <r>
          <rPr>
            <sz val="8"/>
            <color indexed="81"/>
            <rFont val="Tahoma"/>
            <family val="2"/>
          </rPr>
          <t xml:space="preserve">
§ 28 Abs. 3 EEG 2009</t>
        </r>
      </text>
    </comment>
    <comment ref="P3996" authorId="2" shapeId="0" xr:uid="{00000000-0006-0000-0300-0000B2000000}">
      <text>
        <r>
          <rPr>
            <b/>
            <sz val="8"/>
            <color indexed="81"/>
            <rFont val="Tahoma"/>
            <family val="2"/>
          </rPr>
          <t>BDEW:</t>
        </r>
        <r>
          <rPr>
            <sz val="8"/>
            <color indexed="81"/>
            <rFont val="Tahoma"/>
            <family val="2"/>
          </rPr>
          <t xml:space="preserve">
§ 28 Abs. 2 EEG 2009</t>
        </r>
      </text>
    </comment>
    <comment ref="Q3996" authorId="2" shapeId="0" xr:uid="{00000000-0006-0000-0300-0000B3000000}">
      <text>
        <r>
          <rPr>
            <b/>
            <sz val="8"/>
            <color indexed="81"/>
            <rFont val="Tahoma"/>
            <family val="2"/>
          </rPr>
          <t>BDEW:</t>
        </r>
        <r>
          <rPr>
            <sz val="8"/>
            <color indexed="81"/>
            <rFont val="Tahoma"/>
            <family val="2"/>
          </rPr>
          <t xml:space="preserve">
§ 28 Abs. 3 EEG 2009</t>
        </r>
      </text>
    </comment>
    <comment ref="O4019" authorId="2" shapeId="0" xr:uid="{00000000-0006-0000-0300-0000B4000000}">
      <text>
        <r>
          <rPr>
            <b/>
            <sz val="8"/>
            <color indexed="81"/>
            <rFont val="Tahoma"/>
            <family val="2"/>
          </rPr>
          <t>BDEW:</t>
        </r>
        <r>
          <rPr>
            <sz val="8"/>
            <color indexed="81"/>
            <rFont val="Tahoma"/>
            <family val="2"/>
          </rPr>
          <t xml:space="preserve">
§ 28 Abs. 2 EEG 2012</t>
        </r>
      </text>
    </comment>
    <comment ref="O4088" authorId="2" shapeId="0" xr:uid="{00000000-0006-0000-0300-0000B5000000}">
      <text>
        <r>
          <rPr>
            <b/>
            <sz val="8"/>
            <color indexed="81"/>
            <rFont val="Tahoma"/>
            <family val="2"/>
          </rPr>
          <t>BDEW:</t>
        </r>
        <r>
          <rPr>
            <sz val="8"/>
            <color indexed="81"/>
            <rFont val="Tahoma"/>
            <family val="2"/>
          </rPr>
          <t xml:space="preserve">
§ 29 Abs. 2 S.4 EEG 2009</t>
        </r>
      </text>
    </comment>
    <comment ref="P4088" authorId="2" shapeId="0" xr:uid="{00000000-0006-0000-0300-0000B6000000}">
      <text>
        <r>
          <rPr>
            <b/>
            <sz val="8"/>
            <color indexed="81"/>
            <rFont val="Tahoma"/>
            <family val="2"/>
          </rPr>
          <t>BDEW:</t>
        </r>
        <r>
          <rPr>
            <sz val="8"/>
            <color indexed="81"/>
            <rFont val="Tahoma"/>
            <family val="2"/>
          </rPr>
          <t xml:space="preserve">
§ 30 EEG 2009</t>
        </r>
      </text>
    </comment>
    <comment ref="O4105" authorId="2" shapeId="0" xr:uid="{00000000-0006-0000-0300-0000B7000000}">
      <text>
        <r>
          <rPr>
            <b/>
            <sz val="8"/>
            <color indexed="81"/>
            <rFont val="Tahoma"/>
            <family val="2"/>
          </rPr>
          <t>BDEW:</t>
        </r>
        <r>
          <rPr>
            <sz val="8"/>
            <color indexed="81"/>
            <rFont val="Tahoma"/>
            <family val="2"/>
          </rPr>
          <t xml:space="preserve">
§ 29 Abs. 2 S.4 EEG 2009</t>
        </r>
      </text>
    </comment>
    <comment ref="P4105" authorId="2" shapeId="0" xr:uid="{00000000-0006-0000-0300-0000B8000000}">
      <text>
        <r>
          <rPr>
            <b/>
            <sz val="8"/>
            <color indexed="81"/>
            <rFont val="Tahoma"/>
            <family val="2"/>
          </rPr>
          <t>BDEW:</t>
        </r>
        <r>
          <rPr>
            <sz val="8"/>
            <color indexed="81"/>
            <rFont val="Tahoma"/>
            <family val="2"/>
          </rPr>
          <t xml:space="preserve">
§ 30 EEG 2009</t>
        </r>
      </text>
    </comment>
    <comment ref="F4191" authorId="3" shapeId="0" xr:uid="{00000000-0006-0000-0300-0000B9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1" authorId="3" shapeId="0" xr:uid="{00000000-0006-0000-0300-0000BA000000}">
      <text>
        <r>
          <rPr>
            <sz val="9"/>
            <color indexed="81"/>
            <rFont val="Segoe UI"/>
            <family val="2"/>
          </rPr>
          <t>Der hier angegebene anzulegende Wert gilt für den Referenzstandort bei einer Inbetriebnahme der Anlage im Jahr 2019.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191" authorId="3" shapeId="0" xr:uid="{00000000-0006-0000-0300-0000BB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3" authorId="3" shapeId="0" xr:uid="{00000000-0006-0000-0300-0000BC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3" authorId="3" shapeId="0" xr:uid="{00000000-0006-0000-0300-0000BD000000}">
      <text>
        <r>
          <rPr>
            <sz val="9"/>
            <color indexed="81"/>
            <rFont val="Segoe UI"/>
            <family val="2"/>
          </rPr>
          <t>Der hier angegebene anzulegende Wert gilt für den Referenzstandort bei einer Inbetriebnahme der Anlage im Jahr 2020. Er wurde von der BNetzA gemäß § 46b Abs. 2 EEG ermittelt und veröffentlicht.
Der anlagenindividuelle anzulegende Wert wird nach § 36h Abs. 1 EEG anhand des Gütefaktors der individuellen Anlage ermittelt und gemäß § 36h Abs. 2 bis 4 EEG zu bestimmten Stichtagen anhand des tatsächlichen Standortertrags anzupassen.</t>
        </r>
      </text>
    </comment>
    <comment ref="H4193" authorId="3" shapeId="0" xr:uid="{00000000-0006-0000-0300-0000BE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5" authorId="3" shapeId="0" xr:uid="{00000000-0006-0000-0300-0000BF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5" authorId="3" shapeId="0" xr:uid="{00000000-0006-0000-0300-0000C0000000}">
      <text>
        <r>
          <rPr>
            <sz val="9"/>
            <color indexed="81"/>
            <rFont val="Segoe UI"/>
            <family val="2"/>
          </rPr>
          <t>Der hier angegebene anzulegende Wert gilt für den Referenzstandort bei einer Inbetriebnahme der Anlage im Jahr 2021.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195" authorId="3" shapeId="0" xr:uid="{00000000-0006-0000-0300-0000C1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7" authorId="3" shapeId="0" xr:uid="{00000000-0006-0000-0300-0000C2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7" authorId="3" shapeId="0" xr:uid="{00000000-0006-0000-0300-0000C3000000}">
      <text>
        <r>
          <rPr>
            <sz val="9"/>
            <color indexed="81"/>
            <rFont val="Segoe UI"/>
            <family val="2"/>
          </rPr>
          <t>Der hier angegebene anzulegende Wert gilt für den Referenzstandort bei einer Inbetriebnahme der Anlage im Jahr 2022. Er wurde von der BNetzA gemäß § 46 Abs. 2 EEG 2021 ermittelt und veröffentlicht.
Der anlagenindividuelle anzulegende Wert wird nach § 36h Abs. 1 EEG  anhand des Gütefaktors der individuellen Anlage ermittelt und gemäß § 36h Abs. 2 bis 4 EEG 2021 zu bestimmten Stichtagen anhand des tatsächlichen Standortertrags anzupassen.</t>
        </r>
      </text>
    </comment>
    <comment ref="H4197" authorId="3" shapeId="0" xr:uid="{00000000-0006-0000-0300-0000C4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199" authorId="3" shapeId="0" xr:uid="{00000000-0006-0000-0300-0000C5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199" authorId="3" shapeId="0" xr:uid="{00000000-0006-0000-0300-0000C6000000}">
      <text>
        <r>
          <rPr>
            <sz val="9"/>
            <color indexed="81"/>
            <rFont val="Segoe UI"/>
            <family val="2"/>
          </rPr>
          <t>Der hier angegebene anzulegende Wert gilt für den Referenzstandort bei einer Inbetriebnahme der Anlage im Jahr 2023. Er wurde von der BNetzA gemäß § 46 Abs. 2 EEG 2021 ermittelt und veröffentlicht.
Der anlagenindividuelle anzulegende Wert wird nach § 36h Abs. 1 EEG  anhand des Gütefaktors der individuellen Anlage ermittelt und gemäß § 36h Abs. 2 bis 4 EEG 2023 zu bestimmten Stichtagen anhand des tatsächlichen Standortertrags anzupassen.</t>
        </r>
      </text>
    </comment>
    <comment ref="H4199" authorId="3" shapeId="0" xr:uid="{00000000-0006-0000-0300-0000C7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F4201" authorId="3" shapeId="0" xr:uid="{00000000-0006-0000-0300-0000C8000000}">
      <text>
        <r>
          <rPr>
            <sz val="9"/>
            <color indexed="81"/>
            <rFont val="Segoe UI"/>
            <family val="2"/>
          </rPr>
          <t xml:space="preserve">Die anlagenindividuelle Einspeisevergütung berechnet sich aus dem nach § 36h Abs. 1 EEG anlagenindividuell ermittelten anzulegenden Wert unter Berücksichtigung von § 53 EEG.
</t>
        </r>
      </text>
    </comment>
    <comment ref="G4201" authorId="3" shapeId="0" xr:uid="{00000000-0006-0000-0300-0000C9000000}">
      <text>
        <r>
          <rPr>
            <sz val="9"/>
            <color indexed="81"/>
            <rFont val="Segoe UI"/>
            <family val="2"/>
          </rPr>
          <t>Der hier angegebene anzulegende Wert gilt für den Referenzstandort bei einer Inbetriebnahme der Anlage im Jahr 2024. Er wurde von der BNetzA gemäß § 46 Abs. 2 EEG 2021 ermittelt und veröffentlicht.
Der anlagenindividuelle anzulegende Wert wird nach § 36h Abs. 1 EEG  anhand des Gütefaktors der individuellen Anlage ermittelt und gemäß § 36h Abs. 2 bis 4 EEG 2023 zu bestimmten Stichtagen anhand des tatsächlichen Standortertrags anzupassen.</t>
        </r>
      </text>
    </comment>
    <comment ref="H4201" authorId="3" shapeId="0" xr:uid="{00000000-0006-0000-0300-0000CA000000}">
      <text>
        <r>
          <rPr>
            <sz val="9"/>
            <color indexed="81"/>
            <rFont val="Segoe UI"/>
            <family val="2"/>
          </rPr>
          <t xml:space="preserve">Die anlagenindividuelle Ausfallvergütung berechnet sich aus dem nach § 36h Abs. 1 EEG anlagenindividuell ermittelten anzulegenden Wert unter Berücksichtigung von § 53 EEG.
</t>
        </r>
      </text>
    </comment>
    <comment ref="O4205" authorId="2" shapeId="0" xr:uid="{00000000-0006-0000-0300-0000CB000000}">
      <text>
        <r>
          <rPr>
            <b/>
            <sz val="8"/>
            <color indexed="81"/>
            <rFont val="Tahoma"/>
            <family val="2"/>
          </rPr>
          <t>BDEW:</t>
        </r>
        <r>
          <rPr>
            <sz val="8"/>
            <color indexed="81"/>
            <rFont val="Tahoma"/>
            <family val="2"/>
          </rPr>
          <t xml:space="preserve">
§ 29 Abs. 2 S.4 EEG 2009</t>
        </r>
      </text>
    </comment>
    <comment ref="P4205" authorId="2" shapeId="0" xr:uid="{00000000-0006-0000-0300-0000CC000000}">
      <text>
        <r>
          <rPr>
            <b/>
            <sz val="8"/>
            <color indexed="81"/>
            <rFont val="Tahoma"/>
            <family val="2"/>
          </rPr>
          <t>BDEW:</t>
        </r>
        <r>
          <rPr>
            <sz val="8"/>
            <color indexed="81"/>
            <rFont val="Tahoma"/>
            <family val="2"/>
          </rPr>
          <t xml:space="preserve">
§ 30 EEG 2009</t>
        </r>
      </text>
    </comment>
    <comment ref="O4222" authorId="2" shapeId="0" xr:uid="{00000000-0006-0000-0300-0000CD000000}">
      <text>
        <r>
          <rPr>
            <b/>
            <sz val="8"/>
            <color indexed="81"/>
            <rFont val="Tahoma"/>
            <family val="2"/>
          </rPr>
          <t>BDEW:</t>
        </r>
        <r>
          <rPr>
            <sz val="8"/>
            <color indexed="81"/>
            <rFont val="Tahoma"/>
            <family val="2"/>
          </rPr>
          <t xml:space="preserve">
§ 29 Abs. 2 S.4 EEG 2009</t>
        </r>
      </text>
    </comment>
    <comment ref="P4222" authorId="2" shapeId="0" xr:uid="{00000000-0006-0000-0300-0000CE000000}">
      <text>
        <r>
          <rPr>
            <b/>
            <sz val="8"/>
            <color indexed="81"/>
            <rFont val="Tahoma"/>
            <family val="2"/>
          </rPr>
          <t>BDEW:</t>
        </r>
        <r>
          <rPr>
            <sz val="8"/>
            <color indexed="81"/>
            <rFont val="Tahoma"/>
            <family val="2"/>
          </rPr>
          <t xml:space="preserve">
§ 30 EEG 2009</t>
        </r>
      </text>
    </comment>
    <comment ref="O4486" authorId="4" shapeId="0" xr:uid="{00000000-0006-0000-0300-0000CF000000}">
      <text>
        <r>
          <rPr>
            <sz val="9"/>
            <color indexed="81"/>
            <rFont val="Segoe UI"/>
            <family val="2"/>
          </rPr>
          <t xml:space="preserve">
</t>
        </r>
      </text>
    </comment>
    <comment ref="E4522" authorId="5" shapeId="0" xr:uid="{00000000-0006-0000-0300-0000D0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22" authorId="1" shapeId="0" xr:uid="{00000000-0006-0000-0300-0000D1000000}">
      <text>
        <r>
          <rPr>
            <b/>
            <sz val="9"/>
            <color indexed="81"/>
            <rFont val="Tahoma"/>
            <family val="2"/>
          </rPr>
          <t>Es ist bislang nicht juristisch analysiert, wie hoch die Selbstverbrauchsvergütung einer PV-Anlage in der Ausfallvermarktung ist.</t>
        </r>
      </text>
    </comment>
    <comment ref="E4523" authorId="5" shapeId="0" xr:uid="{00000000-0006-0000-0300-0000D200000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523" authorId="1" shapeId="0" xr:uid="{00000000-0006-0000-0300-0000D3000000}">
      <text>
        <r>
          <rPr>
            <b/>
            <sz val="9"/>
            <color indexed="81"/>
            <rFont val="Tahoma"/>
            <family val="2"/>
          </rPr>
          <t>Es ist bislang nicht juristisch analysiert, wie hoch die Selbstverbrauchsvergütung einer PV-Anlage in der Ausfallvermarktung ist.</t>
        </r>
      </text>
    </comment>
    <comment ref="E4529" authorId="5" shapeId="0" xr:uid="{00000000-0006-0000-0300-0000D4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29" authorId="1" shapeId="0" xr:uid="{00000000-0006-0000-0300-0000D5000000}">
      <text>
        <r>
          <rPr>
            <b/>
            <sz val="9"/>
            <color indexed="81"/>
            <rFont val="Tahoma"/>
            <family val="2"/>
          </rPr>
          <t>Es ist bislang nicht juristisch analysiert, wie hoch die Selbstverbrauchsvergütung einer PV-Anlage in der Ausfallvermarktung ist.</t>
        </r>
      </text>
    </comment>
    <comment ref="E4530" authorId="5" shapeId="0" xr:uid="{00000000-0006-0000-0300-0000D6000000}">
      <text>
        <r>
          <rPr>
            <b/>
            <sz val="8"/>
            <color indexed="81"/>
            <rFont val="Tahoma"/>
            <family val="2"/>
          </rPr>
          <t xml:space="preserve">Hinweis:
</t>
        </r>
        <r>
          <rPr>
            <sz val="8"/>
            <color indexed="81"/>
            <rFont val="Tahoma"/>
            <family val="2"/>
          </rPr>
          <t xml:space="preserve">Die nach § 33 Abs. 2 EEG 2009 selbst verbrauchte Strommenge ist in dieser Kategorie mit </t>
        </r>
        <r>
          <rPr>
            <b/>
            <sz val="8"/>
            <color indexed="81"/>
            <rFont val="Tahoma"/>
            <family val="2"/>
          </rPr>
          <t xml:space="preserve">negativem </t>
        </r>
        <r>
          <rPr>
            <sz val="8"/>
            <color indexed="81"/>
            <rFont val="Tahoma"/>
            <family val="2"/>
          </rPr>
          <t>Vorzeichen zu erfassen</t>
        </r>
      </text>
    </comment>
    <comment ref="H4530" authorId="1" shapeId="0" xr:uid="{00000000-0006-0000-0300-0000D7000000}">
      <text>
        <r>
          <rPr>
            <b/>
            <sz val="9"/>
            <color indexed="81"/>
            <rFont val="Tahoma"/>
            <family val="2"/>
          </rPr>
          <t>Es ist bislang nicht juristisch analysiert, wie hoch die Selbstverbrauchsvergütung einer PV-Anlage in der Ausfallvermarktung ist.</t>
        </r>
      </text>
    </comment>
    <comment ref="E4536" authorId="5" shapeId="0" xr:uid="{00000000-0006-0000-0300-0000D8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36" authorId="1" shapeId="0" xr:uid="{00000000-0006-0000-0300-0000D9000000}">
      <text>
        <r>
          <rPr>
            <b/>
            <sz val="9"/>
            <color indexed="81"/>
            <rFont val="Tahoma"/>
            <family val="2"/>
          </rPr>
          <t>Es ist bislang nicht juristisch analysiert, wie hoch die Selbstverbrauchsvergütung einer PV-Anlage in der Ausfallvermarktung ist.</t>
        </r>
      </text>
    </comment>
    <comment ref="E4537" authorId="5" shapeId="0" xr:uid="{00000000-0006-0000-0300-0000DA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37" authorId="1" shapeId="0" xr:uid="{00000000-0006-0000-0300-0000DB000000}">
      <text>
        <r>
          <rPr>
            <b/>
            <sz val="9"/>
            <color indexed="81"/>
            <rFont val="Tahoma"/>
            <family val="2"/>
          </rPr>
          <t>Es ist bislang nicht juristisch analysiert, wie hoch die Selbstverbrauchsvergütung einer PV-Anlage in der Ausfallvermarktung ist.</t>
        </r>
      </text>
    </comment>
    <comment ref="E4538" authorId="5" shapeId="0" xr:uid="{00000000-0006-0000-0300-0000DC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38" authorId="1" shapeId="0" xr:uid="{00000000-0006-0000-0300-0000DD000000}">
      <text>
        <r>
          <rPr>
            <b/>
            <sz val="9"/>
            <color indexed="81"/>
            <rFont val="Tahoma"/>
            <family val="2"/>
          </rPr>
          <t>Es ist bislang nicht juristisch analysiert, wie hoch die Selbstverbrauchsvergütung einer PV-Anlage in der Ausfallvermarktung ist.</t>
        </r>
      </text>
    </comment>
    <comment ref="E4539" authorId="5" shapeId="0" xr:uid="{00000000-0006-0000-0300-0000DE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39" authorId="1" shapeId="0" xr:uid="{00000000-0006-0000-0300-0000DF000000}">
      <text>
        <r>
          <rPr>
            <b/>
            <sz val="9"/>
            <color indexed="81"/>
            <rFont val="Tahoma"/>
            <family val="2"/>
          </rPr>
          <t>Es ist bislang nicht juristisch analysiert, wie hoch die Selbstverbrauchsvergütung einer PV-Anlage in der Ausfallvermarktung ist.</t>
        </r>
      </text>
    </comment>
    <comment ref="E4540" authorId="5" shapeId="0" xr:uid="{00000000-0006-0000-0300-0000E0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40" authorId="1" shapeId="0" xr:uid="{00000000-0006-0000-0300-0000E1000000}">
      <text>
        <r>
          <rPr>
            <b/>
            <sz val="9"/>
            <color indexed="81"/>
            <rFont val="Tahoma"/>
            <family val="2"/>
          </rPr>
          <t>Es ist bislang nicht juristisch analysiert, wie hoch die Selbstverbrauchsvergütung einer PV-Anlage in der Ausfallvermarktung ist.</t>
        </r>
      </text>
    </comment>
    <comment ref="E4541" authorId="5" shapeId="0" xr:uid="{00000000-0006-0000-0300-0000E2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41" authorId="1" shapeId="0" xr:uid="{00000000-0006-0000-0300-0000E3000000}">
      <text>
        <r>
          <rPr>
            <b/>
            <sz val="9"/>
            <color indexed="81"/>
            <rFont val="Tahoma"/>
            <family val="2"/>
          </rPr>
          <t>Es ist bislang nicht juristisch analysiert, wie hoch die Selbstverbrauchsvergütung einer PV-Anlage in der Ausfallvermarktung ist.</t>
        </r>
      </text>
    </comment>
    <comment ref="E4542" authorId="5" shapeId="0" xr:uid="{00000000-0006-0000-0300-0000E4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42" authorId="1" shapeId="0" xr:uid="{00000000-0006-0000-0300-0000E5000000}">
      <text>
        <r>
          <rPr>
            <b/>
            <sz val="9"/>
            <color indexed="81"/>
            <rFont val="Tahoma"/>
            <family val="2"/>
          </rPr>
          <t>Es ist bislang nicht juristisch analysiert, wie hoch die Selbstverbrauchsvergütung einer PV-Anlage in der Ausfallvermarktung ist.</t>
        </r>
      </text>
    </comment>
    <comment ref="E4543" authorId="5" shapeId="0" xr:uid="{00000000-0006-0000-0300-0000E6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43" authorId="1" shapeId="0" xr:uid="{00000000-0006-0000-0300-0000E7000000}">
      <text>
        <r>
          <rPr>
            <b/>
            <sz val="9"/>
            <color indexed="81"/>
            <rFont val="Tahoma"/>
            <family val="2"/>
          </rPr>
          <t>Es ist bislang nicht juristisch analysiert, wie hoch die Selbstverbrauchsvergütung einer PV-Anlage in der Ausfallvermarktung ist.</t>
        </r>
      </text>
    </comment>
    <comment ref="E4544" authorId="5" shapeId="0" xr:uid="{00000000-0006-0000-0300-0000E8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44" authorId="1" shapeId="0" xr:uid="{00000000-0006-0000-0300-0000E9000000}">
      <text>
        <r>
          <rPr>
            <b/>
            <sz val="9"/>
            <color indexed="81"/>
            <rFont val="Tahoma"/>
            <family val="2"/>
          </rPr>
          <t>Es ist bislang nicht juristisch analysiert, wie hoch die Selbstverbrauchsvergütung einer PV-Anlage in der Ausfallvermarktung ist.</t>
        </r>
      </text>
    </comment>
    <comment ref="E4550" authorId="5" shapeId="0" xr:uid="{00000000-0006-0000-0300-0000EA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50" authorId="1" shapeId="0" xr:uid="{00000000-0006-0000-0300-0000EB000000}">
      <text>
        <r>
          <rPr>
            <b/>
            <sz val="9"/>
            <color indexed="81"/>
            <rFont val="Tahoma"/>
            <family val="2"/>
          </rPr>
          <t>Es ist bislang nicht juristisch analysiert, wie hoch die Selbstverbrauchsvergütung einer PV-Anlage in der Ausfallvermarktung ist.</t>
        </r>
      </text>
    </comment>
    <comment ref="E4551" authorId="5" shapeId="0" xr:uid="{00000000-0006-0000-0300-0000EC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51" authorId="1" shapeId="0" xr:uid="{00000000-0006-0000-0300-0000ED000000}">
      <text>
        <r>
          <rPr>
            <b/>
            <sz val="9"/>
            <color indexed="81"/>
            <rFont val="Tahoma"/>
            <family val="2"/>
          </rPr>
          <t>Es ist bislang nicht juristisch analysiert, wie hoch die Selbstverbrauchsvergütung einer PV-Anlage in der Ausfallvermarktung ist.</t>
        </r>
      </text>
    </comment>
    <comment ref="E4552" authorId="5" shapeId="0" xr:uid="{00000000-0006-0000-0300-0000EE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52" authorId="1" shapeId="0" xr:uid="{00000000-0006-0000-0300-0000EF000000}">
      <text>
        <r>
          <rPr>
            <b/>
            <sz val="9"/>
            <color indexed="81"/>
            <rFont val="Tahoma"/>
            <family val="2"/>
          </rPr>
          <t>Es ist bislang nicht juristisch analysiert, wie hoch die Selbstverbrauchsvergütung einer PV-Anlage in der Ausfallvermarktung ist.</t>
        </r>
      </text>
    </comment>
    <comment ref="E4553" authorId="5" shapeId="0" xr:uid="{00000000-0006-0000-0300-0000F0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53" authorId="1" shapeId="0" xr:uid="{00000000-0006-0000-0300-0000F1000000}">
      <text>
        <r>
          <rPr>
            <b/>
            <sz val="9"/>
            <color indexed="81"/>
            <rFont val="Tahoma"/>
            <family val="2"/>
          </rPr>
          <t>Es ist bislang nicht juristisch analysiert, wie hoch die Selbstverbrauchsvergütung einer PV-Anlage in der Ausfallvermarktung ist.</t>
        </r>
      </text>
    </comment>
    <comment ref="E4554" authorId="5" shapeId="0" xr:uid="{00000000-0006-0000-0300-0000F2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54" authorId="1" shapeId="0" xr:uid="{00000000-0006-0000-0300-0000F3000000}">
      <text>
        <r>
          <rPr>
            <b/>
            <sz val="9"/>
            <color indexed="81"/>
            <rFont val="Tahoma"/>
            <family val="2"/>
          </rPr>
          <t>Es ist bislang nicht juristisch analysiert, wie hoch die Selbstverbrauchsvergütung einer PV-Anlage in der Ausfallvermarktung ist.</t>
        </r>
      </text>
    </comment>
    <comment ref="E4555" authorId="5" shapeId="0" xr:uid="{00000000-0006-0000-0300-0000F4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55" authorId="1" shapeId="0" xr:uid="{00000000-0006-0000-0300-0000F5000000}">
      <text>
        <r>
          <rPr>
            <b/>
            <sz val="9"/>
            <color indexed="81"/>
            <rFont val="Tahoma"/>
            <family val="2"/>
          </rPr>
          <t>Es ist bislang nicht juristisch analysiert, wie hoch die Selbstverbrauchsvergütung einer PV-Anlage in der Ausfallvermarktung ist.</t>
        </r>
      </text>
    </comment>
    <comment ref="E4556" authorId="5" shapeId="0" xr:uid="{00000000-0006-0000-0300-0000F6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56" authorId="1" shapeId="0" xr:uid="{00000000-0006-0000-0300-0000F7000000}">
      <text>
        <r>
          <rPr>
            <b/>
            <sz val="9"/>
            <color indexed="81"/>
            <rFont val="Tahoma"/>
            <family val="2"/>
          </rPr>
          <t>Es ist bislang nicht juristisch analysiert, wie hoch die Selbstverbrauchsvergütung einer PV-Anlage in der Ausfallvermarktung ist.</t>
        </r>
      </text>
    </comment>
    <comment ref="E4557" authorId="5" shapeId="0" xr:uid="{00000000-0006-0000-0300-0000F8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57" authorId="1" shapeId="0" xr:uid="{00000000-0006-0000-0300-0000F9000000}">
      <text>
        <r>
          <rPr>
            <b/>
            <sz val="9"/>
            <color indexed="81"/>
            <rFont val="Tahoma"/>
            <family val="2"/>
          </rPr>
          <t>Es ist bislang nicht juristisch analysiert, wie hoch die Selbstverbrauchsvergütung einer PV-Anlage in der Ausfallvermarktung ist.</t>
        </r>
      </text>
    </comment>
    <comment ref="E4558" authorId="5" shapeId="0" xr:uid="{00000000-0006-0000-0300-0000FA00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58" authorId="1" shapeId="0" xr:uid="{00000000-0006-0000-0300-0000FB000000}">
      <text>
        <r>
          <rPr>
            <b/>
            <sz val="9"/>
            <color indexed="81"/>
            <rFont val="Tahoma"/>
            <family val="2"/>
          </rPr>
          <t>Es ist bislang nicht juristisch analysiert, wie hoch die Selbstverbrauchsvergütung einer PV-Anlage in der Ausfallvermarktung ist.</t>
        </r>
      </text>
    </comment>
    <comment ref="E4564" authorId="5" shapeId="0" xr:uid="{00000000-0006-0000-0300-0000FC00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64" authorId="1" shapeId="0" xr:uid="{00000000-0006-0000-0300-0000FD000000}">
      <text>
        <r>
          <rPr>
            <b/>
            <sz val="9"/>
            <color indexed="81"/>
            <rFont val="Tahoma"/>
            <family val="2"/>
          </rPr>
          <t>Es ist bislang nicht juristisch analysiert, wie hoch die Selbstverbrauchsvergütung einer PV-Anlage in der Ausfallvermarktung ist.</t>
        </r>
      </text>
    </comment>
    <comment ref="E4565" authorId="5" shapeId="0" xr:uid="{00000000-0006-0000-0300-0000FE00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65" authorId="1" shapeId="0" xr:uid="{00000000-0006-0000-0300-0000FF000000}">
      <text>
        <r>
          <rPr>
            <b/>
            <sz val="9"/>
            <color indexed="81"/>
            <rFont val="Tahoma"/>
            <family val="2"/>
          </rPr>
          <t>Es ist bislang nicht juristisch analysiert, wie hoch die Selbstverbrauchsvergütung einer PV-Anlage in der Ausfallvermarktung ist.</t>
        </r>
      </text>
    </comment>
    <comment ref="E4566" authorId="5" shapeId="0" xr:uid="{00000000-0006-0000-0300-000000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66" authorId="1" shapeId="0" xr:uid="{00000000-0006-0000-0300-000001010000}">
      <text>
        <r>
          <rPr>
            <b/>
            <sz val="9"/>
            <color indexed="81"/>
            <rFont val="Tahoma"/>
            <family val="2"/>
          </rPr>
          <t>Es ist bislang nicht juristisch analysiert, wie hoch die Selbstverbrauchsvergütung einer PV-Anlage in der Ausfallvermarktung ist.</t>
        </r>
      </text>
    </comment>
    <comment ref="E4567" authorId="5" shapeId="0" xr:uid="{00000000-0006-0000-0300-000002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67" authorId="1" shapeId="0" xr:uid="{00000000-0006-0000-0300-000003010000}">
      <text>
        <r>
          <rPr>
            <b/>
            <sz val="9"/>
            <color indexed="81"/>
            <rFont val="Tahoma"/>
            <family val="2"/>
          </rPr>
          <t>Es ist bislang nicht juristisch analysiert, wie hoch die Selbstverbrauchsvergütung einer PV-Anlage in der Ausfallvermarktung ist.</t>
        </r>
      </text>
    </comment>
    <comment ref="E4568" authorId="5" shapeId="0" xr:uid="{00000000-0006-0000-0300-000004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68" authorId="1" shapeId="0" xr:uid="{00000000-0006-0000-0300-000005010000}">
      <text>
        <r>
          <rPr>
            <b/>
            <sz val="9"/>
            <color indexed="81"/>
            <rFont val="Tahoma"/>
            <family val="2"/>
          </rPr>
          <t>Es ist bislang nicht juristisch analysiert, wie hoch die Selbstverbrauchsvergütung einer PV-Anlage in der Ausfallvermarktung ist.</t>
        </r>
      </text>
    </comment>
    <comment ref="E4569" authorId="5" shapeId="0" xr:uid="{00000000-0006-0000-0300-000006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69" authorId="1" shapeId="0" xr:uid="{00000000-0006-0000-0300-000007010000}">
      <text>
        <r>
          <rPr>
            <b/>
            <sz val="9"/>
            <color indexed="81"/>
            <rFont val="Tahoma"/>
            <family val="2"/>
          </rPr>
          <t>Es ist bislang nicht juristisch analysiert, wie hoch die Selbstverbrauchsvergütung einer PV-Anlage in der Ausfallvermarktung ist.</t>
        </r>
      </text>
    </comment>
    <comment ref="E4570" authorId="5" shapeId="0" xr:uid="{00000000-0006-0000-0300-000008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70" authorId="1" shapeId="0" xr:uid="{00000000-0006-0000-0300-000009010000}">
      <text>
        <r>
          <rPr>
            <b/>
            <sz val="9"/>
            <color indexed="81"/>
            <rFont val="Tahoma"/>
            <family val="2"/>
          </rPr>
          <t>Es ist bislang nicht juristisch analysiert, wie hoch die Selbstverbrauchsvergütung einer PV-Anlage in der Ausfallvermarktung ist.</t>
        </r>
      </text>
    </comment>
    <comment ref="E4571" authorId="5" shapeId="0" xr:uid="{00000000-0006-0000-0300-00000A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71" authorId="1" shapeId="0" xr:uid="{00000000-0006-0000-0300-00000B010000}">
      <text>
        <r>
          <rPr>
            <b/>
            <sz val="9"/>
            <color indexed="81"/>
            <rFont val="Tahoma"/>
            <family val="2"/>
          </rPr>
          <t>Es ist bislang nicht juristisch analysiert, wie hoch die Selbstverbrauchsvergütung einer PV-Anlage in der Ausfallvermarktung ist.</t>
        </r>
      </text>
    </comment>
    <comment ref="E4572" authorId="5" shapeId="0" xr:uid="{00000000-0006-0000-0300-00000C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72" authorId="1" shapeId="0" xr:uid="{00000000-0006-0000-0300-00000D010000}">
      <text>
        <r>
          <rPr>
            <b/>
            <sz val="9"/>
            <color indexed="81"/>
            <rFont val="Tahoma"/>
            <family val="2"/>
          </rPr>
          <t>Es ist bislang nicht juristisch analysiert, wie hoch die Selbstverbrauchsvergütung einer PV-Anlage in der Ausfallvermarktung ist.</t>
        </r>
      </text>
    </comment>
    <comment ref="E4578" authorId="5" shapeId="0" xr:uid="{00000000-0006-0000-0300-00000E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78" authorId="1" shapeId="0" xr:uid="{00000000-0006-0000-0300-00000F010000}">
      <text>
        <r>
          <rPr>
            <b/>
            <sz val="9"/>
            <color indexed="81"/>
            <rFont val="Tahoma"/>
            <family val="2"/>
          </rPr>
          <t>Es ist bislang nicht juristisch analysiert, wie hoch die Selbstverbrauchsvergütung einer PV-Anlage in der Ausfallvermarktung ist.</t>
        </r>
      </text>
    </comment>
    <comment ref="E4579" authorId="5" shapeId="0" xr:uid="{00000000-0006-0000-0300-000010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79" authorId="1" shapeId="0" xr:uid="{00000000-0006-0000-0300-000011010000}">
      <text>
        <r>
          <rPr>
            <b/>
            <sz val="9"/>
            <color indexed="81"/>
            <rFont val="Tahoma"/>
            <family val="2"/>
          </rPr>
          <t>Es ist bislang nicht juristisch analysiert, wie hoch die Selbstverbrauchsvergütung einer PV-Anlage in der Ausfallvermarktung ist.</t>
        </r>
      </text>
    </comment>
    <comment ref="E4580" authorId="5" shapeId="0" xr:uid="{00000000-0006-0000-0300-000012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80" authorId="1" shapeId="0" xr:uid="{00000000-0006-0000-0300-000013010000}">
      <text>
        <r>
          <rPr>
            <b/>
            <sz val="9"/>
            <color indexed="81"/>
            <rFont val="Tahoma"/>
            <family val="2"/>
          </rPr>
          <t>Es ist bislang nicht juristisch analysiert, wie hoch die Selbstverbrauchsvergütung einer PV-Anlage in der Ausfallvermarktung ist.</t>
        </r>
      </text>
    </comment>
    <comment ref="E4581" authorId="5" shapeId="0" xr:uid="{00000000-0006-0000-0300-000014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81" authorId="1" shapeId="0" xr:uid="{00000000-0006-0000-0300-000015010000}">
      <text>
        <r>
          <rPr>
            <b/>
            <sz val="9"/>
            <color indexed="81"/>
            <rFont val="Tahoma"/>
            <family val="2"/>
          </rPr>
          <t>Es ist bislang nicht juristisch analysiert, wie hoch die Selbstverbrauchsvergütung einer PV-Anlage in der Ausfallvermarktung ist.</t>
        </r>
      </text>
    </comment>
    <comment ref="E4582" authorId="5" shapeId="0" xr:uid="{00000000-0006-0000-0300-000016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82" authorId="1" shapeId="0" xr:uid="{00000000-0006-0000-0300-000017010000}">
      <text>
        <r>
          <rPr>
            <b/>
            <sz val="9"/>
            <color indexed="81"/>
            <rFont val="Tahoma"/>
            <family val="2"/>
          </rPr>
          <t>Es ist bislang nicht juristisch analysiert, wie hoch die Selbstverbrauchsvergütung einer PV-Anlage in der Ausfallvermarktung ist.</t>
        </r>
      </text>
    </comment>
    <comment ref="E4583" authorId="5" shapeId="0" xr:uid="{00000000-0006-0000-0300-000018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83" authorId="1" shapeId="0" xr:uid="{00000000-0006-0000-0300-000019010000}">
      <text>
        <r>
          <rPr>
            <b/>
            <sz val="9"/>
            <color indexed="81"/>
            <rFont val="Tahoma"/>
            <family val="2"/>
          </rPr>
          <t>Es ist bislang nicht juristisch analysiert, wie hoch die Selbstverbrauchsvergütung einer PV-Anlage in der Ausfallvermarktung ist.</t>
        </r>
      </text>
    </comment>
    <comment ref="E4584" authorId="5" shapeId="0" xr:uid="{00000000-0006-0000-0300-00001A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84" authorId="1" shapeId="0" xr:uid="{00000000-0006-0000-0300-00001B010000}">
      <text>
        <r>
          <rPr>
            <b/>
            <sz val="9"/>
            <color indexed="81"/>
            <rFont val="Tahoma"/>
            <family val="2"/>
          </rPr>
          <t>Es ist bislang nicht juristisch analysiert, wie hoch die Selbstverbrauchsvergütung einer PV-Anlage in der Ausfallvermarktung ist.</t>
        </r>
      </text>
    </comment>
    <comment ref="E4585" authorId="5" shapeId="0" xr:uid="{00000000-0006-0000-0300-00001C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85" authorId="1" shapeId="0" xr:uid="{00000000-0006-0000-0300-00001D010000}">
      <text>
        <r>
          <rPr>
            <b/>
            <sz val="9"/>
            <color indexed="81"/>
            <rFont val="Tahoma"/>
            <family val="2"/>
          </rPr>
          <t>Es ist bislang nicht juristisch analysiert, wie hoch die Selbstverbrauchsvergütung einer PV-Anlage in der Ausfallvermarktung ist.</t>
        </r>
      </text>
    </comment>
    <comment ref="E4586" authorId="5" shapeId="0" xr:uid="{00000000-0006-0000-0300-00001E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86" authorId="1" shapeId="0" xr:uid="{00000000-0006-0000-0300-00001F010000}">
      <text>
        <r>
          <rPr>
            <b/>
            <sz val="9"/>
            <color indexed="81"/>
            <rFont val="Tahoma"/>
            <family val="2"/>
          </rPr>
          <t>Es ist bislang nicht juristisch analysiert, wie hoch die Selbstverbrauchsvergütung einer PV-Anlage in der Ausfallvermarktung ist.</t>
        </r>
      </text>
    </comment>
    <comment ref="E4592" authorId="5" shapeId="0" xr:uid="{00000000-0006-0000-0300-000020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92" authorId="1" shapeId="0" xr:uid="{00000000-0006-0000-0300-000021010000}">
      <text>
        <r>
          <rPr>
            <b/>
            <sz val="9"/>
            <color indexed="81"/>
            <rFont val="Tahoma"/>
            <family val="2"/>
          </rPr>
          <t>Es ist bislang nicht juristisch analysiert, wie hoch die Selbstverbrauchsvergütung einer PV-Anlage in der Ausfallvermarktung ist.</t>
        </r>
      </text>
    </comment>
    <comment ref="E4593" authorId="5" shapeId="0" xr:uid="{00000000-0006-0000-0300-000022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93" authorId="1" shapeId="0" xr:uid="{00000000-0006-0000-0300-000023010000}">
      <text>
        <r>
          <rPr>
            <b/>
            <sz val="9"/>
            <color indexed="81"/>
            <rFont val="Tahoma"/>
            <family val="2"/>
          </rPr>
          <t>Es ist bislang nicht juristisch analysiert, wie hoch die Selbstverbrauchsvergütung einer PV-Anlage in der Ausfallvermarktung ist.</t>
        </r>
      </text>
    </comment>
    <comment ref="E4594" authorId="5" shapeId="0" xr:uid="{00000000-0006-0000-0300-000024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94" authorId="1" shapeId="0" xr:uid="{00000000-0006-0000-0300-000025010000}">
      <text>
        <r>
          <rPr>
            <b/>
            <sz val="9"/>
            <color indexed="81"/>
            <rFont val="Tahoma"/>
            <family val="2"/>
          </rPr>
          <t>Es ist bislang nicht juristisch analysiert, wie hoch die Selbstverbrauchsvergütung einer PV-Anlage in der Ausfallvermarktung ist.</t>
        </r>
      </text>
    </comment>
    <comment ref="E4595" authorId="5" shapeId="0" xr:uid="{00000000-0006-0000-0300-000026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95" authorId="1" shapeId="0" xr:uid="{00000000-0006-0000-0300-000027010000}">
      <text>
        <r>
          <rPr>
            <b/>
            <sz val="9"/>
            <color indexed="81"/>
            <rFont val="Tahoma"/>
            <family val="2"/>
          </rPr>
          <t>Es ist bislang nicht juristisch analysiert, wie hoch die Selbstverbrauchsvergütung einer PV-Anlage in der Ausfallvermarktung ist.</t>
        </r>
      </text>
    </comment>
    <comment ref="E4596" authorId="5" shapeId="0" xr:uid="{00000000-0006-0000-0300-000028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96" authorId="1" shapeId="0" xr:uid="{00000000-0006-0000-0300-000029010000}">
      <text>
        <r>
          <rPr>
            <b/>
            <sz val="9"/>
            <color indexed="81"/>
            <rFont val="Tahoma"/>
            <family val="2"/>
          </rPr>
          <t>Es ist bislang nicht juristisch analysiert, wie hoch die Selbstverbrauchsvergütung einer PV-Anlage in der Ausfallvermarktung ist.</t>
        </r>
      </text>
    </comment>
    <comment ref="E4597" authorId="5" shapeId="0" xr:uid="{00000000-0006-0000-0300-00002A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597" authorId="1" shapeId="0" xr:uid="{00000000-0006-0000-0300-00002B010000}">
      <text>
        <r>
          <rPr>
            <b/>
            <sz val="9"/>
            <color indexed="81"/>
            <rFont val="Tahoma"/>
            <family val="2"/>
          </rPr>
          <t>Es ist bislang nicht juristisch analysiert, wie hoch die Selbstverbrauchsvergütung einer PV-Anlage in der Ausfallvermarktung ist.</t>
        </r>
      </text>
    </comment>
    <comment ref="E4598" authorId="5" shapeId="0" xr:uid="{00000000-0006-0000-0300-00002C010000}">
      <text>
        <r>
          <rPr>
            <b/>
            <sz val="8"/>
            <color indexed="81"/>
            <rFont val="Tahoma"/>
            <family val="2"/>
          </rPr>
          <t>Hinweis:</t>
        </r>
        <r>
          <rPr>
            <sz val="8"/>
            <color indexed="81"/>
            <rFont val="Tahoma"/>
            <family val="2"/>
          </rPr>
          <t xml:space="preserve">
Die nach § 33 Abs. 2 EEG 2009 selbst verbrauchte Strommenge ist in dieser Kategorie mit </t>
        </r>
        <r>
          <rPr>
            <b/>
            <sz val="8"/>
            <color indexed="81"/>
            <rFont val="Tahoma"/>
            <family val="2"/>
          </rPr>
          <t xml:space="preserve">positivem </t>
        </r>
        <r>
          <rPr>
            <sz val="8"/>
            <color indexed="81"/>
            <rFont val="Tahoma"/>
            <family val="2"/>
          </rPr>
          <t>Vorzeichen zu erfassen.</t>
        </r>
      </text>
    </comment>
    <comment ref="H4598" authorId="1" shapeId="0" xr:uid="{00000000-0006-0000-0300-00002D010000}">
      <text>
        <r>
          <rPr>
            <b/>
            <sz val="9"/>
            <color indexed="81"/>
            <rFont val="Tahoma"/>
            <family val="2"/>
          </rPr>
          <t>Es ist bislang nicht juristisch analysiert, wie hoch die Selbstverbrauchsvergütung einer PV-Anlage in der Ausfallvermarktung ist.</t>
        </r>
      </text>
    </comment>
    <comment ref="E4599" authorId="5" shapeId="0" xr:uid="{00000000-0006-0000-0300-00002E010000}">
      <text>
        <r>
          <rPr>
            <b/>
            <sz val="8"/>
            <color indexed="81"/>
            <rFont val="Tahoma"/>
            <family val="2"/>
          </rPr>
          <t>Hinweis:</t>
        </r>
        <r>
          <rPr>
            <sz val="8"/>
            <color indexed="81"/>
            <rFont val="Tahoma"/>
            <family val="2"/>
          </rPr>
          <t xml:space="preserve">
Die nach § 33 Abs. 2 Nr. 1 EEG 2009 selbst verbrauchte Strommenge ist in dieser Kategorie mit </t>
        </r>
        <r>
          <rPr>
            <b/>
            <sz val="8"/>
            <color indexed="81"/>
            <rFont val="Tahoma"/>
            <family val="2"/>
          </rPr>
          <t xml:space="preserve">negativem </t>
        </r>
        <r>
          <rPr>
            <sz val="8"/>
            <color indexed="81"/>
            <rFont val="Tahoma"/>
            <family val="2"/>
          </rPr>
          <t xml:space="preserve">Vorzeichen zu erfassen, und zwar maximal bis zur Höhe von 30 % der im selben Jahr von der Anlage erzeugten Strommenge.
</t>
        </r>
      </text>
    </comment>
    <comment ref="H4599" authorId="1" shapeId="0" xr:uid="{00000000-0006-0000-0300-00002F010000}">
      <text>
        <r>
          <rPr>
            <b/>
            <sz val="9"/>
            <color indexed="81"/>
            <rFont val="Tahoma"/>
            <family val="2"/>
          </rPr>
          <t>Es ist bislang nicht juristisch analysiert, wie hoch die Selbstverbrauchsvergütung einer PV-Anlage in der Ausfallvermarktung ist.</t>
        </r>
      </text>
    </comment>
    <comment ref="E4600" authorId="5" shapeId="0" xr:uid="{00000000-0006-0000-0300-000030010000}">
      <text>
        <r>
          <rPr>
            <b/>
            <sz val="8"/>
            <color indexed="81"/>
            <rFont val="Tahoma"/>
            <family val="2"/>
          </rPr>
          <t>Hinweis:</t>
        </r>
        <r>
          <rPr>
            <sz val="8"/>
            <color indexed="81"/>
            <rFont val="Tahoma"/>
            <family val="2"/>
          </rPr>
          <t xml:space="preserve">
Die nach § 33 Abs. 2 Nr. 2 EEG 2009 selbst verbrauchte Strommenge, die 30 % der im selben Jahr von der Anlage erzeugten Strommenge übersteigt, ist in dieser Kategorie mit </t>
        </r>
        <r>
          <rPr>
            <b/>
            <sz val="8"/>
            <color indexed="81"/>
            <rFont val="Tahoma"/>
            <family val="2"/>
          </rPr>
          <t xml:space="preserve">negativem </t>
        </r>
        <r>
          <rPr>
            <sz val="8"/>
            <color indexed="81"/>
            <rFont val="Tahoma"/>
            <family val="2"/>
          </rPr>
          <t>Vorzeichen zu erfassen.</t>
        </r>
      </text>
    </comment>
    <comment ref="H4600" authorId="1" shapeId="0" xr:uid="{00000000-0006-0000-0300-000031010000}">
      <text>
        <r>
          <rPr>
            <b/>
            <sz val="9"/>
            <color indexed="81"/>
            <rFont val="Tahoma"/>
            <family val="2"/>
          </rPr>
          <t>Es ist bislang nicht juristisch analysiert, wie hoch die Selbstverbrauchsvergütung einer PV-Anlage in der Ausfallvermarktung ist.</t>
        </r>
      </text>
    </comment>
    <comment ref="I4856" authorId="4" shapeId="0" xr:uid="{00000000-0006-0000-0300-000032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57" authorId="4" shapeId="0" xr:uid="{00000000-0006-0000-0300-000033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58" authorId="4" shapeId="0" xr:uid="{00000000-0006-0000-0300-000034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59" authorId="4" shapeId="0" xr:uid="{00000000-0006-0000-0300-000035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0" authorId="4" shapeId="0" xr:uid="{00000000-0006-0000-0300-000036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1" authorId="4" shapeId="0" xr:uid="{00000000-0006-0000-0300-000037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2" authorId="4" shapeId="0" xr:uid="{00000000-0006-0000-0300-000038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3" authorId="4" shapeId="0" xr:uid="{00000000-0006-0000-0300-000039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4" authorId="4" shapeId="0" xr:uid="{00000000-0006-0000-0300-00003A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5" authorId="4" shapeId="0" xr:uid="{00000000-0006-0000-0300-00003B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6" authorId="4" shapeId="0" xr:uid="{00000000-0006-0000-0300-00003C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7" authorId="4" shapeId="0" xr:uid="{00000000-0006-0000-0300-00003D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8" authorId="4" shapeId="0" xr:uid="{00000000-0006-0000-0300-00003E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69" authorId="4" shapeId="0" xr:uid="{00000000-0006-0000-0300-00003F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I4870" authorId="4" shapeId="0" xr:uid="{00000000-0006-0000-0300-000040010000}">
      <text>
        <r>
          <rPr>
            <sz val="9"/>
            <color indexed="81"/>
            <rFont val="Tahoma"/>
            <family val="2"/>
          </rPr>
          <t xml:space="preserve">Nach § 100 Abs. 7 Satz 2 EEG 2017 durfte der Mieterstromzuschlag erst nach der beihilferechtlichen Genehmigung durch die EU-Kommission gewährt werden.  Diese Genehmigung wurde am 20.11.2017 erteilt. Es unterliegt noch einer juristischen Überprüfung, ob der Mieterstromzuschlag rückwirkend ausgezahlt werden kann oder nur für Strommengen, die nach dem 20.11.2017 an Mieter geliefert worden ist.
</t>
        </r>
      </text>
    </comment>
    <comment ref="R4913" authorId="6" shapeId="0" xr:uid="{00000000-0006-0000-0300-000041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I4914" authorId="7" shapeId="0" xr:uid="{00000000-0006-0000-0300-000042010000}">
      <text>
        <r>
          <rPr>
            <b/>
            <sz val="9"/>
            <color indexed="81"/>
            <rFont val="Tahoma"/>
            <family val="2"/>
          </rPr>
          <t>Änderung durch  Artikel 5 Nr. 15 Buchstabe c NABEG 2.0</t>
        </r>
        <r>
          <rPr>
            <sz val="9"/>
            <color indexed="81"/>
            <rFont val="Tahoma"/>
            <family val="2"/>
          </rPr>
          <t xml:space="preserve">
</t>
        </r>
      </text>
    </comment>
    <comment ref="R4914" authorId="6" shapeId="0" xr:uid="{00000000-0006-0000-0300-000043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R4915" authorId="6" shapeId="0" xr:uid="{00000000-0006-0000-0300-000044010000}">
      <text>
        <r>
          <rPr>
            <b/>
            <sz val="9"/>
            <color indexed="81"/>
            <rFont val="Tahoma"/>
            <family val="2"/>
          </rPr>
          <t>Lipinski Sven (50HzT MC-C):</t>
        </r>
        <r>
          <rPr>
            <sz val="9"/>
            <color indexed="81"/>
            <rFont val="Tahoma"/>
            <family val="2"/>
          </rPr>
          <t xml:space="preserve">
Festlegung der anzulegenden Werte im Rahmen des Energiesammelgesetzes zur Neufassung des § 48 Abs. 2 Nr. 3 EEG</t>
        </r>
      </text>
    </comment>
    <comment ref="O4986" authorId="4" shapeId="0" xr:uid="{00000000-0006-0000-0300-000045010000}">
      <text>
        <r>
          <rPr>
            <sz val="9"/>
            <color indexed="81"/>
            <rFont val="Segoe UI"/>
            <family val="2"/>
          </rPr>
          <t xml:space="preserve">
</t>
        </r>
      </text>
    </comment>
    <comment ref="F5089" authorId="3" shapeId="0" xr:uid="{00000000-0006-0000-0300-000046010000}">
      <text>
        <r>
          <rPr>
            <sz val="9"/>
            <color indexed="81"/>
            <rFont val="Segoe UI"/>
            <family val="2"/>
          </rPr>
          <t xml:space="preserve">Die anlagenindividuelle Einspeisevergütung berechnet sich aus dem nach § 48 Abs. 1a EEG 2023  ermittelten anzulegenden Wert unter Berücksichtigung von § 53 EEG.
</t>
        </r>
      </text>
    </comment>
    <comment ref="G5089" authorId="3" shapeId="0" xr:uid="{00000000-0006-0000-0300-00004701000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H5089" authorId="3" shapeId="0" xr:uid="{00000000-0006-0000-0300-000048010000}">
      <text>
        <r>
          <rPr>
            <sz val="9"/>
            <color indexed="81"/>
            <rFont val="Segoe UI"/>
            <family val="2"/>
          </rPr>
          <t xml:space="preserve">Die anlagenindividuelle Ausfallvergütung berechnet sich aus dem nach § 48 Abs. 1a EEG 2023 ermittelten anzulegenden Wert unter Berücksichtigung von § 53 EEG.
</t>
        </r>
      </text>
    </comment>
    <comment ref="F5090" authorId="3" shapeId="0" xr:uid="{00000000-0006-0000-0300-000049010000}">
      <text>
        <r>
          <rPr>
            <sz val="9"/>
            <color indexed="81"/>
            <rFont val="Segoe UI"/>
            <family val="2"/>
          </rPr>
          <t xml:space="preserve">Die anlagenindividuelle Einspeisevergütung berechnet sich aus dem nach § 48 Abs. 1a EEG 2023  ermittelten anzulegenden Wert unter Berücksichtigung von § 53 EEG.
</t>
        </r>
      </text>
    </comment>
    <comment ref="G5090" authorId="3" shapeId="0" xr:uid="{00000000-0006-0000-0300-00004A010000}">
      <text>
        <r>
          <rPr>
            <sz val="9"/>
            <color indexed="81"/>
            <rFont val="Segoe UI"/>
            <family val="2"/>
          </rPr>
          <t xml:space="preserve">Der hier angegebene anzulegende Wert gilt  bei einer Inbetriebnahme der Anlage im Jahr 2023. Er wird von der BNetzA gemäß § 48 Abs. 1a  EEG zum 31. Januar 2023 ermittelt und veröffentlicht.
Der anzulegende Wert wird nach § 48 Abs.1 a EEG  anhand des Durchschnitt aus den Gebotwerten des jeweils noch höchsten bezuschlagten Gebots der Gebotsterminne für Solaranlagen des zweiten Segments in dem der Inbetriebnahme vorangegangenen Kalenderjahr berechnet.
</t>
        </r>
      </text>
    </comment>
    <comment ref="H5090" authorId="3" shapeId="0" xr:uid="{00000000-0006-0000-0300-00004B010000}">
      <text>
        <r>
          <rPr>
            <sz val="9"/>
            <color indexed="81"/>
            <rFont val="Segoe UI"/>
            <family val="2"/>
          </rPr>
          <t xml:space="preserve">Die anlagenindividuelle Ausfallvergütung berechnet sich aus dem nach § 48 Abs. 1a EEG 2023 ermittelten anzulegenden Wert unter Berücksichtigung von § 53 EEG.
</t>
        </r>
      </text>
    </comment>
    <comment ref="F5092" authorId="3" shapeId="0" xr:uid="{00000000-0006-0000-0300-00004C010000}">
      <text>
        <r>
          <rPr>
            <sz val="9"/>
            <color indexed="81"/>
            <rFont val="Segoe UI"/>
            <family val="2"/>
          </rPr>
          <t xml:space="preserve">Die anlagenindividuelle Einspeisevergütung berechnet sich aus dem nach § 48 Abs. 1a EEG 2023  ermittelten anzulegenden Wert unter Berücksichtigung von § 53 EEG.
</t>
        </r>
      </text>
    </comment>
    <comment ref="G5092" authorId="3" shapeId="0" xr:uid="{00000000-0006-0000-0300-00004D010000}">
      <text>
        <r>
          <rPr>
            <sz val="9"/>
            <color indexed="81"/>
            <rFont val="Segoe UI"/>
            <family val="2"/>
          </rPr>
          <t xml:space="preserve">Der hier angegebene anzulegende Wert gilt  bei einer Inbetriebnahme der Anlage im Jahr 2024. Er wird von der BNetzA gemäß § 48 Abs. 1a  EEG zum 31. Januar 2024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H5092" authorId="3" shapeId="0" xr:uid="{00000000-0006-0000-0300-00004E010000}">
      <text>
        <r>
          <rPr>
            <sz val="9"/>
            <color indexed="81"/>
            <rFont val="Segoe UI"/>
            <family val="2"/>
          </rPr>
          <t xml:space="preserve">Die anlagenindividuelle Ausfallvergütung berechnet sich aus dem nach § 48 Abs. 1a EEG 2023 ermittelten anzulegenden Wert unter Berücksichtigung von § 53 EEG.
</t>
        </r>
      </text>
    </comment>
    <comment ref="F5093" authorId="3" shapeId="0" xr:uid="{00000000-0006-0000-0300-00004F010000}">
      <text>
        <r>
          <rPr>
            <sz val="9"/>
            <color indexed="81"/>
            <rFont val="Segoe UI"/>
            <family val="2"/>
          </rPr>
          <t xml:space="preserve">Die anlagenindividuelle Einspeisevergütung berechnet sich aus dem nach § 48 Abs. 1a EEG 2023  ermittelten anzulegenden Wert unter Berücksichtigung von § 53 EEG.
</t>
        </r>
      </text>
    </comment>
    <comment ref="G5093" authorId="3" shapeId="0" xr:uid="{00000000-0006-0000-0300-000050010000}">
      <text>
        <r>
          <rPr>
            <sz val="9"/>
            <color indexed="81"/>
            <rFont val="Segoe UI"/>
            <family val="2"/>
          </rPr>
          <t xml:space="preserve">Der hier angegebene anzulegende Wert gilt  bei einer Inbetriebnahme der Anlage im Jahr 2024. Er wird von der BNetzA gemäß § 48 Abs. 1a  EEG zum 31. Januar 2024 ermittelt und veröffentlicht.
Der anzulegende Wert wird nach § 48 Abs.1 a EEG  anhand des Durchschnitt aus den Gebotwerten des jeweils noch höchsten bezuschlagten Gebots der Gebotsterminne für Solaranlagen des ersten Segments in dem der Inbetriebnahme vorangegangenen Kalenderjahr berechnet.
</t>
        </r>
      </text>
    </comment>
    <comment ref="H5093" authorId="3" shapeId="0" xr:uid="{00000000-0006-0000-0300-000051010000}">
      <text>
        <r>
          <rPr>
            <sz val="9"/>
            <color indexed="81"/>
            <rFont val="Segoe UI"/>
            <family val="2"/>
          </rPr>
          <t xml:space="preserve">Die anlagenindividuelle Ausfallvergütung berechnet sich aus dem nach § 48 Abs. 1a EEG 2023 ermittelten anzulegenden Wert unter Berücksichtigung von § 53 EEG.
</t>
        </r>
      </text>
    </comment>
    <comment ref="F5101" authorId="1" shapeId="0" xr:uid="{00000000-0006-0000-0300-000052010000}">
      <text>
        <r>
          <rPr>
            <sz val="9"/>
            <color indexed="81"/>
            <rFont val="Tahoma"/>
            <family val="2"/>
          </rPr>
          <t>Die Einspeisevergütung nach § 21 Abs. 1  ist über die entsprechenden  Förder-Kategorien zu melden</t>
        </r>
      </text>
    </comment>
    <comment ref="G5101" authorId="1" shapeId="0" xr:uid="{00000000-0006-0000-0300-000053010000}">
      <text>
        <r>
          <rPr>
            <sz val="9"/>
            <color indexed="81"/>
            <rFont val="Tahoma"/>
            <family val="2"/>
          </rPr>
          <t>Die Marktprämie nach § 20  ist über die entsprechenden  Förder-Kategorien zu melden</t>
        </r>
      </text>
    </comment>
    <comment ref="H5101" authorId="1" shapeId="0" xr:uid="{00000000-0006-0000-0300-000054010000}">
      <text>
        <r>
          <rPr>
            <sz val="9"/>
            <color indexed="81"/>
            <rFont val="Tahoma"/>
            <family val="2"/>
          </rPr>
          <t>Die Ausfallvergütung ist im Fall des Mieterstromzuschlags irrelevant, da sich beide gegenseitig ausschließen.</t>
        </r>
      </text>
    </comment>
    <comment ref="I5101" authorId="3" shapeId="0" xr:uid="{00000000-0006-0000-0300-000055010000}">
      <text>
        <r>
          <rPr>
            <b/>
            <sz val="9"/>
            <color indexed="81"/>
            <rFont val="Segoe UI"/>
            <family val="2"/>
          </rPr>
          <t xml:space="preserve">Der Mieterstromzuschlag ergibt sich aus 
* dem jeweiligen Anzulegenden Wert, der bei fristgerechter Registrierung bzw. Meldung gezahlt worden wäre, abzüglich 8,5 ct/kWh (§ 23b Abs. 1 EEG 2017) </t>
        </r>
        <r>
          <rPr>
            <b/>
            <u/>
            <sz val="9"/>
            <color indexed="81"/>
            <rFont val="Segoe UI"/>
            <family val="2"/>
          </rPr>
          <t>und</t>
        </r>
        <r>
          <rPr>
            <b/>
            <sz val="9"/>
            <color indexed="81"/>
            <rFont val="Segoe UI"/>
            <family val="2"/>
          </rPr>
          <t xml:space="preserve"> abzüglich 0,4 ct/kWh (§ 53 Satz 1 EEG).</t>
        </r>
      </text>
    </comment>
    <comment ref="O5104" authorId="4" shapeId="0" xr:uid="{00000000-0006-0000-0300-000056010000}">
      <text/>
    </comment>
    <comment ref="F5195" authorId="8" shapeId="0" xr:uid="{00000000-0006-0000-0300-000057010000}">
      <text>
        <r>
          <rPr>
            <sz val="8"/>
            <color indexed="81"/>
            <rFont val="Tahoma"/>
            <family val="2"/>
          </rPr>
          <t>Der Einspeisevergütung ergibt sich aus dem anzulegendem Wert der Förderberechtigung der jeweiligen Freiflächenanlage nach Abzug von 0,4 ct/kWh.</t>
        </r>
      </text>
    </comment>
    <comment ref="G5195" authorId="8" shapeId="0" xr:uid="{00000000-0006-0000-0300-000058010000}">
      <text>
        <r>
          <rPr>
            <sz val="8"/>
            <color indexed="81"/>
            <rFont val="Tahoma"/>
            <family val="2"/>
          </rPr>
          <t>Der Anzulegende Wert ergibt sich aus der Förderberechtigung der jeweiligen Freiflächenanlage.</t>
        </r>
      </text>
    </comment>
    <comment ref="H5195" authorId="8" shapeId="0" xr:uid="{00000000-0006-0000-0300-000059010000}">
      <text>
        <r>
          <rPr>
            <sz val="8"/>
            <color indexed="81"/>
            <rFont val="Tahoma"/>
            <family val="2"/>
          </rPr>
          <t>Die Ausfallvergütung ergibt sich aus dem Anzulegendem Wert der Förderberechtigung der jeweiligen Freiflächenanlage, der mit 0,8 zu multiplizieren und auf zwei Nachkommastellen (bezogen auf ct/kWh) zu runden ist.</t>
        </r>
      </text>
    </comment>
    <comment ref="F5197" authorId="8" shapeId="0" xr:uid="{00000000-0006-0000-0300-00005A010000}">
      <text>
        <r>
          <rPr>
            <sz val="8"/>
            <color indexed="81"/>
            <rFont val="Tahoma"/>
            <family val="2"/>
          </rPr>
          <t>Die Einspeisevergütung ist für Anlagen, die einen Zuschlag bei einer Ausschreibung erhalten haben, nicht zulässig.</t>
        </r>
      </text>
    </comment>
    <comment ref="G5197" authorId="8" shapeId="0" xr:uid="{00000000-0006-0000-0300-00005B010000}">
      <text>
        <r>
          <rPr>
            <sz val="8"/>
            <color indexed="81"/>
            <rFont val="Tahoma"/>
            <family val="2"/>
          </rPr>
          <t>Der Anzulegende Wert ergibt sich aus der Förderberechtigung der jeweiligen Biomasseanlage.</t>
        </r>
      </text>
    </comment>
    <comment ref="H5197" authorId="8" shapeId="0" xr:uid="{00000000-0006-0000-0300-00005C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198" authorId="8" shapeId="0" xr:uid="{00000000-0006-0000-0300-00005D010000}">
      <text>
        <r>
          <rPr>
            <sz val="8"/>
            <color indexed="81"/>
            <rFont val="Tahoma"/>
            <family val="2"/>
          </rPr>
          <t>Die Einspeisevergütung ist für Anlagen, die einen Zuschlag bei einer Ausschreibung erhalten haben, nicht zulässig.</t>
        </r>
      </text>
    </comment>
    <comment ref="G5198" authorId="8" shapeId="0" xr:uid="{00000000-0006-0000-0300-00005E010000}">
      <text>
        <r>
          <rPr>
            <sz val="8"/>
            <color indexed="81"/>
            <rFont val="Tahoma"/>
            <family val="2"/>
          </rPr>
          <t>Der Anzulegende Wert ergibt sich aus der Förderberechtigung der jeweiligen Windenergieanlage.</t>
        </r>
      </text>
    </comment>
    <comment ref="H5198" authorId="8" shapeId="0" xr:uid="{00000000-0006-0000-0300-00005F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199" authorId="8" shapeId="0" xr:uid="{00000000-0006-0000-0300-000060010000}">
      <text>
        <r>
          <rPr>
            <sz val="8"/>
            <color indexed="81"/>
            <rFont val="Tahoma"/>
            <family val="2"/>
          </rPr>
          <t>Die Einspeisevergütung ist für Anlagen, die einen Zuschlag bei einer Ausschreibung erhalten haben, nicht zulässig.</t>
        </r>
      </text>
    </comment>
    <comment ref="G5199" authorId="8" shapeId="0" xr:uid="{00000000-0006-0000-0300-000061010000}">
      <text>
        <r>
          <rPr>
            <sz val="8"/>
            <color indexed="81"/>
            <rFont val="Tahoma"/>
            <family val="2"/>
          </rPr>
          <t>Der Anzulegende Wert ergibt sich aus der Förderberechtigung der jeweiligen Windenergieanlage.</t>
        </r>
      </text>
    </comment>
    <comment ref="H5199" authorId="8" shapeId="0" xr:uid="{00000000-0006-0000-0300-000062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0" authorId="8" shapeId="0" xr:uid="{00000000-0006-0000-0300-000063010000}">
      <text>
        <r>
          <rPr>
            <sz val="8"/>
            <color indexed="81"/>
            <rFont val="Tahoma"/>
            <family val="2"/>
          </rPr>
          <t>Die Einspeisevergütung ist für Anlagen, die einen Zuschlag bei einer Ausschreibung erhalten haben, nicht zulässig.</t>
        </r>
      </text>
    </comment>
    <comment ref="G5200" authorId="8" shapeId="0" xr:uid="{00000000-0006-0000-0300-000064010000}">
      <text>
        <r>
          <rPr>
            <sz val="8"/>
            <color indexed="81"/>
            <rFont val="Tahoma"/>
            <family val="2"/>
          </rPr>
          <t>Der Anzulegende Wert ergibt sich aus der Förderberechtigung der jeweiligen Solaranlage (Freifläche oder Nicht-Gebäude) ggf. nach Abzug der Kürzung gemäß § 54 EEG 2017.</t>
        </r>
      </text>
    </comment>
    <comment ref="H5200" authorId="8" shapeId="0" xr:uid="{00000000-0006-0000-0300-000065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01" authorId="8" shapeId="0" xr:uid="{00000000-0006-0000-0300-000066010000}">
      <text>
        <r>
          <rPr>
            <sz val="8"/>
            <color indexed="81"/>
            <rFont val="Tahoma"/>
            <family val="2"/>
          </rPr>
          <t>Die Einspeisevergütung ist für Anlagen, die einen Zuschlag bei einer Ausschreibung erhalten haben, nicht zulässig.</t>
        </r>
      </text>
    </comment>
    <comment ref="G5201" authorId="8" shapeId="0" xr:uid="{00000000-0006-0000-0300-000067010000}">
      <text>
        <r>
          <rPr>
            <sz val="8"/>
            <color indexed="81"/>
            <rFont val="Tahoma"/>
            <family val="2"/>
          </rPr>
          <t>Der Anzulegende Wert ergibt sich aus der Förderberechtigung der jeweiligen Solaranlage (Gebäude) ggf. nach Abzug der Kürzung gemäß § 54 EEG 2017.</t>
        </r>
      </text>
    </comment>
    <comment ref="H5201" authorId="8" shapeId="0" xr:uid="{00000000-0006-0000-0300-000068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201" authorId="1" shapeId="0" xr:uid="{00000000-0006-0000-0300-000069010000}">
      <text>
        <r>
          <rPr>
            <sz val="9"/>
            <color indexed="81"/>
            <rFont val="Tahoma"/>
            <family val="2"/>
          </rPr>
          <t>Der Mieterstromzuschlag ist im Fall eines Ausschreibungsverfahren  irrelevant, da sich beide gegenseitig ausschließen.</t>
        </r>
      </text>
    </comment>
    <comment ref="F5203" authorId="8" shapeId="0" xr:uid="{00000000-0006-0000-0300-00006A010000}">
      <text>
        <r>
          <rPr>
            <sz val="8"/>
            <color indexed="81"/>
            <rFont val="Tahoma"/>
            <family val="2"/>
          </rPr>
          <t>Die Einspeisevergütung ist für Anlagen, die einen Zuschlag bei einer Ausschreibung erhalten haben, nicht zulässig.</t>
        </r>
      </text>
    </comment>
    <comment ref="G5203" authorId="8" shapeId="0" xr:uid="{00000000-0006-0000-0300-00006B010000}">
      <text>
        <r>
          <rPr>
            <sz val="8"/>
            <color indexed="81"/>
            <rFont val="Tahoma"/>
            <family val="2"/>
          </rPr>
          <t>Der Anzulegende Wert ergibt sich aus der Förderberechtigung der jeweiligen Biomasseanlage.</t>
        </r>
      </text>
    </comment>
    <comment ref="H5203" authorId="8" shapeId="0" xr:uid="{00000000-0006-0000-0300-00006C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204" authorId="8" shapeId="0" xr:uid="{00000000-0006-0000-0300-00006D010000}">
      <text>
        <r>
          <rPr>
            <sz val="8"/>
            <color indexed="81"/>
            <rFont val="Tahoma"/>
            <family val="2"/>
          </rPr>
          <t>Die Einspeisevergütung ist für Anlagen, die einen Zuschlag bei einer Ausschreibung erhalten haben, nicht zulässig.</t>
        </r>
      </text>
    </comment>
    <comment ref="G5204" authorId="8" shapeId="0" xr:uid="{00000000-0006-0000-0300-00006E010000}">
      <text>
        <r>
          <rPr>
            <sz val="8"/>
            <color indexed="81"/>
            <rFont val="Tahoma"/>
            <family val="2"/>
          </rPr>
          <t>Der Anzulegende Wert ergibt sich aus der Förderberechtigung der jeweiligen Windenergieanlage.</t>
        </r>
      </text>
    </comment>
    <comment ref="H5204" authorId="8" shapeId="0" xr:uid="{00000000-0006-0000-0300-00006F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5" authorId="8" shapeId="0" xr:uid="{00000000-0006-0000-0300-000070010000}">
      <text>
        <r>
          <rPr>
            <sz val="8"/>
            <color indexed="81"/>
            <rFont val="Tahoma"/>
            <family val="2"/>
          </rPr>
          <t>Die Einspeisevergütung ist für Anlagen, die einen Zuschlag bei einer Ausschreibung erhalten haben, nicht zulässig.</t>
        </r>
      </text>
    </comment>
    <comment ref="G5205" authorId="8" shapeId="0" xr:uid="{00000000-0006-0000-0300-000071010000}">
      <text>
        <r>
          <rPr>
            <sz val="8"/>
            <color indexed="81"/>
            <rFont val="Tahoma"/>
            <family val="2"/>
          </rPr>
          <t>Der Anzulegende Wert ergibt sich aus der Förderberechtigung der jeweiligen Windenergieanlage.</t>
        </r>
      </text>
    </comment>
    <comment ref="H5205" authorId="8" shapeId="0" xr:uid="{00000000-0006-0000-0300-000072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06" authorId="8" shapeId="0" xr:uid="{00000000-0006-0000-0300-000073010000}">
      <text>
        <r>
          <rPr>
            <sz val="8"/>
            <color indexed="81"/>
            <rFont val="Tahoma"/>
            <family val="2"/>
          </rPr>
          <t>Die Einspeisevergütung ist für Anlagen, die einen Zuschlag bei einer Ausschreibung erhalten haben, nicht zulässig.</t>
        </r>
      </text>
    </comment>
    <comment ref="G5206" authorId="8" shapeId="0" xr:uid="{00000000-0006-0000-0300-000074010000}">
      <text>
        <r>
          <rPr>
            <sz val="8"/>
            <color indexed="81"/>
            <rFont val="Tahoma"/>
            <family val="2"/>
          </rPr>
          <t>Der Anzulegende Wert ergibt sich aus der Förderberechtigung der jeweiligen Solaranlage (Freifläche oder Nicht-Gebäude) ggf. nach Abzug der Kürzung gemäß § 54 EEG 2017.</t>
        </r>
      </text>
    </comment>
    <comment ref="H5206" authorId="8" shapeId="0" xr:uid="{00000000-0006-0000-0300-000075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07" authorId="8" shapeId="0" xr:uid="{00000000-0006-0000-0300-000076010000}">
      <text>
        <r>
          <rPr>
            <sz val="8"/>
            <color indexed="81"/>
            <rFont val="Tahoma"/>
            <family val="2"/>
          </rPr>
          <t>Die Einspeisevergütung ist für Anlagen, die einen Zuschlag bei einer Ausschreibung erhalten haben, nicht zulässig.</t>
        </r>
      </text>
    </comment>
    <comment ref="G5207" authorId="8" shapeId="0" xr:uid="{00000000-0006-0000-0300-000077010000}">
      <text>
        <r>
          <rPr>
            <sz val="8"/>
            <color indexed="81"/>
            <rFont val="Tahoma"/>
            <family val="2"/>
          </rPr>
          <t>Der Anzulegende Wert ergibt sich aus der Förderberechtigung der jeweiligen Solaranlage (Gebäude) ggf. nach Abzug der Kürzung gemäß § 54 EEG 2017.</t>
        </r>
      </text>
    </comment>
    <comment ref="H5207" authorId="8" shapeId="0" xr:uid="{00000000-0006-0000-0300-000078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I5207" authorId="1" shapeId="0" xr:uid="{00000000-0006-0000-0300-000079010000}">
      <text>
        <r>
          <rPr>
            <sz val="9"/>
            <color indexed="81"/>
            <rFont val="Tahoma"/>
            <family val="2"/>
          </rPr>
          <t>Der Mieterstromzuschlag ist im Fall eines Ausschreibungsverfahren  irrelevant, da sich beide gegenseitig ausschließen.</t>
        </r>
      </text>
    </comment>
    <comment ref="F5209" authorId="8" shapeId="0" xr:uid="{00000000-0006-0000-0300-00007A010000}">
      <text>
        <r>
          <rPr>
            <sz val="8"/>
            <color indexed="81"/>
            <rFont val="Tahoma"/>
            <family val="2"/>
          </rPr>
          <t>Die Einspeisevergütung ist für Anlagen, die einen Zuschlag bei einer Ausschreibung erhalten haben, nicht zulässig.</t>
        </r>
      </text>
    </comment>
    <comment ref="G5209" authorId="8" shapeId="0" xr:uid="{00000000-0006-0000-0300-00007B010000}">
      <text>
        <r>
          <rPr>
            <sz val="8"/>
            <color indexed="81"/>
            <rFont val="Tahoma"/>
            <family val="2"/>
          </rPr>
          <t>Der Anzulegende Wert ergibt sich aus der Förderberechtigung der jeweiligen Biomasseanlage.</t>
        </r>
      </text>
    </comment>
    <comment ref="H5209" authorId="8" shapeId="0" xr:uid="{00000000-0006-0000-0300-00007C010000}">
      <text>
        <r>
          <rPr>
            <sz val="8"/>
            <color indexed="81"/>
            <rFont val="Tahoma"/>
            <family val="2"/>
          </rPr>
          <t>Die Ausfallvergütung ergibt sich aus dem Anzulegendem Wert der Förderberechtigung der jeweiligen Biomasseanlage, der mit 0,8 zu multiplizieren und auf zwei Nachkommastellen (bezogen auf ct/kWh) zu runden ist.</t>
        </r>
      </text>
    </comment>
    <comment ref="F5210" authorId="8" shapeId="0" xr:uid="{00000000-0006-0000-0300-00007D010000}">
      <text>
        <r>
          <rPr>
            <sz val="8"/>
            <color indexed="81"/>
            <rFont val="Tahoma"/>
            <family val="2"/>
          </rPr>
          <t>Die Einspeisevergütung ist für Anlagen, die einen Zuschlag bei einer Ausschreibung erhalten haben, nicht zulässig.</t>
        </r>
      </text>
    </comment>
    <comment ref="G5210" authorId="8" shapeId="0" xr:uid="{00000000-0006-0000-0300-00007E010000}">
      <text>
        <r>
          <rPr>
            <sz val="8"/>
            <color indexed="81"/>
            <rFont val="Tahoma"/>
            <family val="2"/>
          </rPr>
          <t>Der Anzulegende Wert ergibt sich aus der Förderberechtigung der jeweiligen Windenergieanlage.</t>
        </r>
      </text>
    </comment>
    <comment ref="H5210" authorId="8" shapeId="0" xr:uid="{00000000-0006-0000-0300-00007F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11" authorId="8" shapeId="0" xr:uid="{00000000-0006-0000-0300-000080010000}">
      <text>
        <r>
          <rPr>
            <sz val="8"/>
            <color indexed="81"/>
            <rFont val="Tahoma"/>
            <family val="2"/>
          </rPr>
          <t>Die Einspeisevergütung ist für Anlagen, die einen Zuschlag bei einer Ausschreibung erhalten haben, nicht zulässig.</t>
        </r>
      </text>
    </comment>
    <comment ref="G5211" authorId="8" shapeId="0" xr:uid="{00000000-0006-0000-0300-000081010000}">
      <text>
        <r>
          <rPr>
            <sz val="8"/>
            <color indexed="81"/>
            <rFont val="Tahoma"/>
            <family val="2"/>
          </rPr>
          <t>Der Anzulegende Wert ergibt sich aus der Förderberechtigung der jeweiligen Windenergieanlage.</t>
        </r>
      </text>
    </comment>
    <comment ref="H5211" authorId="8" shapeId="0" xr:uid="{00000000-0006-0000-0300-000082010000}">
      <text>
        <r>
          <rPr>
            <sz val="8"/>
            <color indexed="81"/>
            <rFont val="Tahoma"/>
            <family val="2"/>
          </rPr>
          <t>Die Ausfallvergütung ergibt sich aus dem Anzulegendem Wert der Förderberechtigung der jeweiligen Windenergieanlage, der mit 0,8 zu multiplizieren und auf zwei Nachkommastellen (bezogen auf ct/kWh) zu runden ist.</t>
        </r>
      </text>
    </comment>
    <comment ref="F5212" authorId="8" shapeId="0" xr:uid="{00000000-0006-0000-0300-000083010000}">
      <text>
        <r>
          <rPr>
            <sz val="8"/>
            <color indexed="81"/>
            <rFont val="Tahoma"/>
            <family val="2"/>
          </rPr>
          <t>Die Einspeisevergütung ist für Anlagen, die einen Zuschlag bei einer Ausschreibung erhalten haben, nicht zulässig.</t>
        </r>
      </text>
    </comment>
    <comment ref="G5212" authorId="8" shapeId="0" xr:uid="{00000000-0006-0000-0300-000084010000}">
      <text>
        <r>
          <rPr>
            <sz val="8"/>
            <color indexed="81"/>
            <rFont val="Tahoma"/>
            <family val="2"/>
          </rPr>
          <t>Der Anzulegende Wert ergibt sich aus der Förderberechtigung der jeweiligen Solaranlage (Freifläche oder Nicht-Gebäude).</t>
        </r>
      </text>
    </comment>
    <comment ref="H5212" authorId="8" shapeId="0" xr:uid="{00000000-0006-0000-0300-000085010000}">
      <text>
        <r>
          <rPr>
            <sz val="8"/>
            <color indexed="81"/>
            <rFont val="Tahoma"/>
            <family val="2"/>
          </rPr>
          <t>Die Ausfallvergütung ergibt sich aus dem Anzulegendem Wert der Förderberechtigung der jeweiligen Solaranlage (Freifläche oder Nicht-Gebäude), der mit 0,8 zu multiplizieren und auf zwei Nachkommastellen (bezogen auf ct/kWh) zu runden ist. Sofern eine Kürzung gemäß § 54 EEG 2017 vorzunehmen ist, erfolgt diese erst anschließend von dem bereits gerundeten Wert.</t>
        </r>
      </text>
    </comment>
    <comment ref="F5213" authorId="8" shapeId="0" xr:uid="{00000000-0006-0000-0300-000086010000}">
      <text>
        <r>
          <rPr>
            <sz val="8"/>
            <color indexed="81"/>
            <rFont val="Tahoma"/>
            <family val="2"/>
          </rPr>
          <t>Die Einspeisevergütung ist für Anlagen, die einen Zuschlag bei einer Ausschreibung erhalten haben, nicht zulässig.</t>
        </r>
      </text>
    </comment>
    <comment ref="G5213" authorId="8" shapeId="0" xr:uid="{00000000-0006-0000-0300-000087010000}">
      <text>
        <r>
          <rPr>
            <sz val="8"/>
            <color indexed="81"/>
            <rFont val="Tahoma"/>
            <family val="2"/>
          </rPr>
          <t>Der Anzulegende Wert ergibt sich aus der Förderberechtigung der jeweiligen Solaranlage (Gebäude).</t>
        </r>
      </text>
    </comment>
    <comment ref="H5213" authorId="8" shapeId="0" xr:uid="{00000000-0006-0000-0300-000088010000}">
      <text>
        <r>
          <rPr>
            <sz val="8"/>
            <color indexed="81"/>
            <rFont val="Tahoma"/>
            <family val="2"/>
          </rPr>
          <t>Die Ausfallvergütung ergibt sich aus dem Anzulegendem Wert der Förderberechtigung der jeweiligen Solaranlage (Gebäude), der mit 0,8 zu multiplizieren und auf zwei Nachkommastellen (bezogen auf ct/kWh) zu runden ist. Sofern eine Kürzung gemäß § 54 EEG 2017 vorzunehmen ist, erfolgt diese erst anschließend von dem bereits gerundeten Wert.</t>
        </r>
      </text>
    </comment>
    <comment ref="F5240" authorId="4" shapeId="0" xr:uid="{00000000-0006-0000-0300-000089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0" authorId="4" shapeId="0" xr:uid="{00000000-0006-0000-0300-00008A010000}">
      <text>
        <r>
          <rPr>
            <sz val="9"/>
            <color indexed="81"/>
            <rFont val="Segoe UI"/>
            <family val="2"/>
          </rPr>
          <t>Die Angabe einer Marktprämie ist nicht zulässig</t>
        </r>
      </text>
    </comment>
    <comment ref="H5240" authorId="4" shapeId="0" xr:uid="{00000000-0006-0000-0300-00008B010000}">
      <text>
        <r>
          <rPr>
            <sz val="9"/>
            <color indexed="81"/>
            <rFont val="Segoe UI"/>
            <family val="2"/>
          </rPr>
          <t xml:space="preserve">Die Angabe einer Ausfallvergütung
 ist nicht zulässig </t>
        </r>
      </text>
    </comment>
    <comment ref="F5241" authorId="4" shapeId="0" xr:uid="{00000000-0006-0000-0300-00008C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1" authorId="4" shapeId="0" xr:uid="{00000000-0006-0000-0300-00008D010000}">
      <text>
        <r>
          <rPr>
            <sz val="9"/>
            <color indexed="81"/>
            <rFont val="Segoe UI"/>
            <family val="2"/>
          </rPr>
          <t>Die Angabe einer Marktprämie ist nicht zulässig</t>
        </r>
      </text>
    </comment>
    <comment ref="H5241" authorId="4" shapeId="0" xr:uid="{00000000-0006-0000-0300-00008E010000}">
      <text>
        <r>
          <rPr>
            <sz val="9"/>
            <color indexed="81"/>
            <rFont val="Segoe UI"/>
            <family val="2"/>
          </rPr>
          <t xml:space="preserve">Die Angabe einer Ausfallvergütung
 ist nicht zulässig </t>
        </r>
      </text>
    </comment>
    <comment ref="F5242" authorId="4" shapeId="0" xr:uid="{00000000-0006-0000-0300-00008F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2" authorId="4" shapeId="0" xr:uid="{00000000-0006-0000-0300-000090010000}">
      <text>
        <r>
          <rPr>
            <sz val="9"/>
            <color indexed="81"/>
            <rFont val="Segoe UI"/>
            <family val="2"/>
          </rPr>
          <t>Die Angabe einer Marktprämie ist nicht zulässig</t>
        </r>
      </text>
    </comment>
    <comment ref="H5242" authorId="4" shapeId="0" xr:uid="{00000000-0006-0000-0300-000091010000}">
      <text>
        <r>
          <rPr>
            <sz val="9"/>
            <color indexed="81"/>
            <rFont val="Segoe UI"/>
            <family val="2"/>
          </rPr>
          <t xml:space="preserve">Die Angabe einer Ausfallvergütung
 ist nicht zulässig </t>
        </r>
      </text>
    </comment>
    <comment ref="F5243" authorId="4" shapeId="0" xr:uid="{00000000-0006-0000-0300-000092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3" authorId="4" shapeId="0" xr:uid="{00000000-0006-0000-0300-000093010000}">
      <text>
        <r>
          <rPr>
            <sz val="9"/>
            <color indexed="81"/>
            <rFont val="Segoe UI"/>
            <family val="2"/>
          </rPr>
          <t>Die Angabe einer Marktprämie ist nicht zulässig</t>
        </r>
      </text>
    </comment>
    <comment ref="H5243" authorId="4" shapeId="0" xr:uid="{00000000-0006-0000-0300-000094010000}">
      <text>
        <r>
          <rPr>
            <sz val="9"/>
            <color indexed="81"/>
            <rFont val="Segoe UI"/>
            <family val="2"/>
          </rPr>
          <t xml:space="preserve">Die Angabe einer Ausfallvergütung
 ist nicht zulässig </t>
        </r>
      </text>
    </comment>
    <comment ref="F5244" authorId="4" shapeId="0" xr:uid="{00000000-0006-0000-0300-000095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4" authorId="4" shapeId="0" xr:uid="{00000000-0006-0000-0300-000096010000}">
      <text>
        <r>
          <rPr>
            <sz val="9"/>
            <color indexed="81"/>
            <rFont val="Segoe UI"/>
            <family val="2"/>
          </rPr>
          <t>Die Angabe einer Marktprämie ist nicht zulässig</t>
        </r>
      </text>
    </comment>
    <comment ref="H5244" authorId="4" shapeId="0" xr:uid="{00000000-0006-0000-0300-000097010000}">
      <text>
        <r>
          <rPr>
            <sz val="9"/>
            <color indexed="81"/>
            <rFont val="Segoe UI"/>
            <family val="2"/>
          </rPr>
          <t xml:space="preserve">Die Angabe einer Ausfallvergütung
 ist nicht zulässig </t>
        </r>
      </text>
    </comment>
    <comment ref="F5246" authorId="4" shapeId="0" xr:uid="{00000000-0006-0000-0300-000098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6" authorId="4" shapeId="0" xr:uid="{00000000-0006-0000-0300-000099010000}">
      <text>
        <r>
          <rPr>
            <sz val="9"/>
            <color indexed="81"/>
            <rFont val="Segoe UI"/>
            <family val="2"/>
          </rPr>
          <t>Die Angabe einer Marktprämie ist nicht zulässig</t>
        </r>
      </text>
    </comment>
    <comment ref="H5246" authorId="4" shapeId="0" xr:uid="{00000000-0006-0000-0300-00009A010000}">
      <text>
        <r>
          <rPr>
            <sz val="9"/>
            <color indexed="81"/>
            <rFont val="Segoe UI"/>
            <family val="2"/>
          </rPr>
          <t xml:space="preserve">Die Angabe einer Ausfallvergütung
 ist nicht zulässig </t>
        </r>
      </text>
    </comment>
    <comment ref="F5247" authorId="4" shapeId="0" xr:uid="{00000000-0006-0000-0300-00009B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7" authorId="4" shapeId="0" xr:uid="{00000000-0006-0000-0300-00009C010000}">
      <text>
        <r>
          <rPr>
            <sz val="9"/>
            <color indexed="81"/>
            <rFont val="Segoe UI"/>
            <family val="2"/>
          </rPr>
          <t>Die Angabe einer Marktprämie ist nicht zulässig</t>
        </r>
      </text>
    </comment>
    <comment ref="H5247" authorId="4" shapeId="0" xr:uid="{00000000-0006-0000-0300-00009D010000}">
      <text>
        <r>
          <rPr>
            <sz val="9"/>
            <color indexed="81"/>
            <rFont val="Segoe UI"/>
            <family val="2"/>
          </rPr>
          <t xml:space="preserve">Die Angabe einer Ausfallvergütung
 ist nicht zulässig </t>
        </r>
      </text>
    </comment>
    <comment ref="F5248" authorId="4" shapeId="0" xr:uid="{00000000-0006-0000-0300-00009E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8" authorId="4" shapeId="0" xr:uid="{00000000-0006-0000-0300-00009F010000}">
      <text>
        <r>
          <rPr>
            <sz val="9"/>
            <color indexed="81"/>
            <rFont val="Segoe UI"/>
            <family val="2"/>
          </rPr>
          <t>Die Angabe einer Marktprämie ist nicht zulässig</t>
        </r>
      </text>
    </comment>
    <comment ref="H5248" authorId="4" shapeId="0" xr:uid="{00000000-0006-0000-0300-0000A0010000}">
      <text>
        <r>
          <rPr>
            <sz val="9"/>
            <color indexed="81"/>
            <rFont val="Segoe UI"/>
            <family val="2"/>
          </rPr>
          <t xml:space="preserve">Die Angabe einer Ausfallvergütung
 ist nicht zulässig </t>
        </r>
      </text>
    </comment>
    <comment ref="F5249" authorId="4" shapeId="0" xr:uid="{00000000-0006-0000-0300-0000A1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49" authorId="4" shapeId="0" xr:uid="{00000000-0006-0000-0300-0000A2010000}">
      <text>
        <r>
          <rPr>
            <sz val="9"/>
            <color indexed="81"/>
            <rFont val="Segoe UI"/>
            <family val="2"/>
          </rPr>
          <t>Die Angabe einer Marktprämie ist nicht zulässig</t>
        </r>
      </text>
    </comment>
    <comment ref="H5249" authorId="4" shapeId="0" xr:uid="{00000000-0006-0000-0300-0000A3010000}">
      <text>
        <r>
          <rPr>
            <sz val="9"/>
            <color indexed="81"/>
            <rFont val="Segoe UI"/>
            <family val="2"/>
          </rPr>
          <t xml:space="preserve">Die Angabe einer Ausfallvergütung
 ist nicht zulässig </t>
        </r>
      </text>
    </comment>
    <comment ref="F5250" authorId="4" shapeId="0" xr:uid="{00000000-0006-0000-0300-0000A401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G5250" authorId="4" shapeId="0" xr:uid="{00000000-0006-0000-0300-0000A5010000}">
      <text>
        <r>
          <rPr>
            <sz val="9"/>
            <color indexed="81"/>
            <rFont val="Segoe UI"/>
            <family val="2"/>
          </rPr>
          <t>Die Angabe einer Marktprämie ist nicht zulässig</t>
        </r>
      </text>
    </comment>
    <comment ref="H5250" authorId="4" shapeId="0" xr:uid="{00000000-0006-0000-0300-0000A6010000}">
      <text>
        <r>
          <rPr>
            <sz val="9"/>
            <color indexed="81"/>
            <rFont val="Segoe UI"/>
            <family val="2"/>
          </rPr>
          <t xml:space="preserve">Die Angabe einer Ausfallvergütung
 ist nicht zulässig </t>
        </r>
      </text>
    </comment>
    <comment ref="F5256" authorId="4" shapeId="0" xr:uid="{00000000-0006-0000-0300-0000A7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57" authorId="4" shapeId="0" xr:uid="{00000000-0006-0000-0300-0000A8010000}">
      <text>
        <r>
          <rPr>
            <sz val="9"/>
            <color indexed="81"/>
            <rFont val="Segoe UI"/>
            <family val="2"/>
          </rPr>
          <t>Die Ermittlung der Marktprämie  erfolgt eigenverantwortlich durch den Netzbetreiber unter Berücksichtigung der jeweils zu berücksichtigenden gesetzlichen Regelungen.</t>
        </r>
      </text>
    </comment>
    <comment ref="F5259" authorId="4" shapeId="0" xr:uid="{00000000-0006-0000-0300-0000A9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60" authorId="4" shapeId="0" xr:uid="{00000000-0006-0000-0300-0000AA010000}">
      <text>
        <r>
          <rPr>
            <sz val="9"/>
            <color indexed="81"/>
            <rFont val="Segoe UI"/>
            <family val="2"/>
          </rPr>
          <t>Die Ermittlung der Marktprämie  erfolgt eigenverantwortlich durch den Netzbetreiber unter Berücksichtigung der jeweils zu berücksichtigenden gesetzlichen Regelungen.</t>
        </r>
      </text>
    </comment>
    <comment ref="F5262" authorId="4" shapeId="0" xr:uid="{00000000-0006-0000-0300-0000AB010000}">
      <text>
        <r>
          <rPr>
            <sz val="9"/>
            <color indexed="81"/>
            <rFont val="Segoe UI"/>
            <family val="2"/>
          </rPr>
          <t>Die Ermittlung der Einspeisevergütung  erfolgt eigenverantwortlich durch den Netzbetreiber unter Berücksichtigung der jeweils zu berücksichtigenden gesetzlichen Regelungen.</t>
        </r>
      </text>
    </comment>
    <comment ref="G5263" authorId="4" shapeId="0" xr:uid="{00000000-0006-0000-0300-0000AC010000}">
      <text>
        <r>
          <rPr>
            <sz val="9"/>
            <color indexed="81"/>
            <rFont val="Segoe UI"/>
            <family val="2"/>
          </rPr>
          <t>Die Ermittlung der Marktprämie  erfolgt eigenverantwortlich durch den Netzbetreiber unter Berücksichtigung der jeweils zu berücksichtigenden gesetzlichen Regelungen.</t>
        </r>
      </text>
    </comment>
    <comment ref="F5351" authorId="1" shapeId="0" xr:uid="{00000000-0006-0000-0300-0000AD010000}">
      <text>
        <r>
          <rPr>
            <sz val="9"/>
            <color indexed="81"/>
            <rFont val="Tahoma"/>
            <family val="2"/>
          </rPr>
          <t>Die Einspeisevergütung ist im Fall der Marktprämien-Direktvermarktung irrelevant, da sich beide gegenseitig ausschließen.</t>
        </r>
      </text>
    </comment>
    <comment ref="G5351" authorId="1" shapeId="0" xr:uid="{00000000-0006-0000-0300-0000AE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1" authorId="1" shapeId="0" xr:uid="{00000000-0006-0000-0300-0000AF010000}">
      <text>
        <r>
          <rPr>
            <sz val="9"/>
            <color indexed="81"/>
            <rFont val="Tahoma"/>
            <family val="2"/>
          </rPr>
          <t>Die Ausfallvergütung ist im Fall der Marktprämien-Direktvermarktung irrelevant, da sich beide gegenseitig ausschließen.</t>
        </r>
      </text>
    </comment>
    <comment ref="F5352" authorId="1" shapeId="0" xr:uid="{00000000-0006-0000-0300-0000B0010000}">
      <text>
        <r>
          <rPr>
            <sz val="9"/>
            <color indexed="81"/>
            <rFont val="Tahoma"/>
            <family val="2"/>
          </rPr>
          <t>Die Einspeisevergütung ist im Fall der Marktprämien-Direktvermarktung irrelevant, da sich beide gegenseitig ausschließen.</t>
        </r>
      </text>
    </comment>
    <comment ref="G5352" authorId="1" shapeId="0" xr:uid="{00000000-0006-0000-0300-0000B1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2" authorId="1" shapeId="0" xr:uid="{00000000-0006-0000-0300-0000B2010000}">
      <text>
        <r>
          <rPr>
            <sz val="9"/>
            <color indexed="81"/>
            <rFont val="Tahoma"/>
            <family val="2"/>
          </rPr>
          <t>Die Ausfallvergütung ist im Fall der Marktprämien-Direktvermarktung irrelevant, da sich beide gegenseitig ausschließen.</t>
        </r>
      </text>
    </comment>
    <comment ref="F5353" authorId="1" shapeId="0" xr:uid="{00000000-0006-0000-0300-0000B3010000}">
      <text>
        <r>
          <rPr>
            <sz val="9"/>
            <color indexed="81"/>
            <rFont val="Tahoma"/>
            <family val="2"/>
          </rPr>
          <t>Die Einspeisevergütung ist im Fall der Marktprämien-Direktvermarktung irrelevant, da sich beide gegenseitig ausschließen.</t>
        </r>
      </text>
    </comment>
    <comment ref="G5353" authorId="1" shapeId="0" xr:uid="{00000000-0006-0000-0300-0000B4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3" authorId="1" shapeId="0" xr:uid="{00000000-0006-0000-0300-0000B5010000}">
      <text>
        <r>
          <rPr>
            <sz val="9"/>
            <color indexed="81"/>
            <rFont val="Tahoma"/>
            <family val="2"/>
          </rPr>
          <t>Die Ausfallvergütung ist im Fall der Marktprämien-Direktvermarktung irrelevant, da sich beide gegenseitig ausschließen.</t>
        </r>
      </text>
    </comment>
    <comment ref="F5354" authorId="1" shapeId="0" xr:uid="{00000000-0006-0000-0300-0000B6010000}">
      <text>
        <r>
          <rPr>
            <sz val="9"/>
            <color indexed="81"/>
            <rFont val="Tahoma"/>
            <family val="2"/>
          </rPr>
          <t>Die Einspeisevergütung ist im Fall der Marktprämien-Direktvermarktung irrelevant, da sich beide gegenseitig ausschließen.</t>
        </r>
      </text>
    </comment>
    <comment ref="G5354" authorId="1" shapeId="0" xr:uid="{00000000-0006-0000-0300-0000B7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4" authorId="1" shapeId="0" xr:uid="{00000000-0006-0000-0300-0000B8010000}">
      <text>
        <r>
          <rPr>
            <sz val="9"/>
            <color indexed="81"/>
            <rFont val="Tahoma"/>
            <family val="2"/>
          </rPr>
          <t>Die Ausfallvergütung ist im Fall der Marktprämien-Direktvermarktung irrelevant, da sich beide gegenseitig ausschließen.</t>
        </r>
      </text>
    </comment>
    <comment ref="F5355" authorId="1" shapeId="0" xr:uid="{00000000-0006-0000-0300-0000B9010000}">
      <text>
        <r>
          <rPr>
            <sz val="9"/>
            <color indexed="81"/>
            <rFont val="Tahoma"/>
            <family val="2"/>
          </rPr>
          <t>Die Einspeisevergütung ist im Fall der Marktprämien-Direktvermarktung irrelevant, da sich beide gegenseitig ausschließen.</t>
        </r>
      </text>
    </comment>
    <comment ref="G5355" authorId="1" shapeId="0" xr:uid="{00000000-0006-0000-0300-0000BA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5" authorId="1" shapeId="0" xr:uid="{00000000-0006-0000-0300-0000BB010000}">
      <text>
        <r>
          <rPr>
            <sz val="9"/>
            <color indexed="81"/>
            <rFont val="Tahoma"/>
            <family val="2"/>
          </rPr>
          <t>Die Ausfallvergütung ist im Fall der Marktprämien-Direktvermarktung irrelevant, da sich beide gegenseitig ausschließen.</t>
        </r>
      </text>
    </comment>
    <comment ref="F5356" authorId="1" shapeId="0" xr:uid="{00000000-0006-0000-0300-0000BC010000}">
      <text>
        <r>
          <rPr>
            <sz val="9"/>
            <color indexed="81"/>
            <rFont val="Tahoma"/>
            <family val="2"/>
          </rPr>
          <t>Die Einspeisevergütung ist im Fall der Marktprämien-Direktvermarktung irrelevant, da sich beide gegenseitig ausschließen.</t>
        </r>
      </text>
    </comment>
    <comment ref="G5356" authorId="1" shapeId="0" xr:uid="{00000000-0006-0000-0300-0000BD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6" authorId="1" shapeId="0" xr:uid="{00000000-0006-0000-0300-0000BE010000}">
      <text>
        <r>
          <rPr>
            <sz val="9"/>
            <color indexed="81"/>
            <rFont val="Tahoma"/>
            <family val="2"/>
          </rPr>
          <t>Die Ausfallvergütung ist im Fall der Marktprämien-Direktvermarktung irrelevant, da sich beide gegenseitig ausschließen.</t>
        </r>
      </text>
    </comment>
    <comment ref="F5357" authorId="1" shapeId="0" xr:uid="{00000000-0006-0000-0300-0000BF010000}">
      <text>
        <r>
          <rPr>
            <sz val="9"/>
            <color indexed="81"/>
            <rFont val="Tahoma"/>
            <family val="2"/>
          </rPr>
          <t>Die Einspeisevergütung ist im Fall der Marktprämien-Direktvermarktung irrelevant, da sich beide gegenseitig ausschließen.</t>
        </r>
      </text>
    </comment>
    <comment ref="G5357" authorId="1" shapeId="0" xr:uid="{00000000-0006-0000-0300-0000C0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7" authorId="1" shapeId="0" xr:uid="{00000000-0006-0000-0300-0000C1010000}">
      <text>
        <r>
          <rPr>
            <sz val="9"/>
            <color indexed="81"/>
            <rFont val="Tahoma"/>
            <family val="2"/>
          </rPr>
          <t>Die Ausfallvergütung ist im Fall der Marktprämien-Direktvermarktung irrelevant, da sich beide gegenseitig ausschließen.</t>
        </r>
      </text>
    </comment>
    <comment ref="F5358" authorId="1" shapeId="0" xr:uid="{00000000-0006-0000-0300-0000C2010000}">
      <text>
        <r>
          <rPr>
            <sz val="9"/>
            <color indexed="81"/>
            <rFont val="Tahoma"/>
            <family val="2"/>
          </rPr>
          <t>Die Einspeisevergütung ist im Fall der Marktprämien-Direktvermarktung irrelevant, da sich beide gegenseitig ausschließen.</t>
        </r>
      </text>
    </comment>
    <comment ref="G5358" authorId="1" shapeId="0" xr:uid="{00000000-0006-0000-0300-0000C3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8" authorId="1" shapeId="0" xr:uid="{00000000-0006-0000-0300-0000C4010000}">
      <text>
        <r>
          <rPr>
            <sz val="9"/>
            <color indexed="81"/>
            <rFont val="Tahoma"/>
            <family val="2"/>
          </rPr>
          <t>Die Ausfallvergütung ist im Fall der Marktprämien-Direktvermarktung irrelevant, da sich beide gegenseitig ausschließen.</t>
        </r>
      </text>
    </comment>
    <comment ref="F5359" authorId="1" shapeId="0" xr:uid="{00000000-0006-0000-0300-0000C5010000}">
      <text>
        <r>
          <rPr>
            <sz val="9"/>
            <color indexed="81"/>
            <rFont val="Tahoma"/>
            <family val="2"/>
          </rPr>
          <t>Die Einspeisevergütung ist im Fall der Marktprämien-Direktvermarktung irrelevant, da sich beide gegenseitig ausschließen.</t>
        </r>
      </text>
    </comment>
    <comment ref="G5359" authorId="1" shapeId="0" xr:uid="{00000000-0006-0000-0300-0000C6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59" authorId="1" shapeId="0" xr:uid="{00000000-0006-0000-0300-0000C7010000}">
      <text>
        <r>
          <rPr>
            <sz val="9"/>
            <color indexed="81"/>
            <rFont val="Tahoma"/>
            <family val="2"/>
          </rPr>
          <t>Die Ausfallvergütung ist im Fall der Marktprämien-Direktvermarktung irrelevant, da sich beide gegenseitig ausschließen.</t>
        </r>
      </text>
    </comment>
    <comment ref="F5360" authorId="1" shapeId="0" xr:uid="{00000000-0006-0000-0300-0000C8010000}">
      <text>
        <r>
          <rPr>
            <sz val="9"/>
            <color indexed="81"/>
            <rFont val="Tahoma"/>
            <family val="2"/>
          </rPr>
          <t>Die Einspeisevergütung ist im Fall der Marktprämien-Direktvermarktung irrelevant, da sich beide gegenseitig ausschließen.</t>
        </r>
      </text>
    </comment>
    <comment ref="G5360" authorId="1" shapeId="0" xr:uid="{00000000-0006-0000-0300-0000C9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0" authorId="1" shapeId="0" xr:uid="{00000000-0006-0000-0300-0000CA010000}">
      <text>
        <r>
          <rPr>
            <sz val="9"/>
            <color indexed="81"/>
            <rFont val="Tahoma"/>
            <family val="2"/>
          </rPr>
          <t>Die Ausfallvergütung ist im Fall der Marktprämien-Direktvermarktung irrelevant, da sich beide gegenseitig ausschließen.</t>
        </r>
      </text>
    </comment>
    <comment ref="F5361" authorId="1" shapeId="0" xr:uid="{00000000-0006-0000-0300-0000CB010000}">
      <text>
        <r>
          <rPr>
            <sz val="9"/>
            <color indexed="81"/>
            <rFont val="Tahoma"/>
            <family val="2"/>
          </rPr>
          <t>Die Einspeisevergütung ist im Fall der Marktprämien-Direktvermarktung irrelevant, da sich beide gegenseitig ausschließen.</t>
        </r>
      </text>
    </comment>
    <comment ref="G5361" authorId="1" shapeId="0" xr:uid="{00000000-0006-0000-0300-0000CC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1" authorId="1" shapeId="0" xr:uid="{00000000-0006-0000-0300-0000CD010000}">
      <text>
        <r>
          <rPr>
            <sz val="9"/>
            <color indexed="81"/>
            <rFont val="Tahoma"/>
            <family val="2"/>
          </rPr>
          <t>Die Ausfallvergütung ist im Fall der Marktprämien-Direktvermarktung irrelevant, da sich beide gegenseitig ausschließen.</t>
        </r>
      </text>
    </comment>
    <comment ref="F5362" authorId="1" shapeId="0" xr:uid="{00000000-0006-0000-0300-0000CE010000}">
      <text>
        <r>
          <rPr>
            <sz val="9"/>
            <color indexed="81"/>
            <rFont val="Tahoma"/>
            <family val="2"/>
          </rPr>
          <t>Die Einspeisevergütung ist im Fall der Marktprämien-Direktvermarktung irrelevant, da sich beide gegenseitig ausschließen.</t>
        </r>
      </text>
    </comment>
    <comment ref="G5362" authorId="1" shapeId="0" xr:uid="{00000000-0006-0000-0300-0000CF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2" authorId="1" shapeId="0" xr:uid="{00000000-0006-0000-0300-0000D0010000}">
      <text>
        <r>
          <rPr>
            <sz val="9"/>
            <color indexed="81"/>
            <rFont val="Tahoma"/>
            <family val="2"/>
          </rPr>
          <t>Die Ausfallvergütung ist im Fall der Marktprämien-Direktvermarktung irrelevant, da sich beide gegenseitig ausschließen.</t>
        </r>
      </text>
    </comment>
    <comment ref="F5364" authorId="1" shapeId="0" xr:uid="{00000000-0006-0000-0300-0000D1010000}">
      <text>
        <r>
          <rPr>
            <sz val="9"/>
            <color indexed="81"/>
            <rFont val="Tahoma"/>
            <family val="2"/>
          </rPr>
          <t>Die Einspeisevergütung ist im Fall der Marktprämien-Direktvermarktung irrelevant, da sich beide gegenseitig ausschließen.</t>
        </r>
      </text>
    </comment>
    <comment ref="G5364" authorId="1" shapeId="0" xr:uid="{00000000-0006-0000-0300-0000D2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4" authorId="1" shapeId="0" xr:uid="{00000000-0006-0000-0300-0000D3010000}">
      <text>
        <r>
          <rPr>
            <sz val="9"/>
            <color indexed="81"/>
            <rFont val="Tahoma"/>
            <family val="2"/>
          </rPr>
          <t>Die Ausfallvergütung ist im Fall der Marktprämien-Direktvermarktung irrelevant, da sich beide gegenseitig ausschließen.</t>
        </r>
      </text>
    </comment>
    <comment ref="F5365" authorId="1" shapeId="0" xr:uid="{00000000-0006-0000-0300-0000D4010000}">
      <text>
        <r>
          <rPr>
            <sz val="9"/>
            <color indexed="81"/>
            <rFont val="Tahoma"/>
            <family val="2"/>
          </rPr>
          <t>Die Einspeisevergütung ist im Fall der Marktprämien-Direktvermarktung irrelevant, da sich beide gegenseitig ausschließen.</t>
        </r>
      </text>
    </comment>
    <comment ref="G5365" authorId="1" shapeId="0" xr:uid="{00000000-0006-0000-0300-0000D5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5" authorId="1" shapeId="0" xr:uid="{00000000-0006-0000-0300-0000D6010000}">
      <text>
        <r>
          <rPr>
            <sz val="9"/>
            <color indexed="81"/>
            <rFont val="Tahoma"/>
            <family val="2"/>
          </rPr>
          <t>Die Ausfallvergütung ist im Fall der Marktprämien-Direktvermarktung irrelevant, da sich beide gegenseitig ausschließen.</t>
        </r>
      </text>
    </comment>
    <comment ref="F5366" authorId="1" shapeId="0" xr:uid="{00000000-0006-0000-0300-0000D7010000}">
      <text>
        <r>
          <rPr>
            <sz val="9"/>
            <color indexed="81"/>
            <rFont val="Tahoma"/>
            <family val="2"/>
          </rPr>
          <t>Die Einspeisevergütung ist im Fall der Marktprämien-Direktvermarktung irrelevant, da sich beide gegenseitig ausschließen.</t>
        </r>
      </text>
    </comment>
    <comment ref="G5366" authorId="1" shapeId="0" xr:uid="{00000000-0006-0000-0300-0000D8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6" authorId="1" shapeId="0" xr:uid="{00000000-0006-0000-0300-0000D9010000}">
      <text>
        <r>
          <rPr>
            <sz val="9"/>
            <color indexed="81"/>
            <rFont val="Tahoma"/>
            <family val="2"/>
          </rPr>
          <t>Die Ausfallvergütung ist im Fall der Marktprämien-Direktvermarktung irrelevant, da sich beide gegenseitig ausschließen.</t>
        </r>
      </text>
    </comment>
    <comment ref="F5367" authorId="1" shapeId="0" xr:uid="{00000000-0006-0000-0300-0000DA010000}">
      <text>
        <r>
          <rPr>
            <sz val="9"/>
            <color indexed="81"/>
            <rFont val="Tahoma"/>
            <family val="2"/>
          </rPr>
          <t>Die Einspeisevergütung ist im Fall der Marktprämien-Direktvermarktung irrelevant, da sich beide gegenseitig ausschließen.</t>
        </r>
      </text>
    </comment>
    <comment ref="G5367" authorId="1" shapeId="0" xr:uid="{00000000-0006-0000-0300-0000DB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7" authorId="1" shapeId="0" xr:uid="{00000000-0006-0000-0300-0000DC010000}">
      <text>
        <r>
          <rPr>
            <sz val="9"/>
            <color indexed="81"/>
            <rFont val="Tahoma"/>
            <family val="2"/>
          </rPr>
          <t>Die Ausfallvergütung ist im Fall der Marktprämien-Direktvermarktung irrelevant, da sich beide gegenseitig ausschließen.</t>
        </r>
      </text>
    </comment>
    <comment ref="F5368" authorId="1" shapeId="0" xr:uid="{00000000-0006-0000-0300-0000DD010000}">
      <text>
        <r>
          <rPr>
            <sz val="9"/>
            <color indexed="81"/>
            <rFont val="Tahoma"/>
            <family val="2"/>
          </rPr>
          <t>Die Einspeisevergütung ist im Fall der Marktprämien-Direktvermarktung irrelevant, da sich beide gegenseitig ausschließen.</t>
        </r>
      </text>
    </comment>
    <comment ref="G5368" authorId="1" shapeId="0" xr:uid="{00000000-0006-0000-0300-0000DE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8" authorId="1" shapeId="0" xr:uid="{00000000-0006-0000-0300-0000DF010000}">
      <text>
        <r>
          <rPr>
            <sz val="9"/>
            <color indexed="81"/>
            <rFont val="Tahoma"/>
            <family val="2"/>
          </rPr>
          <t>Die Ausfallvergütung ist im Fall der Marktprämien-Direktvermarktung irrelevant, da sich beide gegenseitig ausschließen.</t>
        </r>
      </text>
    </comment>
    <comment ref="F5369" authorId="1" shapeId="0" xr:uid="{00000000-0006-0000-0300-0000E0010000}">
      <text>
        <r>
          <rPr>
            <sz val="9"/>
            <color indexed="81"/>
            <rFont val="Tahoma"/>
            <family val="2"/>
          </rPr>
          <t>Die Einspeisevergütung ist im Fall der Marktprämien-Direktvermarktung irrelevant, da sich beide gegenseitig ausschließen.</t>
        </r>
      </text>
    </comment>
    <comment ref="G5369" authorId="1" shapeId="0" xr:uid="{00000000-0006-0000-0300-0000E1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69" authorId="1" shapeId="0" xr:uid="{00000000-0006-0000-0300-0000E2010000}">
      <text>
        <r>
          <rPr>
            <sz val="9"/>
            <color indexed="81"/>
            <rFont val="Tahoma"/>
            <family val="2"/>
          </rPr>
          <t>Die Ausfallvergütung ist im Fall der Marktprämien-Direktvermarktung irrelevant, da sich beide gegenseitig ausschließen.</t>
        </r>
      </text>
    </comment>
    <comment ref="F5370" authorId="1" shapeId="0" xr:uid="{00000000-0006-0000-0300-0000E3010000}">
      <text>
        <r>
          <rPr>
            <sz val="9"/>
            <color indexed="81"/>
            <rFont val="Tahoma"/>
            <family val="2"/>
          </rPr>
          <t>Die Einspeisevergütung ist im Fall der Marktprämien-Direktvermarktung irrelevant, da sich beide gegenseitig ausschließen.</t>
        </r>
      </text>
    </comment>
    <comment ref="G5370" authorId="1" shapeId="0" xr:uid="{00000000-0006-0000-0300-0000E4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0" authorId="1" shapeId="0" xr:uid="{00000000-0006-0000-0300-0000E5010000}">
      <text>
        <r>
          <rPr>
            <sz val="9"/>
            <color indexed="81"/>
            <rFont val="Tahoma"/>
            <family val="2"/>
          </rPr>
          <t>Die Ausfallvergütung ist im Fall der Marktprämien-Direktvermarktung irrelevant, da sich beide gegenseitig ausschließen.</t>
        </r>
      </text>
    </comment>
    <comment ref="F5371" authorId="1" shapeId="0" xr:uid="{00000000-0006-0000-0300-0000E6010000}">
      <text>
        <r>
          <rPr>
            <sz val="9"/>
            <color indexed="81"/>
            <rFont val="Tahoma"/>
            <family val="2"/>
          </rPr>
          <t>Die Einspeisevergütung ist im Fall der Marktprämien-Direktvermarktung irrelevant, da sich beide gegenseitig ausschließen.</t>
        </r>
      </text>
    </comment>
    <comment ref="G5371" authorId="1" shapeId="0" xr:uid="{00000000-0006-0000-0300-0000E7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1" authorId="1" shapeId="0" xr:uid="{00000000-0006-0000-0300-0000E8010000}">
      <text>
        <r>
          <rPr>
            <sz val="9"/>
            <color indexed="81"/>
            <rFont val="Tahoma"/>
            <family val="2"/>
          </rPr>
          <t>Die Ausfallvergütung ist im Fall der Marktprämien-Direktvermarktung irrelevant, da sich beide gegenseitig ausschließen.</t>
        </r>
      </text>
    </comment>
    <comment ref="F5372" authorId="1" shapeId="0" xr:uid="{00000000-0006-0000-0300-0000E9010000}">
      <text>
        <r>
          <rPr>
            <sz val="9"/>
            <color indexed="81"/>
            <rFont val="Tahoma"/>
            <family val="2"/>
          </rPr>
          <t>Die Einspeisevergütung ist im Fall der Marktprämien-Direktvermarktung irrelevant, da sich beide gegenseitig ausschließen.</t>
        </r>
      </text>
    </comment>
    <comment ref="G5372" authorId="1" shapeId="0" xr:uid="{00000000-0006-0000-0300-0000EA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2" authorId="1" shapeId="0" xr:uid="{00000000-0006-0000-0300-0000EB010000}">
      <text>
        <r>
          <rPr>
            <sz val="9"/>
            <color indexed="81"/>
            <rFont val="Tahoma"/>
            <family val="2"/>
          </rPr>
          <t>Die Ausfallvergütung ist im Fall der Marktprämien-Direktvermarktung irrelevant, da sich beide gegenseitig ausschließen.</t>
        </r>
      </text>
    </comment>
    <comment ref="F5373" authorId="1" shapeId="0" xr:uid="{00000000-0006-0000-0300-0000EC010000}">
      <text>
        <r>
          <rPr>
            <sz val="9"/>
            <color indexed="81"/>
            <rFont val="Tahoma"/>
            <family val="2"/>
          </rPr>
          <t>Die Einspeisevergütung ist im Fall der Marktprämien-Direktvermarktung irrelevant, da sich beide gegenseitig ausschließen.</t>
        </r>
      </text>
    </comment>
    <comment ref="G5373" authorId="1" shapeId="0" xr:uid="{00000000-0006-0000-0300-0000ED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3" authorId="1" shapeId="0" xr:uid="{00000000-0006-0000-0300-0000EE010000}">
      <text>
        <r>
          <rPr>
            <sz val="9"/>
            <color indexed="81"/>
            <rFont val="Tahoma"/>
            <family val="2"/>
          </rPr>
          <t>Die Ausfallvergütung ist im Fall der Marktprämien-Direktvermarktung irrelevant, da sich beide gegenseitig ausschließen.</t>
        </r>
      </text>
    </comment>
    <comment ref="F5374" authorId="1" shapeId="0" xr:uid="{00000000-0006-0000-0300-0000EF010000}">
      <text>
        <r>
          <rPr>
            <sz val="9"/>
            <color indexed="81"/>
            <rFont val="Tahoma"/>
            <family val="2"/>
          </rPr>
          <t>Die Einspeisevergütung ist im Fall der Marktprämien-Direktvermarktung irrelevant, da sich beide gegenseitig ausschließen.</t>
        </r>
      </text>
    </comment>
    <comment ref="G5374" authorId="1" shapeId="0" xr:uid="{00000000-0006-0000-0300-0000F0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4" authorId="1" shapeId="0" xr:uid="{00000000-0006-0000-0300-0000F1010000}">
      <text>
        <r>
          <rPr>
            <sz val="9"/>
            <color indexed="81"/>
            <rFont val="Tahoma"/>
            <family val="2"/>
          </rPr>
          <t>Die Ausfallvergütung ist im Fall der Marktprämien-Direktvermarktung irrelevant, da sich beide gegenseitig ausschließen.</t>
        </r>
      </text>
    </comment>
    <comment ref="F5375" authorId="1" shapeId="0" xr:uid="{00000000-0006-0000-0300-0000F2010000}">
      <text>
        <r>
          <rPr>
            <sz val="9"/>
            <color indexed="81"/>
            <rFont val="Tahoma"/>
            <family val="2"/>
          </rPr>
          <t>Die Einspeisevergütung ist im Fall der Marktprämien-Direktvermarktung irrelevant, da sich beide gegenseitig ausschließen.</t>
        </r>
      </text>
    </comment>
    <comment ref="G5375" authorId="1" shapeId="0" xr:uid="{00000000-0006-0000-0300-0000F3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5" authorId="1" shapeId="0" xr:uid="{00000000-0006-0000-0300-0000F4010000}">
      <text>
        <r>
          <rPr>
            <sz val="9"/>
            <color indexed="81"/>
            <rFont val="Tahoma"/>
            <family val="2"/>
          </rPr>
          <t>Die Ausfallvergütung ist im Fall der Marktprämien-Direktvermarktung irrelevant, da sich beide gegenseitig ausschließen.</t>
        </r>
      </text>
    </comment>
    <comment ref="F5377" authorId="1" shapeId="0" xr:uid="{00000000-0006-0000-0300-0000F5010000}">
      <text>
        <r>
          <rPr>
            <sz val="9"/>
            <color indexed="81"/>
            <rFont val="Tahoma"/>
            <family val="2"/>
          </rPr>
          <t>Die Einspeisevergütung ist im Fall der Marktprämien-Direktvermarktung irrelevant, da sich beide gegenseitig ausschließen.</t>
        </r>
      </text>
    </comment>
    <comment ref="G5377" authorId="1" shapeId="0" xr:uid="{00000000-0006-0000-0300-0000F6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7" authorId="1" shapeId="0" xr:uid="{00000000-0006-0000-0300-0000F7010000}">
      <text>
        <r>
          <rPr>
            <sz val="9"/>
            <color indexed="81"/>
            <rFont val="Tahoma"/>
            <family val="2"/>
          </rPr>
          <t>Die Ausfallvergütung ist im Fall der Marktprämien-Direktvermarktung irrelevant, da sich beide gegenseitig ausschließen.</t>
        </r>
      </text>
    </comment>
    <comment ref="F5378" authorId="1" shapeId="0" xr:uid="{00000000-0006-0000-0300-0000F8010000}">
      <text>
        <r>
          <rPr>
            <sz val="9"/>
            <color indexed="81"/>
            <rFont val="Tahoma"/>
            <family val="2"/>
          </rPr>
          <t>Die Einspeisevergütung ist im Fall der Marktprämien-Direktvermarktung irrelevant, da sich beide gegenseitig ausschließen.</t>
        </r>
      </text>
    </comment>
    <comment ref="G5378" authorId="1" shapeId="0" xr:uid="{00000000-0006-0000-0300-0000F9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8" authorId="1" shapeId="0" xr:uid="{00000000-0006-0000-0300-0000FA010000}">
      <text>
        <r>
          <rPr>
            <sz val="9"/>
            <color indexed="81"/>
            <rFont val="Tahoma"/>
            <family val="2"/>
          </rPr>
          <t>Die Ausfallvergütung ist im Fall der Marktprämien-Direktvermarktung irrelevant, da sich beide gegenseitig ausschließen.</t>
        </r>
      </text>
    </comment>
    <comment ref="F5379" authorId="1" shapeId="0" xr:uid="{00000000-0006-0000-0300-0000FB010000}">
      <text>
        <r>
          <rPr>
            <sz val="9"/>
            <color indexed="81"/>
            <rFont val="Tahoma"/>
            <family val="2"/>
          </rPr>
          <t>Die Einspeisevergütung ist im Fall der Marktprämien-Direktvermarktung irrelevant, da sich beide gegenseitig ausschließen.</t>
        </r>
      </text>
    </comment>
    <comment ref="G5379" authorId="1" shapeId="0" xr:uid="{00000000-0006-0000-0300-0000FC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79" authorId="1" shapeId="0" xr:uid="{00000000-0006-0000-0300-0000FD010000}">
      <text>
        <r>
          <rPr>
            <sz val="9"/>
            <color indexed="81"/>
            <rFont val="Tahoma"/>
            <family val="2"/>
          </rPr>
          <t>Die Ausfallvergütung ist im Fall der Marktprämien-Direktvermarktung irrelevant, da sich beide gegenseitig ausschließen.</t>
        </r>
      </text>
    </comment>
    <comment ref="F5380" authorId="1" shapeId="0" xr:uid="{00000000-0006-0000-0300-0000FE010000}">
      <text>
        <r>
          <rPr>
            <sz val="9"/>
            <color indexed="81"/>
            <rFont val="Tahoma"/>
            <family val="2"/>
          </rPr>
          <t>Die Einspeisevergütung ist im Fall der Marktprämien-Direktvermarktung irrelevant, da sich beide gegenseitig ausschließen.</t>
        </r>
      </text>
    </comment>
    <comment ref="G5380" authorId="1" shapeId="0" xr:uid="{00000000-0006-0000-0300-0000FF01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0" authorId="1" shapeId="0" xr:uid="{00000000-0006-0000-0300-000000020000}">
      <text>
        <r>
          <rPr>
            <sz val="9"/>
            <color indexed="81"/>
            <rFont val="Tahoma"/>
            <family val="2"/>
          </rPr>
          <t>Die Ausfallvergütung ist im Fall der Marktprämien-Direktvermarktung irrelevant, da sich beide gegenseitig ausschließen.</t>
        </r>
      </text>
    </comment>
    <comment ref="F5381" authorId="1" shapeId="0" xr:uid="{00000000-0006-0000-0300-000001020000}">
      <text>
        <r>
          <rPr>
            <sz val="9"/>
            <color indexed="81"/>
            <rFont val="Tahoma"/>
            <family val="2"/>
          </rPr>
          <t>Die Einspeisevergütung ist im Fall der Marktprämien-Direktvermarktung irrelevant, da sich beide gegenseitig ausschließen.</t>
        </r>
      </text>
    </comment>
    <comment ref="G5381" authorId="1" shapeId="0" xr:uid="{00000000-0006-0000-0300-00000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1" authorId="1" shapeId="0" xr:uid="{00000000-0006-0000-0300-000003020000}">
      <text>
        <r>
          <rPr>
            <sz val="9"/>
            <color indexed="81"/>
            <rFont val="Tahoma"/>
            <family val="2"/>
          </rPr>
          <t>Die Ausfallvergütung ist im Fall der Marktprämien-Direktvermarktung irrelevant, da sich beide gegenseitig ausschließen.</t>
        </r>
      </text>
    </comment>
    <comment ref="F5382" authorId="1" shapeId="0" xr:uid="{00000000-0006-0000-0300-000004020000}">
      <text>
        <r>
          <rPr>
            <sz val="9"/>
            <color indexed="81"/>
            <rFont val="Tahoma"/>
            <family val="2"/>
          </rPr>
          <t>Die Einspeisevergütung ist im Fall der Marktprämien-Direktvermarktung irrelevant, da sich beide gegenseitig ausschließen.</t>
        </r>
      </text>
    </comment>
    <comment ref="G5382" authorId="1" shapeId="0" xr:uid="{00000000-0006-0000-0300-00000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2" authorId="1" shapeId="0" xr:uid="{00000000-0006-0000-0300-000006020000}">
      <text>
        <r>
          <rPr>
            <sz val="9"/>
            <color indexed="81"/>
            <rFont val="Tahoma"/>
            <family val="2"/>
          </rPr>
          <t>Die Ausfallvergütung ist im Fall der Marktprämien-Direktvermarktung irrelevant, da sich beide gegenseitig ausschließen.</t>
        </r>
      </text>
    </comment>
    <comment ref="F5383" authorId="1" shapeId="0" xr:uid="{00000000-0006-0000-0300-000007020000}">
      <text>
        <r>
          <rPr>
            <sz val="9"/>
            <color indexed="81"/>
            <rFont val="Tahoma"/>
            <family val="2"/>
          </rPr>
          <t>Die Einspeisevergütung ist im Fall der Marktprämien-Direktvermarktung irrelevant, da sich beide gegenseitig ausschließen.</t>
        </r>
      </text>
    </comment>
    <comment ref="G5383" authorId="1" shapeId="0" xr:uid="{00000000-0006-0000-0300-00000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3" authorId="1" shapeId="0" xr:uid="{00000000-0006-0000-0300-000009020000}">
      <text>
        <r>
          <rPr>
            <sz val="9"/>
            <color indexed="81"/>
            <rFont val="Tahoma"/>
            <family val="2"/>
          </rPr>
          <t>Die Ausfallvergütung ist im Fall der Marktprämien-Direktvermarktung irrelevant, da sich beide gegenseitig ausschließen.</t>
        </r>
      </text>
    </comment>
    <comment ref="F5384" authorId="1" shapeId="0" xr:uid="{00000000-0006-0000-0300-00000A020000}">
      <text>
        <r>
          <rPr>
            <sz val="9"/>
            <color indexed="81"/>
            <rFont val="Tahoma"/>
            <family val="2"/>
          </rPr>
          <t>Die Einspeisevergütung ist im Fall der Marktprämien-Direktvermarktung irrelevant, da sich beide gegenseitig ausschließen.</t>
        </r>
      </text>
    </comment>
    <comment ref="G5384" authorId="1" shapeId="0" xr:uid="{00000000-0006-0000-0300-00000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4" authorId="1" shapeId="0" xr:uid="{00000000-0006-0000-0300-00000C020000}">
      <text>
        <r>
          <rPr>
            <sz val="9"/>
            <color indexed="81"/>
            <rFont val="Tahoma"/>
            <family val="2"/>
          </rPr>
          <t>Die Ausfallvergütung ist im Fall der Marktprämien-Direktvermarktung irrelevant, da sich beide gegenseitig ausschließen.</t>
        </r>
      </text>
    </comment>
    <comment ref="F5385" authorId="1" shapeId="0" xr:uid="{00000000-0006-0000-0300-00000D020000}">
      <text>
        <r>
          <rPr>
            <sz val="9"/>
            <color indexed="81"/>
            <rFont val="Tahoma"/>
            <family val="2"/>
          </rPr>
          <t>Die Einspeisevergütung ist im Fall der Marktprämien-Direktvermarktung irrelevant, da sich beide gegenseitig ausschließen.</t>
        </r>
      </text>
    </comment>
    <comment ref="G5385" authorId="1" shapeId="0" xr:uid="{00000000-0006-0000-0300-00000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5" authorId="1" shapeId="0" xr:uid="{00000000-0006-0000-0300-00000F020000}">
      <text>
        <r>
          <rPr>
            <sz val="9"/>
            <color indexed="81"/>
            <rFont val="Tahoma"/>
            <family val="2"/>
          </rPr>
          <t>Die Ausfallvergütung ist im Fall der Marktprämien-Direktvermarktung irrelevant, da sich beide gegenseitig ausschließen.</t>
        </r>
      </text>
    </comment>
    <comment ref="F5386" authorId="1" shapeId="0" xr:uid="{00000000-0006-0000-0300-000010020000}">
      <text>
        <r>
          <rPr>
            <sz val="9"/>
            <color indexed="81"/>
            <rFont val="Tahoma"/>
            <family val="2"/>
          </rPr>
          <t>Die Einspeisevergütung ist im Fall der Marktprämien-Direktvermarktung irrelevant, da sich beide gegenseitig ausschließen.</t>
        </r>
      </text>
    </comment>
    <comment ref="G5386" authorId="1" shapeId="0" xr:uid="{00000000-0006-0000-0300-00001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6" authorId="1" shapeId="0" xr:uid="{00000000-0006-0000-0300-000012020000}">
      <text>
        <r>
          <rPr>
            <sz val="9"/>
            <color indexed="81"/>
            <rFont val="Tahoma"/>
            <family val="2"/>
          </rPr>
          <t>Die Ausfallvergütung ist im Fall der Marktprämien-Direktvermarktung irrelevant, da sich beide gegenseitig ausschließen.</t>
        </r>
      </text>
    </comment>
    <comment ref="F5387" authorId="1" shapeId="0" xr:uid="{00000000-0006-0000-0300-000013020000}">
      <text>
        <r>
          <rPr>
            <sz val="9"/>
            <color indexed="81"/>
            <rFont val="Tahoma"/>
            <family val="2"/>
          </rPr>
          <t>Die Einspeisevergütung ist im Fall der Marktprämien-Direktvermarktung irrelevant, da sich beide gegenseitig ausschließen.</t>
        </r>
      </text>
    </comment>
    <comment ref="G5387" authorId="1" shapeId="0" xr:uid="{00000000-0006-0000-0300-00001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7" authorId="1" shapeId="0" xr:uid="{00000000-0006-0000-0300-000015020000}">
      <text>
        <r>
          <rPr>
            <sz val="9"/>
            <color indexed="81"/>
            <rFont val="Tahoma"/>
            <family val="2"/>
          </rPr>
          <t>Die Ausfallvergütung ist im Fall der Marktprämien-Direktvermarktung irrelevant, da sich beide gegenseitig ausschließen.</t>
        </r>
      </text>
    </comment>
    <comment ref="F5388" authorId="1" shapeId="0" xr:uid="{00000000-0006-0000-0300-000016020000}">
      <text>
        <r>
          <rPr>
            <sz val="9"/>
            <color indexed="81"/>
            <rFont val="Tahoma"/>
            <family val="2"/>
          </rPr>
          <t>Die Einspeisevergütung ist im Fall der Marktprämien-Direktvermarktung irrelevant, da sich beide gegenseitig ausschließen.</t>
        </r>
      </text>
    </comment>
    <comment ref="G5388" authorId="1" shapeId="0" xr:uid="{00000000-0006-0000-0300-00001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88" authorId="1" shapeId="0" xr:uid="{00000000-0006-0000-0300-000018020000}">
      <text>
        <r>
          <rPr>
            <sz val="9"/>
            <color indexed="81"/>
            <rFont val="Tahoma"/>
            <family val="2"/>
          </rPr>
          <t>Die Ausfallvergütung ist im Fall der Marktprämien-Direktvermarktung irrelevant, da sich beide gegenseitig ausschließen.</t>
        </r>
      </text>
    </comment>
    <comment ref="F5390" authorId="1" shapeId="0" xr:uid="{00000000-0006-0000-0300-000019020000}">
      <text>
        <r>
          <rPr>
            <sz val="9"/>
            <color indexed="81"/>
            <rFont val="Tahoma"/>
            <family val="2"/>
          </rPr>
          <t>Die Einspeisevergütung ist im Fall der Marktprämien-Direktvermarktung irrelevant, da sich beide gegenseitig ausschließen.</t>
        </r>
      </text>
    </comment>
    <comment ref="G5390" authorId="1" shapeId="0" xr:uid="{00000000-0006-0000-0300-00001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0" authorId="1" shapeId="0" xr:uid="{00000000-0006-0000-0300-00001B020000}">
      <text>
        <r>
          <rPr>
            <sz val="9"/>
            <color indexed="81"/>
            <rFont val="Tahoma"/>
            <family val="2"/>
          </rPr>
          <t>Die Ausfallvergütung ist im Fall der Marktprämien-Direktvermarktung irrelevant, da sich beide gegenseitig ausschließen.</t>
        </r>
      </text>
    </comment>
    <comment ref="F5391" authorId="1" shapeId="0" xr:uid="{00000000-0006-0000-0300-00001C020000}">
      <text>
        <r>
          <rPr>
            <sz val="9"/>
            <color indexed="81"/>
            <rFont val="Tahoma"/>
            <family val="2"/>
          </rPr>
          <t>Die Einspeisevergütung ist im Fall der Marktprämien-Direktvermarktung irrelevant, da sich beide gegenseitig ausschließen.</t>
        </r>
      </text>
    </comment>
    <comment ref="G5391" authorId="1" shapeId="0" xr:uid="{00000000-0006-0000-0300-00001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1" authorId="1" shapeId="0" xr:uid="{00000000-0006-0000-0300-00001E020000}">
      <text>
        <r>
          <rPr>
            <sz val="9"/>
            <color indexed="81"/>
            <rFont val="Tahoma"/>
            <family val="2"/>
          </rPr>
          <t>Die Ausfallvergütung ist im Fall der Marktprämien-Direktvermarktung irrelevant, da sich beide gegenseitig ausschließen.</t>
        </r>
      </text>
    </comment>
    <comment ref="F5392" authorId="1" shapeId="0" xr:uid="{00000000-0006-0000-0300-00001F020000}">
      <text>
        <r>
          <rPr>
            <sz val="9"/>
            <color indexed="81"/>
            <rFont val="Tahoma"/>
            <family val="2"/>
          </rPr>
          <t>Die Einspeisevergütung ist im Fall der Marktprämien-Direktvermarktung irrelevant, da sich beide gegenseitig ausschließen.</t>
        </r>
      </text>
    </comment>
    <comment ref="G5392" authorId="1" shapeId="0" xr:uid="{00000000-0006-0000-0300-00002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2" authorId="1" shapeId="0" xr:uid="{00000000-0006-0000-0300-000021020000}">
      <text>
        <r>
          <rPr>
            <sz val="9"/>
            <color indexed="81"/>
            <rFont val="Tahoma"/>
            <family val="2"/>
          </rPr>
          <t>Die Ausfallvergütung ist im Fall der Marktprämien-Direktvermarktung irrelevant, da sich beide gegenseitig ausschließen.</t>
        </r>
      </text>
    </comment>
    <comment ref="F5393" authorId="1" shapeId="0" xr:uid="{00000000-0006-0000-0300-000022020000}">
      <text>
        <r>
          <rPr>
            <sz val="9"/>
            <color indexed="81"/>
            <rFont val="Tahoma"/>
            <family val="2"/>
          </rPr>
          <t>Die Einspeisevergütung ist im Fall der Marktprämien-Direktvermarktung irrelevant, da sich beide gegenseitig ausschließen.</t>
        </r>
      </text>
    </comment>
    <comment ref="G5393" authorId="1" shapeId="0" xr:uid="{00000000-0006-0000-0300-00002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3" authorId="1" shapeId="0" xr:uid="{00000000-0006-0000-0300-000024020000}">
      <text>
        <r>
          <rPr>
            <sz val="9"/>
            <color indexed="81"/>
            <rFont val="Tahoma"/>
            <family val="2"/>
          </rPr>
          <t>Die Ausfallvergütung ist im Fall der Marktprämien-Direktvermarktung irrelevant, da sich beide gegenseitig ausschließen.</t>
        </r>
      </text>
    </comment>
    <comment ref="F5394" authorId="1" shapeId="0" xr:uid="{00000000-0006-0000-0300-000025020000}">
      <text>
        <r>
          <rPr>
            <sz val="9"/>
            <color indexed="81"/>
            <rFont val="Tahoma"/>
            <family val="2"/>
          </rPr>
          <t>Die Einspeisevergütung ist im Fall der Marktprämien-Direktvermarktung irrelevant, da sich beide gegenseitig ausschließen.</t>
        </r>
      </text>
    </comment>
    <comment ref="G5394" authorId="1" shapeId="0" xr:uid="{00000000-0006-0000-0300-00002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4" authorId="1" shapeId="0" xr:uid="{00000000-0006-0000-0300-000027020000}">
      <text>
        <r>
          <rPr>
            <sz val="9"/>
            <color indexed="81"/>
            <rFont val="Tahoma"/>
            <family val="2"/>
          </rPr>
          <t>Die Ausfallvergütung ist im Fall der Marktprämien-Direktvermarktung irrelevant, da sich beide gegenseitig ausschließen.</t>
        </r>
      </text>
    </comment>
    <comment ref="F5395" authorId="1" shapeId="0" xr:uid="{00000000-0006-0000-0300-000028020000}">
      <text>
        <r>
          <rPr>
            <sz val="9"/>
            <color indexed="81"/>
            <rFont val="Tahoma"/>
            <family val="2"/>
          </rPr>
          <t>Die Einspeisevergütung ist im Fall der Marktprämien-Direktvermarktung irrelevant, da sich beide gegenseitig ausschließen.</t>
        </r>
      </text>
    </comment>
    <comment ref="G5395" authorId="1" shapeId="0" xr:uid="{00000000-0006-0000-0300-00002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5" authorId="1" shapeId="0" xr:uid="{00000000-0006-0000-0300-00002A020000}">
      <text>
        <r>
          <rPr>
            <sz val="9"/>
            <color indexed="81"/>
            <rFont val="Tahoma"/>
            <family val="2"/>
          </rPr>
          <t>Die Ausfallvergütung ist im Fall der Marktprämien-Direktvermarktung irrelevant, da sich beide gegenseitig ausschließen.</t>
        </r>
      </text>
    </comment>
    <comment ref="F5396" authorId="1" shapeId="0" xr:uid="{00000000-0006-0000-0300-00002B020000}">
      <text>
        <r>
          <rPr>
            <sz val="9"/>
            <color indexed="81"/>
            <rFont val="Tahoma"/>
            <family val="2"/>
          </rPr>
          <t>Die Einspeisevergütung ist im Fall der Marktprämien-Direktvermarktung irrelevant, da sich beide gegenseitig ausschließen.</t>
        </r>
      </text>
    </comment>
    <comment ref="G5396" authorId="1" shapeId="0" xr:uid="{00000000-0006-0000-0300-00002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6" authorId="1" shapeId="0" xr:uid="{00000000-0006-0000-0300-00002D020000}">
      <text>
        <r>
          <rPr>
            <sz val="9"/>
            <color indexed="81"/>
            <rFont val="Tahoma"/>
            <family val="2"/>
          </rPr>
          <t>Die Ausfallvergütung ist im Fall der Marktprämien-Direktvermarktung irrelevant, da sich beide gegenseitig ausschließen.</t>
        </r>
      </text>
    </comment>
    <comment ref="F5397" authorId="1" shapeId="0" xr:uid="{00000000-0006-0000-0300-00002E020000}">
      <text>
        <r>
          <rPr>
            <sz val="9"/>
            <color indexed="81"/>
            <rFont val="Tahoma"/>
            <family val="2"/>
          </rPr>
          <t>Die Einspeisevergütung ist im Fall der Marktprämien-Direktvermarktung irrelevant, da sich beide gegenseitig ausschließen.</t>
        </r>
      </text>
    </comment>
    <comment ref="G5397" authorId="1" shapeId="0" xr:uid="{00000000-0006-0000-0300-00002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7" authorId="1" shapeId="0" xr:uid="{00000000-0006-0000-0300-000030020000}">
      <text>
        <r>
          <rPr>
            <sz val="9"/>
            <color indexed="81"/>
            <rFont val="Tahoma"/>
            <family val="2"/>
          </rPr>
          <t>Die Ausfallvergütung ist im Fall der Marktprämien-Direktvermarktung irrelevant, da sich beide gegenseitig ausschließen.</t>
        </r>
      </text>
    </comment>
    <comment ref="F5398" authorId="1" shapeId="0" xr:uid="{00000000-0006-0000-0300-000031020000}">
      <text>
        <r>
          <rPr>
            <sz val="9"/>
            <color indexed="81"/>
            <rFont val="Tahoma"/>
            <family val="2"/>
          </rPr>
          <t>Die Einspeisevergütung ist im Fall der Marktprämien-Direktvermarktung irrelevant, da sich beide gegenseitig ausschließen.</t>
        </r>
      </text>
    </comment>
    <comment ref="G5398" authorId="1" shapeId="0" xr:uid="{00000000-0006-0000-0300-00003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8" authorId="1" shapeId="0" xr:uid="{00000000-0006-0000-0300-000033020000}">
      <text>
        <r>
          <rPr>
            <sz val="9"/>
            <color indexed="81"/>
            <rFont val="Tahoma"/>
            <family val="2"/>
          </rPr>
          <t>Die Ausfallvergütung ist im Fall der Marktprämien-Direktvermarktung irrelevant, da sich beide gegenseitig ausschließen.</t>
        </r>
      </text>
    </comment>
    <comment ref="F5399" authorId="1" shapeId="0" xr:uid="{00000000-0006-0000-0300-000034020000}">
      <text>
        <r>
          <rPr>
            <sz val="9"/>
            <color indexed="81"/>
            <rFont val="Tahoma"/>
            <family val="2"/>
          </rPr>
          <t>Die Einspeisevergütung ist im Fall der Marktprämien-Direktvermarktung irrelevant, da sich beide gegenseitig ausschließen.</t>
        </r>
      </text>
    </comment>
    <comment ref="G5399" authorId="1" shapeId="0" xr:uid="{00000000-0006-0000-0300-00003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399" authorId="1" shapeId="0" xr:uid="{00000000-0006-0000-0300-000036020000}">
      <text>
        <r>
          <rPr>
            <sz val="9"/>
            <color indexed="81"/>
            <rFont val="Tahoma"/>
            <family val="2"/>
          </rPr>
          <t>Die Ausfallvergütung ist im Fall der Marktprämien-Direktvermarktung irrelevant, da sich beide gegenseitig ausschließen.</t>
        </r>
      </text>
    </comment>
    <comment ref="F5400" authorId="1" shapeId="0" xr:uid="{00000000-0006-0000-0300-000037020000}">
      <text>
        <r>
          <rPr>
            <sz val="9"/>
            <color indexed="81"/>
            <rFont val="Tahoma"/>
            <family val="2"/>
          </rPr>
          <t>Die Einspeisevergütung ist im Fall der Marktprämien-Direktvermarktung irrelevant, da sich beide gegenseitig ausschließen.</t>
        </r>
      </text>
    </comment>
    <comment ref="G5400" authorId="1" shapeId="0" xr:uid="{00000000-0006-0000-0300-00003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0" authorId="1" shapeId="0" xr:uid="{00000000-0006-0000-0300-000039020000}">
      <text>
        <r>
          <rPr>
            <sz val="9"/>
            <color indexed="81"/>
            <rFont val="Tahoma"/>
            <family val="2"/>
          </rPr>
          <t>Die Ausfallvergütung ist im Fall der Marktprämien-Direktvermarktung irrelevant, da sich beide gegenseitig ausschließen.</t>
        </r>
      </text>
    </comment>
    <comment ref="F5401" authorId="1" shapeId="0" xr:uid="{00000000-0006-0000-0300-00003A020000}">
      <text>
        <r>
          <rPr>
            <sz val="9"/>
            <color indexed="81"/>
            <rFont val="Tahoma"/>
            <family val="2"/>
          </rPr>
          <t>Die Einspeisevergütung ist im Fall der Marktprämien-Direktvermarktung irrelevant, da sich beide gegenseitig ausschließen.</t>
        </r>
      </text>
    </comment>
    <comment ref="G5401" authorId="1" shapeId="0" xr:uid="{00000000-0006-0000-0300-00003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1" authorId="1" shapeId="0" xr:uid="{00000000-0006-0000-0300-00003C020000}">
      <text>
        <r>
          <rPr>
            <sz val="9"/>
            <color indexed="81"/>
            <rFont val="Tahoma"/>
            <family val="2"/>
          </rPr>
          <t>Die Ausfallvergütung ist im Fall der Marktprämien-Direktvermarktung irrelevant, da sich beide gegenseitig ausschließen.</t>
        </r>
      </text>
    </comment>
    <comment ref="F5403" authorId="1" shapeId="0" xr:uid="{00000000-0006-0000-0300-00003D020000}">
      <text>
        <r>
          <rPr>
            <sz val="9"/>
            <color indexed="81"/>
            <rFont val="Tahoma"/>
            <family val="2"/>
          </rPr>
          <t>Die Einspeisevergütung ist im Fall der Marktprämien-Direktvermarktung irrelevant, da sich beide gegenseitig ausschließen.</t>
        </r>
      </text>
    </comment>
    <comment ref="G5403" authorId="1" shapeId="0" xr:uid="{00000000-0006-0000-0300-00003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3" authorId="1" shapeId="0" xr:uid="{00000000-0006-0000-0300-00003F020000}">
      <text>
        <r>
          <rPr>
            <sz val="9"/>
            <color indexed="81"/>
            <rFont val="Tahoma"/>
            <family val="2"/>
          </rPr>
          <t>Die Ausfallvergütung ist im Fall der Marktprämien-Direktvermarktung irrelevant, da sich beide gegenseitig ausschließen.</t>
        </r>
      </text>
    </comment>
    <comment ref="F5404" authorId="1" shapeId="0" xr:uid="{00000000-0006-0000-0300-000040020000}">
      <text>
        <r>
          <rPr>
            <sz val="9"/>
            <color indexed="81"/>
            <rFont val="Tahoma"/>
            <family val="2"/>
          </rPr>
          <t>Die Einspeisevergütung ist im Fall der Marktprämien-Direktvermarktung irrelevant, da sich beide gegenseitig ausschließen.</t>
        </r>
      </text>
    </comment>
    <comment ref="G5404" authorId="1" shapeId="0" xr:uid="{00000000-0006-0000-0300-00004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4" authorId="1" shapeId="0" xr:uid="{00000000-0006-0000-0300-000042020000}">
      <text>
        <r>
          <rPr>
            <sz val="9"/>
            <color indexed="81"/>
            <rFont val="Tahoma"/>
            <family val="2"/>
          </rPr>
          <t>Die Ausfallvergütung ist im Fall der Marktprämien-Direktvermarktung irrelevant, da sich beide gegenseitig ausschließen.</t>
        </r>
      </text>
    </comment>
    <comment ref="F5405" authorId="1" shapeId="0" xr:uid="{00000000-0006-0000-0300-000043020000}">
      <text>
        <r>
          <rPr>
            <sz val="9"/>
            <color indexed="81"/>
            <rFont val="Tahoma"/>
            <family val="2"/>
          </rPr>
          <t>Die Einspeisevergütung ist im Fall der Marktprämien-Direktvermarktung irrelevant, da sich beide gegenseitig ausschließen.</t>
        </r>
      </text>
    </comment>
    <comment ref="G5405" authorId="1" shapeId="0" xr:uid="{00000000-0006-0000-0300-00004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5" authorId="1" shapeId="0" xr:uid="{00000000-0006-0000-0300-000045020000}">
      <text>
        <r>
          <rPr>
            <sz val="9"/>
            <color indexed="81"/>
            <rFont val="Tahoma"/>
            <family val="2"/>
          </rPr>
          <t>Die Ausfallvergütung ist im Fall der Marktprämien-Direktvermarktung irrelevant, da sich beide gegenseitig ausschließen.</t>
        </r>
      </text>
    </comment>
    <comment ref="F5406" authorId="1" shapeId="0" xr:uid="{00000000-0006-0000-0300-000046020000}">
      <text>
        <r>
          <rPr>
            <sz val="9"/>
            <color indexed="81"/>
            <rFont val="Tahoma"/>
            <family val="2"/>
          </rPr>
          <t>Die Einspeisevergütung ist im Fall der Marktprämien-Direktvermarktung irrelevant, da sich beide gegenseitig ausschließen.</t>
        </r>
      </text>
    </comment>
    <comment ref="G5406" authorId="1" shapeId="0" xr:uid="{00000000-0006-0000-0300-00004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6" authorId="1" shapeId="0" xr:uid="{00000000-0006-0000-0300-000048020000}">
      <text>
        <r>
          <rPr>
            <sz val="9"/>
            <color indexed="81"/>
            <rFont val="Tahoma"/>
            <family val="2"/>
          </rPr>
          <t>Die Ausfallvergütung ist im Fall der Marktprämien-Direktvermarktung irrelevant, da sich beide gegenseitig ausschließen.</t>
        </r>
      </text>
    </comment>
    <comment ref="F5407" authorId="1" shapeId="0" xr:uid="{00000000-0006-0000-0300-000049020000}">
      <text>
        <r>
          <rPr>
            <sz val="9"/>
            <color indexed="81"/>
            <rFont val="Tahoma"/>
            <family val="2"/>
          </rPr>
          <t>Die Einspeisevergütung ist im Fall der Marktprämien-Direktvermarktung irrelevant, da sich beide gegenseitig ausschließen.</t>
        </r>
      </text>
    </comment>
    <comment ref="G5407" authorId="1" shapeId="0" xr:uid="{00000000-0006-0000-0300-00004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7" authorId="1" shapeId="0" xr:uid="{00000000-0006-0000-0300-00004B020000}">
      <text>
        <r>
          <rPr>
            <sz val="9"/>
            <color indexed="81"/>
            <rFont val="Tahoma"/>
            <family val="2"/>
          </rPr>
          <t>Die Ausfallvergütung ist im Fall der Marktprämien-Direktvermarktung irrelevant, da sich beide gegenseitig ausschließen.</t>
        </r>
      </text>
    </comment>
    <comment ref="F5408" authorId="1" shapeId="0" xr:uid="{00000000-0006-0000-0300-00004C020000}">
      <text>
        <r>
          <rPr>
            <sz val="9"/>
            <color indexed="81"/>
            <rFont val="Tahoma"/>
            <family val="2"/>
          </rPr>
          <t>Die Einspeisevergütung ist im Fall der Marktprämien-Direktvermarktung irrelevant, da sich beide gegenseitig ausschließen.</t>
        </r>
      </text>
    </comment>
    <comment ref="G5408" authorId="1" shapeId="0" xr:uid="{00000000-0006-0000-0300-00004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8" authorId="1" shapeId="0" xr:uid="{00000000-0006-0000-0300-00004E020000}">
      <text>
        <r>
          <rPr>
            <sz val="9"/>
            <color indexed="81"/>
            <rFont val="Tahoma"/>
            <family val="2"/>
          </rPr>
          <t>Die Ausfallvergütung ist im Fall der Marktprämien-Direktvermarktung irrelevant, da sich beide gegenseitig ausschließen.</t>
        </r>
      </text>
    </comment>
    <comment ref="F5409" authorId="1" shapeId="0" xr:uid="{00000000-0006-0000-0300-00004F020000}">
      <text>
        <r>
          <rPr>
            <sz val="9"/>
            <color indexed="81"/>
            <rFont val="Tahoma"/>
            <family val="2"/>
          </rPr>
          <t>Die Einspeisevergütung ist im Fall der Marktprämien-Direktvermarktung irrelevant, da sich beide gegenseitig ausschließen.</t>
        </r>
      </text>
    </comment>
    <comment ref="G5409" authorId="1" shapeId="0" xr:uid="{00000000-0006-0000-0300-00005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09" authorId="1" shapeId="0" xr:uid="{00000000-0006-0000-0300-000051020000}">
      <text>
        <r>
          <rPr>
            <sz val="9"/>
            <color indexed="81"/>
            <rFont val="Tahoma"/>
            <family val="2"/>
          </rPr>
          <t>Die Ausfallvergütung ist im Fall der Marktprämien-Direktvermarktung irrelevant, da sich beide gegenseitig ausschließen.</t>
        </r>
      </text>
    </comment>
    <comment ref="F5410" authorId="1" shapeId="0" xr:uid="{00000000-0006-0000-0300-000052020000}">
      <text>
        <r>
          <rPr>
            <sz val="9"/>
            <color indexed="81"/>
            <rFont val="Tahoma"/>
            <family val="2"/>
          </rPr>
          <t>Die Einspeisevergütung ist im Fall der Marktprämien-Direktvermarktung irrelevant, da sich beide gegenseitig ausschließen.</t>
        </r>
      </text>
    </comment>
    <comment ref="G5410" authorId="1" shapeId="0" xr:uid="{00000000-0006-0000-0300-00005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0" authorId="1" shapeId="0" xr:uid="{00000000-0006-0000-0300-000054020000}">
      <text>
        <r>
          <rPr>
            <sz val="9"/>
            <color indexed="81"/>
            <rFont val="Tahoma"/>
            <family val="2"/>
          </rPr>
          <t>Die Ausfallvergütung ist im Fall der Marktprämien-Direktvermarktung irrelevant, da sich beide gegenseitig ausschließen.</t>
        </r>
      </text>
    </comment>
    <comment ref="F5411" authorId="1" shapeId="0" xr:uid="{00000000-0006-0000-0300-000055020000}">
      <text>
        <r>
          <rPr>
            <sz val="9"/>
            <color indexed="81"/>
            <rFont val="Tahoma"/>
            <family val="2"/>
          </rPr>
          <t>Die Einspeisevergütung ist im Fall der Marktprämien-Direktvermarktung irrelevant, da sich beide gegenseitig ausschließen.</t>
        </r>
      </text>
    </comment>
    <comment ref="G5411" authorId="1" shapeId="0" xr:uid="{00000000-0006-0000-0300-00005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1" authorId="1" shapeId="0" xr:uid="{00000000-0006-0000-0300-000057020000}">
      <text>
        <r>
          <rPr>
            <sz val="9"/>
            <color indexed="81"/>
            <rFont val="Tahoma"/>
            <family val="2"/>
          </rPr>
          <t>Die Ausfallvergütung ist im Fall der Marktprämien-Direktvermarktung irrelevant, da sich beide gegenseitig ausschließen.</t>
        </r>
      </text>
    </comment>
    <comment ref="F5412" authorId="1" shapeId="0" xr:uid="{00000000-0006-0000-0300-000058020000}">
      <text>
        <r>
          <rPr>
            <sz val="9"/>
            <color indexed="81"/>
            <rFont val="Tahoma"/>
            <family val="2"/>
          </rPr>
          <t>Die Einspeisevergütung ist im Fall der Marktprämien-Direktvermarktung irrelevant, da sich beide gegenseitig ausschließen.</t>
        </r>
      </text>
    </comment>
    <comment ref="G5412" authorId="1" shapeId="0" xr:uid="{00000000-0006-0000-0300-00005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2" authorId="1" shapeId="0" xr:uid="{00000000-0006-0000-0300-00005A020000}">
      <text>
        <r>
          <rPr>
            <sz val="9"/>
            <color indexed="81"/>
            <rFont val="Tahoma"/>
            <family val="2"/>
          </rPr>
          <t>Die Ausfallvergütung ist im Fall der Marktprämien-Direktvermarktung irrelevant, da sich beide gegenseitig ausschließen.</t>
        </r>
      </text>
    </comment>
    <comment ref="F5413" authorId="1" shapeId="0" xr:uid="{00000000-0006-0000-0300-00005B020000}">
      <text>
        <r>
          <rPr>
            <sz val="9"/>
            <color indexed="81"/>
            <rFont val="Tahoma"/>
            <family val="2"/>
          </rPr>
          <t>Die Einspeisevergütung ist im Fall der Marktprämien-Direktvermarktung irrelevant, da sich beide gegenseitig ausschließen.</t>
        </r>
      </text>
    </comment>
    <comment ref="G5413" authorId="1" shapeId="0" xr:uid="{00000000-0006-0000-0300-00005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3" authorId="1" shapeId="0" xr:uid="{00000000-0006-0000-0300-00005D020000}">
      <text>
        <r>
          <rPr>
            <sz val="9"/>
            <color indexed="81"/>
            <rFont val="Tahoma"/>
            <family val="2"/>
          </rPr>
          <t>Die Ausfallvergütung ist im Fall der Marktprämien-Direktvermarktung irrelevant, da sich beide gegenseitig ausschließen.</t>
        </r>
      </text>
    </comment>
    <comment ref="F5414" authorId="1" shapeId="0" xr:uid="{00000000-0006-0000-0300-00005E020000}">
      <text>
        <r>
          <rPr>
            <sz val="9"/>
            <color indexed="81"/>
            <rFont val="Tahoma"/>
            <family val="2"/>
          </rPr>
          <t>Die Einspeisevergütung ist im Fall der Marktprämien-Direktvermarktung irrelevant, da sich beide gegenseitig ausschließen.</t>
        </r>
      </text>
    </comment>
    <comment ref="G5414" authorId="1" shapeId="0" xr:uid="{00000000-0006-0000-0300-00005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4" authorId="1" shapeId="0" xr:uid="{00000000-0006-0000-0300-000060020000}">
      <text>
        <r>
          <rPr>
            <sz val="9"/>
            <color indexed="81"/>
            <rFont val="Tahoma"/>
            <family val="2"/>
          </rPr>
          <t>Die Ausfallvergütung ist im Fall der Marktprämien-Direktvermarktung irrelevant, da sich beide gegenseitig ausschließen.</t>
        </r>
      </text>
    </comment>
    <comment ref="F5416" authorId="1" shapeId="0" xr:uid="{00000000-0006-0000-0300-000061020000}">
      <text>
        <r>
          <rPr>
            <sz val="9"/>
            <color indexed="81"/>
            <rFont val="Tahoma"/>
            <family val="2"/>
          </rPr>
          <t>Die Einspeisevergütung ist im Fall der Marktprämien-Direktvermarktung irrelevant, da sich beide gegenseitig ausschließen.</t>
        </r>
      </text>
    </comment>
    <comment ref="G5416" authorId="1" shapeId="0" xr:uid="{00000000-0006-0000-0300-00006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6" authorId="1" shapeId="0" xr:uid="{00000000-0006-0000-0300-000063020000}">
      <text>
        <r>
          <rPr>
            <sz val="9"/>
            <color indexed="81"/>
            <rFont val="Tahoma"/>
            <family val="2"/>
          </rPr>
          <t>Die Ausfallvergütung ist im Fall der Marktprämien-Direktvermarktung irrelevant, da sich beide gegenseitig ausschließen.</t>
        </r>
      </text>
    </comment>
    <comment ref="F5417" authorId="1" shapeId="0" xr:uid="{00000000-0006-0000-0300-000064020000}">
      <text>
        <r>
          <rPr>
            <sz val="9"/>
            <color indexed="81"/>
            <rFont val="Tahoma"/>
            <family val="2"/>
          </rPr>
          <t>Die Einspeisevergütung ist im Fall der Marktprämien-Direktvermarktung irrelevant, da sich beide gegenseitig ausschließen.</t>
        </r>
      </text>
    </comment>
    <comment ref="G5417" authorId="1" shapeId="0" xr:uid="{00000000-0006-0000-0300-00006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7" authorId="1" shapeId="0" xr:uid="{00000000-0006-0000-0300-000066020000}">
      <text>
        <r>
          <rPr>
            <sz val="9"/>
            <color indexed="81"/>
            <rFont val="Tahoma"/>
            <family val="2"/>
          </rPr>
          <t>Die Ausfallvergütung ist im Fall der Marktprämien-Direktvermarktung irrelevant, da sich beide gegenseitig ausschließen.</t>
        </r>
      </text>
    </comment>
    <comment ref="F5418" authorId="1" shapeId="0" xr:uid="{00000000-0006-0000-0300-000067020000}">
      <text>
        <r>
          <rPr>
            <sz val="9"/>
            <color indexed="81"/>
            <rFont val="Tahoma"/>
            <family val="2"/>
          </rPr>
          <t>Die Einspeisevergütung ist im Fall der Marktprämien-Direktvermarktung irrelevant, da sich beide gegenseitig ausschließen.</t>
        </r>
      </text>
    </comment>
    <comment ref="G5418" authorId="1" shapeId="0" xr:uid="{00000000-0006-0000-0300-00006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8" authorId="1" shapeId="0" xr:uid="{00000000-0006-0000-0300-000069020000}">
      <text>
        <r>
          <rPr>
            <sz val="9"/>
            <color indexed="81"/>
            <rFont val="Tahoma"/>
            <family val="2"/>
          </rPr>
          <t>Die Ausfallvergütung ist im Fall der Marktprämien-Direktvermarktung irrelevant, da sich beide gegenseitig ausschließen.</t>
        </r>
      </text>
    </comment>
    <comment ref="F5419" authorId="1" shapeId="0" xr:uid="{00000000-0006-0000-0300-00006A020000}">
      <text>
        <r>
          <rPr>
            <sz val="9"/>
            <color indexed="81"/>
            <rFont val="Tahoma"/>
            <family val="2"/>
          </rPr>
          <t>Die Einspeisevergütung ist im Fall der Marktprämien-Direktvermarktung irrelevant, da sich beide gegenseitig ausschließen.</t>
        </r>
      </text>
    </comment>
    <comment ref="G5419" authorId="1" shapeId="0" xr:uid="{00000000-0006-0000-0300-00006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19" authorId="1" shapeId="0" xr:uid="{00000000-0006-0000-0300-00006C020000}">
      <text>
        <r>
          <rPr>
            <sz val="9"/>
            <color indexed="81"/>
            <rFont val="Tahoma"/>
            <family val="2"/>
          </rPr>
          <t>Die Ausfallvergütung ist im Fall der Marktprämien-Direktvermarktung irrelevant, da sich beide gegenseitig ausschließen.</t>
        </r>
      </text>
    </comment>
    <comment ref="F5420" authorId="1" shapeId="0" xr:uid="{00000000-0006-0000-0300-00006D020000}">
      <text>
        <r>
          <rPr>
            <sz val="9"/>
            <color indexed="81"/>
            <rFont val="Tahoma"/>
            <family val="2"/>
          </rPr>
          <t>Die Einspeisevergütung ist im Fall der Marktprämien-Direktvermarktung irrelevant, da sich beide gegenseitig ausschließen.</t>
        </r>
      </text>
    </comment>
    <comment ref="G5420" authorId="1" shapeId="0" xr:uid="{00000000-0006-0000-0300-00006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0" authorId="1" shapeId="0" xr:uid="{00000000-0006-0000-0300-00006F020000}">
      <text>
        <r>
          <rPr>
            <sz val="9"/>
            <color indexed="81"/>
            <rFont val="Tahoma"/>
            <family val="2"/>
          </rPr>
          <t>Die Ausfallvergütung ist im Fall der Marktprämien-Direktvermarktung irrelevant, da sich beide gegenseitig ausschließen.</t>
        </r>
      </text>
    </comment>
    <comment ref="F5421" authorId="1" shapeId="0" xr:uid="{00000000-0006-0000-0300-000070020000}">
      <text>
        <r>
          <rPr>
            <sz val="9"/>
            <color indexed="81"/>
            <rFont val="Tahoma"/>
            <family val="2"/>
          </rPr>
          <t>Die Einspeisevergütung ist im Fall der Marktprämien-Direktvermarktung irrelevant, da sich beide gegenseitig ausschließen.</t>
        </r>
      </text>
    </comment>
    <comment ref="G5421" authorId="1" shapeId="0" xr:uid="{00000000-0006-0000-0300-00007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1" authorId="1" shapeId="0" xr:uid="{00000000-0006-0000-0300-000072020000}">
      <text>
        <r>
          <rPr>
            <sz val="9"/>
            <color indexed="81"/>
            <rFont val="Tahoma"/>
            <family val="2"/>
          </rPr>
          <t>Die Ausfallvergütung ist im Fall der Marktprämien-Direktvermarktung irrelevant, da sich beide gegenseitig ausschließen.</t>
        </r>
      </text>
    </comment>
    <comment ref="F5422" authorId="1" shapeId="0" xr:uid="{00000000-0006-0000-0300-000073020000}">
      <text>
        <r>
          <rPr>
            <sz val="9"/>
            <color indexed="81"/>
            <rFont val="Tahoma"/>
            <family val="2"/>
          </rPr>
          <t>Die Einspeisevergütung ist im Fall der Marktprämien-Direktvermarktung irrelevant, da sich beide gegenseitig ausschließen.</t>
        </r>
      </text>
    </comment>
    <comment ref="G5422" authorId="1" shapeId="0" xr:uid="{00000000-0006-0000-0300-00007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2" authorId="1" shapeId="0" xr:uid="{00000000-0006-0000-0300-000075020000}">
      <text>
        <r>
          <rPr>
            <sz val="9"/>
            <color indexed="81"/>
            <rFont val="Tahoma"/>
            <family val="2"/>
          </rPr>
          <t>Die Ausfallvergütung ist im Fall der Marktprämien-Direktvermarktung irrelevant, da sich beide gegenseitig ausschließen.</t>
        </r>
      </text>
    </comment>
    <comment ref="F5423" authorId="1" shapeId="0" xr:uid="{00000000-0006-0000-0300-000076020000}">
      <text>
        <r>
          <rPr>
            <sz val="9"/>
            <color indexed="81"/>
            <rFont val="Tahoma"/>
            <family val="2"/>
          </rPr>
          <t>Die Einspeisevergütung ist im Fall der Marktprämien-Direktvermarktung irrelevant, da sich beide gegenseitig ausschließen.</t>
        </r>
      </text>
    </comment>
    <comment ref="G5423" authorId="1" shapeId="0" xr:uid="{00000000-0006-0000-0300-00007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3" authorId="1" shapeId="0" xr:uid="{00000000-0006-0000-0300-000078020000}">
      <text>
        <r>
          <rPr>
            <sz val="9"/>
            <color indexed="81"/>
            <rFont val="Tahoma"/>
            <family val="2"/>
          </rPr>
          <t>Die Ausfallvergütung ist im Fall der Marktprämien-Direktvermarktung irrelevant, da sich beide gegenseitig ausschließen.</t>
        </r>
      </text>
    </comment>
    <comment ref="F5424" authorId="1" shapeId="0" xr:uid="{00000000-0006-0000-0300-000079020000}">
      <text>
        <r>
          <rPr>
            <sz val="9"/>
            <color indexed="81"/>
            <rFont val="Tahoma"/>
            <family val="2"/>
          </rPr>
          <t>Die Einspeisevergütung ist im Fall der Marktprämien-Direktvermarktung irrelevant, da sich beide gegenseitig ausschließen.</t>
        </r>
      </text>
    </comment>
    <comment ref="G5424" authorId="1" shapeId="0" xr:uid="{00000000-0006-0000-0300-00007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4" authorId="1" shapeId="0" xr:uid="{00000000-0006-0000-0300-00007B020000}">
      <text>
        <r>
          <rPr>
            <sz val="9"/>
            <color indexed="81"/>
            <rFont val="Tahoma"/>
            <family val="2"/>
          </rPr>
          <t>Die Ausfallvergütung ist im Fall der Marktprämien-Direktvermarktung irrelevant, da sich beide gegenseitig ausschließen.</t>
        </r>
      </text>
    </comment>
    <comment ref="F5425" authorId="1" shapeId="0" xr:uid="{00000000-0006-0000-0300-00007C020000}">
      <text>
        <r>
          <rPr>
            <sz val="9"/>
            <color indexed="81"/>
            <rFont val="Tahoma"/>
            <family val="2"/>
          </rPr>
          <t>Die Einspeisevergütung ist im Fall der Marktprämien-Direktvermarktung irrelevant, da sich beide gegenseitig ausschließen.</t>
        </r>
      </text>
    </comment>
    <comment ref="G5425" authorId="1" shapeId="0" xr:uid="{00000000-0006-0000-0300-00007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5" authorId="1" shapeId="0" xr:uid="{00000000-0006-0000-0300-00007E020000}">
      <text>
        <r>
          <rPr>
            <sz val="9"/>
            <color indexed="81"/>
            <rFont val="Tahoma"/>
            <family val="2"/>
          </rPr>
          <t>Die Ausfallvergütung ist im Fall der Marktprämien-Direktvermarktung irrelevant, da sich beide gegenseitig ausschließen.</t>
        </r>
      </text>
    </comment>
    <comment ref="F5426" authorId="1" shapeId="0" xr:uid="{00000000-0006-0000-0300-00007F020000}">
      <text>
        <r>
          <rPr>
            <sz val="9"/>
            <color indexed="81"/>
            <rFont val="Tahoma"/>
            <family val="2"/>
          </rPr>
          <t>Die Einspeisevergütung ist im Fall der Marktprämien-Direktvermarktung irrelevant, da sich beide gegenseitig ausschließen.</t>
        </r>
      </text>
    </comment>
    <comment ref="G5426" authorId="1" shapeId="0" xr:uid="{00000000-0006-0000-0300-00008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6" authorId="1" shapeId="0" xr:uid="{00000000-0006-0000-0300-000081020000}">
      <text>
        <r>
          <rPr>
            <sz val="9"/>
            <color indexed="81"/>
            <rFont val="Tahoma"/>
            <family val="2"/>
          </rPr>
          <t>Die Ausfallvergütung ist im Fall der Marktprämien-Direktvermarktung irrelevant, da sich beide gegenseitig ausschließen.</t>
        </r>
      </text>
    </comment>
    <comment ref="F5427" authorId="1" shapeId="0" xr:uid="{00000000-0006-0000-0300-000082020000}">
      <text>
        <r>
          <rPr>
            <sz val="9"/>
            <color indexed="81"/>
            <rFont val="Tahoma"/>
            <family val="2"/>
          </rPr>
          <t>Die Einspeisevergütung ist im Fall der Marktprämien-Direktvermarktung irrelevant, da sich beide gegenseitig ausschließen.</t>
        </r>
      </text>
    </comment>
    <comment ref="G5427" authorId="1" shapeId="0" xr:uid="{00000000-0006-0000-0300-00008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7" authorId="1" shapeId="0" xr:uid="{00000000-0006-0000-0300-000084020000}">
      <text>
        <r>
          <rPr>
            <sz val="9"/>
            <color indexed="81"/>
            <rFont val="Tahoma"/>
            <family val="2"/>
          </rPr>
          <t>Die Ausfallvergütung ist im Fall der Marktprämien-Direktvermarktung irrelevant, da sich beide gegenseitig ausschließen.</t>
        </r>
      </text>
    </comment>
    <comment ref="F5429" authorId="1" shapeId="0" xr:uid="{00000000-0006-0000-0300-000085020000}">
      <text>
        <r>
          <rPr>
            <sz val="9"/>
            <color indexed="81"/>
            <rFont val="Tahoma"/>
            <family val="2"/>
          </rPr>
          <t>Die Einspeisevergütung ist im Fall der Marktprämien-Direktvermarktung irrelevant, da sich beide gegenseitig ausschließen.</t>
        </r>
      </text>
    </comment>
    <comment ref="G5429" authorId="1" shapeId="0" xr:uid="{00000000-0006-0000-0300-00008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29" authorId="1" shapeId="0" xr:uid="{00000000-0006-0000-0300-000087020000}">
      <text>
        <r>
          <rPr>
            <sz val="9"/>
            <color indexed="81"/>
            <rFont val="Tahoma"/>
            <family val="2"/>
          </rPr>
          <t>Die Ausfallvergütung ist im Fall der Marktprämien-Direktvermarktung irrelevant, da sich beide gegenseitig ausschließen.</t>
        </r>
      </text>
    </comment>
    <comment ref="F5430" authorId="1" shapeId="0" xr:uid="{00000000-0006-0000-0300-000088020000}">
      <text>
        <r>
          <rPr>
            <sz val="9"/>
            <color indexed="81"/>
            <rFont val="Tahoma"/>
            <family val="2"/>
          </rPr>
          <t>Die Einspeisevergütung ist im Fall der Marktprämien-Direktvermarktung irrelevant, da sich beide gegenseitig ausschließen.</t>
        </r>
      </text>
    </comment>
    <comment ref="G5430" authorId="1" shapeId="0" xr:uid="{00000000-0006-0000-0300-00008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0" authorId="1" shapeId="0" xr:uid="{00000000-0006-0000-0300-00008A020000}">
      <text>
        <r>
          <rPr>
            <sz val="9"/>
            <color indexed="81"/>
            <rFont val="Tahoma"/>
            <family val="2"/>
          </rPr>
          <t>Die Ausfallvergütung ist im Fall der Marktprämien-Direktvermarktung irrelevant, da sich beide gegenseitig ausschließen.</t>
        </r>
      </text>
    </comment>
    <comment ref="F5431" authorId="1" shapeId="0" xr:uid="{00000000-0006-0000-0300-00008B020000}">
      <text>
        <r>
          <rPr>
            <sz val="9"/>
            <color indexed="81"/>
            <rFont val="Tahoma"/>
            <family val="2"/>
          </rPr>
          <t>Die Einspeisevergütung ist im Fall der Marktprämien-Direktvermarktung irrelevant, da sich beide gegenseitig ausschließen.</t>
        </r>
      </text>
    </comment>
    <comment ref="G5431" authorId="1" shapeId="0" xr:uid="{00000000-0006-0000-0300-00008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1" authorId="1" shapeId="0" xr:uid="{00000000-0006-0000-0300-00008D020000}">
      <text>
        <r>
          <rPr>
            <sz val="9"/>
            <color indexed="81"/>
            <rFont val="Tahoma"/>
            <family val="2"/>
          </rPr>
          <t>Die Ausfallvergütung ist im Fall der Marktprämien-Direktvermarktung irrelevant, da sich beide gegenseitig ausschließen.</t>
        </r>
      </text>
    </comment>
    <comment ref="F5432" authorId="1" shapeId="0" xr:uid="{00000000-0006-0000-0300-00008E020000}">
      <text>
        <r>
          <rPr>
            <sz val="9"/>
            <color indexed="81"/>
            <rFont val="Tahoma"/>
            <family val="2"/>
          </rPr>
          <t>Die Einspeisevergütung ist im Fall der Marktprämien-Direktvermarktung irrelevant, da sich beide gegenseitig ausschließen.</t>
        </r>
      </text>
    </comment>
    <comment ref="G5432" authorId="1" shapeId="0" xr:uid="{00000000-0006-0000-0300-00008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2" authorId="1" shapeId="0" xr:uid="{00000000-0006-0000-0300-000090020000}">
      <text>
        <r>
          <rPr>
            <sz val="9"/>
            <color indexed="81"/>
            <rFont val="Tahoma"/>
            <family val="2"/>
          </rPr>
          <t>Die Ausfallvergütung ist im Fall der Marktprämien-Direktvermarktung irrelevant, da sich beide gegenseitig ausschließen.</t>
        </r>
      </text>
    </comment>
    <comment ref="F5433" authorId="1" shapeId="0" xr:uid="{00000000-0006-0000-0300-000091020000}">
      <text>
        <r>
          <rPr>
            <sz val="9"/>
            <color indexed="81"/>
            <rFont val="Tahoma"/>
            <family val="2"/>
          </rPr>
          <t>Die Einspeisevergütung ist im Fall der Marktprämien-Direktvermarktung irrelevant, da sich beide gegenseitig ausschließen.</t>
        </r>
      </text>
    </comment>
    <comment ref="G5433" authorId="1" shapeId="0" xr:uid="{00000000-0006-0000-0300-00009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3" authorId="1" shapeId="0" xr:uid="{00000000-0006-0000-0300-000093020000}">
      <text>
        <r>
          <rPr>
            <sz val="9"/>
            <color indexed="81"/>
            <rFont val="Tahoma"/>
            <family val="2"/>
          </rPr>
          <t>Die Ausfallvergütung ist im Fall der Marktprämien-Direktvermarktung irrelevant, da sich beide gegenseitig ausschließen.</t>
        </r>
      </text>
    </comment>
    <comment ref="F5434" authorId="1" shapeId="0" xr:uid="{00000000-0006-0000-0300-000094020000}">
      <text>
        <r>
          <rPr>
            <sz val="9"/>
            <color indexed="81"/>
            <rFont val="Tahoma"/>
            <family val="2"/>
          </rPr>
          <t>Die Einspeisevergütung ist im Fall der Marktprämien-Direktvermarktung irrelevant, da sich beide gegenseitig ausschließen.</t>
        </r>
      </text>
    </comment>
    <comment ref="G5434" authorId="1" shapeId="0" xr:uid="{00000000-0006-0000-0300-00009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4" authorId="1" shapeId="0" xr:uid="{00000000-0006-0000-0300-000096020000}">
      <text>
        <r>
          <rPr>
            <sz val="9"/>
            <color indexed="81"/>
            <rFont val="Tahoma"/>
            <family val="2"/>
          </rPr>
          <t>Die Ausfallvergütung ist im Fall der Marktprämien-Direktvermarktung irrelevant, da sich beide gegenseitig ausschließen.</t>
        </r>
      </text>
    </comment>
    <comment ref="F5435" authorId="1" shapeId="0" xr:uid="{00000000-0006-0000-0300-000097020000}">
      <text>
        <r>
          <rPr>
            <sz val="9"/>
            <color indexed="81"/>
            <rFont val="Tahoma"/>
            <family val="2"/>
          </rPr>
          <t>Die Einspeisevergütung ist im Fall der Marktprämien-Direktvermarktung irrelevant, da sich beide gegenseitig ausschließen.</t>
        </r>
      </text>
    </comment>
    <comment ref="G5435" authorId="1" shapeId="0" xr:uid="{00000000-0006-0000-0300-00009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5" authorId="1" shapeId="0" xr:uid="{00000000-0006-0000-0300-000099020000}">
      <text>
        <r>
          <rPr>
            <sz val="9"/>
            <color indexed="81"/>
            <rFont val="Tahoma"/>
            <family val="2"/>
          </rPr>
          <t>Die Ausfallvergütung ist im Fall der Marktprämien-Direktvermarktung irrelevant, da sich beide gegenseitig ausschließen.</t>
        </r>
      </text>
    </comment>
    <comment ref="F5436" authorId="1" shapeId="0" xr:uid="{00000000-0006-0000-0300-00009A020000}">
      <text>
        <r>
          <rPr>
            <sz val="9"/>
            <color indexed="81"/>
            <rFont val="Tahoma"/>
            <family val="2"/>
          </rPr>
          <t>Die Einspeisevergütung ist im Fall der Marktprämien-Direktvermarktung irrelevant, da sich beide gegenseitig ausschließen.</t>
        </r>
      </text>
    </comment>
    <comment ref="G5436" authorId="1" shapeId="0" xr:uid="{00000000-0006-0000-0300-00009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6" authorId="1" shapeId="0" xr:uid="{00000000-0006-0000-0300-00009C020000}">
      <text>
        <r>
          <rPr>
            <sz val="9"/>
            <color indexed="81"/>
            <rFont val="Tahoma"/>
            <family val="2"/>
          </rPr>
          <t>Die Ausfallvergütung ist im Fall der Marktprämien-Direktvermarktung irrelevant, da sich beide gegenseitig ausschließen.</t>
        </r>
      </text>
    </comment>
    <comment ref="F5437" authorId="1" shapeId="0" xr:uid="{00000000-0006-0000-0300-00009D020000}">
      <text>
        <r>
          <rPr>
            <sz val="9"/>
            <color indexed="81"/>
            <rFont val="Tahoma"/>
            <family val="2"/>
          </rPr>
          <t>Die Einspeisevergütung ist im Fall der Marktprämien-Direktvermarktung irrelevant, da sich beide gegenseitig ausschließen.</t>
        </r>
      </text>
    </comment>
    <comment ref="G5437" authorId="1" shapeId="0" xr:uid="{00000000-0006-0000-0300-00009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7" authorId="1" shapeId="0" xr:uid="{00000000-0006-0000-0300-00009F020000}">
      <text>
        <r>
          <rPr>
            <sz val="9"/>
            <color indexed="81"/>
            <rFont val="Tahoma"/>
            <family val="2"/>
          </rPr>
          <t>Die Ausfallvergütung ist im Fall der Marktprämien-Direktvermarktung irrelevant, da sich beide gegenseitig ausschließen.</t>
        </r>
      </text>
    </comment>
    <comment ref="F5438" authorId="1" shapeId="0" xr:uid="{00000000-0006-0000-0300-0000A0020000}">
      <text>
        <r>
          <rPr>
            <sz val="9"/>
            <color indexed="81"/>
            <rFont val="Tahoma"/>
            <family val="2"/>
          </rPr>
          <t>Die Einspeisevergütung ist im Fall der Marktprämien-Direktvermarktung irrelevant, da sich beide gegenseitig ausschließen.</t>
        </r>
      </text>
    </comment>
    <comment ref="G5438" authorId="1" shapeId="0" xr:uid="{00000000-0006-0000-0300-0000A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8" authorId="1" shapeId="0" xr:uid="{00000000-0006-0000-0300-0000A2020000}">
      <text>
        <r>
          <rPr>
            <sz val="9"/>
            <color indexed="81"/>
            <rFont val="Tahoma"/>
            <family val="2"/>
          </rPr>
          <t>Die Ausfallvergütung ist im Fall der Marktprämien-Direktvermarktung irrelevant, da sich beide gegenseitig ausschließen.</t>
        </r>
      </text>
    </comment>
    <comment ref="F5439" authorId="1" shapeId="0" xr:uid="{00000000-0006-0000-0300-0000A3020000}">
      <text>
        <r>
          <rPr>
            <sz val="9"/>
            <color indexed="81"/>
            <rFont val="Tahoma"/>
            <family val="2"/>
          </rPr>
          <t>Die Einspeisevergütung ist im Fall der Marktprämien-Direktvermarktung irrelevant, da sich beide gegenseitig ausschließen.</t>
        </r>
      </text>
    </comment>
    <comment ref="G5439" authorId="1" shapeId="0" xr:uid="{00000000-0006-0000-0300-0000A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39" authorId="1" shapeId="0" xr:uid="{00000000-0006-0000-0300-0000A5020000}">
      <text>
        <r>
          <rPr>
            <sz val="9"/>
            <color indexed="81"/>
            <rFont val="Tahoma"/>
            <family val="2"/>
          </rPr>
          <t>Die Ausfallvergütung ist im Fall der Marktprämien-Direktvermarktung irrelevant, da sich beide gegenseitig ausschließen.</t>
        </r>
      </text>
    </comment>
    <comment ref="F5440" authorId="1" shapeId="0" xr:uid="{00000000-0006-0000-0300-0000A6020000}">
      <text>
        <r>
          <rPr>
            <sz val="9"/>
            <color indexed="81"/>
            <rFont val="Tahoma"/>
            <family val="2"/>
          </rPr>
          <t>Die Einspeisevergütung ist im Fall der Marktprämien-Direktvermarktung irrelevant, da sich beide gegenseitig ausschließen.</t>
        </r>
      </text>
    </comment>
    <comment ref="G5440" authorId="1" shapeId="0" xr:uid="{00000000-0006-0000-0300-0000A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0" authorId="1" shapeId="0" xr:uid="{00000000-0006-0000-0300-0000A8020000}">
      <text>
        <r>
          <rPr>
            <sz val="9"/>
            <color indexed="81"/>
            <rFont val="Tahoma"/>
            <family val="2"/>
          </rPr>
          <t>Die Ausfallvergütung ist im Fall der Marktprämien-Direktvermarktung irrelevant, da sich beide gegenseitig ausschließen.</t>
        </r>
      </text>
    </comment>
    <comment ref="F5442" authorId="1" shapeId="0" xr:uid="{00000000-0006-0000-0300-0000A9020000}">
      <text>
        <r>
          <rPr>
            <sz val="9"/>
            <color indexed="81"/>
            <rFont val="Tahoma"/>
            <family val="2"/>
          </rPr>
          <t>Die Einspeisevergütung ist im Fall der Marktprämien-Direktvermarktung irrelevant, da sich beide gegenseitig ausschließen.</t>
        </r>
      </text>
    </comment>
    <comment ref="G5442" authorId="1" shapeId="0" xr:uid="{00000000-0006-0000-0300-0000A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2" authorId="1" shapeId="0" xr:uid="{00000000-0006-0000-0300-0000AB020000}">
      <text>
        <r>
          <rPr>
            <sz val="9"/>
            <color indexed="81"/>
            <rFont val="Tahoma"/>
            <family val="2"/>
          </rPr>
          <t>Die Ausfallvergütung ist im Fall der Marktprämien-Direktvermarktung irrelevant, da sich beide gegenseitig ausschließen.</t>
        </r>
      </text>
    </comment>
    <comment ref="F5443" authorId="1" shapeId="0" xr:uid="{00000000-0006-0000-0300-0000AC020000}">
      <text>
        <r>
          <rPr>
            <sz val="9"/>
            <color indexed="81"/>
            <rFont val="Tahoma"/>
            <family val="2"/>
          </rPr>
          <t>Die Einspeisevergütung ist im Fall der Marktprämien-Direktvermarktung irrelevant, da sich beide gegenseitig ausschließen.</t>
        </r>
      </text>
    </comment>
    <comment ref="G5443" authorId="1" shapeId="0" xr:uid="{00000000-0006-0000-0300-0000A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3" authorId="1" shapeId="0" xr:uid="{00000000-0006-0000-0300-0000AE020000}">
      <text>
        <r>
          <rPr>
            <sz val="9"/>
            <color indexed="81"/>
            <rFont val="Tahoma"/>
            <family val="2"/>
          </rPr>
          <t>Die Ausfallvergütung ist im Fall der Marktprämien-Direktvermarktung irrelevant, da sich beide gegenseitig ausschließen.</t>
        </r>
      </text>
    </comment>
    <comment ref="F5444" authorId="1" shapeId="0" xr:uid="{00000000-0006-0000-0300-0000AF020000}">
      <text>
        <r>
          <rPr>
            <sz val="9"/>
            <color indexed="81"/>
            <rFont val="Tahoma"/>
            <family val="2"/>
          </rPr>
          <t>Die Einspeisevergütung ist im Fall der Marktprämien-Direktvermarktung irrelevant, da sich beide gegenseitig ausschließen.</t>
        </r>
      </text>
    </comment>
    <comment ref="G5444" authorId="1" shapeId="0" xr:uid="{00000000-0006-0000-0300-0000B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4" authorId="1" shapeId="0" xr:uid="{00000000-0006-0000-0300-0000B1020000}">
      <text>
        <r>
          <rPr>
            <sz val="9"/>
            <color indexed="81"/>
            <rFont val="Tahoma"/>
            <family val="2"/>
          </rPr>
          <t>Die Ausfallvergütung ist im Fall der Marktprämien-Direktvermarktung irrelevant, da sich beide gegenseitig ausschließen.</t>
        </r>
      </text>
    </comment>
    <comment ref="F5445" authorId="1" shapeId="0" xr:uid="{00000000-0006-0000-0300-0000B2020000}">
      <text>
        <r>
          <rPr>
            <sz val="9"/>
            <color indexed="81"/>
            <rFont val="Tahoma"/>
            <family val="2"/>
          </rPr>
          <t>Die Einspeisevergütung ist im Fall der Marktprämien-Direktvermarktung irrelevant, da sich beide gegenseitig ausschließen.</t>
        </r>
      </text>
    </comment>
    <comment ref="G5445" authorId="1" shapeId="0" xr:uid="{00000000-0006-0000-0300-0000B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5" authorId="1" shapeId="0" xr:uid="{00000000-0006-0000-0300-0000B4020000}">
      <text>
        <r>
          <rPr>
            <sz val="9"/>
            <color indexed="81"/>
            <rFont val="Tahoma"/>
            <family val="2"/>
          </rPr>
          <t>Die Ausfallvergütung ist im Fall der Marktprämien-Direktvermarktung irrelevant, da sich beide gegenseitig ausschließen.</t>
        </r>
      </text>
    </comment>
    <comment ref="F5446" authorId="1" shapeId="0" xr:uid="{00000000-0006-0000-0300-0000B5020000}">
      <text>
        <r>
          <rPr>
            <sz val="9"/>
            <color indexed="81"/>
            <rFont val="Tahoma"/>
            <family val="2"/>
          </rPr>
          <t>Die Einspeisevergütung ist im Fall der Marktprämien-Direktvermarktung irrelevant, da sich beide gegenseitig ausschließen.</t>
        </r>
      </text>
    </comment>
    <comment ref="G5446" authorId="1" shapeId="0" xr:uid="{00000000-0006-0000-0300-0000B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6" authorId="1" shapeId="0" xr:uid="{00000000-0006-0000-0300-0000B7020000}">
      <text>
        <r>
          <rPr>
            <sz val="9"/>
            <color indexed="81"/>
            <rFont val="Tahoma"/>
            <family val="2"/>
          </rPr>
          <t>Die Ausfallvergütung ist im Fall der Marktprämien-Direktvermarktung irrelevant, da sich beide gegenseitig ausschließen.</t>
        </r>
      </text>
    </comment>
    <comment ref="F5447" authorId="1" shapeId="0" xr:uid="{00000000-0006-0000-0300-0000B8020000}">
      <text>
        <r>
          <rPr>
            <sz val="9"/>
            <color indexed="81"/>
            <rFont val="Tahoma"/>
            <family val="2"/>
          </rPr>
          <t>Die Einspeisevergütung ist im Fall der Marktprämien-Direktvermarktung irrelevant, da sich beide gegenseitig ausschließen.</t>
        </r>
      </text>
    </comment>
    <comment ref="G5447" authorId="1" shapeId="0" xr:uid="{00000000-0006-0000-0300-0000B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7" authorId="1" shapeId="0" xr:uid="{00000000-0006-0000-0300-0000BA020000}">
      <text>
        <r>
          <rPr>
            <sz val="9"/>
            <color indexed="81"/>
            <rFont val="Tahoma"/>
            <family val="2"/>
          </rPr>
          <t>Die Ausfallvergütung ist im Fall der Marktprämien-Direktvermarktung irrelevant, da sich beide gegenseitig ausschließen.</t>
        </r>
      </text>
    </comment>
    <comment ref="F5448" authorId="1" shapeId="0" xr:uid="{00000000-0006-0000-0300-0000BB020000}">
      <text>
        <r>
          <rPr>
            <sz val="9"/>
            <color indexed="81"/>
            <rFont val="Tahoma"/>
            <family val="2"/>
          </rPr>
          <t>Die Einspeisevergütung ist im Fall der Marktprämien-Direktvermarktung irrelevant, da sich beide gegenseitig ausschließen.</t>
        </r>
      </text>
    </comment>
    <comment ref="G5448" authorId="1" shapeId="0" xr:uid="{00000000-0006-0000-0300-0000B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8" authorId="1" shapeId="0" xr:uid="{00000000-0006-0000-0300-0000BD020000}">
      <text>
        <r>
          <rPr>
            <sz val="9"/>
            <color indexed="81"/>
            <rFont val="Tahoma"/>
            <family val="2"/>
          </rPr>
          <t>Die Ausfallvergütung ist im Fall der Marktprämien-Direktvermarktung irrelevant, da sich beide gegenseitig ausschließen.</t>
        </r>
      </text>
    </comment>
    <comment ref="F5449" authorId="1" shapeId="0" xr:uid="{00000000-0006-0000-0300-0000BE020000}">
      <text>
        <r>
          <rPr>
            <sz val="9"/>
            <color indexed="81"/>
            <rFont val="Tahoma"/>
            <family val="2"/>
          </rPr>
          <t>Die Einspeisevergütung ist im Fall der Marktprämien-Direktvermarktung irrelevant, da sich beide gegenseitig ausschließen.</t>
        </r>
      </text>
    </comment>
    <comment ref="G5449" authorId="1" shapeId="0" xr:uid="{00000000-0006-0000-0300-0000B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49" authorId="1" shapeId="0" xr:uid="{00000000-0006-0000-0300-0000C0020000}">
      <text>
        <r>
          <rPr>
            <sz val="9"/>
            <color indexed="81"/>
            <rFont val="Tahoma"/>
            <family val="2"/>
          </rPr>
          <t>Die Ausfallvergütung ist im Fall der Marktprämien-Direktvermarktung irrelevant, da sich beide gegenseitig ausschließen.</t>
        </r>
      </text>
    </comment>
    <comment ref="F5450" authorId="1" shapeId="0" xr:uid="{00000000-0006-0000-0300-0000C1020000}">
      <text>
        <r>
          <rPr>
            <sz val="9"/>
            <color indexed="81"/>
            <rFont val="Tahoma"/>
            <family val="2"/>
          </rPr>
          <t>Die Einspeisevergütung ist im Fall der Marktprämien-Direktvermarktung irrelevant, da sich beide gegenseitig ausschließen.</t>
        </r>
      </text>
    </comment>
    <comment ref="G5450" authorId="1" shapeId="0" xr:uid="{00000000-0006-0000-0300-0000C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0" authorId="1" shapeId="0" xr:uid="{00000000-0006-0000-0300-0000C3020000}">
      <text>
        <r>
          <rPr>
            <sz val="9"/>
            <color indexed="81"/>
            <rFont val="Tahoma"/>
            <family val="2"/>
          </rPr>
          <t>Die Ausfallvergütung ist im Fall der Marktprämien-Direktvermarktung irrelevant, da sich beide gegenseitig ausschließen.</t>
        </r>
      </text>
    </comment>
    <comment ref="F5451" authorId="1" shapeId="0" xr:uid="{00000000-0006-0000-0300-0000C4020000}">
      <text>
        <r>
          <rPr>
            <sz val="9"/>
            <color indexed="81"/>
            <rFont val="Tahoma"/>
            <family val="2"/>
          </rPr>
          <t>Die Einspeisevergütung ist im Fall der Marktprämien-Direktvermarktung irrelevant, da sich beide gegenseitig ausschließen.</t>
        </r>
      </text>
    </comment>
    <comment ref="G5451" authorId="1" shapeId="0" xr:uid="{00000000-0006-0000-0300-0000C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1" authorId="1" shapeId="0" xr:uid="{00000000-0006-0000-0300-0000C6020000}">
      <text>
        <r>
          <rPr>
            <sz val="9"/>
            <color indexed="81"/>
            <rFont val="Tahoma"/>
            <family val="2"/>
          </rPr>
          <t>Die Ausfallvergütung ist im Fall der Marktprämien-Direktvermarktung irrelevant, da sich beide gegenseitig ausschließen.</t>
        </r>
      </text>
    </comment>
    <comment ref="F5452" authorId="1" shapeId="0" xr:uid="{00000000-0006-0000-0300-0000C7020000}">
      <text>
        <r>
          <rPr>
            <sz val="9"/>
            <color indexed="81"/>
            <rFont val="Tahoma"/>
            <family val="2"/>
          </rPr>
          <t>Die Einspeisevergütung ist im Fall der Marktprämien-Direktvermarktung irrelevant, da sich beide gegenseitig ausschließen.</t>
        </r>
      </text>
    </comment>
    <comment ref="G5452" authorId="1" shapeId="0" xr:uid="{00000000-0006-0000-0300-0000C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2" authorId="1" shapeId="0" xr:uid="{00000000-0006-0000-0300-0000C9020000}">
      <text>
        <r>
          <rPr>
            <sz val="9"/>
            <color indexed="81"/>
            <rFont val="Tahoma"/>
            <family val="2"/>
          </rPr>
          <t>Die Ausfallvergütung ist im Fall der Marktprämien-Direktvermarktung irrelevant, da sich beide gegenseitig ausschließen.</t>
        </r>
      </text>
    </comment>
    <comment ref="F5453" authorId="1" shapeId="0" xr:uid="{00000000-0006-0000-0300-0000CA020000}">
      <text>
        <r>
          <rPr>
            <sz val="9"/>
            <color indexed="81"/>
            <rFont val="Tahoma"/>
            <family val="2"/>
          </rPr>
          <t>Die Einspeisevergütung ist im Fall der Marktprämien-Direktvermarktung irrelevant, da sich beide gegenseitig ausschließen.</t>
        </r>
      </text>
    </comment>
    <comment ref="G5453" authorId="1" shapeId="0" xr:uid="{00000000-0006-0000-0300-0000C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3" authorId="1" shapeId="0" xr:uid="{00000000-0006-0000-0300-0000CC020000}">
      <text>
        <r>
          <rPr>
            <sz val="9"/>
            <color indexed="81"/>
            <rFont val="Tahoma"/>
            <family val="2"/>
          </rPr>
          <t>Die Ausfallvergütung ist im Fall der Marktprämien-Direktvermarktung irrelevant, da sich beide gegenseitig ausschließen.</t>
        </r>
      </text>
    </comment>
    <comment ref="F5455" authorId="1" shapeId="0" xr:uid="{00000000-0006-0000-0300-0000CD020000}">
      <text>
        <r>
          <rPr>
            <sz val="9"/>
            <color indexed="81"/>
            <rFont val="Tahoma"/>
            <family val="2"/>
          </rPr>
          <t>Die Einspeisevergütung ist im Fall der Marktprämien-Direktvermarktung irrelevant, da sich beide gegenseitig ausschließen.</t>
        </r>
      </text>
    </comment>
    <comment ref="G5455" authorId="1" shapeId="0" xr:uid="{00000000-0006-0000-0300-0000C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5" authorId="1" shapeId="0" xr:uid="{00000000-0006-0000-0300-0000CF020000}">
      <text>
        <r>
          <rPr>
            <sz val="9"/>
            <color indexed="81"/>
            <rFont val="Tahoma"/>
            <family val="2"/>
          </rPr>
          <t>Die Ausfallvergütung ist im Fall der Marktprämien-Direktvermarktung irrelevant, da sich beide gegenseitig ausschließen.</t>
        </r>
      </text>
    </comment>
    <comment ref="F5456" authorId="1" shapeId="0" xr:uid="{00000000-0006-0000-0300-0000D0020000}">
      <text>
        <r>
          <rPr>
            <sz val="9"/>
            <color indexed="81"/>
            <rFont val="Tahoma"/>
            <family val="2"/>
          </rPr>
          <t>Die Einspeisevergütung ist im Fall der Marktprämien-Direktvermarktung irrelevant, da sich beide gegenseitig ausschließen.</t>
        </r>
      </text>
    </comment>
    <comment ref="G5456" authorId="1" shapeId="0" xr:uid="{00000000-0006-0000-0300-0000D1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6" authorId="1" shapeId="0" xr:uid="{00000000-0006-0000-0300-0000D2020000}">
      <text>
        <r>
          <rPr>
            <sz val="9"/>
            <color indexed="81"/>
            <rFont val="Tahoma"/>
            <family val="2"/>
          </rPr>
          <t>Die Ausfallvergütung ist im Fall der Marktprämien-Direktvermarktung irrelevant, da sich beide gegenseitig ausschließen.</t>
        </r>
      </text>
    </comment>
    <comment ref="F5457" authorId="1" shapeId="0" xr:uid="{00000000-0006-0000-0300-0000D3020000}">
      <text>
        <r>
          <rPr>
            <sz val="9"/>
            <color indexed="81"/>
            <rFont val="Tahoma"/>
            <family val="2"/>
          </rPr>
          <t>Die Einspeisevergütung ist im Fall der Marktprämien-Direktvermarktung irrelevant, da sich beide gegenseitig ausschließen.</t>
        </r>
      </text>
    </comment>
    <comment ref="G5457" authorId="1" shapeId="0" xr:uid="{00000000-0006-0000-0300-0000D4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7" authorId="1" shapeId="0" xr:uid="{00000000-0006-0000-0300-0000D5020000}">
      <text>
        <r>
          <rPr>
            <sz val="9"/>
            <color indexed="81"/>
            <rFont val="Tahoma"/>
            <family val="2"/>
          </rPr>
          <t>Die Ausfallvergütung ist im Fall der Marktprämien-Direktvermarktung irrelevant, da sich beide gegenseitig ausschließen.</t>
        </r>
      </text>
    </comment>
    <comment ref="F5458" authorId="1" shapeId="0" xr:uid="{00000000-0006-0000-0300-0000D6020000}">
      <text>
        <r>
          <rPr>
            <sz val="9"/>
            <color indexed="81"/>
            <rFont val="Tahoma"/>
            <family val="2"/>
          </rPr>
          <t>Die Einspeisevergütung ist im Fall der Marktprämien-Direktvermarktung irrelevant, da sich beide gegenseitig ausschließen.</t>
        </r>
      </text>
    </comment>
    <comment ref="G5458" authorId="1" shapeId="0" xr:uid="{00000000-0006-0000-0300-0000D7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8" authorId="1" shapeId="0" xr:uid="{00000000-0006-0000-0300-0000D8020000}">
      <text>
        <r>
          <rPr>
            <sz val="9"/>
            <color indexed="81"/>
            <rFont val="Tahoma"/>
            <family val="2"/>
          </rPr>
          <t>Die Ausfallvergütung ist im Fall der Marktprämien-Direktvermarktung irrelevant, da sich beide gegenseitig ausschließen.</t>
        </r>
      </text>
    </comment>
    <comment ref="F5459" authorId="1" shapeId="0" xr:uid="{00000000-0006-0000-0300-0000D9020000}">
      <text>
        <r>
          <rPr>
            <sz val="9"/>
            <color indexed="81"/>
            <rFont val="Tahoma"/>
            <family val="2"/>
          </rPr>
          <t>Die Einspeisevergütung ist im Fall der Marktprämien-Direktvermarktung irrelevant, da sich beide gegenseitig ausschließen.</t>
        </r>
      </text>
    </comment>
    <comment ref="G5459" authorId="1" shapeId="0" xr:uid="{00000000-0006-0000-0300-0000DA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59" authorId="1" shapeId="0" xr:uid="{00000000-0006-0000-0300-0000DB020000}">
      <text>
        <r>
          <rPr>
            <sz val="9"/>
            <color indexed="81"/>
            <rFont val="Tahoma"/>
            <family val="2"/>
          </rPr>
          <t>Die Ausfallvergütung ist im Fall der Marktprämien-Direktvermarktung irrelevant, da sich beide gegenseitig ausschließen.</t>
        </r>
      </text>
    </comment>
    <comment ref="F5460" authorId="1" shapeId="0" xr:uid="{00000000-0006-0000-0300-0000DC020000}">
      <text>
        <r>
          <rPr>
            <sz val="9"/>
            <color indexed="81"/>
            <rFont val="Tahoma"/>
            <family val="2"/>
          </rPr>
          <t>Die Einspeisevergütung ist im Fall der Marktprämien-Direktvermarktung irrelevant, da sich beide gegenseitig ausschließen.</t>
        </r>
      </text>
    </comment>
    <comment ref="G5460" authorId="1" shapeId="0" xr:uid="{00000000-0006-0000-0300-0000DD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0" authorId="1" shapeId="0" xr:uid="{00000000-0006-0000-0300-0000DE020000}">
      <text>
        <r>
          <rPr>
            <sz val="9"/>
            <color indexed="81"/>
            <rFont val="Tahoma"/>
            <family val="2"/>
          </rPr>
          <t>Die Ausfallvergütung ist im Fall der Marktprämien-Direktvermarktung irrelevant, da sich beide gegenseitig ausschließen.</t>
        </r>
      </text>
    </comment>
    <comment ref="F5461" authorId="1" shapeId="0" xr:uid="{00000000-0006-0000-0300-0000DF020000}">
      <text>
        <r>
          <rPr>
            <sz val="9"/>
            <color indexed="81"/>
            <rFont val="Tahoma"/>
            <family val="2"/>
          </rPr>
          <t>Die Einspeisevergütung ist im Fall der Marktprämien-Direktvermarktung irrelevant, da sich beide gegenseitig ausschließen.</t>
        </r>
      </text>
    </comment>
    <comment ref="G5461" authorId="1" shapeId="0" xr:uid="{00000000-0006-0000-0300-0000E0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1" authorId="1" shapeId="0" xr:uid="{00000000-0006-0000-0300-0000E1020000}">
      <text>
        <r>
          <rPr>
            <sz val="9"/>
            <color indexed="81"/>
            <rFont val="Tahoma"/>
            <family val="2"/>
          </rPr>
          <t>Die Ausfallvergütung ist im Fall der Marktprämien-Direktvermarktung irrelevant, da sich beide gegenseitig ausschließen.</t>
        </r>
      </text>
    </comment>
    <comment ref="F5462" authorId="1" shapeId="0" xr:uid="{00000000-0006-0000-0300-0000E2020000}">
      <text>
        <r>
          <rPr>
            <sz val="9"/>
            <color indexed="81"/>
            <rFont val="Tahoma"/>
            <family val="2"/>
          </rPr>
          <t>Die Einspeisevergütung ist im Fall der Marktprämien-Direktvermarktung irrelevant, da sich beide gegenseitig ausschließen.</t>
        </r>
      </text>
    </comment>
    <comment ref="G5462" authorId="1" shapeId="0" xr:uid="{00000000-0006-0000-0300-0000E3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2" authorId="1" shapeId="0" xr:uid="{00000000-0006-0000-0300-0000E4020000}">
      <text>
        <r>
          <rPr>
            <sz val="9"/>
            <color indexed="81"/>
            <rFont val="Tahoma"/>
            <family val="2"/>
          </rPr>
          <t>Die Ausfallvergütung ist im Fall der Marktprämien-Direktvermarktung irrelevant, da sich beide gegenseitig ausschließen.</t>
        </r>
      </text>
    </comment>
    <comment ref="F5463" authorId="1" shapeId="0" xr:uid="{00000000-0006-0000-0300-0000E5020000}">
      <text>
        <r>
          <rPr>
            <sz val="9"/>
            <color indexed="81"/>
            <rFont val="Tahoma"/>
            <family val="2"/>
          </rPr>
          <t>Die Einspeisevergütung ist im Fall der Marktprämien-Direktvermarktung irrelevant, da sich beide gegenseitig ausschließen.</t>
        </r>
      </text>
    </comment>
    <comment ref="G5463" authorId="1" shapeId="0" xr:uid="{00000000-0006-0000-0300-0000E6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3" authorId="1" shapeId="0" xr:uid="{00000000-0006-0000-0300-0000E7020000}">
      <text>
        <r>
          <rPr>
            <sz val="9"/>
            <color indexed="81"/>
            <rFont val="Tahoma"/>
            <family val="2"/>
          </rPr>
          <t>Die Ausfallvergütung ist im Fall der Marktprämien-Direktvermarktung irrelevant, da sich beide gegenseitig ausschließen.</t>
        </r>
      </text>
    </comment>
    <comment ref="F5464" authorId="1" shapeId="0" xr:uid="{00000000-0006-0000-0300-0000E8020000}">
      <text>
        <r>
          <rPr>
            <sz val="9"/>
            <color indexed="81"/>
            <rFont val="Tahoma"/>
            <family val="2"/>
          </rPr>
          <t>Die Einspeisevergütung ist im Fall der Marktprämien-Direktvermarktung irrelevant, da sich beide gegenseitig ausschließen.</t>
        </r>
      </text>
    </comment>
    <comment ref="G5464" authorId="1" shapeId="0" xr:uid="{00000000-0006-0000-0300-0000E9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4" authorId="1" shapeId="0" xr:uid="{00000000-0006-0000-0300-0000EA020000}">
      <text>
        <r>
          <rPr>
            <sz val="9"/>
            <color indexed="81"/>
            <rFont val="Tahoma"/>
            <family val="2"/>
          </rPr>
          <t>Die Ausfallvergütung ist im Fall der Marktprämien-Direktvermarktung irrelevant, da sich beide gegenseitig ausschließen.</t>
        </r>
      </text>
    </comment>
    <comment ref="F5465" authorId="1" shapeId="0" xr:uid="{00000000-0006-0000-0300-0000EB020000}">
      <text>
        <r>
          <rPr>
            <sz val="9"/>
            <color indexed="81"/>
            <rFont val="Tahoma"/>
            <family val="2"/>
          </rPr>
          <t>Die Einspeisevergütung ist im Fall der Marktprämien-Direktvermarktung irrelevant, da sich beide gegenseitig ausschließen.</t>
        </r>
      </text>
    </comment>
    <comment ref="G5465" authorId="1" shapeId="0" xr:uid="{00000000-0006-0000-0300-0000EC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5" authorId="1" shapeId="0" xr:uid="{00000000-0006-0000-0300-0000ED020000}">
      <text>
        <r>
          <rPr>
            <sz val="9"/>
            <color indexed="81"/>
            <rFont val="Tahoma"/>
            <family val="2"/>
          </rPr>
          <t>Die Ausfallvergütung ist im Fall der Marktprämien-Direktvermarktung irrelevant, da sich beide gegenseitig ausschließen.</t>
        </r>
      </text>
    </comment>
    <comment ref="F5466" authorId="1" shapeId="0" xr:uid="{00000000-0006-0000-0300-0000EE020000}">
      <text>
        <r>
          <rPr>
            <sz val="9"/>
            <color indexed="81"/>
            <rFont val="Tahoma"/>
            <family val="2"/>
          </rPr>
          <t>Die Einspeisevergütung ist im Fall der Marktprämien-Direktvermarktung irrelevant, da sich beide gegenseitig ausschließen.</t>
        </r>
      </text>
    </comment>
    <comment ref="G5466" authorId="1" shapeId="0" xr:uid="{00000000-0006-0000-0300-0000EF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6" authorId="1" shapeId="0" xr:uid="{00000000-0006-0000-0300-0000F0020000}">
      <text>
        <r>
          <rPr>
            <sz val="9"/>
            <color indexed="81"/>
            <rFont val="Tahoma"/>
            <family val="2"/>
          </rPr>
          <t>Die Ausfallvergütung ist im Fall der Marktprämien-Direktvermarktung irrelevant, da sich beide gegenseitig ausschließen.</t>
        </r>
      </text>
    </comment>
    <comment ref="F5468" authorId="1" shapeId="0" xr:uid="{00000000-0006-0000-0300-0000F1020000}">
      <text>
        <r>
          <rPr>
            <sz val="9"/>
            <color indexed="81"/>
            <rFont val="Tahoma"/>
            <family val="2"/>
          </rPr>
          <t>Die Einspeisevergütung ist im Fall der Marktprämien-Direktvermarktung irrelevant, da sich beide gegenseitig ausschließen.</t>
        </r>
      </text>
    </comment>
    <comment ref="G5468" authorId="1" shapeId="0" xr:uid="{00000000-0006-0000-0300-0000F2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8" authorId="1" shapeId="0" xr:uid="{00000000-0006-0000-0300-0000F3020000}">
      <text>
        <r>
          <rPr>
            <sz val="9"/>
            <color indexed="81"/>
            <rFont val="Tahoma"/>
            <family val="2"/>
          </rPr>
          <t>Die Ausfallvergütung ist im Fall der Marktprämien-Direktvermarktung irrelevant, da sich beide gegenseitig ausschließen.</t>
        </r>
      </text>
    </comment>
    <comment ref="F5469" authorId="1" shapeId="0" xr:uid="{00000000-0006-0000-0300-0000F4020000}">
      <text>
        <r>
          <rPr>
            <sz val="9"/>
            <color indexed="81"/>
            <rFont val="Tahoma"/>
            <family val="2"/>
          </rPr>
          <t>Die Einspeisevergütung ist im Fall der Marktprämien-Direktvermarktung irrelevant, da sich beide gegenseitig ausschließen.</t>
        </r>
      </text>
    </comment>
    <comment ref="G5469" authorId="1" shapeId="0" xr:uid="{00000000-0006-0000-0300-0000F5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69" authorId="1" shapeId="0" xr:uid="{00000000-0006-0000-0300-0000F6020000}">
      <text>
        <r>
          <rPr>
            <sz val="9"/>
            <color indexed="81"/>
            <rFont val="Tahoma"/>
            <family val="2"/>
          </rPr>
          <t>Die Ausfallvergütung ist im Fall der Marktprämien-Direktvermarktung irrelevant, da sich beide gegenseitig ausschließen.</t>
        </r>
      </text>
    </comment>
    <comment ref="F5470" authorId="1" shapeId="0" xr:uid="{00000000-0006-0000-0300-0000F7020000}">
      <text>
        <r>
          <rPr>
            <sz val="9"/>
            <color indexed="81"/>
            <rFont val="Tahoma"/>
            <family val="2"/>
          </rPr>
          <t>Die Einspeisevergütung ist im Fall der Marktprämien-Direktvermarktung irrelevant, da sich beide gegenseitig ausschließen.</t>
        </r>
      </text>
    </comment>
    <comment ref="G5470" authorId="1" shapeId="0" xr:uid="{00000000-0006-0000-0300-0000F8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0" authorId="1" shapeId="0" xr:uid="{00000000-0006-0000-0300-0000F9020000}">
      <text>
        <r>
          <rPr>
            <sz val="9"/>
            <color indexed="81"/>
            <rFont val="Tahoma"/>
            <family val="2"/>
          </rPr>
          <t>Die Ausfallvergütung ist im Fall der Marktprämien-Direktvermarktung irrelevant, da sich beide gegenseitig ausschließen.</t>
        </r>
      </text>
    </comment>
    <comment ref="F5471" authorId="1" shapeId="0" xr:uid="{00000000-0006-0000-0300-0000FA020000}">
      <text>
        <r>
          <rPr>
            <sz val="9"/>
            <color indexed="81"/>
            <rFont val="Tahoma"/>
            <family val="2"/>
          </rPr>
          <t>Die Einspeisevergütung ist im Fall der Marktprämien-Direktvermarktung irrelevant, da sich beide gegenseitig ausschließen.</t>
        </r>
      </text>
    </comment>
    <comment ref="G5471" authorId="1" shapeId="0" xr:uid="{00000000-0006-0000-0300-0000FB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1" authorId="1" shapeId="0" xr:uid="{00000000-0006-0000-0300-0000FC020000}">
      <text>
        <r>
          <rPr>
            <sz val="9"/>
            <color indexed="81"/>
            <rFont val="Tahoma"/>
            <family val="2"/>
          </rPr>
          <t>Die Ausfallvergütung ist im Fall der Marktprämien-Direktvermarktung irrelevant, da sich beide gegenseitig ausschließen.</t>
        </r>
      </text>
    </comment>
    <comment ref="F5472" authorId="1" shapeId="0" xr:uid="{00000000-0006-0000-0300-0000FD020000}">
      <text>
        <r>
          <rPr>
            <sz val="9"/>
            <color indexed="81"/>
            <rFont val="Tahoma"/>
            <family val="2"/>
          </rPr>
          <t>Die Einspeisevergütung ist im Fall der Marktprämien-Direktvermarktung irrelevant, da sich beide gegenseitig ausschließen.</t>
        </r>
      </text>
    </comment>
    <comment ref="G5472" authorId="1" shapeId="0" xr:uid="{00000000-0006-0000-0300-0000FE02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2" authorId="1" shapeId="0" xr:uid="{00000000-0006-0000-0300-0000FF020000}">
      <text>
        <r>
          <rPr>
            <sz val="9"/>
            <color indexed="81"/>
            <rFont val="Tahoma"/>
            <family val="2"/>
          </rPr>
          <t>Die Ausfallvergütung ist im Fall der Marktprämien-Direktvermarktung irrelevant, da sich beide gegenseitig ausschließen.</t>
        </r>
      </text>
    </comment>
    <comment ref="F5473" authorId="1" shapeId="0" xr:uid="{00000000-0006-0000-0300-000000030000}">
      <text>
        <r>
          <rPr>
            <sz val="9"/>
            <color indexed="81"/>
            <rFont val="Tahoma"/>
            <family val="2"/>
          </rPr>
          <t>Die Einspeisevergütung ist im Fall der Marktprämien-Direktvermarktung irrelevant, da sich beide gegenseitig ausschließen.</t>
        </r>
      </text>
    </comment>
    <comment ref="G5473" authorId="1" shapeId="0" xr:uid="{00000000-0006-0000-0300-000001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3" authorId="1" shapeId="0" xr:uid="{00000000-0006-0000-0300-000002030000}">
      <text>
        <r>
          <rPr>
            <sz val="9"/>
            <color indexed="81"/>
            <rFont val="Tahoma"/>
            <family val="2"/>
          </rPr>
          <t>Die Ausfallvergütung ist im Fall der Marktprämien-Direktvermarktung irrelevant, da sich beide gegenseitig ausschließen.</t>
        </r>
      </text>
    </comment>
    <comment ref="F5474" authorId="1" shapeId="0" xr:uid="{00000000-0006-0000-0300-000003030000}">
      <text>
        <r>
          <rPr>
            <sz val="9"/>
            <color indexed="81"/>
            <rFont val="Tahoma"/>
            <family val="2"/>
          </rPr>
          <t>Die Einspeisevergütung ist im Fall der Marktprämien-Direktvermarktung irrelevant, da sich beide gegenseitig ausschließen.</t>
        </r>
      </text>
    </comment>
    <comment ref="G5474" authorId="1" shapeId="0" xr:uid="{00000000-0006-0000-0300-000004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4" authorId="1" shapeId="0" xr:uid="{00000000-0006-0000-0300-000005030000}">
      <text>
        <r>
          <rPr>
            <sz val="9"/>
            <color indexed="81"/>
            <rFont val="Tahoma"/>
            <family val="2"/>
          </rPr>
          <t>Die Ausfallvergütung ist im Fall der Marktprämien-Direktvermarktung irrelevant, da sich beide gegenseitig ausschließen.</t>
        </r>
      </text>
    </comment>
    <comment ref="F5475" authorId="1" shapeId="0" xr:uid="{00000000-0006-0000-0300-000006030000}">
      <text>
        <r>
          <rPr>
            <sz val="9"/>
            <color indexed="81"/>
            <rFont val="Tahoma"/>
            <family val="2"/>
          </rPr>
          <t>Die Einspeisevergütung ist im Fall der Marktprämien-Direktvermarktung irrelevant, da sich beide gegenseitig ausschließen.</t>
        </r>
      </text>
    </comment>
    <comment ref="G5475" authorId="1" shapeId="0" xr:uid="{00000000-0006-0000-0300-00000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5" authorId="1" shapeId="0" xr:uid="{00000000-0006-0000-0300-000008030000}">
      <text>
        <r>
          <rPr>
            <sz val="9"/>
            <color indexed="81"/>
            <rFont val="Tahoma"/>
            <family val="2"/>
          </rPr>
          <t>Die Ausfallvergütung ist im Fall der Marktprämien-Direktvermarktung irrelevant, da sich beide gegenseitig ausschließen.</t>
        </r>
      </text>
    </comment>
    <comment ref="F5476" authorId="1" shapeId="0" xr:uid="{00000000-0006-0000-0300-000009030000}">
      <text>
        <r>
          <rPr>
            <sz val="9"/>
            <color indexed="81"/>
            <rFont val="Tahoma"/>
            <family val="2"/>
          </rPr>
          <t>Die Einspeisevergütung ist im Fall der Marktprämien-Direktvermarktung irrelevant, da sich beide gegenseitig ausschließen.</t>
        </r>
      </text>
    </comment>
    <comment ref="G5476" authorId="1" shapeId="0" xr:uid="{00000000-0006-0000-0300-00000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6" authorId="1" shapeId="0" xr:uid="{00000000-0006-0000-0300-00000B030000}">
      <text>
        <r>
          <rPr>
            <sz val="9"/>
            <color indexed="81"/>
            <rFont val="Tahoma"/>
            <family val="2"/>
          </rPr>
          <t>Die Ausfallvergütung ist im Fall der Marktprämien-Direktvermarktung irrelevant, da sich beide gegenseitig ausschließen.</t>
        </r>
      </text>
    </comment>
    <comment ref="F5477" authorId="1" shapeId="0" xr:uid="{00000000-0006-0000-0300-00000C030000}">
      <text>
        <r>
          <rPr>
            <sz val="9"/>
            <color indexed="81"/>
            <rFont val="Tahoma"/>
            <family val="2"/>
          </rPr>
          <t>Die Einspeisevergütung ist im Fall der Marktprämien-Direktvermarktung irrelevant, da sich beide gegenseitig ausschließen.</t>
        </r>
      </text>
    </comment>
    <comment ref="G5477" authorId="1" shapeId="0" xr:uid="{00000000-0006-0000-0300-00000D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7" authorId="1" shapeId="0" xr:uid="{00000000-0006-0000-0300-00000E030000}">
      <text>
        <r>
          <rPr>
            <sz val="9"/>
            <color indexed="81"/>
            <rFont val="Tahoma"/>
            <family val="2"/>
          </rPr>
          <t>Die Ausfallvergütung ist im Fall der Marktprämien-Direktvermarktung irrelevant, da sich beide gegenseitig ausschließen.</t>
        </r>
      </text>
    </comment>
    <comment ref="F5478" authorId="1" shapeId="0" xr:uid="{00000000-0006-0000-0300-00000F030000}">
      <text>
        <r>
          <rPr>
            <sz val="9"/>
            <color indexed="81"/>
            <rFont val="Tahoma"/>
            <family val="2"/>
          </rPr>
          <t>Die Einspeisevergütung ist im Fall der Marktprämien-Direktvermarktung irrelevant, da sich beide gegenseitig ausschließen.</t>
        </r>
      </text>
    </comment>
    <comment ref="G5478" authorId="1" shapeId="0" xr:uid="{00000000-0006-0000-0300-000010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8" authorId="1" shapeId="0" xr:uid="{00000000-0006-0000-0300-000011030000}">
      <text>
        <r>
          <rPr>
            <sz val="9"/>
            <color indexed="81"/>
            <rFont val="Tahoma"/>
            <family val="2"/>
          </rPr>
          <t>Die Ausfallvergütung ist im Fall der Marktprämien-Direktvermarktung irrelevant, da sich beide gegenseitig ausschließen.</t>
        </r>
      </text>
    </comment>
    <comment ref="F5479" authorId="1" shapeId="0" xr:uid="{00000000-0006-0000-0300-000012030000}">
      <text>
        <r>
          <rPr>
            <sz val="9"/>
            <color indexed="81"/>
            <rFont val="Tahoma"/>
            <family val="2"/>
          </rPr>
          <t>Die Einspeisevergütung ist im Fall der Marktprämien-Direktvermarktung irrelevant, da sich beide gegenseitig ausschließen.</t>
        </r>
      </text>
    </comment>
    <comment ref="G5479" authorId="1" shapeId="0" xr:uid="{00000000-0006-0000-0300-00001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79" authorId="1" shapeId="0" xr:uid="{00000000-0006-0000-0300-000014030000}">
      <text>
        <r>
          <rPr>
            <sz val="9"/>
            <color indexed="81"/>
            <rFont val="Tahoma"/>
            <family val="2"/>
          </rPr>
          <t>Die Ausfallvergütung ist im Fall der Marktprämien-Direktvermarktung irrelevant, da sich beide gegenseitig ausschließen.</t>
        </r>
      </text>
    </comment>
    <comment ref="F5481" authorId="1" shapeId="0" xr:uid="{00000000-0006-0000-0300-000015030000}">
      <text>
        <r>
          <rPr>
            <sz val="9"/>
            <color indexed="81"/>
            <rFont val="Tahoma"/>
            <family val="2"/>
          </rPr>
          <t>Die Einspeisevergütung ist im Fall der Marktprämien-Direktvermarktung irrelevant, da sich beide gegenseitig ausschließen.</t>
        </r>
      </text>
    </comment>
    <comment ref="G5481" authorId="1" shapeId="0" xr:uid="{00000000-0006-0000-0300-00001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1" authorId="1" shapeId="0" xr:uid="{00000000-0006-0000-0300-000017030000}">
      <text>
        <r>
          <rPr>
            <sz val="9"/>
            <color indexed="81"/>
            <rFont val="Tahoma"/>
            <family val="2"/>
          </rPr>
          <t>Die Ausfallvergütung ist im Fall der Marktprämien-Direktvermarktung irrelevant, da sich beide gegenseitig ausschließen.</t>
        </r>
      </text>
    </comment>
    <comment ref="F5482" authorId="1" shapeId="0" xr:uid="{00000000-0006-0000-0300-000018030000}">
      <text>
        <r>
          <rPr>
            <sz val="9"/>
            <color indexed="81"/>
            <rFont val="Tahoma"/>
            <family val="2"/>
          </rPr>
          <t>Die Einspeisevergütung ist im Fall der Marktprämien-Direktvermarktung irrelevant, da sich beide gegenseitig ausschließen.</t>
        </r>
      </text>
    </comment>
    <comment ref="G5482" authorId="1" shapeId="0" xr:uid="{00000000-0006-0000-0300-000019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2" authorId="1" shapeId="0" xr:uid="{00000000-0006-0000-0300-00001A030000}">
      <text>
        <r>
          <rPr>
            <sz val="9"/>
            <color indexed="81"/>
            <rFont val="Tahoma"/>
            <family val="2"/>
          </rPr>
          <t>Die Ausfallvergütung ist im Fall der Marktprämien-Direktvermarktung irrelevant, da sich beide gegenseitig ausschließen.</t>
        </r>
      </text>
    </comment>
    <comment ref="F5483" authorId="1" shapeId="0" xr:uid="{00000000-0006-0000-0300-00001B030000}">
      <text>
        <r>
          <rPr>
            <sz val="9"/>
            <color indexed="81"/>
            <rFont val="Tahoma"/>
            <family val="2"/>
          </rPr>
          <t>Die Einspeisevergütung ist im Fall der Marktprämien-Direktvermarktung irrelevant, da sich beide gegenseitig ausschließen.</t>
        </r>
      </text>
    </comment>
    <comment ref="G5483" authorId="1" shapeId="0" xr:uid="{00000000-0006-0000-0300-00001C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3" authorId="1" shapeId="0" xr:uid="{00000000-0006-0000-0300-00001D030000}">
      <text>
        <r>
          <rPr>
            <sz val="9"/>
            <color indexed="81"/>
            <rFont val="Tahoma"/>
            <family val="2"/>
          </rPr>
          <t>Die Ausfallvergütung ist im Fall der Marktprämien-Direktvermarktung irrelevant, da sich beide gegenseitig ausschließen.</t>
        </r>
      </text>
    </comment>
    <comment ref="F5484" authorId="1" shapeId="0" xr:uid="{00000000-0006-0000-0300-00001E030000}">
      <text>
        <r>
          <rPr>
            <sz val="9"/>
            <color indexed="81"/>
            <rFont val="Tahoma"/>
            <family val="2"/>
          </rPr>
          <t>Die Einspeisevergütung ist im Fall der Marktprämien-Direktvermarktung irrelevant, da sich beide gegenseitig ausschließen.</t>
        </r>
      </text>
    </comment>
    <comment ref="G5484" authorId="1" shapeId="0" xr:uid="{00000000-0006-0000-0300-00001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4" authorId="1" shapeId="0" xr:uid="{00000000-0006-0000-0300-000020030000}">
      <text>
        <r>
          <rPr>
            <sz val="9"/>
            <color indexed="81"/>
            <rFont val="Tahoma"/>
            <family val="2"/>
          </rPr>
          <t>Die Ausfallvergütung ist im Fall der Marktprämien-Direktvermarktung irrelevant, da sich beide gegenseitig ausschließen.</t>
        </r>
      </text>
    </comment>
    <comment ref="F5485" authorId="1" shapeId="0" xr:uid="{00000000-0006-0000-0300-000021030000}">
      <text>
        <r>
          <rPr>
            <sz val="9"/>
            <color indexed="81"/>
            <rFont val="Tahoma"/>
            <family val="2"/>
          </rPr>
          <t>Die Einspeisevergütung ist im Fall der Marktprämien-Direktvermarktung irrelevant, da sich beide gegenseitig ausschließen.</t>
        </r>
      </text>
    </comment>
    <comment ref="G5485" authorId="1" shapeId="0" xr:uid="{00000000-0006-0000-0300-00002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5" authorId="1" shapeId="0" xr:uid="{00000000-0006-0000-0300-000023030000}">
      <text>
        <r>
          <rPr>
            <sz val="9"/>
            <color indexed="81"/>
            <rFont val="Tahoma"/>
            <family val="2"/>
          </rPr>
          <t>Die Ausfallvergütung ist im Fall der Marktprämien-Direktvermarktung irrelevant, da sich beide gegenseitig ausschließen.</t>
        </r>
      </text>
    </comment>
    <comment ref="F5486" authorId="1" shapeId="0" xr:uid="{00000000-0006-0000-0300-000024030000}">
      <text>
        <r>
          <rPr>
            <sz val="9"/>
            <color indexed="81"/>
            <rFont val="Tahoma"/>
            <family val="2"/>
          </rPr>
          <t>Die Einspeisevergütung ist im Fall der Marktprämien-Direktvermarktung irrelevant, da sich beide gegenseitig ausschließen.</t>
        </r>
      </text>
    </comment>
    <comment ref="G5486" authorId="1" shapeId="0" xr:uid="{00000000-0006-0000-0300-000025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6" authorId="1" shapeId="0" xr:uid="{00000000-0006-0000-0300-000026030000}">
      <text>
        <r>
          <rPr>
            <sz val="9"/>
            <color indexed="81"/>
            <rFont val="Tahoma"/>
            <family val="2"/>
          </rPr>
          <t>Die Ausfallvergütung ist im Fall der Marktprämien-Direktvermarktung irrelevant, da sich beide gegenseitig ausschließen.</t>
        </r>
      </text>
    </comment>
    <comment ref="F5487" authorId="1" shapeId="0" xr:uid="{00000000-0006-0000-0300-000027030000}">
      <text>
        <r>
          <rPr>
            <sz val="9"/>
            <color indexed="81"/>
            <rFont val="Tahoma"/>
            <family val="2"/>
          </rPr>
          <t>Die Einspeisevergütung ist im Fall der Marktprämien-Direktvermarktung irrelevant, da sich beide gegenseitig ausschließen.</t>
        </r>
      </text>
    </comment>
    <comment ref="G5487" authorId="1" shapeId="0" xr:uid="{00000000-0006-0000-0300-000028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7" authorId="1" shapeId="0" xr:uid="{00000000-0006-0000-0300-000029030000}">
      <text>
        <r>
          <rPr>
            <sz val="9"/>
            <color indexed="81"/>
            <rFont val="Tahoma"/>
            <family val="2"/>
          </rPr>
          <t>Die Ausfallvergütung ist im Fall der Marktprämien-Direktvermarktung irrelevant, da sich beide gegenseitig ausschließen.</t>
        </r>
      </text>
    </comment>
    <comment ref="F5488" authorId="1" shapeId="0" xr:uid="{00000000-0006-0000-0300-00002A030000}">
      <text>
        <r>
          <rPr>
            <sz val="9"/>
            <color indexed="81"/>
            <rFont val="Tahoma"/>
            <family val="2"/>
          </rPr>
          <t>Die Einspeisevergütung ist im Fall der Marktprämien-Direktvermarktung irrelevant, da sich beide gegenseitig ausschließen.</t>
        </r>
      </text>
    </comment>
    <comment ref="G5488" authorId="1" shapeId="0" xr:uid="{00000000-0006-0000-0300-00002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8" authorId="1" shapeId="0" xr:uid="{00000000-0006-0000-0300-00002C030000}">
      <text>
        <r>
          <rPr>
            <sz val="9"/>
            <color indexed="81"/>
            <rFont val="Tahoma"/>
            <family val="2"/>
          </rPr>
          <t>Die Ausfallvergütung ist im Fall der Marktprämien-Direktvermarktung irrelevant, da sich beide gegenseitig ausschließen.</t>
        </r>
      </text>
    </comment>
    <comment ref="F5489" authorId="1" shapeId="0" xr:uid="{00000000-0006-0000-0300-00002D030000}">
      <text>
        <r>
          <rPr>
            <sz val="9"/>
            <color indexed="81"/>
            <rFont val="Tahoma"/>
            <family val="2"/>
          </rPr>
          <t>Die Einspeisevergütung ist im Fall der Marktprämien-Direktvermarktung irrelevant, da sich beide gegenseitig ausschließen.</t>
        </r>
      </text>
    </comment>
    <comment ref="G5489" authorId="1" shapeId="0" xr:uid="{00000000-0006-0000-0300-00002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89" authorId="1" shapeId="0" xr:uid="{00000000-0006-0000-0300-00002F030000}">
      <text>
        <r>
          <rPr>
            <sz val="9"/>
            <color indexed="81"/>
            <rFont val="Tahoma"/>
            <family val="2"/>
          </rPr>
          <t>Die Ausfallvergütung ist im Fall der Marktprämien-Direktvermarktung irrelevant, da sich beide gegenseitig ausschließen.</t>
        </r>
      </text>
    </comment>
    <comment ref="F5490" authorId="1" shapeId="0" xr:uid="{00000000-0006-0000-0300-000030030000}">
      <text>
        <r>
          <rPr>
            <sz val="9"/>
            <color indexed="81"/>
            <rFont val="Tahoma"/>
            <family val="2"/>
          </rPr>
          <t>Die Einspeisevergütung ist im Fall der Marktprämien-Direktvermarktung irrelevant, da sich beide gegenseitig ausschließen.</t>
        </r>
      </text>
    </comment>
    <comment ref="G5490" authorId="1" shapeId="0" xr:uid="{00000000-0006-0000-0300-000031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0" authorId="1" shapeId="0" xr:uid="{00000000-0006-0000-0300-000032030000}">
      <text>
        <r>
          <rPr>
            <sz val="9"/>
            <color indexed="81"/>
            <rFont val="Tahoma"/>
            <family val="2"/>
          </rPr>
          <t>Die Ausfallvergütung ist im Fall der Marktprämien-Direktvermarktung irrelevant, da sich beide gegenseitig ausschließen.</t>
        </r>
      </text>
    </comment>
    <comment ref="F5491" authorId="1" shapeId="0" xr:uid="{00000000-0006-0000-0300-000033030000}">
      <text>
        <r>
          <rPr>
            <sz val="9"/>
            <color indexed="81"/>
            <rFont val="Tahoma"/>
            <family val="2"/>
          </rPr>
          <t>Die Einspeisevergütung ist im Fall der Marktprämien-Direktvermarktung irrelevant, da sich beide gegenseitig ausschließen.</t>
        </r>
      </text>
    </comment>
    <comment ref="G5491" authorId="1" shapeId="0" xr:uid="{00000000-0006-0000-0300-000034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1" authorId="1" shapeId="0" xr:uid="{00000000-0006-0000-0300-000035030000}">
      <text>
        <r>
          <rPr>
            <sz val="9"/>
            <color indexed="81"/>
            <rFont val="Tahoma"/>
            <family val="2"/>
          </rPr>
          <t>Die Ausfallvergütung ist im Fall der Marktprämien-Direktvermarktung irrelevant, da sich beide gegenseitig ausschließen.</t>
        </r>
      </text>
    </comment>
    <comment ref="F5492" authorId="1" shapeId="0" xr:uid="{00000000-0006-0000-0300-000036030000}">
      <text>
        <r>
          <rPr>
            <sz val="9"/>
            <color indexed="81"/>
            <rFont val="Tahoma"/>
            <family val="2"/>
          </rPr>
          <t>Die Einspeisevergütung ist im Fall der Marktprämien-Direktvermarktung irrelevant, da sich beide gegenseitig ausschließen.</t>
        </r>
      </text>
    </comment>
    <comment ref="G5492" authorId="1" shapeId="0" xr:uid="{00000000-0006-0000-0300-000037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2" authorId="1" shapeId="0" xr:uid="{00000000-0006-0000-0300-000038030000}">
      <text>
        <r>
          <rPr>
            <sz val="9"/>
            <color indexed="81"/>
            <rFont val="Tahoma"/>
            <family val="2"/>
          </rPr>
          <t>Die Ausfallvergütung ist im Fall der Marktprämien-Direktvermarktung irrelevant, da sich beide gegenseitig ausschließen.</t>
        </r>
      </text>
    </comment>
    <comment ref="F5494" authorId="1" shapeId="0" xr:uid="{00000000-0006-0000-0300-000039030000}">
      <text>
        <r>
          <rPr>
            <sz val="9"/>
            <color indexed="81"/>
            <rFont val="Tahoma"/>
            <family val="2"/>
          </rPr>
          <t>Die Einspeisevergütung ist im Fall der Marktprämien-Direktvermarktung irrelevant, da sich beide gegenseitig ausschließen.</t>
        </r>
      </text>
    </comment>
    <comment ref="G5494" authorId="1" shapeId="0" xr:uid="{00000000-0006-0000-0300-00003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4" authorId="1" shapeId="0" xr:uid="{00000000-0006-0000-0300-00003B030000}">
      <text>
        <r>
          <rPr>
            <sz val="9"/>
            <color indexed="81"/>
            <rFont val="Tahoma"/>
            <family val="2"/>
          </rPr>
          <t>Die Ausfallvergütung ist im Fall der Marktprämien-Direktvermarktung irrelevant, da sich beide gegenseitig ausschließen.</t>
        </r>
      </text>
    </comment>
    <comment ref="F5495" authorId="1" shapeId="0" xr:uid="{00000000-0006-0000-0300-00003C030000}">
      <text>
        <r>
          <rPr>
            <sz val="9"/>
            <color indexed="81"/>
            <rFont val="Tahoma"/>
            <family val="2"/>
          </rPr>
          <t>Die Einspeisevergütung ist im Fall der Marktprämien-Direktvermarktung irrelevant, da sich beide gegenseitig ausschließen.</t>
        </r>
      </text>
    </comment>
    <comment ref="G5495" authorId="1" shapeId="0" xr:uid="{00000000-0006-0000-0300-00003D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5" authorId="1" shapeId="0" xr:uid="{00000000-0006-0000-0300-00003E030000}">
      <text>
        <r>
          <rPr>
            <sz val="9"/>
            <color indexed="81"/>
            <rFont val="Tahoma"/>
            <family val="2"/>
          </rPr>
          <t>Die Ausfallvergütung ist im Fall der Marktprämien-Direktvermarktung irrelevant, da sich beide gegenseitig ausschließen.</t>
        </r>
      </text>
    </comment>
    <comment ref="F5496" authorId="1" shapeId="0" xr:uid="{00000000-0006-0000-0300-00003F030000}">
      <text>
        <r>
          <rPr>
            <sz val="9"/>
            <color indexed="81"/>
            <rFont val="Tahoma"/>
            <family val="2"/>
          </rPr>
          <t>Die Einspeisevergütung ist im Fall der Marktprämien-Direktvermarktung irrelevant, da sich beide gegenseitig ausschließen.</t>
        </r>
      </text>
    </comment>
    <comment ref="G5496" authorId="1" shapeId="0" xr:uid="{00000000-0006-0000-0300-000040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6" authorId="1" shapeId="0" xr:uid="{00000000-0006-0000-0300-000041030000}">
      <text>
        <r>
          <rPr>
            <sz val="9"/>
            <color indexed="81"/>
            <rFont val="Tahoma"/>
            <family val="2"/>
          </rPr>
          <t>Die Ausfallvergütung ist im Fall der Marktprämien-Direktvermarktung irrelevant, da sich beide gegenseitig ausschließen.</t>
        </r>
      </text>
    </comment>
    <comment ref="F5497" authorId="1" shapeId="0" xr:uid="{00000000-0006-0000-0300-000042030000}">
      <text>
        <r>
          <rPr>
            <sz val="9"/>
            <color indexed="81"/>
            <rFont val="Tahoma"/>
            <family val="2"/>
          </rPr>
          <t>Die Einspeisevergütung ist im Fall der Marktprämien-Direktvermarktung irrelevant, da sich beide gegenseitig ausschließen.</t>
        </r>
      </text>
    </comment>
    <comment ref="G5497" authorId="1" shapeId="0" xr:uid="{00000000-0006-0000-0300-000043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7" authorId="1" shapeId="0" xr:uid="{00000000-0006-0000-0300-000044030000}">
      <text>
        <r>
          <rPr>
            <sz val="9"/>
            <color indexed="81"/>
            <rFont val="Tahoma"/>
            <family val="2"/>
          </rPr>
          <t>Die Ausfallvergütung ist im Fall der Marktprämien-Direktvermarktung irrelevant, da sich beide gegenseitig ausschließen.</t>
        </r>
      </text>
    </comment>
    <comment ref="F5498" authorId="1" shapeId="0" xr:uid="{00000000-0006-0000-0300-000045030000}">
      <text>
        <r>
          <rPr>
            <sz val="9"/>
            <color indexed="81"/>
            <rFont val="Tahoma"/>
            <family val="2"/>
          </rPr>
          <t>Die Einspeisevergütung ist im Fall der Marktprämien-Direktvermarktung irrelevant, da sich beide gegenseitig ausschließen.</t>
        </r>
      </text>
    </comment>
    <comment ref="G5498" authorId="1" shapeId="0" xr:uid="{00000000-0006-0000-0300-00004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8" authorId="1" shapeId="0" xr:uid="{00000000-0006-0000-0300-000047030000}">
      <text>
        <r>
          <rPr>
            <sz val="9"/>
            <color indexed="81"/>
            <rFont val="Tahoma"/>
            <family val="2"/>
          </rPr>
          <t>Die Ausfallvergütung ist im Fall der Marktprämien-Direktvermarktung irrelevant, da sich beide gegenseitig ausschließen.</t>
        </r>
      </text>
    </comment>
    <comment ref="F5499" authorId="1" shapeId="0" xr:uid="{00000000-0006-0000-0300-000048030000}">
      <text>
        <r>
          <rPr>
            <sz val="9"/>
            <color indexed="81"/>
            <rFont val="Tahoma"/>
            <family val="2"/>
          </rPr>
          <t>Die Einspeisevergütung ist im Fall der Marktprämien-Direktvermarktung irrelevant, da sich beide gegenseitig ausschließen.</t>
        </r>
      </text>
    </comment>
    <comment ref="G5499" authorId="1" shapeId="0" xr:uid="{00000000-0006-0000-0300-000049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499" authorId="1" shapeId="0" xr:uid="{00000000-0006-0000-0300-00004A030000}">
      <text>
        <r>
          <rPr>
            <sz val="9"/>
            <color indexed="81"/>
            <rFont val="Tahoma"/>
            <family val="2"/>
          </rPr>
          <t>Die Ausfallvergütung ist im Fall der Marktprämien-Direktvermarktung irrelevant, da sich beide gegenseitig ausschließen.</t>
        </r>
      </text>
    </comment>
    <comment ref="F5500" authorId="1" shapeId="0" xr:uid="{00000000-0006-0000-0300-00004B030000}">
      <text>
        <r>
          <rPr>
            <sz val="9"/>
            <color indexed="81"/>
            <rFont val="Tahoma"/>
            <family val="2"/>
          </rPr>
          <t>Die Einspeisevergütung ist im Fall der Marktprämien-Direktvermarktung irrelevant, da sich beide gegenseitig ausschließen.</t>
        </r>
      </text>
    </comment>
    <comment ref="G5500" authorId="1" shapeId="0" xr:uid="{00000000-0006-0000-0300-00004C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0" authorId="1" shapeId="0" xr:uid="{00000000-0006-0000-0300-00004D030000}">
      <text>
        <r>
          <rPr>
            <sz val="9"/>
            <color indexed="81"/>
            <rFont val="Tahoma"/>
            <family val="2"/>
          </rPr>
          <t>Die Ausfallvergütung ist im Fall der Marktprämien-Direktvermarktung irrelevant, da sich beide gegenseitig ausschließen.</t>
        </r>
      </text>
    </comment>
    <comment ref="F5501" authorId="1" shapeId="0" xr:uid="{00000000-0006-0000-0300-00004E030000}">
      <text>
        <r>
          <rPr>
            <sz val="9"/>
            <color indexed="81"/>
            <rFont val="Tahoma"/>
            <family val="2"/>
          </rPr>
          <t>Die Einspeisevergütung ist im Fall der Marktprämien-Direktvermarktung irrelevant, da sich beide gegenseitig ausschließen.</t>
        </r>
      </text>
    </comment>
    <comment ref="G5501" authorId="1" shapeId="0" xr:uid="{00000000-0006-0000-0300-00004F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1" authorId="1" shapeId="0" xr:uid="{00000000-0006-0000-0300-000050030000}">
      <text>
        <r>
          <rPr>
            <sz val="9"/>
            <color indexed="81"/>
            <rFont val="Tahoma"/>
            <family val="2"/>
          </rPr>
          <t>Die Ausfallvergütung ist im Fall der Marktprämien-Direktvermarktung irrelevant, da sich beide gegenseitig ausschließen.</t>
        </r>
      </text>
    </comment>
    <comment ref="F5502" authorId="1" shapeId="0" xr:uid="{00000000-0006-0000-0300-000051030000}">
      <text>
        <r>
          <rPr>
            <sz val="9"/>
            <color indexed="81"/>
            <rFont val="Tahoma"/>
            <family val="2"/>
          </rPr>
          <t>Die Einspeisevergütung ist im Fall der Marktprämien-Direktvermarktung irrelevant, da sich beide gegenseitig ausschließen.</t>
        </r>
      </text>
    </comment>
    <comment ref="G5502" authorId="1" shapeId="0" xr:uid="{00000000-0006-0000-0300-00005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2" authorId="1" shapeId="0" xr:uid="{00000000-0006-0000-0300-000053030000}">
      <text>
        <r>
          <rPr>
            <sz val="9"/>
            <color indexed="81"/>
            <rFont val="Tahoma"/>
            <family val="2"/>
          </rPr>
          <t>Die Ausfallvergütung ist im Fall der Marktprämien-Direktvermarktung irrelevant, da sich beide gegenseitig ausschließen.</t>
        </r>
      </text>
    </comment>
    <comment ref="F5503" authorId="1" shapeId="0" xr:uid="{00000000-0006-0000-0300-000054030000}">
      <text>
        <r>
          <rPr>
            <sz val="9"/>
            <color indexed="81"/>
            <rFont val="Tahoma"/>
            <family val="2"/>
          </rPr>
          <t>Die Einspeisevergütung ist im Fall der Marktprämien-Direktvermarktung irrelevant, da sich beide gegenseitig ausschließen.</t>
        </r>
      </text>
    </comment>
    <comment ref="G5503" authorId="1" shapeId="0" xr:uid="{00000000-0006-0000-0300-000055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3" authorId="1" shapeId="0" xr:uid="{00000000-0006-0000-0300-000056030000}">
      <text>
        <r>
          <rPr>
            <sz val="9"/>
            <color indexed="81"/>
            <rFont val="Tahoma"/>
            <family val="2"/>
          </rPr>
          <t>Die Ausfallvergütung ist im Fall der Marktprämien-Direktvermarktung irrelevant, da sich beide gegenseitig ausschließen.</t>
        </r>
      </text>
    </comment>
    <comment ref="F5504" authorId="1" shapeId="0" xr:uid="{00000000-0006-0000-0300-000057030000}">
      <text>
        <r>
          <rPr>
            <sz val="9"/>
            <color indexed="81"/>
            <rFont val="Tahoma"/>
            <family val="2"/>
          </rPr>
          <t>Die Einspeisevergütung ist im Fall der Marktprämien-Direktvermarktung irrelevant, da sich beide gegenseitig ausschließen.</t>
        </r>
      </text>
    </comment>
    <comment ref="G5504" authorId="1" shapeId="0" xr:uid="{00000000-0006-0000-0300-000058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4" authorId="1" shapeId="0" xr:uid="{00000000-0006-0000-0300-000059030000}">
      <text>
        <r>
          <rPr>
            <sz val="9"/>
            <color indexed="81"/>
            <rFont val="Tahoma"/>
            <family val="2"/>
          </rPr>
          <t>Die Ausfallvergütung ist im Fall der Marktprämien-Direktvermarktung irrelevant, da sich beide gegenseitig ausschließen.</t>
        </r>
      </text>
    </comment>
    <comment ref="F5505" authorId="1" shapeId="0" xr:uid="{00000000-0006-0000-0300-00005A030000}">
      <text>
        <r>
          <rPr>
            <sz val="9"/>
            <color indexed="81"/>
            <rFont val="Tahoma"/>
            <family val="2"/>
          </rPr>
          <t>Die Einspeisevergütung ist im Fall der Marktprämien-Direktvermarktung irrelevant, da sich beide gegenseitig ausschließen.</t>
        </r>
      </text>
    </comment>
    <comment ref="G5505" authorId="1" shapeId="0" xr:uid="{00000000-0006-0000-0300-00005B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5" authorId="1" shapeId="0" xr:uid="{00000000-0006-0000-0300-00005C030000}">
      <text>
        <r>
          <rPr>
            <sz val="9"/>
            <color indexed="81"/>
            <rFont val="Tahoma"/>
            <family val="2"/>
          </rPr>
          <t>Die Ausfallvergütung ist im Fall der Marktprämien-Direktvermarktung irrelevant, da sich beide gegenseitig ausschließen.</t>
        </r>
      </text>
    </comment>
    <comment ref="F5507" authorId="1" shapeId="0" xr:uid="{00000000-0006-0000-0300-00005D030000}">
      <text>
        <r>
          <rPr>
            <sz val="9"/>
            <color indexed="81"/>
            <rFont val="Tahoma"/>
            <family val="2"/>
          </rPr>
          <t>Die Einspeisevergütung ist im Fall der Marktprämien-Direktvermarktung irrelevant, da sich beide gegenseitig ausschließen.</t>
        </r>
      </text>
    </comment>
    <comment ref="G5507" authorId="1" shapeId="0" xr:uid="{00000000-0006-0000-0300-00005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7" authorId="1" shapeId="0" xr:uid="{00000000-0006-0000-0300-00005F030000}">
      <text>
        <r>
          <rPr>
            <sz val="9"/>
            <color indexed="81"/>
            <rFont val="Tahoma"/>
            <family val="2"/>
          </rPr>
          <t>Die Ausfallvergütung ist im Fall der Marktprämien-Direktvermarktung irrelevant, da sich beide gegenseitig ausschließen.</t>
        </r>
      </text>
    </comment>
    <comment ref="I5507" authorId="1" shapeId="0" xr:uid="{00000000-0006-0000-0300-000060030000}">
      <text>
        <r>
          <rPr>
            <sz val="9"/>
            <color indexed="81"/>
            <rFont val="Tahoma"/>
            <family val="2"/>
          </rPr>
          <t>Die Mieterstromzuschlag im Fall Marktprämien- Direktvermarktung  ist über die entsprechenden Förder-Kategorien zu melden</t>
        </r>
      </text>
    </comment>
    <comment ref="F5508" authorId="1" shapeId="0" xr:uid="{00000000-0006-0000-0300-000061030000}">
      <text>
        <r>
          <rPr>
            <sz val="9"/>
            <color indexed="81"/>
            <rFont val="Tahoma"/>
            <family val="2"/>
          </rPr>
          <t>Die Einspeisevergütung ist im Fall der Marktprämien-Direktvermarktung irrelevant, da sich beide gegenseitig ausschließen.</t>
        </r>
      </text>
    </comment>
    <comment ref="G5508" authorId="1" shapeId="0" xr:uid="{00000000-0006-0000-0300-00006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8" authorId="1" shapeId="0" xr:uid="{00000000-0006-0000-0300-000063030000}">
      <text>
        <r>
          <rPr>
            <sz val="9"/>
            <color indexed="81"/>
            <rFont val="Tahoma"/>
            <family val="2"/>
          </rPr>
          <t>Die Ausfallvergütung ist im Fall der Marktprämien-Direktvermarktung irrelevant, da sich beide gegenseitig ausschließen.</t>
        </r>
      </text>
    </comment>
    <comment ref="I5508" authorId="1" shapeId="0" xr:uid="{00000000-0006-0000-0300-000064030000}">
      <text>
        <r>
          <rPr>
            <sz val="9"/>
            <color indexed="81"/>
            <rFont val="Tahoma"/>
            <family val="2"/>
          </rPr>
          <t>Die Mieterstromzuschlag im Fall Marktprämien- Direktvermarktung  ist über die entsprechenden Förder-Kategorien zu melden</t>
        </r>
      </text>
    </comment>
    <comment ref="F5509" authorId="1" shapeId="0" xr:uid="{00000000-0006-0000-0300-000065030000}">
      <text>
        <r>
          <rPr>
            <sz val="9"/>
            <color indexed="81"/>
            <rFont val="Tahoma"/>
            <family val="2"/>
          </rPr>
          <t>Die Einspeisevergütung ist im Fall der Marktprämien-Direktvermarktung irrelevant, da sich beide gegenseitig ausschließen.</t>
        </r>
      </text>
    </comment>
    <comment ref="G5509" authorId="1" shapeId="0" xr:uid="{00000000-0006-0000-0300-00006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09" authorId="1" shapeId="0" xr:uid="{00000000-0006-0000-0300-000067030000}">
      <text>
        <r>
          <rPr>
            <sz val="9"/>
            <color indexed="81"/>
            <rFont val="Tahoma"/>
            <family val="2"/>
          </rPr>
          <t>Die Ausfallvergütung ist im Fall der Marktprämien-Direktvermarktung irrelevant, da sich beide gegenseitig ausschließen.</t>
        </r>
      </text>
    </comment>
    <comment ref="I5509" authorId="1" shapeId="0" xr:uid="{00000000-0006-0000-0300-000068030000}">
      <text>
        <r>
          <rPr>
            <sz val="9"/>
            <color indexed="81"/>
            <rFont val="Tahoma"/>
            <family val="2"/>
          </rPr>
          <t>Die Mieterstromzuschlag im Fall Marktprämien- Direktvermarktung  ist über die entsprechenden Förder-Kategorien zu melden</t>
        </r>
      </text>
    </comment>
    <comment ref="F5510" authorId="1" shapeId="0" xr:uid="{00000000-0006-0000-0300-000069030000}">
      <text>
        <r>
          <rPr>
            <sz val="9"/>
            <color indexed="81"/>
            <rFont val="Tahoma"/>
            <family val="2"/>
          </rPr>
          <t>Die Einspeisevergütung ist im Fall der Marktprämien-Direktvermarktung irrelevant, da sich beide gegenseitig ausschließen.</t>
        </r>
      </text>
    </comment>
    <comment ref="G5510" authorId="1" shapeId="0" xr:uid="{00000000-0006-0000-0300-00006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0" authorId="1" shapeId="0" xr:uid="{00000000-0006-0000-0300-00006B030000}">
      <text>
        <r>
          <rPr>
            <sz val="9"/>
            <color indexed="81"/>
            <rFont val="Tahoma"/>
            <family val="2"/>
          </rPr>
          <t>Die Ausfallvergütung ist im Fall der Marktprämien-Direktvermarktung irrelevant, da sich beide gegenseitig ausschließen.</t>
        </r>
      </text>
    </comment>
    <comment ref="I5510" authorId="1" shapeId="0" xr:uid="{00000000-0006-0000-0300-00006C030000}">
      <text>
        <r>
          <rPr>
            <sz val="9"/>
            <color indexed="81"/>
            <rFont val="Tahoma"/>
            <family val="2"/>
          </rPr>
          <t>Die Mieterstromzuschlag im Fall Marktprämien- Direktvermarktung  ist über die entsprechenden Förder-Kategorien zu melden</t>
        </r>
      </text>
    </comment>
    <comment ref="F5511" authorId="1" shapeId="0" xr:uid="{00000000-0006-0000-0300-00006D030000}">
      <text>
        <r>
          <rPr>
            <sz val="9"/>
            <color indexed="81"/>
            <rFont val="Tahoma"/>
            <family val="2"/>
          </rPr>
          <t>Die Einspeisevergütung ist im Fall der Marktprämien-Direktvermarktung irrelevant, da sich beide gegenseitig ausschließen.</t>
        </r>
      </text>
    </comment>
    <comment ref="G5511" authorId="1" shapeId="0" xr:uid="{00000000-0006-0000-0300-00006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1" authorId="1" shapeId="0" xr:uid="{00000000-0006-0000-0300-00006F030000}">
      <text>
        <r>
          <rPr>
            <sz val="9"/>
            <color indexed="81"/>
            <rFont val="Tahoma"/>
            <family val="2"/>
          </rPr>
          <t>Die Ausfallvergütung ist im Fall der Marktprämien-Direktvermarktung irrelevant, da sich beide gegenseitig ausschließen.</t>
        </r>
      </text>
    </comment>
    <comment ref="I5511" authorId="1" shapeId="0" xr:uid="{00000000-0006-0000-0300-000070030000}">
      <text>
        <r>
          <rPr>
            <sz val="9"/>
            <color indexed="81"/>
            <rFont val="Tahoma"/>
            <family val="2"/>
          </rPr>
          <t>Die Mieterstromzuschlag im Fall Marktprämien- Direktvermarktung  ist über die entsprechenden Förder-Kategorien zu melden</t>
        </r>
      </text>
    </comment>
    <comment ref="F5512" authorId="1" shapeId="0" xr:uid="{00000000-0006-0000-0300-000071030000}">
      <text>
        <r>
          <rPr>
            <sz val="9"/>
            <color indexed="81"/>
            <rFont val="Tahoma"/>
            <family val="2"/>
          </rPr>
          <t>Die Einspeisevergütung ist im Fall der Marktprämien-Direktvermarktung irrelevant, da sich beide gegenseitig ausschließen.</t>
        </r>
      </text>
    </comment>
    <comment ref="G5512" authorId="1" shapeId="0" xr:uid="{00000000-0006-0000-0300-00007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2" authorId="1" shapeId="0" xr:uid="{00000000-0006-0000-0300-000073030000}">
      <text>
        <r>
          <rPr>
            <sz val="9"/>
            <color indexed="81"/>
            <rFont val="Tahoma"/>
            <family val="2"/>
          </rPr>
          <t>Die Ausfallvergütung ist im Fall der Marktprämien-Direktvermarktung irrelevant, da sich beide gegenseitig ausschließen.</t>
        </r>
      </text>
    </comment>
    <comment ref="I5512" authorId="1" shapeId="0" xr:uid="{00000000-0006-0000-0300-000074030000}">
      <text>
        <r>
          <rPr>
            <sz val="9"/>
            <color indexed="81"/>
            <rFont val="Tahoma"/>
            <family val="2"/>
          </rPr>
          <t>Die Mieterstromzuschlag im Fall Marktprämien- Direktvermarktung  ist über die entsprechenden Förder-Kategorien zu melden</t>
        </r>
      </text>
    </comment>
    <comment ref="F5513" authorId="1" shapeId="0" xr:uid="{00000000-0006-0000-0300-000075030000}">
      <text>
        <r>
          <rPr>
            <sz val="9"/>
            <color indexed="81"/>
            <rFont val="Tahoma"/>
            <family val="2"/>
          </rPr>
          <t>Die Einspeisevergütung ist im Fall der Marktprämien-Direktvermarktung irrelevant, da sich beide gegenseitig ausschließen.</t>
        </r>
      </text>
    </comment>
    <comment ref="G5513" authorId="1" shapeId="0" xr:uid="{00000000-0006-0000-0300-00007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3" authorId="1" shapeId="0" xr:uid="{00000000-0006-0000-0300-000077030000}">
      <text>
        <r>
          <rPr>
            <sz val="9"/>
            <color indexed="81"/>
            <rFont val="Tahoma"/>
            <family val="2"/>
          </rPr>
          <t>Die Ausfallvergütung ist im Fall der Marktprämien-Direktvermarktung irrelevant, da sich beide gegenseitig ausschließen.</t>
        </r>
      </text>
    </comment>
    <comment ref="I5513" authorId="1" shapeId="0" xr:uid="{00000000-0006-0000-0300-000078030000}">
      <text>
        <r>
          <rPr>
            <sz val="9"/>
            <color indexed="81"/>
            <rFont val="Tahoma"/>
            <family val="2"/>
          </rPr>
          <t>Die Mieterstromzuschlag im Fall Marktprämien- Direktvermarktung  ist über die entsprechenden Förder-Kategorien zu melden</t>
        </r>
      </text>
    </comment>
    <comment ref="F5514" authorId="1" shapeId="0" xr:uid="{00000000-0006-0000-0300-000079030000}">
      <text>
        <r>
          <rPr>
            <sz val="9"/>
            <color indexed="81"/>
            <rFont val="Tahoma"/>
            <family val="2"/>
          </rPr>
          <t>Die Einspeisevergütung ist im Fall der Marktprämien-Direktvermarktung irrelevant, da sich beide gegenseitig ausschließen.</t>
        </r>
      </text>
    </comment>
    <comment ref="G5514" authorId="1" shapeId="0" xr:uid="{00000000-0006-0000-0300-00007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4" authorId="1" shapeId="0" xr:uid="{00000000-0006-0000-0300-00007B030000}">
      <text>
        <r>
          <rPr>
            <sz val="9"/>
            <color indexed="81"/>
            <rFont val="Tahoma"/>
            <family val="2"/>
          </rPr>
          <t>Die Ausfallvergütung ist im Fall der Marktprämien-Direktvermarktung irrelevant, da sich beide gegenseitig ausschließen.</t>
        </r>
      </text>
    </comment>
    <comment ref="I5514" authorId="1" shapeId="0" xr:uid="{00000000-0006-0000-0300-00007C030000}">
      <text>
        <r>
          <rPr>
            <sz val="9"/>
            <color indexed="81"/>
            <rFont val="Tahoma"/>
            <family val="2"/>
          </rPr>
          <t>Die Mieterstromzuschlag im Fall Marktprämien- Direktvermarktung  ist über die entsprechenden Förder-Kategorien zu melden</t>
        </r>
      </text>
    </comment>
    <comment ref="F5515" authorId="1" shapeId="0" xr:uid="{00000000-0006-0000-0300-00007D030000}">
      <text>
        <r>
          <rPr>
            <sz val="9"/>
            <color indexed="81"/>
            <rFont val="Tahoma"/>
            <family val="2"/>
          </rPr>
          <t>Die Einspeisevergütung ist im Fall der Marktprämien-Direktvermarktung irrelevant, da sich beide gegenseitig ausschließen.</t>
        </r>
      </text>
    </comment>
    <comment ref="G5515" authorId="1" shapeId="0" xr:uid="{00000000-0006-0000-0300-00007E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5" authorId="1" shapeId="0" xr:uid="{00000000-0006-0000-0300-00007F030000}">
      <text>
        <r>
          <rPr>
            <sz val="9"/>
            <color indexed="81"/>
            <rFont val="Tahoma"/>
            <family val="2"/>
          </rPr>
          <t>Die Ausfallvergütung ist im Fall der Marktprämien-Direktvermarktung irrelevant, da sich beide gegenseitig ausschließen.</t>
        </r>
      </text>
    </comment>
    <comment ref="I5515" authorId="1" shapeId="0" xr:uid="{00000000-0006-0000-0300-000080030000}">
      <text>
        <r>
          <rPr>
            <sz val="9"/>
            <color indexed="81"/>
            <rFont val="Tahoma"/>
            <family val="2"/>
          </rPr>
          <t>Die Mieterstromzuschlag im Fall Marktprämien- Direktvermarktung  ist über die entsprechenden Förder-Kategorien zu melden</t>
        </r>
      </text>
    </comment>
    <comment ref="F5516" authorId="1" shapeId="0" xr:uid="{00000000-0006-0000-0300-000081030000}">
      <text>
        <r>
          <rPr>
            <sz val="9"/>
            <color indexed="81"/>
            <rFont val="Tahoma"/>
            <family val="2"/>
          </rPr>
          <t>Die Einspeisevergütung ist im Fall der Marktprämien-Direktvermarktung irrelevant, da sich beide gegenseitig ausschließen.</t>
        </r>
      </text>
    </comment>
    <comment ref="G5516" authorId="1" shapeId="0" xr:uid="{00000000-0006-0000-0300-000082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6" authorId="1" shapeId="0" xr:uid="{00000000-0006-0000-0300-000083030000}">
      <text>
        <r>
          <rPr>
            <sz val="9"/>
            <color indexed="81"/>
            <rFont val="Tahoma"/>
            <family val="2"/>
          </rPr>
          <t>Die Ausfallvergütung ist im Fall der Marktprämien-Direktvermarktung irrelevant, da sich beide gegenseitig ausschließen.</t>
        </r>
      </text>
    </comment>
    <comment ref="I5516" authorId="1" shapeId="0" xr:uid="{00000000-0006-0000-0300-000084030000}">
      <text>
        <r>
          <rPr>
            <sz val="9"/>
            <color indexed="81"/>
            <rFont val="Tahoma"/>
            <family val="2"/>
          </rPr>
          <t>Die Mieterstromzuschlag im Fall Marktprämien- Direktvermarktung  ist über die entsprechenden Förder-Kategorien zu melden</t>
        </r>
      </text>
    </comment>
    <comment ref="F5517" authorId="1" shapeId="0" xr:uid="{00000000-0006-0000-0300-000085030000}">
      <text>
        <r>
          <rPr>
            <sz val="9"/>
            <color indexed="81"/>
            <rFont val="Tahoma"/>
            <family val="2"/>
          </rPr>
          <t>Die Einspeisevergütung ist im Fall der Marktprämien-Direktvermarktung irrelevant, da sich beide gegenseitig ausschließen.</t>
        </r>
      </text>
    </comment>
    <comment ref="G5517" authorId="1" shapeId="0" xr:uid="{00000000-0006-0000-0300-000086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7" authorId="1" shapeId="0" xr:uid="{00000000-0006-0000-0300-000087030000}">
      <text>
        <r>
          <rPr>
            <sz val="9"/>
            <color indexed="81"/>
            <rFont val="Tahoma"/>
            <family val="2"/>
          </rPr>
          <t>Die Ausfallvergütung ist im Fall der Marktprämien-Direktvermarktung irrelevant, da sich beide gegenseitig ausschließen.</t>
        </r>
      </text>
    </comment>
    <comment ref="I5517" authorId="1" shapeId="0" xr:uid="{00000000-0006-0000-0300-000088030000}">
      <text>
        <r>
          <rPr>
            <sz val="9"/>
            <color indexed="81"/>
            <rFont val="Tahoma"/>
            <family val="2"/>
          </rPr>
          <t>Die Mieterstromzuschlag im Fall Marktprämien- Direktvermarktung  ist über die entsprechenden Förder-Kategorien zu melden</t>
        </r>
      </text>
    </comment>
    <comment ref="F5518" authorId="1" shapeId="0" xr:uid="{00000000-0006-0000-0300-000089030000}">
      <text>
        <r>
          <rPr>
            <sz val="9"/>
            <color indexed="81"/>
            <rFont val="Tahoma"/>
            <family val="2"/>
          </rPr>
          <t>Die Einspeisevergütung ist im Fall der Marktprämien-Direktvermarktung irrelevant, da sich beide gegenseitig ausschließen.</t>
        </r>
      </text>
    </comment>
    <comment ref="G5518" authorId="1" shapeId="0" xr:uid="{00000000-0006-0000-0300-00008A030000}">
      <text>
        <r>
          <rPr>
            <b/>
            <sz val="9"/>
            <color indexed="81"/>
            <rFont val="Tahoma"/>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t>
        </r>
      </text>
    </comment>
    <comment ref="H5518" authorId="1" shapeId="0" xr:uid="{00000000-0006-0000-0300-00008B030000}">
      <text>
        <r>
          <rPr>
            <sz val="9"/>
            <color indexed="81"/>
            <rFont val="Tahoma"/>
            <family val="2"/>
          </rPr>
          <t>Die Ausfallvergütung ist im Fall der Marktprämien-Direktvermarktung irrelevant, da sich beide gegenseitig ausschließen.</t>
        </r>
      </text>
    </comment>
    <comment ref="I5518" authorId="1" shapeId="0" xr:uid="{00000000-0006-0000-0300-00008C030000}">
      <text>
        <r>
          <rPr>
            <sz val="9"/>
            <color indexed="81"/>
            <rFont val="Tahoma"/>
            <family val="2"/>
          </rPr>
          <t>Die Mieterstromzuschlag im Fall Marktprämien- Direktvermarktung  ist über die entsprechenden Förder-Kategorien zu melden</t>
        </r>
      </text>
    </comment>
    <comment ref="F5525" authorId="1" shapeId="0" xr:uid="{00000000-0006-0000-0300-00008D030000}">
      <text>
        <r>
          <rPr>
            <sz val="9"/>
            <color indexed="81"/>
            <rFont val="Tahoma"/>
            <family val="2"/>
          </rPr>
          <t>Die Einspeisevergütung ist im Fall der Marktprämien-Direktvermarktung irrelevant, da sich beide gegenseitig ausschließen.</t>
        </r>
      </text>
    </comment>
    <comment ref="G5525" authorId="9" shapeId="0" xr:uid="{00000000-0006-0000-0300-00008E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5" authorId="1" shapeId="0" xr:uid="{00000000-0006-0000-0300-00008F030000}">
      <text>
        <r>
          <rPr>
            <sz val="9"/>
            <color indexed="81"/>
            <rFont val="Tahoma"/>
            <family val="2"/>
          </rPr>
          <t>Die Ausfallvergütung ist im Fall der Marktprämien-Direktvermarktung irrelevant, da sich beide gegenseitig ausschließen.</t>
        </r>
      </text>
    </comment>
    <comment ref="F5526" authorId="1" shapeId="0" xr:uid="{00000000-0006-0000-0300-000090030000}">
      <text>
        <r>
          <rPr>
            <sz val="9"/>
            <color indexed="81"/>
            <rFont val="Tahoma"/>
            <family val="2"/>
          </rPr>
          <t>Die Einspeisevergütung ist im Fall der Marktprämien-Direktvermarktung irrelevant, da sich beide gegenseitig ausschließen.</t>
        </r>
      </text>
    </comment>
    <comment ref="G5526" authorId="9" shapeId="0" xr:uid="{00000000-0006-0000-0300-000091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6" authorId="1" shapeId="0" xr:uid="{00000000-0006-0000-0300-000092030000}">
      <text>
        <r>
          <rPr>
            <sz val="9"/>
            <color indexed="81"/>
            <rFont val="Tahoma"/>
            <family val="2"/>
          </rPr>
          <t>Die Ausfallvergütung ist im Fall der Marktprämien-Direktvermarktung irrelevant, da sich beide gegenseitig ausschließen.</t>
        </r>
      </text>
    </comment>
    <comment ref="F5527" authorId="1" shapeId="0" xr:uid="{00000000-0006-0000-0300-000093030000}">
      <text>
        <r>
          <rPr>
            <sz val="9"/>
            <color indexed="81"/>
            <rFont val="Tahoma"/>
            <family val="2"/>
          </rPr>
          <t>Die Einspeisevergütung ist im Fall der Marktprämien-Direktvermarktung irrelevant, da sich beide gegenseitig ausschließen.</t>
        </r>
      </text>
    </comment>
    <comment ref="G5527" authorId="9" shapeId="0" xr:uid="{00000000-0006-0000-0300-000094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7" authorId="1" shapeId="0" xr:uid="{00000000-0006-0000-0300-000095030000}">
      <text>
        <r>
          <rPr>
            <sz val="9"/>
            <color indexed="81"/>
            <rFont val="Tahoma"/>
            <family val="2"/>
          </rPr>
          <t>Die Ausfallvergütung ist im Fall der Marktprämien-Direktvermarktung irrelevant, da sich beide gegenseitig ausschließen.</t>
        </r>
      </text>
    </comment>
    <comment ref="F5528" authorId="1" shapeId="0" xr:uid="{00000000-0006-0000-0300-000096030000}">
      <text>
        <r>
          <rPr>
            <sz val="9"/>
            <color indexed="81"/>
            <rFont val="Tahoma"/>
            <family val="2"/>
          </rPr>
          <t>Die Einspeisevergütung ist im Fall der Marktprämien-Direktvermarktung irrelevant, da sich beide gegenseitig ausschließen.</t>
        </r>
      </text>
    </comment>
    <comment ref="G5528" authorId="9" shapeId="0" xr:uid="{00000000-0006-0000-0300-000097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8" authorId="1" shapeId="0" xr:uid="{00000000-0006-0000-0300-000098030000}">
      <text>
        <r>
          <rPr>
            <sz val="9"/>
            <color indexed="81"/>
            <rFont val="Tahoma"/>
            <family val="2"/>
          </rPr>
          <t>Die Ausfallvergütung ist im Fall der Marktprämien-Direktvermarktung irrelevant, da sich beide gegenseitig ausschließen.</t>
        </r>
      </text>
    </comment>
    <comment ref="F5529" authorId="1" shapeId="0" xr:uid="{00000000-0006-0000-0300-000099030000}">
      <text>
        <r>
          <rPr>
            <sz val="9"/>
            <color indexed="81"/>
            <rFont val="Tahoma"/>
            <family val="2"/>
          </rPr>
          <t>Die Einspeisevergütung ist im Fall der Marktprämien-Direktvermarktung irrelevant, da sich beide gegenseitig ausschließen.</t>
        </r>
      </text>
    </comment>
    <comment ref="G5529" authorId="9" shapeId="0" xr:uid="{00000000-0006-0000-0300-00009A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29" authorId="1" shapeId="0" xr:uid="{00000000-0006-0000-0300-00009B030000}">
      <text>
        <r>
          <rPr>
            <sz val="9"/>
            <color indexed="81"/>
            <rFont val="Tahoma"/>
            <family val="2"/>
          </rPr>
          <t>Die Ausfallvergütung ist im Fall der Marktprämien-Direktvermarktung irrelevant, da sich beide gegenseitig ausschließen.</t>
        </r>
      </text>
    </comment>
    <comment ref="F5530" authorId="1" shapeId="0" xr:uid="{00000000-0006-0000-0300-00009C030000}">
      <text>
        <r>
          <rPr>
            <sz val="9"/>
            <color indexed="81"/>
            <rFont val="Tahoma"/>
            <family val="2"/>
          </rPr>
          <t>Die Einspeisevergütung ist im Fall der Marktprämien-Direktvermarktung irrelevant, da sich beide gegenseitig ausschließen.</t>
        </r>
      </text>
    </comment>
    <comment ref="G5530" authorId="9" shapeId="0" xr:uid="{00000000-0006-0000-0300-00009D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0" authorId="1" shapeId="0" xr:uid="{00000000-0006-0000-0300-00009E030000}">
      <text>
        <r>
          <rPr>
            <sz val="9"/>
            <color indexed="81"/>
            <rFont val="Tahoma"/>
            <family val="2"/>
          </rPr>
          <t>Die Ausfallvergütung ist im Fall der Marktprämien-Direktvermarktung irrelevant, da sich beide gegenseitig ausschließen.</t>
        </r>
      </text>
    </comment>
    <comment ref="F5531" authorId="1" shapeId="0" xr:uid="{00000000-0006-0000-0300-00009F030000}">
      <text>
        <r>
          <rPr>
            <sz val="9"/>
            <color indexed="81"/>
            <rFont val="Tahoma"/>
            <family val="2"/>
          </rPr>
          <t>Die Einspeisevergütung ist im Fall der Marktprämien-Direktvermarktung irrelevant, da sich beide gegenseitig ausschließen.</t>
        </r>
      </text>
    </comment>
    <comment ref="G5531" authorId="9" shapeId="0" xr:uid="{00000000-0006-0000-0300-0000A0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1" authorId="1" shapeId="0" xr:uid="{00000000-0006-0000-0300-0000A1030000}">
      <text>
        <r>
          <rPr>
            <sz val="9"/>
            <color indexed="81"/>
            <rFont val="Tahoma"/>
            <family val="2"/>
          </rPr>
          <t>Die Ausfallvergütung ist im Fall der Marktprämien-Direktvermarktung irrelevant, da sich beide gegenseitig ausschließen.</t>
        </r>
      </text>
    </comment>
    <comment ref="F5532" authorId="1" shapeId="0" xr:uid="{00000000-0006-0000-0300-0000A2030000}">
      <text>
        <r>
          <rPr>
            <sz val="9"/>
            <color indexed="81"/>
            <rFont val="Tahoma"/>
            <family val="2"/>
          </rPr>
          <t>Die Einspeisevergütung ist im Fall der Marktprämien-Direktvermarktung irrelevant, da sich beide gegenseitig ausschließen.</t>
        </r>
      </text>
    </comment>
    <comment ref="G5532" authorId="9" shapeId="0" xr:uid="{00000000-0006-0000-0300-0000A3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2" authorId="1" shapeId="0" xr:uid="{00000000-0006-0000-0300-0000A4030000}">
      <text>
        <r>
          <rPr>
            <sz val="9"/>
            <color indexed="81"/>
            <rFont val="Tahoma"/>
            <family val="2"/>
          </rPr>
          <t>Die Ausfallvergütung ist im Fall der Marktprämien-Direktvermarktung irrelevant, da sich beide gegenseitig ausschließen.</t>
        </r>
      </text>
    </comment>
    <comment ref="F5533" authorId="1" shapeId="0" xr:uid="{00000000-0006-0000-0300-0000A5030000}">
      <text>
        <r>
          <rPr>
            <sz val="9"/>
            <color indexed="81"/>
            <rFont val="Tahoma"/>
            <family val="2"/>
          </rPr>
          <t>Die Einspeisevergütung ist im Fall der Marktprämien-Direktvermarktung irrelevant, da sich beide gegenseitig ausschließen.</t>
        </r>
      </text>
    </comment>
    <comment ref="G5533" authorId="9" shapeId="0" xr:uid="{00000000-0006-0000-0300-0000A6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3" authorId="1" shapeId="0" xr:uid="{00000000-0006-0000-0300-0000A7030000}">
      <text>
        <r>
          <rPr>
            <sz val="9"/>
            <color indexed="81"/>
            <rFont val="Tahoma"/>
            <family val="2"/>
          </rPr>
          <t>Die Ausfallvergütung ist im Fall der Marktprämien-Direktvermarktung irrelevant, da sich beide gegenseitig ausschließen.</t>
        </r>
      </text>
    </comment>
    <comment ref="F5534" authorId="1" shapeId="0" xr:uid="{00000000-0006-0000-0300-0000A8030000}">
      <text>
        <r>
          <rPr>
            <sz val="9"/>
            <color indexed="81"/>
            <rFont val="Tahoma"/>
            <family val="2"/>
          </rPr>
          <t>Die Einspeisevergütung ist im Fall der Marktprämien-Direktvermarktung irrelevant, da sich beide gegenseitig ausschließen.</t>
        </r>
      </text>
    </comment>
    <comment ref="G5534" authorId="9" shapeId="0" xr:uid="{00000000-0006-0000-0300-0000A9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4" authorId="1" shapeId="0" xr:uid="{00000000-0006-0000-0300-0000AA030000}">
      <text>
        <r>
          <rPr>
            <sz val="9"/>
            <color indexed="81"/>
            <rFont val="Tahoma"/>
            <family val="2"/>
          </rPr>
          <t>Die Ausfallvergütung ist im Fall der Marktprämien-Direktvermarktung irrelevant, da sich beide gegenseitig ausschließen.</t>
        </r>
      </text>
    </comment>
    <comment ref="F5535" authorId="1" shapeId="0" xr:uid="{00000000-0006-0000-0300-0000AB030000}">
      <text>
        <r>
          <rPr>
            <sz val="9"/>
            <color indexed="81"/>
            <rFont val="Tahoma"/>
            <family val="2"/>
          </rPr>
          <t>Die Einspeisevergütung ist im Fall der Marktprämien-Direktvermarktung irrelevant, da sich beide gegenseitig ausschließen.</t>
        </r>
      </text>
    </comment>
    <comment ref="G5535" authorId="9" shapeId="0" xr:uid="{00000000-0006-0000-0300-0000AC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5" authorId="1" shapeId="0" xr:uid="{00000000-0006-0000-0300-0000AD030000}">
      <text>
        <r>
          <rPr>
            <sz val="9"/>
            <color indexed="81"/>
            <rFont val="Tahoma"/>
            <family val="2"/>
          </rPr>
          <t>Die Ausfallvergütung ist im Fall der Marktprämien-Direktvermarktung irrelevant, da sich beide gegenseitig ausschließen.</t>
        </r>
      </text>
    </comment>
    <comment ref="F5536" authorId="1" shapeId="0" xr:uid="{00000000-0006-0000-0300-0000AE030000}">
      <text>
        <r>
          <rPr>
            <sz val="9"/>
            <color indexed="81"/>
            <rFont val="Tahoma"/>
            <family val="2"/>
          </rPr>
          <t>Die Einspeisevergütung ist im Fall der Marktprämien-Direktvermarktung irrelevant, da sich beide gegenseitig ausschließen.</t>
        </r>
      </text>
    </comment>
    <comment ref="G5536" authorId="9" shapeId="0" xr:uid="{00000000-0006-0000-0300-0000AF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6" authorId="1" shapeId="0" xr:uid="{00000000-0006-0000-0300-0000B0030000}">
      <text>
        <r>
          <rPr>
            <sz val="9"/>
            <color indexed="81"/>
            <rFont val="Tahoma"/>
            <family val="2"/>
          </rPr>
          <t>Die Ausfallvergütung ist im Fall der Marktprämien-Direktvermarktung irrelevant, da sich beide gegenseitig ausschließen.</t>
        </r>
      </text>
    </comment>
    <comment ref="F5537" authorId="1" shapeId="0" xr:uid="{00000000-0006-0000-0300-0000B1030000}">
      <text>
        <r>
          <rPr>
            <sz val="9"/>
            <color indexed="81"/>
            <rFont val="Tahoma"/>
            <family val="2"/>
          </rPr>
          <t>Die Einspeisevergütung ist im Fall der Marktprämien-Direktvermarktung irrelevant, da sich beide gegenseitig ausschließen.</t>
        </r>
      </text>
    </comment>
    <comment ref="G5537" authorId="9" shapeId="0" xr:uid="{00000000-0006-0000-0300-0000B2030000}">
      <text>
        <r>
          <rPr>
            <b/>
            <sz val="9"/>
            <color indexed="81"/>
            <rFont val="Segoe UI"/>
            <family val="2"/>
          </rPr>
          <t>Die Marktprämie der Anlage berechnet sich in Abhängigkeit vom Zeitraum der Direktvermarktung (vor oder ab 01.08.2014) und der EEG-Version, nach der die Anlage vergütet wird (EEG 2000 bis 2009, 2012, 2014 oder 2017) sowie der konkreten Vergütung der Anlage. 
Es fließt der energieträgerspezifische Referenzmarktwert bzw. Marktwert ein, der für jeden Monat ex-post berechnet und auf der gemeinsamen ÜNB-Homepage www.netztransparenz.de veröffentlicht wird.
Sofern die resultierende berechnete Marktprämienzahlung durch einen Marktwert, der höher ist als der anzulegende Wert der Anlage, in der Summe der Vergütungskategorien negativ wird, ist diese negative Summe durch die genannte Kategorie mit positivem Euro-Betrag auf Null Euro zu saldieren.</t>
        </r>
        <r>
          <rPr>
            <sz val="9"/>
            <color indexed="81"/>
            <rFont val="Segoe UI"/>
            <family val="2"/>
          </rPr>
          <t xml:space="preserve">
</t>
        </r>
      </text>
    </comment>
    <comment ref="H5537" authorId="1" shapeId="0" xr:uid="{00000000-0006-0000-0300-0000B3030000}">
      <text>
        <r>
          <rPr>
            <sz val="9"/>
            <color indexed="81"/>
            <rFont val="Tahoma"/>
            <family val="2"/>
          </rPr>
          <t>Die Ausfallvergütung ist im Fall der Marktprämien-Direktvermarktung irrelevant, da sich beide gegenseitig ausschließen.</t>
        </r>
      </text>
    </comment>
    <comment ref="I5556" authorId="1" shapeId="0" xr:uid="{00000000-0006-0000-0300-0000B4030000}">
      <text>
        <r>
          <rPr>
            <sz val="9"/>
            <color indexed="81"/>
            <rFont val="Tahoma"/>
            <family val="2"/>
          </rPr>
          <t>Die Mieterstromzuschlag im Fall Sonstige Direktvermarktung  ist über die entsprechenden Förder-Kategorienzu melden</t>
        </r>
      </text>
    </comment>
    <comment ref="F5568" authorId="1" shapeId="0" xr:uid="{00000000-0006-0000-0300-0000B5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68" authorId="1" shapeId="0" xr:uid="{00000000-0006-0000-0300-0000B6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68" authorId="1" shapeId="0" xr:uid="{00000000-0006-0000-0300-0000B7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69" authorId="1" shapeId="0" xr:uid="{00000000-0006-0000-0300-0000B8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69" authorId="1" shapeId="0" xr:uid="{00000000-0006-0000-0300-0000B9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69" authorId="1" shapeId="0" xr:uid="{00000000-0006-0000-0300-0000B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0" authorId="1" shapeId="0" xr:uid="{00000000-0006-0000-0300-0000B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0" authorId="1" shapeId="0" xr:uid="{00000000-0006-0000-0300-0000BC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0" authorId="1" shapeId="0" xr:uid="{00000000-0006-0000-0300-0000BD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1" authorId="1" shapeId="0" xr:uid="{00000000-0006-0000-0300-0000BE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1" authorId="1" shapeId="0" xr:uid="{00000000-0006-0000-0300-0000BF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1" authorId="1" shapeId="0" xr:uid="{00000000-0006-0000-0300-0000C0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2" authorId="1" shapeId="0" xr:uid="{00000000-0006-0000-0300-0000C1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2" authorId="1" shapeId="0" xr:uid="{00000000-0006-0000-0300-0000C2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2" authorId="1" shapeId="0" xr:uid="{00000000-0006-0000-0300-0000C3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3" authorId="1" shapeId="0" xr:uid="{00000000-0006-0000-0300-0000C4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3" authorId="1" shapeId="0" xr:uid="{00000000-0006-0000-0300-0000C5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3" authorId="1" shapeId="0" xr:uid="{00000000-0006-0000-0300-0000C6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4" authorId="1" shapeId="0" xr:uid="{00000000-0006-0000-0300-0000C7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4" authorId="1" shapeId="0" xr:uid="{00000000-0006-0000-0300-0000C8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4" authorId="1" shapeId="0" xr:uid="{00000000-0006-0000-0300-0000C9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5" authorId="1" shapeId="0" xr:uid="{00000000-0006-0000-0300-0000C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5" authorId="1" shapeId="0" xr:uid="{00000000-0006-0000-0300-0000C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5" authorId="1" shapeId="0" xr:uid="{00000000-0006-0000-0300-0000CC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6" authorId="1" shapeId="0" xr:uid="{00000000-0006-0000-0300-0000CD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6" authorId="1" shapeId="0" xr:uid="{00000000-0006-0000-0300-0000CE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6" authorId="1" shapeId="0" xr:uid="{00000000-0006-0000-0300-0000CF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7" authorId="1" shapeId="0" xr:uid="{00000000-0006-0000-0300-0000D0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7" authorId="1" shapeId="0" xr:uid="{00000000-0006-0000-0300-0000D1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7" authorId="1" shapeId="0" xr:uid="{00000000-0006-0000-0300-0000D2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8" authorId="1" shapeId="0" xr:uid="{00000000-0006-0000-0300-0000D3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8" authorId="1" shapeId="0" xr:uid="{00000000-0006-0000-0300-0000D4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8" authorId="1" shapeId="0" xr:uid="{00000000-0006-0000-0300-0000D5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79" authorId="1" shapeId="0" xr:uid="{00000000-0006-0000-0300-0000D6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79" authorId="1" shapeId="0" xr:uid="{00000000-0006-0000-0300-0000D7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79" authorId="1" shapeId="0" xr:uid="{00000000-0006-0000-0300-0000D8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0" authorId="1" shapeId="0" xr:uid="{00000000-0006-0000-0300-0000D9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G5580" authorId="1" shapeId="0" xr:uid="{00000000-0006-0000-0300-0000DA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H5580" authorId="1" shapeId="0" xr:uid="{00000000-0006-0000-0300-0000DB030000}">
      <text>
        <r>
          <rPr>
            <b/>
            <sz val="9"/>
            <color indexed="81"/>
            <rFont val="Tahoma"/>
            <family val="2"/>
          </rPr>
          <t xml:space="preserve">Die Ausfallvergütung der Anlage in Euro ergibt sich aus den konkreten Vergütungen der Anlage, ggf. berechnet aus mehreren Vergütungskategorien, auf der Basis des reduzierten Ausfallvergütung in ct/kWh.. 
Für die Vergütungskategorien sind die gemäß § 38 Abs. 2 EEG 2014 berechneten Ausfallvergütungen in Spalte H angegeben.
</t>
        </r>
      </text>
    </comment>
    <comment ref="F5589" authorId="1" shapeId="0" xr:uid="{00000000-0006-0000-0300-0000DC030000}">
      <text>
        <r>
          <rPr>
            <b/>
            <sz val="9"/>
            <color indexed="81"/>
            <rFont val="Tahoma"/>
            <family val="2"/>
          </rPr>
          <t xml:space="preserve">Bei dieser Kategorie sind nur Euro-Beträge und keine Strommengen anzugeben. Die Vegütung berechnet sich aus der installierten Leistung der Anlage.
</t>
        </r>
      </text>
    </comment>
    <comment ref="G5589" authorId="1" shapeId="0" xr:uid="{00000000-0006-0000-0300-0000DD030000}">
      <text>
        <r>
          <rPr>
            <b/>
            <sz val="9"/>
            <color indexed="81"/>
            <rFont val="Tahoma"/>
            <family val="2"/>
          </rPr>
          <t xml:space="preserve">Bei dieser Kategorie sind nur Euro-Beträge und keine Strommengen anzugeben. Die Vegütung berechnet sich aus der installierten Leistung der Anlage.
</t>
        </r>
      </text>
    </comment>
    <comment ref="H5589" authorId="1" shapeId="0" xr:uid="{00000000-0006-0000-0300-0000DE030000}">
      <text>
        <r>
          <rPr>
            <b/>
            <sz val="9"/>
            <color indexed="81"/>
            <rFont val="Tahoma"/>
            <family val="2"/>
          </rPr>
          <t xml:space="preserve">Bei dieser Kategorie sind nur Euro-Beträge und keine Strommengen anzugeben. Die Vegütung berechnet sich aus der installierten Leistung der Anlage.
</t>
        </r>
      </text>
    </comment>
    <comment ref="F5590" authorId="1" shapeId="0" xr:uid="{00000000-0006-0000-0300-0000DF030000}">
      <text>
        <r>
          <rPr>
            <b/>
            <sz val="9"/>
            <color indexed="81"/>
            <rFont val="Tahoma"/>
            <family val="2"/>
          </rPr>
          <t xml:space="preserve">Der Abzugsbetrag errechnet sich aus den Mehrerlösen der Biogasanlagen durch die Aufhebung der Begrenzung der Höchstbemessungsleistung und ist nach als negativer Eurobetrag zu erfassen (maximal Höhe des Flexibilitätszuschlags).
</t>
        </r>
      </text>
    </comment>
    <comment ref="G5590" authorId="1" shapeId="0" xr:uid="{00000000-0006-0000-0300-0000E0030000}">
      <text>
        <r>
          <rPr>
            <b/>
            <sz val="9"/>
            <color indexed="81"/>
            <rFont val="Tahoma"/>
            <family val="2"/>
          </rPr>
          <t>Der Abzugsbetrag errechnet sich aus den Mehrerlösen der Biogasanlagen durch die Aufhebung der Begrenzung der Höchstbemessungsleistung und ist nach als negativer Eurobetrag zu erfassen (maximal Höhe des Flexibilitätszuschlags).</t>
        </r>
      </text>
    </comment>
    <comment ref="H5590" authorId="1" shapeId="0" xr:uid="{00000000-0006-0000-0300-0000E1030000}">
      <text>
        <r>
          <rPr>
            <b/>
            <sz val="9"/>
            <color indexed="81"/>
            <rFont val="Tahoma"/>
            <family val="2"/>
          </rPr>
          <t>Der Abzugsbetrag errechnet sich aus den Mehrerlösen der Biogasanlagen durch die Aufhebung der Begrenzung der Höchstbemessungsleistung und ist nach als negativer Eurobetrag zu erfassen (maximal Höhe des Flexibilitätszuschlags).</t>
        </r>
      </text>
    </comment>
    <comment ref="F5597" authorId="1" shapeId="0" xr:uid="{00000000-0006-0000-0300-0000E2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597" authorId="1" shapeId="0" xr:uid="{00000000-0006-0000-0300-0000E3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597" authorId="1" shapeId="0" xr:uid="{00000000-0006-0000-0300-0000E4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598" authorId="1" shapeId="0" xr:uid="{00000000-0006-0000-0300-0000E5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G5598" authorId="1" shapeId="0" xr:uid="{00000000-0006-0000-0300-0000E6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H5598" authorId="1" shapeId="0" xr:uid="{00000000-0006-0000-0300-0000E703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3 EEG 2014.
</t>
        </r>
      </text>
    </comment>
    <comment ref="F5676" authorId="10" shapeId="0" xr:uid="{00000000-0006-0000-0300-0000E8030000}">
      <text>
        <r>
          <rPr>
            <sz val="9"/>
            <color indexed="81"/>
            <rFont val="Tahoma"/>
            <family val="2"/>
          </rPr>
          <t>Diese Kategorie wird ausschließlich für die Ausfallvermarktung verwendet. Eine Einspeisevergütung existiert daher nicht.</t>
        </r>
      </text>
    </comment>
    <comment ref="G5676" authorId="11" shapeId="0" xr:uid="{00000000-0006-0000-0300-0000E9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76" authorId="11" shapeId="0" xr:uid="{00000000-0006-0000-0300-0000EA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77" authorId="10" shapeId="0" xr:uid="{00000000-0006-0000-0300-0000EB030000}">
      <text>
        <r>
          <rPr>
            <sz val="9"/>
            <color indexed="81"/>
            <rFont val="Tahoma"/>
            <family val="2"/>
          </rPr>
          <t>Diese Kategorie wird ausschließlich für die Ausfallvermarktung verwendet. Eine Einspeisevergütung existiert daher nicht.</t>
        </r>
      </text>
    </comment>
    <comment ref="G5677" authorId="11" shapeId="0" xr:uid="{00000000-0006-0000-0300-0000EC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77" authorId="11" shapeId="0" xr:uid="{00000000-0006-0000-0300-0000ED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78" authorId="10" shapeId="0" xr:uid="{00000000-0006-0000-0300-0000EE030000}">
      <text>
        <r>
          <rPr>
            <sz val="9"/>
            <color indexed="81"/>
            <rFont val="Tahoma"/>
            <family val="2"/>
          </rPr>
          <t>Diese Kategorie wird ausschließlich für die Ausfallvermarktung verwendet. Eine Einspeisevergütung existiert daher nicht.</t>
        </r>
      </text>
    </comment>
    <comment ref="G5678" authorId="11" shapeId="0" xr:uid="{00000000-0006-0000-0300-0000EF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78" authorId="11" shapeId="0" xr:uid="{00000000-0006-0000-0300-0000F0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79" authorId="10" shapeId="0" xr:uid="{00000000-0006-0000-0300-0000F1030000}">
      <text>
        <r>
          <rPr>
            <sz val="9"/>
            <color indexed="81"/>
            <rFont val="Tahoma"/>
            <family val="2"/>
          </rPr>
          <t>Diese Kategorie wird ausschließlich für die Ausfallvermarktung verwendet. Eine Einspeisevergütung existiert daher nicht.</t>
        </r>
      </text>
    </comment>
    <comment ref="G5679" authorId="11" shapeId="0" xr:uid="{00000000-0006-0000-0300-0000F2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79" authorId="11" shapeId="0" xr:uid="{00000000-0006-0000-0300-0000F3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0" authorId="10" shapeId="0" xr:uid="{00000000-0006-0000-0300-0000F4030000}">
      <text>
        <r>
          <rPr>
            <sz val="9"/>
            <color indexed="81"/>
            <rFont val="Tahoma"/>
            <family val="2"/>
          </rPr>
          <t>Diese Kategorie wird ausschließlich für die Ausfallvermarktung verwendet. Eine Einspeisevergütung existiert daher nicht.</t>
        </r>
      </text>
    </comment>
    <comment ref="G5680" authorId="11" shapeId="0" xr:uid="{00000000-0006-0000-0300-0000F5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0" authorId="11" shapeId="0" xr:uid="{00000000-0006-0000-0300-0000F6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1" authorId="10" shapeId="0" xr:uid="{00000000-0006-0000-0300-0000F7030000}">
      <text>
        <r>
          <rPr>
            <sz val="9"/>
            <color indexed="81"/>
            <rFont val="Tahoma"/>
            <family val="2"/>
          </rPr>
          <t>Diese Kategorie wird ausschließlich für die Ausfallvermarktung verwendet. Eine Einspeisevergütung existiert daher nicht.</t>
        </r>
      </text>
    </comment>
    <comment ref="G5681" authorId="11" shapeId="0" xr:uid="{00000000-0006-0000-0300-0000F8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1" authorId="11" shapeId="0" xr:uid="{00000000-0006-0000-0300-0000F9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2" authorId="10" shapeId="0" xr:uid="{00000000-0006-0000-0300-0000FA030000}">
      <text>
        <r>
          <rPr>
            <sz val="9"/>
            <color indexed="81"/>
            <rFont val="Tahoma"/>
            <family val="2"/>
          </rPr>
          <t>Diese Kategorie wird ausschließlich für die Ausfallvermarktung verwendet. Eine Einspeisevergütung existiert daher nicht.</t>
        </r>
      </text>
    </comment>
    <comment ref="G5682" authorId="11" shapeId="0" xr:uid="{00000000-0006-0000-0300-0000FB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2" authorId="11" shapeId="0" xr:uid="{00000000-0006-0000-0300-0000FC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3" authorId="10" shapeId="0" xr:uid="{00000000-0006-0000-0300-0000FD030000}">
      <text>
        <r>
          <rPr>
            <sz val="9"/>
            <color indexed="81"/>
            <rFont val="Tahoma"/>
            <family val="2"/>
          </rPr>
          <t>Diese Kategorie wird ausschließlich für die Ausfallvermarktung verwendet. Eine Einspeisevergütung existiert daher nicht.</t>
        </r>
      </text>
    </comment>
    <comment ref="G5683" authorId="11" shapeId="0" xr:uid="{00000000-0006-0000-0300-0000FE03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3" authorId="11" shapeId="0" xr:uid="{00000000-0006-0000-0300-0000FF03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4" authorId="10" shapeId="0" xr:uid="{00000000-0006-0000-0300-000000040000}">
      <text>
        <r>
          <rPr>
            <sz val="9"/>
            <color indexed="81"/>
            <rFont val="Tahoma"/>
            <family val="2"/>
          </rPr>
          <t>Diese Kategorie wird ausschließlich für die Ausfallvermarktung verwendet. Eine Einspeisevergütung existiert daher nicht.</t>
        </r>
      </text>
    </comment>
    <comment ref="G5684" authorId="11" shapeId="0" xr:uid="{00000000-0006-0000-0300-000001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4" authorId="11" shapeId="0" xr:uid="{00000000-0006-0000-0300-000002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5" authorId="10" shapeId="0" xr:uid="{00000000-0006-0000-0300-000003040000}">
      <text>
        <r>
          <rPr>
            <sz val="9"/>
            <color indexed="81"/>
            <rFont val="Tahoma"/>
            <family val="2"/>
          </rPr>
          <t>Diese Kategorie wird ausschließlich für die Ausfallvermarktung verwendet. Eine Einspeisevergütung existiert daher nicht.</t>
        </r>
      </text>
    </comment>
    <comment ref="G5685" authorId="11" shapeId="0" xr:uid="{00000000-0006-0000-0300-000004040000}">
      <text>
        <r>
          <rPr>
            <sz val="9"/>
            <color indexed="81"/>
            <rFont val="Segoe UI"/>
            <family val="2"/>
          </rPr>
          <t>Die Höhe des Anzulegenden Wertes ist der energieträgerspezifisch durchschnittliche Marktwert, der für jeden Monat ex-post berechnet und auf der gemeinsamen ÜNB-Homepage www.netztransparenz.de 
veröffentlicht wird.</t>
        </r>
        <r>
          <rPr>
            <sz val="9"/>
            <color indexed="81"/>
            <rFont val="Segoe UI"/>
            <family val="2"/>
          </rPr>
          <t xml:space="preserve">
</t>
        </r>
      </text>
    </comment>
    <comment ref="H5685" authorId="11" shapeId="0" xr:uid="{00000000-0006-0000-0300-000005040000}">
      <text>
        <r>
          <rPr>
            <sz val="9"/>
            <color indexed="81"/>
            <rFont val="Segoe UI"/>
            <family val="2"/>
          </rPr>
          <t xml:space="preserve">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
</t>
        </r>
      </text>
    </comment>
    <comment ref="F5689" authorId="10" shapeId="0" xr:uid="{00000000-0006-0000-0300-000006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G5689" authorId="10" shapeId="0" xr:uid="{00000000-0006-0000-0300-000007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H5689" authorId="10" shapeId="0" xr:uid="{00000000-0006-0000-0300-00000804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5690" authorId="10" shapeId="0" xr:uid="{00000000-0006-0000-0300-000009040000}">
      <text>
        <r>
          <rPr>
            <b/>
            <sz val="9"/>
            <color indexed="81"/>
            <rFont val="Tahoma"/>
            <family val="2"/>
          </rPr>
          <t>Durch die Reduzierung des anzulegenden Wertes auf den energieträgerspezifisch durchschnittlichen Marktwert reduziert sich die Marktprämie auf die Managementprämie.</t>
        </r>
      </text>
    </comment>
    <comment ref="G5690" authorId="10" shapeId="0" xr:uid="{00000000-0006-0000-0300-00000A040000}">
      <text>
        <r>
          <rPr>
            <b/>
            <sz val="9"/>
            <color indexed="81"/>
            <rFont val="Tahoma"/>
            <family val="2"/>
          </rPr>
          <t>Durch die Reduzierung des anzulegenden Wertes auf den energieträgerspezifisch durchschnittlichen Marktwert reduziert sich die Marktprämie auf die Managementprämie.</t>
        </r>
      </text>
    </comment>
    <comment ref="H5690" authorId="10" shapeId="0" xr:uid="{00000000-0006-0000-0300-00000B040000}">
      <text>
        <r>
          <rPr>
            <b/>
            <sz val="9"/>
            <color indexed="81"/>
            <rFont val="Tahoma"/>
            <family val="2"/>
          </rPr>
          <t>Durch die Reduzierung des anzulegenden Wertes auf den energieträgerspezifisch durchschnittlichen Marktwert reduziert sich die Marktprämie auf die Managementprämie.</t>
        </r>
      </text>
    </comment>
    <comment ref="F5694" authorId="10" shapeId="0" xr:uid="{00000000-0006-0000-0300-00000C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694" authorId="10" shapeId="0" xr:uid="{00000000-0006-0000-0300-00000D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694" authorId="10" shapeId="0" xr:uid="{00000000-0006-0000-0300-00000E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695" authorId="10" shapeId="0" xr:uid="{00000000-0006-0000-0300-00000F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G5695" authorId="10" shapeId="0" xr:uid="{00000000-0006-0000-0300-000010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H5695" authorId="10" shapeId="0" xr:uid="{00000000-0006-0000-0300-000011040000}">
      <text>
        <r>
          <rPr>
            <b/>
            <sz val="9"/>
            <color indexed="81"/>
            <rFont val="Tahoma"/>
            <family val="2"/>
          </rPr>
          <t>Die Höhe des Vergütungssatzes hängt vom Monats-Marktwert Solar ab, der für jeden Monat ex-post berechnet und auf der gemeinsamen ÜNB-Homepage www.netztransparenz.de 
veröffentlicht wird.</t>
        </r>
      </text>
    </comment>
    <comment ref="F5696" authorId="1" shapeId="0" xr:uid="{00000000-0006-0000-0300-000012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G5696" authorId="1" shapeId="0" xr:uid="{00000000-0006-0000-0300-000013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H5696" authorId="1" shapeId="0" xr:uid="{00000000-0006-0000-0300-000014040000}">
      <text>
        <r>
          <rPr>
            <b/>
            <sz val="9"/>
            <color indexed="81"/>
            <rFont val="Tahoma"/>
            <family val="2"/>
          </rPr>
          <t xml:space="preserve">Für den Stromanteil, der die förderfähigen 90 % der Jahreserzeugung übersteigt, reduziert sich der anzulegende Wert nach § 33h EEG 2012 auf den monatlichen Marktwert des Energieträgers Solar. Dadurch reduziert sich die Marktprämie auf die Höhe der Managementprämie, die in der MaPrV oder im § 100 Abs. 1 Nr. 8 EEG 2014 festgelegt ist.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nicht erfüllt ist.
</t>
        </r>
      </text>
    </comment>
    <comment ref="F5700" authorId="10" shapeId="0" xr:uid="{00000000-0006-0000-0300-000015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700" authorId="10" shapeId="0" xr:uid="{00000000-0006-0000-0300-000016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700" authorId="10" shapeId="0" xr:uid="{00000000-0006-0000-0300-000017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701" authorId="10" shapeId="0" xr:uid="{00000000-0006-0000-0300-000018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G5701" authorId="10" shapeId="0" xr:uid="{00000000-0006-0000-0300-000019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H5701" authorId="10" shapeId="0" xr:uid="{00000000-0006-0000-0300-00001A040000}">
      <text>
        <r>
          <rPr>
            <b/>
            <sz val="9"/>
            <color indexed="81"/>
            <rFont val="Tahoma"/>
            <family val="2"/>
          </rPr>
          <t>Die Höhe des Vergütungssatzes hängt vom Jahres-Marktwert Solar ab, der für jedes Jahr ex-post berechnet und auf der gemeinsamen ÜNB-Homepage www.netztransparenz.de 
veröffentlicht wird.</t>
        </r>
      </text>
    </comment>
    <comment ref="F5702" authorId="0" shapeId="0" xr:uid="{00000000-0006-0000-0300-00001B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5702" authorId="0" shapeId="0" xr:uid="{00000000-0006-0000-0300-00001C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5702" authorId="0" shapeId="0" xr:uid="{00000000-0006-0000-0300-00001D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5703" authorId="1" shapeId="0" xr:uid="{00000000-0006-0000-0300-00001E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703" authorId="1" shapeId="0" xr:uid="{00000000-0006-0000-0300-00001F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703" authorId="1" shapeId="0" xr:uid="{00000000-0006-0000-0300-000020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704" authorId="1" shapeId="0" xr:uid="{00000000-0006-0000-0300-000021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G5704" authorId="1" shapeId="0" xr:uid="{00000000-0006-0000-0300-000022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H5704" authorId="1" shapeId="0" xr:uid="{00000000-0006-0000-0300-000023040000}">
      <text>
        <r>
          <rPr>
            <b/>
            <sz val="9"/>
            <color indexed="81"/>
            <rFont val="Tahoma"/>
            <family val="2"/>
          </rPr>
          <t xml:space="preserve">Bei einer unzulässigen gemeinsamen Messung reduziert sich der anzulegende Wert nach § 33h EEG 2012 auf den Jahresmittelwert des Marktwertes Solar. Dadurch reduziert sich die Marktprämie. Die Marktprämie ist auf der Basis des kalendermonatlichen Referenzmarktwertes zu berechnen, wird aber hinsichtlich der Vergütungskategorien nicht monatlich aufgeschlüsselt gemeldet.
</t>
        </r>
        <r>
          <rPr>
            <b/>
            <u/>
            <sz val="9"/>
            <color indexed="81"/>
            <rFont val="Tahoma"/>
            <family val="2"/>
          </rPr>
          <t>Stromerzeugung bis 31.03.2015</t>
        </r>
        <r>
          <rPr>
            <b/>
            <sz val="9"/>
            <color indexed="81"/>
            <rFont val="Tahoma"/>
            <family val="2"/>
          </rPr>
          <t xml:space="preserve">
Diese Kategorie ist immer dann zu verwenden, wenn für den entsprechenden Monat die Voraussetzung für die erhöhte Managementprämie nach § 2 Abs. 2 MaPrV (keine Erfüllung der Anforderungen an die Fernsteuerbarkeit nach § 3 Abs. 1 MaPrV sowie im Monat der erstmaligen  Erfüllung) oder § 36 EEG 2014 </t>
        </r>
        <r>
          <rPr>
            <b/>
            <u/>
            <sz val="9"/>
            <color indexed="81"/>
            <rFont val="Tahoma"/>
            <family val="2"/>
          </rPr>
          <t xml:space="preserve">nicht erfüllt </t>
        </r>
        <r>
          <rPr>
            <b/>
            <sz val="9"/>
            <color indexed="81"/>
            <rFont val="Tahoma"/>
            <family val="2"/>
          </rPr>
          <t xml:space="preserve">ist.
</t>
        </r>
        <r>
          <rPr>
            <b/>
            <u/>
            <sz val="9"/>
            <color indexed="81"/>
            <rFont val="Tahoma"/>
            <family val="2"/>
          </rPr>
          <t>Stromerzeugung ab 01.04.2015</t>
        </r>
        <r>
          <rPr>
            <b/>
            <sz val="9"/>
            <color indexed="81"/>
            <rFont val="Tahoma"/>
            <family val="2"/>
          </rPr>
          <t xml:space="preserve">
Diese Kategorie ist </t>
        </r>
        <r>
          <rPr>
            <b/>
            <u/>
            <sz val="9"/>
            <color indexed="81"/>
            <rFont val="Tahoma"/>
            <family val="2"/>
          </rPr>
          <t>immer</t>
        </r>
        <r>
          <rPr>
            <b/>
            <sz val="9"/>
            <color indexed="81"/>
            <rFont val="Tahoma"/>
            <family val="2"/>
          </rPr>
          <t xml:space="preserve"> zu verwenden, es sei denn, die Anlage ist wegen fehlender Fernsteuerbarkeit nach § 35 EEG 2014 zu sanktionieren.</t>
        </r>
      </text>
    </comment>
    <comment ref="F5725" authorId="10" shapeId="0" xr:uid="{00000000-0006-0000-0300-000024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25" authorId="10" shapeId="0" xr:uid="{00000000-0006-0000-0300-000025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25" authorId="10" shapeId="0" xr:uid="{00000000-0006-0000-0300-000026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26" authorId="10" shapeId="0" xr:uid="{00000000-0006-0000-0300-000027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26" authorId="10" shapeId="0" xr:uid="{00000000-0006-0000-0300-000028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26" authorId="10" shapeId="0" xr:uid="{00000000-0006-0000-0300-000029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736" authorId="10" shapeId="0" xr:uid="{00000000-0006-0000-0300-00002A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5736" authorId="10" shapeId="0" xr:uid="{00000000-0006-0000-0300-00002B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5736" authorId="10" shapeId="0" xr:uid="{00000000-0006-0000-0300-00002C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5984" authorId="1" shapeId="0" xr:uid="{00000000-0006-0000-0300-00002D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G5984" authorId="1" shapeId="0" xr:uid="{00000000-0006-0000-0300-00002E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H5984" authorId="1" shapeId="0" xr:uid="{00000000-0006-0000-0300-00002F040000}">
      <text>
        <r>
          <rPr>
            <b/>
            <sz val="9"/>
            <color indexed="81"/>
            <rFont val="Tahoma"/>
            <family val="2"/>
          </rPr>
          <t xml:space="preserve">Der unter Vergütung zu meldende Wert ergibt sich aus der Anzahl der kostenlos zugeteilten Berechtigungen und dem durch das BMU jährlich ermittelten und ab 30. September im elektronischen Bundesanzeiger veröffentlichten Wert je Berechtigung. 
Der Wert ist als negative Zahl einzutragen und reduziert damit die EEG-Vergütung der Anlage. </t>
        </r>
        <r>
          <rPr>
            <sz val="9"/>
            <color indexed="81"/>
            <rFont val="Tahoma"/>
            <family val="2"/>
          </rPr>
          <t xml:space="preserve">
</t>
        </r>
      </text>
    </comment>
    <comment ref="F6001" authorId="0" shapeId="0" xr:uid="{00000000-0006-0000-0300-000030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001" authorId="0" shapeId="0" xr:uid="{00000000-0006-0000-0300-000031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001" authorId="0" shapeId="0" xr:uid="{00000000-0006-0000-0300-000032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6020" authorId="10" shapeId="0" xr:uid="{00000000-0006-0000-0300-00003304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 ref="G6020" authorId="10" shapeId="0" xr:uid="{00000000-0006-0000-0300-000034040000}">
      <text>
        <r>
          <rPr>
            <sz val="9"/>
            <color indexed="81"/>
            <rFont val="Tahoma"/>
            <family val="2"/>
          </rPr>
          <t>Die Höhe des Anzulegenden Wertes ist der energieträgerspezifisch durchschnittliche Marktwert, der für jeden Monat ex-post berechnet und auf der gemeinsamen ÜNB-Homepage www.netztransparenz.de 
veröffentlicht wird.</t>
        </r>
      </text>
    </comment>
    <comment ref="H6020" authorId="10" shapeId="0" xr:uid="{00000000-0006-0000-0300-000035040000}">
      <text>
        <r>
          <rPr>
            <sz val="9"/>
            <color indexed="81"/>
            <rFont val="Tahoma"/>
            <family val="2"/>
          </rPr>
          <t>Die Höhe der Ausfallvergütung beträgt 80 % des Anzulegenden Wertes, gerundet auf 2 Nachkommastellen (bezogen auf ct/kWh). Der Anzulegende Wert ist der energieträgerspezifisch durchschnittliche Marktwert, der für jeden Monat ex-post berechnet und auf der gemeinsamen ÜNB-Homepage www.netztransparenz.de 
veröffentlicht wird.</t>
        </r>
      </text>
    </comment>
    <comment ref="F6021" authorId="10" shapeId="0" xr:uid="{00000000-0006-0000-0300-000036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G6021" authorId="10" shapeId="0" xr:uid="{00000000-0006-0000-0300-000037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H6021" authorId="10" shapeId="0" xr:uid="{00000000-0006-0000-0300-000038040000}">
      <text>
        <r>
          <rPr>
            <b/>
            <sz val="9"/>
            <color indexed="81"/>
            <rFont val="Tahoma"/>
            <family val="2"/>
          </rPr>
          <t>Für den Stromanteil, der die förderfähigen Höchstbemessungsleistung übersteigt, reduziert sich der Vergütungsanspruch auf den monatlichen Marktwert steuerbarer Anlagen. Dadurch reduziert sich die Marktprämie auf die Höhe der Managementprämie, die im § 100 Abs. 1 Nr. 8 EEG 2014 festgelegt ist.</t>
        </r>
      </text>
    </comment>
    <comment ref="F6029" authorId="9" shapeId="0" xr:uid="{00000000-0006-0000-0300-000039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29" authorId="7" shapeId="0" xr:uid="{00000000-0006-0000-0300-00003A040000}">
      <text>
        <r>
          <rPr>
            <sz val="9"/>
            <color indexed="81"/>
            <rFont val="Segoe UI"/>
            <family val="2"/>
          </rPr>
          <t>Diese Kategorie ist für die Marktprämien-Direktvermarktung irrelevant.</t>
        </r>
      </text>
    </comment>
    <comment ref="H6029" authorId="9" shapeId="0" xr:uid="{00000000-0006-0000-0300-00003B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0" authorId="9" shapeId="0" xr:uid="{00000000-0006-0000-0300-00003C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0" authorId="7" shapeId="0" xr:uid="{00000000-0006-0000-0300-00003D040000}">
      <text>
        <r>
          <rPr>
            <sz val="9"/>
            <color indexed="81"/>
            <rFont val="Segoe UI"/>
            <family val="2"/>
          </rPr>
          <t>Diese Kategorie ist für die Marktprämien-Direktvermarktung irrelevant.</t>
        </r>
      </text>
    </comment>
    <comment ref="H6030" authorId="9" shapeId="0" xr:uid="{00000000-0006-0000-0300-00003E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1" authorId="9" shapeId="0" xr:uid="{00000000-0006-0000-0300-00003F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1" authorId="7" shapeId="0" xr:uid="{00000000-0006-0000-0300-000040040000}">
      <text>
        <r>
          <rPr>
            <sz val="9"/>
            <color indexed="81"/>
            <rFont val="Segoe UI"/>
            <family val="2"/>
          </rPr>
          <t>Diese Kategorie ist für die Marktprämien-Direktvermarktung irrelevant.</t>
        </r>
      </text>
    </comment>
    <comment ref="H6031" authorId="9" shapeId="0" xr:uid="{00000000-0006-0000-0300-000041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2" authorId="9" shapeId="0" xr:uid="{00000000-0006-0000-0300-000042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2" authorId="7" shapeId="0" xr:uid="{00000000-0006-0000-0300-000043040000}">
      <text>
        <r>
          <rPr>
            <sz val="9"/>
            <color indexed="81"/>
            <rFont val="Segoe UI"/>
            <family val="2"/>
          </rPr>
          <t>Diese Kategorie ist für die Marktprämien-Direktvermarktung irrelevant.</t>
        </r>
      </text>
    </comment>
    <comment ref="H6032" authorId="9" shapeId="0" xr:uid="{00000000-0006-0000-0300-000044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3" authorId="9" shapeId="0" xr:uid="{00000000-0006-0000-0300-000045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3" authorId="7" shapeId="0" xr:uid="{00000000-0006-0000-0300-000046040000}">
      <text>
        <r>
          <rPr>
            <sz val="9"/>
            <color indexed="81"/>
            <rFont val="Segoe UI"/>
            <family val="2"/>
          </rPr>
          <t>Diese Kategorie ist für die Marktprämien-Direktvermarktung irrelevant.</t>
        </r>
      </text>
    </comment>
    <comment ref="H6033" authorId="9" shapeId="0" xr:uid="{00000000-0006-0000-0300-000047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4" authorId="9" shapeId="0" xr:uid="{00000000-0006-0000-0300-000048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4" authorId="7" shapeId="0" xr:uid="{00000000-0006-0000-0300-000049040000}">
      <text>
        <r>
          <rPr>
            <sz val="9"/>
            <color indexed="81"/>
            <rFont val="Segoe UI"/>
            <family val="2"/>
          </rPr>
          <t>Diese Kategorie ist für die Marktprämien-Direktvermarktung irrelevant.</t>
        </r>
      </text>
    </comment>
    <comment ref="H6034" authorId="9" shapeId="0" xr:uid="{00000000-0006-0000-0300-00004A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5" authorId="9" shapeId="0" xr:uid="{00000000-0006-0000-0300-00004B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5" authorId="7" shapeId="0" xr:uid="{00000000-0006-0000-0300-00004C040000}">
      <text>
        <r>
          <rPr>
            <sz val="9"/>
            <color indexed="81"/>
            <rFont val="Segoe UI"/>
            <family val="2"/>
          </rPr>
          <t>Diese Kategorie ist für die Marktprämien-Direktvermarktung irrelevant.</t>
        </r>
      </text>
    </comment>
    <comment ref="H6035" authorId="9" shapeId="0" xr:uid="{00000000-0006-0000-0300-00004D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6" authorId="9" shapeId="0" xr:uid="{00000000-0006-0000-0300-00004E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6" authorId="7" shapeId="0" xr:uid="{00000000-0006-0000-0300-00004F040000}">
      <text>
        <r>
          <rPr>
            <sz val="9"/>
            <color indexed="81"/>
            <rFont val="Segoe UI"/>
            <family val="2"/>
          </rPr>
          <t>Diese Kategorie ist für die Marktprämien-Direktvermarktung irrelevant.</t>
        </r>
      </text>
    </comment>
    <comment ref="H6036" authorId="9" shapeId="0" xr:uid="{00000000-0006-0000-0300-000050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7" authorId="9" shapeId="0" xr:uid="{00000000-0006-0000-0300-000051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7" authorId="7" shapeId="0" xr:uid="{00000000-0006-0000-0300-000052040000}">
      <text>
        <r>
          <rPr>
            <sz val="9"/>
            <color indexed="81"/>
            <rFont val="Segoe UI"/>
            <family val="2"/>
          </rPr>
          <t>Diese Kategorie ist für die Marktprämien-Direktvermarktung irrelevant.</t>
        </r>
      </text>
    </comment>
    <comment ref="H6037" authorId="9" shapeId="0" xr:uid="{00000000-0006-0000-0300-000053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8" authorId="9" shapeId="0" xr:uid="{00000000-0006-0000-0300-000054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8" authorId="7" shapeId="0" xr:uid="{00000000-0006-0000-0300-000055040000}">
      <text>
        <r>
          <rPr>
            <sz val="9"/>
            <color indexed="81"/>
            <rFont val="Segoe UI"/>
            <family val="2"/>
          </rPr>
          <t>Diese Kategorie ist für die Marktprämien-Direktvermarktung irrelevant.</t>
        </r>
      </text>
    </comment>
    <comment ref="H6038" authorId="9" shapeId="0" xr:uid="{00000000-0006-0000-0300-000056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39" authorId="9" shapeId="0" xr:uid="{00000000-0006-0000-0300-000057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39" authorId="7" shapeId="0" xr:uid="{00000000-0006-0000-0300-000058040000}">
      <text>
        <r>
          <rPr>
            <sz val="9"/>
            <color indexed="81"/>
            <rFont val="Segoe UI"/>
            <family val="2"/>
          </rPr>
          <t>Diese Kategorie ist für die Marktprämien-Direktvermarktung irrelevant.</t>
        </r>
      </text>
    </comment>
    <comment ref="H6039" authorId="9" shapeId="0" xr:uid="{00000000-0006-0000-0300-000059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40" authorId="9" shapeId="0" xr:uid="{00000000-0006-0000-0300-00005A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40" authorId="7" shapeId="0" xr:uid="{00000000-0006-0000-0300-00005B040000}">
      <text>
        <r>
          <rPr>
            <sz val="9"/>
            <color indexed="81"/>
            <rFont val="Segoe UI"/>
            <family val="2"/>
          </rPr>
          <t>Diese Kategorie ist für die Marktprämien-Direktvermarktung irrelevant.</t>
        </r>
      </text>
    </comment>
    <comment ref="H6040" authorId="9" shapeId="0" xr:uid="{00000000-0006-0000-0300-00005C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41" authorId="9" shapeId="0" xr:uid="{00000000-0006-0000-0300-00005D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G6041" authorId="7" shapeId="0" xr:uid="{00000000-0006-0000-0300-00005E040000}">
      <text>
        <r>
          <rPr>
            <sz val="9"/>
            <color indexed="81"/>
            <rFont val="Segoe UI"/>
            <family val="2"/>
          </rPr>
          <t>Diese Kategorie ist für die Marktprämien-Direktvermarktung irrelevant.</t>
        </r>
      </text>
    </comment>
    <comment ref="H6041" authorId="9" shapeId="0" xr:uid="{00000000-0006-0000-0300-00005F040000}">
      <text>
        <r>
          <rPr>
            <b/>
            <sz val="9"/>
            <color indexed="81"/>
            <rFont val="Segoe UI"/>
            <family val="2"/>
          </rPr>
          <t>Sollte der energieträgerspezifische Marktwert höher sein als der hypothetische anzulegende Wert ohne Sanktionierung, wird die Förderung auf diesen anzulegenden Wert begrenzt. Mit Hilfe des Ausgleichsbetrags wird der mit der Sanktionskategorie gemeldete zu hohe Betrag des Marktwertes durch die Angabe eines negativen Euro-Betrags auf die Höhe der nicht-sanktionierten Förderung reduziert.</t>
        </r>
      </text>
    </comment>
    <comment ref="F6058" authorId="0" shapeId="0" xr:uid="{00000000-0006-0000-0300-000060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G6058" authorId="0" shapeId="0" xr:uid="{00000000-0006-0000-0300-000061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H6058" authorId="0" shapeId="0" xr:uid="{00000000-0006-0000-0300-00006204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Dr. Hagner, Gert</author>
    <author>Kirchenbaur Stephan</author>
    <author>Kirchenbaur, Stephan</author>
    <author>admkar10</author>
    <author>Koch, Andreas</author>
  </authors>
  <commentList>
    <comment ref="D7" authorId="0" shapeId="0" xr:uid="{00000000-0006-0000-0400-000001000000}">
      <text>
        <r>
          <rPr>
            <b/>
            <sz val="9"/>
            <color indexed="81"/>
            <rFont val="Tahoma"/>
            <family val="2"/>
          </rPr>
          <t>Einmalige Nachholung der Bonuszahlung für 2009 und 2010 im Rahmen der Jahresmeldung 2011.</t>
        </r>
        <r>
          <rPr>
            <sz val="9"/>
            <color indexed="81"/>
            <rFont val="Tahoma"/>
            <family val="2"/>
          </rPr>
          <t xml:space="preserve">
</t>
        </r>
      </text>
    </comment>
    <comment ref="F7" authorId="1" shapeId="0" xr:uid="{00000000-0006-0000-0400-000002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8" authorId="0" shapeId="0" xr:uid="{00000000-0006-0000-0400-000003000000}">
      <text>
        <r>
          <rPr>
            <b/>
            <sz val="9"/>
            <color indexed="81"/>
            <rFont val="Tahoma"/>
            <family val="2"/>
          </rPr>
          <t>Einmalige Nachholung der Bonuszahlung für 2010 im Rahmen der Jahresmeldung 2011.</t>
        </r>
        <r>
          <rPr>
            <sz val="9"/>
            <color indexed="81"/>
            <rFont val="Tahoma"/>
            <family val="2"/>
          </rPr>
          <t xml:space="preserve">
</t>
        </r>
      </text>
    </comment>
    <comment ref="F8" authorId="1" shapeId="0" xr:uid="{00000000-0006-0000-0400-000004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9" authorId="0" shapeId="0" xr:uid="{00000000-0006-0000-0400-000005000000}">
      <text>
        <r>
          <rPr>
            <b/>
            <sz val="9"/>
            <color indexed="81"/>
            <rFont val="Tahoma"/>
            <family val="2"/>
          </rPr>
          <t>Einmalige Nachholung der Bonuszahlung für 2009 und 2010 im Rahmen der Jahresmeldung 2011.</t>
        </r>
        <r>
          <rPr>
            <sz val="9"/>
            <color indexed="81"/>
            <rFont val="Tahoma"/>
            <family val="2"/>
          </rPr>
          <t xml:space="preserve">
</t>
        </r>
      </text>
    </comment>
    <comment ref="F9" authorId="1" shapeId="0" xr:uid="{00000000-0006-0000-0400-000006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D10" authorId="0" shapeId="0" xr:uid="{00000000-0006-0000-0400-000007000000}">
      <text>
        <r>
          <rPr>
            <b/>
            <sz val="9"/>
            <color indexed="81"/>
            <rFont val="Tahoma"/>
            <family val="2"/>
          </rPr>
          <t>Einmalige Nachholung der Bonuszahlung für 2010 im Rahmen der Jahresmeldung 2011.</t>
        </r>
        <r>
          <rPr>
            <sz val="9"/>
            <color indexed="81"/>
            <rFont val="Tahoma"/>
            <family val="2"/>
          </rPr>
          <t xml:space="preserve">
</t>
        </r>
      </text>
    </comment>
    <comment ref="F10" authorId="1" shapeId="0" xr:uid="{00000000-0006-0000-0400-000008000000}">
      <text>
        <r>
          <rPr>
            <b/>
            <sz val="10"/>
            <color indexed="81"/>
            <rFont val="Tahoma"/>
            <family val="2"/>
          </rPr>
          <t xml:space="preserve">Hinweis: </t>
        </r>
        <r>
          <rPr>
            <sz val="10"/>
            <color indexed="81"/>
            <rFont val="Tahoma"/>
            <family val="2"/>
          </rPr>
          <t>Mit dieser Kategorie wird ausschließlich der Bonus in Höhe von 0,5 ct/kWh vergütet. Die erhöhe Anfangsvergütung wurde bereits in den Jahresmeldungen 2009 und 2010 gezahlt.</t>
        </r>
      </text>
    </comment>
    <comment ref="F14" authorId="1" shapeId="0" xr:uid="{00000000-0006-0000-0400-000009000000}">
      <text>
        <r>
          <rPr>
            <b/>
            <sz val="10"/>
            <color indexed="81"/>
            <rFont val="Tahoma"/>
            <family val="2"/>
          </rPr>
          <t xml:space="preserve">Hinweis: </t>
        </r>
        <r>
          <rPr>
            <sz val="10"/>
            <color indexed="81"/>
            <rFont val="Tahoma"/>
            <family val="2"/>
          </rPr>
          <t xml:space="preserve">In dieser Kategorie sind nur die €-Beträge einzutragen, die vom ÜNB ersetzt werden müssen.
</t>
        </r>
      </text>
    </comment>
    <comment ref="F156" authorId="0" shapeId="0" xr:uid="{00000000-0006-0000-0400-00000A00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57" authorId="0" shapeId="0" xr:uid="{00000000-0006-0000-0400-00000B000000}">
      <text>
        <r>
          <rPr>
            <b/>
            <sz val="9"/>
            <color indexed="81"/>
            <rFont val="Tahoma"/>
            <family val="2"/>
          </rPr>
          <t xml:space="preserve">Der Vergütungssatz berechnet sich aus der Bemessungsleistung der Anlage (während des Kalenderjahrs oder Zeitraums der Inanspruchnahme der Flexibilitätsprämie), der installierten Leistung und dem eingesetzten Biogas nach Anlage 5 EEG 2012.
</t>
        </r>
      </text>
    </comment>
    <comment ref="F164" authorId="2" shapeId="0" xr:uid="{00000000-0006-0000-0400-00000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5" authorId="2" shapeId="0" xr:uid="{00000000-0006-0000-0400-00000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66" authorId="3" shapeId="0" xr:uid="{00000000-0006-0000-0400-00000E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170" authorId="2" shapeId="0" xr:uid="{00000000-0006-0000-0400-00000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1" authorId="2" shapeId="0" xr:uid="{00000000-0006-0000-0400-00001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2" authorId="2" shapeId="0" xr:uid="{00000000-0006-0000-0400-00001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3" authorId="2" shapeId="0" xr:uid="{00000000-0006-0000-0400-00001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4" authorId="2" shapeId="0" xr:uid="{00000000-0006-0000-0400-00001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5" authorId="2" shapeId="0" xr:uid="{00000000-0006-0000-0400-00001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6" authorId="2" shapeId="0" xr:uid="{00000000-0006-0000-0400-00001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7" authorId="2" shapeId="0" xr:uid="{00000000-0006-0000-0400-00001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8" authorId="2" shapeId="0" xr:uid="{00000000-0006-0000-0400-00001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79" authorId="2" shapeId="0" xr:uid="{00000000-0006-0000-0400-00001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0" authorId="2" shapeId="0" xr:uid="{00000000-0006-0000-0400-00001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1" authorId="2" shapeId="0" xr:uid="{00000000-0006-0000-0400-00001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2" authorId="2" shapeId="0" xr:uid="{00000000-0006-0000-0400-00001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6" authorId="2" shapeId="0" xr:uid="{00000000-0006-0000-0400-00001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7" authorId="2" shapeId="0" xr:uid="{00000000-0006-0000-0400-00001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8" authorId="2" shapeId="0" xr:uid="{00000000-0006-0000-0400-00001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89" authorId="2" shapeId="0" xr:uid="{00000000-0006-0000-0400-00001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0" authorId="2" shapeId="0" xr:uid="{00000000-0006-0000-0400-00002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1" authorId="2" shapeId="0" xr:uid="{00000000-0006-0000-0400-00002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2" authorId="2" shapeId="0" xr:uid="{00000000-0006-0000-0400-00002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3" authorId="2" shapeId="0" xr:uid="{00000000-0006-0000-0400-00002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4" authorId="2" shapeId="0" xr:uid="{00000000-0006-0000-0400-00002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5" authorId="2" shapeId="0" xr:uid="{00000000-0006-0000-0400-00002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6" authorId="2" shapeId="0" xr:uid="{00000000-0006-0000-0400-00002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7" authorId="2" shapeId="0" xr:uid="{00000000-0006-0000-0400-00002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8" authorId="2" shapeId="0" xr:uid="{00000000-0006-0000-0400-00002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199" authorId="3" shapeId="0" xr:uid="{00000000-0006-0000-0400-000029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03" authorId="2" shapeId="0" xr:uid="{00000000-0006-0000-0400-00002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4" authorId="2" shapeId="0" xr:uid="{00000000-0006-0000-0400-00002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5" authorId="2" shapeId="0" xr:uid="{00000000-0006-0000-0400-00002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6" authorId="2" shapeId="0" xr:uid="{00000000-0006-0000-0400-00002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7" authorId="2" shapeId="0" xr:uid="{00000000-0006-0000-0400-00002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8" authorId="2" shapeId="0" xr:uid="{00000000-0006-0000-0400-00002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09" authorId="2" shapeId="0" xr:uid="{00000000-0006-0000-0400-00003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0" authorId="2" shapeId="0" xr:uid="{00000000-0006-0000-0400-00003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1" authorId="2" shapeId="0" xr:uid="{00000000-0006-0000-0400-00003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2" authorId="2" shapeId="0" xr:uid="{00000000-0006-0000-0400-00003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3" authorId="2" shapeId="0" xr:uid="{00000000-0006-0000-0400-00003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4" authorId="2" shapeId="0" xr:uid="{00000000-0006-0000-0400-00003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5" authorId="2" shapeId="0" xr:uid="{00000000-0006-0000-0400-00003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16" authorId="3" shapeId="0" xr:uid="{00000000-0006-0000-0400-000037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20" authorId="2" shapeId="0" xr:uid="{00000000-0006-0000-0400-00003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1" authorId="2" shapeId="0" xr:uid="{00000000-0006-0000-0400-00003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2" authorId="2" shapeId="0" xr:uid="{00000000-0006-0000-0400-00003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3" authorId="2" shapeId="0" xr:uid="{00000000-0006-0000-0400-00003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4" authorId="2" shapeId="0" xr:uid="{00000000-0006-0000-0400-00003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5" authorId="2" shapeId="0" xr:uid="{00000000-0006-0000-0400-00003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6" authorId="2" shapeId="0" xr:uid="{00000000-0006-0000-0400-00003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7" authorId="2" shapeId="0" xr:uid="{00000000-0006-0000-0400-00003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8" authorId="2" shapeId="0" xr:uid="{00000000-0006-0000-0400-00004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29" authorId="2" shapeId="0" xr:uid="{00000000-0006-0000-0400-00004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0" authorId="2" shapeId="0" xr:uid="{00000000-0006-0000-0400-00004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1" authorId="2" shapeId="0" xr:uid="{00000000-0006-0000-0400-00004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2" authorId="2" shapeId="0" xr:uid="{00000000-0006-0000-0400-00004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3" authorId="3" shapeId="0" xr:uid="{00000000-0006-0000-0400-000045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37" authorId="2" shapeId="0" xr:uid="{00000000-0006-0000-0400-00004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8" authorId="2" shapeId="0" xr:uid="{00000000-0006-0000-0400-00004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39" authorId="2" shapeId="0" xr:uid="{00000000-0006-0000-0400-00004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0" authorId="2" shapeId="0" xr:uid="{00000000-0006-0000-0400-00004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1" authorId="2" shapeId="0" xr:uid="{00000000-0006-0000-0400-00004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2" authorId="2" shapeId="0" xr:uid="{00000000-0006-0000-0400-00004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3" authorId="2" shapeId="0" xr:uid="{00000000-0006-0000-0400-00004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4" authorId="2" shapeId="0" xr:uid="{00000000-0006-0000-0400-00004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5" authorId="2" shapeId="0" xr:uid="{00000000-0006-0000-0400-00004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6" authorId="2" shapeId="0" xr:uid="{00000000-0006-0000-0400-00004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7" authorId="2" shapeId="0" xr:uid="{00000000-0006-0000-0400-00005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8" authorId="2" shapeId="0" xr:uid="{00000000-0006-0000-0400-000051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49" authorId="2" shapeId="0" xr:uid="{00000000-0006-0000-0400-000052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50" authorId="3" shapeId="0" xr:uid="{00000000-0006-0000-0400-000053000000}">
      <text>
        <r>
          <rPr>
            <b/>
            <sz val="8"/>
            <color indexed="81"/>
            <rFont val="Tahoma"/>
            <family val="2"/>
          </rPr>
          <t>Kürzung der Selbstverbrauchsvergütung auf 0 ct/kWh, da die Einspeisevergüung  nach § 33 Abs. 1 EEG 2009 oder 2012 a.F. als Bemessungsgröße auf den Marktwert reduziert wird.</t>
        </r>
        <r>
          <rPr>
            <sz val="8"/>
            <color indexed="81"/>
            <rFont val="Tahoma"/>
            <family val="2"/>
          </rPr>
          <t xml:space="preserve">
</t>
        </r>
      </text>
    </comment>
    <comment ref="F290" authorId="2" shapeId="0" xr:uid="{00000000-0006-0000-0400-00005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1" authorId="2" shapeId="0" xr:uid="{00000000-0006-0000-0400-00005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2" authorId="2" shapeId="0" xr:uid="{00000000-0006-0000-0400-00005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3" authorId="2" shapeId="0" xr:uid="{00000000-0006-0000-0400-00005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4" authorId="2" shapeId="0" xr:uid="{00000000-0006-0000-0400-00005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5" authorId="2" shapeId="0" xr:uid="{00000000-0006-0000-0400-00005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6" authorId="2" shapeId="0" xr:uid="{00000000-0006-0000-0400-00005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7" authorId="2" shapeId="0" xr:uid="{00000000-0006-0000-0400-00005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8" authorId="2" shapeId="0" xr:uid="{00000000-0006-0000-0400-00005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299" authorId="2" shapeId="0" xr:uid="{00000000-0006-0000-0400-00005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0" authorId="2" shapeId="0" xr:uid="{00000000-0006-0000-0400-00005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1" authorId="2" shapeId="0" xr:uid="{00000000-0006-0000-0400-00005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02" authorId="2" shapeId="0" xr:uid="{00000000-0006-0000-0400-000060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17" authorId="3" shapeId="0" xr:uid="{00000000-0006-0000-0400-000061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55" authorId="3" shapeId="0" xr:uid="{00000000-0006-0000-0400-000062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62" authorId="2" shapeId="0" xr:uid="{00000000-0006-0000-0400-000063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3" authorId="2" shapeId="0" xr:uid="{00000000-0006-0000-0400-000064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4" authorId="2" shapeId="0" xr:uid="{00000000-0006-0000-0400-000065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5" authorId="2" shapeId="0" xr:uid="{00000000-0006-0000-0400-000066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6" authorId="2" shapeId="0" xr:uid="{00000000-0006-0000-0400-000067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7" authorId="2" shapeId="0" xr:uid="{00000000-0006-0000-0400-000068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8" authorId="2" shapeId="0" xr:uid="{00000000-0006-0000-0400-000069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69" authorId="2" shapeId="0" xr:uid="{00000000-0006-0000-0400-00006A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0" authorId="2" shapeId="0" xr:uid="{00000000-0006-0000-0400-00006B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1" authorId="2" shapeId="0" xr:uid="{00000000-0006-0000-0400-00006C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2" authorId="2" shapeId="0" xr:uid="{00000000-0006-0000-0400-00006D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3" authorId="2" shapeId="0" xr:uid="{00000000-0006-0000-0400-00006E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4" authorId="2" shapeId="0" xr:uid="{00000000-0006-0000-0400-00006F000000}">
      <text>
        <r>
          <rPr>
            <b/>
            <sz val="9"/>
            <color indexed="81"/>
            <rFont val="Tahoma"/>
            <family val="2"/>
          </rPr>
          <t>Die Höhe des Vergütungssatzes hängt vom energieträgerspezifisch durchschnittlichen Marktwert ab, der für jeden Monat ex-post berechnet und auf der gemeinsamen ÜNB-Homepage www.netztransparenz.de 
veröffentlicht wird.</t>
        </r>
      </text>
    </comment>
    <comment ref="F375" authorId="3" shapeId="0" xr:uid="{00000000-0006-0000-0400-000070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391" authorId="3" shapeId="0" xr:uid="{00000000-0006-0000-0400-000071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406" authorId="2" shapeId="0" xr:uid="{00000000-0006-0000-0400-000072000000}">
      <text>
        <r>
          <rPr>
            <sz val="9"/>
            <color indexed="81"/>
            <rFont val="Tahoma"/>
            <family val="2"/>
          </rPr>
          <t>Diese Kategorie wird ausschließlich für die Ausfallvermarktung verwendet. Eine Einspeisevergütung existiert daher nicht.</t>
        </r>
      </text>
    </comment>
    <comment ref="F407" authorId="2" shapeId="0" xr:uid="{00000000-0006-0000-0400-000073000000}">
      <text>
        <r>
          <rPr>
            <sz val="9"/>
            <color indexed="81"/>
            <rFont val="Tahoma"/>
            <family val="2"/>
          </rPr>
          <t>Diese Kategorie wird ausschließlich für die Ausfallvermarktung verwendet. Eine Einspeisevergütung existiert daher nicht.</t>
        </r>
      </text>
    </comment>
    <comment ref="F408" authorId="2" shapeId="0" xr:uid="{00000000-0006-0000-0400-000074000000}">
      <text>
        <r>
          <rPr>
            <sz val="9"/>
            <color indexed="81"/>
            <rFont val="Tahoma"/>
            <family val="2"/>
          </rPr>
          <t>Diese Kategorie wird ausschließlich für die Ausfallvermarktung verwendet. Eine Einspeisevergütung existiert daher nicht.</t>
        </r>
      </text>
    </comment>
    <comment ref="F500" authorId="3" shapeId="0" xr:uid="{00000000-0006-0000-0400-000075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2" authorId="3" shapeId="0" xr:uid="{00000000-0006-0000-0400-000076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04" authorId="3" shapeId="0" xr:uid="{00000000-0006-0000-0400-000077000000}">
      <text>
        <r>
          <rPr>
            <b/>
            <sz val="11"/>
            <color indexed="81"/>
            <rFont val="Tahoma"/>
            <family val="2"/>
          </rPr>
          <t>Modernisierung von Altanlagen</t>
        </r>
        <r>
          <rPr>
            <sz val="11"/>
            <color indexed="81"/>
            <rFont val="Tahoma"/>
            <family val="2"/>
          </rPr>
          <t xml:space="preserve">
Die um 0,2 ct/kWh höhere Einspeisevergütung ergibt sich aus § 100 Abs. 1 Nr. 6 EEG 2014, ist aber rechtlich umstritten. Es liegt vermutlich ein Fehler im EEG 2014 vor. Daher erfolgt die Angabe der Einspeisevergütung unter besonderem Vorbehalt. Es lassen sich keine rechtlichen Ansprüche daraus ableiten.</t>
        </r>
      </text>
    </comment>
    <comment ref="F524" authorId="4" shapeId="0" xr:uid="{00000000-0006-0000-0400-000078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36" authorId="4" shapeId="0" xr:uid="{00000000-0006-0000-0400-000079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39" authorId="4" shapeId="0" xr:uid="{00000000-0006-0000-0400-00007A000000}">
      <text>
        <r>
          <rPr>
            <sz val="9"/>
            <color indexed="81"/>
            <rFont val="Segoe UI"/>
            <family val="2"/>
          </rPr>
          <t>Die Ermittlung der Einspeisevergütung  erfolgt eigenverantwortlich durch den Netzbetreiber unter Berücksichtigung der jeweils zu berücksichtigenden gesetzlichen Regelungen.</t>
        </r>
      </text>
    </comment>
    <comment ref="F576" authorId="3" shapeId="0" xr:uid="{00000000-0006-0000-0400-00007B000000}">
      <text>
        <r>
          <rPr>
            <b/>
            <sz val="8"/>
            <color indexed="81"/>
            <rFont val="Tahoma"/>
            <family val="2"/>
          </rPr>
          <t>Kürzung der Selbstverbrauchsvergütung auf 0 ct/kWh, da die Einspeisevergüung  nach § 33 Abs. 1 EEG 2009 oder 2012 a.F. als Bemessungsgröße auf 0 reduziert wird.</t>
        </r>
        <r>
          <rPr>
            <sz val="8"/>
            <color indexed="81"/>
            <rFont val="Tahoma"/>
            <family val="2"/>
          </rPr>
          <t xml:space="preserve">
</t>
        </r>
      </text>
    </comment>
    <comment ref="F700" authorId="1" shapeId="0" xr:uid="{00000000-0006-0000-0400-00007C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1" authorId="1" shapeId="0" xr:uid="{00000000-0006-0000-0400-00007D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2" authorId="1" shapeId="0" xr:uid="{00000000-0006-0000-0400-00007E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3" authorId="1" shapeId="0" xr:uid="{00000000-0006-0000-0400-00007F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4" authorId="1" shapeId="0" xr:uid="{00000000-0006-0000-0400-000080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5" authorId="1" shapeId="0" xr:uid="{00000000-0006-0000-0400-000081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6" authorId="1" shapeId="0" xr:uid="{00000000-0006-0000-0400-000082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7" authorId="1" shapeId="0" xr:uid="{00000000-0006-0000-0400-000083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8" authorId="1" shapeId="0" xr:uid="{00000000-0006-0000-0400-000084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09" authorId="1" shapeId="0" xr:uid="{00000000-0006-0000-0400-000085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0" authorId="1" shapeId="0" xr:uid="{00000000-0006-0000-0400-000086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1" authorId="1" shapeId="0" xr:uid="{00000000-0006-0000-0400-000087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2" authorId="1" shapeId="0" xr:uid="{00000000-0006-0000-0400-000088000000}">
      <text>
        <r>
          <rPr>
            <b/>
            <sz val="9"/>
            <color indexed="81"/>
            <rFont val="Segoe UI"/>
            <family val="2"/>
          </rPr>
          <t>Die Einspeisevergütung ergibt sich aus der Differenz aus 
* der Einspeisevergütung, die sich aus dem um 20 % oder 40 % reduzierten Anzulegenden Wert, der bei fristgerechter Registrierung bzw. Meldung anzusetzen wäre, gerundet auf 2 Nachkommastellen (bezogen auf ct/kWh), ggf. nach Abzug der Managementprämie nach § 37 EEG 2014 oder § 53 EEG 2017, ergibt und
* der jeweiligen Einspeisevergütung, die bei fristgerechter Registrierung bzw. Meldung gezahlt worden wäre. 
Diese Differenz ist ein negativer Wert in ct/kWh.</t>
        </r>
      </text>
    </comment>
    <comment ref="F714" authorId="0" shapeId="0" xr:uid="{00000000-0006-0000-0400-000089000000}">
      <text>
        <r>
          <rPr>
            <sz val="9"/>
            <color indexed="81"/>
            <rFont val="Tahoma"/>
            <family val="2"/>
          </rPr>
          <t>Die Einspeisevergütung ist im Fall der Marktprämien-Direktvermarktung irrelevant, da sich beide gegenseitig ausschließen.</t>
        </r>
      </text>
    </comment>
    <comment ref="F715" authorId="0" shapeId="0" xr:uid="{00000000-0006-0000-0400-00008A000000}">
      <text>
        <r>
          <rPr>
            <sz val="9"/>
            <color indexed="81"/>
            <rFont val="Tahoma"/>
            <family val="2"/>
          </rPr>
          <t>Die Einspeisevergütung ist im Fall der Marktprämien-Direktvermarktung irrelevant, da sich beide gegenseitig ausschließen.</t>
        </r>
      </text>
    </comment>
    <comment ref="F716" authorId="0" shapeId="0" xr:uid="{00000000-0006-0000-0400-00008B000000}">
      <text>
        <r>
          <rPr>
            <sz val="9"/>
            <color indexed="81"/>
            <rFont val="Tahoma"/>
            <family val="2"/>
          </rPr>
          <t>Die Einspeisevergütung ist im Fall der Marktprämien-Direktvermarktung irrelevant, da sich beide gegenseitig ausschließen.</t>
        </r>
      </text>
    </comment>
    <comment ref="F717" authorId="0" shapeId="0" xr:uid="{00000000-0006-0000-0400-00008C000000}">
      <text>
        <r>
          <rPr>
            <sz val="9"/>
            <color indexed="81"/>
            <rFont val="Tahoma"/>
            <family val="2"/>
          </rPr>
          <t>Die Einspeisevergütung ist im Fall der Marktprämien-Direktvermarktung irrelevant, da sich beide gegenseitig ausschließen.</t>
        </r>
      </text>
    </comment>
    <comment ref="F718" authorId="0" shapeId="0" xr:uid="{00000000-0006-0000-0400-00008D000000}">
      <text>
        <r>
          <rPr>
            <sz val="9"/>
            <color indexed="81"/>
            <rFont val="Tahoma"/>
            <family val="2"/>
          </rPr>
          <t>Die Einspeisevergütung ist im Fall der Marktprämien-Direktvermarktung irrelevant, da sich beide gegenseitig ausschließen.</t>
        </r>
      </text>
    </comment>
    <comment ref="F719" authorId="0" shapeId="0" xr:uid="{00000000-0006-0000-0400-00008E000000}">
      <text>
        <r>
          <rPr>
            <sz val="9"/>
            <color indexed="81"/>
            <rFont val="Tahoma"/>
            <family val="2"/>
          </rPr>
          <t>Die Einspeisevergütung ist im Fall der Marktprämien-Direktvermarktung irrelevant, da sich beide gegenseitig ausschließen.</t>
        </r>
      </text>
    </comment>
    <comment ref="F720" authorId="0" shapeId="0" xr:uid="{00000000-0006-0000-0400-00008F000000}">
      <text>
        <r>
          <rPr>
            <sz val="9"/>
            <color indexed="81"/>
            <rFont val="Tahoma"/>
            <family val="2"/>
          </rPr>
          <t>Die Einspeisevergütung ist im Fall der Marktprämien-Direktvermarktung irrelevant, da sich beide gegenseitig ausschließen.</t>
        </r>
      </text>
    </comment>
    <comment ref="F721" authorId="0" shapeId="0" xr:uid="{00000000-0006-0000-0400-000090000000}">
      <text>
        <r>
          <rPr>
            <sz val="9"/>
            <color indexed="81"/>
            <rFont val="Tahoma"/>
            <family val="2"/>
          </rPr>
          <t>Die Einspeisevergütung ist im Fall der Marktprämien-Direktvermarktung irrelevant, da sich beide gegenseitig ausschließen.</t>
        </r>
      </text>
    </comment>
    <comment ref="F722" authorId="0" shapeId="0" xr:uid="{00000000-0006-0000-0400-000091000000}">
      <text>
        <r>
          <rPr>
            <sz val="9"/>
            <color indexed="81"/>
            <rFont val="Tahoma"/>
            <family val="2"/>
          </rPr>
          <t>Die Einspeisevergütung ist im Fall der Marktprämien-Direktvermarktung irrelevant, da sich beide gegenseitig ausschließen.</t>
        </r>
      </text>
    </comment>
    <comment ref="F723" authorId="0" shapeId="0" xr:uid="{00000000-0006-0000-0400-000092000000}">
      <text>
        <r>
          <rPr>
            <sz val="9"/>
            <color indexed="81"/>
            <rFont val="Tahoma"/>
            <family val="2"/>
          </rPr>
          <t>Die Einspeisevergütung ist im Fall der Marktprämien-Direktvermarktung irrelevant, da sich beide gegenseitig ausschließen.</t>
        </r>
      </text>
    </comment>
    <comment ref="F724" authorId="0" shapeId="0" xr:uid="{00000000-0006-0000-0400-000093000000}">
      <text>
        <r>
          <rPr>
            <sz val="9"/>
            <color indexed="81"/>
            <rFont val="Tahoma"/>
            <family val="2"/>
          </rPr>
          <t>Die Einspeisevergütung ist im Fall der Marktprämien-Direktvermarktung irrelevant, da sich beide gegenseitig ausschließen.</t>
        </r>
      </text>
    </comment>
    <comment ref="F725" authorId="0" shapeId="0" xr:uid="{00000000-0006-0000-0400-000094000000}">
      <text>
        <r>
          <rPr>
            <sz val="9"/>
            <color indexed="81"/>
            <rFont val="Tahoma"/>
            <family val="2"/>
          </rPr>
          <t>Die Einspeisevergütung ist im Fall der Marktprämien-Direktvermarktung irrelevant, da sich beide gegenseitig ausschließen.</t>
        </r>
      </text>
    </comment>
    <comment ref="F726" authorId="0" shapeId="0" xr:uid="{00000000-0006-0000-0400-000095000000}">
      <text>
        <r>
          <rPr>
            <sz val="9"/>
            <color indexed="81"/>
            <rFont val="Tahoma"/>
            <family val="2"/>
          </rPr>
          <t>Die Einspeisevergütung ist im Fall der Marktprämien-Direktvermarktung irrelevant, da sich beide gegenseitig ausschließen.</t>
        </r>
      </text>
    </comment>
    <comment ref="F728" authorId="0" shapeId="0" xr:uid="{00000000-0006-0000-0400-000096000000}">
      <text>
        <r>
          <rPr>
            <sz val="9"/>
            <color indexed="81"/>
            <rFont val="Tahoma"/>
            <family val="2"/>
          </rPr>
          <t>Die Sanktionierung nach § 52 Abs. 3 EEG für die Einspeisevergütung ist über die Kategorie SgK523----20PZ zu melden</t>
        </r>
      </text>
    </comment>
    <comment ref="F732" authorId="2" shapeId="0" xr:uid="{00000000-0006-0000-0400-000097000000}">
      <text>
        <r>
          <rPr>
            <sz val="9"/>
            <color indexed="81"/>
            <rFont val="Tahoma"/>
            <family val="2"/>
          </rPr>
          <t>Die Höhe des Vergütungssatzes ergibt sich aus dem Anzulegenden Wert, wobei für Anlagen mit Inbetriebnahme nach dem 31.07.2014 die im Anzulegenden Wert eingeschlossene Managementprämie abzuziehen ist (§ 37 Abs. 3 EEG 2014 oder § 53 Satz 1 EEG 2017).
Der Anzulegende Wert ist der energieträgerspezifisch durchschnittliche Marktwert, der für jeden Monat ex-post berechnet und auf der gemeinsamen ÜNB-Homepage www.netztransparenz.de veröffentlicht wird.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Benjamin Düvel</author>
    <author>Koch, Andreas</author>
    <author>Hagner, Gert, Dr.</author>
  </authors>
  <commentList>
    <comment ref="D199" authorId="0" shapeId="0" xr:uid="{00000000-0006-0000-0500-000001000000}">
      <text>
        <r>
          <rPr>
            <sz val="8"/>
            <color indexed="81"/>
            <rFont val="Tahoma"/>
            <family val="2"/>
          </rPr>
          <t>Voraussetzungen siehe § 66 Abs. 1 Nr. 5 EEG 2009</t>
        </r>
      </text>
    </comment>
    <comment ref="D200" authorId="0" shapeId="0" xr:uid="{00000000-0006-0000-0500-000002000000}">
      <text>
        <r>
          <rPr>
            <sz val="8"/>
            <color indexed="81"/>
            <rFont val="Tahoma"/>
            <family val="2"/>
          </rPr>
          <t>Voraussetzungen siehe § 66 Abs. 1 Nr. 5 EEG 2009</t>
        </r>
      </text>
    </comment>
    <comment ref="D201" authorId="0" shapeId="0" xr:uid="{00000000-0006-0000-0500-000003000000}">
      <text>
        <r>
          <rPr>
            <sz val="8"/>
            <color indexed="81"/>
            <rFont val="Tahoma"/>
            <family val="2"/>
          </rPr>
          <t>Voraussetzungen siehe § 66 Abs. 1 Nr. 5 EEG 2009</t>
        </r>
      </text>
    </comment>
    <comment ref="D202" authorId="0" shapeId="0" xr:uid="{00000000-0006-0000-0500-000004000000}">
      <text>
        <r>
          <rPr>
            <sz val="8"/>
            <color indexed="81"/>
            <rFont val="Tahoma"/>
            <family val="2"/>
          </rPr>
          <t>Voraussetzungen siehe § 66 Abs. 1 Nr. 5 EEG 2009</t>
        </r>
      </text>
    </comment>
    <comment ref="D203" authorId="0" shapeId="0" xr:uid="{00000000-0006-0000-0500-000005000000}">
      <text>
        <r>
          <rPr>
            <sz val="8"/>
            <color indexed="81"/>
            <rFont val="Tahoma"/>
            <family val="2"/>
          </rPr>
          <t>Voraussetzungen siehe § 66 Abs. 1 Nr. 5 EEG 2009</t>
        </r>
      </text>
    </comment>
    <comment ref="D400" authorId="0" shapeId="0" xr:uid="{00000000-0006-0000-0500-000006000000}">
      <text>
        <r>
          <rPr>
            <sz val="8"/>
            <color indexed="81"/>
            <rFont val="Tahoma"/>
            <family val="2"/>
          </rPr>
          <t>Voraussetzungen siehe § 66 Abs. 1 Nr. 5 EEG 2009</t>
        </r>
      </text>
    </comment>
    <comment ref="D401" authorId="0" shapeId="0" xr:uid="{00000000-0006-0000-0500-000007000000}">
      <text>
        <r>
          <rPr>
            <sz val="8"/>
            <color indexed="81"/>
            <rFont val="Tahoma"/>
            <family val="2"/>
          </rPr>
          <t>Voraussetzungen siehe § 66 Abs. 1 Nr. 5 EEG 2009</t>
        </r>
      </text>
    </comment>
    <comment ref="D402" authorId="0" shapeId="0" xr:uid="{00000000-0006-0000-0500-000008000000}">
      <text>
        <r>
          <rPr>
            <sz val="8"/>
            <color indexed="81"/>
            <rFont val="Tahoma"/>
            <family val="2"/>
          </rPr>
          <t>Voraussetzungen siehe § 66 Abs. 1 Nr. 5 EEG 2009</t>
        </r>
      </text>
    </comment>
    <comment ref="D403" authorId="0" shapeId="0" xr:uid="{00000000-0006-0000-0500-000009000000}">
      <text>
        <r>
          <rPr>
            <sz val="8"/>
            <color indexed="81"/>
            <rFont val="Tahoma"/>
            <family val="2"/>
          </rPr>
          <t>Voraussetzungen siehe § 66 Abs. 1 Nr. 5 EEG 2009</t>
        </r>
      </text>
    </comment>
    <comment ref="D404" authorId="0" shapeId="0" xr:uid="{00000000-0006-0000-0500-00000A000000}">
      <text>
        <r>
          <rPr>
            <sz val="8"/>
            <color indexed="81"/>
            <rFont val="Tahoma"/>
            <family val="2"/>
          </rPr>
          <t>Voraussetzungen siehe § 66 Abs. 1 Nr. 5 EEG 2009</t>
        </r>
      </text>
    </comment>
    <comment ref="D599" authorId="0" shapeId="0" xr:uid="{00000000-0006-0000-0500-00000B000000}">
      <text>
        <r>
          <rPr>
            <sz val="8"/>
            <color indexed="81"/>
            <rFont val="Tahoma"/>
            <family val="2"/>
          </rPr>
          <t>Voraussetzungen siehe § 66 Abs. 1 Nr. 5 EEG 2009</t>
        </r>
      </text>
    </comment>
    <comment ref="D600" authorId="0" shapeId="0" xr:uid="{00000000-0006-0000-0500-00000C000000}">
      <text>
        <r>
          <rPr>
            <sz val="8"/>
            <color indexed="81"/>
            <rFont val="Tahoma"/>
            <family val="2"/>
          </rPr>
          <t>Voraussetzungen siehe § 66 Abs. 1 Nr. 5 EEG 2009</t>
        </r>
      </text>
    </comment>
    <comment ref="D601" authorId="0" shapeId="0" xr:uid="{00000000-0006-0000-0500-00000D000000}">
      <text>
        <r>
          <rPr>
            <sz val="8"/>
            <color indexed="81"/>
            <rFont val="Tahoma"/>
            <family val="2"/>
          </rPr>
          <t>Voraussetzungen siehe § 66 Abs. 1 Nr. 5 EEG 2009</t>
        </r>
      </text>
    </comment>
    <comment ref="D602" authorId="0" shapeId="0" xr:uid="{00000000-0006-0000-0500-00000E000000}">
      <text>
        <r>
          <rPr>
            <sz val="8"/>
            <color indexed="81"/>
            <rFont val="Tahoma"/>
            <family val="2"/>
          </rPr>
          <t>Voraussetzungen siehe § 66 Abs. 1 Nr. 5 EEG 2009</t>
        </r>
      </text>
    </comment>
    <comment ref="D603" authorId="0" shapeId="0" xr:uid="{00000000-0006-0000-0500-00000F000000}">
      <text>
        <r>
          <rPr>
            <sz val="8"/>
            <color indexed="81"/>
            <rFont val="Tahoma"/>
            <family val="2"/>
          </rPr>
          <t>Voraussetzungen siehe § 66 Abs. 1 Nr. 5 EEG 2009</t>
        </r>
      </text>
    </comment>
    <comment ref="F675" authorId="1" shapeId="0" xr:uid="{00000000-0006-0000-0500-00001000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 ref="A676" authorId="2" shapeId="0" xr:uid="{00000000-0006-0000-0500-000011000000}">
      <text>
        <r>
          <rPr>
            <b/>
            <sz val="9"/>
            <color indexed="81"/>
            <rFont val="Tahoma"/>
            <family val="2"/>
          </rPr>
          <t>Entgegen der Systematik der Kategorienbezeichnung ist nicht der Jahresmarktwert Wind, sondern der Monatsmarktwert Wind zu verwenden!</t>
        </r>
      </text>
    </comment>
    <comment ref="F676" authorId="1" shapeId="0" xr:uid="{00000000-0006-0000-0500-000012000000}">
      <text>
        <r>
          <rPr>
            <sz val="9"/>
            <color indexed="81"/>
            <rFont val="Segoe UI"/>
            <family val="2"/>
          </rPr>
          <t>Die Höhe des Vergütungssatzes ergibt sich aus dem Anzulegenden Wert, wobei die im Anzulegenden Wert eingeschlossene Managementprämie abzuziehen ist (§ 53 Absatz 2 Satz 2 EEG 2021).
Der Anzulegende Wert ist der energieträgerspezifisch durchschnittliche Jahresmarktwert, der für das Jahr ex-post berechnet und auf der gemeinsamen ÜNB-Homepage www.netztransparenz.de veröffentlicht wird.
Im Rahmen der monatlichen Abschlagsabrechnungen sollten die jeweiligen energieträgerspezifischen Monatsmarktwerte angewandt werden.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Lipinski Sven (50HzT ME-A)</author>
  </authors>
  <commentList>
    <comment ref="L11" authorId="0" shapeId="0" xr:uid="{00000000-0006-0000-0600-000001000000}">
      <text>
        <r>
          <rPr>
            <sz val="9"/>
            <color indexed="81"/>
            <rFont val="Segoe UI"/>
            <family val="2"/>
          </rPr>
          <t xml:space="preserve">Reduzierung der Strafzahlung auf 2 €/kWp und Monat
</t>
        </r>
      </text>
    </comment>
    <comment ref="C23" authorId="0" shapeId="0" xr:uid="{00000000-0006-0000-0600-000002000000}">
      <text>
        <r>
          <rPr>
            <sz val="9"/>
            <color indexed="81"/>
            <rFont val="Segoe UI"/>
            <family val="2"/>
          </rPr>
          <t xml:space="preserve">Begrenzung der Strafzahlung auf 10 €/kWp
</t>
        </r>
      </text>
    </comment>
    <comment ref="D23" authorId="0" shapeId="0" xr:uid="{00000000-0006-0000-0600-000003000000}">
      <text>
        <r>
          <rPr>
            <sz val="9"/>
            <color indexed="81"/>
            <rFont val="Segoe UI"/>
            <family val="2"/>
          </rPr>
          <t xml:space="preserve">Begrenzung der Strafzahlung auf 10 €/kWp
</t>
        </r>
      </text>
    </comment>
    <comment ref="E23" authorId="0" shapeId="0" xr:uid="{00000000-0006-0000-0600-000004000000}">
      <text>
        <r>
          <rPr>
            <sz val="9"/>
            <color indexed="81"/>
            <rFont val="Segoe UI"/>
            <family val="2"/>
          </rPr>
          <t xml:space="preserve">Weiterhin Begrenzung der Strafzahlung auf 10 €/kWp. Die Reduzierung der Strafzahlung auf 2 €/kWp für den Verstoß gegen technische Vorgaben hat keine Auswirkung.
</t>
        </r>
      </text>
    </comment>
    <comment ref="C38" authorId="0" shapeId="0" xr:uid="{00000000-0006-0000-0600-000005000000}">
      <text>
        <r>
          <rPr>
            <sz val="9"/>
            <color indexed="81"/>
            <rFont val="Segoe UI"/>
            <family val="2"/>
          </rPr>
          <t xml:space="preserve">Begrenzung der Strafzahlung auf 10 €/kWp
</t>
        </r>
      </text>
    </comment>
    <comment ref="D38" authorId="0" shapeId="0" xr:uid="{00000000-0006-0000-0600-000006000000}">
      <text>
        <r>
          <rPr>
            <sz val="9"/>
            <color indexed="81"/>
            <rFont val="Segoe UI"/>
            <family val="2"/>
          </rPr>
          <t xml:space="preserve">Begrenzung der Strafzahlung auf 10 €/kWp
</t>
        </r>
      </text>
    </comment>
    <comment ref="E38" authorId="0" shapeId="0" xr:uid="{00000000-0006-0000-0600-000007000000}">
      <text>
        <r>
          <rPr>
            <sz val="9"/>
            <color indexed="81"/>
            <rFont val="Segoe UI"/>
            <family val="2"/>
          </rPr>
          <t xml:space="preserve">Begrenzung der Strafzahlung auf 10 €/kWp
</t>
        </r>
      </text>
    </comment>
    <comment ref="F38" authorId="0" shapeId="0" xr:uid="{00000000-0006-0000-0600-000008000000}">
      <text>
        <r>
          <rPr>
            <sz val="9"/>
            <color indexed="81"/>
            <rFont val="Segoe UI"/>
            <family val="2"/>
          </rPr>
          <t xml:space="preserve">Begrenzung der Strafzahlung auf 10 €/kWp
</t>
        </r>
      </text>
    </comment>
    <comment ref="G38" authorId="0" shapeId="0" xr:uid="{00000000-0006-0000-0600-000009000000}">
      <text>
        <r>
          <rPr>
            <sz val="9"/>
            <color indexed="81"/>
            <rFont val="Segoe UI"/>
            <family val="2"/>
          </rPr>
          <t xml:space="preserve">Begrenzung der Strafzahlung auf 10 €/kWp
</t>
        </r>
      </text>
    </comment>
    <comment ref="H38" authorId="0" shapeId="0" xr:uid="{00000000-0006-0000-0600-00000A000000}">
      <text>
        <r>
          <rPr>
            <sz val="9"/>
            <color indexed="81"/>
            <rFont val="Segoe UI"/>
            <family val="2"/>
          </rPr>
          <t xml:space="preserve">Begrenzung der Strafzahlung auf 10 €/kWp
</t>
        </r>
      </text>
    </comment>
    <comment ref="I38" authorId="0" shapeId="0" xr:uid="{00000000-0006-0000-0600-00000B000000}">
      <text>
        <r>
          <rPr>
            <sz val="9"/>
            <color indexed="81"/>
            <rFont val="Segoe UI"/>
            <family val="2"/>
          </rPr>
          <t xml:space="preserve">Begrenzung der Strafzahlung auf 10 €/kWp
</t>
        </r>
      </text>
    </comment>
    <comment ref="L38" authorId="0" shapeId="0" xr:uid="{00000000-0006-0000-0600-00000C000000}">
      <text>
        <r>
          <rPr>
            <sz val="9"/>
            <color indexed="81"/>
            <rFont val="Segoe UI"/>
            <family val="2"/>
          </rPr>
          <t xml:space="preserve">Reduzierung der Strafzahlung auf 2 €/kWp nur für August bis Oktober
</t>
        </r>
      </text>
    </comment>
    <comment ref="C51" authorId="0" shapeId="0" xr:uid="{00000000-0006-0000-0600-00000D000000}">
      <text>
        <r>
          <rPr>
            <u/>
            <sz val="9"/>
            <color indexed="81"/>
            <rFont val="Segoe UI"/>
            <family val="2"/>
          </rPr>
          <t xml:space="preserve">Hinweis:
</t>
        </r>
        <r>
          <rPr>
            <sz val="9"/>
            <color indexed="81"/>
            <rFont val="Segoe UI"/>
            <family val="2"/>
          </rPr>
          <t>Ob § 52 Abs. 1 Nr. 11 EEG 2023 bereits unterjährig angewendet werden kann oder erst dann, wenn keine fristgerechte Meldung nach § 71 Abs. 1 Nr. 1 EEG 2023 erfolgt ist, wird derzeit noch juristisch geprüft.</t>
        </r>
        <r>
          <rPr>
            <sz val="9"/>
            <color indexed="81"/>
            <rFont val="Segoe UI"/>
            <family val="2"/>
          </rPr>
          <t xml:space="preserve">
</t>
        </r>
      </text>
    </comment>
    <comment ref="C52" authorId="0" shapeId="0" xr:uid="{00000000-0006-0000-0600-00000E000000}">
      <text>
        <r>
          <rPr>
            <sz val="9"/>
            <color indexed="81"/>
            <rFont val="Segoe UI"/>
            <family val="2"/>
          </rPr>
          <t xml:space="preserve">Begrenzung der Strafzahlung auf 10 €/kWp
</t>
        </r>
      </text>
    </comment>
    <comment ref="D52" authorId="0" shapeId="0" xr:uid="{00000000-0006-0000-0600-00000F000000}">
      <text>
        <r>
          <rPr>
            <sz val="9"/>
            <color indexed="81"/>
            <rFont val="Segoe UI"/>
            <family val="2"/>
          </rPr>
          <t xml:space="preserve">Begrenzung der Strafzahlung auf 10 €/kWp
</t>
        </r>
      </text>
    </comment>
    <comment ref="E52" authorId="0" shapeId="0" xr:uid="{00000000-0006-0000-0600-000010000000}">
      <text>
        <r>
          <rPr>
            <sz val="9"/>
            <color indexed="81"/>
            <rFont val="Segoe UI"/>
            <family val="2"/>
          </rPr>
          <t xml:space="preserve">Begrenzung der Strafzahlung auf 10 €/kWp
</t>
        </r>
      </text>
    </comment>
    <comment ref="F52" authorId="0" shapeId="0" xr:uid="{00000000-0006-0000-0600-000011000000}">
      <text>
        <r>
          <rPr>
            <sz val="9"/>
            <color indexed="81"/>
            <rFont val="Segoe UI"/>
            <family val="2"/>
          </rPr>
          <t xml:space="preserve">Weiterhin Begrenzung der Strafzahlung auf 10 €/kWp. Die Reduzierung der Strafzahlung auf 2 €/kWp für den Verstoß gegen Registrierungspflicht hat keine Auswirkung.
</t>
        </r>
      </text>
    </comment>
    <comment ref="L52" authorId="0" shapeId="0" xr:uid="{00000000-0006-0000-0600-000012000000}">
      <text>
        <r>
          <rPr>
            <sz val="9"/>
            <color indexed="81"/>
            <rFont val="Segoe UI"/>
            <family val="2"/>
          </rPr>
          <t>Nach Reduzierung der Strafzahlung auf 2 €/kWp für beide Verstöße sind in den Monaten Januar bis April jeweils 40 € und für die Monate Mai bis Oktober jeweils 20 €, in Summe 280 € zu zahlen. Da bis dahin 1.000 € gemeldet wurde, beträgt der Ausgleichsbetrag -720 €.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Knuth Christian (50HzT ME-A)</author>
  </authors>
  <commentList>
    <comment ref="N30" authorId="0" shapeId="0" xr:uid="{00000000-0006-0000-0700-000001000000}">
      <text>
        <r>
          <rPr>
            <sz val="9"/>
            <color indexed="81"/>
            <rFont val="Segoe UI"/>
            <family val="2"/>
          </rPr>
          <t>Strommenge in Summe entspricht somit der im Dezember zu wälzenden Strommenge
(entsprechend der EEG-Überführungszeitreihen)</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Z12" authorId="0" shapeId="0" xr:uid="{00000000-0006-0000-0800-000001000000}">
      <text>
        <r>
          <rPr>
            <sz val="9"/>
            <color indexed="81"/>
            <rFont val="Segoe UI"/>
            <family val="2"/>
          </rPr>
          <t>Die einzelne Kategorie führt zu einem negativen Betrag, doch die Zwischensumme (Zelle Z15) ist noch positiv. Daher findet die Saldierungskategorie keine Anwendung.</t>
        </r>
      </text>
    </comment>
    <comment ref="AA15" authorId="0" shapeId="0" xr:uid="{00000000-0006-0000-0800-000002000000}">
      <text>
        <r>
          <rPr>
            <sz val="9"/>
            <color indexed="81"/>
            <rFont val="Segoe UI"/>
            <family val="2"/>
          </rPr>
          <t>Wie in Spalte Z ist nur eine Kategorie negativ, doch ist die Zwischensumme (Zelle AA15) negativ. Die Saldierungskategorie (Zelle AA17) gleicht diesen negativen Betrag durch einen exakt gleich hohen positiven Betrag aus, so dass die Gesamtsumme exakt 0 Euro beträgt (Zelle AA19).</t>
        </r>
      </text>
    </comment>
    <comment ref="X17" authorId="0" shapeId="0" xr:uid="{00000000-0006-0000-0800-000003000000}">
      <text>
        <r>
          <rPr>
            <sz val="9"/>
            <color indexed="81"/>
            <rFont val="Segoe UI"/>
            <family val="2"/>
          </rPr>
          <t>Da Marktwert höher als der anzulegender Wert ist, gleicht der Euro-Betrag der Saldierungskategorie (Zelle X17)  die rechnerisch negative Marktprämie (Zelle X15) aus, so dass die Gesamtsumme exakt 0 Euro beträgt (Zelle X19).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F7" authorId="0" shapeId="0" xr:uid="{00000000-0006-0000-0900-000001000000}">
      <text>
        <r>
          <rPr>
            <b/>
            <sz val="9"/>
            <color indexed="81"/>
            <rFont val="Tahoma"/>
            <family val="2"/>
          </rPr>
          <t>"Topf" der Leistungsstufe 0 … 500 kW fasst in einem Regeljahr von 8760 h maximal 4.380.000 kWh</t>
        </r>
        <r>
          <rPr>
            <sz val="9"/>
            <color indexed="81"/>
            <rFont val="Tahoma"/>
            <family val="2"/>
          </rPr>
          <t xml:space="preserve">
</t>
        </r>
      </text>
    </comment>
    <comment ref="P28" authorId="0" shapeId="0" xr:uid="{00000000-0006-0000-0900-000002000000}">
      <text>
        <r>
          <rPr>
            <b/>
            <sz val="9"/>
            <color indexed="81"/>
            <rFont val="Tahoma"/>
            <family val="2"/>
          </rPr>
          <t>Monatliche Berechnung</t>
        </r>
        <r>
          <rPr>
            <sz val="9"/>
            <color indexed="81"/>
            <rFont val="Tahoma"/>
            <family val="2"/>
          </rPr>
          <t xml:space="preserve">
</t>
        </r>
      </text>
    </comment>
    <comment ref="R28" authorId="0" shapeId="0" xr:uid="{00000000-0006-0000-0900-000003000000}">
      <text>
        <r>
          <rPr>
            <b/>
            <sz val="9"/>
            <color indexed="81"/>
            <rFont val="Tahoma"/>
            <family val="2"/>
          </rPr>
          <t xml:space="preserve">Jährliche Berechnung
</t>
        </r>
        <r>
          <rPr>
            <sz val="9"/>
            <color indexed="81"/>
            <rFont val="Tahoma"/>
            <family val="2"/>
          </rPr>
          <t>(nur zum Vergleich; nicht für Abrechnung relevant, da Marktprämie monatlich zu berechnen ist)</t>
        </r>
      </text>
    </comment>
    <comment ref="P47" authorId="0" shapeId="0" xr:uid="{00000000-0006-0000-0900-000004000000}">
      <text>
        <r>
          <rPr>
            <b/>
            <sz val="9"/>
            <color indexed="81"/>
            <rFont val="Tahoma"/>
            <family val="2"/>
          </rPr>
          <t>Monatliche Berechnung</t>
        </r>
        <r>
          <rPr>
            <sz val="9"/>
            <color indexed="81"/>
            <rFont val="Tahoma"/>
            <family val="2"/>
          </rPr>
          <t xml:space="preserve">
</t>
        </r>
      </text>
    </comment>
    <comment ref="R47" authorId="0" shapeId="0" xr:uid="{00000000-0006-0000-0900-000005000000}">
      <text>
        <r>
          <rPr>
            <b/>
            <sz val="9"/>
            <color indexed="81"/>
            <rFont val="Tahoma"/>
            <family val="2"/>
          </rPr>
          <t xml:space="preserve">Jährliche Berechnung
</t>
        </r>
        <r>
          <rPr>
            <sz val="9"/>
            <color indexed="81"/>
            <rFont val="Tahoma"/>
            <family val="2"/>
          </rPr>
          <t>(nur zum Vergleich; nicht für Abrechnung relevant, da Marktprämie monatlich zu berechnen ist)</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Hagner, Gert, Dr.</author>
  </authors>
  <commentList>
    <comment ref="Z20" authorId="0" shapeId="0" xr:uid="{00000000-0006-0000-0A00-000001000000}">
      <text>
        <r>
          <rPr>
            <sz val="9"/>
            <color indexed="81"/>
            <rFont val="Segoe UI"/>
            <family val="2"/>
          </rPr>
          <t>Aufgrund des extrem hohen Marktwertes, der über der Einspeisevergütung ohne Sanktionierung (Zelle Z16) liegt, würde die Meldung der Sanktionskategorie mit dem Marktwert (reduziert um Managementkosten gemäß § 53 EEG) zu einer zu hohen Förderung führen. Daher wird durch die zusätzliche Ausgleichsbetragskategorie mit dem negativen Betrag (Zelle Z20) die Förderung auf die Einspeisevergütung ohne Sanktionierung begrenzt (Zelle Z22).</t>
        </r>
      </text>
    </comment>
  </commentList>
</comments>
</file>

<file path=xl/sharedStrings.xml><?xml version="1.0" encoding="utf-8"?>
<sst xmlns="http://schemas.openxmlformats.org/spreadsheetml/2006/main" count="50279" uniqueCount="8267">
  <si>
    <t>§ 17 Abs. 2 Nr. 1  EEG 2012: Der Vergütungsanspruch nach § 16 verringert sich sich auf den tatsächlichen Monatsmittelwert des energieträgerspezifischen Marktwerts (MW), solange Anlagenbetreiber von Solaranlagen den Standort und die installierte Leistung der Anlage nicht an die BNetzA oder den Betreiber des Anlagenregisters nach § 64e Nr. 2  EEG 2012 übermittelt haben.
Für Anlagen mit Inbetriebnahme vor dem 01.01.2012 ist die Sanktion des § 17 Abs. 2 Satz 1 EEG 2009 anzuwenden.</t>
  </si>
  <si>
    <t>§ 17 Abs. 2 Nr. 2 EEG 2012: Der Vergütungsanspruch nach § 16 verringert sich sich auf den tatsächlichen Monatsmittelwert des energieträgerspezifischen Marktwerts (MW), solange Anlagenbetreiber im Fall der Errichtung eines allgemeinen Anlagenregisters die Eintragung der Anlage in das Anlagenregister nicht nach Maßgabe einer Rechtsverordnung auf Grund von § 64e  EEG 2012beantragt haben.</t>
  </si>
  <si>
    <t>§ 17 Abs. 2 Nr. 3 EEG 2012: Der Vergütungsanspruch nach § 16 EEG 2012 verringert sich sich auf den tatsächlichen Monatsmittelwert des energieträgerspezifischen Marktwerts (MW), solange Anlagenbetreiber gegen § 16 Abs. 3 EEG 2012 (Strom-Überlassung) verstoßen, mindestens jedoch für die Dauer des gesamten Kalendermonats, in dem ein solcher Verstoß erfolgt ist, und soweit sie den Strom dem Netzbetreiber zur Verfügung gestellt haben.
Ein Verstoß gegen § 16 Abs. 3 EEG 2012 liegt auch dann vor, wenn der Anlagenbetreiber zwar die gesamte Menge im Monat dem Netzbetreiber überlassen hat, diese jedoch parallel als Regelenergie vermarktet hat (auch wenn diese tatsächlich nicht abgerufen wurde).</t>
  </si>
  <si>
    <t>WaK-kVG------0</t>
  </si>
  <si>
    <t>WaK-kVG-MPM--0</t>
  </si>
  <si>
    <t>BiK-kVG------0</t>
  </si>
  <si>
    <t>GaK-kVG------0</t>
  </si>
  <si>
    <t>DeK-kVG------0</t>
  </si>
  <si>
    <t>KlK-kVG------0</t>
  </si>
  <si>
    <t>GrK-kVG------0</t>
  </si>
  <si>
    <t>GeK-kVG------0</t>
  </si>
  <si>
    <t>WnK-kVG------0</t>
  </si>
  <si>
    <t>WiK-kVG------0</t>
  </si>
  <si>
    <t>WrK-kVG------0</t>
  </si>
  <si>
    <t>WfK-kVG------0</t>
  </si>
  <si>
    <t>SoK-kVG------0</t>
  </si>
  <si>
    <t>SgK-kVG------0</t>
  </si>
  <si>
    <t>BiK-kVG-MPM--0</t>
  </si>
  <si>
    <t>GaK-kVG-MPM--0</t>
  </si>
  <si>
    <t>DeK-kVG-MPM--0</t>
  </si>
  <si>
    <t>KlK-kVG-MPM--0</t>
  </si>
  <si>
    <t>GrK-kVG-MPM--0</t>
  </si>
  <si>
    <t>GeK-kVG-MPM--0</t>
  </si>
  <si>
    <t>WiK-kVG-MPM--0</t>
  </si>
  <si>
    <t>WnK-kVG-MPM--0</t>
  </si>
  <si>
    <t>WrK-kVG-MPM--0</t>
  </si>
  <si>
    <t>WfK-kVG-MPM--0</t>
  </si>
  <si>
    <t>SoK-kVG-MPM--0</t>
  </si>
  <si>
    <t>SgK-kVG-MPM--0</t>
  </si>
  <si>
    <t>Anpassungen aufgrund EEG 2014 (siehe zusätzliche Erläuterung unten)
- Ergänzung der neuen Vergütungskategorien und Sanktionskategorien nach EEG 2014
- Unterscheidung Vergütungssätze, Anzulegender Wert und Ausfallvergütung gemäß EEG 2014
Ergänzung bislang fehlender Sanktionskategorien für Biomasse
Ergänzung bislang fehlender Sanktionskategorien, wenn Vergütungsfähigkeit durch Nichterfüllung der Anforderungen der §§ 23 bis 33 EEG 2012 ausgeschlossen ist
Ergänzung von Vergütungskategorien Biomasse Inbetriebnahme 2001 für Erfüllung Bonusregel K erstmals 2014</t>
  </si>
  <si>
    <t>Inbetriebnahme 07-09/2012</t>
  </si>
  <si>
    <t>Verringerung der Marktprämie auf erhöhte Managementprämie nach § 33 Abs. 2 (Überschreitung 90 %)</t>
  </si>
  <si>
    <t>§ 17 Abs. 2 Nr. 4 EEG 2012: Der Vergütungsanspruch nach § 16 EEG 2012 verringert sich sich auf den tatsächlichen Monatsmittelwert des energieträgerspezifischen Marktwerts (MW), soweit die Errichtung oder der Betrieb der Anlage dazu dient, die Vorbildfunktion öffentlicher Gebäude auf Grund einer landesrechtlichen Regelung nach § 3 Abs. 4 Nr. 1 des Erneuerbare-Energien-Wärmegesetzes zu erfüllen, und wenn die Anlage keine KWK-Anlage ist.
Zur Anwendbarkeit des § 17 Abs. 2 Nr. 4 EEG 2012 auf Anlagen mit Inbetriebnahme vor dem 01.01.2012 bezieht der Herausgeber dieser Vergütungskategorien keine Stellung.</t>
  </si>
  <si>
    <t>§ 17 Abs. 3 EEG 2012: Der Vergütungsanspruch nach § 16 EEG 2012 verringert sich sich auf den tatsächlichen Monatsmittelwert des energieträgerspezifischen Marktwerts (MW), wenn Anlagenbetreiber, soweit die ihren Strom direkt vermarktet haben, dem Netzbetreiber den Wechsel in die Vergütung nach § 16 EEG 2012 nicht nach Maßgabe des § 33d Abs. 2 EEG 2012 in Verbindung mit § 33d Abs. 1 Nr. 3 und Abs. 4 EEG 2012 übermittelt haben. 
Diese Verringerung gilt bis zum Ablauf des dritten Kalendermonats, der auf die Beendigung der Direktvermarktung folgt.</t>
  </si>
  <si>
    <t>§ 25 Abs. 2 Nr. 6 EEG 2014: Der anzulegende Wert nach § 23 Abs. 1 Satz 2 EEG 2014 verringert sich sich auf den Monatsmarktwert, soweit die Einrichtung oder der Betrieb der Anlage dazu dient, die Vorbildfunktion öffentlicher Gebäude auf Grund einer landesrechtlichen Regelung nach § 3 Abs. 4 Nr. 1 EEWärmeG zu erfüllen, und wenn die Anlage keine KWK-Anlage ist.</t>
  </si>
  <si>
    <t>Verringerung der Marktprämie auf Managementprämie nach § 27 Abs. 7 Satz 1 (Verstoß gegen § 27 Abs. 4 oder 5)</t>
  </si>
  <si>
    <t>Änderungen zur vorherigen Version</t>
  </si>
  <si>
    <t>Informationen zur Datenmeldung des VNB an den ÜNB erhalten Netzbetreiber bei ihrem zuständigen ÜNB.</t>
  </si>
  <si>
    <t>WaK400------14</t>
  </si>
  <si>
    <t>Inbetriebnahme 08-12/2014</t>
  </si>
  <si>
    <t>Modernisierung 08-12/2014</t>
  </si>
  <si>
    <t>Einspeise-
vergütung in ct/kWh</t>
  </si>
  <si>
    <t>Ausfall-
vergütung in ct/kWh</t>
  </si>
  <si>
    <t>WaK401------14</t>
  </si>
  <si>
    <t>WaK402------14</t>
  </si>
  <si>
    <t>WaK403------14</t>
  </si>
  <si>
    <t>WaK404------14</t>
  </si>
  <si>
    <t>WaK405------14</t>
  </si>
  <si>
    <t>WaK406------14</t>
  </si>
  <si>
    <t>AW (Anzulegender Wert)</t>
  </si>
  <si>
    <t>EV (Einspeisevergütung)</t>
  </si>
  <si>
    <t>WaK400M-----14</t>
  </si>
  <si>
    <t>WaK401M-----14</t>
  </si>
  <si>
    <t>WaK402M-----14</t>
  </si>
  <si>
    <t>WaK403M-----14</t>
  </si>
  <si>
    <t>WaK404M-----14</t>
  </si>
  <si>
    <t>WaK405M-----14</t>
  </si>
  <si>
    <t>WaK406M-----14</t>
  </si>
  <si>
    <t>Vergütungsberechnung für Deponiegasanlagen mit Inbetriebnahme ab 01.08.2014</t>
  </si>
  <si>
    <t>DeK410------14</t>
  </si>
  <si>
    <t>DeK411------14</t>
  </si>
  <si>
    <t>Vergütungsberechnung für Klärgasanlagen mit Inbetriebnahme ab 01.08.2014</t>
  </si>
  <si>
    <t>KlK420------14</t>
  </si>
  <si>
    <t>KlK421------14</t>
  </si>
  <si>
    <t>2014 + 2015</t>
  </si>
  <si>
    <t>GrK430------14</t>
  </si>
  <si>
    <t>GrK431------14</t>
  </si>
  <si>
    <t>Vergütungsberechnung für Grubengasanlagen mit Inbetriebnahme ab 01.08.2014</t>
  </si>
  <si>
    <t>GrK432------14</t>
  </si>
  <si>
    <t>Biomasse nach § 45 EEG 2014 (Vergärung von Bioabfällen)</t>
  </si>
  <si>
    <t>BiK450------14</t>
  </si>
  <si>
    <t>0,5-20 MW, Vergärung von Bioabfällen</t>
  </si>
  <si>
    <t>BiK451------14</t>
  </si>
  <si>
    <t>Vergütungsberechnung für Biogasanlagen (Bioabfälle) mit Inbetriebnahme ab 01.08.2014</t>
  </si>
  <si>
    <t>Biomasse nach § 46 EEG 2014 (Vergärung von Gülle)</t>
  </si>
  <si>
    <t>BiK460------14</t>
  </si>
  <si>
    <t>Vergütungsberechnung für Biogasanlagen (Gülle) mit Inbetriebnahme ab 01.08.2014</t>
  </si>
  <si>
    <t>Biomasse nach § 44 EEG 2014</t>
  </si>
  <si>
    <t>Vergütungsberechnung für Biomasseanlagen mit Inbetriebnahme ab 01.08.2014</t>
  </si>
  <si>
    <t>BiK440------14</t>
  </si>
  <si>
    <t>BiK441------14</t>
  </si>
  <si>
    <t>BiK442------14</t>
  </si>
  <si>
    <t>BiK443------14</t>
  </si>
  <si>
    <t>§ 44</t>
  </si>
  <si>
    <t>§ 40 Abs. 1</t>
  </si>
  <si>
    <t>i.V.m. § 37</t>
  </si>
  <si>
    <t>§ 40 Abs. 2</t>
  </si>
  <si>
    <t>Vergütungsberechnung für Wasserkraftanlagen mit Inbetriebnahme oder Modernisierung ab 01.08.2014</t>
  </si>
  <si>
    <t>§ 43 Abs. 1</t>
  </si>
  <si>
    <t>§ 42</t>
  </si>
  <si>
    <t>§ 41</t>
  </si>
  <si>
    <t>§ 46</t>
  </si>
  <si>
    <t>§ 45 Abs. 1</t>
  </si>
  <si>
    <t>Vergütungsberechnung für Geothermieanlagen mit Inbetriebnahme ab 01.08.2014</t>
  </si>
  <si>
    <t>GeK480------14</t>
  </si>
  <si>
    <t>Vergütungsberechnung für Windenergieanlagen an Land mit Inbetriebnahme ab 01.08.2014</t>
  </si>
  <si>
    <t>WnK490------14</t>
  </si>
  <si>
    <t>WnK491------14</t>
  </si>
  <si>
    <t>§ 49</t>
  </si>
  <si>
    <t>WfK500------14</t>
  </si>
  <si>
    <t>WfK501------14</t>
  </si>
  <si>
    <t>WfK502------14</t>
  </si>
  <si>
    <t>Offshore, erhöhte Anfangsvergütung nach § 50 Abs. 3</t>
  </si>
  <si>
    <t>§ 50</t>
  </si>
  <si>
    <t>Vergütungsberechnung für Windenergieanlagen auf See mit Inbetriebnahme ab 01.08.2014</t>
  </si>
  <si>
    <t>Windenergie offshore (Windenergie auf See)</t>
  </si>
  <si>
    <t>Windenergie onshore (Windenergie an Land)</t>
  </si>
  <si>
    <t>Vergütungsberechnung für PV-Freiflächenanlagen mit Inbetriebnahme ab 01.08.2014</t>
  </si>
  <si>
    <t>Inbetriebnahme 08/2014</t>
  </si>
  <si>
    <t>Inbetriebnahme 09/2014</t>
  </si>
  <si>
    <t>Inbetriebnahme 10/2014</t>
  </si>
  <si>
    <t>SoK511---Aug14</t>
  </si>
  <si>
    <t>SoK511---Sep14</t>
  </si>
  <si>
    <t>SoK511---Okt14</t>
  </si>
  <si>
    <t>Aug14</t>
  </si>
  <si>
    <t>Sep14</t>
  </si>
  <si>
    <t>Okt14</t>
  </si>
  <si>
    <t>Inbetriebnahme 11/2014</t>
  </si>
  <si>
    <t>Inbetriebnahme 12/2014</t>
  </si>
  <si>
    <t>SoK511---Nov14</t>
  </si>
  <si>
    <t>SoK511---Dez14</t>
  </si>
  <si>
    <t>Nov14</t>
  </si>
  <si>
    <t>Dez14</t>
  </si>
  <si>
    <t>§ 51 Abs. 1 i.V.m. § 37</t>
  </si>
  <si>
    <t>Vergütungsberechnung für PVGebäudeanlagen mit Inbetriebnahme ab 01.08.2014</t>
  </si>
  <si>
    <t>SgK5120--Aug14</t>
  </si>
  <si>
    <t>SgK5120--Sep14</t>
  </si>
  <si>
    <t>SgK5120--Okt14</t>
  </si>
  <si>
    <t>SgK5120--Nov14</t>
  </si>
  <si>
    <t>SgK5120--Dez14</t>
  </si>
  <si>
    <t>Verringerung auf null nach § 25 Abs. 1 Nr. 1 (Unterlassene Anmeldung im Anlagenregister)</t>
  </si>
  <si>
    <t>WaK2511------0</t>
  </si>
  <si>
    <t>BiK2511------0</t>
  </si>
  <si>
    <t>GaK2511------0</t>
  </si>
  <si>
    <t>DeK2511------0</t>
  </si>
  <si>
    <t>KlK2511------0</t>
  </si>
  <si>
    <t>GrK2511------0</t>
  </si>
  <si>
    <t>GeK2511------0</t>
  </si>
  <si>
    <t>WiK2511------0</t>
  </si>
  <si>
    <t>WnK2511------0</t>
  </si>
  <si>
    <t>WrK2511------0</t>
  </si>
  <si>
    <t>WfK2511------0</t>
  </si>
  <si>
    <t>SoK2511------0</t>
  </si>
  <si>
    <t>SgK2511------0</t>
  </si>
  <si>
    <t>WaK2512------0</t>
  </si>
  <si>
    <t>BiK2512------0</t>
  </si>
  <si>
    <t>GaK2512------0</t>
  </si>
  <si>
    <t>DeK2512------0</t>
  </si>
  <si>
    <t>KlK2512------0</t>
  </si>
  <si>
    <t>GrK2512------0</t>
  </si>
  <si>
    <t>GeK2512------0</t>
  </si>
  <si>
    <t>WiK2512------0</t>
  </si>
  <si>
    <t>WnK2512------0</t>
  </si>
  <si>
    <t>WrK2512------0</t>
  </si>
  <si>
    <t>WfK2512------0</t>
  </si>
  <si>
    <t>SoK2512------0</t>
  </si>
  <si>
    <t>SgK2512------0</t>
  </si>
  <si>
    <t>WaK2513------0</t>
  </si>
  <si>
    <t>BiK2513------0</t>
  </si>
  <si>
    <t>GaK2513------0</t>
  </si>
  <si>
    <t>DeK2513------0</t>
  </si>
  <si>
    <t>KlK2513------0</t>
  </si>
  <si>
    <t>GrK2513------0</t>
  </si>
  <si>
    <t>GeK2513------0</t>
  </si>
  <si>
    <t>WiK2513------0</t>
  </si>
  <si>
    <t>WnK2513------0</t>
  </si>
  <si>
    <t>WrK2513------0</t>
  </si>
  <si>
    <t>WfK2513------0</t>
  </si>
  <si>
    <t>SoK2513------0</t>
  </si>
  <si>
    <t>SgK2513------0</t>
  </si>
  <si>
    <t>WaK2514------0</t>
  </si>
  <si>
    <t>BiK2514------0</t>
  </si>
  <si>
    <t>GaK2514------0</t>
  </si>
  <si>
    <t>DeK2514------0</t>
  </si>
  <si>
    <t>KlK2514------0</t>
  </si>
  <si>
    <t>GrK2514------0</t>
  </si>
  <si>
    <t>GeK2514------0</t>
  </si>
  <si>
    <t>WiK2514------0</t>
  </si>
  <si>
    <t>WnK2514------0</t>
  </si>
  <si>
    <t>WrK2514------0</t>
  </si>
  <si>
    <t>WfK2514------0</t>
  </si>
  <si>
    <t>SoK2514------0</t>
  </si>
  <si>
    <t>SgK2514------0</t>
  </si>
  <si>
    <t>Verringerung auf null nach § 25 Abs. 1 Nr. 4 (Fehlender Nachweis zur Stilllegung einer anderen Biomethananlage)</t>
  </si>
  <si>
    <t>WaK2521-----MW</t>
  </si>
  <si>
    <t>BiK2521-----MW</t>
  </si>
  <si>
    <t>GaK2521-----MW</t>
  </si>
  <si>
    <t>DeK2521-----MW</t>
  </si>
  <si>
    <t>KlK2521-----MW</t>
  </si>
  <si>
    <t>GrK2521-----MW</t>
  </si>
  <si>
    <t>GeK2521-----MW</t>
  </si>
  <si>
    <t>WiK2521-----MW</t>
  </si>
  <si>
    <t>WnK2521-----MW</t>
  </si>
  <si>
    <t>WrK2521-----MW</t>
  </si>
  <si>
    <t>WfK2521-----MW</t>
  </si>
  <si>
    <t>SoK2521-----MW</t>
  </si>
  <si>
    <t>SgK2521-----MW</t>
  </si>
  <si>
    <t>WaK2522-----MW</t>
  </si>
  <si>
    <t>BiK2522-----MW</t>
  </si>
  <si>
    <t>GaK2522-----MW</t>
  </si>
  <si>
    <t>DeK2522-----MW</t>
  </si>
  <si>
    <t>KlK2522-----MW</t>
  </si>
  <si>
    <t>GrK2522-----MW</t>
  </si>
  <si>
    <t>GeK2522-----MW</t>
  </si>
  <si>
    <t>WiK2522-----MW</t>
  </si>
  <si>
    <t>WnK2522-----MW</t>
  </si>
  <si>
    <t>WrK2522-----MW</t>
  </si>
  <si>
    <t>WfK2522-----MW</t>
  </si>
  <si>
    <t>SoK2522-----MW</t>
  </si>
  <si>
    <t>SgK2522-----MW</t>
  </si>
  <si>
    <t>WaK2523-----MW</t>
  </si>
  <si>
    <t>BiK2523-----MW</t>
  </si>
  <si>
    <t>GaK2523-----MW</t>
  </si>
  <si>
    <t>DeK2523-----MW</t>
  </si>
  <si>
    <t>KlK2523-----MW</t>
  </si>
  <si>
    <t>GrK2523-----MW</t>
  </si>
  <si>
    <t>GeK2523-----MW</t>
  </si>
  <si>
    <t>WiK2523-----MW</t>
  </si>
  <si>
    <t>WnK2523-----MW</t>
  </si>
  <si>
    <t>WrK2523-----MW</t>
  </si>
  <si>
    <t>WfK2523-----MW</t>
  </si>
  <si>
    <t>SoK2523-----MW</t>
  </si>
  <si>
    <t>SgK2523-----MW</t>
  </si>
  <si>
    <t>WaK2524-----MW</t>
  </si>
  <si>
    <t>BiK2524-----MW</t>
  </si>
  <si>
    <t>GaK2524-----MW</t>
  </si>
  <si>
    <t>DeK2524-----MW</t>
  </si>
  <si>
    <t>KlK2524-----MW</t>
  </si>
  <si>
    <t>GrK2524-----MW</t>
  </si>
  <si>
    <t>GeK2524-----MW</t>
  </si>
  <si>
    <t>WiK2524-----MW</t>
  </si>
  <si>
    <t>WnK2524-----MW</t>
  </si>
  <si>
    <t>WrK2524-----MW</t>
  </si>
  <si>
    <t>WfK2524-----MW</t>
  </si>
  <si>
    <t>SoK2524-----MW</t>
  </si>
  <si>
    <t>SgK2524-----MW</t>
  </si>
  <si>
    <t>WaK2525-----MW</t>
  </si>
  <si>
    <t>BiK2525-----MW</t>
  </si>
  <si>
    <t>GaK2525-----MW</t>
  </si>
  <si>
    <t>DeK2525-----MW</t>
  </si>
  <si>
    <t>KlK2525-----MW</t>
  </si>
  <si>
    <t>GrK2525-----MW</t>
  </si>
  <si>
    <t>GeK2525-----MW</t>
  </si>
  <si>
    <t>WiK2525-----MW</t>
  </si>
  <si>
    <t>WnK2525-----MW</t>
  </si>
  <si>
    <t>WrK2525-----MW</t>
  </si>
  <si>
    <t>WfK2525-----MW</t>
  </si>
  <si>
    <t>SoK2525-----MW</t>
  </si>
  <si>
    <t>SgK2525-----MW</t>
  </si>
  <si>
    <t>WaK2526-----MW</t>
  </si>
  <si>
    <t>BiK2526-----MW</t>
  </si>
  <si>
    <t>GaK2526-----MW</t>
  </si>
  <si>
    <t>DeK2526-----MW</t>
  </si>
  <si>
    <t>KlK2526-----MW</t>
  </si>
  <si>
    <t>GrK2526-----MW</t>
  </si>
  <si>
    <t>GeK2526-----MW</t>
  </si>
  <si>
    <t>WiK2526-----MW</t>
  </si>
  <si>
    <t>WnK2526-----MW</t>
  </si>
  <si>
    <t>WrK2526-----MW</t>
  </si>
  <si>
    <t>WfK2526-----MW</t>
  </si>
  <si>
    <t>SoK2526-----MW</t>
  </si>
  <si>
    <t>SgK2526-----MW</t>
  </si>
  <si>
    <t>SgK2511-SV---0</t>
  </si>
  <si>
    <t>SgK2512-SV---0</t>
  </si>
  <si>
    <t>SgK2513-SV---0</t>
  </si>
  <si>
    <t>SgK2514-SV---0</t>
  </si>
  <si>
    <t>SgK2522-SV---0</t>
  </si>
  <si>
    <t>SgK2523-SV---0</t>
  </si>
  <si>
    <t>SgK2524-SV---0</t>
  </si>
  <si>
    <t>SgK2525-SV---0</t>
  </si>
  <si>
    <t>SgK2526-SV---0</t>
  </si>
  <si>
    <t>BiK471------MW</t>
  </si>
  <si>
    <t>BiK4721------0</t>
  </si>
  <si>
    <t>BiK474------MW</t>
  </si>
  <si>
    <t>Die Strommengen sind bereits in den gemeldeten Strommengen für Direktvermarktung enthalten. Daher sind sie weder für die Berechnung der Bemessungsleistung, der vNNE noch der in den bundesweiten Belastungsausgleich fließenden Strommengen einzubeziehen.</t>
  </si>
  <si>
    <t>Flexibilitätsprämie für Biomethan nach EEG 2014</t>
  </si>
  <si>
    <t>Flexibilitätsprämie für sonstige Biogase außer Biomethan nach EEG 2014</t>
  </si>
  <si>
    <t>Flexibilitätszuschlag</t>
  </si>
  <si>
    <t>BiK53------FLZ</t>
  </si>
  <si>
    <t>BiK54M-----FLP</t>
  </si>
  <si>
    <t>BiK54G-----FLP</t>
  </si>
  <si>
    <t>SoK1004------0</t>
  </si>
  <si>
    <t>SgK1004------0</t>
  </si>
  <si>
    <t>WaK1004------0</t>
  </si>
  <si>
    <t>BiK1004------0</t>
  </si>
  <si>
    <t>GaK1004------0</t>
  </si>
  <si>
    <t>DeK1004------0</t>
  </si>
  <si>
    <t>KlK1004------0</t>
  </si>
  <si>
    <t>GrK1004------0</t>
  </si>
  <si>
    <t>GeK1004------0</t>
  </si>
  <si>
    <t>WiK1004------0</t>
  </si>
  <si>
    <t>WnK1004------0</t>
  </si>
  <si>
    <t>WrK1004------0</t>
  </si>
  <si>
    <t>WfK1004------0</t>
  </si>
  <si>
    <t>BiK35---MPM--0</t>
  </si>
  <si>
    <t>GaK35---MPM--0</t>
  </si>
  <si>
    <t>DeK35---MPM--0</t>
  </si>
  <si>
    <t>KlK35---MPM--0</t>
  </si>
  <si>
    <t>GrK35---MPM--0</t>
  </si>
  <si>
    <t>GeK35---MPM--0</t>
  </si>
  <si>
    <t>WiK35---MPM--0</t>
  </si>
  <si>
    <t>WnK35---MPM--0</t>
  </si>
  <si>
    <t>WrK35---MPM--0</t>
  </si>
  <si>
    <t>WfK35---MPM--0</t>
  </si>
  <si>
    <t>SoK35---MPM--0</t>
  </si>
  <si>
    <t>SgK35---MPM--0</t>
  </si>
  <si>
    <t>WaK35---MPM--0</t>
  </si>
  <si>
    <t>Entfall der Marktprämie nach § 35 EEG 2014 (Nicheinhaltung der Voraussetzungen der Marktprämie)</t>
  </si>
  <si>
    <t>Verringerung auf Marktwert nach § 25 Abs. 2 Nr. 4 (Verstoß gegen Stromüberlassung nach § 39 Abs. 2)</t>
  </si>
  <si>
    <t>Verringerung auf Marktwert nach § 25 Abs. 2 Nr. 1 (Verstoß gegen technische Vorgaben)</t>
  </si>
  <si>
    <t>Verringerung auf Marktwert nach § 25 Abs. 2 Nr. 2 (Verstoß gegen Meldepflicht zum Wechsel der Vermarktungsform)</t>
  </si>
  <si>
    <t>Verringerung auf Marktwert nach § 25 Abs. 2 Nr. 3 (Verstoß gegen gemeinsame Messeinrichtung)</t>
  </si>
  <si>
    <t>Verringerung auf Marktwert nach § 25 Abs. 2 Nr. 5 (Doppelvermarktung)</t>
  </si>
  <si>
    <t>Verringerung auf Marktwert nach § 25 Abs. 2 Nr. 6 (Vorbildfunktion öffentlicher Gebäude)</t>
  </si>
  <si>
    <t>Anteil KWK, erstmals 2014</t>
  </si>
  <si>
    <t>Vergütungskategorie ist 2013/2014 ergänzt worden</t>
  </si>
  <si>
    <t>Herausgeber und Zweck</t>
  </si>
  <si>
    <t>Vorbehalt und Haftungsausschluss</t>
  </si>
  <si>
    <t>Die Herausgeber übernehmen keinerlei Haftung für die Richtigkeit der Kategorien, deren Beschreibungen und Vergütungssätze. Die Herausgeber lehnen jede Haftung für jedwede Schäden ab, die aufgrund von eventuellen Fehlern, insbesondere falschen Vergütungssätzen, entstanden sind.</t>
  </si>
  <si>
    <t>Vermarktungskosten</t>
  </si>
  <si>
    <t>Vertrauensschutz für Anlagen mit Inbetriebnahme zwischen 01.08.2014 und 31.12.2014</t>
  </si>
  <si>
    <t>Vergütungssätze</t>
  </si>
  <si>
    <t>Ergänzung von Vergütungskategorien Biomasse Inbetriebnahme 2005 für Erfüllung Bonusregel K erstmals 2013</t>
  </si>
  <si>
    <t>Ergänzung der Vergütungssätze der Vergütungskategorien für PV-Anlagen mit Inbetriebnahme Februar bis April 2014 (EEG 2012 n.F.)</t>
  </si>
  <si>
    <t>Ergänzung der Vergütungssätze der Vergütungskategorien für PV-Anlagen mit Inbetriebnahme Mai bis Juli 2014 (EEG 2012 n.F.)</t>
  </si>
  <si>
    <t>Ergänzung von Vergütungskategorien Biomasse Inbetriebnahme 2001, 2004 und 2006 für Erfüllung Bonusregel K erstmals 2013</t>
  </si>
  <si>
    <t>Datum</t>
  </si>
  <si>
    <t>Ergänzung der Vergütungskategorien für Inbetriebnahmejahr 2014
Korrektur fehlerhafter Kategorienname (korrekt WfK312------13 statt WfK313------13)
Anpassung der Erläuterungen</t>
  </si>
  <si>
    <t>Ergänzung von Vergütungskategorien Biomasse Inbetriebnahme 2001, 2002, 2005, 2006 und 2007 für Erfüllung Bonusregel K erstmals 2013</t>
  </si>
  <si>
    <t>Bei den zurückliegenden Novellen sind für Anlagen, die nach dem Vertrauensschutztatbestand vergütet werden, entsprechende separate Kategorien (mit "BS" für Bestandsschutz) vorgesehen worden, während die alten Kategorien trotz gleichem Vergütungssatz nicht mehr verwendbar waren. Für das EEG 2014 hätte dies jedoch bedeutet, dass (nahezu) alle Kategorien für das Inbetriebnahmejahr 2014 hätten dupliziert werden müssen. Deshalb wurde für diese Novelle darauf verzichtet, spezielle BS-Kategorien einzuführen. Statt dessen sind die gleichen Kategorien zu verwenden wie für die ersten sieben Monate 2014. Eine Ausnahme stellt der Energieträger Solar dar, da für diesen (mutmaßlich) kein Vertrauensschutztatbestand zutreffend ist. Andererseits würden diese Solar-Kategorien ohnehin immer nur für einen einzigen Monat gelten, womit eine zusätzliche BS-Kategorie überflüssig wäre. Wenn für Solar kein Vertrauensschutztatbestand besteht, läuft es darauf hinaus, dass die ursprünglich geplanten Solar-Kategorien für die Monate August bis Dezember nicht verwendet werden dürfen.</t>
  </si>
  <si>
    <t>Die Vergütungssätze werden ausschließlich durch das Erneuerbare-Energien-Gesetz (EEG) in der jeweils gültigen Fassung festgelegt. Die in diesem Dokument enthaltenen Vergütungssätze spiegeln das Rechtsverständnis der Herausgeber wider und sind rechtlich unverbindlich.</t>
  </si>
  <si>
    <t>SgK1004--SV--0</t>
  </si>
  <si>
    <r>
      <t xml:space="preserve">Anzulegender Wert in ct/kWh 
</t>
    </r>
    <r>
      <rPr>
        <sz val="10"/>
        <rFont val="Arial"/>
        <family val="2"/>
      </rPr>
      <t>(bei Anlagen mit Vergütung nach EEG 2000 bis 2012 muss zur Marktprämienberechnung die Einspeisevergütung i. V. m. den Vorgaben aus § 100 Abs. 1 Nr. 8 und Anlage 1 EEG 2014 verwendet werden.)</t>
    </r>
  </si>
  <si>
    <t>Bei Bestandsanlagen mit Vergütung nach EEG 2000 bis 2012 ist bei der Berechnung der Marktprämie gemäß § 100 Abs. 1 Nr. 8 EEG 2014 die Einspeisevergütung um den gem. § 100 Abs. 1 Nr. 8 für die jeweilige Anlage und in Abhängigkeit von der Erfüllung des § 3 MaPrV im entsprechenden Jahr der Stromerzeugung gültigen Wert zu erhöhen (frühere Managementprämie).</t>
  </si>
  <si>
    <t>Diese Tabelle, die Kategorien wie auch die Vergütungssätze sind mit größter Sorgfalt erstellt und mehrfach geprüft worden. Dennoch kann nicht ausgeschlossen werden, dass Fehler enthalten sind, insbesondere die ausgewiesenen Vergütungssätze zu hoch oder zu niedrig sind. Weiterhin ist es jederzeit möglich, dass durch Gesetzesänderungen oder durch die Rechtssprechung eine Korrektur der Vergütungssätze oder der Bedingungen für die Verwendung einer Kategorie – auch rückwirkend – erfolgt. Daher gelten die Kategorien, die Beschreibungen und die Vergütungssätze nur unter Vorbehalt. Dies gilt auch für die Degression der Vermarktungskosten, die auf dem Tabellenblatt "Änderungshistorie" beschrieben sind.</t>
  </si>
  <si>
    <t>BiK1011----MPM</t>
  </si>
  <si>
    <t>Verringerung der Marktprämie auf Managementprämie nach § 101 Abs. 1 (Überschreitung Höchstbemessungsleistung)</t>
  </si>
  <si>
    <t>Ergänzung Sanktionskategorien BiK1011----MPM für Altanlagen Biogas
Ergänzung von Vergütungskategorien Biomasse Inbetriebnahme 2001 für Erfüllung Bonusregel K erstmals 2013</t>
  </si>
  <si>
    <t>BiK51nK13y--01</t>
  </si>
  <si>
    <t>BiK51aK13y--01</t>
  </si>
  <si>
    <t>BiK51na1K14-01</t>
  </si>
  <si>
    <t>BiK51aa1K14-01</t>
  </si>
  <si>
    <t>BiK52aa2K14-01</t>
  </si>
  <si>
    <t>SgK5120--Aug15</t>
  </si>
  <si>
    <t>Inbetriebnahme 08/2015</t>
  </si>
  <si>
    <t>SgK5120--Sep15</t>
  </si>
  <si>
    <t>Inbetriebnahme 09/2015</t>
  </si>
  <si>
    <t>SgK5120--Okt15</t>
  </si>
  <si>
    <t>Inbetriebnahme 10/2015</t>
  </si>
  <si>
    <t>SgK5120--Nov15</t>
  </si>
  <si>
    <t>Inbetriebnahme 11/2015</t>
  </si>
  <si>
    <t>SgK5120--Dez15</t>
  </si>
  <si>
    <t>Inbetriebnahme 12/2015</t>
  </si>
  <si>
    <t>Jan15</t>
  </si>
  <si>
    <t>SgK5120--Jan15</t>
  </si>
  <si>
    <t>SgK5120--Feb15</t>
  </si>
  <si>
    <t>SgK5120--Mrz15</t>
  </si>
  <si>
    <t>SgK5120--Apr15</t>
  </si>
  <si>
    <t>SgK5120--Mai15</t>
  </si>
  <si>
    <t>SgK5120--Jun15</t>
  </si>
  <si>
    <t>SgK5120--Jul15</t>
  </si>
  <si>
    <t>SoK511---Jan15</t>
  </si>
  <si>
    <t>SoK511---Feb15</t>
  </si>
  <si>
    <t>Inbetriebnahme 01/2015</t>
  </si>
  <si>
    <t>Inbetriebnahme 02/2015</t>
  </si>
  <si>
    <t>Inbetriebnahme 03/2015</t>
  </si>
  <si>
    <t>Inbetriebnahme 04/2015</t>
  </si>
  <si>
    <t>Inbetriebnahme 05/2015</t>
  </si>
  <si>
    <t>Inbetriebnahme 06/2015</t>
  </si>
  <si>
    <t>Inbetriebnahme 07/2015</t>
  </si>
  <si>
    <t>SoK511---Mrz15</t>
  </si>
  <si>
    <t>SoK511---Apr15</t>
  </si>
  <si>
    <t>SoK511---Mai15</t>
  </si>
  <si>
    <t>SoK511---Jun15</t>
  </si>
  <si>
    <t>SoK511---Jul15</t>
  </si>
  <si>
    <t>SoK511---Aug15</t>
  </si>
  <si>
    <t>SoK511---Sep15</t>
  </si>
  <si>
    <t>SoK511---Okt15</t>
  </si>
  <si>
    <t>SoK511---Nov15</t>
  </si>
  <si>
    <t>SoK511---Dez15</t>
  </si>
  <si>
    <t>Inbetriebnahme 2015</t>
  </si>
  <si>
    <t>WfK500------15</t>
  </si>
  <si>
    <t>WfK501------15</t>
  </si>
  <si>
    <t>WfK502------15</t>
  </si>
  <si>
    <t>keine Degression bis 2018</t>
  </si>
  <si>
    <t>WnK490------15</t>
  </si>
  <si>
    <t>WnK491------15</t>
  </si>
  <si>
    <t>GeK480------15</t>
  </si>
  <si>
    <t>GrK430------15</t>
  </si>
  <si>
    <t>GrK431------15</t>
  </si>
  <si>
    <t>GrK432------15</t>
  </si>
  <si>
    <t>KlK420------15</t>
  </si>
  <si>
    <t>KlK421------15</t>
  </si>
  <si>
    <t>DeK410------15</t>
  </si>
  <si>
    <t>DeK411------15</t>
  </si>
  <si>
    <t>BiK460------15</t>
  </si>
  <si>
    <t>BiK450------15</t>
  </si>
  <si>
    <t>BiK451------15</t>
  </si>
  <si>
    <t>BiK440------15</t>
  </si>
  <si>
    <t>BiK441------15</t>
  </si>
  <si>
    <t>BiK442------15</t>
  </si>
  <si>
    <t>BiK443------15</t>
  </si>
  <si>
    <t>WaK400------15</t>
  </si>
  <si>
    <t>WaK401------15</t>
  </si>
  <si>
    <t>WaK402------15</t>
  </si>
  <si>
    <t>WaK403------15</t>
  </si>
  <si>
    <t>WaK404------15</t>
  </si>
  <si>
    <t>WaK405------15</t>
  </si>
  <si>
    <t>WaK406------15</t>
  </si>
  <si>
    <t>WaK400M-----15</t>
  </si>
  <si>
    <t>WaK401M-----15</t>
  </si>
  <si>
    <t>WaK402M-----15</t>
  </si>
  <si>
    <t>WaK403M-----15</t>
  </si>
  <si>
    <t>WaK404M-----15</t>
  </si>
  <si>
    <t>WaK405M-----15</t>
  </si>
  <si>
    <t>WaK406M-----15</t>
  </si>
  <si>
    <t>0-0,5 MW, IB vor 01.01.2009, Modernisierung 2015</t>
  </si>
  <si>
    <t>0,5-2 MW, IB vor 01.01.2009, Modernisierung 2015</t>
  </si>
  <si>
    <t>2-5 MW, IB vor 01.01.2009, Modernisierung 2015</t>
  </si>
  <si>
    <t>5-10 MW, IB vor 01.01.2009, Modernisierung 2015</t>
  </si>
  <si>
    <t>10-20 MW, IB vor 01.01.2009, Modernisierung 2015</t>
  </si>
  <si>
    <t>20-50 MW, IB vor 01.01.2009, Modernisierung 2015</t>
  </si>
  <si>
    <t>&gt; 50 MW, IB vor 01.01.2009, Modernisierung 2015</t>
  </si>
  <si>
    <t>aperiodische Vergütung nach § 19 EEG gemäß schriftlichem Nachweis</t>
  </si>
  <si>
    <t>aperiodische Marktprämie nach § 34 EEG gemäß schriftlichem Nachweis</t>
  </si>
  <si>
    <t>5. Anlagen mit Vergütung nach EEG 2014</t>
  </si>
  <si>
    <t>De = Deponiegas</t>
  </si>
  <si>
    <t>Kl = Klärgas</t>
  </si>
  <si>
    <t>Gr = Grubengas</t>
  </si>
  <si>
    <t>Wf = Wind offshore (Windenergie auf See)</t>
  </si>
  <si>
    <t>Wn = Windenergie onshore (Windenergie an Land)</t>
  </si>
  <si>
    <t xml:space="preserve">relevanter Paragraph aus dem EEG 2014: </t>
  </si>
  <si>
    <t xml:space="preserve">40 für Wasserkraft </t>
  </si>
  <si>
    <t>41 für Deponiegas</t>
  </si>
  <si>
    <t>42 für Klärgas</t>
  </si>
  <si>
    <t>43 für Grubengas</t>
  </si>
  <si>
    <t>44 für Biomasse</t>
  </si>
  <si>
    <t>45 für Vergärung von Bioabfällen (Energieträger Biomasse)</t>
  </si>
  <si>
    <t>46 für Vergärung von Gülle (Energieträger Biomasse)</t>
  </si>
  <si>
    <t>48 für Geothermie</t>
  </si>
  <si>
    <t>49 für Windenergie an Land</t>
  </si>
  <si>
    <t>50 für Windenergie auf See</t>
  </si>
  <si>
    <t>51 für Solare Strahlungsenergie</t>
  </si>
  <si>
    <t>25 für Verringerung der Förderung bei Pflichtverstößen</t>
  </si>
  <si>
    <t>35 für Vorrausetzungen der Marktprämie</t>
  </si>
  <si>
    <t>47 für Gemeinsame Bestimmungen für Strom aus Biomassen und Gasen</t>
  </si>
  <si>
    <t>100 für Allgemeine Übergangsbestimmungen</t>
  </si>
  <si>
    <t>101 für Übergansgbestimmungen für Strom aus Biogas</t>
  </si>
  <si>
    <t>Inbetriebnahmejahr (2-stellig) für Vergütungskategorien nach §§ 40 bis 51, die vom Inbetriebnahmejahr abhängig sind</t>
  </si>
  <si>
    <t>Angaben zur Direktvermarktung, z. B. "---SV", "-SO-DV","FLZ" oder "--FLP"</t>
  </si>
  <si>
    <t>Ältere EEG-Vergütungskategorien, die für die Leistungsjahre 2015 und folgende nicht mehr verwendbar sind</t>
  </si>
  <si>
    <t>Einspeisevergütung
in ct/kWh</t>
  </si>
  <si>
    <r>
      <t xml:space="preserve">Solare Strahlungsenergie
</t>
    </r>
    <r>
      <rPr>
        <b/>
        <sz val="10"/>
        <color indexed="8"/>
        <rFont val="Arial"/>
        <family val="2"/>
      </rPr>
      <t xml:space="preserve">
Grund für die Entfernung aus der Tabelle der aktuellen Vergütungskategorien: Die Verwendung dieser Kategorien ist aufgrund offenbar fehlender Anwendbarkeit der Vertrauensschutzregelung § 100 Abs. 3 EEG 2014 nicht möglich. In diesem Zeitraum in Betrieb genommene Anlagen sind mit den Kategorien nach § 51 EEG 2014 zu vergüten.</t>
    </r>
  </si>
  <si>
    <t>Grund für die Entfernung aus der Tabelle der aktuellen Vergütungskategorien: Entfall der Direktvermarktung für Grünstromprivileg mit Einführung des EEG 2014 zum 01.08.2014.</t>
  </si>
  <si>
    <t>Grund für die Entfernung aus der Tabelle der aktuellen Vergütungskategorien: Entfall der Flexibilitätsprämie nach § 33i EEG 2012 mit Einführung des EEG 2014 zum 01.08.2014. Ersatz durch neue Flexibilitätsprämie nach § 54 EEG 2014 mit separater Kategorie für die Stromerzeugung nach dem 31.07.2014.</t>
  </si>
  <si>
    <t>Grund für die Entfernung aus der Tabelle der aktuellen Vergütungskategorien: Entfall der Sanktionstatbestände nach §§ 17, 33f Abs. 3, 33g Abs. 3, 39 Abs. 1 und 2, 56 Abs. 4 und 66 Abs. 1 EEG 2012 mit Ausnahme von § 17 Abs. 1 EEG 2012 mit Einführung des EEG 2014 zum 01.08.2014. Ersatz (außer für entfallene DV für Grünstromprivileg) durch neue Sanktionen nach § 25 und § 35 EEG 2014 mit separaten Kategorien für die Stromerzeugung nach dem 31.07.2014.</t>
  </si>
  <si>
    <t>53 für Flexibilitätszuschlag (nur Biomasseanlagen, Inbetriebnahme ab 01.08.2014)</t>
  </si>
  <si>
    <t>54 für Flexibilitätsprämie (nur Biomasseanlagen, Inbetriebnahme bis 31.07.2014)</t>
  </si>
  <si>
    <t>SgK3221--Aug14</t>
  </si>
  <si>
    <t>SgK3222--Aug14</t>
  </si>
  <si>
    <t>SgK3223--Aug14</t>
  </si>
  <si>
    <t>SgK3221--Sep14</t>
  </si>
  <si>
    <t>SgK3222--Sep14</t>
  </si>
  <si>
    <t>SgK3223--Sep14</t>
  </si>
  <si>
    <t>SgK3221--Okt14</t>
  </si>
  <si>
    <t>SgK3222--Okt14</t>
  </si>
  <si>
    <t>SgK3223--Okt14</t>
  </si>
  <si>
    <t>SgK3221--Nov14</t>
  </si>
  <si>
    <t>SgK3222--Nov14</t>
  </si>
  <si>
    <t>SgK3223--Nov14</t>
  </si>
  <si>
    <t>SgK3221--Dez14</t>
  </si>
  <si>
    <t>SgK3222--Dez14</t>
  </si>
  <si>
    <t>SgK3223--Dez14</t>
  </si>
  <si>
    <t>§ 27 Abs. 7 Satz 1 EEG 2012: Der Vergütungsanspruch nach § 16 EEG 2012 oder § 19 EEG 2014 verringert sich sich auf den tatsächlichen Monatsmittelwert des energieträgerspezifischen Marktwerts (MW), wenn die Voraussetzungen des § 27 Abs. 4 und 5 EEG 2012 nicht nachweislich eingehalten werden.</t>
  </si>
  <si>
    <t xml:space="preserve">Mit dem EEG 2014 wird die geförderte Direktvermarktung nach § 20 Abs. 1 Nr. 1 EEG 2014 (Direktvermarktung im Marktprämienmodell) zum Regelfall erklärt. Die Einspeisung des erzeugten Stroms gegen Zahlung einer festen Einspeisevergütung wird durch § 37 Abs. 2 EEG 2014 auf kleine Neuanlagen (Vergütung nach EEG 2014) begrenzt. In der Praxis kann es vorkommen, dass die Erzeugung einer Anlage nicht direkt vermarktet werden kann, z. B. durch Ausfall des Direktvermarkters. Zur Reduktion des Risikos für den Anlagenbetreiber wird durch § 38 EEG 2014 die Möglichkeit geschaffen, mit einer verkürzten Wechselfrist in oder aus einer besonderen Form der Einspeisevergütung zu wechseln, die hier als Ausfallvermarktung bezeichnet wird. Diese Möglichkeit besteht für alle EEG-Anlagen, also auch Altanlagen (Vergütung nach EEG 2000 bis 2012), für die auch die "normale" Einspeisevergütung nach § 37 EEG 2014 möglich ist, aber längere Wechselfristen erfordert. Um eine Umgehung der Direktvermarktungspflicht und der Wechselfristen zu vermeiden, ist die Ausfallvergütung gegenüber der "normalen" Einspeisevergütung reduziert. </t>
  </si>
  <si>
    <t>Die Strommengen fließen in die Berechnung der Bemessungsleistung, den bundesweiten Belastungsausgleich und die Berechnung der vNNE ein.</t>
  </si>
  <si>
    <t>Die Ausfallvergütung wird für solche Anlagen gemeldet, für die im Allgemeinen die Marktprämienkategorien gemeldet werden. Daher orientieren sich die Kategorien an jenen der Marktprämien-Direktvermarktung. Analog zu diesen werden die eingespeiste Strommengen und sowie die gesamte Ausfallvergütung angegeben. Die Berechnung der Ausfallvergütung erfolgt analog zur Berechnung der "normalen" Einspeisevergütung nach § 37 EEG 2014 mit dem Unterschied, dass die gemäß § 38 Abs. 2 EEG 2014 reduzierte Ausfallvergütung (Spalte H) statt der Einspeisevergütung (Spalte F) zu verwenden ist. Falls mehrere Vergütungskategorien zur Berechnung benutzt werden müssen, wir die Summe aller Kategorien als Ausfallvergütung gemeldet.</t>
  </si>
  <si>
    <t>Die Ausfallvergütung beträgt gemäß § 38 Abs. 2 EEG 2014 nur 80 % des anzulegenden Wertes und ist auf 2 Nachkommastellen gerundet in ct/kWh zu berechnen. Für Anlagen mit einer Vergütung nach EEG 2000 bis 2012 ist der anzulegende Wert diejenige Vergütung, die die Anlage bei der "normalen" Einspeisevergütung nach § 37 EEG 2014 erhalten würde. Es erfolgt keine Erhöhung um die frühere Managementprämie, da § 100 Abs. 1 Nr. 8 EEG 2014 nur für die Berechnung der Marktprämie gültig ist.</t>
  </si>
  <si>
    <t>WaK38-------AV</t>
  </si>
  <si>
    <t>BiK38-------AV</t>
  </si>
  <si>
    <t>GaK38-------AV</t>
  </si>
  <si>
    <t>DeK38-------AV</t>
  </si>
  <si>
    <t>KlK38-------AV</t>
  </si>
  <si>
    <t>GrK38-------AV</t>
  </si>
  <si>
    <t>GeK38-------AV</t>
  </si>
  <si>
    <t>WiK38-------AV</t>
  </si>
  <si>
    <t>WnK38-------AV</t>
  </si>
  <si>
    <t>WrK38-------AV</t>
  </si>
  <si>
    <t>WfK38-------AV</t>
  </si>
  <si>
    <t>SoK38-------AV</t>
  </si>
  <si>
    <t>SgK38-------AV</t>
  </si>
  <si>
    <t>Vergütungsberechnung für Deponiegasanlagen mit Inbetriebnahme ab 01.01.2012</t>
  </si>
  <si>
    <t>Vergütungsberechnung für Grubengasanlagen mit Inbetriebnahme ab 01.01.2012</t>
  </si>
  <si>
    <t>GrK260------12</t>
  </si>
  <si>
    <t>GrK261------12</t>
  </si>
  <si>
    <t>GrK262------12</t>
  </si>
  <si>
    <t>Keine Bonusmöglichkeiten</t>
  </si>
  <si>
    <t>Vergütungsberechnung für Geothermieanlagen mit Inbetriebnahme ab 01.01.2012</t>
  </si>
  <si>
    <t>Grund-
vergütg. § 28 EEG 2012</t>
  </si>
  <si>
    <t>GeK280------12</t>
  </si>
  <si>
    <t>Bonusregel P</t>
  </si>
  <si>
    <t>GeK280P-----12</t>
  </si>
  <si>
    <t>Grund-
vergütg. § 25 EEG 2012</t>
  </si>
  <si>
    <t>Grund-
vergütg. § 26 EEG 2012</t>
  </si>
  <si>
    <t>(bis einschließlich 2017; 5,0 % ab 2018)</t>
  </si>
  <si>
    <t>Degres-sionssatz</t>
  </si>
  <si>
    <t>Vergütungsberechnung für Windenergieanlagen onshore mit Inbetriebnahme ab 01.01.2012</t>
  </si>
  <si>
    <t>Grund-
vergütg. § 29 EEG 2012</t>
  </si>
  <si>
    <t>Grund-
vergütg. § 24 EEG 2012</t>
  </si>
  <si>
    <t>Grund-
vergütg. § 27a EEG 2012</t>
  </si>
  <si>
    <t>Grund-
vergütg. § 27b EEG 2012</t>
  </si>
  <si>
    <t>Grund-
vergütg. § 27 
EEG 2012</t>
  </si>
  <si>
    <t>BiK51aX2K09-01</t>
  </si>
  <si>
    <t>BiK51aX2y---01</t>
  </si>
  <si>
    <t>BiK51aX2KA3y01</t>
  </si>
  <si>
    <t>BiK51aX2K09y01</t>
  </si>
  <si>
    <t>BiK82a1b----06</t>
  </si>
  <si>
    <t>BiK82a1bKWK-06</t>
  </si>
  <si>
    <t>BiK83-------06</t>
  </si>
  <si>
    <t>BiK83KWK----06</t>
  </si>
  <si>
    <t>BiK83a2-----06</t>
  </si>
  <si>
    <t>BiK83a2KWK--06</t>
  </si>
  <si>
    <t>BiK83a3-----06</t>
  </si>
  <si>
    <t>BiK83a3KWK--06</t>
  </si>
  <si>
    <t>BiK83b------06</t>
  </si>
  <si>
    <t>BiK83bKWK---06</t>
  </si>
  <si>
    <t>BiK83a2b----06</t>
  </si>
  <si>
    <t>BiK83a2bKWK-06</t>
  </si>
  <si>
    <t>BiK83a3b----06</t>
  </si>
  <si>
    <t>BiK83a3bKWK-06</t>
  </si>
  <si>
    <t>BiK84-------06</t>
  </si>
  <si>
    <t>BiK84KWK----06</t>
  </si>
  <si>
    <t>BiK85-------06</t>
  </si>
  <si>
    <t>BiK81-------07</t>
  </si>
  <si>
    <t>BiK81KWK----07</t>
  </si>
  <si>
    <t>BiK81a1-----07</t>
  </si>
  <si>
    <t>BiK81a1KWK--07</t>
  </si>
  <si>
    <t>BiK81b------07</t>
  </si>
  <si>
    <t>BiK81bKWK---07</t>
  </si>
  <si>
    <t>BiK81a1b----07</t>
  </si>
  <si>
    <t>BiK81a1bKWK-07</t>
  </si>
  <si>
    <t>BiK82-------07</t>
  </si>
  <si>
    <t>BiK82KWK----07</t>
  </si>
  <si>
    <t>BiK82a1-----07</t>
  </si>
  <si>
    <t>BiK82a1KWK--07</t>
  </si>
  <si>
    <t>BiK82b------07</t>
  </si>
  <si>
    <t>BiK82bKWK---07</t>
  </si>
  <si>
    <t>BiK82a1b----07</t>
  </si>
  <si>
    <t>BiK82a1bKWK-07</t>
  </si>
  <si>
    <t>BiK83-------07</t>
  </si>
  <si>
    <t>BiK83KWK----07</t>
  </si>
  <si>
    <t>BiK83a2-----07</t>
  </si>
  <si>
    <t>BiK83a2KWK--07</t>
  </si>
  <si>
    <t>BiK83a3-----07</t>
  </si>
  <si>
    <t>BiK83a3KWK--07</t>
  </si>
  <si>
    <t>BiK83b------07</t>
  </si>
  <si>
    <t>BiK83bKWK---07</t>
  </si>
  <si>
    <t>BiK83a2b----07</t>
  </si>
  <si>
    <t>Systemdienstleistungs-Bonus</t>
  </si>
  <si>
    <t>"S"</t>
  </si>
  <si>
    <t>Repowering-Bonus</t>
  </si>
  <si>
    <t>WnK290------10</t>
  </si>
  <si>
    <t>WnK290S-----10</t>
  </si>
  <si>
    <t>WnK291------10</t>
  </si>
  <si>
    <t>0,150-0,5 MW, Bonusregeln t3, a1, i</t>
  </si>
  <si>
    <t>0,150-0,5 MW, Bonusregeln t3, a1, i, K</t>
  </si>
  <si>
    <t>BiK270a1i---09</t>
  </si>
  <si>
    <t>BiK270a1iK--09</t>
  </si>
  <si>
    <t>BiK270t1a1i-09</t>
  </si>
  <si>
    <t>BiK270t1a1iK09</t>
  </si>
  <si>
    <t>BiK270t2a1i-09</t>
  </si>
  <si>
    <t>BiK270t2a1iK09</t>
  </si>
  <si>
    <t>BiK270t3a1i-09</t>
  </si>
  <si>
    <t>BiK270t3a1iK09</t>
  </si>
  <si>
    <t>BiK271a1i---09</t>
  </si>
  <si>
    <t>BiK271a1iK--09</t>
  </si>
  <si>
    <t>BiK271t1a1i-09</t>
  </si>
  <si>
    <t>BiK271t1a1iK09</t>
  </si>
  <si>
    <t>BiK271t2a1i-09</t>
  </si>
  <si>
    <t>BiK271t2a1iK09</t>
  </si>
  <si>
    <t>BiK271t3a1i-09</t>
  </si>
  <si>
    <t>BiK271t3a1iK09</t>
  </si>
  <si>
    <t>BiK81y------08</t>
  </si>
  <si>
    <t>BiK81KWKy---08</t>
  </si>
  <si>
    <t>BiK81KA3y---08</t>
  </si>
  <si>
    <t>BiK81K09y---08</t>
  </si>
  <si>
    <t>BiK81a1y----08</t>
  </si>
  <si>
    <t>BiK81a1KWKy-08</t>
  </si>
  <si>
    <t>BiK81a1KA3y-08</t>
  </si>
  <si>
    <t>BiK81a1K09y-08</t>
  </si>
  <si>
    <t>0-1 MW, Bonusregel t3</t>
  </si>
  <si>
    <t>GrK268------09</t>
  </si>
  <si>
    <t>1-5 MW, Bonusregel t3</t>
  </si>
  <si>
    <t>0,150-0,5 MW, Bonusregel t2</t>
  </si>
  <si>
    <t>0,5-5 MW, Bonusregel t2</t>
  </si>
  <si>
    <t>0,150-0,5 MW, Bonusregel t3</t>
  </si>
  <si>
    <t>0,5-5 MW, Bonusregel t3</t>
  </si>
  <si>
    <t>0,150-0,5 MW, Bonusregel a1</t>
  </si>
  <si>
    <t>0,5-5 MW, Bonusregel a2</t>
  </si>
  <si>
    <t>0,5-5 MW, Bonusregel ah</t>
  </si>
  <si>
    <t>SgK3341-----09</t>
  </si>
  <si>
    <t>SgK3342-----09</t>
  </si>
  <si>
    <t>3.  Berechnung der vermiedenen Netzentgelte:</t>
  </si>
  <si>
    <t>Vergütung</t>
  </si>
  <si>
    <t>(Euro)</t>
  </si>
  <si>
    <t>Summe</t>
  </si>
  <si>
    <t>Anteil der gesamten Strom-erzeugung, der der jeweilig. Kategorie zugerechnet wird</t>
  </si>
  <si>
    <t>Strommenge, die der jeweiligen Kategorie zugerechnet wird</t>
  </si>
  <si>
    <t>Aus diesen Angaben ergibt sich folgende Aufteilung der gesamten EEG-Strommenge auf die Vergütungskategorien:</t>
  </si>
  <si>
    <t>vNNe, Spannungsebene: HöS, bis 2008</t>
  </si>
  <si>
    <t>vNNe, Spannungsebene: Hös/HS, bis 2008</t>
  </si>
  <si>
    <t>vNNe, Spannungsebene: HS, bis 2008</t>
  </si>
  <si>
    <t>vNNe, Spannungsebene: HS/MS, bis 2008</t>
  </si>
  <si>
    <t>vNNe, Spannungsebene: MS, bis 2008</t>
  </si>
  <si>
    <t>vNNe, Spannungsebene: MS/NS, bis 2008</t>
  </si>
  <si>
    <t>vNNe, Spannungsebene: NS, bis 2008</t>
  </si>
  <si>
    <t>vNNe, Spannungsebene: HöS, ab 2009</t>
  </si>
  <si>
    <t>SoK320BS-Okt10</t>
  </si>
  <si>
    <t>unveränderter Degressionssatz gültig bei Inbetriebnahme ab 1.10.2010 für Freiflächenanlagen mit Bestandsschutz</t>
  </si>
  <si>
    <t>SoK320---Okt10</t>
  </si>
  <si>
    <t>SoK321---Okt10</t>
  </si>
  <si>
    <t>SgK330---Okt10</t>
  </si>
  <si>
    <t>SgK331---Okt10</t>
  </si>
  <si>
    <t>SgK332---Okt10</t>
  </si>
  <si>
    <t>SgK333---Okt10</t>
  </si>
  <si>
    <t>SgK33410-Okt10</t>
  </si>
  <si>
    <t>wie SgK330---Okt10</t>
  </si>
  <si>
    <t>SgK33420-Okt10</t>
  </si>
  <si>
    <t>SgK33430-Okt10</t>
  </si>
  <si>
    <t>SgK33411-Okt10</t>
  </si>
  <si>
    <t>wie SgK331---Okt10</t>
  </si>
  <si>
    <t>SgK33421-Okt10</t>
  </si>
  <si>
    <t>SgK33431-Okt10</t>
  </si>
  <si>
    <t>SgK33412-Okt10</t>
  </si>
  <si>
    <t>wie SgK332---Okt10</t>
  </si>
  <si>
    <t>SgK33422-Okt10</t>
  </si>
  <si>
    <t>SgK33432-Okt10</t>
  </si>
  <si>
    <t xml:space="preserve">Spannungsebene, in der durch die EEG-Einspeisung Netznutzung vermieden wird. </t>
  </si>
  <si>
    <t>0,150-0,5 MW, Bonusregel i</t>
  </si>
  <si>
    <t>0,150-0,5 MW, Bonusregeln i, K</t>
  </si>
  <si>
    <t>BiK271t1i---09</t>
  </si>
  <si>
    <t>BiK271t1iK--09</t>
  </si>
  <si>
    <t>BiK271t2i---09</t>
  </si>
  <si>
    <t>BiK271t2iK--09</t>
  </si>
  <si>
    <t>0,150-0,5 MW, Bonusregeln t2, i</t>
  </si>
  <si>
    <t>SgK334-SV----0</t>
  </si>
  <si>
    <t>Verringerung auf Null nach § 33 Abs. 4 (Verstoß gegen getrennte Messung)</t>
  </si>
  <si>
    <t>SgK332-MIM-MPM</t>
  </si>
  <si>
    <t>SgK332-MIMeMPM</t>
  </si>
  <si>
    <t>SgK334-----MPM</t>
  </si>
  <si>
    <t>SgK334----eMPM</t>
  </si>
  <si>
    <t>Verringerung der Marktprämie nach § 33 Abs. 4 (Verstoß gegen getrennte Messung)</t>
  </si>
  <si>
    <t>Verringerung der erhöhten Marktprämie nach § 33 Abs. 4 (Verstoß gegen getrennte Messung)</t>
  </si>
  <si>
    <t>Verringerung der Marktprämie auf reguläre Managementprämie nach § 33 Abs. 2 (Überschreitung 90 %)</t>
  </si>
  <si>
    <t>SoK334-----MPM</t>
  </si>
  <si>
    <t>SoK334----eMPM</t>
  </si>
  <si>
    <t>BiK81M1K13--06</t>
  </si>
  <si>
    <t>BiK82M2K13--06</t>
  </si>
  <si>
    <t>BiK81M1K13--07</t>
  </si>
  <si>
    <t>BiK81M1K13y-07</t>
  </si>
  <si>
    <t>BiK82M2K13--07</t>
  </si>
  <si>
    <t>BiK82M2K13y-07</t>
  </si>
  <si>
    <t>BiK83a2K13--07</t>
  </si>
  <si>
    <t>BiK51nX1K13y01</t>
  </si>
  <si>
    <t>BiK51aX2K13y01</t>
  </si>
  <si>
    <t>Sg-vNNe--SpE05</t>
  </si>
  <si>
    <t>Sg-vNNe--SpE06</t>
  </si>
  <si>
    <t>Sg-vNNe--SpE07</t>
  </si>
  <si>
    <t>Bonusbezeichnung</t>
  </si>
  <si>
    <t>Beschreibung</t>
  </si>
  <si>
    <t>Bonushöhe</t>
  </si>
  <si>
    <t>gesetzliche Norm</t>
  </si>
  <si>
    <t>Einschränkung</t>
  </si>
  <si>
    <t xml:space="preserve">Wärmenutzungs-bonus </t>
  </si>
  <si>
    <t>Anteil KWK, erstmals 2009</t>
  </si>
  <si>
    <t>0,150-0,5 MW, Bonusregeln t2, M2, i</t>
  </si>
  <si>
    <t>0,150-0,5 MW, Bonusregeln t2, M2, i, K</t>
  </si>
  <si>
    <t>BiK54a------01</t>
  </si>
  <si>
    <t>BiK54a------02</t>
  </si>
  <si>
    <t>BiK82Gby----07</t>
  </si>
  <si>
    <t>BiK82GbKWKy-07</t>
  </si>
  <si>
    <t>BiK82GbKA3y-07</t>
  </si>
  <si>
    <t>BiK82GbK09y-07</t>
  </si>
  <si>
    <t>BiK82Lb-----07</t>
  </si>
  <si>
    <t>BiK82LbKWK--07</t>
  </si>
  <si>
    <t>BiK82LbKA3--07</t>
  </si>
  <si>
    <t>BiK82LbK09--07</t>
  </si>
  <si>
    <t>BiK82Lby----07</t>
  </si>
  <si>
    <t>BiK82LbKWKy-07</t>
  </si>
  <si>
    <t>BiK82LbKA3y-07</t>
  </si>
  <si>
    <t>BiK82LbK09y-07</t>
  </si>
  <si>
    <t>BiK270t3a1K-09</t>
  </si>
  <si>
    <t>BiK270t3G---09</t>
  </si>
  <si>
    <t>BiK270t3GK--09</t>
  </si>
  <si>
    <t>BiK270t3Gi--09</t>
  </si>
  <si>
    <t>BiK270t3GiK-09</t>
  </si>
  <si>
    <t>BiK270t3L---09</t>
  </si>
  <si>
    <t>BiK270t3LK--09</t>
  </si>
  <si>
    <t>BiK270t3Li--09</t>
  </si>
  <si>
    <t>BiK270t3LiK-09</t>
  </si>
  <si>
    <t>BiK270t3M1--09</t>
  </si>
  <si>
    <t>BiK270t3M1K-09</t>
  </si>
  <si>
    <t>BiK270t3M1i-09</t>
  </si>
  <si>
    <t>BiK270t3M1iK09</t>
  </si>
  <si>
    <t>BiK270t3X1--09</t>
  </si>
  <si>
    <t>BiK270t3X1K-09</t>
  </si>
  <si>
    <t>BiK270t3X1i-09</t>
  </si>
  <si>
    <t>BiK270t3X1iK09</t>
  </si>
  <si>
    <t>BiK271t3----09</t>
  </si>
  <si>
    <t>BiK271t3K---09</t>
  </si>
  <si>
    <t>BiK271t3a1--09</t>
  </si>
  <si>
    <t>BiK271t3a1K-09</t>
  </si>
  <si>
    <t>BiK271t3G---09</t>
  </si>
  <si>
    <t>BiK271t3GK--09</t>
  </si>
  <si>
    <t>BiK271t3Gi--09</t>
  </si>
  <si>
    <t>BiK271t3GiK-09</t>
  </si>
  <si>
    <t>BiK271t3L---09</t>
  </si>
  <si>
    <t>BiK271t3LK--09</t>
  </si>
  <si>
    <t>BiK271t3Li--09</t>
  </si>
  <si>
    <t>BiK271t3LiK-09</t>
  </si>
  <si>
    <t>BiK271t3M2--09</t>
  </si>
  <si>
    <t>BiK271t3M2K-09</t>
  </si>
  <si>
    <t>BiK271t3M2i-09</t>
  </si>
  <si>
    <t>BiK271t3M2iK09</t>
  </si>
  <si>
    <t>BiK271t3X2--09</t>
  </si>
  <si>
    <t>BiK271t3X2K-09</t>
  </si>
  <si>
    <t>BiK271t3X2i-09</t>
  </si>
  <si>
    <t>BiK271t3X2iK09</t>
  </si>
  <si>
    <t>BiK272t3----09</t>
  </si>
  <si>
    <t>BiK272t3K---09</t>
  </si>
  <si>
    <t>BiK272t3a2--09</t>
  </si>
  <si>
    <t>BiK272t3a2K-09</t>
  </si>
  <si>
    <t>BiK272t3ah--09</t>
  </si>
  <si>
    <t>BiK272t3ahK-09</t>
  </si>
  <si>
    <t>DeK243------09</t>
  </si>
  <si>
    <t>WiK101------08</t>
  </si>
  <si>
    <t>WiK102------08</t>
  </si>
  <si>
    <t>WiK103------08</t>
  </si>
  <si>
    <t>WiK104------08</t>
  </si>
  <si>
    <t>SoK81a------01</t>
  </si>
  <si>
    <t>Solar</t>
  </si>
  <si>
    <t>SoK81a------02</t>
  </si>
  <si>
    <t>SoK81a------03</t>
  </si>
  <si>
    <t>SoK111------04</t>
  </si>
  <si>
    <t xml:space="preserve"> 0-30 KW</t>
  </si>
  <si>
    <t>SoK112------04</t>
  </si>
  <si>
    <t xml:space="preserve"> 30-100 KW</t>
  </si>
  <si>
    <t>SoK113------04</t>
  </si>
  <si>
    <t>SoK114------04</t>
  </si>
  <si>
    <t>SoK115------04</t>
  </si>
  <si>
    <t>SoK116------04</t>
  </si>
  <si>
    <t>SoK117------04</t>
  </si>
  <si>
    <t>SoK111------05</t>
  </si>
  <si>
    <t>SoK112------05</t>
  </si>
  <si>
    <t>SoK113------05</t>
  </si>
  <si>
    <t>SoK114------05</t>
  </si>
  <si>
    <t>SoK115------05</t>
  </si>
  <si>
    <t>SoK116------05</t>
  </si>
  <si>
    <t>SoK117------05</t>
  </si>
  <si>
    <t>SoK111------06</t>
  </si>
  <si>
    <t>SoK112------06</t>
  </si>
  <si>
    <t>SoK113------06</t>
  </si>
  <si>
    <t>SoK114------06</t>
  </si>
  <si>
    <t>SoK115------06</t>
  </si>
  <si>
    <t>SoK116------06</t>
  </si>
  <si>
    <t>SoK117------06</t>
  </si>
  <si>
    <t>SoK111------07</t>
  </si>
  <si>
    <t>SoK112------07</t>
  </si>
  <si>
    <t>SoK113------07</t>
  </si>
  <si>
    <t>SoK114------07</t>
  </si>
  <si>
    <r>
      <t>Biogas</t>
    </r>
    <r>
      <rPr>
        <sz val="8"/>
        <rFont val="Arial"/>
        <family val="2"/>
      </rPr>
      <t>: Gülle- + Landsch.pfl.-B. 150 bis 500 kW</t>
    </r>
  </si>
  <si>
    <r>
      <t>Biogas</t>
    </r>
    <r>
      <rPr>
        <sz val="8"/>
        <rFont val="Arial"/>
        <family val="2"/>
      </rPr>
      <t>: Formaldehyd-Bonus bis 500 kW</t>
    </r>
  </si>
  <si>
    <r>
      <t>Gasaufbereitg., 0-350 Normm</t>
    </r>
    <r>
      <rPr>
        <vertAlign val="superscript"/>
        <sz val="8"/>
        <rFont val="Arial"/>
        <family val="2"/>
      </rPr>
      <t>3</t>
    </r>
    <r>
      <rPr>
        <sz val="8"/>
        <rFont val="Arial"/>
        <family val="2"/>
      </rPr>
      <t xml:space="preserve"> (bis 5 MW)</t>
    </r>
  </si>
  <si>
    <r>
      <t>Gasaufbereitg., 350-700 Normm</t>
    </r>
    <r>
      <rPr>
        <vertAlign val="superscript"/>
        <sz val="8"/>
        <rFont val="Arial"/>
        <family val="2"/>
      </rPr>
      <t>3</t>
    </r>
    <r>
      <rPr>
        <sz val="8"/>
        <rFont val="Arial"/>
        <family val="2"/>
      </rPr>
      <t xml:space="preserve"> (bis 5 MW)</t>
    </r>
  </si>
  <si>
    <t>Innovat. Anlagentechnik (bis 5 MW)</t>
  </si>
  <si>
    <t>Grundvergütung 7,79 ct (§ 27 Abs. 1 Nr. 4 EEG 2009) für Lstg.anteil 5-20 MW nicht ohne KWK-Bonus möglich, siehe § 27 Abs. 3 Nr. 1 EEG 2009</t>
  </si>
  <si>
    <t>NaWaRo-Bonusmöglichkeiten nach EEG 2009</t>
  </si>
  <si>
    <t>Technologie-Bonusmöglichkeiten nach EEG 2009</t>
  </si>
  <si>
    <r>
      <t xml:space="preserve">NaWaRo-Bonusmöglichkeiten </t>
    </r>
    <r>
      <rPr>
        <sz val="9"/>
        <rFont val="Arial"/>
        <family val="2"/>
      </rPr>
      <t>(nach EEG 2009, da Anl. 2 für Bestandsanl. gilt)</t>
    </r>
  </si>
  <si>
    <r>
      <t xml:space="preserve">Weitere Nawaro-Bonusregeln G, M1, M2, L, X1, X2: </t>
    </r>
    <r>
      <rPr>
        <sz val="10"/>
        <rFont val="Arial"/>
        <family val="2"/>
      </rPr>
      <t>siehe Erläuterungen unten für Inbetriebnahmejahre ab 2009.</t>
    </r>
  </si>
  <si>
    <t>So-vNNe--SpE03</t>
  </si>
  <si>
    <t>So-vNNe--SpE04</t>
  </si>
  <si>
    <t>So-vNNe--SpE05</t>
  </si>
  <si>
    <t>So-vNNe--SpE06</t>
  </si>
  <si>
    <t>0,150-0,5 MW, Bonusregeln t1, L</t>
  </si>
  <si>
    <t>0,150-0,5 MW, Bonusregeln t1, L, i</t>
  </si>
  <si>
    <t>Altholz-Bonus 500 kW bis 5 MW</t>
  </si>
  <si>
    <t>0,150-0,5 MW, Bonusregeln t2, L</t>
  </si>
  <si>
    <t>0,150-0,5 MW, Bonusregeln t2, L, i</t>
  </si>
  <si>
    <t>0,150-0,5 MW, Bonusregeln t3, L</t>
  </si>
  <si>
    <t>0,150-0,5 MW, Bonusregeln t3, L, i</t>
  </si>
  <si>
    <t>L</t>
  </si>
  <si>
    <r>
      <t>n</t>
    </r>
    <r>
      <rPr>
        <vertAlign val="subscript"/>
        <sz val="11"/>
        <color indexed="8"/>
        <rFont val="Arial"/>
        <family val="2"/>
      </rPr>
      <t>2009</t>
    </r>
    <r>
      <rPr>
        <sz val="11"/>
        <color indexed="8"/>
        <rFont val="Arial"/>
        <family val="2"/>
      </rPr>
      <t xml:space="preserve"> =</t>
    </r>
  </si>
  <si>
    <r>
      <t>W</t>
    </r>
    <r>
      <rPr>
        <vertAlign val="subscript"/>
        <sz val="11"/>
        <color indexed="8"/>
        <rFont val="Arial"/>
        <family val="2"/>
      </rPr>
      <t>2009</t>
    </r>
    <r>
      <rPr>
        <sz val="11"/>
        <color indexed="8"/>
        <rFont val="Arial"/>
        <family val="2"/>
      </rPr>
      <t xml:space="preserve"> =</t>
    </r>
  </si>
  <si>
    <r>
      <t>P</t>
    </r>
    <r>
      <rPr>
        <vertAlign val="subscript"/>
        <sz val="11"/>
        <color indexed="8"/>
        <rFont val="Arial"/>
        <family val="2"/>
      </rPr>
      <t>B,2009</t>
    </r>
    <r>
      <rPr>
        <sz val="11"/>
        <color indexed="8"/>
        <rFont val="Arial"/>
        <family val="2"/>
      </rPr>
      <t xml:space="preserve"> =</t>
    </r>
  </si>
  <si>
    <t>150 / 375 = 40 % der erzeugten Strommenge</t>
  </si>
  <si>
    <t>elektrische Leistung: 400 kW</t>
  </si>
  <si>
    <r>
      <t>n</t>
    </r>
    <r>
      <rPr>
        <vertAlign val="subscript"/>
        <sz val="11"/>
        <color indexed="8"/>
        <rFont val="Arial"/>
        <family val="2"/>
      </rPr>
      <t>2009,vorEEGErzeugung</t>
    </r>
    <r>
      <rPr>
        <sz val="11"/>
        <color indexed="8"/>
        <rFont val="Arial"/>
        <family val="2"/>
      </rPr>
      <t xml:space="preserve"> =</t>
    </r>
  </si>
  <si>
    <r>
      <t>n</t>
    </r>
    <r>
      <rPr>
        <vertAlign val="subscript"/>
        <sz val="11"/>
        <color indexed="8"/>
        <rFont val="Arial"/>
        <family val="2"/>
      </rPr>
      <t>2009,nachStillegung</t>
    </r>
    <r>
      <rPr>
        <sz val="11"/>
        <color indexed="8"/>
        <rFont val="Arial"/>
        <family val="2"/>
      </rPr>
      <t xml:space="preserve"> =</t>
    </r>
  </si>
  <si>
    <t>Anzahl der Stunden von Jahresbeginn 2009 bis zur erstmaligen</t>
  </si>
  <si>
    <t>Erzeugung von Strom aus Erneuerbaren Energien</t>
  </si>
  <si>
    <t>Stilllegung bis zum Ende des Kalenderjahres 2009:</t>
  </si>
  <si>
    <t xml:space="preserve">Anzahl der Stunden im Jahr 2009 von der endgültigen </t>
  </si>
  <si>
    <r>
      <t>Formel für P</t>
    </r>
    <r>
      <rPr>
        <vertAlign val="subscript"/>
        <sz val="11"/>
        <color indexed="8"/>
        <rFont val="Arial"/>
        <family val="2"/>
      </rPr>
      <t>B,i</t>
    </r>
    <r>
      <rPr>
        <sz val="11"/>
        <color indexed="8"/>
        <rFont val="Arial"/>
        <family val="2"/>
      </rPr>
      <t xml:space="preserve"> allgemein (vgl. EEG-Verfahrensbeschreibung):</t>
    </r>
  </si>
  <si>
    <t>40% * 70% =</t>
  </si>
  <si>
    <t>40% * 30% =</t>
  </si>
  <si>
    <t>60% * 70% =</t>
  </si>
  <si>
    <t>60% * 30% =</t>
  </si>
  <si>
    <t>28% von 3.285.000 =</t>
  </si>
  <si>
    <t>12% von 3.285.000 =</t>
  </si>
  <si>
    <t>SoK115------07</t>
  </si>
  <si>
    <t>SoK116------07</t>
  </si>
  <si>
    <t>SoK117------07</t>
  </si>
  <si>
    <t>SoK111------08</t>
  </si>
  <si>
    <t>SoK112------08</t>
  </si>
  <si>
    <t>SoK113------08</t>
  </si>
  <si>
    <t>SoK114------08</t>
  </si>
  <si>
    <t>SoK115------08</t>
  </si>
  <si>
    <t>SoK116------08</t>
  </si>
  <si>
    <t>SoK117------08</t>
  </si>
  <si>
    <t>Wa-vNNe--SpE01</t>
  </si>
  <si>
    <t>vNNe, Spannungsebene: HöS</t>
  </si>
  <si>
    <t>Wa-vNNe--SpE02</t>
  </si>
  <si>
    <t>vNNe, Spannungsebene: Hös/HS</t>
  </si>
  <si>
    <t>nach §8 (4) EEG 2004 (bis 5 MW)</t>
  </si>
  <si>
    <t>nach §8 (3) EEG 2004 (ohne Lstg-Grenze)</t>
  </si>
  <si>
    <t>"b"</t>
  </si>
  <si>
    <t>Technologie-Bonus</t>
  </si>
  <si>
    <t>BiK51aK09y--03</t>
  </si>
  <si>
    <t>BiK51aa1y---03</t>
  </si>
  <si>
    <t>BiK51aa1KA3y03</t>
  </si>
  <si>
    <t>BiK51aa1K09y03</t>
  </si>
  <si>
    <t>BiK51ny-----02</t>
  </si>
  <si>
    <t>BiK51nKA3y--02</t>
  </si>
  <si>
    <t>BiK51nK09y--02</t>
  </si>
  <si>
    <t>BiK51na1y---02</t>
  </si>
  <si>
    <t>BiK51na1KA3y02</t>
  </si>
  <si>
    <t>BiK51na1K09y02</t>
  </si>
  <si>
    <t>BiK51ay-----02</t>
  </si>
  <si>
    <t>BiK51aKA3y--02</t>
  </si>
  <si>
    <t>BiK51aK09y--02</t>
  </si>
  <si>
    <t>BiK51aa1y---02</t>
  </si>
  <si>
    <t>BiK51aa1KA3y02</t>
  </si>
  <si>
    <t>BiK51aa1K09y02</t>
  </si>
  <si>
    <t>BiK51ny-----01</t>
  </si>
  <si>
    <t>BiK51nKA3y--01</t>
  </si>
  <si>
    <t>0,150-0,5 MW, Bonusregeln t3, G, K</t>
  </si>
  <si>
    <t>0,150-0,5 MW, Bonusregeln t3, L, K</t>
  </si>
  <si>
    <t>0,150-0,5 MW, Bonusregeln t2, G</t>
  </si>
  <si>
    <t>0,150-0,5 MW, Bonusregeln t2, G, i</t>
  </si>
  <si>
    <t>0,150-0,5 MW, Bonusregeln t3, a1</t>
  </si>
  <si>
    <t>0,5-5 MW, Bonusregeln t3, a2</t>
  </si>
  <si>
    <t>0,150-0,5 MW, Bonusregeln t3, G</t>
  </si>
  <si>
    <t xml:space="preserve"> 100 KW-1 MW</t>
  </si>
  <si>
    <t>Nawarobonus_allgemein</t>
  </si>
  <si>
    <t>0-0,150 MW; Gülleanteil &gt; 30 %</t>
  </si>
  <si>
    <t>0,150-0,5 MW; Gülleanteil &gt; 30 %</t>
  </si>
  <si>
    <t>0-0,150 MW; Landschaftspflege; Gülleanteil &gt; 30 %</t>
  </si>
  <si>
    <t>BiK81GK13---05</t>
  </si>
  <si>
    <t>BiK82GK13---05</t>
  </si>
  <si>
    <t>BiK83a2K13--05</t>
  </si>
  <si>
    <t>Vergütungsberechnung für Windenergieanlagen onshore Repowering mit Inbetriebnahme ab 01.01.2009</t>
  </si>
  <si>
    <t>WrK300------10</t>
  </si>
  <si>
    <t>WrK300S-----10</t>
  </si>
  <si>
    <t>WrK301------10</t>
  </si>
  <si>
    <t>WfK310------10</t>
  </si>
  <si>
    <t>BiK83b------05</t>
  </si>
  <si>
    <t>BiK83bKWK---05</t>
  </si>
  <si>
    <t>BiK83a2b----05</t>
  </si>
  <si>
    <t>BiK83a2bKWK-05</t>
  </si>
  <si>
    <t>BiK83a3b----05</t>
  </si>
  <si>
    <t>BiK83a3bKWK-05</t>
  </si>
  <si>
    <t>BiK84-------05</t>
  </si>
  <si>
    <t>BiK84KWK----05</t>
  </si>
  <si>
    <t>BiK81-------06</t>
  </si>
  <si>
    <t>BiK81KWK----06</t>
  </si>
  <si>
    <t>BiK81a1-----06</t>
  </si>
  <si>
    <t>BiK81a1KWK--06</t>
  </si>
  <si>
    <t>BiK81b------06</t>
  </si>
  <si>
    <t>BiK81bKWK---06</t>
  </si>
  <si>
    <t>BiK81a1b----06</t>
  </si>
  <si>
    <t>BiK81a1bKWK-06</t>
  </si>
  <si>
    <t>BiK82-------06</t>
  </si>
  <si>
    <t>BiK82KWK----06</t>
  </si>
  <si>
    <t>BiK82a1-----06</t>
  </si>
  <si>
    <t>BiK82a1KWK--06</t>
  </si>
  <si>
    <t>BiK82b------06</t>
  </si>
  <si>
    <t>BiK82bKWK---06</t>
  </si>
  <si>
    <t>BiK81bK09---07</t>
  </si>
  <si>
    <t>BiK81a1bK09-07</t>
  </si>
  <si>
    <t>BiK82K09----07</t>
  </si>
  <si>
    <t>BiK82a1K09--07</t>
  </si>
  <si>
    <t>BiK82bK09---07</t>
  </si>
  <si>
    <t>BiK82a1bK09-07</t>
  </si>
  <si>
    <t>BiK83K09----07</t>
  </si>
  <si>
    <t>BiK83a2K09--07</t>
  </si>
  <si>
    <t>BiK83a3K09--07</t>
  </si>
  <si>
    <t>BiK83bK09---07</t>
  </si>
  <si>
    <t>BiK83a2bK09-07</t>
  </si>
  <si>
    <t>BiK83a3bK09-07</t>
  </si>
  <si>
    <t>BiK84K09----07</t>
  </si>
  <si>
    <t>BiK85K09----07</t>
  </si>
  <si>
    <t>BiK81K09----08</t>
  </si>
  <si>
    <t>BiK81a1K09--08</t>
  </si>
  <si>
    <t>BiK81bK09---08</t>
  </si>
  <si>
    <t>BiK81a1bK09-08</t>
  </si>
  <si>
    <t>BiK82K09----08</t>
  </si>
  <si>
    <t>Wa-vNNe--SpE03</t>
  </si>
  <si>
    <t>vNNe, Spannungsebene: HS</t>
  </si>
  <si>
    <t>Wa-vNNe--SpE04</t>
  </si>
  <si>
    <t>vNNe, Spannungsebene: HS/MS</t>
  </si>
  <si>
    <t>Wa-vNNe--SpE05</t>
  </si>
  <si>
    <t>vNNe, Spannungsebene: MS</t>
  </si>
  <si>
    <t>Wa-vNNe--SpE06</t>
  </si>
  <si>
    <t>vNNe, Spannungsebene: MS/NS</t>
  </si>
  <si>
    <t>Wa-vNNe--SpE07</t>
  </si>
  <si>
    <t>vNNe, Spannungsebene: NS</t>
  </si>
  <si>
    <t>Bi-vNNe--SpE01</t>
  </si>
  <si>
    <t>Bi-vNNe--SpE02</t>
  </si>
  <si>
    <t>Bi-vNNe--SpE03</t>
  </si>
  <si>
    <t>Bi-vNNe--SpE04</t>
  </si>
  <si>
    <t>Bi-vNNe--SpE05</t>
  </si>
  <si>
    <t>Deponiegas, Klärgas, Grubengas (nur t3), Biomasse</t>
  </si>
  <si>
    <t>&lt; 5 MW, 0-350 Normkubikmeter pro Std.</t>
  </si>
  <si>
    <t>&lt; 5 MW, 350-700 Normkubikmeter pro Std.</t>
  </si>
  <si>
    <t>WiK101------07</t>
  </si>
  <si>
    <t>WiK102------07</t>
  </si>
  <si>
    <t>WiK103------07</t>
  </si>
  <si>
    <t>WiK104------07</t>
  </si>
  <si>
    <t>Onshore, Endvergütung, Bonusregel S</t>
  </si>
  <si>
    <t>BiK81M1KWKy-08</t>
  </si>
  <si>
    <t>BiK81M1y----08</t>
  </si>
  <si>
    <t>BiK81M1KA3y-08</t>
  </si>
  <si>
    <t>BiK81M1K09y-08</t>
  </si>
  <si>
    <t>BiK81L------08</t>
  </si>
  <si>
    <t>BiK81LKWK---08</t>
  </si>
  <si>
    <t>BiK81LKA3---08</t>
  </si>
  <si>
    <t>BiK81LK09---08</t>
  </si>
  <si>
    <t>BiK2771----MPM</t>
  </si>
  <si>
    <t>§ 39 Abs. 1 Nr. 1 Halbsatz 2 EEG 2012 n.F.: Soweit die Strommenge, die nach § 33 Abs. 1 EEG 2012 dem Grunde nach in dem Kalenderjahr vergütungsfähig ist (Marktintegrationsmodell), überschritten worden ist, dürfen diese Strommengen nicht bei der Berechnung der Anteile nach § 39 Abs. 1 Nr. 1 Halbsatz 1 berücksichtigt werden.
Diese Strommengen fließen in die Berechnung der vNNE ein, die an den ÜNB zu zahlen sind, in den bundesweiten Belastungsausgleich einfließen und so die EEG-Umlage reduzieren.</t>
  </si>
  <si>
    <t>§ 39 Abs. 2 Satz 2 EEG 2012: Verstößt ein Anlagenbetreiber gegen § 33c Abs. 1 und 2 (Pflichten bei der Direktvermarktung), § 33d Abs. 1 und 2 (Wechsel in Grünstom-Direktvermarktung oder zwischen Grünstom- und anderen Formen der Direktvermarktung) oder § 33f Abs. 1 EEG 2012 (Anteilige Direktvermarktung), darf die im gesamten Kalendermonat nach § 33b Nr. 2 EEG 2012 (Grünstom-Direktvermarktung) direkt vermarktete und erzeugte Strommenge nicht bei der Berechnung der Strommengen nach § 39 Abs. 1 Nr. 1, Buchstaben a und b EEG 2012 angerechnet werden.
Diese Nichtanrechenbarkeit gilt für den gesamten Kalendermonat, in dem dieser Verstoß vorliegt.</t>
  </si>
  <si>
    <t>§ 56 Abs. 4 Nr. 1 EEG 2012: Bei einem Verstoß gegen das Doppelvermarktungsverbot verringert sich der Vergütungsanspruch nach § 16 EEG 2012 auf den tatsächlichen Monatsmittelwert des energieträgerspezifischen Marktwerts (MW) für diejenige Strommenge, die vom Netzbetreiber abgenommen wurde (Halbsatz 1), für sonstige Strommengen verfällt der Vergütungsanspruch (Halbsatz 2).
Die Strommenge fließt in die Berechnung der Bemessungsleistung ein, im Fall der Abnahme des Strommenge durch den Netzbetreiber (Halbsatz 1) auch in die Berechnung der vNNE und den bundesweiten Belastungsausgleich.
Diese Verringerung gilt bis zum Ablauf des sechsten Kalendermonats, der auf die Beendigung des Verstoßes gegen § 56 Abs. 1 bis 3 EEG 2012 folgt.</t>
  </si>
  <si>
    <t>§ 56 Abs. 4 Nr. 2 EEG 2012: Bei einem Verstoß gegen das Doppelvermarktungsverbot entfällt der Anspruch auf die Marktprämie.
Die Strommenge fließt in die Berechnung der Bemessungsleistung und der vNNE ein, nicht jedoch in den bundesweiten Belastungsausgleich.
Der Entfall gilt bis zum Ablauf des sechsten Kalendermonats, der auf die Beendigung des Verstoßes gegen § 56 Abs. 1 bis 3 EEG 2012 folgt.</t>
  </si>
  <si>
    <t>§ 56 Abs. 4 Nr. 3 EEG 2012: Bei einem Verstoß gegen das Doppelvermarktungsverbot darf die direkt vermarktete und erzeugte Strommenge nicht bei der Berechnung der Strommengen nach § 39 Abs. 1 Nr. 1, Buchstaben a und b EEG 2012 angerechnet werden.
Die Strommenge fließt in die Berechnung der Bemessungsleistung und der vNNE ein, nicht jedoch in den bundesweiten Belastungsausgleich.
Diese Nichtanrechenbarkeit gilt bis zum Ablauf des sechsten Kalendermonats, der auf die Beendigung des Verstoßes gegen § 56 Abs. 1 bis 3 EEG 2012 folgt.</t>
  </si>
  <si>
    <t>§ 66 Abs. 1 Nr. 14 EEG 2012: Für jeden Kalendermonat, den ein Anlagenbetreiber nicht den Anforderungen der Systemstabilitätsverordnung (z. B. Umrüstung 50,2 Hz)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pro Kalendermonat.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direkt vermarkteten Strommengen nicht ein. Daher sind diese Strommengen getrennt auszuweisen.</t>
  </si>
  <si>
    <t xml:space="preserve">§ 66 Abs. 21 EEG 2012: Gemäß § 66 Abs. 21 EEG 2012 wird der KWK-Bonus für Biomasse-Anlagen um den Wert kostenlos zugeteilter Berechtigungen nach § 9 Treibhausgas-Emissionshandelsgesetz (TEHG) gekürzt, um eine Doppelförderung durch KWK-Bonus und kostenloser Berechtigungen zu vermeiden und den Anlagenbetreiber kostenneutral zu stellen. Verzichtet der Anlagenbetreiber auf die Antragstellung, werden keine Berechtigungen zugeteilt und es erfolgt kein Abzug.
Der Anlagenbetreiber hat dem Anschlussnetzbetreiber die Anzahl der für das Leistungsjahr kostenlos zugeteilten Berechtigungen bis zum 28. Februar des Folgejahres zu melden. Diese Anzahl ist mit dem Wert jeder Berechtigung im jeweiligen Leistungsjahr zu multiplizieren und mit negativem Vorzeichen als Vergütung dieser Kategorie zu melden. Der Wert der Berechtigung wird vom BMU zum 30. September des Leistungsjahres auf der Basis des volumengewichteten durchschnittlichen Zuschlagswertes der Berechtigungen für die Versteigerungen im zweiten Quartal ermittelt und im elektronischen Bundesanzeiger veröffentlicht.
Für diese Kategorie ist keine Strommenge zu melden. Aufgrund des negativen Vorzeichens der Vergütung reduziert sich die EEG-Vergütung der Anlage, die mit den gewohnten Biomasse-Kategorien einschließlich KWK-Bonus zu melden ist. Die Kategorie wird ausschließlich im Rahmen der Jahresmeldung verwendet. Es erfolgen keine monatlichen Abschläge.
Die kostenlosen Berechtigungen werden auf Antrag des Anlagenbetreibers erstmals für das Jahr 2013 zugeteilt. Diese Kategorie wird damit erstmals für die EEG-Jahresmeldung 2013 verwendet. </t>
  </si>
  <si>
    <t>Diese Vergütungskategorientabelle wird durch die vier deutschen Übertragungsnetzbetreiber (ÜNB) gemeinsam erstellt und bei Bedarf aktualisiert.</t>
  </si>
  <si>
    <t>Die hier festgelegten Kategorien dienen der Datenmeldung der ÜNB an die BNetzA und der Erfüllung der Veröffentlichungspflichten der ÜNB sowie der monatlichen und jährlichen Datenmeldung der abnahme- und vergütungspflichigen Netzbetreiber (avNB) an die ÜNB. Die Beschreibungen der Kategorien gewährleisten einerseits die korrekte Auswahl der Kategorie, andererseits versetzen sie die Öffentlichkeit in die Lage, die Transparenzveröffentlichungen zu verstehen. Die Kenntnis aller EEG-Versionen und -Novellen in ihren Grundzügen muss vorausgesetzt werden.</t>
  </si>
  <si>
    <t>Sollten hier ausgewiesene Vergütungssätze zu hoch sein, erwächst weder für den Anlagenbetreiber noch den Anschluss-Netzbetreiber ein Rechtsanspruch oder Vertrauensschutz auf eine höhere als die gesetzliche Vergütung. Zuviel ausgezahlte Vergütungen sind entsprechend zurückzuerstatten.</t>
  </si>
  <si>
    <t>Auch wenn entsprechend der Gesetzesbegründung zum § 26 EEG 2014 keine Zweifel bestehen, dass das Abschmelzen der Vermarktungskosten wie auch die Rundungseffekte nicht der Absicht des Gesetzgebers entspechen, wird in dieser Tabelle die Berechnung gemäß Wortlaut des § 37 EEG 2014 vorgenommen. Damit wird der Vorgehensweise der BNetzA gefolgt (vgl. Veröffentlichung der EEG-Vergütungssätze für August und September 2014 für Solar-Anlagen)</t>
  </si>
  <si>
    <t>Mit dem EEG 2014 werden neue Vergütungs- und Sanktionstatbestände geschaffen, die eine Erweiterung um zusätzliche Vergütungskategorien erfordern. Die Vergütung wird für die einzelnen Energieträger in den Paragraphen § 40 (Wasserkraft) bis § 55 (Solar-Freiflächen) geregelt. Diese Paragraphen liegen in einem bislang nicht genutzten Bereich, so dass die Systematik der Katgorienbezeichnung mit dem Paragraphen an der Stelle 4 und 5 beibehalten werden kann, ohne zu Überschneidungen zu führen. Die neuen Kategorien sind innerhalb der Tabelle jeweils unterhalb der bisherigen 2014er Kategorien des gleichen Energieträgers einsortiert. Kategorien für Tatbestände, die es auch schon unter dem EEG 2012 gab (z. B. Direktvermarktung oder nicht vergüteter Selbstverbrauch), bleiben auch weiterhin verwendbar, auch wenn die Paragraphennummern im EEG 2014 abweichend sind.</t>
  </si>
  <si>
    <t>Darüber hinaus sind aber grundsätzliche Änderungen der Tabelle aufgrund der neu eingeführten Unterscheidung zwischen anzulegender Wert (§ 23 EEG 2014), Einspeisevergütung (§ 37 EEG 2014) und Ausfallvergütung (§ 38 EEG 2014) erforderlich, die sich unter anderem aus der getrennt zu erfolgenden Rundung auf zwei Nachkommastellen ergeben. Daher werden in dieser Tabelle alle drei Werte getrennt ausgewiesen.</t>
  </si>
  <si>
    <t xml:space="preserve">Wie bei früheren EEG-Novellen beinhaltet auch das EEG 2014 im § 100 Abs. 3 einen Vertrauensschutztatbestand für Anlagen, die zwischen 01.08.2014 und 31.12.2014 in Betrieb genommen worden sind. Diese sind noch nach dem EEG 2012 zu vergüten, wenn bestimmte Bedingungen eingehalten worden sind, die jedoch sehr allgemein gehalten sind. </t>
  </si>
  <si>
    <t>BiK81GbK13y-04</t>
  </si>
  <si>
    <t>BiK82GbK13y-04</t>
  </si>
  <si>
    <t>BiK83a2bK13-04</t>
  </si>
  <si>
    <t>BiK84K13----04</t>
  </si>
  <si>
    <t xml:space="preserve">Die summierte Strommenge von 120.000 kWh entspricht der tatsächlichen Netzeinspeisung. </t>
  </si>
  <si>
    <t>Diese Strommenge ist bei der Berechnung der vermiedenen Netzentgelte zugrunde zu legen.</t>
  </si>
  <si>
    <t>BiK83a2K09--08</t>
  </si>
  <si>
    <t>BiK83a3K09--08</t>
  </si>
  <si>
    <t>BiK83bK09---08</t>
  </si>
  <si>
    <t>BiK83a2bK09-08</t>
  </si>
  <si>
    <t>BiK83a3bK09-08</t>
  </si>
  <si>
    <t>BiK84K09----08</t>
  </si>
  <si>
    <t>BiK85K09----08</t>
  </si>
  <si>
    <t>BiK81G------08</t>
  </si>
  <si>
    <t>BiK81GKWK---08</t>
  </si>
  <si>
    <t>BiK81GKA3---08</t>
  </si>
  <si>
    <t>BiK81GK09---08</t>
  </si>
  <si>
    <t>BiK81a1KA3y-06</t>
  </si>
  <si>
    <t>BiK81a1K09y-06</t>
  </si>
  <si>
    <t>BiK81by-----06</t>
  </si>
  <si>
    <t>BiK81bKWKy--06</t>
  </si>
  <si>
    <t>BiK81bKA3y--06</t>
  </si>
  <si>
    <t>BiK81bK09y--06</t>
  </si>
  <si>
    <t>BiK81a1by---06</t>
  </si>
  <si>
    <t>BiK81a1bKWKy06</t>
  </si>
  <si>
    <t>BiK81a1bKA3y06</t>
  </si>
  <si>
    <t>BiK81a1bK09y06</t>
  </si>
  <si>
    <t>BiK82y------06</t>
  </si>
  <si>
    <t>BiK82KWKy---06</t>
  </si>
  <si>
    <t>BiK82KA3y---06</t>
  </si>
  <si>
    <t>BiK82K09y---06</t>
  </si>
  <si>
    <t>BiK82a1y----06</t>
  </si>
  <si>
    <t>BiK82a1KWKy-06</t>
  </si>
  <si>
    <t>BiK82a1KA3y-06</t>
  </si>
  <si>
    <t>BiK82a1K09y-06</t>
  </si>
  <si>
    <t>BiK82by-----06</t>
  </si>
  <si>
    <t>BiK82bKWKy--06</t>
  </si>
  <si>
    <t>BiK82bKA3y--06</t>
  </si>
  <si>
    <t>BiK82bK09y--06</t>
  </si>
  <si>
    <t>BiK82a1by---06</t>
  </si>
  <si>
    <t>BiK82a1bKWKy06</t>
  </si>
  <si>
    <t>BiK82L------04</t>
  </si>
  <si>
    <t>BiK82LKWK---04</t>
  </si>
  <si>
    <t>BiK82LKA3---04</t>
  </si>
  <si>
    <t>BiK82LK09---04</t>
  </si>
  <si>
    <t>BiK82Ly-----04</t>
  </si>
  <si>
    <t>BiK82LKWKy--04</t>
  </si>
  <si>
    <t>BiK82LKA3y--04</t>
  </si>
  <si>
    <t>BiK82LK09y--04</t>
  </si>
  <si>
    <t>BiK82X2-----04</t>
  </si>
  <si>
    <t>BiK82X2KWK--04</t>
  </si>
  <si>
    <t>BiK82X2KA3--04</t>
  </si>
  <si>
    <t>BiK82X2K09--04</t>
  </si>
  <si>
    <t>BiK82-------04</t>
  </si>
  <si>
    <t xml:space="preserve"> 0,15-0,5 MW</t>
  </si>
  <si>
    <t>BiK82KWK----04</t>
  </si>
  <si>
    <t>BiK82a1-----04</t>
  </si>
  <si>
    <t>BiK82a1KWK--04</t>
  </si>
  <si>
    <t xml:space="preserve">Abzug nach § 33 (2) Nr. 1;  Eigenverbrauchs-Vergütung für diesen Anteil: </t>
  </si>
  <si>
    <t xml:space="preserve">Abzug nach § 33 (2) Nr. 2;  Eigenverbrauchs-Vergütung für diesen Anteil: </t>
  </si>
  <si>
    <t>erstmals KWK in 2009</t>
  </si>
  <si>
    <t>"KWK"</t>
  </si>
  <si>
    <t>"KA3"</t>
  </si>
  <si>
    <t>"K09"</t>
  </si>
  <si>
    <t>x</t>
  </si>
  <si>
    <t>"y"</t>
  </si>
  <si>
    <t>"a1"</t>
  </si>
  <si>
    <t>"a2"</t>
  </si>
  <si>
    <t>allg. Nawaro-Bonus bis 500 kW</t>
  </si>
  <si>
    <t>"ah"</t>
  </si>
  <si>
    <t>"G"</t>
  </si>
  <si>
    <t>"M1"="G"+4ct/kWh</t>
  </si>
  <si>
    <t>"M2"="G"+1ct/kWh</t>
  </si>
  <si>
    <t>"L"="G"+2ct/kWh</t>
  </si>
  <si>
    <t>"X2"= "M2"+"L"</t>
  </si>
  <si>
    <t>"X1"= "M1"+"L"</t>
  </si>
  <si>
    <t>allg. Nawaro-Bonus 500 kW bis 5 MW</t>
  </si>
  <si>
    <t>"t2"</t>
  </si>
  <si>
    <t>"t3"</t>
  </si>
  <si>
    <t>"t1"</t>
  </si>
  <si>
    <t>"K"</t>
  </si>
  <si>
    <t>"i"</t>
  </si>
  <si>
    <t>Vergütungsberechnung für Anlagen mit Inbetriebnahmejahr 2009</t>
  </si>
  <si>
    <t>BiK270t1Li--09</t>
  </si>
  <si>
    <t>BiK270t1LiK-09</t>
  </si>
  <si>
    <t>BiK271t1Li--09</t>
  </si>
  <si>
    <t>BiK271t1LiK-09</t>
  </si>
  <si>
    <t>BiK270t1X1i-09</t>
  </si>
  <si>
    <t>BiK270t1X1iK09</t>
  </si>
  <si>
    <t>BiK271t1X2i-09</t>
  </si>
  <si>
    <t>BiK271t1X2iK09</t>
  </si>
  <si>
    <t>BiK270t2a1--09</t>
  </si>
  <si>
    <t>BiK270t2a1K-09</t>
  </si>
  <si>
    <t>BiK271t2a1--09</t>
  </si>
  <si>
    <t>BiK271t2a1K-09</t>
  </si>
  <si>
    <t>BiK272t2a2--09</t>
  </si>
  <si>
    <t>BiK272t2a2K-09</t>
  </si>
  <si>
    <t>BiK272t2ah--09</t>
  </si>
  <si>
    <t>BiK272t2ahK-09</t>
  </si>
  <si>
    <t>BiK270t2G---09</t>
  </si>
  <si>
    <t>Selbstverbrauch</t>
  </si>
  <si>
    <t>SgK171-SV----0</t>
  </si>
  <si>
    <t>BiK81GKWK---05</t>
  </si>
  <si>
    <t>BiK81GKA3---05</t>
  </si>
  <si>
    <t>BiK81GK09---05</t>
  </si>
  <si>
    <t>BiK81Gy-----05</t>
  </si>
  <si>
    <t>BiK81GKWKy--05</t>
  </si>
  <si>
    <t>BiK81Gb-----08</t>
  </si>
  <si>
    <t>BiK81GbKWK--08</t>
  </si>
  <si>
    <t>BiK81GbKA3--08</t>
  </si>
  <si>
    <t>BiK81GbK09--08</t>
  </si>
  <si>
    <t>BiK81Gby----08</t>
  </si>
  <si>
    <t>BiK81GbKWKy-08</t>
  </si>
  <si>
    <t>BiK81GbKA3y-08</t>
  </si>
  <si>
    <t>BiK81GbK09y-08</t>
  </si>
  <si>
    <t>Für diese Strommengen wird keine EEG-Vergütung an den Anlagenbetreiber gezahlt.</t>
  </si>
  <si>
    <t>WaK33a2-----SV</t>
  </si>
  <si>
    <t>Strommenge ohne EEG-Vergütung, durch Anlagenbetreiber oder durch Dritte verbraucht</t>
  </si>
  <si>
    <t>BiK33a2-----SV</t>
  </si>
  <si>
    <t>GaK33a2-----SV</t>
  </si>
  <si>
    <t>DeK33a2-----SV</t>
  </si>
  <si>
    <t>KlK33a2-----SV</t>
  </si>
  <si>
    <t>GrK33a2-----SV</t>
  </si>
  <si>
    <t>GeK33a2-----SV</t>
  </si>
  <si>
    <t>WiK33a2-----SV</t>
  </si>
  <si>
    <t>WnK33a2-----SV</t>
  </si>
  <si>
    <t>WrK33a2-----SV</t>
  </si>
  <si>
    <t>WfK33a2-----SV</t>
  </si>
  <si>
    <t>SoK33a2-----SV</t>
  </si>
  <si>
    <t>SgK33a2-----SV</t>
  </si>
  <si>
    <t>Die nachfolgenden Kategorien dienen primär der Datenmeldung der ÜNB an die BNetzA und der Transparenz-Veröffentlichungen der ÜNB.</t>
  </si>
  <si>
    <t>BiK51nG-----03</t>
  </si>
  <si>
    <t>BiK51nGKA3--03</t>
  </si>
  <si>
    <t>BiK51nGK09--03</t>
  </si>
  <si>
    <t>BiK51nGy----03</t>
  </si>
  <si>
    <t>BiK51nGKA3y-03</t>
  </si>
  <si>
    <t>BiK51nGK09y-03</t>
  </si>
  <si>
    <t>BiK51nM1----03</t>
  </si>
  <si>
    <t>BiK51nM1KA3-03</t>
  </si>
  <si>
    <t>BiK51nM1K09-03</t>
  </si>
  <si>
    <t>BiK51nM1y---03</t>
  </si>
  <si>
    <t>BiK51nM1KA3y03</t>
  </si>
  <si>
    <t>BiK51nM1K09y03</t>
  </si>
  <si>
    <t>BiK51nL-----03</t>
  </si>
  <si>
    <t>BiK51nLKA3--03</t>
  </si>
  <si>
    <t>BiK51nLK09--03</t>
  </si>
  <si>
    <t>BiK51nLy----03</t>
  </si>
  <si>
    <t>BiK51nLKA3y-03</t>
  </si>
  <si>
    <t>BiK51nLK09y-03</t>
  </si>
  <si>
    <t>BiK51nX1----03</t>
  </si>
  <si>
    <t>BiK51nX1KA3-03</t>
  </si>
  <si>
    <t>BiK51nX1K09-03</t>
  </si>
  <si>
    <t>BiK51nX1y---03</t>
  </si>
  <si>
    <t>BiK51nX1KA3y03</t>
  </si>
  <si>
    <t>BiK51nX1K09y03</t>
  </si>
  <si>
    <t>BiK51aG-----03</t>
  </si>
  <si>
    <t>BiK51aGKA3--03</t>
  </si>
  <si>
    <t>BiK51aGK09--03</t>
  </si>
  <si>
    <t>BiK51aGy----03</t>
  </si>
  <si>
    <t>BiK51aGKA3y-03</t>
  </si>
  <si>
    <t>BiK51aGK09y-03</t>
  </si>
  <si>
    <t>BiK51aM2----03</t>
  </si>
  <si>
    <t>BiK51aM2KA3-03</t>
  </si>
  <si>
    <t>BiK51aM2K09-03</t>
  </si>
  <si>
    <t xml:space="preserve"> 0-30 KW, Rückvergütung für Selbstverbrauch über 30% der Gesamterzeugung der Anlage</t>
  </si>
  <si>
    <t xml:space="preserve"> 30-100 KW, Rückvergütung für Selbstverbrauch über 30% der Gesamterzeugung der Anlage</t>
  </si>
  <si>
    <t xml:space="preserve"> 100-500 KW, Rückvergütung für Selbstverbrauch über 30% der Gesamterzeugung der Anlage</t>
  </si>
  <si>
    <t>Photovoltaikanlage an oder auf Gebäude, Inbetriebnahme im Juli 2010</t>
  </si>
  <si>
    <t>elektrische Leistung: 200 kW</t>
  </si>
  <si>
    <r>
      <t xml:space="preserve">Der </t>
    </r>
    <r>
      <rPr>
        <b/>
        <sz val="11"/>
        <color indexed="8"/>
        <rFont val="Arial"/>
        <family val="2"/>
      </rPr>
      <t>Leistungszone 0-30 kW</t>
    </r>
    <r>
      <rPr>
        <sz val="11"/>
        <color indexed="8"/>
        <rFont val="Arial"/>
        <family val="2"/>
      </rPr>
      <t xml:space="preserve"> werden zugerechnet:</t>
    </r>
  </si>
  <si>
    <t>Bei Photovoltaikanlagen erfolgt die Aufteilung der Einspeisung auf die Leistungszone entsprechend der installierten Leistung.</t>
  </si>
  <si>
    <t>30 / 200 = 15 % der erzeugten und selbstverbrauchten Strommenge</t>
  </si>
  <si>
    <t xml:space="preserve">Einspeisung ins Netz: </t>
  </si>
  <si>
    <t>30.000 kWh</t>
  </si>
  <si>
    <t>Selbstverbrauch:</t>
  </si>
  <si>
    <t>18.000 kWh</t>
  </si>
  <si>
    <t>12.000 kWh</t>
  </si>
  <si>
    <r>
      <t xml:space="preserve">Der </t>
    </r>
    <r>
      <rPr>
        <b/>
        <sz val="11"/>
        <color indexed="8"/>
        <rFont val="Arial"/>
        <family val="2"/>
      </rPr>
      <t>Leistungszone 30-100 kW</t>
    </r>
    <r>
      <rPr>
        <sz val="11"/>
        <color indexed="8"/>
        <rFont val="Arial"/>
        <family val="2"/>
      </rPr>
      <t xml:space="preserve"> werden zugerechnet:</t>
    </r>
  </si>
  <si>
    <t>70 / 200 = 35 % der erzeugten und selbstverbrauchten Strommenge</t>
  </si>
  <si>
    <t>70.000 kWh</t>
  </si>
  <si>
    <t>42.000 kWh</t>
  </si>
  <si>
    <t>28.000 kWh</t>
  </si>
  <si>
    <r>
      <t xml:space="preserve">Der </t>
    </r>
    <r>
      <rPr>
        <b/>
        <sz val="11"/>
        <color indexed="8"/>
        <rFont val="Arial"/>
        <family val="2"/>
      </rPr>
      <t>Leistungszone 100-1000 kW</t>
    </r>
    <r>
      <rPr>
        <sz val="11"/>
        <color indexed="8"/>
        <rFont val="Arial"/>
        <family val="2"/>
      </rPr>
      <t xml:space="preserve"> werden zugerechnet:</t>
    </r>
  </si>
  <si>
    <t>100.000 kWh</t>
  </si>
  <si>
    <t>60.000 kWh</t>
  </si>
  <si>
    <t>40.000 kWh</t>
  </si>
  <si>
    <t xml:space="preserve">davon </t>
  </si>
  <si>
    <t>9.000 kWh</t>
  </si>
  <si>
    <t>3.000 kWh</t>
  </si>
  <si>
    <t>21.000 kWh</t>
  </si>
  <si>
    <t>7.000 kWh</t>
  </si>
  <si>
    <t>10.000 kWh</t>
  </si>
  <si>
    <t>1. Aufteilung auf die Leistungszonen</t>
  </si>
  <si>
    <t>2. Vergütungskategorien</t>
  </si>
  <si>
    <t>Gesamterzeugung:</t>
  </si>
  <si>
    <t>bis 30 % Gesamterzeugung:</t>
  </si>
  <si>
    <t>über 30 % Gesamterzeugung:</t>
  </si>
  <si>
    <t>Rest: 100 / 200 = 50 % der erzeugten und selbstverbrauchten Strommenge</t>
  </si>
  <si>
    <t>Beschreibung der Vergütungskategorie</t>
  </si>
  <si>
    <t>4. Im Allgemeinen beginnen alle für eine EEG-Anlage zu verwendenden Kategorien (Vergütung, vNNE, Direktvermarktung, Sanktionen) mit</t>
  </si>
  <si>
    <t xml:space="preserve">    Bei Bedarf können auch Kategorien für Direktvermarktung und gekürzte Vergütung (Sanktionen) hinzukommen.</t>
  </si>
  <si>
    <t xml:space="preserve">    auf die einzelnen Vergütungskategorien und damit die durchschnittliche Vergütung jährlich verändern.</t>
  </si>
  <si>
    <t xml:space="preserve">    den gleichen 2 Buchstaben für den Energieträger, z. B. "Sg" für PV-Anlagen an oder auf Gebäuden mit Inbetriebnahme ab 2009.</t>
  </si>
  <si>
    <t xml:space="preserve">relevanter Paragraph aus dem EEG 2012: </t>
  </si>
  <si>
    <t>27a für Vergärung von Bioabfällen (Energieträger Biomasse)</t>
  </si>
  <si>
    <t>27b für Vergärung von Gülle (Energieträger Biomasse)</t>
  </si>
  <si>
    <t xml:space="preserve">Stellen 4-5, teils 4-6 </t>
  </si>
  <si>
    <t xml:space="preserve">17 für Verringerung des Vergütungsanspruchs (alle Energieträger) </t>
  </si>
  <si>
    <t>33b für Direktvermarktung (alle Energieträger)</t>
  </si>
  <si>
    <t>33i für Flexibiltätsprämie (Energieträger Biomasse)</t>
  </si>
  <si>
    <t>Stelle 5 (Wa, Ga, Bi, Ge) bzw. 6 (Wind, Solar)</t>
  </si>
  <si>
    <t xml:space="preserve">Stellen 6 bis 12 (Biomasse) </t>
  </si>
  <si>
    <t xml:space="preserve">Angabe der Vergütungsboni bei Biomasseanlagen </t>
  </si>
  <si>
    <t xml:space="preserve">Stellen 6 bis 7 (Geothermie) </t>
  </si>
  <si>
    <t>Angabe der Vergütungsboni bei Geothermieanlagen :</t>
  </si>
  <si>
    <t xml:space="preserve">Die Bonustypen sind miteinander kombinierbar. </t>
  </si>
  <si>
    <t>Angabe des Systemdienstleistungs-Bonus (SDL-Bonus):</t>
  </si>
  <si>
    <t xml:space="preserve">„S“ bei Vorliegen der Voraussetzungen für den SDL-Bonus </t>
  </si>
  <si>
    <t xml:space="preserve">1. Biomasseanlagen mit Inbetriebnahme bis Ende 2003 </t>
  </si>
  <si>
    <t xml:space="preserve">und alle anderen Anlagen mit Inbetriebnahme bis Juli 2004 </t>
  </si>
  <si>
    <t>und alle anderen Anlagen des Inbetriebnahmezeitraums August 2004 bis Ende 2008</t>
  </si>
  <si>
    <t>2. Biomasseanlagen des Inbetriebnahmezeitraums Januar 2004 bis Ende 2008</t>
  </si>
  <si>
    <t>3. Anlagen mit Vergütung nach EEG 2009</t>
  </si>
  <si>
    <t xml:space="preserve">Energieart:  </t>
  </si>
  <si>
    <t xml:space="preserve">relevanter Paragraph aus dem EEG 2009: </t>
  </si>
  <si>
    <t xml:space="preserve">23 für Wasserkraft </t>
  </si>
  <si>
    <t>Angabe der Vergütungsboni:</t>
  </si>
  <si>
    <t xml:space="preserve">fortlaufende Nummer (i.d.R. entsprechende(r) Satz/ Ziffer innerhalb des Paragraphen zur Angabe der einzelnen Vergütungszone </t>
  </si>
  <si>
    <t>bzw. zur Darstellung weiterer vergütungsrelevanter Angaben:</t>
  </si>
  <si>
    <t>oder anderer vergütungsrelevanter Angaben:</t>
  </si>
  <si>
    <t xml:space="preserve">fortlaufende Nummer (i.d.R. entsprechende(r) Satz/ Ziffer innerhalb des Paragraphen) zur Darstellung der jeweiligen Vergütungszone </t>
  </si>
  <si>
    <t xml:space="preserve">Stelle 7-8 (Biomasse) </t>
  </si>
  <si>
    <t xml:space="preserve">Stellen 7-8 (Geothermie) </t>
  </si>
  <si>
    <t xml:space="preserve">Stelle 7 (Windenergie)  </t>
  </si>
  <si>
    <t xml:space="preserve">Stelle 7 (Windenergie) </t>
  </si>
  <si>
    <t>Energieart (Kürzel vgl. oben)</t>
  </si>
  <si>
    <t>Folgende Grundsätze sind bei der Zuordnung einer EEG-Anlage zu den Vergütungskategorien ist zu bedenken:</t>
  </si>
  <si>
    <t xml:space="preserve">1. Jede Anlage fällt in verschiedene Vergütungskategorien, sobald ihre Bemessungsleistung nach § 18 Abs. 2 EEG (vgl. Abschnitt ‎5.1.3) oder </t>
  </si>
  <si>
    <t xml:space="preserve">    der erzeugten Arbeit einen Bonus in Anspruch nehmen kann.</t>
  </si>
  <si>
    <t>- Wegfall von Bonusvoraussetzungen (z. B. kein Einsatz von NaWaRo-fähigen Stoffen mehr bei Biomasseanlagen)</t>
  </si>
  <si>
    <t xml:space="preserve">   für bestehende Biomasseanlagen oder vollständige Neueinführung einer Vergütungszone, siehe Biomasse bis </t>
  </si>
  <si>
    <t xml:space="preserve">   Inbetriebnahmejahr 2003 – in der Vergütungskategorientabelle grün hinterlegt)</t>
  </si>
  <si>
    <t>- Wechsel von der höheren Anfangsvergütung in die Endvergütung bei Windenergieanlagen</t>
  </si>
  <si>
    <t>Stromerzeugung erfolgt zu 30% in KWK-Betrieb, Anforderungen der Anlage 3 zum EEG werden erfüllt</t>
  </si>
  <si>
    <t>0,150-0,5 MW, Bonusregel G</t>
  </si>
  <si>
    <t>Grund-
vergütg. Nach EEG 2004</t>
  </si>
  <si>
    <t>Vergütungsberechnung für Geothermieanlagen mit Inbetriebnahme bis 31.12.2008</t>
  </si>
  <si>
    <t>Frühstarterbonus §28 (1a)  EEG 2009</t>
  </si>
  <si>
    <t>keine Bezeichnung</t>
  </si>
  <si>
    <t>"W"</t>
  </si>
  <si>
    <t>petrothermale Techniken</t>
  </si>
  <si>
    <t>"P"</t>
  </si>
  <si>
    <t>Bonusmöglichkeiten</t>
  </si>
  <si>
    <t>GeK91W------08</t>
  </si>
  <si>
    <t>GeK91P------08</t>
  </si>
  <si>
    <t>GeK91WP-----08</t>
  </si>
  <si>
    <t>GeK92W------08</t>
  </si>
  <si>
    <t>GeK92P------08</t>
  </si>
  <si>
    <t>GeK92WP-----08</t>
  </si>
  <si>
    <t xml:space="preserve"> 5-10 MW, Bonusregel W</t>
  </si>
  <si>
    <t xml:space="preserve"> 5-10 MW, Bonusregel P</t>
  </si>
  <si>
    <t xml:space="preserve"> 5-10 MW, Bonusregeln W, P</t>
  </si>
  <si>
    <t>Bonushöhe bei Inbetriebnahme in 2011</t>
  </si>
  <si>
    <t>außer versiegelte bzw. Konversionsflächen (§ 32 Abs. 3 Nr. 1 und 2)</t>
  </si>
  <si>
    <t>Grundvergütung 7,63 ct (7,79ct*0,99^2, siehe § 27 Abs. 1 Nr. 4 EEG 2009) für Lstg.anteil 5-20 MW nicht ohne KWK-Bonus möglich, siehe § 27 Abs. 3 Nr. 1 EEG 2009</t>
  </si>
  <si>
    <t>BiK82Lb-----06</t>
  </si>
  <si>
    <t>BiK82LbKWK--06</t>
  </si>
  <si>
    <t>BiK82LbKA3--06</t>
  </si>
  <si>
    <t>BiK82LbK09--06</t>
  </si>
  <si>
    <t>BiK82Lby----06</t>
  </si>
  <si>
    <t>BiK82LbKWKy-06</t>
  </si>
  <si>
    <t>BiK82LbKA3y-06</t>
  </si>
  <si>
    <t>BiK82LbK09y-06</t>
  </si>
  <si>
    <t>BiK81G------05</t>
  </si>
  <si>
    <t>BiK271t3LiK-10</t>
  </si>
  <si>
    <t>BiK271t3M2--10</t>
  </si>
  <si>
    <t>BiK271t3M2K-10</t>
  </si>
  <si>
    <t>BiK271t3M2i-10</t>
  </si>
  <si>
    <t>BiK271t3M2iK10</t>
  </si>
  <si>
    <t>BiK271t3X2--10</t>
  </si>
  <si>
    <t>BiK271t3X2K-10</t>
  </si>
  <si>
    <t>BiK271t3X2i-10</t>
  </si>
  <si>
    <t>BiK271t3X2iK10</t>
  </si>
  <si>
    <t>BiK272------10</t>
  </si>
  <si>
    <t>BiK272K-----10</t>
  </si>
  <si>
    <t>BiK272a2----10</t>
  </si>
  <si>
    <t>BiK272a2K---10</t>
  </si>
  <si>
    <t>BiK272ah----10</t>
  </si>
  <si>
    <t>BiK272ahK---10</t>
  </si>
  <si>
    <t>BiK272t1----10</t>
  </si>
  <si>
    <t>BiK272t1K---10</t>
  </si>
  <si>
    <t>BiK272t1a2--10</t>
  </si>
  <si>
    <t>BiK272t1a2K-10</t>
  </si>
  <si>
    <t>BiK272t1ah--10</t>
  </si>
  <si>
    <t>BiK272t1ahK-10</t>
  </si>
  <si>
    <t>BiK272t2----10</t>
  </si>
  <si>
    <t>BiK272t2K---10</t>
  </si>
  <si>
    <t>BiK272t2a2--10</t>
  </si>
  <si>
    <t>BiK272t2a2K-10</t>
  </si>
  <si>
    <t>BiK272t2ah--10</t>
  </si>
  <si>
    <t>BiK272t2ahK-10</t>
  </si>
  <si>
    <t>BiK272t3----10</t>
  </si>
  <si>
    <t>BiK272t3K---10</t>
  </si>
  <si>
    <t>BiK272t3a2--10</t>
  </si>
  <si>
    <t>BiK272t3a2K-10</t>
  </si>
  <si>
    <t>BiK272t3ah--10</t>
  </si>
  <si>
    <t>BiK272t3ahK-10</t>
  </si>
  <si>
    <t>BiK273K-----10</t>
  </si>
  <si>
    <t>Grund-
vergütg. § 27 EEG</t>
  </si>
  <si>
    <t>Grundvergütung 7,71 ct (7,79ct*0,99, siehe § 27 Abs. 1 Nr. 4 EEG 2009) für Lstg.anteil 5-20 MW nicht ohne KWK-Bonus möglich, siehe § 27 Abs. 3 Nr. 1 EEG 2009</t>
  </si>
  <si>
    <t>Vergütungsberechnung für Anlagen mit Inbetriebnahmejahr 2010</t>
  </si>
  <si>
    <t>erstmals KWK in 2010</t>
  </si>
  <si>
    <t>"K10"</t>
  </si>
  <si>
    <t>BiK51nK10---01</t>
  </si>
  <si>
    <t>BiK51nK10y--01</t>
  </si>
  <si>
    <t>BiK51na1K10-01</t>
  </si>
  <si>
    <t>BiK82LbK10y-04</t>
  </si>
  <si>
    <t>BiK82X2bK10-04</t>
  </si>
  <si>
    <t>BiK82X2bK10y04</t>
  </si>
  <si>
    <t>Inbetriebnahme 01-07/2004</t>
  </si>
  <si>
    <t>WaK42a------04</t>
  </si>
  <si>
    <t>WaK61-------04</t>
  </si>
  <si>
    <t>Inbetriebnahme 08-12/2004</t>
  </si>
  <si>
    <t>WaK62-------04</t>
  </si>
  <si>
    <t>WaK63-------04</t>
  </si>
  <si>
    <t xml:space="preserve"> &gt;5 MW , Zubau 0-0,5 MW</t>
  </si>
  <si>
    <t>WaK64-------04</t>
  </si>
  <si>
    <t xml:space="preserve"> &gt;5 MW , Zubau 0,5-10 MW</t>
  </si>
  <si>
    <t>WaK65-------04</t>
  </si>
  <si>
    <t xml:space="preserve"> &gt;5 MW , Zubau 10-20 MW</t>
  </si>
  <si>
    <t>WaK66-------04</t>
  </si>
  <si>
    <t xml:space="preserve"> &gt;5 MW , Zubau 20-50 MW</t>
  </si>
  <si>
    <t>WaK67-------04</t>
  </si>
  <si>
    <t xml:space="preserve"> &gt;5 MW , Zubau 50-150 MW</t>
  </si>
  <si>
    <t>WaK61-------05</t>
  </si>
  <si>
    <t>Inbetriebnahme 2005</t>
  </si>
  <si>
    <t>WaK62-------05</t>
  </si>
  <si>
    <t>WaK63-------05</t>
  </si>
  <si>
    <t>WaK64-------05</t>
  </si>
  <si>
    <t>WaK65-------05</t>
  </si>
  <si>
    <t>WaK66-------05</t>
  </si>
  <si>
    <t>WaK67-------05</t>
  </si>
  <si>
    <t>WaK61-------06</t>
  </si>
  <si>
    <t>Inbetriebnahme 2006</t>
  </si>
  <si>
    <t>WaK62-------06</t>
  </si>
  <si>
    <t>WaK63-------06</t>
  </si>
  <si>
    <t>WaK64-------06</t>
  </si>
  <si>
    <t>WaK65-------06</t>
  </si>
  <si>
    <t>WaK66-------06</t>
  </si>
  <si>
    <t>WaK67-------06</t>
  </si>
  <si>
    <t>WaK61-------07</t>
  </si>
  <si>
    <t>Inbetriebnahme 2007</t>
  </si>
  <si>
    <t>WaK62-------07</t>
  </si>
  <si>
    <t>WaK63-------07</t>
  </si>
  <si>
    <t>WaK64-------07</t>
  </si>
  <si>
    <t>WaK65-------07</t>
  </si>
  <si>
    <t>WaK66-------07</t>
  </si>
  <si>
    <t>WaK67-------07</t>
  </si>
  <si>
    <t>WaK61-------08</t>
  </si>
  <si>
    <t>BiK81K09y---05</t>
  </si>
  <si>
    <t>BiK81a1y----05</t>
  </si>
  <si>
    <t>BiK81a1KWKy-05</t>
  </si>
  <si>
    <t>BiK81a1KA3y-05</t>
  </si>
  <si>
    <t>BiK81a1K09y-05</t>
  </si>
  <si>
    <t>BiK81by-----05</t>
  </si>
  <si>
    <t>BiK81bKWKy--05</t>
  </si>
  <si>
    <t>BiK81bKA3y--05</t>
  </si>
  <si>
    <t>BiK81bK09y--05</t>
  </si>
  <si>
    <t>BiK81a1by---05</t>
  </si>
  <si>
    <t>BiK81a1bKWKy05</t>
  </si>
  <si>
    <t>BiK81a1bKA3y05</t>
  </si>
  <si>
    <t>BiK81a1bK09y05</t>
  </si>
  <si>
    <t>BiK82y------05</t>
  </si>
  <si>
    <t>BiK82KWKy---05</t>
  </si>
  <si>
    <t>BiK82KA3y---05</t>
  </si>
  <si>
    <t>BiK82K09y---05</t>
  </si>
  <si>
    <t>BiK82a1y----05</t>
  </si>
  <si>
    <t>BiK82a1KWKy-05</t>
  </si>
  <si>
    <t>BiK82a1KA3y-05</t>
  </si>
  <si>
    <t>BiK82a1K09y-05</t>
  </si>
  <si>
    <t>BiK82by-----05</t>
  </si>
  <si>
    <t>BiK82bKWKy--05</t>
  </si>
  <si>
    <t>BiK82bKA3y--05</t>
  </si>
  <si>
    <t>BiK82bK09y--05</t>
  </si>
  <si>
    <t>BiK82a1by---05</t>
  </si>
  <si>
    <t>BiK82a1bKWKy05</t>
  </si>
  <si>
    <t>BiK82a1bKA3y05</t>
  </si>
  <si>
    <t>BiK82a1bK09y05</t>
  </si>
  <si>
    <t>BiK81y------04</t>
  </si>
  <si>
    <t>BiK81KWKy---04</t>
  </si>
  <si>
    <t>BiK81KA3y---04</t>
  </si>
  <si>
    <t>BiK81K09y---04</t>
  </si>
  <si>
    <t>BiK81a1y----04</t>
  </si>
  <si>
    <t>BiK81a1KWKy-04</t>
  </si>
  <si>
    <t>BiK81a1KA3y-04</t>
  </si>
  <si>
    <t>BiK81a1K09y-04</t>
  </si>
  <si>
    <t>BiK81by-----04</t>
  </si>
  <si>
    <t>BiK81bKWKy--04</t>
  </si>
  <si>
    <t>BiK81bKA3y--04</t>
  </si>
  <si>
    <t>BiK81bK09y--04</t>
  </si>
  <si>
    <t>BiK81a1by---04</t>
  </si>
  <si>
    <t>BiK81a1bKWKy04</t>
  </si>
  <si>
    <t>BiK81a1bKA3y04</t>
  </si>
  <si>
    <t>BiK81a1bK09y04</t>
  </si>
  <si>
    <t>BiK82y------04</t>
  </si>
  <si>
    <t>BiK82KWKy---04</t>
  </si>
  <si>
    <t>BiK82KA3y---04</t>
  </si>
  <si>
    <t>BiK82K09y---04</t>
  </si>
  <si>
    <t>BiK82a1y----04</t>
  </si>
  <si>
    <t>BiK82a1KWKy-04</t>
  </si>
  <si>
    <t>BiK82a1KA3y-04</t>
  </si>
  <si>
    <t>BiK82a1K09y-04</t>
  </si>
  <si>
    <t>BiK82by-----04</t>
  </si>
  <si>
    <t>BiK82bKWKy--04</t>
  </si>
  <si>
    <t>BiK82bKA3y--04</t>
  </si>
  <si>
    <t>BiK82bK09y--04</t>
  </si>
  <si>
    <t>BiK82a1by---04</t>
  </si>
  <si>
    <t>BiK82a1bKWKy04</t>
  </si>
  <si>
    <t>BiK82a1bKA3y04</t>
  </si>
  <si>
    <t>BiK82a1bK09y04</t>
  </si>
  <si>
    <t>BiK51ny-----03</t>
  </si>
  <si>
    <t>Die Strommengen fließen in die Berechnung der Bemessungsleistung und der vNNE ein, nicht jedoch in den bundesweiten Belastungsausgleich.</t>
  </si>
  <si>
    <t>WaK33b1-MPMJan</t>
  </si>
  <si>
    <t>Marktprämie für Kalendermonat Januar</t>
  </si>
  <si>
    <t>WaK33b1-MPMFeb</t>
  </si>
  <si>
    <t>Marktprämie für Kalendermonat Februar</t>
  </si>
  <si>
    <t>WaK33b1-MPMMrz</t>
  </si>
  <si>
    <t>Marktprämie für Kalendermonat März</t>
  </si>
  <si>
    <t>WaK33b1-MPMApr</t>
  </si>
  <si>
    <t>Marktprämie für Kalendermonat April</t>
  </si>
  <si>
    <t>WaK33b1-MPMMai</t>
  </si>
  <si>
    <t>Marktprämie für Kalendermonat Mai</t>
  </si>
  <si>
    <t>WaK33b1-MPMJun</t>
  </si>
  <si>
    <t>Marktprämie für Kalendermonat Juni</t>
  </si>
  <si>
    <t>WaK33b1-MPMJul</t>
  </si>
  <si>
    <t>Marktprämie für Kalendermonat Juli</t>
  </si>
  <si>
    <t>WaK33b1-MPMAug</t>
  </si>
  <si>
    <t>Marktprämie für Kalendermonat August</t>
  </si>
  <si>
    <t>WaK33b1-MPMSep</t>
  </si>
  <si>
    <t>Marktprämie für Kalendermonat September</t>
  </si>
  <si>
    <t>WaK33b1-MPMOkt</t>
  </si>
  <si>
    <t>Marktprämie für Kalendermonat Oktober</t>
  </si>
  <si>
    <t>WaK33b1-MPMNov</t>
  </si>
  <si>
    <t>Marktprämie für Kalendermonat November</t>
  </si>
  <si>
    <t>WaK33b1-MPMDez</t>
  </si>
  <si>
    <t>Marktprämie für Kalendermonat Dezember</t>
  </si>
  <si>
    <t>BiK33b1-MPMJan</t>
  </si>
  <si>
    <t>BiK33b1-MPMFeb</t>
  </si>
  <si>
    <t>BiK33b1-MPMMrz</t>
  </si>
  <si>
    <t>BiK33b1-MPMApr</t>
  </si>
  <si>
    <t>BiK33b1-MPMMai</t>
  </si>
  <si>
    <t>BiK33b1-MPMJun</t>
  </si>
  <si>
    <t>BiK33b1-MPMJul</t>
  </si>
  <si>
    <t>BiK33b1-MPMAug</t>
  </si>
  <si>
    <t>BiK33b1-MPMSep</t>
  </si>
  <si>
    <t>BiK33b1-MPMOkt</t>
  </si>
  <si>
    <t>BiK33b1-MPMNov</t>
  </si>
  <si>
    <t>BiK33b1-MPMDez</t>
  </si>
  <si>
    <t>GaK33b1-MPMJan</t>
  </si>
  <si>
    <t>GaK33b1-MPMFeb</t>
  </si>
  <si>
    <t>GaK33b1-MPMMrz</t>
  </si>
  <si>
    <t>GaK33b1-MPMApr</t>
  </si>
  <si>
    <t>GaK33b1-MPMMai</t>
  </si>
  <si>
    <t>GaK33b1-MPMJun</t>
  </si>
  <si>
    <t>GaK33b1-MPMJul</t>
  </si>
  <si>
    <t>GaK33b1-MPMAug</t>
  </si>
  <si>
    <t>GaK33b1-MPMSep</t>
  </si>
  <si>
    <t>GaK33b1-MPMOkt</t>
  </si>
  <si>
    <t>GaK33b1-MPMNov</t>
  </si>
  <si>
    <t>GaK33b1-MPMDez</t>
  </si>
  <si>
    <t>DeK33b1-MPMJan</t>
  </si>
  <si>
    <t>DeK33b1-MPMFeb</t>
  </si>
  <si>
    <t>DeK33b1-MPMMrz</t>
  </si>
  <si>
    <t>DeK33b1-MPMApr</t>
  </si>
  <si>
    <t>DeK33b1-MPMMai</t>
  </si>
  <si>
    <t>DeK33b1-MPMJun</t>
  </si>
  <si>
    <t>DeK33b1-MPMJul</t>
  </si>
  <si>
    <t>DeK33b1-MPMAug</t>
  </si>
  <si>
    <t>DeK33b1-MPMSep</t>
  </si>
  <si>
    <t>DeK33b1-MPMOkt</t>
  </si>
  <si>
    <t>DeK33b1-MPMNov</t>
  </si>
  <si>
    <t>DeK33b1-MPMDez</t>
  </si>
  <si>
    <t>KlK33b1-MPMJan</t>
  </si>
  <si>
    <t>KlK33b1-MPMFeb</t>
  </si>
  <si>
    <t>KlK33b1-MPMMrz</t>
  </si>
  <si>
    <t>KlK33b1-MPMApr</t>
  </si>
  <si>
    <t>BiK81M1bK10-04</t>
  </si>
  <si>
    <t>BiK81M1bK10y04</t>
  </si>
  <si>
    <t>BiK81LbK10--04</t>
  </si>
  <si>
    <t>BiK81LbK10y-04</t>
  </si>
  <si>
    <t>BiK81X1bK10-04</t>
  </si>
  <si>
    <t>BiK81X1bK10y04</t>
  </si>
  <si>
    <t>BiK82K10----04</t>
  </si>
  <si>
    <t>BiK82K10y---04</t>
  </si>
  <si>
    <t>BiK82a1K10--04</t>
  </si>
  <si>
    <t>BiK82a1K10y-04</t>
  </si>
  <si>
    <t>BiK82GK10---04</t>
  </si>
  <si>
    <t>BiK82GK10y--04</t>
  </si>
  <si>
    <t>BiK82M2K10--04</t>
  </si>
  <si>
    <t>BiK82M2K10y-04</t>
  </si>
  <si>
    <t>BiK82LK10---04</t>
  </si>
  <si>
    <t>BiK82LK10y--04</t>
  </si>
  <si>
    <t>BiK82X2K10--04</t>
  </si>
  <si>
    <t>BiK82X2K10y-04</t>
  </si>
  <si>
    <t>BiK82bK10---04</t>
  </si>
  <si>
    <t>BiK82bK10y--04</t>
  </si>
  <si>
    <t>BiK82a1bK10-04</t>
  </si>
  <si>
    <t>BiK82a1bK10y04</t>
  </si>
  <si>
    <t>BiK82GbK10--04</t>
  </si>
  <si>
    <t>BiK82GbK10y-04</t>
  </si>
  <si>
    <t>BiK82M2bK10-04</t>
  </si>
  <si>
    <t>BiK82M2bK10y04</t>
  </si>
  <si>
    <t>BiK82LbK10--04</t>
  </si>
  <si>
    <t>WaK230------11</t>
  </si>
  <si>
    <t>Inbetriebnahme 2011</t>
  </si>
  <si>
    <t>WaK231------11</t>
  </si>
  <si>
    <t>WaK232------11</t>
  </si>
  <si>
    <t>WaK233------11</t>
  </si>
  <si>
    <t>WaK234------11</t>
  </si>
  <si>
    <t>WaK235------11</t>
  </si>
  <si>
    <t>WaK236------11</t>
  </si>
  <si>
    <t>WaK237------11</t>
  </si>
  <si>
    <t>WaK238------11</t>
  </si>
  <si>
    <t>WaK239------11</t>
  </si>
  <si>
    <t>WfK310------11</t>
  </si>
  <si>
    <t>WfK311------11</t>
  </si>
  <si>
    <t>wie SgK330-------11</t>
  </si>
  <si>
    <t>wie SgK331------11</t>
  </si>
  <si>
    <t>wie SgK332------11</t>
  </si>
  <si>
    <t>erstmals KWK in 2011</t>
  </si>
  <si>
    <t>BiK1011-----MW</t>
  </si>
  <si>
    <t>§ 33f Abs. 3 EEG 2012: Der Vergütungsanspruch nach § 16 EEG 2012 verringert sich sich auf den tatsächlichen Monatsmittelwert des energieträgerspezifischen Marktwerts (MW) für denjenigen Anteil des in der Anlage erzeugten Stroms, der nicht direkt vermarktet wird, wenn gegen § 33f Abs. 1 EEG 2012 verstoßen wird, d. h. wenn die anteilige Direktvermarktung nicht ordnungsgemäß gemeldet oder die gemeldeten Prozentsätze nicht jederzeit eingehalten wurden.
Diese Verringerung gilt bis zum Ablauf des dritten Kalendermonats, der auf die Beendigung des Verstoßes § 33f Abs. 1 EEG 2012 folgt.</t>
  </si>
  <si>
    <t>§ 33g Abs. 3 EEG 2012: Der Vergütungsanspruch nach § 33g Abs. 1 EEG 2012 (Marktprämie) entfällt, wenn Anlagenbetreiber gegen § 33c Abs. 1 und 2 EEG 2012 (Pflichten bei der Direktvermarktung), § 33d Abs. 1 und 2 EEG 2012 (Wechsel in Marktprämien-Direktvermarktung oder zwischen Marktprämien- und anderen Formen der Direktvermarktung) oder § 33f Abs. 1 EEG 2012 (Anteilige Direktvermarktung) verstoßen.
Dieser Entfall gilt bis zum Ablauf des dritten Kalendermonats, der auf die Beendigung dieses Verstoßes folgt.</t>
  </si>
  <si>
    <t>BiK471--MPM--0</t>
  </si>
  <si>
    <t>BiK4721-MPM--0</t>
  </si>
  <si>
    <t>BiK474--MPM--0</t>
  </si>
  <si>
    <t>Verringerung Einspeisevergütung auf Monatsmarktwert nach § 47 Abs. 4 (Fehlender Nachweis KWK bzw. Stromanteil flüssiger Biomasse)</t>
  </si>
  <si>
    <t>Verringerung Marktprämie auf null nach § 47 Abs. 4 (Fehlender Nachweis KWK bzw. Stromanteil flüssiger Biomasse)</t>
  </si>
  <si>
    <t>§ 38 EEG 2012 oder § 62 EEG 2014: Aufgrund eines gerichtlichen Urteils oder einer Entscheidung der Clearingstelle EEG erhält eine Anlage eine Vergütung, die nicht durch die oben aufgeführten Kategorien abgedeckt ist.</t>
  </si>
  <si>
    <t>WaK1004-MPM--0</t>
  </si>
  <si>
    <t>BiK1004-MPM--0</t>
  </si>
  <si>
    <t>GaK1004-MPM--0</t>
  </si>
  <si>
    <t>DeK1004-MPM--0</t>
  </si>
  <si>
    <t>KlK1004-MPM--0</t>
  </si>
  <si>
    <t>GrK1004-MPM--0</t>
  </si>
  <si>
    <t>GeK1004-MPM--0</t>
  </si>
  <si>
    <t>WiK1004-MPM--0</t>
  </si>
  <si>
    <t>WnK1004-MPM--0</t>
  </si>
  <si>
    <t>WrK1004-MPM--0</t>
  </si>
  <si>
    <t>WfK1004-MPM--0</t>
  </si>
  <si>
    <t>SoK1004-MPM--0</t>
  </si>
  <si>
    <t>SgK1004-MPM--0</t>
  </si>
  <si>
    <t>Entfall Vergütungsanspruch nach § 100 Abs. 4 (Nichterfüllung der Systemstabilitätsverordnung)</t>
  </si>
  <si>
    <t>Entfall Marktprämie nach § 100 Abs. 4 (Nichterfüllung der Systemstabilitätsverordnung)</t>
  </si>
  <si>
    <t>BiK81a1bK12-04</t>
  </si>
  <si>
    <t>BiK81a1bK12y04</t>
  </si>
  <si>
    <t>BiK81GbK12--04</t>
  </si>
  <si>
    <t>BiK81GbK12y-04</t>
  </si>
  <si>
    <t>BiK81M1bK12-04</t>
  </si>
  <si>
    <t>BiK81M1bK12y04</t>
  </si>
  <si>
    <t>BiK81LbK12--04</t>
  </si>
  <si>
    <t>BiK81LbK12y-04</t>
  </si>
  <si>
    <t>BiK81X1bK12-04</t>
  </si>
  <si>
    <t>BiK81X1bK12y04</t>
  </si>
  <si>
    <t>BiK82K12----04</t>
  </si>
  <si>
    <t>BiK82K12y---04</t>
  </si>
  <si>
    <t>BiK82a1K12--04</t>
  </si>
  <si>
    <t>BiK82a1K12y-04</t>
  </si>
  <si>
    <t>BiK82GK12---04</t>
  </si>
  <si>
    <t>BiK82GK12y--04</t>
  </si>
  <si>
    <t>BiK82M2K12--04</t>
  </si>
  <si>
    <t>BiK82M2K12y-04</t>
  </si>
  <si>
    <t>BiK82LK12---04</t>
  </si>
  <si>
    <t>BiK82LK12y--04</t>
  </si>
  <si>
    <t>BiK82X2K12--04</t>
  </si>
  <si>
    <t>BiK82X2K12y-04</t>
  </si>
  <si>
    <t>BiK82bK12---04</t>
  </si>
  <si>
    <t>BiK82bK12y--04</t>
  </si>
  <si>
    <t>BiK82a1bK12-04</t>
  </si>
  <si>
    <t>BiK82a1bK12y04</t>
  </si>
  <si>
    <t>BiK82GbK12--04</t>
  </si>
  <si>
    <t>BiK82GbK12y-04</t>
  </si>
  <si>
    <t>BiK82M2bK12-04</t>
  </si>
  <si>
    <t>BiK82M2bK12y04</t>
  </si>
  <si>
    <t>BiK82LbK12--04</t>
  </si>
  <si>
    <t>BiK82LbK12y-04</t>
  </si>
  <si>
    <t>BiK82X2bK12-04</t>
  </si>
  <si>
    <t>BiK82X2bK12y04</t>
  </si>
  <si>
    <t>BiK83K12----04</t>
  </si>
  <si>
    <t>BiK83a2K12--04</t>
  </si>
  <si>
    <t>BiK83a3K12--04</t>
  </si>
  <si>
    <t>BiK83bK12---04</t>
  </si>
  <si>
    <t>BiK83a2bK12-04</t>
  </si>
  <si>
    <t>BiK83a3bK12-04</t>
  </si>
  <si>
    <t>BiK84K12----04</t>
  </si>
  <si>
    <t>BiK85K12----04</t>
  </si>
  <si>
    <t>BiK81K12----05</t>
  </si>
  <si>
    <t>BiK81K12y---05</t>
  </si>
  <si>
    <t>BiK81a1K12--05</t>
  </si>
  <si>
    <t>BiK81a1K12y-05</t>
  </si>
  <si>
    <t>BiK81GK12---05</t>
  </si>
  <si>
    <t>BiK81GK12y--05</t>
  </si>
  <si>
    <t>BiK81M1K12--05</t>
  </si>
  <si>
    <t>BiK81M1K12y-05</t>
  </si>
  <si>
    <t>BiK81LK12---05</t>
  </si>
  <si>
    <t>BiK81LK12y--05</t>
  </si>
  <si>
    <t>BiK81X1K12--05</t>
  </si>
  <si>
    <t>BiK81X1K12y-05</t>
  </si>
  <si>
    <t>BiK81bK12---05</t>
  </si>
  <si>
    <t>BiK81bK12y--05</t>
  </si>
  <si>
    <t>BiK81a1bK12-05</t>
  </si>
  <si>
    <t>BiK81a1bK12y05</t>
  </si>
  <si>
    <t>BiK81GbK12--05</t>
  </si>
  <si>
    <t>BiK81GbK12y-05</t>
  </si>
  <si>
    <t>BiK81M1bK12-05</t>
  </si>
  <si>
    <t>BiK81M1bK12y05</t>
  </si>
  <si>
    <t>BiK81LbK12--05</t>
  </si>
  <si>
    <t>BiK81LbK12y-05</t>
  </si>
  <si>
    <t>BiK81X1bK12-05</t>
  </si>
  <si>
    <t>BiK81X1bK12y05</t>
  </si>
  <si>
    <t>BiK82K12----05</t>
  </si>
  <si>
    <t>BiK82K12y---05</t>
  </si>
  <si>
    <t>BiK82a1K12--05</t>
  </si>
  <si>
    <t>BiK82a1K12y-05</t>
  </si>
  <si>
    <t>BiK82GK12---05</t>
  </si>
  <si>
    <t>BiK82GK12y--05</t>
  </si>
  <si>
    <t>BiK82M2K12--05</t>
  </si>
  <si>
    <t>BiK82M2K12y-05</t>
  </si>
  <si>
    <t>BiK82LK12---05</t>
  </si>
  <si>
    <t>BiK82LK12y--05</t>
  </si>
  <si>
    <t>BiK82X2K12--05</t>
  </si>
  <si>
    <t>BiK82X2K12y-05</t>
  </si>
  <si>
    <t>BiK82bK12---05</t>
  </si>
  <si>
    <t>BiK82bK12y--05</t>
  </si>
  <si>
    <t>BiK82a1bK12-05</t>
  </si>
  <si>
    <t>BiK82a1bK12y05</t>
  </si>
  <si>
    <t>BiK82GbK12--05</t>
  </si>
  <si>
    <t>BiK82GbK12y-05</t>
  </si>
  <si>
    <t>BiK82M2bK12-05</t>
  </si>
  <si>
    <t>BiK82M2bK12y05</t>
  </si>
  <si>
    <t>BiK82LbK12--05</t>
  </si>
  <si>
    <t>BiK82LbK12y-05</t>
  </si>
  <si>
    <t>BiK82X2bK12-05</t>
  </si>
  <si>
    <t>BiK82X2bK12y05</t>
  </si>
  <si>
    <t>BiK83K12----05</t>
  </si>
  <si>
    <t>BiK83a2K12--05</t>
  </si>
  <si>
    <t>BiK83a3K12--05</t>
  </si>
  <si>
    <t>BiK83bK12---05</t>
  </si>
  <si>
    <t>BiK83a2bK12-05</t>
  </si>
  <si>
    <t>BiK83a3bK12-05</t>
  </si>
  <si>
    <t>BiK84K12----05</t>
  </si>
  <si>
    <t>BiK81K12----06</t>
  </si>
  <si>
    <t>BiK81K12y---06</t>
  </si>
  <si>
    <t>BiK81a1K12--06</t>
  </si>
  <si>
    <t>BiK81a1K12y-06</t>
  </si>
  <si>
    <t>BiK81GK12---06</t>
  </si>
  <si>
    <t>BiK81GK12y--06</t>
  </si>
  <si>
    <t>BiK81M1K12--06</t>
  </si>
  <si>
    <t>BiK81M1K12y-06</t>
  </si>
  <si>
    <t>BiK51aK10y--03</t>
  </si>
  <si>
    <t>BiK51aa1K10-03</t>
  </si>
  <si>
    <t>BiK51aa1K10y03</t>
  </si>
  <si>
    <t>BiK51aGK10--03</t>
  </si>
  <si>
    <t>BiK51aGK10y-03</t>
  </si>
  <si>
    <t>BiK51aM2K10-03</t>
  </si>
  <si>
    <t>BiK51aM2K10y03</t>
  </si>
  <si>
    <t>BiK51aLK10--03</t>
  </si>
  <si>
    <t>BiK51aLK10y-03</t>
  </si>
  <si>
    <t>BiK51aX2K10-03</t>
  </si>
  <si>
    <t>BiK51aX2K10y03</t>
  </si>
  <si>
    <t>BiK52aK10---03</t>
  </si>
  <si>
    <t>BiK52aa2K10-03</t>
  </si>
  <si>
    <t>BiK52aa3K10-03</t>
  </si>
  <si>
    <t>BiK53aK10---03</t>
  </si>
  <si>
    <t>BiK54aK10---03</t>
  </si>
  <si>
    <t>BiK81K10----04</t>
  </si>
  <si>
    <t>BiK81K10y---04</t>
  </si>
  <si>
    <t>BiK81a1K10--04</t>
  </si>
  <si>
    <t>BiK81a1K10y-04</t>
  </si>
  <si>
    <t>BiK81GK10---04</t>
  </si>
  <si>
    <t>BiK81GK10y--04</t>
  </si>
  <si>
    <t>BiK81M1K10--04</t>
  </si>
  <si>
    <t>BiK81M1K10y-04</t>
  </si>
  <si>
    <t>BiK81LK10---04</t>
  </si>
  <si>
    <t>BiK81LK10y--04</t>
  </si>
  <si>
    <t>BiK81X1K10--04</t>
  </si>
  <si>
    <t>BiK81X1K10y-04</t>
  </si>
  <si>
    <t>BiK81bK10---04</t>
  </si>
  <si>
    <t>BiK81bK10y--04</t>
  </si>
  <si>
    <t>BiK81a1bK10-04</t>
  </si>
  <si>
    <t>BiK81a1bK10y04</t>
  </si>
  <si>
    <t>BiK81GbK10--04</t>
  </si>
  <si>
    <t>BiK81GbK10y-04</t>
  </si>
  <si>
    <t>WaK230------14</t>
  </si>
  <si>
    <t>Inbetriebnahme 2014</t>
  </si>
  <si>
    <t>WaK231------14</t>
  </si>
  <si>
    <t>WaK232------14</t>
  </si>
  <si>
    <t>WaK233------14</t>
  </si>
  <si>
    <t>WaK234------14</t>
  </si>
  <si>
    <t>WaK235------14</t>
  </si>
  <si>
    <t>WaK236------14</t>
  </si>
  <si>
    <t>0-0,5 MW, IB vor 01.01.2009, Modernisierung 2014</t>
  </si>
  <si>
    <t>0,5-2 MW, IB vor 01.01.2009, Modernisierung 2014</t>
  </si>
  <si>
    <t>2-5 MW, IB vor 01.01.2009, Modernisierung 2014</t>
  </si>
  <si>
    <t>5-10 MW, IB vor 01.01.2009, Modernisierung 2014</t>
  </si>
  <si>
    <t>10-20 MW, IB vor 01.01.2009, Modernisierung 2014</t>
  </si>
  <si>
    <t>20-50 MW, IB vor 01.01.2009, Modernisierung 2014</t>
  </si>
  <si>
    <t>&gt; 50 MW, IB vor 01.01.2009, Modernisierung 2014</t>
  </si>
  <si>
    <t>WaK230M-----14</t>
  </si>
  <si>
    <t>WaK231M-----14</t>
  </si>
  <si>
    <t>WaK232M-----14</t>
  </si>
  <si>
    <t>WaK233M-----14</t>
  </si>
  <si>
    <t>WaK234M-----14</t>
  </si>
  <si>
    <t>WaK235M-----14</t>
  </si>
  <si>
    <t>WaK236M-----14</t>
  </si>
  <si>
    <t>BiK27b------14</t>
  </si>
  <si>
    <t>GrK260------14</t>
  </si>
  <si>
    <t>GrK261------14</t>
  </si>
  <si>
    <t>GrK262------14</t>
  </si>
  <si>
    <t>WnK290------14</t>
  </si>
  <si>
    <t>WnK290S-----14</t>
  </si>
  <si>
    <t>WnK291------14</t>
  </si>
  <si>
    <t>WrK300------14</t>
  </si>
  <si>
    <t>WrK300S-----14</t>
  </si>
  <si>
    <t>WrK301------14</t>
  </si>
  <si>
    <t>WfK310------14</t>
  </si>
  <si>
    <t>WfK311------14</t>
  </si>
  <si>
    <t>WfK312------13</t>
  </si>
  <si>
    <t>WfK312------14</t>
  </si>
  <si>
    <t>SoK321---Jan14</t>
  </si>
  <si>
    <t>Jan14</t>
  </si>
  <si>
    <t>SoK321---Feb14</t>
  </si>
  <si>
    <t>SoK321---Mrz14</t>
  </si>
  <si>
    <t>SoK321---Apr14</t>
  </si>
  <si>
    <t>SoK321---Mai14</t>
  </si>
  <si>
    <t>SoK321---Jun14</t>
  </si>
  <si>
    <t>SoK321---Jul14</t>
  </si>
  <si>
    <t>SoK321---Aug14</t>
  </si>
  <si>
    <t>SoK321---Sep14</t>
  </si>
  <si>
    <t>SoK321---Okt14</t>
  </si>
  <si>
    <t>SoK321---Nov14</t>
  </si>
  <si>
    <t>SoK321---Dez14</t>
  </si>
  <si>
    <t>SgK3220--Jan14</t>
  </si>
  <si>
    <t>SgK3220--Feb14</t>
  </si>
  <si>
    <t>SgK3220--Mrz14</t>
  </si>
  <si>
    <t>SgK3220--Apr14</t>
  </si>
  <si>
    <t>SgK3220--Mai14</t>
  </si>
  <si>
    <t>SgK3220--Jun14</t>
  </si>
  <si>
    <t>SgK3220--Jul14</t>
  </si>
  <si>
    <t>SgK3220--Aug14</t>
  </si>
  <si>
    <t>SgK3220--Sep14</t>
  </si>
  <si>
    <t>SgK3220--Okt14</t>
  </si>
  <si>
    <t>SgK3220--Nov14</t>
  </si>
  <si>
    <t>SgK3220--Dez14</t>
  </si>
  <si>
    <t>Vergütungskategorie ist 2013/2014 neu nach EEG 2012 und/oder der Managementprämienverordnung (MaPrV)</t>
  </si>
  <si>
    <t>SgK3911-GSP--0</t>
  </si>
  <si>
    <t>Nicht-Anerkennung als Grünstrom nach § 39 Abs. 1 Nr. 1 (Überschreitung 90 % - Marktintegrationsmodell)</t>
  </si>
  <si>
    <t>- nur für feste Biomasse mit immissionsschutzrechtlicher Genehmigung vor dem 01.01.2012 nach § 66 Abs. 6 EEG</t>
  </si>
  <si>
    <t>- einmaliges Optionsrecht des Anlagenbetreibers vor erstmaliger Vergütungszahlung alternativ zu § 27 EEG 2012</t>
  </si>
  <si>
    <t>BiK270BS----12</t>
  </si>
  <si>
    <t>BiK270KBS---12</t>
  </si>
  <si>
    <t>BiK270a1BS--12</t>
  </si>
  <si>
    <t>BiK270a1KBS-12</t>
  </si>
  <si>
    <t>BiK270t3BS--12</t>
  </si>
  <si>
    <t>BiK270t3KBS-12</t>
  </si>
  <si>
    <t>BiK270t3a1BS12</t>
  </si>
  <si>
    <t>BiK270t3a1KB12</t>
  </si>
  <si>
    <t>BiK271BS----12</t>
  </si>
  <si>
    <t>BiK271KBS---12</t>
  </si>
  <si>
    <t>BiK271a1BS--12</t>
  </si>
  <si>
    <t>BiK271a1KBS-12</t>
  </si>
  <si>
    <t>BiK271t3BS--12</t>
  </si>
  <si>
    <t>BiK271t3KBS-12</t>
  </si>
  <si>
    <t>BiK271t3a1BS12</t>
  </si>
  <si>
    <t>BiK272BS----12</t>
  </si>
  <si>
    <t>BiK272KBS---12</t>
  </si>
  <si>
    <t>BiK272a2BS--12</t>
  </si>
  <si>
    <t>BiK272a2KBS-12</t>
  </si>
  <si>
    <t>BiK272ahBS--12</t>
  </si>
  <si>
    <t>BiK272ahKBS-12</t>
  </si>
  <si>
    <t>BiK272t3BS--12</t>
  </si>
  <si>
    <t>BiK272t3KBS-12</t>
  </si>
  <si>
    <t>BiK272t3a2BS12</t>
  </si>
  <si>
    <t>BiK272t3a2KB12</t>
  </si>
  <si>
    <t>BiK272t3ahBS12</t>
  </si>
  <si>
    <t>BiK272t3ahKB12</t>
  </si>
  <si>
    <t>BiK273KBS---12</t>
  </si>
  <si>
    <t>G1</t>
  </si>
  <si>
    <t>G2</t>
  </si>
  <si>
    <t>G3</t>
  </si>
  <si>
    <t>ESVK I 
(§ 27 Abs. 2 Nr. 1)</t>
  </si>
  <si>
    <t>ESVK II
(§ 27 Abs. 2 Nr. 2)</t>
  </si>
  <si>
    <t>Gasaufbereitungsbonus
(§ 27c Abs. 2 i. V. m. Anlage 1 Nr. 2)</t>
  </si>
  <si>
    <t>maximal 700 Nm²/h Nenn-leistung</t>
  </si>
  <si>
    <t>maximal 1000 Nm²/h Nenn-leistung</t>
  </si>
  <si>
    <t>maximal 1400 Nm²/h Nenn-leistung</t>
  </si>
  <si>
    <t>E1a</t>
  </si>
  <si>
    <t>E1b</t>
  </si>
  <si>
    <t>E1c</t>
  </si>
  <si>
    <t>E1d</t>
  </si>
  <si>
    <t>E2a</t>
  </si>
  <si>
    <t>E2b</t>
  </si>
  <si>
    <t>E2c</t>
  </si>
  <si>
    <t>allg.
0 bis 5000 kW</t>
  </si>
  <si>
    <t>Gülle
0 bis 500kW</t>
  </si>
  <si>
    <t>Gülle
500 bis 5000 kW</t>
  </si>
  <si>
    <t>allg.
500 bis 750kW</t>
  </si>
  <si>
    <t>allg.
750 bis 5000 kW</t>
  </si>
  <si>
    <t>Rinde &amp; Wald-restholz 500 bis 5000 kW</t>
  </si>
  <si>
    <t>allg. 
0 bis 500 kW</t>
  </si>
  <si>
    <t>Überprüfung</t>
  </si>
  <si>
    <t>Kategorie</t>
  </si>
  <si>
    <t>zusammengesetzt</t>
  </si>
  <si>
    <t>Länge</t>
  </si>
  <si>
    <t>Biomasse nach § 27 EEG 2012</t>
  </si>
  <si>
    <t>Biomasse nach § 27 EEG 2009</t>
  </si>
  <si>
    <t>0,5-5 MW, Vergärung von Bioabfällen</t>
  </si>
  <si>
    <t>BiK27b------12</t>
  </si>
  <si>
    <t>Biomasse nach § 27a EEG 2012 (Vergärung von Bioabfällen)</t>
  </si>
  <si>
    <t>Biomasse nach § 27b EEG 2012 (Vergärung von Gülle)</t>
  </si>
  <si>
    <t>Vergärung von Gülle in Anlagen bis maximal 75 kW installierter Leistung</t>
  </si>
  <si>
    <t>0-0,5 MW, Vergärung von Bioabfällen</t>
  </si>
  <si>
    <t>5-20 MW, Vergärung von Bioabfällen</t>
  </si>
  <si>
    <t>5-20 MW</t>
  </si>
  <si>
    <t>0,75-5 MW</t>
  </si>
  <si>
    <t>0,5-0,75 MW</t>
  </si>
  <si>
    <t>0,15-0,5 MW</t>
  </si>
  <si>
    <t>0-0,15 MW</t>
  </si>
  <si>
    <t>Vergütungsberechnung für Klärgasanlagen mit Inbetriebnahme ab 01.01.2012</t>
  </si>
  <si>
    <t>BiK82GK12---06</t>
  </si>
  <si>
    <t>BiK82GK12y--06</t>
  </si>
  <si>
    <t>BiK82M2K12--06</t>
  </si>
  <si>
    <t>BiK82M2K12y-06</t>
  </si>
  <si>
    <t>BiK82LK12---06</t>
  </si>
  <si>
    <t>BiK82LK12y--06</t>
  </si>
  <si>
    <t>BiK82X2K12--06</t>
  </si>
  <si>
    <t>BiK82X2K12y-06</t>
  </si>
  <si>
    <t>BiK82bK12---06</t>
  </si>
  <si>
    <t>BiK82bK12y--06</t>
  </si>
  <si>
    <t>BiK82a1bK12-06</t>
  </si>
  <si>
    <t>BiK82a1bK12y06</t>
  </si>
  <si>
    <t>BiK82GbK12--06</t>
  </si>
  <si>
    <t>BiK82GbK12y-06</t>
  </si>
  <si>
    <t>BiK82M2bK12-06</t>
  </si>
  <si>
    <t>BiK82M2bK12y06</t>
  </si>
  <si>
    <t>BiK82LbK12--06</t>
  </si>
  <si>
    <t>BiK82LbK12y-06</t>
  </si>
  <si>
    <t>BiK82X2bK12-06</t>
  </si>
  <si>
    <t>BiK82X2bK12y06</t>
  </si>
  <si>
    <t>BiK83K12----06</t>
  </si>
  <si>
    <t>BiK83a2K12--06</t>
  </si>
  <si>
    <t>BiK83a3K12--06</t>
  </si>
  <si>
    <t>BiK83bK12---06</t>
  </si>
  <si>
    <t>BiK83a2bK12-06</t>
  </si>
  <si>
    <t>BiK83a3bK12-06</t>
  </si>
  <si>
    <t>BiK84K12----06</t>
  </si>
  <si>
    <t>BiK85K12----06</t>
  </si>
  <si>
    <t>BiK81K12----07</t>
  </si>
  <si>
    <t>BiK81K12y---07</t>
  </si>
  <si>
    <t>BiK81a1K12--07</t>
  </si>
  <si>
    <t>BiK81a1K12y-07</t>
  </si>
  <si>
    <t>BiK81GK12---07</t>
  </si>
  <si>
    <t>BiK81GK12y--07</t>
  </si>
  <si>
    <t>BiK81M1K12--07</t>
  </si>
  <si>
    <t>BiK81M1K12y-07</t>
  </si>
  <si>
    <t>BiK81LK12---07</t>
  </si>
  <si>
    <t>BiK81LK12y--07</t>
  </si>
  <si>
    <t>BiK81X1K12--07</t>
  </si>
  <si>
    <t>BiK81X1K12y-07</t>
  </si>
  <si>
    <t>BiK81bK12---07</t>
  </si>
  <si>
    <t>BiK81bK12y--07</t>
  </si>
  <si>
    <t>BiK81a1bK12-07</t>
  </si>
  <si>
    <t>BiK81a1bK12y07</t>
  </si>
  <si>
    <t>BiK81GbK12--07</t>
  </si>
  <si>
    <t>BiK81GbK12y-07</t>
  </si>
  <si>
    <t>BiK81M1bK12-07</t>
  </si>
  <si>
    <t>BiK81M1bK12y07</t>
  </si>
  <si>
    <t>BiK81LbK12--07</t>
  </si>
  <si>
    <t>BiK81LbK12y-07</t>
  </si>
  <si>
    <t>BiK81X1bK12-07</t>
  </si>
  <si>
    <t>BiK81X1bK12y07</t>
  </si>
  <si>
    <t>BiK82K12----07</t>
  </si>
  <si>
    <t>BiK82K12y---07</t>
  </si>
  <si>
    <t>BiK82a1K12--07</t>
  </si>
  <si>
    <t>BiK82a1K12y-07</t>
  </si>
  <si>
    <t>BiK82GK12---07</t>
  </si>
  <si>
    <t>BiK82GK12y--07</t>
  </si>
  <si>
    <t>BiK82M2K12--07</t>
  </si>
  <si>
    <t>BiK82M2K12y-07</t>
  </si>
  <si>
    <t>BiK82LK12---07</t>
  </si>
  <si>
    <t>BiK82LK12y--07</t>
  </si>
  <si>
    <t>BiK82X2K12--07</t>
  </si>
  <si>
    <t>BiK82X2K12y-07</t>
  </si>
  <si>
    <t>BiK82bK12---07</t>
  </si>
  <si>
    <t>BiK82bK12y--07</t>
  </si>
  <si>
    <t>BiK82a1bK12-07</t>
  </si>
  <si>
    <t>BiK82a1bK12y07</t>
  </si>
  <si>
    <t>BiK82GbK12--07</t>
  </si>
  <si>
    <t>BiK82GbK12y-07</t>
  </si>
  <si>
    <t>BiK82M2bK12-07</t>
  </si>
  <si>
    <t>BiK82M2bK12y07</t>
  </si>
  <si>
    <t>BiK82LbK12--07</t>
  </si>
  <si>
    <t>BiK82LbK12y-07</t>
  </si>
  <si>
    <t>BiK82X2bK12-07</t>
  </si>
  <si>
    <t>BiK82X2bK12y07</t>
  </si>
  <si>
    <t>BiK83K12----07</t>
  </si>
  <si>
    <t>BiK83a2K12--07</t>
  </si>
  <si>
    <t>BiK83a3K12--07</t>
  </si>
  <si>
    <t>BiK83bK12---07</t>
  </si>
  <si>
    <t>BiK83a2bK12-07</t>
  </si>
  <si>
    <t>BiK83a3bK12-07</t>
  </si>
  <si>
    <t>BiK84K12----07</t>
  </si>
  <si>
    <t>BiK85K12----07</t>
  </si>
  <si>
    <t>BiK81K12----08</t>
  </si>
  <si>
    <t>BiK81K12y---08</t>
  </si>
  <si>
    <t>BiK81a1K12--08</t>
  </si>
  <si>
    <t>BiK81a1K12y-08</t>
  </si>
  <si>
    <t>BiK81GK12---08</t>
  </si>
  <si>
    <t>BiK81GK12y--08</t>
  </si>
  <si>
    <t>BiK81M1K12--08</t>
  </si>
  <si>
    <t>BiK81M1K12y-08</t>
  </si>
  <si>
    <t>BiK81LK12---08</t>
  </si>
  <si>
    <t>BiK81LK12y--08</t>
  </si>
  <si>
    <t>BiK81X1K12--08</t>
  </si>
  <si>
    <t>BiK81X1K12y-08</t>
  </si>
  <si>
    <t>BiK81bK12---08</t>
  </si>
  <si>
    <t>BiK81bK12y--08</t>
  </si>
  <si>
    <t>BiK81a1bK12-08</t>
  </si>
  <si>
    <t>BiK81a1bK12y08</t>
  </si>
  <si>
    <t>BiK81GbK12--08</t>
  </si>
  <si>
    <t>BiK81GbK12y-08</t>
  </si>
  <si>
    <t>BiK81M1bK12-08</t>
  </si>
  <si>
    <t>BiK81M1bK12y08</t>
  </si>
  <si>
    <t>BiK81LbK12--08</t>
  </si>
  <si>
    <t>BiK81LbK12y-08</t>
  </si>
  <si>
    <t>BiK81X1bK12-08</t>
  </si>
  <si>
    <t>BiK81X1bK12y08</t>
  </si>
  <si>
    <t>BiK82K12----08</t>
  </si>
  <si>
    <t>BiK82K12y---08</t>
  </si>
  <si>
    <t>BiK82a1K12--08</t>
  </si>
  <si>
    <t>BiK82a1K12y-08</t>
  </si>
  <si>
    <t>BiK82GK12---08</t>
  </si>
  <si>
    <t>BiK82GK12y--08</t>
  </si>
  <si>
    <t>BiK82M2K12--08</t>
  </si>
  <si>
    <t>BiK82M2K12y-08</t>
  </si>
  <si>
    <t>BiK82LK12---08</t>
  </si>
  <si>
    <t>BiK82LK12y--08</t>
  </si>
  <si>
    <t>BiK82X2K12--08</t>
  </si>
  <si>
    <t>BiK82X2K12y-08</t>
  </si>
  <si>
    <t>BiK82bK12---08</t>
  </si>
  <si>
    <t>BiK82bK12y--08</t>
  </si>
  <si>
    <t>BiK82a1bK12-08</t>
  </si>
  <si>
    <t>BiK82a1bK12y08</t>
  </si>
  <si>
    <t>BiK82GbK12--08</t>
  </si>
  <si>
    <t>BiK82GbK12y-08</t>
  </si>
  <si>
    <t>BiK82M2bK12-08</t>
  </si>
  <si>
    <t>BiK82M2bK12y08</t>
  </si>
  <si>
    <t>BiK82LbK12--08</t>
  </si>
  <si>
    <t>BiK82LbK12y-08</t>
  </si>
  <si>
    <t>BiK82X2bK12-08</t>
  </si>
  <si>
    <t>BiK82X2bK12y08</t>
  </si>
  <si>
    <t>BiK83K12----08</t>
  </si>
  <si>
    <t>BiK83a2K12--08</t>
  </si>
  <si>
    <t>BiK83a3K12--08</t>
  </si>
  <si>
    <t>BiK83bK12---08</t>
  </si>
  <si>
    <t>BiK83a2bK12-08</t>
  </si>
  <si>
    <t>BiK83a3bK12-08</t>
  </si>
  <si>
    <t>BiK84K12----08</t>
  </si>
  <si>
    <t>BiK85K12----08</t>
  </si>
  <si>
    <t>0,150-0,5 MW; Landschaftspflege; Gülleanteil &gt; 30 %</t>
  </si>
  <si>
    <t>§ 27 Abs. 5 EEG</t>
  </si>
  <si>
    <t>§ 27 Abs. 4 Satz 1 Nr. 1 EEG; Anlage 1 Punkt I., 2a</t>
  </si>
  <si>
    <t>Hinweise zu den Bezeichnungen der Vergütungskategorien</t>
  </si>
  <si>
    <t>Stellen 1-2:</t>
  </si>
  <si>
    <t>Ga = Deponie-, Klär- und Grubengas</t>
  </si>
  <si>
    <t>Ge = Geothermie</t>
  </si>
  <si>
    <t>So = Solarenergie</t>
  </si>
  <si>
    <t>Stelle 3:</t>
  </si>
  <si>
    <t xml:space="preserve">Wa = Wasser, </t>
  </si>
  <si>
    <t xml:space="preserve">Bi = Biomasse, </t>
  </si>
  <si>
    <t xml:space="preserve">Wi = Wind </t>
  </si>
  <si>
    <t xml:space="preserve">Stelle 4 </t>
  </si>
  <si>
    <t>4 für Wasserkraft sowie Deponie-, Klär- und Grubengas</t>
  </si>
  <si>
    <t>5 für Biomasse</t>
  </si>
  <si>
    <t>6 für Geothermie</t>
  </si>
  <si>
    <t>7 für Windenergie</t>
  </si>
  <si>
    <t>8 für Solarenergie</t>
  </si>
  <si>
    <t>Stelle 5</t>
  </si>
  <si>
    <t>Stelle 6</t>
  </si>
  <si>
    <t>Stellen 7-12 (außer Biomasse)</t>
  </si>
  <si>
    <t>Minuszeichen</t>
  </si>
  <si>
    <t>Die Kürzel für die gewährten Vergütungsboni werden in den Stellen 7 bis 12 nach und nach in folgender Reihenfolge eingeführt:</t>
  </si>
  <si>
    <t>1. NaWaRo-Bonus (a1, a2, a3, G, M1, M2, L, X1 oder X2)</t>
  </si>
  <si>
    <t>2. KWK-Bonus (KWK, KA3 oder K09)</t>
  </si>
  <si>
    <t>3. Formaldehyd-Bonus (y)</t>
  </si>
  <si>
    <t>Alle 3 Bonustypen sind – unter Beachtung der verschiedenen Geltungsbereiche (Vergütungszonen) – miteinander kombinierbar.</t>
  </si>
  <si>
    <t>Weitere, noch freie Stellen werden mit Minuszeichen aufgefüllt.</t>
  </si>
  <si>
    <t>Stellen 13 bis 14:</t>
  </si>
  <si>
    <t xml:space="preserve">Energieart: </t>
  </si>
  <si>
    <t>„K“ für Kategorie</t>
  </si>
  <si>
    <t xml:space="preserve">relevanter Paragraph aus dem EEG 2000: </t>
  </si>
  <si>
    <t>BiK51aM2y---03</t>
  </si>
  <si>
    <t>BiK51aM2KA3y03</t>
  </si>
  <si>
    <t>BiK51aM2K09y03</t>
  </si>
  <si>
    <t>BiK51aL-----03</t>
  </si>
  <si>
    <t>BiK51aLKA3--03</t>
  </si>
  <si>
    <t>BiK82Gy-----04</t>
  </si>
  <si>
    <t>BiK82GKWKy--04</t>
  </si>
  <si>
    <t>BiK82GKA3y--04</t>
  </si>
  <si>
    <t>BiK82GK09y--04</t>
  </si>
  <si>
    <t>BiK82M2-----04</t>
  </si>
  <si>
    <t>BiK82M2KWK--04</t>
  </si>
  <si>
    <t>BiK82M2KA3--04</t>
  </si>
  <si>
    <t>BiK82M2K09--04</t>
  </si>
  <si>
    <t>BiK82M2y----04</t>
  </si>
  <si>
    <t>BiK82M2KWKy-04</t>
  </si>
  <si>
    <t>BiK82M2KA3y-04</t>
  </si>
  <si>
    <t>BiK82M2K09y-04</t>
  </si>
  <si>
    <t>Die Kürzel für die gewährten Vergütungsboni werden in den Stellen 6 bis 7 in folgender Reihenfolge eingeführt:</t>
  </si>
  <si>
    <t>1. Wärmenutzungs-Bonus (W)</t>
  </si>
  <si>
    <t>2. Bonus für petrothermale Techniken (P)</t>
  </si>
  <si>
    <t>Die Bonustypen sind miteinander kombinierbar.</t>
  </si>
  <si>
    <t>Alle weiteren Stellen bis Stelle 12 werden mit Minuszeichen aufgefüllt</t>
  </si>
  <si>
    <t>Grundvergütung 7,56 ct (7,79ct*0,99^3, siehe § 27 Abs. 1 Nr. 4 EEG 2009) für Lstg.anteil 5-20 MW nicht ohne KWK-Bonus möglich, siehe § 27 Abs. 3 Nr. 1 EEG 2009</t>
  </si>
  <si>
    <t>WaK233BS----12</t>
  </si>
  <si>
    <t>WaK230BS----12</t>
  </si>
  <si>
    <t>WaK232BS----12</t>
  </si>
  <si>
    <t>Anteil KWK, erstmals 2012</t>
  </si>
  <si>
    <t>orange</t>
  </si>
  <si>
    <t>WaK231------12</t>
  </si>
  <si>
    <t>WaK234------12</t>
  </si>
  <si>
    <t>Inbetriebnahme 2012</t>
  </si>
  <si>
    <t>WaK231BS----12</t>
  </si>
  <si>
    <t>WaK234BS----12</t>
  </si>
  <si>
    <t>WaK230------12</t>
  </si>
  <si>
    <t>WaK232------12</t>
  </si>
  <si>
    <t>WaK233------12</t>
  </si>
  <si>
    <t>WaK235------12</t>
  </si>
  <si>
    <t>WaK236------12</t>
  </si>
  <si>
    <t>&gt; 50 MW</t>
  </si>
  <si>
    <t>WaK231M-----12</t>
  </si>
  <si>
    <t>WaK230M-----12</t>
  </si>
  <si>
    <t>WaK232M-----12</t>
  </si>
  <si>
    <t>WaK233M-----12</t>
  </si>
  <si>
    <t>WaK234M-----12</t>
  </si>
  <si>
    <t>WaK235M-----12</t>
  </si>
  <si>
    <t>WaK236M-----12</t>
  </si>
  <si>
    <t>0,5-2 MW</t>
  </si>
  <si>
    <t>2-5 MW</t>
  </si>
  <si>
    <t>5-10 MW</t>
  </si>
  <si>
    <t>10-20 MW</t>
  </si>
  <si>
    <t>20-50 MW</t>
  </si>
  <si>
    <t>0-0,5 MW, IB vor 01.01.2009, Modernisierung 2012</t>
  </si>
  <si>
    <t>0,5-2 MW, IB vor 01.01.2009, Modernisierung 2012</t>
  </si>
  <si>
    <t>2-5 MW, IB vor 01.01.2009, Modernisierung 2012</t>
  </si>
  <si>
    <t>5-10 MW, IB vor 01.01.2009, Modernisierung 2012</t>
  </si>
  <si>
    <t>10-20 MW, IB vor 01.01.2009, Modernisierung 2012</t>
  </si>
  <si>
    <t>20-50 MW, IB vor 01.01.2009, Modernisierung 2012</t>
  </si>
  <si>
    <t>&gt; 50 MW, IB vor 01.01.2009, Modernisierung 2012</t>
  </si>
  <si>
    <t>Bonushöhe bei Inbetriebnahme in 2012</t>
  </si>
  <si>
    <t>GaK75-------05</t>
  </si>
  <si>
    <t>GaK76-------05</t>
  </si>
  <si>
    <t>GaK71-------06</t>
  </si>
  <si>
    <t>GaK72-------06</t>
  </si>
  <si>
    <t>GaK73-------06</t>
  </si>
  <si>
    <t>GaK74-------06</t>
  </si>
  <si>
    <t>GaK75-------06</t>
  </si>
  <si>
    <t>GaK76-------06</t>
  </si>
  <si>
    <t>GaK71-------07</t>
  </si>
  <si>
    <t>GaK72-------07</t>
  </si>
  <si>
    <t>GaK73-------07</t>
  </si>
  <si>
    <t>GaK74-------07</t>
  </si>
  <si>
    <t>GaK75-------07</t>
  </si>
  <si>
    <t>GaK76-------07</t>
  </si>
  <si>
    <t>GaK71-------08</t>
  </si>
  <si>
    <t>GaK72-------08</t>
  </si>
  <si>
    <t>GaK73-------08</t>
  </si>
  <si>
    <t>GaK74-------08</t>
  </si>
  <si>
    <t>GaK75-------08</t>
  </si>
  <si>
    <t>GaK76-------08</t>
  </si>
  <si>
    <t>GeK61a------01</t>
  </si>
  <si>
    <t>Geothermie</t>
  </si>
  <si>
    <t xml:space="preserve"> 0-20 MW</t>
  </si>
  <si>
    <t>GeK62a------01</t>
  </si>
  <si>
    <t>GeK61a------02</t>
  </si>
  <si>
    <t>GeK62a------02</t>
  </si>
  <si>
    <t>GeK61a------03</t>
  </si>
  <si>
    <t>GeK62a------03</t>
  </si>
  <si>
    <t>GeK61a------04</t>
  </si>
  <si>
    <t>GeK62a------04</t>
  </si>
  <si>
    <t>GeK91-------04</t>
  </si>
  <si>
    <t xml:space="preserve"> 0-5 MW</t>
  </si>
  <si>
    <t>GeK92-------04</t>
  </si>
  <si>
    <t xml:space="preserve"> 5-10 MW</t>
  </si>
  <si>
    <t>GeK93-------04</t>
  </si>
  <si>
    <t xml:space="preserve"> 10-20 MW</t>
  </si>
  <si>
    <t>GeK94-------04</t>
  </si>
  <si>
    <t>GeK91-------05</t>
  </si>
  <si>
    <t>GeK92-------05</t>
  </si>
  <si>
    <t>GeK93-------05</t>
  </si>
  <si>
    <t>GeK94-------05</t>
  </si>
  <si>
    <t>GeK91-------06</t>
  </si>
  <si>
    <t>GeK92-------06</t>
  </si>
  <si>
    <t>GeK93-------06</t>
  </si>
  <si>
    <t>GeK94-------06</t>
  </si>
  <si>
    <t>GeK91-------07</t>
  </si>
  <si>
    <t>GeK92-------07</t>
  </si>
  <si>
    <t>GeK93-------07</t>
  </si>
  <si>
    <t>GeK94-------07</t>
  </si>
  <si>
    <t>GeK91-------08</t>
  </si>
  <si>
    <t>GeK92-------08</t>
  </si>
  <si>
    <t>GeK93-------08</t>
  </si>
  <si>
    <t>GeK94-------08</t>
  </si>
  <si>
    <t>WiK71a------01</t>
  </si>
  <si>
    <t>Wind</t>
  </si>
  <si>
    <t>Anfangsvergütung</t>
  </si>
  <si>
    <t>WiK72a------01</t>
  </si>
  <si>
    <t>Endvergütung</t>
  </si>
  <si>
    <t>WiK71a------02</t>
  </si>
  <si>
    <t>WiK72a------02</t>
  </si>
  <si>
    <t>WiK71a------03</t>
  </si>
  <si>
    <t>WiK72a------03</t>
  </si>
  <si>
    <t>WiK71a------04</t>
  </si>
  <si>
    <t>WiK72a------04</t>
  </si>
  <si>
    <t>WiK101------04</t>
  </si>
  <si>
    <t>WiK102------04</t>
  </si>
  <si>
    <t>WiK103------04</t>
  </si>
  <si>
    <t>WiK104------04</t>
  </si>
  <si>
    <t>WiK101------05</t>
  </si>
  <si>
    <t>WiK102------05</t>
  </si>
  <si>
    <t>WiK103------05</t>
  </si>
  <si>
    <t>WiK104------05</t>
  </si>
  <si>
    <t>BiK81X1by---04</t>
  </si>
  <si>
    <t>BiK81X1bKWKy04</t>
  </si>
  <si>
    <t>BiK81X1bKA3y04</t>
  </si>
  <si>
    <t>BiK81X1bK09y04</t>
  </si>
  <si>
    <t>BiK81X1by---05</t>
  </si>
  <si>
    <t>BiK81X1bKWKy05</t>
  </si>
  <si>
    <t>BiK81X1bKA3y05</t>
  </si>
  <si>
    <t>BiK81X1bK09y05</t>
  </si>
  <si>
    <t>BiK81X1by---06</t>
  </si>
  <si>
    <t>BiK81X1bKWKy06</t>
  </si>
  <si>
    <t>BiK81X1bKA3y06</t>
  </si>
  <si>
    <t>BiK81X1bK09y06</t>
  </si>
  <si>
    <t>BiK81X1by---07</t>
  </si>
  <si>
    <t>BiK81X1bKWKy07</t>
  </si>
  <si>
    <t>BiK81X1bKA3y07</t>
  </si>
  <si>
    <t>BiK81X1bK09y07</t>
  </si>
  <si>
    <t>BiK81X1by---08</t>
  </si>
  <si>
    <t>BiK81X1bKWKy08</t>
  </si>
  <si>
    <t>BiK81X1bKA3y08</t>
  </si>
  <si>
    <t>BiK81X1bK09y08</t>
  </si>
  <si>
    <t>BiK81M1KWKy-07</t>
  </si>
  <si>
    <t>BiK81M1KA3y-07</t>
  </si>
  <si>
    <t>BiK81M1K09y-07</t>
  </si>
  <si>
    <t>BiK81L------07</t>
  </si>
  <si>
    <t>BiK81LKWK---07</t>
  </si>
  <si>
    <t>BiK81LKA3---07</t>
  </si>
  <si>
    <t>BiK81LK09---07</t>
  </si>
  <si>
    <t>0,150-0,5 MW, Bonusregeln a1, i, K</t>
  </si>
  <si>
    <t>0,150-0,5 MW, Bonusregeln a1, i</t>
  </si>
  <si>
    <t>0,150-0,5 MW, Bonusregeln t1, a1, i</t>
  </si>
  <si>
    <t>0,150-0,5 MW, Bonusregeln t1, a1, i, K</t>
  </si>
  <si>
    <t>0,150-0,5 MW, Bonusregeln t2, a1, i</t>
  </si>
  <si>
    <t>0,150-0,5 MW, Bonusregeln t2, a1, i, K</t>
  </si>
  <si>
    <t>X1</t>
  </si>
  <si>
    <t>X2</t>
  </si>
  <si>
    <t>0,150-0,5 MW, Bonusregeln t1, X2</t>
  </si>
  <si>
    <t>0,150-0,5 MW, Bonusregeln t1, X2, i</t>
  </si>
  <si>
    <t>0,150-0,5 MW, Bonusregeln t2, X2</t>
  </si>
  <si>
    <t>0,150-0,5 MW, Bonusregeln t2, X2, i</t>
  </si>
  <si>
    <t>0,150-0,5 MW, Bonusregeln t3, X2</t>
  </si>
  <si>
    <t>WaK230BS----13</t>
  </si>
  <si>
    <t>WaK231BS----13</t>
  </si>
  <si>
    <t>WaK232BS----13</t>
  </si>
  <si>
    <t>WaK233BS----13</t>
  </si>
  <si>
    <t>WaK234BS----13</t>
  </si>
  <si>
    <t>Vergütungskategorie ist 2012/2013 neu nach EEG 2009</t>
  </si>
  <si>
    <t>SgK334-----aMW</t>
  </si>
  <si>
    <t>SoK334-----aMW</t>
  </si>
  <si>
    <t>Verringerung auf Jahres-Marktwert nach § 33 Abs. 4 (Verstoß gegen getrennte Messung)</t>
  </si>
  <si>
    <t>Verringerung auf Jahres-Marktwert nach § 33 Abs. 2 (Überschreitung 90 %) für Anlagen ohne RLM-Messung</t>
  </si>
  <si>
    <t>Sonstige Kategorien</t>
  </si>
  <si>
    <t>0,150-0,5 MW, Bonusregeln t2, i, K</t>
  </si>
  <si>
    <t>BiK271t3i---09</t>
  </si>
  <si>
    <t>BiK271t3iK--09</t>
  </si>
  <si>
    <t>0,150-0,5 MW, Bonusregeln t3, i</t>
  </si>
  <si>
    <t>0,150-0,5 MW, Bonusregeln t3, i, K</t>
  </si>
  <si>
    <t>BiK51nGKA3--02</t>
  </si>
  <si>
    <t>BiK51nGK09--02</t>
  </si>
  <si>
    <t>BiK51nGy----02</t>
  </si>
  <si>
    <t>BiK51nGKA3y-02</t>
  </si>
  <si>
    <t>BiK51nGK09y-02</t>
  </si>
  <si>
    <t>BiK51nM1----02</t>
  </si>
  <si>
    <t>BiK51nM1KA3-02</t>
  </si>
  <si>
    <t>BiK51nM1K09-02</t>
  </si>
  <si>
    <t>BiK51nM1y---02</t>
  </si>
  <si>
    <t>BiK51nM1KA3y02</t>
  </si>
  <si>
    <t>BiK51nM1K09y02</t>
  </si>
  <si>
    <t>BiK51nL-----02</t>
  </si>
  <si>
    <t>BiK51nLKA3--02</t>
  </si>
  <si>
    <t>BiK51nLK09--02</t>
  </si>
  <si>
    <t>BiK51nLy----02</t>
  </si>
  <si>
    <t>BiK51nLKA3y-02</t>
  </si>
  <si>
    <t>BiK51nLK09y-02</t>
  </si>
  <si>
    <t>BiK51nX1----02</t>
  </si>
  <si>
    <t>BiK51nX1KA3-02</t>
  </si>
  <si>
    <t>BiK51nX1K09-02</t>
  </si>
  <si>
    <t>BiK51nX1y---02</t>
  </si>
  <si>
    <t>BiK51nX1KA3y02</t>
  </si>
  <si>
    <t>BiK51nX1K09y02</t>
  </si>
  <si>
    <t>BiK51nG-----01</t>
  </si>
  <si>
    <t>BiK51nGKA3--01</t>
  </si>
  <si>
    <t>BiK51nGK09--01</t>
  </si>
  <si>
    <t>BiK51nGy----01</t>
  </si>
  <si>
    <t>BiK51nGKA3y-01</t>
  </si>
  <si>
    <t>BiK51nGK09y-01</t>
  </si>
  <si>
    <t>BiK51nM1----01</t>
  </si>
  <si>
    <t>BiK51nM1KA3-01</t>
  </si>
  <si>
    <t>BiK51nM1K09-01</t>
  </si>
  <si>
    <t>BiK51nM1y---01</t>
  </si>
  <si>
    <t>BiK51nM1KA3y01</t>
  </si>
  <si>
    <t>BiK51nM1K09y01</t>
  </si>
  <si>
    <t>BiK51nL-----01</t>
  </si>
  <si>
    <t>BiK51nLKA3--01</t>
  </si>
  <si>
    <t>BiK51aM2KA3y01</t>
  </si>
  <si>
    <t>BiK51aM2K09y01</t>
  </si>
  <si>
    <t>BiK51aL-----01</t>
  </si>
  <si>
    <t>BiK51aLKA3--01</t>
  </si>
  <si>
    <t>BiK51aLK09--01</t>
  </si>
  <si>
    <t>BiK51aLy----01</t>
  </si>
  <si>
    <t>BiK51aLKA3y-01</t>
  </si>
  <si>
    <t>BiK51aLK09y-01</t>
  </si>
  <si>
    <t>BiK51aX2----01</t>
  </si>
  <si>
    <t>BiK51aX2KA3-01</t>
  </si>
  <si>
    <t>WnK290S-----13</t>
  </si>
  <si>
    <t>WnK291------13</t>
  </si>
  <si>
    <t>WrK300------13</t>
  </si>
  <si>
    <t>WrK300S-----13</t>
  </si>
  <si>
    <t>WrK301------13</t>
  </si>
  <si>
    <t>WfK310------13</t>
  </si>
  <si>
    <t>WfK311------13</t>
  </si>
  <si>
    <t>(bis einschließlich 2017; 7,0 % ab 2018)</t>
  </si>
  <si>
    <t>Die Strommengen fließen in die Berechnung der Bemessungsleistung ein, nicht jedoch in den bundesweiten Belastungsausgleich oder die Berechnung der vNNE.</t>
  </si>
  <si>
    <t>WiK33b1eMPMJan</t>
  </si>
  <si>
    <t>WiK33b1eMPMFeb</t>
  </si>
  <si>
    <t>WiK33b1eMPMMrz</t>
  </si>
  <si>
    <t>WiK33b1eMPMApr</t>
  </si>
  <si>
    <t>WiK33b1eMPMMai</t>
  </si>
  <si>
    <t>WiK33b1eMPMJun</t>
  </si>
  <si>
    <t>WiK33b1eMPMJul</t>
  </si>
  <si>
    <t>WiK33b1eMPMAug</t>
  </si>
  <si>
    <t>WiK33b1eMPMSep</t>
  </si>
  <si>
    <t>WiK33b1eMPMOkt</t>
  </si>
  <si>
    <t>WiK33b1eMPMNov</t>
  </si>
  <si>
    <t>WiK33b1eMPMDez</t>
  </si>
  <si>
    <t>Marktprämie für Kalendermonat Januar bei Fernsteuerbarkeit nach § 3 Abs. 1 MaPrV (erhöhte Managementprämie)</t>
  </si>
  <si>
    <t>Marktprämie für Kalendermonat Februar bei Fernsteuerbarkeit nach § 3 Abs. 1 MaPrV (erhöhte Managementprämie)</t>
  </si>
  <si>
    <t>Marktprämie für Kalendermonat März bei Fernsteuerbarkeit nach § 3 Abs. 1 MaPrV (erhöhte Managementprämie)</t>
  </si>
  <si>
    <t>Marktprämie für Kalendermonat April bei Fernsteuerbarkeit nach § 3 Abs. 1 MaPrV (erhöhte Managementprämie)</t>
  </si>
  <si>
    <t>Marktprämie für Kalendermonat Mai bei Fernsteuerbarkeit nach § 3 Abs. 1 MaPrV (erhöhte Managementprämie)</t>
  </si>
  <si>
    <t>Marktprämie für Kalendermonat Juni bei Fernsteuerbarkeit nach § 3 Abs. 1 MaPrV (erhöhte Managementprämie)</t>
  </si>
  <si>
    <t>Marktprämie für Kalendermonat Juli bei Fernsteuerbarkeit nach § 3 Abs. 1 MaPrV (erhöhte Managementprämie)</t>
  </si>
  <si>
    <t>Marktprämie für Kalendermonat August bei Fernsteuerbarkeit nach § 3 Abs. 1 MaPrV (erhöhte Managementprämie)</t>
  </si>
  <si>
    <t>Marktprämie für Kalendermonat September bei Fernsteuerbarkeit nach § 3 Abs. 1 MaPrV (erhöhte Managementprämie)</t>
  </si>
  <si>
    <t>Marktprämie für Kalendermonat Oktober bei Fernsteuerbarkeit nach § 3 Abs. 1 MaPrV (erhöhte Managementprämie)</t>
  </si>
  <si>
    <t>Marktprämie für Kalendermonat November bei Fernsteuerbarkeit nach § 3 Abs. 1 MaPrV (erhöhte Managementprämie)</t>
  </si>
  <si>
    <t>Marktprämie für Kalendermonat Dezember bei Fernsteuerbarkeit nach § 3 Abs. 1 MaPrV (erhöhte Managementprämie)</t>
  </si>
  <si>
    <t>WaK41a------02</t>
  </si>
  <si>
    <t>BiK81X1bKWK-07</t>
  </si>
  <si>
    <t>BiK81X1bKA3-07</t>
  </si>
  <si>
    <t>BiK82Gb-----08</t>
  </si>
  <si>
    <t>BiK82GbKWK--08</t>
  </si>
  <si>
    <t>BiK82GbKA3--08</t>
  </si>
  <si>
    <t>BiK82GbK09--08</t>
  </si>
  <si>
    <t>BiK82Gby----08</t>
  </si>
  <si>
    <t>BiK82GbKWKy-08</t>
  </si>
  <si>
    <t>BiK82GbKA3y-08</t>
  </si>
  <si>
    <t>BiK82GbK09y-08</t>
  </si>
  <si>
    <t>BiK82Lb-----08</t>
  </si>
  <si>
    <t>BiK82LbKWK--08</t>
  </si>
  <si>
    <t>BiK82LbKA3--08</t>
  </si>
  <si>
    <t>BiK82LbK09--08</t>
  </si>
  <si>
    <t>BiK82Lby----08</t>
  </si>
  <si>
    <t>BiK82LbKWKy-08</t>
  </si>
  <si>
    <t>BiK82LbKA3y-08</t>
  </si>
  <si>
    <t>BiK82LbK09y-08</t>
  </si>
  <si>
    <t>Vergütungsberechnung für Anlagen mit Inbetriebnahmejahr 2007</t>
  </si>
  <si>
    <t>Vergütungsberechnung für Anlagen mit Inbetriebnahmejahr 2006</t>
  </si>
  <si>
    <t>Vergütungsberechnung für Anlagen mit Inbetriebnahmejahr 2005</t>
  </si>
  <si>
    <t>Vergütungsberechnung für Anlagen mit Inbetriebnahmejahr 2004</t>
  </si>
  <si>
    <t>BiK81G------07</t>
  </si>
  <si>
    <t>BiK81GKWK---07</t>
  </si>
  <si>
    <t>BiK81GKA3---07</t>
  </si>
  <si>
    <t>BiK81GK09---07</t>
  </si>
  <si>
    <t>BiK81Gy-----07</t>
  </si>
  <si>
    <t>BiK81GKWKy--07</t>
  </si>
  <si>
    <t>BiK81GKA3y--07</t>
  </si>
  <si>
    <t>BiK81GK09y--07</t>
  </si>
  <si>
    <t>BiK81M1-----07</t>
  </si>
  <si>
    <t>BiK81M1KWK--07</t>
  </si>
  <si>
    <t>BiK81M1KA3--07</t>
  </si>
  <si>
    <t>BiK81M1K09--07</t>
  </si>
  <si>
    <t>BiK81M1y----07</t>
  </si>
  <si>
    <t>&gt; 10 MW</t>
  </si>
  <si>
    <t>BiK81LbKA3--04</t>
  </si>
  <si>
    <t>BiK81LbK09--04</t>
  </si>
  <si>
    <t>BiK81Lby----04</t>
  </si>
  <si>
    <t>BiK81LbKWKy-04</t>
  </si>
  <si>
    <t>WiK102S-----08</t>
  </si>
  <si>
    <t>Bezeichnung</t>
  </si>
  <si>
    <t>Energieträger</t>
  </si>
  <si>
    <t>Inbetriebnahme</t>
  </si>
  <si>
    <t>Weitere Kriterien</t>
  </si>
  <si>
    <t>Anteilige Zuordnung</t>
  </si>
  <si>
    <t>WaK41a------01</t>
  </si>
  <si>
    <t>Wasser</t>
  </si>
  <si>
    <t>Inbetriebnahme bis 2001</t>
  </si>
  <si>
    <t>WaK42a------01</t>
  </si>
  <si>
    <t>WaK-ap------FG</t>
  </si>
  <si>
    <t>BiK-ap------FG</t>
  </si>
  <si>
    <t>GaK-ap------FG</t>
  </si>
  <si>
    <t>DeK-ap------FG</t>
  </si>
  <si>
    <t>KlK-ap------FG</t>
  </si>
  <si>
    <t>GrK-ap------FG</t>
  </si>
  <si>
    <t>GeK-ap------FG</t>
  </si>
  <si>
    <t>WiK-ap------FG</t>
  </si>
  <si>
    <t>WnK-ap------FG</t>
  </si>
  <si>
    <t>WrK-ap------FG</t>
  </si>
  <si>
    <t>WfK-ap------FG</t>
  </si>
  <si>
    <t>SoK-ap------FG</t>
  </si>
  <si>
    <t>SgK-ap------FG</t>
  </si>
  <si>
    <t>In der Regel wird es sich ausschließlich um eine nachträglich erhöhte Vergütungsansprüche handeln, während die Strommengen bereits in den Belastungsausgleich eingebracht worden sind. In diesem Fall ist keine Strommenge anzugeben, sondern nur der nachträgliche Vergütungsanspruch als Differenz zur bereits abgerechneten Vergütung. Sollte im konkreten Fall die Strommengen noch nicht in den Belastungsausgleich eingebracht worden sein, sind diese Strommengen zusätzlich anzugeben und in die Berechnung der vNNE einzubeziehen. Erhöht sich nachträglich die auszuzahlende Marktprämie, sind die dafür vorgesehenen Kategorien analog zu verwenden.</t>
  </si>
  <si>
    <t>WaK-ap-----MPM</t>
  </si>
  <si>
    <t>BiK-ap-----MPM</t>
  </si>
  <si>
    <t>GaK-ap-----MPM</t>
  </si>
  <si>
    <t>DeK-ap-----MPM</t>
  </si>
  <si>
    <t>KlK-ap-----MPM</t>
  </si>
  <si>
    <t>GrK-ap-----MPM</t>
  </si>
  <si>
    <t>GeK-ap-----MPM</t>
  </si>
  <si>
    <t>WiK-ap-----MPM</t>
  </si>
  <si>
    <t>WnK-ap-----MPM</t>
  </si>
  <si>
    <t>WrK-ap-----MPM</t>
  </si>
  <si>
    <t>WfK-ap-----MPM</t>
  </si>
  <si>
    <t>SoK-ap-----MPM</t>
  </si>
  <si>
    <t>SgK-ap-----MPM</t>
  </si>
  <si>
    <t>blassblau</t>
  </si>
  <si>
    <t>De = Deponiegas (ab Inbetriebnahmejahr 2009)</t>
  </si>
  <si>
    <t>Kl = Klärgas (ab Inbetriebnahmejahr 2009)</t>
  </si>
  <si>
    <t>Gr = Grubengas (ab Inbetriebnahmejahr 2009)</t>
  </si>
  <si>
    <t>Wn = Wind onshore (ab Inbetriebnahmejahr 2009)</t>
  </si>
  <si>
    <t>Wr = Wind Repowering (ab Inbetriebnahmejahr 2009)</t>
  </si>
  <si>
    <t>So = Solarenergie-Freiflächenanlagen</t>
  </si>
  <si>
    <t xml:space="preserve">Stellen 4-5 </t>
  </si>
  <si>
    <t>24 für Deponiegas</t>
  </si>
  <si>
    <t>25 für Klärgas</t>
  </si>
  <si>
    <t>26 für Grubengas</t>
  </si>
  <si>
    <t>27 für Biomasse</t>
  </si>
  <si>
    <t>28 für Geothermie</t>
  </si>
  <si>
    <t>29 für Windenergie an Land</t>
  </si>
  <si>
    <t>30 für Windenergie an Land Repowering</t>
  </si>
  <si>
    <t>31 für Windenergie offshore</t>
  </si>
  <si>
    <t>32 für Solarenergie (Freiflächenanlagen)</t>
  </si>
  <si>
    <t>33 für Solarenergie an oder auf Gebäuden</t>
  </si>
  <si>
    <t>a) Wasserkraft: modernisierte Anlage oder Neubau</t>
  </si>
  <si>
    <t>b) Windenergie: Anfangs- oder Endvergütung</t>
  </si>
  <si>
    <t>c) Solarenergie: „normale“ Vergütung oder Eigenverbrauch</t>
  </si>
  <si>
    <t>1. Technologiebonus (t1, t2, t3)</t>
  </si>
  <si>
    <t>BiK51nK13---02</t>
  </si>
  <si>
    <t>BiK51nK13y--02</t>
  </si>
  <si>
    <t>BiK51aK13---02</t>
  </si>
  <si>
    <t>BiK51aK13y--02</t>
  </si>
  <si>
    <t>BiK52aK13---02</t>
  </si>
  <si>
    <t>BiK81M1K13y-05</t>
  </si>
  <si>
    <t>BiK82M2K13y-05</t>
  </si>
  <si>
    <t>BiK51na1K13-01</t>
  </si>
  <si>
    <t>BiK51aa1K13-01</t>
  </si>
  <si>
    <t>BiK52aa2K13-01</t>
  </si>
  <si>
    <t>BiK81K13----06</t>
  </si>
  <si>
    <t>BiK82K13----06</t>
  </si>
  <si>
    <t>BiK83K13----06</t>
  </si>
  <si>
    <t>BiK82M2K13--05</t>
  </si>
  <si>
    <t>BiK81M1K13--05</t>
  </si>
  <si>
    <t>BiK81a1KA3--08</t>
  </si>
  <si>
    <t>BiK81bKA3---08</t>
  </si>
  <si>
    <t>BiK81a1bKA3-08</t>
  </si>
  <si>
    <t>BiK82KA3----08</t>
  </si>
  <si>
    <t>BiK82a1KA3--08</t>
  </si>
  <si>
    <t>BiK82bKA3---08</t>
  </si>
  <si>
    <t>BiK82a1bKA3-08</t>
  </si>
  <si>
    <t>BiK84K09----04</t>
  </si>
  <si>
    <t>BiK81K09----05</t>
  </si>
  <si>
    <t>BiK81a1K09--05</t>
  </si>
  <si>
    <t>BiK81bK09---05</t>
  </si>
  <si>
    <t>BiK81a1bK09-05</t>
  </si>
  <si>
    <t>BiK82K09----05</t>
  </si>
  <si>
    <t>BiK82a1K09--05</t>
  </si>
  <si>
    <t>BiK82bK09---05</t>
  </si>
  <si>
    <t>BiK82a1bK09-05</t>
  </si>
  <si>
    <t>BiK83K09----05</t>
  </si>
  <si>
    <t>BiK83a2K09--05</t>
  </si>
  <si>
    <t>BiK83a3K09--05</t>
  </si>
  <si>
    <t>BiK83bK09---05</t>
  </si>
  <si>
    <t>BiK83a2bK09-05</t>
  </si>
  <si>
    <t>BiK83a3bK09-05</t>
  </si>
  <si>
    <t>BiK84K09----05</t>
  </si>
  <si>
    <t>BiK81K09----06</t>
  </si>
  <si>
    <t>BiK81a1K09--06</t>
  </si>
  <si>
    <t>t1</t>
  </si>
  <si>
    <t>t2</t>
  </si>
  <si>
    <t>t3</t>
  </si>
  <si>
    <t>&lt; 5 MW</t>
  </si>
  <si>
    <t>ah</t>
  </si>
  <si>
    <t>0,5-5 MW, Bonusregeln t1, ah</t>
  </si>
  <si>
    <t>0,5-5 MW, Bonusregeln t2, ah</t>
  </si>
  <si>
    <t>0,5-5 MW, Bonusregeln t3, ah</t>
  </si>
  <si>
    <t>M1</t>
  </si>
  <si>
    <t>M2</t>
  </si>
  <si>
    <t>BiK81LbKA3y-04</t>
  </si>
  <si>
    <t>BiK81LbK09y-04</t>
  </si>
  <si>
    <t>BiK81X1b----04</t>
  </si>
  <si>
    <t>BiK81X1bKWK-04</t>
  </si>
  <si>
    <t>BiK81X1bKA3-04</t>
  </si>
  <si>
    <t>BiK81X1bK09-04</t>
  </si>
  <si>
    <t>BiK82G------04</t>
  </si>
  <si>
    <t>SoK320------10</t>
  </si>
  <si>
    <t>SgK330------10</t>
  </si>
  <si>
    <t>SgK331------10</t>
  </si>
  <si>
    <t>SgK332------10</t>
  </si>
  <si>
    <t>SgK333------10</t>
  </si>
  <si>
    <t>SgK3341-----10</t>
  </si>
  <si>
    <t>SgK3342-----10</t>
  </si>
  <si>
    <t>Inbetriebnahme 2010</t>
  </si>
  <si>
    <t>Degressionssatz für Freiflächenanlagen</t>
  </si>
  <si>
    <t>Degressionssatz für Vergütungssätze nach § 33 Abs. 1 Nr. 1 EEG</t>
  </si>
  <si>
    <t>Degressionssatz für Vergütungssätze nach § 33 Abs. 1 Nr. 2 EEG</t>
  </si>
  <si>
    <t>Degressionssatz für Vergütungssätze nach § 33 Abs. 1 Nr. 3 EEG</t>
  </si>
  <si>
    <t>Degressionssatz für Vergütungssätze nach § 33 Abs. 1 Nr. 4 EEG</t>
  </si>
  <si>
    <t>Degressionssatz für Vergütungssätze nach § 33 Abs. 2 EEG</t>
  </si>
  <si>
    <t>BiK270------10</t>
  </si>
  <si>
    <t>BiK270K-----10</t>
  </si>
  <si>
    <t>BiK270i-----10</t>
  </si>
  <si>
    <t>BiK270iK----10</t>
  </si>
  <si>
    <t>BiK270a1----10</t>
  </si>
  <si>
    <t>BiK270a1K---10</t>
  </si>
  <si>
    <t>BiK270a1i---10</t>
  </si>
  <si>
    <t>BiK270a1iK--10</t>
  </si>
  <si>
    <t>BiK270G-----10</t>
  </si>
  <si>
    <t>BiK270GK----10</t>
  </si>
  <si>
    <t>BiK270Gi----10</t>
  </si>
  <si>
    <t>BiK270GiK---10</t>
  </si>
  <si>
    <t>BiK270L-----10</t>
  </si>
  <si>
    <t>BiK270LK----10</t>
  </si>
  <si>
    <t>BiK270Li----10</t>
  </si>
  <si>
    <t>BiK270LiK---10</t>
  </si>
  <si>
    <t>BiK270M1----10</t>
  </si>
  <si>
    <t>BiK270M1K---10</t>
  </si>
  <si>
    <t>BiK270M1i---10</t>
  </si>
  <si>
    <t>BiK270M1iK--10</t>
  </si>
  <si>
    <t>BiK270X1----10</t>
  </si>
  <si>
    <t>BiK270X1K---10</t>
  </si>
  <si>
    <t>BiK270X1i---10</t>
  </si>
  <si>
    <t>BiK270X1iK--10</t>
  </si>
  <si>
    <t>BiK270t1----10</t>
  </si>
  <si>
    <t>BiK270t1K---10</t>
  </si>
  <si>
    <t>BiK270t1i---10</t>
  </si>
  <si>
    <t>BiK270t1iK--10</t>
  </si>
  <si>
    <t>BiK270t1a1--10</t>
  </si>
  <si>
    <t>BiK270t1a1K-10</t>
  </si>
  <si>
    <t>BiK270t1a1i-10</t>
  </si>
  <si>
    <t>BiK270t1a1iK10</t>
  </si>
  <si>
    <t>BiK270t1G---10</t>
  </si>
  <si>
    <t>BiK270t1GK--10</t>
  </si>
  <si>
    <t>BiK270t1Gi--10</t>
  </si>
  <si>
    <t>BiK270t1GiK-10</t>
  </si>
  <si>
    <t>BiK270t1L---10</t>
  </si>
  <si>
    <t>BiK270t1LK--10</t>
  </si>
  <si>
    <t>BiK270t1Li--10</t>
  </si>
  <si>
    <t>BiK270t1LiK-10</t>
  </si>
  <si>
    <t>BiK270t1M1--10</t>
  </si>
  <si>
    <t>BiK270t1M1K-10</t>
  </si>
  <si>
    <t>BiK81M1b----05</t>
  </si>
  <si>
    <t>BiK81M1bKWK-05</t>
  </si>
  <si>
    <t>BiK81M1bKA3-05</t>
  </si>
  <si>
    <t>BiK81M1bK09-05</t>
  </si>
  <si>
    <t>BiK81M1by---05</t>
  </si>
  <si>
    <t>BiK81M1bKWKy05</t>
  </si>
  <si>
    <t>BiK81M1bKA3y05</t>
  </si>
  <si>
    <t>BiK81M1bK09y05</t>
  </si>
  <si>
    <t>BiK81Lb-----05</t>
  </si>
  <si>
    <t>BiK81LbKWK--05</t>
  </si>
  <si>
    <t>BiK81LbKA3--05</t>
  </si>
  <si>
    <t>BiK81LbK09--05</t>
  </si>
  <si>
    <t>BiK81Lby----05</t>
  </si>
  <si>
    <t>BiK81LbKWKy-05</t>
  </si>
  <si>
    <t>BiK81LbKA3y-05</t>
  </si>
  <si>
    <t>BiK81LbK09y-05</t>
  </si>
  <si>
    <t>BiK81X1b----05</t>
  </si>
  <si>
    <t>BiK81X1bKWK-05</t>
  </si>
  <si>
    <t>BiK81X1bKA3-05</t>
  </si>
  <si>
    <t>BiK81X1bK09-05</t>
  </si>
  <si>
    <t>BiK82G------05</t>
  </si>
  <si>
    <t>BiK82GKWK---05</t>
  </si>
  <si>
    <t>BiK82GKA3---05</t>
  </si>
  <si>
    <t>BiK82GK09---05</t>
  </si>
  <si>
    <t>BiK82Gy-----05</t>
  </si>
  <si>
    <t>BiK82GKWKy--05</t>
  </si>
  <si>
    <t>BiK82GKA3y--05</t>
  </si>
  <si>
    <t>BiK82GK09y--05</t>
  </si>
  <si>
    <t>BiK82M2-----05</t>
  </si>
  <si>
    <t>BiK82M2KWK--05</t>
  </si>
  <si>
    <t>BiK82M2KA3--05</t>
  </si>
  <si>
    <t>BiK82M2K09--05</t>
  </si>
  <si>
    <t>BiK82M2y----05</t>
  </si>
  <si>
    <t>BiK82M2KWKy-05</t>
  </si>
  <si>
    <t>BiK82M2KA3y-05</t>
  </si>
  <si>
    <t>BiK82M2K09y-05</t>
  </si>
  <si>
    <t>BiK82L------05</t>
  </si>
  <si>
    <t>BiK82LKWK---05</t>
  </si>
  <si>
    <t>BiK82LKA3---05</t>
  </si>
  <si>
    <t>BiK82LK09---05</t>
  </si>
  <si>
    <t>BiK82Ly-----05</t>
  </si>
  <si>
    <t>BiK82LKWKy--05</t>
  </si>
  <si>
    <t>BiK82LKA3y--05</t>
  </si>
  <si>
    <t>BiK82LK09y--05</t>
  </si>
  <si>
    <t>BiK82X2-----05</t>
  </si>
  <si>
    <t>BiK82X2KWK--05</t>
  </si>
  <si>
    <t>BiK82X2KA3--05</t>
  </si>
  <si>
    <t>BiK82X2K09--05</t>
  </si>
  <si>
    <t>BiK82X2y----05</t>
  </si>
  <si>
    <t>BiK82X2KWKy-05</t>
  </si>
  <si>
    <t>BiK82X2KA3y-05</t>
  </si>
  <si>
    <t>BiK82X2K09y-05</t>
  </si>
  <si>
    <t>BiK82Gb-----05</t>
  </si>
  <si>
    <t>BiK82GbKWK--05</t>
  </si>
  <si>
    <t>BiK82GbKA3--05</t>
  </si>
  <si>
    <t>BiK82GbK09--05</t>
  </si>
  <si>
    <t>BiK82Gby----05</t>
  </si>
  <si>
    <t>BiK82GbKWKy-05</t>
  </si>
  <si>
    <t>BiK82GbKA3y-05</t>
  </si>
  <si>
    <t>BiK82GbK09y-05</t>
  </si>
  <si>
    <t>BiK82Lb-----05</t>
  </si>
  <si>
    <t>BiK82LbKWK--05</t>
  </si>
  <si>
    <t>BiK82LbKA3--05</t>
  </si>
  <si>
    <t>BiK82LbK09--05</t>
  </si>
  <si>
    <t>BiK82Lby----05</t>
  </si>
  <si>
    <t>BiK82LbKWKy-05</t>
  </si>
  <si>
    <t>BiK82LbKA3y-05</t>
  </si>
  <si>
    <t>BiK82LbK09y-05</t>
  </si>
  <si>
    <t>BiK81G------04</t>
  </si>
  <si>
    <t>BiK81GKWK---04</t>
  </si>
  <si>
    <t>WnK1723-----MW</t>
  </si>
  <si>
    <t>WrK1723-----MW</t>
  </si>
  <si>
    <t>WfK1723-----MW</t>
  </si>
  <si>
    <t>SoK1723-----MW</t>
  </si>
  <si>
    <t>SgK1723-----MW</t>
  </si>
  <si>
    <t>WaK1724-----MW</t>
  </si>
  <si>
    <t>BiK1724-----MW</t>
  </si>
  <si>
    <t>GaK1724-----MW</t>
  </si>
  <si>
    <t>DeK1724-----MW</t>
  </si>
  <si>
    <t>KlK1724-----MW</t>
  </si>
  <si>
    <t>GrK1724-----MW</t>
  </si>
  <si>
    <t>GeK1724-----MW</t>
  </si>
  <si>
    <t>WiK1724-----MW</t>
  </si>
  <si>
    <t>WnK1724-----MW</t>
  </si>
  <si>
    <t>WrK1724-----MW</t>
  </si>
  <si>
    <t>WfK1724-----MW</t>
  </si>
  <si>
    <t>SoK1724-----MW</t>
  </si>
  <si>
    <t>SgK1724-----MW</t>
  </si>
  <si>
    <t>WaK173------MW</t>
  </si>
  <si>
    <t>BiK173------MW</t>
  </si>
  <si>
    <t>GaK173------MW</t>
  </si>
  <si>
    <t>DeK173------MW</t>
  </si>
  <si>
    <t>KlK173------MW</t>
  </si>
  <si>
    <t>GrK173------MW</t>
  </si>
  <si>
    <t>GeK173------MW</t>
  </si>
  <si>
    <t>WiK173------MW</t>
  </si>
  <si>
    <t>WnK173------MW</t>
  </si>
  <si>
    <t>WrK173------MW</t>
  </si>
  <si>
    <t>WfK173------MW</t>
  </si>
  <si>
    <t>SoK173------MW</t>
  </si>
  <si>
    <t>SgK173------MW</t>
  </si>
  <si>
    <t>WaK33f3-----MW</t>
  </si>
  <si>
    <t>BiK33f3-----MW</t>
  </si>
  <si>
    <t>GaK33f3-----MW</t>
  </si>
  <si>
    <t>DeK33f3-----MW</t>
  </si>
  <si>
    <t>KlK33f3-----MW</t>
  </si>
  <si>
    <t>GrK33f3-----MW</t>
  </si>
  <si>
    <t>GeK33f3-----MW</t>
  </si>
  <si>
    <t>WiK33f3-----MW</t>
  </si>
  <si>
    <t>WnK33f3-----MW</t>
  </si>
  <si>
    <t>WrK33f3-----MW</t>
  </si>
  <si>
    <t>WfK33f3-----MW</t>
  </si>
  <si>
    <t>SoK33f3-----MW</t>
  </si>
  <si>
    <t>SgK33f3-----MW</t>
  </si>
  <si>
    <t>Entfall Marktprämie nach § 33g Abs. 3 (Pflichtverletzung bei DV)</t>
  </si>
  <si>
    <t>Nicht-Anerkennung als Grünstrom nach § 39 Abs. 2 Satz 2 (Pflichtverletzung bei DV)</t>
  </si>
  <si>
    <t>Verringerung auf Null nach § 17 Abs. 1 (Nichterfüllung § 6 Technische Vorgaben)</t>
  </si>
  <si>
    <t>Verringerung auf Marktwert nach § 17 Abs. 2 Nr. 1 (keine gültige Anmeldung PV-Anlage)</t>
  </si>
  <si>
    <t>Verringerung auf Marktwert nach § 17 Abs. 2 Nr. 2 (Unterlassene Anmeldung im Anlagenregister)</t>
  </si>
  <si>
    <t>Verringerung auf Marktwert nach § 17 Abs. 2 Nr. 4 (Vorbildfunktion öffentlicher Gebäude)</t>
  </si>
  <si>
    <t>Verringerung auf Marktwert nach § 17 Abs. 3 (Meldepflichtverstoß Wechsel von DV in EEG-Einspeisung)</t>
  </si>
  <si>
    <t>Verringerung auf Marktwert nach § 27 Abs. 7 Satz 1 (Verstoß gegen § 27 Abs. 4 oder 5)</t>
  </si>
  <si>
    <t>Verringerung auf Marktwert nach § 33f Abs. 3 für Strom nach § 16 (Pflichtverletzung bei anteiliger DV)</t>
  </si>
  <si>
    <t>WrK300------12</t>
  </si>
  <si>
    <t>WrK300S-----12</t>
  </si>
  <si>
    <t>WrK301------12</t>
  </si>
  <si>
    <t>BiK2771-----MW</t>
  </si>
  <si>
    <t>GaK33g3-MPM--0</t>
  </si>
  <si>
    <t>DeK33g3-MPM--0</t>
  </si>
  <si>
    <t>KlK33g3-MPM--0</t>
  </si>
  <si>
    <t>GrK33g3-MPM--0</t>
  </si>
  <si>
    <t>GeK33g3-MPM--0</t>
  </si>
  <si>
    <t>WiK33g3-MPM--0</t>
  </si>
  <si>
    <t>WnK33g3-MPM--0</t>
  </si>
  <si>
    <t>WrK33g3-MPM--0</t>
  </si>
  <si>
    <t>WfK33g3-MPM--0</t>
  </si>
  <si>
    <t>SoK33g3-MPM--0</t>
  </si>
  <si>
    <t>SgK33g3-MPM--0</t>
  </si>
  <si>
    <t>GaK3922-GSP--0</t>
  </si>
  <si>
    <t>DeK3922-GSP--0</t>
  </si>
  <si>
    <t>KlK3922-GSP--0</t>
  </si>
  <si>
    <t>GrK3922-GSP--0</t>
  </si>
  <si>
    <t>GeK3922-GSP--0</t>
  </si>
  <si>
    <t>WiK3922-GSP--0</t>
  </si>
  <si>
    <t>WnK3922-GSP--0</t>
  </si>
  <si>
    <t>WrK3922-GSP--0</t>
  </si>
  <si>
    <t>WfK3922-GSP--0</t>
  </si>
  <si>
    <t>SoK3922-GSP--0</t>
  </si>
  <si>
    <t>SgK3922-GSP--0</t>
  </si>
  <si>
    <t>Die Kategorien erfassen die nach § 33i EEG 2012 die an den Anlagenbetreiber ausgezahlte Flexibilitätsprämie sowie die der Berechnung zugrundeliegende Marktprämien-Strommenge.</t>
  </si>
  <si>
    <t>Verringerung auf Marktwert nach § 17 Abs. 2 Nr. 3 (Verstoß gegen Strom-Überlassung nach § 16 Abs. 3)</t>
  </si>
  <si>
    <t>Die Strommengen sind bereits in den gemeldeten Strommengen für Direktvermarktung enthalten. Daher sind sie weder für die Berechnung der Bemessungsleistung nach § 3 Nr. 2a EEG 2012, der vNNE noch der in den bundesweiten Belastungsausgleich fließenden Strommengen einzubeziehen.</t>
  </si>
  <si>
    <t>BiK81GbK13y-06</t>
  </si>
  <si>
    <t>BiK82GbK13y-06</t>
  </si>
  <si>
    <t>BiK83a2bK13-06</t>
  </si>
  <si>
    <t>BiK51nM1K13y01</t>
  </si>
  <si>
    <t>BiK51aM2K13y01</t>
  </si>
  <si>
    <t>BiK51nM1K13-01</t>
  </si>
  <si>
    <t>BiK51aM2K13-01</t>
  </si>
  <si>
    <t>0,150-0,5 MW, Bonusregeln t3, G, i</t>
  </si>
  <si>
    <t>BiK83K09----04</t>
  </si>
  <si>
    <t>BiK83a2K09--04</t>
  </si>
  <si>
    <t>BiK81KWKy---07</t>
  </si>
  <si>
    <t>§ 27 Abs. 4 Satz 1 Nr. 2 EEG; Anlage 2 Punkt VI., 1a (1)</t>
  </si>
  <si>
    <t>§ 27 Abs. 4 Satz 1 Nr. 2 EEG; Anlage 2 Punkt VI., 1a (2)</t>
  </si>
  <si>
    <t>§ 27 Abs. 4 Satz 1 Nr. 2 EEG; Anlage 2 Punkt VI., 1b</t>
  </si>
  <si>
    <t xml:space="preserve">§ 27 Abs. 4 Satz 1 Nr. 2 EEG; Anlage 2 Punkt VI., 2a </t>
  </si>
  <si>
    <t>§ 27 Abs. 4 Satz 1 Nr. 2 EEG; Anlage 2 Punkt VI., 2b (1)</t>
  </si>
  <si>
    <t>§ 27 Abs. 4 Satz 1 Nr. 2 EEG; Anlage 2 Punkt VI., 2b (2)</t>
  </si>
  <si>
    <t>§ 27 Abs. 4 Satz 1 Nr. 2 EEG; Anlage 2 Punkt VI., 2c</t>
  </si>
  <si>
    <t>Anteil KWK-Strom</t>
  </si>
  <si>
    <t>BiK51nK09---02</t>
  </si>
  <si>
    <t>BiK51na1K09-02</t>
  </si>
  <si>
    <t>BiK51aK09---02</t>
  </si>
  <si>
    <t>BiK51aa1K09-02</t>
  </si>
  <si>
    <t>BiK52aK09---02</t>
  </si>
  <si>
    <t>BiK52aa2K09-02</t>
  </si>
  <si>
    <t>BiK52aa3K09-02</t>
  </si>
  <si>
    <t>BiK53aK09---02</t>
  </si>
  <si>
    <t>BiK51nK09---03</t>
  </si>
  <si>
    <t>BiK51na1K09-03</t>
  </si>
  <si>
    <t>BiK51aK09---03</t>
  </si>
  <si>
    <t>BiK51aa1K09-03</t>
  </si>
  <si>
    <t>BiK52aa2K09-03</t>
  </si>
  <si>
    <t>BiK52aa3K09-03</t>
  </si>
  <si>
    <t>BiK53aK09---03</t>
  </si>
  <si>
    <t>BiK51aa1K09-01</t>
  </si>
  <si>
    <t>BiK52aK09---01</t>
  </si>
  <si>
    <t>BiK52aa2K09-01</t>
  </si>
  <si>
    <t>SoK1721-----MW</t>
  </si>
  <si>
    <t>SgK1721-----MW</t>
  </si>
  <si>
    <t>WaK1722-----MW</t>
  </si>
  <si>
    <t>BiK1722-----MW</t>
  </si>
  <si>
    <t>GaK1722-----MW</t>
  </si>
  <si>
    <t>DeK1722-----MW</t>
  </si>
  <si>
    <t>KlK1722-----MW</t>
  </si>
  <si>
    <t>GrK1722-----MW</t>
  </si>
  <si>
    <t>GeK1722-----MW</t>
  </si>
  <si>
    <t>WiK1722-----MW</t>
  </si>
  <si>
    <t>WnK1722-----MW</t>
  </si>
  <si>
    <t>WrK1722-----MW</t>
  </si>
  <si>
    <t>WfK1722-----MW</t>
  </si>
  <si>
    <t>SoK1722-----MW</t>
  </si>
  <si>
    <t>SgK1722-----MW</t>
  </si>
  <si>
    <t>WaK1723-----MW</t>
  </si>
  <si>
    <t>BiK1723-----MW</t>
  </si>
  <si>
    <t>GaK1723-----MW</t>
  </si>
  <si>
    <t>DeK1723-----MW</t>
  </si>
  <si>
    <t>KlK1723-----MW</t>
  </si>
  <si>
    <t>GrK1723-----MW</t>
  </si>
  <si>
    <t>GeK1723-----MW</t>
  </si>
  <si>
    <t>WiK1723-----MW</t>
  </si>
  <si>
    <t>0,5-5 MW, Bonusregeln t2, ah, K</t>
  </si>
  <si>
    <t>0,150-0,5 MW, Bonusregeln t2, G, K</t>
  </si>
  <si>
    <t>0,150-0,5 MW, Bonusregeln t2, L, K</t>
  </si>
  <si>
    <t>0,150-0,5 MW, Bonusregeln t2, X2, K</t>
  </si>
  <si>
    <t>0,150-0,5 MW, Bonusregeln t2, G, i, K</t>
  </si>
  <si>
    <t>0,150-0,5 MW, Bonusregeln t2, L, i, K</t>
  </si>
  <si>
    <t>0,150-0,5 MW, Bonusregeln t2, X2, i, K</t>
  </si>
  <si>
    <t>0,150-0,5 MW, Bonusregeln t3, a1, K</t>
  </si>
  <si>
    <t>0,5-5 MW, Bonusregeln t3, a2, K</t>
  </si>
  <si>
    <t>0,5-5 MW, Bonusregeln t3, ah, K</t>
  </si>
  <si>
    <t>GaK41a------01</t>
  </si>
  <si>
    <t>Das heißt, dass für den selbst verbrauchten Strom (im Beispiel 80.000 kWh) keine vermiedenen Netzentgelte berechnet werden.</t>
  </si>
  <si>
    <t>Von der gesamten im Kalenderjahr erzeugten Strommenge von 200.000 kWh werden zeitgleich 80.000 kWh nach § 33 Abs. 2 EEG selbst verbraucht.</t>
  </si>
  <si>
    <t>KWK-Bonusmögl.</t>
  </si>
  <si>
    <t xml:space="preserve">KWK-Bonus </t>
  </si>
  <si>
    <t>BiK54aK09---03</t>
  </si>
  <si>
    <t>BiK54aK09---01</t>
  </si>
  <si>
    <t>BiK54aK09---02</t>
  </si>
  <si>
    <t>BiK81bK09---04</t>
  </si>
  <si>
    <t>BiK81a1bK09-04</t>
  </si>
  <si>
    <t>BiK81Gy-----08</t>
  </si>
  <si>
    <t>BiK81GKWKy--08</t>
  </si>
  <si>
    <t>BiK81GKA3y--08</t>
  </si>
  <si>
    <t>BiK81GK09y--08</t>
  </si>
  <si>
    <t>BiK81M1K09--08</t>
  </si>
  <si>
    <t>BiK81M1KA3--08</t>
  </si>
  <si>
    <t>BiK81M1KWK--08</t>
  </si>
  <si>
    <t>BiK81M1-----08</t>
  </si>
  <si>
    <t>BiK270i-----09</t>
  </si>
  <si>
    <t>BiK270iK----09</t>
  </si>
  <si>
    <t>BiK270t1i---09</t>
  </si>
  <si>
    <t>BiK270t1iK--09</t>
  </si>
  <si>
    <t>BiK270t2i---09</t>
  </si>
  <si>
    <t>BiK270t2iK--09</t>
  </si>
  <si>
    <t>Bonus petrothermale Technik</t>
  </si>
  <si>
    <t xml:space="preserve">Systemdienstleistungs-bonus </t>
  </si>
  <si>
    <t>Bonusregeln für Anlagen mit Inbetriebnahmejahr 2009, 2010, 2011, 2012</t>
  </si>
  <si>
    <t>IB in 2012</t>
  </si>
  <si>
    <t>1,94 (Biom.)</t>
  </si>
  <si>
    <t xml:space="preserve">Systemdienst-leistungsbonus </t>
  </si>
  <si>
    <r>
      <t>KWK-Bonusregeln (KWK, KA3, K09, K10, K11 und K12):</t>
    </r>
    <r>
      <rPr>
        <sz val="10.5"/>
        <rFont val="Calibri"/>
        <family val="2"/>
      </rPr>
      <t xml:space="preserve"> 
</t>
    </r>
    <r>
      <rPr>
        <b/>
        <sz val="10.5"/>
        <rFont val="Calibri"/>
        <family val="2"/>
      </rPr>
      <t>Bonus KWK</t>
    </r>
    <r>
      <rPr>
        <sz val="10.5"/>
        <rFont val="Calibri"/>
        <family val="2"/>
      </rPr>
      <t xml:space="preserve"> (§ 8 Abs. 3 EEG 2004) in Höhe von 2,0 ct/kWh bei ausschließlicher Verwendung von Biomasse gemäß Biomasseverordnung für Anlagen, die KWK-Anlage gemäß FW 308 sind und dies entsprechend nachweisen. Die Bonusregel gilt nur für den KWK-Anteil des erzeugten elektrischen Stroms. 
</t>
    </r>
    <r>
      <rPr>
        <b/>
        <sz val="10.5"/>
        <rFont val="Calibri"/>
        <family val="2"/>
      </rPr>
      <t xml:space="preserve">Bonus K09, K10, K11 und K12 </t>
    </r>
    <r>
      <rPr>
        <sz val="10.5"/>
        <rFont val="Calibri"/>
        <family val="2"/>
      </rPr>
      <t xml:space="preserve">(§ 66 Abs. 1 Nr. 3 Satz 1 EEG 2009): Für Biomasseanlagen, die vor dem 01.01.2009 in Betrieb genommen wurden und die nach dem 31.12.2008 erstmals in Kraft-Wärme-Kopplung nach Maßgabe der Anlage 3 zum EEG 2009 betrieben wurden, beträgt der KWK-Bonus 3,00 ct/kWh bei erstmaligem KWK-Betrieb in 2009 (Bonus K09), 2,97 ct/kWh bei erstmaligem KWK-Betrieb in 2010 (Bonus K10), 2,94 ct/kWh bei erstmaligem KWK-Betrieb in 2011 (Bonus K11) und 2,91 ct/kWh bei erstmaligem KWK-Betrieb in 2012 (Bonus K12).
</t>
    </r>
    <r>
      <rPr>
        <b/>
        <sz val="10.5"/>
        <rFont val="Calibri"/>
        <family val="2"/>
      </rPr>
      <t>Bonus KA3</t>
    </r>
    <r>
      <rPr>
        <sz val="10.5"/>
        <rFont val="Calibri"/>
        <family val="2"/>
      </rPr>
      <t xml:space="preserve"> (§ 66 Abs. 1 Nr. 3 Satz 2 EEG 2009): Für Strom aus sonstigen Biomasseanlagen mit Inbetriebnahme vor dem 01.01.2009, der in Kraft-Wärme-Kopplung nach Maßgabe der Anlage 3 zum EEG 2009 erzeugt worden ist, beträgt der KWK-Bonus bis einschließlich einer Leistung von 500 Kilowatt 3,0 ct/kWh.</t>
    </r>
  </si>
  <si>
    <t>BiK81GKA3---04</t>
  </si>
  <si>
    <t>BiK81GK09---04</t>
  </si>
  <si>
    <t>BiK81Gy-----04</t>
  </si>
  <si>
    <t>BiK81GKWKy--04</t>
  </si>
  <si>
    <t>BiK81GKA3y--04</t>
  </si>
  <si>
    <t>BiK81GK09y--04</t>
  </si>
  <si>
    <t>BiK81M1-----04</t>
  </si>
  <si>
    <t>BiK81M1KWK--04</t>
  </si>
  <si>
    <t>BiK81M1KA3--04</t>
  </si>
  <si>
    <t>BiK81M1K09--04</t>
  </si>
  <si>
    <t>BiK81M1y----04</t>
  </si>
  <si>
    <t>BiK81M1KWKy-04</t>
  </si>
  <si>
    <t>BiK81M1KA3y-04</t>
  </si>
  <si>
    <t>BiK81M1K09y-04</t>
  </si>
  <si>
    <t>BiK81L------04</t>
  </si>
  <si>
    <t>BiK81LKWK---04</t>
  </si>
  <si>
    <t>BiK81LKA3---04</t>
  </si>
  <si>
    <t>BiK81LK09---04</t>
  </si>
  <si>
    <t>BiK81Ly-----04</t>
  </si>
  <si>
    <t>BiK81LKWKy--04</t>
  </si>
  <si>
    <t>BiK81LKA3y--04</t>
  </si>
  <si>
    <t>BiK81LK09y--04</t>
  </si>
  <si>
    <t>BiK81X1-----04</t>
  </si>
  <si>
    <t>BiK81X1KWK--04</t>
  </si>
  <si>
    <t>BiK81X1KA3--04</t>
  </si>
  <si>
    <t>BiK81X1K09--04</t>
  </si>
  <si>
    <t>BiK81X1y----04</t>
  </si>
  <si>
    <t>BiK81X1KWKy-04</t>
  </si>
  <si>
    <t>Bi-vNNe--SpE06</t>
  </si>
  <si>
    <t>Bi-vNNe--SpE07</t>
  </si>
  <si>
    <t>Ga-vNNe--SpE01</t>
  </si>
  <si>
    <t>Ga-vNNe--SpE02</t>
  </si>
  <si>
    <t>Ga-vNNe--SpE03</t>
  </si>
  <si>
    <t>Ga-vNNe--SpE04</t>
  </si>
  <si>
    <t>Ga-vNNe--SpE05</t>
  </si>
  <si>
    <t>0,150-0,5 MW, Bonusregeln t3, X2, K</t>
  </si>
  <si>
    <t>0,150-0,5 MW, Bonusregeln t3, G, i, K</t>
  </si>
  <si>
    <t>BiK81M1K09y-06</t>
  </si>
  <si>
    <t>BiK81L------06</t>
  </si>
  <si>
    <t>BiK81LKWK---06</t>
  </si>
  <si>
    <t>BiK81LKA3---06</t>
  </si>
  <si>
    <t>BiK81LK09---06</t>
  </si>
  <si>
    <t>BiK81Ly-----06</t>
  </si>
  <si>
    <t>BiK81LKWKy--06</t>
  </si>
  <si>
    <t>BiK81LKA3y--06</t>
  </si>
  <si>
    <t>BiK81LK09y--06</t>
  </si>
  <si>
    <t>BiK81X1-----06</t>
  </si>
  <si>
    <t>BiK81X1KWK--06</t>
  </si>
  <si>
    <t>BiK81X1KA3--06</t>
  </si>
  <si>
    <t>BiK81X1K09--06</t>
  </si>
  <si>
    <t>BiK81X1y----06</t>
  </si>
  <si>
    <t>BiK81X1KWKy-06</t>
  </si>
  <si>
    <t>BiK81X1KA3y-06</t>
  </si>
  <si>
    <t>BiK81X1K09y-06</t>
  </si>
  <si>
    <t>BiK81Gb-----06</t>
  </si>
  <si>
    <t>BiK81GbKWK--06</t>
  </si>
  <si>
    <t>BiK81GbKA3--06</t>
  </si>
  <si>
    <t>BiK81GbK09--06</t>
  </si>
  <si>
    <t>BiK81Gby----06</t>
  </si>
  <si>
    <t>BiK81GbKWKy-06</t>
  </si>
  <si>
    <t>BiK81GbKA3y-06</t>
  </si>
  <si>
    <t>BiK81GbK09y-06</t>
  </si>
  <si>
    <t>BiK81M1b----06</t>
  </si>
  <si>
    <t>BiK81M1bKWK-06</t>
  </si>
  <si>
    <t>BiK81M1bKA3-06</t>
  </si>
  <si>
    <t>BiK81M1bK09-06</t>
  </si>
  <si>
    <t>BiK81M1by---06</t>
  </si>
  <si>
    <t>BiK81M1bKWKy06</t>
  </si>
  <si>
    <t>BiK81M1bKA3y06</t>
  </si>
  <si>
    <t>BiK81M1bK09y06</t>
  </si>
  <si>
    <t>BiK81Lb-----06</t>
  </si>
  <si>
    <t>BiK81LbKWK--06</t>
  </si>
  <si>
    <t>BiK81LbKA3--06</t>
  </si>
  <si>
    <t>BiK81LbK09--06</t>
  </si>
  <si>
    <t>BiK81Lby----06</t>
  </si>
  <si>
    <t>BiK81LbKWKy-06</t>
  </si>
  <si>
    <t>BiK81LbKA3y-06</t>
  </si>
  <si>
    <t>BiK81LbK09y-06</t>
  </si>
  <si>
    <t>BiK81X1b----06</t>
  </si>
  <si>
    <t>BiK81X1bKWK-06</t>
  </si>
  <si>
    <t>BiK81X1bKA3-06</t>
  </si>
  <si>
    <t>BiK81X1bK09-06</t>
  </si>
  <si>
    <t>BiK82G------06</t>
  </si>
  <si>
    <t>BiK82GKWK---06</t>
  </si>
  <si>
    <t>BiK82GKA3---06</t>
  </si>
  <si>
    <t>BiK82GK09---06</t>
  </si>
  <si>
    <t>BiK82Gy-----06</t>
  </si>
  <si>
    <t>BiK82GKWKy--06</t>
  </si>
  <si>
    <t>BiK82GKA3y--06</t>
  </si>
  <si>
    <t>BiK82GK09y--06</t>
  </si>
  <si>
    <t>BiK82M2-----06</t>
  </si>
  <si>
    <t>BiK82M2KWK--06</t>
  </si>
  <si>
    <t>BiK82M2KA3--06</t>
  </si>
  <si>
    <t>BiK82M2K09--06</t>
  </si>
  <si>
    <t>BiK82M2y----06</t>
  </si>
  <si>
    <t>BiK82M2KWKy-06</t>
  </si>
  <si>
    <t>BiK82M2KA3y-06</t>
  </si>
  <si>
    <t>BiK82M2K09y-06</t>
  </si>
  <si>
    <t>BiK82L------06</t>
  </si>
  <si>
    <t>BiK82LKWK---06</t>
  </si>
  <si>
    <t>BiK82LKA3---06</t>
  </si>
  <si>
    <t>BiK82LK09---06</t>
  </si>
  <si>
    <t>BiK82Ly-----06</t>
  </si>
  <si>
    <t>BiK82LKWKy--06</t>
  </si>
  <si>
    <t>BiK82LKA3y--06</t>
  </si>
  <si>
    <t>BiK82LK09y--06</t>
  </si>
  <si>
    <t>BiK82X2-----06</t>
  </si>
  <si>
    <t>BiK82X2KWK--06</t>
  </si>
  <si>
    <t>BiK82X2KA3--06</t>
  </si>
  <si>
    <t>BiK82X2K09--06</t>
  </si>
  <si>
    <t>BiK82X2y----06</t>
  </si>
  <si>
    <t>BiK82X2KWKy-06</t>
  </si>
  <si>
    <t>BiK54a------03</t>
  </si>
  <si>
    <t>BiK81Ly-----08</t>
  </si>
  <si>
    <t>BiK81LKWKy--08</t>
  </si>
  <si>
    <t>BiK81LKA3y--08</t>
  </si>
  <si>
    <t>BiK81LK09y--08</t>
  </si>
  <si>
    <t>BiK81X1-----08</t>
  </si>
  <si>
    <t>BiK81X1KWK--08</t>
  </si>
  <si>
    <t>BiK81X1KA3--08</t>
  </si>
  <si>
    <t>BiK81X1K09--08</t>
  </si>
  <si>
    <t>BiK51aK10---01</t>
  </si>
  <si>
    <t xml:space="preserve">In der Regel ist dies die Netz- bzw. Umspannebene, die der Einspeiseebene direkt vorgelagert ist - in diesem Beispiel wäre demnach </t>
  </si>
  <si>
    <t>das Netzentgelt der Ebene 4 (HS/MS) für die Berechnung der vermiedenen Netzentgelte maßgeblich.</t>
  </si>
  <si>
    <t>GaK41a------03</t>
  </si>
  <si>
    <t>GaK42a------03</t>
  </si>
  <si>
    <t>GaK41a------04</t>
  </si>
  <si>
    <t>GaK42a------04</t>
  </si>
  <si>
    <t>GaK71-------04</t>
  </si>
  <si>
    <t>GaK72-------04</t>
  </si>
  <si>
    <t>GaK73-------04</t>
  </si>
  <si>
    <t>GaK74-------04</t>
  </si>
  <si>
    <t>GaK75-------04</t>
  </si>
  <si>
    <t>GaK76-------04</t>
  </si>
  <si>
    <t>GaK71-------05</t>
  </si>
  <si>
    <t>GaK72-------05</t>
  </si>
  <si>
    <t>GaK73-------05</t>
  </si>
  <si>
    <t>GaK74-------05</t>
  </si>
  <si>
    <t>BiK51nK13---01</t>
  </si>
  <si>
    <t>Anteil KWK, erstmals 2013</t>
  </si>
  <si>
    <t>Bonus für Jahr</t>
  </si>
  <si>
    <t>BiK51aK13---01</t>
  </si>
  <si>
    <t>BiK52aK13---01</t>
  </si>
  <si>
    <t>SgK66114-SV--0</t>
  </si>
  <si>
    <t>BiK81M1K13y-06</t>
  </si>
  <si>
    <t>BiK82M2K13y-06</t>
  </si>
  <si>
    <t>BiK83a2K13--06</t>
  </si>
  <si>
    <t>BiK82X2K13y-06</t>
  </si>
  <si>
    <t>BiK81X1K13y-06</t>
  </si>
  <si>
    <t>blau</t>
  </si>
  <si>
    <t>BiK270t3i---09</t>
  </si>
  <si>
    <t>BiK270t3iK--09</t>
  </si>
  <si>
    <t>BiK271i-----09</t>
  </si>
  <si>
    <t>BiK271iK----09</t>
  </si>
  <si>
    <t>BiK81KA3y---07</t>
  </si>
  <si>
    <t>BiK81K09y---07</t>
  </si>
  <si>
    <t>BiK81y------07</t>
  </si>
  <si>
    <t>Gase (Deponie-, Klär-, Grubengas)</t>
  </si>
  <si>
    <t>Windenergie Repowering</t>
  </si>
  <si>
    <t>Solare Strahlungsenergie</t>
  </si>
  <si>
    <t>Wasserkraft</t>
  </si>
  <si>
    <t>Kategorien für vermiedene Netzentgelte</t>
  </si>
  <si>
    <r>
      <t>Bonusregel a2:</t>
    </r>
    <r>
      <rPr>
        <sz val="11"/>
        <color indexed="8"/>
        <rFont val="Calibri"/>
        <family val="2"/>
      </rPr>
      <t xml:space="preserve"> (§ 8 Abs. 2 Satz 1 EEG 2004) in Höhe von 4,0 ct/kWh für den Anteil der eingespeisten Wirkarbeit oberhalb von 500 kW bis einschließlich 5 MW</t>
    </r>
  </si>
  <si>
    <r>
      <t>Bonusregel a1:</t>
    </r>
    <r>
      <rPr>
        <sz val="11"/>
        <color indexed="8"/>
        <rFont val="Calibri"/>
        <family val="2"/>
      </rPr>
      <t xml:space="preserve"> (§ 8 Abs. 2 Satz 1 EEG 2004) in Höhe von 6,0 ct/kWh für den Anteil der eingespeisten Wirkarbeit bis einschließlich 500 kW</t>
    </r>
  </si>
  <si>
    <t>Ga-vNNe--SpE06</t>
  </si>
  <si>
    <t>Ga-vNNe--SpE07</t>
  </si>
  <si>
    <t>Ge-vNNe--SpE01</t>
  </si>
  <si>
    <t>Ge-vNNe--SpE02</t>
  </si>
  <si>
    <t>Ge-vNNe--SpE03</t>
  </si>
  <si>
    <t>Ge-vNNe--SpE04</t>
  </si>
  <si>
    <t>Ge-vNNe--SpE05</t>
  </si>
  <si>
    <t>Ge-vNNe--SpE06</t>
  </si>
  <si>
    <t>Ge-vNNe--SpE07</t>
  </si>
  <si>
    <t>Wi-vNNe--SpE01</t>
  </si>
  <si>
    <t>Wi-vNNe--SpE02</t>
  </si>
  <si>
    <t>Wi-vNNe--SpE03</t>
  </si>
  <si>
    <t>Wi-vNNe--SpE04</t>
  </si>
  <si>
    <t>Wi-vNNe--SpE05</t>
  </si>
  <si>
    <t>Wi-vNNe--SpE06</t>
  </si>
  <si>
    <t>Wi-vNNe--SpE07</t>
  </si>
  <si>
    <t>So-vNNe--SpE01</t>
  </si>
  <si>
    <t>So-vNNe--SpE02</t>
  </si>
  <si>
    <t>BiK82bK09---08</t>
  </si>
  <si>
    <t>BiK82a1bK09-08</t>
  </si>
  <si>
    <t>BiK83K09----08</t>
  </si>
  <si>
    <t xml:space="preserve">fortlaufende Nummer (i.d.R. entsprechende(r) Satz/ Ziffer innerhalb des Paragraphen) zur Angabe der jeweiligen Vergütungszone </t>
  </si>
  <si>
    <t xml:space="preserve">„n“ bei Biomasseanlagen für die Vergütungszone 0-150 kW  </t>
  </si>
  <si>
    <t>„a“ sonst</t>
  </si>
  <si>
    <t>Stellen 7-12 (Biomasse)</t>
  </si>
  <si>
    <t>Angabe der Bonusregelungen:</t>
  </si>
  <si>
    <t>Inbetriebnahmejahr (2-stellig)</t>
  </si>
  <si>
    <t>7 für Deponie-, Klär- und Grubengas</t>
  </si>
  <si>
    <t>8 für Biomasse</t>
  </si>
  <si>
    <t>9 für Geothermie</t>
  </si>
  <si>
    <t>10 für Windenergie</t>
  </si>
  <si>
    <t>11 für Solarenergie</t>
  </si>
  <si>
    <t xml:space="preserve"> </t>
  </si>
  <si>
    <t>a) Zuschlag bei Gasen nach EEG 2004</t>
  </si>
  <si>
    <t>b) Wind: Unterscheidung zwischen Anfangs- und Endvergütung</t>
  </si>
  <si>
    <t>c) Solarenergie: Fassadenbonus</t>
  </si>
  <si>
    <t>Die Kürzel für die gewährten Vergütungsboni werden in den Stellen 6 bis 12 nach und nach in folgender Reihenfolge eingeführt:</t>
  </si>
  <si>
    <t>2. Technologiebonus (b)</t>
  </si>
  <si>
    <t>Alle 4 Bonustypen sind – unter Beachtung der verschiedenen Geltungsbereiche (Vergütungszonen) – miteinander kombinierbar.</t>
  </si>
  <si>
    <t>Freie Stellen bis Stelle 12 werden mit Minuszeichen aufgefüllt.</t>
  </si>
  <si>
    <t xml:space="preserve"> 0-30 KW, selbstverbrauchte Erzeugung</t>
  </si>
  <si>
    <t xml:space="preserve"> 0-30 KW, Rückvergütung für Selbstverbrauch bis 30% der Gesamterzeugung der Anlage</t>
  </si>
  <si>
    <t xml:space="preserve"> 30-100 KW, Rückvergütung für Selbstverbrauch bis 30% der Gesamterzeugung der Anlage</t>
  </si>
  <si>
    <t xml:space="preserve"> 100-500 KW, Rückvergütung für Selbstverbrauch bis 30% der Gesamterzeugung der Anlage</t>
  </si>
  <si>
    <t xml:space="preserve"> 30-100 KW, selbstverbrauchte Erzeugung</t>
  </si>
  <si>
    <t xml:space="preserve"> 100-500 KW, selbstverbrauchte Erzeugung</t>
  </si>
  <si>
    <t>BiK82a1bKA3y06</t>
  </si>
  <si>
    <t>BiK82a1bK09y06</t>
  </si>
  <si>
    <t>BiK81y------05</t>
  </si>
  <si>
    <t>BiK81KWKy---05</t>
  </si>
  <si>
    <t>BiK81KA3y---05</t>
  </si>
  <si>
    <t>0,150-0,5 MW, Bonusregel K</t>
  </si>
  <si>
    <t>0,5-5 MW, Bonusregel K</t>
  </si>
  <si>
    <t>5-20 MW, Bonusregel K</t>
  </si>
  <si>
    <t>0,150-0,5 MW, Bonusregel t1</t>
  </si>
  <si>
    <t>0,5-5 MW, Bonusregel t1</t>
  </si>
  <si>
    <t>BiK85K09----06</t>
  </si>
  <si>
    <t>BiK81K09----07</t>
  </si>
  <si>
    <t>BiK81a1K09--07</t>
  </si>
  <si>
    <r>
      <t>Bonusregel b:</t>
    </r>
    <r>
      <rPr>
        <sz val="10.5"/>
        <color indexed="8"/>
        <rFont val="Calibri"/>
        <family val="2"/>
      </rPr>
      <t xml:space="preserve"> (§ 8 Abs. 4 EEG 2004) in Höhe von 2,0 ct/kWh für Anlagen, die auch in Kraft-Wärmekopplung betrieben werden, bei ausschließlicher Verwendung von Biomasse gemäß Biomasseverordnung und Umwandlung der Biomasse durch thermochemische Vergasung oder Trockenfermentation oder Aufarbeitung des Biogases auf Erdgasqualität oder Erzeugung des Stroms mittels Brennstoffzelle, Gasturbine, Dampfmotoren, Organic-Rankine-Anlagen, Mehrstoffgemisch-Anlagen (u.a. Kalina-Cycle-Anlagen) bzw. Stirling-Motoren für den Anteil bis einschließlich 5 MW.</t>
    </r>
  </si>
  <si>
    <t>Vergütungsberechnung für Anlagen mit Inbetriebnahmejahr 2008</t>
  </si>
  <si>
    <t>Grund-
vergütg.</t>
  </si>
  <si>
    <t>Gesamt-
vergütg.</t>
  </si>
  <si>
    <t>Die Kürzel für die gewährten Vergütungsboni werden in den Stellen 7 bis 8 in folgender Reihenfolge eingeführt:</t>
  </si>
  <si>
    <t>Stelle 4 bis 7:</t>
  </si>
  <si>
    <t>Stellen 8 bis 9</t>
  </si>
  <si>
    <t>Stellen 10-14</t>
  </si>
  <si>
    <t>Angabe der Spannungsebene (Netz- oder Umspannebene), an der die EEG-Anlage angeschlossen ist</t>
  </si>
  <si>
    <t>0,150-0,5 MW, Bonusregeln L, i</t>
  </si>
  <si>
    <t>0,150-0,5 MW, Bonusregeln X2, i</t>
  </si>
  <si>
    <t>0,150-0,5 MW, Bonusregeln t1, M2, K</t>
  </si>
  <si>
    <t>0,150-0,5 MW, Bonusregeln t1, M2, i, K</t>
  </si>
  <si>
    <t>4. KWK-Bonus (KWK, KA3, K09, K10, K11 oder K12)</t>
  </si>
  <si>
    <t>Wf = Wind offshore (ab Inbetriebnahmejahr 2009)</t>
  </si>
  <si>
    <t>Sg = Solarenergie an oder auf Gebäuden (ab Inbetriebnahmejahr 2009)</t>
  </si>
  <si>
    <t xml:space="preserve">    Abweichungen hiervon sind insbesondere bei PV-Anlagen möglich, wenn durch die fiktive Leistungszusammenfassung nach § 19 Abs. 1</t>
  </si>
  <si>
    <t xml:space="preserve">    die Anlage trotz einer Leistung von bis zu 30 kW anteilig in eine andere Leistungsstufe fällt. Aus dem gleichen Grund könnte eine Anlage</t>
  </si>
  <si>
    <t xml:space="preserve">    von mehr als 30 kW, aber maximal 70 kW auch vollständig in die Leistungsstufe 30 bis 100 kW fallen, so dass nur eine Vergütungskategorie</t>
  </si>
  <si>
    <t xml:space="preserve">    den Selbstverbrauch die fiktive Netzeinspeisung und fiktive Rückspeisung erforderlich.</t>
  </si>
  <si>
    <t xml:space="preserve">    notwendig ist. Bei PV-Anlagen mit Selbstverbrauch nach § 33 Abs. 2 sind i. d. R. Kategorien für die tatsächliche Netzeinspeisung sowie für</t>
  </si>
  <si>
    <t xml:space="preserve">    In diesen Fällen wird die Vergütungskategorie entsprechend gewechselt bzw. hinzugefügt.</t>
  </si>
  <si>
    <t xml:space="preserve">    gesamte Förderdauer festgelegt. Beispielsweise ändern sich die Vergütungskategorien bei:</t>
  </si>
  <si>
    <t xml:space="preserve">- neuen Bestimmungen durch Gesetzesänderungen (z. B. Erhöhung der Vergütung für die unterste Vergütungszone </t>
  </si>
  <si>
    <t>- erstmalige Nutzung der Eigenverbrauchsregelung bei Solarenergieanlagen nach § 33 Abs. 2 EEG</t>
  </si>
  <si>
    <t>- Modernisierung von Wasserkraftanlagen</t>
  </si>
  <si>
    <t>4. Anlagen mit Vergütung nach EEG 2012</t>
  </si>
  <si>
    <t>Ga = Deponie-, Klär- oder Grubengas (bis Inbetriebnahmejahr 2008)</t>
  </si>
  <si>
    <t>Wi = Wind (bis Inbetriebnahmejahr 2008)</t>
  </si>
  <si>
    <t>So = Solarenergie-Freiflächenanlagen (auch an oder auf Gebäuden bis Inbetriebnahmejahr 2008)</t>
  </si>
  <si>
    <t xml:space="preserve">5. Die Vergütungskategorien für eine bestimmte EEG-Anlage und die damit verbundenen Vergütungshöhen sind in der Regel für die </t>
  </si>
  <si>
    <t xml:space="preserve">2. Da die Bemessungsleistung jedes Jahr neu errechnet wird, kann sich die Aufteilung der insgesamt erzeugten Wirkarbeit der EEG-Anlage </t>
  </si>
  <si>
    <t>3. Zusätzlich zu den Vergütungskategorien ist jede EEG-Anlage in eine Kategorie für vermiedene Netzentgelte (vNNE-Kategorie) einzuordnen.</t>
  </si>
  <si>
    <t>§ 29 und § 30: Aufgrund einer Entscheidung der Clearingstelle EEG wird für Windenergieanlagen unter bestimmten Bedingungen der SDL-Bonus ab Inbetriebnahme der Anlage gezahlt. Für eine effiziente Abwicklung der nachträglichen Bonuszahlung für die Jahre 2009 und 2010 werden die folgenden Kategorien verwendet. Die Verwendung dieser Kategorien ist auf die EEG-Jahresmeldung 2011 beschränkt.
Da die Strommenge bereits in den Jahren 2009 und 2010 gemeldet und in den bundesweiten Belastungsausgleich eingebracht wurde, fließen die für diese Kategorien gemeldeten Strommengen weder in die Berechnung der vNNE, der Referenzerträge der Windenergieanlagen, noch in den bundesweiten Belastungsausgleich ein.
Grund für die Entfernung aus der Tabelle der aktuellen Vergütungskategorien: Die Verwendung dieser Kategorien ist auf die abgeschlossene EEG-Jahresmeldung 2011 beschränkt.</t>
  </si>
  <si>
    <t>Anmerkung:</t>
  </si>
  <si>
    <t>Kürzung KWK-Bonus nach § 66 Abs. 21 (kostenlos zugeteilte Berechtigungen nach § 9 TEHG)</t>
  </si>
  <si>
    <t>WnK33b1eMPMJan</t>
  </si>
  <si>
    <t>WnK33b1eMPMFeb</t>
  </si>
  <si>
    <t>WnK33b1eMPMMrz</t>
  </si>
  <si>
    <t>WnK33b1eMPMApr</t>
  </si>
  <si>
    <t>WnK33b1eMPMMai</t>
  </si>
  <si>
    <t>WnK33b1eMPMJun</t>
  </si>
  <si>
    <t>WnK33b1eMPMJul</t>
  </si>
  <si>
    <t>WnK33b1eMPMAug</t>
  </si>
  <si>
    <t>WnK33b1eMPMSep</t>
  </si>
  <si>
    <t>WnK33b1eMPMOkt</t>
  </si>
  <si>
    <t>WnK33b1eMPMNov</t>
  </si>
  <si>
    <t>WnK33b1eMPMDez</t>
  </si>
  <si>
    <t>WrK33b1eMPMJan</t>
  </si>
  <si>
    <t>WrK33b1eMPMFeb</t>
  </si>
  <si>
    <t>WrK33b1eMPMMrz</t>
  </si>
  <si>
    <t>WrK33b1eMPMApr</t>
  </si>
  <si>
    <t>WrK33b1eMPMMai</t>
  </si>
  <si>
    <t>WrK33b1eMPMJun</t>
  </si>
  <si>
    <t>WrK33b1eMPMJul</t>
  </si>
  <si>
    <t>WrK33b1eMPMAug</t>
  </si>
  <si>
    <t>WrK33b1eMPMSep</t>
  </si>
  <si>
    <t>WrK33b1eMPMOkt</t>
  </si>
  <si>
    <t>WrK33b1eMPMNov</t>
  </si>
  <si>
    <t>WrK33b1eMPMDez</t>
  </si>
  <si>
    <t>WfK33b1eMPMJan</t>
  </si>
  <si>
    <t>WfK33b1eMPMFeb</t>
  </si>
  <si>
    <t>WfK33b1eMPMMrz</t>
  </si>
  <si>
    <t>WfK33b1eMPMApr</t>
  </si>
  <si>
    <t>WfK33b1eMPMMai</t>
  </si>
  <si>
    <t>WfK33b1eMPMJun</t>
  </si>
  <si>
    <t>WfK33b1eMPMJul</t>
  </si>
  <si>
    <t>WfK33b1eMPMAug</t>
  </si>
  <si>
    <t>WfK33b1eMPMSep</t>
  </si>
  <si>
    <t>WfK33b1eMPMOkt</t>
  </si>
  <si>
    <t>WfK33b1eMPMNov</t>
  </si>
  <si>
    <t>WfK33b1eMPMDez</t>
  </si>
  <si>
    <t>SoK33b1eMPMJan</t>
  </si>
  <si>
    <t>SoK33b1eMPMFeb</t>
  </si>
  <si>
    <t>SoK33b1eMPMMrz</t>
  </si>
  <si>
    <t>SoK33b1eMPMApr</t>
  </si>
  <si>
    <t>SoK33b1eMPMMai</t>
  </si>
  <si>
    <t>SoK33b1eMPMJun</t>
  </si>
  <si>
    <t>SoK33b1eMPMJul</t>
  </si>
  <si>
    <t>SoK33b1eMPMAug</t>
  </si>
  <si>
    <t>SoK33b1eMPMSep</t>
  </si>
  <si>
    <t>SoK33b1eMPMOkt</t>
  </si>
  <si>
    <t>SoK33b1eMPMNov</t>
  </si>
  <si>
    <t>SoK33b1eMPMDez</t>
  </si>
  <si>
    <t>SgK33b1eMPMJan</t>
  </si>
  <si>
    <t>SgK33b1eMPMFeb</t>
  </si>
  <si>
    <t>SgK33b1eMPMMrz</t>
  </si>
  <si>
    <t>SgK33b1eMPMApr</t>
  </si>
  <si>
    <t>SgK33b1eMPMMai</t>
  </si>
  <si>
    <t>SgK33b1eMPMJun</t>
  </si>
  <si>
    <t>SgK33b1eMPMJul</t>
  </si>
  <si>
    <t>SgK33b1eMPMAug</t>
  </si>
  <si>
    <t>SgK33b1eMPMSep</t>
  </si>
  <si>
    <t>SgK33b1eMPMOkt</t>
  </si>
  <si>
    <t>SgK33b1eMPMNov</t>
  </si>
  <si>
    <t>SgK33b1eMPMDez</t>
  </si>
  <si>
    <t>32 für Solarenergie</t>
  </si>
  <si>
    <t>Anlage 3 erfüllt (bis 500 kW)</t>
  </si>
  <si>
    <t>Verringerung auf Marktwert nach § 56 Abs. 4 Nr. 1 Halbsatz 1 für Strom nach § 16 (Doppelvermarktung)</t>
  </si>
  <si>
    <t>Verringerung auf Null nach § 56 Abs. 4 Nr. 1 Halbsatz 2 für Strom nach § 16 (Doppelvermarktung)</t>
  </si>
  <si>
    <t>WaK5641-----MW</t>
  </si>
  <si>
    <t>BiK5641-----MW</t>
  </si>
  <si>
    <t>GaK5641-----MW</t>
  </si>
  <si>
    <t>DeK5641-----MW</t>
  </si>
  <si>
    <t>KlK5641-----MW</t>
  </si>
  <si>
    <t>GrK5641-----MW</t>
  </si>
  <si>
    <t>GeK5641-----MW</t>
  </si>
  <si>
    <t>WiK5641-----MW</t>
  </si>
  <si>
    <t>WnK5641-----MW</t>
  </si>
  <si>
    <t>WrK5641-----MW</t>
  </si>
  <si>
    <t>WfK5641-----MW</t>
  </si>
  <si>
    <t>SoK5641-----MW</t>
  </si>
  <si>
    <t>SgK5641-----MW</t>
  </si>
  <si>
    <t>WaK5641------0</t>
  </si>
  <si>
    <t>BiK5641------0</t>
  </si>
  <si>
    <t>GaK5641------0</t>
  </si>
  <si>
    <t>DeK5641------0</t>
  </si>
  <si>
    <t>KlK5641------0</t>
  </si>
  <si>
    <t>GrK5641------0</t>
  </si>
  <si>
    <t>GeK5641------0</t>
  </si>
  <si>
    <t>WiK5641------0</t>
  </si>
  <si>
    <t>WnK5641------0</t>
  </si>
  <si>
    <t>WrK5641------0</t>
  </si>
  <si>
    <t>WfK5641------0</t>
  </si>
  <si>
    <t>SoK5641------0</t>
  </si>
  <si>
    <t>SgK5641------0</t>
  </si>
  <si>
    <t>WaK5642-MPM--0</t>
  </si>
  <si>
    <t>BiK5642-MPM--0</t>
  </si>
  <si>
    <t>GaK5642-MPM--0</t>
  </si>
  <si>
    <t>BiK81GbK09y-05</t>
  </si>
  <si>
    <t>BiK82X2K09--07</t>
  </si>
  <si>
    <t>BiK82X2y----07</t>
  </si>
  <si>
    <t>BiK82X2KWKy-07</t>
  </si>
  <si>
    <t>BiK82X2KA3y-07</t>
  </si>
  <si>
    <t>BiK82X2K09y-07</t>
  </si>
  <si>
    <t>BiK82Gb-----07</t>
  </si>
  <si>
    <t>BiK82GbKWK--07</t>
  </si>
  <si>
    <t>BiK82GbKA3--07</t>
  </si>
  <si>
    <t>BiK82GbK09--07</t>
  </si>
  <si>
    <t>BiK51nKA3y--03</t>
  </si>
  <si>
    <t>BiK51nK09y--03</t>
  </si>
  <si>
    <t>BiK51na1y---03</t>
  </si>
  <si>
    <t>BiK51na1KA3y03</t>
  </si>
  <si>
    <t>BiK51na1K09y03</t>
  </si>
  <si>
    <t>Anteil KWK, erstmals 2011</t>
  </si>
  <si>
    <t>BiK51nK11---01</t>
  </si>
  <si>
    <t>BiK51nK11y--01</t>
  </si>
  <si>
    <t>BiK51na1K11-01</t>
  </si>
  <si>
    <t>BiK51na1K11y01</t>
  </si>
  <si>
    <t>BiK51nGK11--01</t>
  </si>
  <si>
    <t>BiK51nGK11y-01</t>
  </si>
  <si>
    <t>BiK51nM1K11-01</t>
  </si>
  <si>
    <t>BiK51nM1K11y01</t>
  </si>
  <si>
    <t>BiK51nLK11--01</t>
  </si>
  <si>
    <t>BiK51nLK11y-01</t>
  </si>
  <si>
    <t>BiK51nX1K11-01</t>
  </si>
  <si>
    <t>BiK51nX1K11y01</t>
  </si>
  <si>
    <t>BiK51aK11---01</t>
  </si>
  <si>
    <t>BiK51aK11y--01</t>
  </si>
  <si>
    <t>BiK51aa1K11-01</t>
  </si>
  <si>
    <t>BiK51aa1K11y01</t>
  </si>
  <si>
    <t>BiK51aGK11--01</t>
  </si>
  <si>
    <t>BiK51aGK11y-01</t>
  </si>
  <si>
    <t>Wird für an sich nach § 33 Abs. 2 EEG 2009 oder 2012 a.F. vergütungsfähige selbst verbrauchte Strommengen aufgrund von Sanktionen die Selbstverbrauchsvergütung auf 0 gekürzt, sind die hierfür vorgesehenen Sanktionskategorien zu verwenden. Die selbst verbrauchten Strommengen fließen nicht in den bundesweiten Belastungsausgleich ein; vNNE werden hierfür nicht berechnet.</t>
  </si>
  <si>
    <t>SgK5641-SV---0</t>
  </si>
  <si>
    <t>SgK33f3-SV---0</t>
  </si>
  <si>
    <t>Verringerung auf Null nach § 33f Abs. 3 für Strom nach § 16 (Pflichtverletzung bei anteiliger DV)</t>
  </si>
  <si>
    <t>Verringerung auf Null nach § 17 Abs. 3 (Meldepflichtverstoß Wechsel von DV in EEG-Einspeisung)</t>
  </si>
  <si>
    <t>SgK173-SV----0</t>
  </si>
  <si>
    <t>Verringerung auf Null nach § 17 Abs. 2 Nr. 4 (Vorbildfunktion öffentlicher Gebäude)</t>
  </si>
  <si>
    <t>SgK1724-SV---0</t>
  </si>
  <si>
    <t>Verringerung auf Null nach § 17 Abs. 2 Nr. 3 (Verstoß gegen Strom-Überlassung nach § 16 Abs. 3)</t>
  </si>
  <si>
    <t>SgK1723-SV---0</t>
  </si>
  <si>
    <t>SgK1721-SV---0</t>
  </si>
  <si>
    <t>Verringerung auf Null nach § 17 Abs. 2 Nr. 1 (keine gültige Anmeldung PV-Anlage)</t>
  </si>
  <si>
    <t xml:space="preserve">33f für Verringerung des Vergütungsanspruchs (alle Energieträger) </t>
  </si>
  <si>
    <t xml:space="preserve">33g für Verringerung des Vergütungsanspruchs (alle Energieträger) </t>
  </si>
  <si>
    <t xml:space="preserve">39 für Nichtanerkennung als Grünstrom (alle Energieträger) </t>
  </si>
  <si>
    <t>Stelle 6, teils 7</t>
  </si>
  <si>
    <t xml:space="preserve">fortlaufende Nummer (i. d. R. entsprechende(r) Absatz / Satz / Ziffer innerhalb des Paragraphen) zur Darstellung der jeweiligen Vergütungszone </t>
  </si>
  <si>
    <t>a) Windenergie: Anfangs- oder Endvergütung</t>
  </si>
  <si>
    <t>b) Solarenergie: Einspeise- oder Eigenverbrauchsvergütung</t>
  </si>
  <si>
    <t>2. Gasaufbereitungsbonus (G1, G2 oder G3)</t>
  </si>
  <si>
    <t>1. Einsatzstoffklassen-Bonus (E1a, E1b, E1c, E1d, E2a, E2b oder E2c)</t>
  </si>
  <si>
    <t>Beide Bonustypen sind – unter Beachtung der verschiedenen Geltungsbereiche (Vergütungszonen) – miteinander kombinierbar.</t>
  </si>
  <si>
    <t xml:space="preserve">Stellen 7-8 (Gase) </t>
  </si>
  <si>
    <t>Gasaufbereitungsbonus (G1, G2 oder G3)</t>
  </si>
  <si>
    <t>Angabe des Gasaufbereitungsbonus:</t>
  </si>
  <si>
    <t xml:space="preserve">Stellen 7-11 (Biomasse) </t>
  </si>
  <si>
    <t>Die Kürzel für die gewährten Vergütungsboni werden in den Stellen 7 bis 11 nach und nach in folgender Reihenfolge eingeführt:</t>
  </si>
  <si>
    <t xml:space="preserve">Stelle 7 (Wasser) </t>
  </si>
  <si>
    <t>Angabe zur Modernisierung:</t>
  </si>
  <si>
    <t xml:space="preserve">„M“ für Vergütungskategorien, die bei modernisierten Wasserkraftanlagen zu verwenden sind. </t>
  </si>
  <si>
    <t xml:space="preserve">Stelle 7 (Geothermie) </t>
  </si>
  <si>
    <t>Angabe des Bonus für petrothermale Techniken</t>
  </si>
  <si>
    <t>Bonus für petrothermale Techniken (P)</t>
  </si>
  <si>
    <t xml:space="preserve">Stellen 7-8 (Solar) </t>
  </si>
  <si>
    <t>"1" - fiktive Einspeisung des selbstverbrauchten Stroms</t>
  </si>
  <si>
    <t>Angabe zum Solarstrom-Selbstverbrauch in Stelle 7:</t>
  </si>
  <si>
    <t>In Stelle 8 wird die Leistungsstufe (0 … 30 kW, 30 … 100 kW und 100 … 500 kW) unterschieden.</t>
  </si>
  <si>
    <t>Alle weiteren Stellen bis Stelle 12 werden mit Minuszeichen aufgefüllt, Ausnahmen:</t>
  </si>
  <si>
    <t>- unterjährig einsetzende neue Vergütungssätze (bei Photovoltaikanlagen ab Juli, September oder Oktober): Monatsangaben in den Stellen 10 bis 12</t>
  </si>
  <si>
    <t>„vNNe“ für vermiedene Netznutzungsentgelte</t>
  </si>
  <si>
    <t>Stellen 7-12</t>
  </si>
  <si>
    <t xml:space="preserve">"BS" (teilweise nur "B") für Bestandsschutz: Durch Übergangsbestimmungen geregelter Investitionsschutz des Weitergeltens von Vergütungen </t>
  </si>
  <si>
    <t>unterjährig einsetzende neue Vergütungssätze (bei PV-Anlagen z. B. ab Juli): Monatsangaben in den Stellen 10 bis 12</t>
  </si>
  <si>
    <t>Stellen 10-12</t>
  </si>
  <si>
    <t>Angabe zum ersten Inbetriebnahmemonat in Stellen 10 bis 12:</t>
  </si>
  <si>
    <t>Stellen 9-14</t>
  </si>
  <si>
    <t>Alle nicht benutzten Stellen werden mit Minuszeichen aufgefüllt.</t>
  </si>
  <si>
    <t>Stellen 13-14</t>
  </si>
  <si>
    <t>Stellen 13-14:</t>
  </si>
  <si>
    <t>Inbetriebnahmejahr (2-stellig) für Vergütungskategorien nach § 23 bis § 33, die vom Inbetriebnahmejahr abhängig sind</t>
  </si>
  <si>
    <t>Angaben zur gekürzten Vergütung, z. B. "MW" für Marktwert und "-0" für 0 ct/kWh.</t>
  </si>
  <si>
    <t>- physischer Umzug einer Anlage, z. B. aus einer PV-Dachanlage nach § 33 wird eine PV-Freiflächenanlage nach § 32</t>
  </si>
  <si>
    <t xml:space="preserve">- "BS" (teilweise nur "B") für Bestandsschutz: Durch Übergangsbestimmungen geregelter Investitionsschutz des Weitergeltens von Vergütungen </t>
  </si>
  <si>
    <t>Modernisierung 2012</t>
  </si>
  <si>
    <t>braun</t>
  </si>
  <si>
    <t>Vergütungskategorie ist 2012 neu nach EEG 2012, auch auf Anlagen mit Inbetriebnahme vor 1.1.2012 anwendbar</t>
  </si>
  <si>
    <t>Vergütungskategorie ist 2012 neu nach EEG 2012, nur auf Anlagen mit Inbetriebnahme nach 31.12.2011 anwendbar</t>
  </si>
  <si>
    <t>rosa / braun</t>
  </si>
  <si>
    <t>Vergütungskategorie ist 2012 neu nach EEG 2012, Anwendbarkeit auf Anlagen mit Inbetriebnahme vor 1.1.2012 unsicher</t>
  </si>
  <si>
    <t>33a für Selbstverbrauch und Verbrauch durch Dritte in räumlicher Nähe (alle Energieträger)</t>
  </si>
  <si>
    <t>Angaben zur Direktvermarktung, z. B. "---SV", "GSP-DV", "-SO-DV" oder "--FLP"</t>
  </si>
  <si>
    <t>Inbetriebnahme bis 2012</t>
  </si>
  <si>
    <t>Die Vergütungskategorien für Inbetriebnahmejahr 2012 können nach § 66 Abs. 1 Nr. 13 EEG 2012 auch für Anlagen mit IB vor dem 01.01.2012 verwendet werden.</t>
  </si>
  <si>
    <t>BiK82X2K10y-07</t>
  </si>
  <si>
    <t>BiK82bK10---07</t>
  </si>
  <si>
    <t>BiK82bK10y--07</t>
  </si>
  <si>
    <t>BiK82a1bK10-07</t>
  </si>
  <si>
    <t>BiK82a1bK10y07</t>
  </si>
  <si>
    <t>BiK82GbK10--07</t>
  </si>
  <si>
    <t>BiK82GbK10y-07</t>
  </si>
  <si>
    <t>BiK82M2bK10-07</t>
  </si>
  <si>
    <t>BiK82M2bK10y07</t>
  </si>
  <si>
    <t>BiK82LbK10--07</t>
  </si>
  <si>
    <t>BiK82LbK10y-07</t>
  </si>
  <si>
    <t>BiK82X2bK10-07</t>
  </si>
  <si>
    <t>BiK82X2bK10y07</t>
  </si>
  <si>
    <t>BiK83K10----07</t>
  </si>
  <si>
    <t>BiK83a2K10--07</t>
  </si>
  <si>
    <t>BiK83a3K10--07</t>
  </si>
  <si>
    <t>BiK83bK10---07</t>
  </si>
  <si>
    <t>BiK83a2bK10-07</t>
  </si>
  <si>
    <t>BiK83a3bK10-07</t>
  </si>
  <si>
    <t>BiK84K10----07</t>
  </si>
  <si>
    <t>BiK85K10----07</t>
  </si>
  <si>
    <t>BiK81K10----08</t>
  </si>
  <si>
    <t>BiK81K10y---08</t>
  </si>
  <si>
    <t>BiK81a1K10--08</t>
  </si>
  <si>
    <t>BiK81a1K10y-08</t>
  </si>
  <si>
    <t>BiK81GK10---08</t>
  </si>
  <si>
    <t>BiK81GK10y--08</t>
  </si>
  <si>
    <t>BiK81M1K10--08</t>
  </si>
  <si>
    <t>BiK81M1K10y-08</t>
  </si>
  <si>
    <t>BiK81LK10---08</t>
  </si>
  <si>
    <t>BiK81LK10y--08</t>
  </si>
  <si>
    <t>BiK81X1K10--08</t>
  </si>
  <si>
    <t>BiK81X1K10y-08</t>
  </si>
  <si>
    <t>BiK81a1bK10-08</t>
  </si>
  <si>
    <t>BiK81a1bK10y08</t>
  </si>
  <si>
    <t>BiK81GbK10--08</t>
  </si>
  <si>
    <t>BiK81GbK10y-08</t>
  </si>
  <si>
    <t>BiK81M1bK10-08</t>
  </si>
  <si>
    <t>BiK81M1bK10y08</t>
  </si>
  <si>
    <t>BiK81LbK10--08</t>
  </si>
  <si>
    <t>BiK81LbK10y-08</t>
  </si>
  <si>
    <t>BiK81X1bK10-08</t>
  </si>
  <si>
    <t>BiK81X1bK10y08</t>
  </si>
  <si>
    <t>BiK81bK10---08</t>
  </si>
  <si>
    <t>BiK81bK10y--08</t>
  </si>
  <si>
    <t>BiK82K10----08</t>
  </si>
  <si>
    <t>BiK82K10y---08</t>
  </si>
  <si>
    <t>BiK82a1K10--08</t>
  </si>
  <si>
    <t>BiK82a1K10y-08</t>
  </si>
  <si>
    <t>BiK82GK10---08</t>
  </si>
  <si>
    <t>BiK82GK10y--08</t>
  </si>
  <si>
    <t>BiK82M2K10--08</t>
  </si>
  <si>
    <t>BiK82M2K10y-08</t>
  </si>
  <si>
    <t>BiK82LK10---08</t>
  </si>
  <si>
    <t>BiK82LK10y--08</t>
  </si>
  <si>
    <t>BiK82X2K10--08</t>
  </si>
  <si>
    <t>0,150-0,5 MW, Bonusregeln t3, X2, i</t>
  </si>
  <si>
    <t>K</t>
  </si>
  <si>
    <t>0,150-0,5 MW, Bonusregeln t1, K</t>
  </si>
  <si>
    <t>0,5-5 MW, Bonusregeln t1, K</t>
  </si>
  <si>
    <t>0,150-0,5 MW, Bonusregeln t2, K</t>
  </si>
  <si>
    <t>0,5-5 MW, Bonusregeln t2, K</t>
  </si>
  <si>
    <t>0,150-0,5 MW, Bonusregeln t3, K</t>
  </si>
  <si>
    <t>0,5-5 MW, Bonusregeln t3, K</t>
  </si>
  <si>
    <t>0,150-0,5 MW, Bonusregeln a1, K</t>
  </si>
  <si>
    <t>0,5-5 MW, Bonusregeln a2, K</t>
  </si>
  <si>
    <t>0,5-5 MW, Bonusregeln ah, K</t>
  </si>
  <si>
    <t>BiK82X2KA3y-06</t>
  </si>
  <si>
    <t>BiK82X2K09y-06</t>
  </si>
  <si>
    <t>BiK82Gb-----06</t>
  </si>
  <si>
    <t>BiK82GbKWK--06</t>
  </si>
  <si>
    <t>BiK82GbKA3--06</t>
  </si>
  <si>
    <t>BiK82GbK09--06</t>
  </si>
  <si>
    <t>BiK82Gby----06</t>
  </si>
  <si>
    <t>BiK82GbKWKy-06</t>
  </si>
  <si>
    <t>BiK82GbKA3y-06</t>
  </si>
  <si>
    <t>BiK82GbK09y-06</t>
  </si>
  <si>
    <t>BiK52aK10---01</t>
  </si>
  <si>
    <t>BiK52aa2K10-01</t>
  </si>
  <si>
    <t>BiK52aa3K10-01</t>
  </si>
  <si>
    <t>BiK53aK10---01</t>
  </si>
  <si>
    <t>BiK54aK10---01</t>
  </si>
  <si>
    <t>BiK51nK10---02</t>
  </si>
  <si>
    <t>BiK51nK10y--02</t>
  </si>
  <si>
    <t>BiK51na1K10-02</t>
  </si>
  <si>
    <t>BiK51na1K10y02</t>
  </si>
  <si>
    <t>BiK51nGK10--02</t>
  </si>
  <si>
    <t>BiK51nGK10y-02</t>
  </si>
  <si>
    <t>BiK51nM1K10-02</t>
  </si>
  <si>
    <t>BiK51nM1K10y02</t>
  </si>
  <si>
    <t>BiK51nLK10--02</t>
  </si>
  <si>
    <t>BiK51nLK10y-02</t>
  </si>
  <si>
    <t>BiK51nX1K10-02</t>
  </si>
  <si>
    <t>BiK51nX1K10y02</t>
  </si>
  <si>
    <t>BiK51aK10---02</t>
  </si>
  <si>
    <t>BiK51aK10y--02</t>
  </si>
  <si>
    <t>BiK51aa1K10-02</t>
  </si>
  <si>
    <t>BiK51aa1K10y02</t>
  </si>
  <si>
    <t>BiK51aGK10--02</t>
  </si>
  <si>
    <t>BiK51aGK10y-02</t>
  </si>
  <si>
    <t>BiK51aM2K10-02</t>
  </si>
  <si>
    <t>BiK51aM2K10y02</t>
  </si>
  <si>
    <t>BiK51aLK10--02</t>
  </si>
  <si>
    <t>BiK51aLK10y-02</t>
  </si>
  <si>
    <t>BiK51aX2K10-02</t>
  </si>
  <si>
    <t>BiK51aX2K10y02</t>
  </si>
  <si>
    <t>BiK52aK10---02</t>
  </si>
  <si>
    <t>BiK52aa2K10-02</t>
  </si>
  <si>
    <t>BiK52aa3K10-02</t>
  </si>
  <si>
    <t>BiK53aK10---02</t>
  </si>
  <si>
    <t>BiK54aK10---02</t>
  </si>
  <si>
    <t>BiK51nK10---03</t>
  </si>
  <si>
    <t>BiK51nK10y--03</t>
  </si>
  <si>
    <t>BiK51na1K10-03</t>
  </si>
  <si>
    <t>BiK51na1K10y03</t>
  </si>
  <si>
    <t>BiK51nGK10--03</t>
  </si>
  <si>
    <t>BiK51nGK10y-03</t>
  </si>
  <si>
    <t>BiK51nM1K10-03</t>
  </si>
  <si>
    <t>BiK51nM1K10y03</t>
  </si>
  <si>
    <t>BiK51nLK10--03</t>
  </si>
  <si>
    <t>BiK51nLK10y-03</t>
  </si>
  <si>
    <t>BiK51nX1K10-03</t>
  </si>
  <si>
    <t>BiK51nX1K10y03</t>
  </si>
  <si>
    <t>BiK51aK10---03</t>
  </si>
  <si>
    <t>"2" - fiktive Rückspeisung des selbstverbrauchten Stroms bis zu 30 % der Gesamterzeugung der Anlage im Kalenderjahr</t>
  </si>
  <si>
    <t>"3" - fiktive Rückspeisung des selbstverbrauchten Stroms über 30 % der Gesamterzeugung der Anlage im Kalenderjahr</t>
  </si>
  <si>
    <t>"2" - fiktive Rückspeisung des selbstverbrauchten Stroms, ggf. nur Anteil bis zu 30 % der Gesamterzeugung der Anlage im Kalenderjahr</t>
  </si>
  <si>
    <t>BiK82X2K10y-08</t>
  </si>
  <si>
    <t>BiK82bK10---08</t>
  </si>
  <si>
    <t>BiK82bK10y--08</t>
  </si>
  <si>
    <t>BiK82a1bK10-08</t>
  </si>
  <si>
    <t>BiK82a1bK10y08</t>
  </si>
  <si>
    <t>BiK82GbK10--08</t>
  </si>
  <si>
    <t>BiK82GbK10y-08</t>
  </si>
  <si>
    <t>BiK82M2bK10-08</t>
  </si>
  <si>
    <t>BiK82M2bK10y08</t>
  </si>
  <si>
    <t>BiK82LbK10--08</t>
  </si>
  <si>
    <t>BiK82LbK10y-08</t>
  </si>
  <si>
    <t>BiK82X2bK10-08</t>
  </si>
  <si>
    <t>BiK82X2bK10y08</t>
  </si>
  <si>
    <t>BiK83K10----08</t>
  </si>
  <si>
    <t>BiK83a2K10--08</t>
  </si>
  <si>
    <t>BiK83a3K10--08</t>
  </si>
  <si>
    <t>BiK83bK10---08</t>
  </si>
  <si>
    <t>BiK83a2bK10-08</t>
  </si>
  <si>
    <t>BiK83a3bK10-08</t>
  </si>
  <si>
    <t>BiK84K10----08</t>
  </si>
  <si>
    <t>BiK85K10----08</t>
  </si>
  <si>
    <t>§ 27 Abs. 4 Satz 1 Nr. 1 EEG; Anlage 1 Punkt I., 2b</t>
  </si>
  <si>
    <t>§ 27 Abs. 4 Satz 1 Nr. 1 EEG; Anlage 1 Punkt II., 2</t>
  </si>
  <si>
    <t>§ 27 Abs. 4 Satz 1 Nr. 3 EEG</t>
  </si>
  <si>
    <t>§ 29 Abs. 2 EEG</t>
  </si>
  <si>
    <t>0,150-0,5 MW, Bonusregeln t1, a1</t>
  </si>
  <si>
    <t>0,5-5 MW, Bonusregeln t1, a2</t>
  </si>
  <si>
    <t>0,150-0,5 MW, Bonusregeln t1, G</t>
  </si>
  <si>
    <t>0,150-0,5 MW, Bonusregeln t1, G, i</t>
  </si>
  <si>
    <t>0,150-0,5 MW, Bonusregeln t2, a1</t>
  </si>
  <si>
    <t>0,5-5 MW, Bonusregeln t2, a2</t>
  </si>
  <si>
    <t>WfK311------09</t>
  </si>
  <si>
    <t>Inbetriebnahme 01.01. bis 31.07.2004</t>
  </si>
  <si>
    <t>BiK85-------04</t>
  </si>
  <si>
    <t>BiK85K09----04</t>
  </si>
  <si>
    <t>0-0,5 MW, Bonusregel t3</t>
  </si>
  <si>
    <t>DeK248------09</t>
  </si>
  <si>
    <t>KlK253------09</t>
  </si>
  <si>
    <t>KlK258------09</t>
  </si>
  <si>
    <t>GrK263------09</t>
  </si>
  <si>
    <t>GrK260------09</t>
  </si>
  <si>
    <t>GrK265------09</t>
  </si>
  <si>
    <t>GrK2610-----09</t>
  </si>
  <si>
    <t>BiK270------09</t>
  </si>
  <si>
    <t>BiK270K-----09</t>
  </si>
  <si>
    <t>BiK271------09</t>
  </si>
  <si>
    <t>BiK271K-----09</t>
  </si>
  <si>
    <t>BiK272------09</t>
  </si>
  <si>
    <t>BiK272K-----09</t>
  </si>
  <si>
    <t>BiK273K-----09</t>
  </si>
  <si>
    <t>BiK270t1----09</t>
  </si>
  <si>
    <t>BiK270t1K---09</t>
  </si>
  <si>
    <t>BiK271t1----09</t>
  </si>
  <si>
    <t>BiK271t1K---09</t>
  </si>
  <si>
    <t>BiK272t1----09</t>
  </si>
  <si>
    <t>BiK272t1K---09</t>
  </si>
  <si>
    <t>BiK270t2----09</t>
  </si>
  <si>
    <t>BiK270t2K---09</t>
  </si>
  <si>
    <t>BiK271t2----09</t>
  </si>
  <si>
    <t>BiK271t2K---09</t>
  </si>
  <si>
    <t>BiK272t2----09</t>
  </si>
  <si>
    <t>BiK272t2K---09</t>
  </si>
  <si>
    <t>BiK270a1----09</t>
  </si>
  <si>
    <t>BiK270a1K---09</t>
  </si>
  <si>
    <t>BiK271a1----09</t>
  </si>
  <si>
    <t>BiK271a1K---09</t>
  </si>
  <si>
    <t>BiK272a2----09</t>
  </si>
  <si>
    <t>BiK272a2K---09</t>
  </si>
  <si>
    <t>BiK272ah----09</t>
  </si>
  <si>
    <t>BiK272ahK---09</t>
  </si>
  <si>
    <t>BiK270G-----09</t>
  </si>
  <si>
    <t>BiK270GK----09</t>
  </si>
  <si>
    <t>BiK271G-----09</t>
  </si>
  <si>
    <t>BiK271GK----09</t>
  </si>
  <si>
    <t>BiK270M1----09</t>
  </si>
  <si>
    <t>BiK270M1K---09</t>
  </si>
  <si>
    <t>BiK271M2----09</t>
  </si>
  <si>
    <t>BiK271M2K---09</t>
  </si>
  <si>
    <t>BiK270L-----09</t>
  </si>
  <si>
    <t>BiK270LK----09</t>
  </si>
  <si>
    <t>BiK271L-----09</t>
  </si>
  <si>
    <t>BiK271LK----09</t>
  </si>
  <si>
    <t>BiK270X1----09</t>
  </si>
  <si>
    <t>vNNe, Spannungsebene: Hös/HS, ab 2009</t>
  </si>
  <si>
    <t>vNNe, Spannungsebene: HS, ab 2009</t>
  </si>
  <si>
    <t>vNNe, Spannungsebene: HS/MS, ab 2009</t>
  </si>
  <si>
    <t>vNNe, Spannungsebene: MS, ab 2009</t>
  </si>
  <si>
    <t>vNNe, Spannungsebene: MS/NS, ab 2009</t>
  </si>
  <si>
    <t>vNNe, Spannungsebene: NS, ab 2009</t>
  </si>
  <si>
    <t>Kl-vNNe--SpE01</t>
  </si>
  <si>
    <t>Kl-vNNe--SpE02</t>
  </si>
  <si>
    <t>Kl-vNNe--SpE03</t>
  </si>
  <si>
    <t>Kl-vNNe--SpE04</t>
  </si>
  <si>
    <t>Kl-vNNe--SpE05</t>
  </si>
  <si>
    <t>Kl-vNNe--SpE06</t>
  </si>
  <si>
    <t>Kl-vNNe--SpE07</t>
  </si>
  <si>
    <t>Gr-vNNe--SpE01</t>
  </si>
  <si>
    <t>Gr-vNNe--SpE02</t>
  </si>
  <si>
    <t>Gr-vNNe--SpE03</t>
  </si>
  <si>
    <t>Gr-vNNe--SpE04</t>
  </si>
  <si>
    <t>Gr-vNNe--SpE05</t>
  </si>
  <si>
    <t>Gr-vNNe--SpE06</t>
  </si>
  <si>
    <t>Gr-vNNe--SpE07</t>
  </si>
  <si>
    <t>Wn-vNNe--SpE01</t>
  </si>
  <si>
    <t>Wn-vNNe--SpE02</t>
  </si>
  <si>
    <t>Wn-vNNe--SpE03</t>
  </si>
  <si>
    <t>Wn-vNNe--SpE04</t>
  </si>
  <si>
    <t>Wn-vNNe--SpE05</t>
  </si>
  <si>
    <t>Wn-vNNe--SpE06</t>
  </si>
  <si>
    <t>Wn-vNNe--SpE07</t>
  </si>
  <si>
    <t>Wind onshore</t>
  </si>
  <si>
    <t>Wr-vNNe--SpE01</t>
  </si>
  <si>
    <t>Wr-vNNe--SpE02</t>
  </si>
  <si>
    <t>Wr-vNNe--SpE03</t>
  </si>
  <si>
    <t>Wr-vNNe--SpE04</t>
  </si>
  <si>
    <t>Wr-vNNe--SpE05</t>
  </si>
  <si>
    <t>Wr-vNNe--SpE06</t>
  </si>
  <si>
    <t>Wr-vNNe--SpE07</t>
  </si>
  <si>
    <t>Wind Repowering</t>
  </si>
  <si>
    <t>Wf-vNNe--SpE01</t>
  </si>
  <si>
    <t>Wf-vNNe--SpE02</t>
  </si>
  <si>
    <t>Wf-vNNe--SpE03</t>
  </si>
  <si>
    <t>Wf-vNNe--SpE04</t>
  </si>
  <si>
    <t>Wf-vNNe--SpE05</t>
  </si>
  <si>
    <t>Wf-vNNe--SpE06</t>
  </si>
  <si>
    <t>Wf-vNNe--SpE07</t>
  </si>
  <si>
    <t>Wind offshore</t>
  </si>
  <si>
    <t>Sg-vNNe--SpE01</t>
  </si>
  <si>
    <t>Sg-vNNe--SpE02</t>
  </si>
  <si>
    <t>Sg-vNNe--SpE03</t>
  </si>
  <si>
    <t>Sg-vNNe--SpE04</t>
  </si>
  <si>
    <t>BiK81bK12---04</t>
  </si>
  <si>
    <t>BiK81bK12y--04</t>
  </si>
  <si>
    <t>BiK81M1bK11y07</t>
  </si>
  <si>
    <t>BiK81LbK11--07</t>
  </si>
  <si>
    <t>BiK81LbK11y-07</t>
  </si>
  <si>
    <t>BiK81X1bK11-07</t>
  </si>
  <si>
    <t>BiK81X1bK11y07</t>
  </si>
  <si>
    <t>BiK82K11----07</t>
  </si>
  <si>
    <t>BiK82K11y---07</t>
  </si>
  <si>
    <t>BiK82a1K11--07</t>
  </si>
  <si>
    <t>BiK82a1K11y-07</t>
  </si>
  <si>
    <t>BiK82GK11---07</t>
  </si>
  <si>
    <t>BiK82GK11y--07</t>
  </si>
  <si>
    <t>BiK82M2K11--07</t>
  </si>
  <si>
    <t>BiK82M2K11y-07</t>
  </si>
  <si>
    <t>BiK82LK11---07</t>
  </si>
  <si>
    <t>BiK82LK11y--07</t>
  </si>
  <si>
    <t>BiK82X2K11--07</t>
  </si>
  <si>
    <t>BiK82X2K11y-07</t>
  </si>
  <si>
    <t>BiK82bK11---07</t>
  </si>
  <si>
    <t>BiK82bK11y--07</t>
  </si>
  <si>
    <t>BiK82a1bK11-07</t>
  </si>
  <si>
    <t>BiK82a1bK11y07</t>
  </si>
  <si>
    <t>BiK82GbK11--07</t>
  </si>
  <si>
    <t>BiK82GbK11y-07</t>
  </si>
  <si>
    <t>BiK82M2bK11-07</t>
  </si>
  <si>
    <t>BiK82M2bK11y07</t>
  </si>
  <si>
    <t>BiK82LbK11--07</t>
  </si>
  <si>
    <t>BiK82LbK11y-07</t>
  </si>
  <si>
    <t>BiK82X2bK11-07</t>
  </si>
  <si>
    <t>BiK82X2bK11y07</t>
  </si>
  <si>
    <t>BiK83K11----07</t>
  </si>
  <si>
    <t>BiK83a2K11--07</t>
  </si>
  <si>
    <t>BiK83a3K11--07</t>
  </si>
  <si>
    <t>BiK83bK11---07</t>
  </si>
  <si>
    <t>BiK83a2bK11-07</t>
  </si>
  <si>
    <t>BiK83a3bK11-07</t>
  </si>
  <si>
    <t>BiK84K11----07</t>
  </si>
  <si>
    <t>BiK85K11----07</t>
  </si>
  <si>
    <t>BiK81K11----08</t>
  </si>
  <si>
    <t>BiK81K11y---08</t>
  </si>
  <si>
    <t>BiK81a1K11--08</t>
  </si>
  <si>
    <t>BiK81a1K11y-08</t>
  </si>
  <si>
    <t>BiK81GK11---08</t>
  </si>
  <si>
    <t>BiK81GK11y--08</t>
  </si>
  <si>
    <t>BiK81M1K11--08</t>
  </si>
  <si>
    <t>BiK81M1K11y-08</t>
  </si>
  <si>
    <t>BiK81LK11---08</t>
  </si>
  <si>
    <t>BiK81LK11y--08</t>
  </si>
  <si>
    <t>BiK81X1K11--08</t>
  </si>
  <si>
    <t>BiK81X1K11y-08</t>
  </si>
  <si>
    <t>BiK81bK11---08</t>
  </si>
  <si>
    <t>BiK81bK11y--08</t>
  </si>
  <si>
    <t>BiK81a1bK11-08</t>
  </si>
  <si>
    <t>BiK81a1bK11y08</t>
  </si>
  <si>
    <t>BiK81GbK11--08</t>
  </si>
  <si>
    <t>BiK81GbK11y-08</t>
  </si>
  <si>
    <t>BiK81M1bK11-08</t>
  </si>
  <si>
    <t>BiK81M1bK11y08</t>
  </si>
  <si>
    <t>BiK81LbK11--08</t>
  </si>
  <si>
    <t>BiK81LbK11y-08</t>
  </si>
  <si>
    <t>BiK81X1bK11-08</t>
  </si>
  <si>
    <t>BiK81X1bK11y08</t>
  </si>
  <si>
    <t>BiK82K11----08</t>
  </si>
  <si>
    <t>BiK82K11y---08</t>
  </si>
  <si>
    <t>BiK82a1K11--08</t>
  </si>
  <si>
    <t>BiK82a1K11y-08</t>
  </si>
  <si>
    <t>BiK82GK11---08</t>
  </si>
  <si>
    <t>BiK82GK11y--08</t>
  </si>
  <si>
    <t>BiK82M2K11--08</t>
  </si>
  <si>
    <t>BiK82M2K11y-08</t>
  </si>
  <si>
    <t>BiK82LK11---08</t>
  </si>
  <si>
    <t>BiK82LK11y--08</t>
  </si>
  <si>
    <t>BiK82X2K11--08</t>
  </si>
  <si>
    <t>BiK82X2K11y-08</t>
  </si>
  <si>
    <t>BiK82bK11---08</t>
  </si>
  <si>
    <t>BiK82bK11y--08</t>
  </si>
  <si>
    <t>BiK82a1bK11-08</t>
  </si>
  <si>
    <t>BiK82a1bK11y08</t>
  </si>
  <si>
    <t>BiK82GbK11--08</t>
  </si>
  <si>
    <t>BiK82GbK11y-08</t>
  </si>
  <si>
    <t>BiK82M2bK11-08</t>
  </si>
  <si>
    <t>BiK82M2bK11y08</t>
  </si>
  <si>
    <t>BiK82LbK11--08</t>
  </si>
  <si>
    <t>BiK82LbK11y-08</t>
  </si>
  <si>
    <t>BiK82X2bK11-08</t>
  </si>
  <si>
    <t>BiK82X2bK11y08</t>
  </si>
  <si>
    <t>BiK83K11----08</t>
  </si>
  <si>
    <t>BiK83a2K11--08</t>
  </si>
  <si>
    <t>BiK83a3K11--08</t>
  </si>
  <si>
    <t>BiK83bK11---08</t>
  </si>
  <si>
    <t>BiK83a2bK11-08</t>
  </si>
  <si>
    <t>BiK83a3bK11-08</t>
  </si>
  <si>
    <t>BiK84K11----08</t>
  </si>
  <si>
    <t>BiK85K11----08</t>
  </si>
  <si>
    <t>"K11"</t>
  </si>
  <si>
    <t>BiK82a1b----05</t>
  </si>
  <si>
    <t>BiK82a1bKWK-05</t>
  </si>
  <si>
    <t>BiK83-------05</t>
  </si>
  <si>
    <t>BiK83KWK----05</t>
  </si>
  <si>
    <t>BiK83a2-----05</t>
  </si>
  <si>
    <t>BiK83a2KWK--05</t>
  </si>
  <si>
    <t>BiK83a3-----05</t>
  </si>
  <si>
    <t>BiK83a3KWK--05</t>
  </si>
  <si>
    <t>BiK51na1K10y01</t>
  </si>
  <si>
    <t>BiK51nGK10--01</t>
  </si>
  <si>
    <t>BiK51nGK10y-01</t>
  </si>
  <si>
    <t>BiK51nM1K10-01</t>
  </si>
  <si>
    <t>BiK51nM1K10y01</t>
  </si>
  <si>
    <t>BiK51nLK10--01</t>
  </si>
  <si>
    <t>BiK51nLK10y-01</t>
  </si>
  <si>
    <t>BiK51nX1K10-01</t>
  </si>
  <si>
    <t>BiK51nX1K10y01</t>
  </si>
  <si>
    <t>BiK51aK10y--01</t>
  </si>
  <si>
    <t>BiK51aa1K10-01</t>
  </si>
  <si>
    <t>BiK51aa1K10y01</t>
  </si>
  <si>
    <t>BiK51aGK10--01</t>
  </si>
  <si>
    <t>BiK51aGK10y-01</t>
  </si>
  <si>
    <t>BiK51aM2K10-01</t>
  </si>
  <si>
    <t>BiK51aX2K12-02</t>
  </si>
  <si>
    <t>BiK51aX2K12y02</t>
  </si>
  <si>
    <t>BiK52aK12---02</t>
  </si>
  <si>
    <t>BiK52aa2K12-02</t>
  </si>
  <si>
    <t>BiK52aa3K12-02</t>
  </si>
  <si>
    <t>BiK53aK12---02</t>
  </si>
  <si>
    <t>BiK54aK12---02</t>
  </si>
  <si>
    <t>BiK51nK12---03</t>
  </si>
  <si>
    <t>BiK51nK12y--03</t>
  </si>
  <si>
    <t>BiK51na1K12-03</t>
  </si>
  <si>
    <t>BiK51na1K12y03</t>
  </si>
  <si>
    <t>BiK51nGK12--03</t>
  </si>
  <si>
    <t>BiK51nGK12y-03</t>
  </si>
  <si>
    <t>BiK51nM1K12-03</t>
  </si>
  <si>
    <t>BiK51nM1K12y03</t>
  </si>
  <si>
    <t>BiK51nLK12--03</t>
  </si>
  <si>
    <t>BiK51nLK12y-03</t>
  </si>
  <si>
    <t>BiK51nX1K12-03</t>
  </si>
  <si>
    <t>BiK51nX1K12y03</t>
  </si>
  <si>
    <t>BiK51aK12---03</t>
  </si>
  <si>
    <t>BiK51aK12y--03</t>
  </si>
  <si>
    <t>BiK51aa1K12-03</t>
  </si>
  <si>
    <t>BiK51aa1K12y03</t>
  </si>
  <si>
    <t>BiK51aGK12--03</t>
  </si>
  <si>
    <t>BiK51aGK12y-03</t>
  </si>
  <si>
    <t>BiK51aM2K12-03</t>
  </si>
  <si>
    <t>BiK51aM2K12y03</t>
  </si>
  <si>
    <t>BiK51aLK12--03</t>
  </si>
  <si>
    <t>BiK51aLK12y-03</t>
  </si>
  <si>
    <t>BiK51aX2K12-03</t>
  </si>
  <si>
    <t>BiK51aX2K12y03</t>
  </si>
  <si>
    <t>BiK52aK12---03</t>
  </si>
  <si>
    <t>BiK52aa2K12-03</t>
  </si>
  <si>
    <t>BiK52aa3K12-03</t>
  </si>
  <si>
    <t>BiK53aK12---03</t>
  </si>
  <si>
    <t>BiK54aK12---03</t>
  </si>
  <si>
    <t>BiK81K12----04</t>
  </si>
  <si>
    <t>BiK81K12y---04</t>
  </si>
  <si>
    <t>BiK81a1K12--04</t>
  </si>
  <si>
    <t>BiK81a1K12y-04</t>
  </si>
  <si>
    <t>BiK81GK12---04</t>
  </si>
  <si>
    <t>BiK81GK12y--04</t>
  </si>
  <si>
    <t>BiK81M1K12--04</t>
  </si>
  <si>
    <t>BiK81M1K12y-04</t>
  </si>
  <si>
    <t>BiK81LK12---04</t>
  </si>
  <si>
    <t>BiK81LK12y--04</t>
  </si>
  <si>
    <t>BiK81X1K12--04</t>
  </si>
  <si>
    <t>BiK81X1K12y-04</t>
  </si>
  <si>
    <t>BiK82M2b----05</t>
  </si>
  <si>
    <t>BiK82M2bKWK-05</t>
  </si>
  <si>
    <t>BiK82M2bKA3-05</t>
  </si>
  <si>
    <t>BiK82M2bK09-05</t>
  </si>
  <si>
    <t>BiK82M2by---05</t>
  </si>
  <si>
    <t>Anteil KWK, erstmals 2010</t>
  </si>
  <si>
    <t>BiK81K10----05</t>
  </si>
  <si>
    <t>BiK81K10y---05</t>
  </si>
  <si>
    <t>BiK81a1K10--05</t>
  </si>
  <si>
    <t>BiK81a1K10y-05</t>
  </si>
  <si>
    <t>BiK81GK10---05</t>
  </si>
  <si>
    <t>BiK81GK10y--05</t>
  </si>
  <si>
    <t>BiK81M1K10--05</t>
  </si>
  <si>
    <t>BiK81M1K10y-05</t>
  </si>
  <si>
    <t>BiK81LK10---05</t>
  </si>
  <si>
    <t>BiK81LK10y--05</t>
  </si>
  <si>
    <t>BiK81X1K10--05</t>
  </si>
  <si>
    <t>BiK81X1K10y-05</t>
  </si>
  <si>
    <t>BiK81bK10---05</t>
  </si>
  <si>
    <t>BiK81bK10y--05</t>
  </si>
  <si>
    <t>BiK81a1bK10-05</t>
  </si>
  <si>
    <t>BiK81a1bK10y05</t>
  </si>
  <si>
    <t>BiK81GbK10--05</t>
  </si>
  <si>
    <t>BiK81GbK10y-05</t>
  </si>
  <si>
    <t>BiK81M1bK10-05</t>
  </si>
  <si>
    <t>BiK81M1bK10y05</t>
  </si>
  <si>
    <t>BiK81LbK10--05</t>
  </si>
  <si>
    <t>BiK81LbK10y-05</t>
  </si>
  <si>
    <t>BiK81X1bK10-05</t>
  </si>
  <si>
    <t>BiK81X1bK10y05</t>
  </si>
  <si>
    <t>BiK82K10----05</t>
  </si>
  <si>
    <t>BiK82K10y---05</t>
  </si>
  <si>
    <t>BiK82a1K10--05</t>
  </si>
  <si>
    <t>BiK82a1K10y-05</t>
  </si>
  <si>
    <t>BiK82GK10---05</t>
  </si>
  <si>
    <t>BiK82GK10y--05</t>
  </si>
  <si>
    <t>BiK82M2K10--05</t>
  </si>
  <si>
    <t>BiK82M2K10y-05</t>
  </si>
  <si>
    <t>BiK82LK10---05</t>
  </si>
  <si>
    <t>BiK82LK10y--05</t>
  </si>
  <si>
    <t>BiK82X2K10--05</t>
  </si>
  <si>
    <t>BiK82X2K10y-05</t>
  </si>
  <si>
    <t>BiK82bK10---05</t>
  </si>
  <si>
    <t>BiK82bK10y--05</t>
  </si>
  <si>
    <t>BiK82a1bK10-05</t>
  </si>
  <si>
    <t>BiK82a1bK10y05</t>
  </si>
  <si>
    <t>BiK82GbK10--05</t>
  </si>
  <si>
    <t>BiK82GbK10y-05</t>
  </si>
  <si>
    <t>BiK82M2bK10-05</t>
  </si>
  <si>
    <t>BiK82M2bK10y05</t>
  </si>
  <si>
    <t>BiK82LbK10--05</t>
  </si>
  <si>
    <t>BiK82LbK10y-05</t>
  </si>
  <si>
    <t>BiK82X2bK10-05</t>
  </si>
  <si>
    <t>BiK82X2bK10y05</t>
  </si>
  <si>
    <t>BiK83K10----05</t>
  </si>
  <si>
    <t>BiK83a2K10--05</t>
  </si>
  <si>
    <t>BiK83a3K10--05</t>
  </si>
  <si>
    <t>BiK83bK10---05</t>
  </si>
  <si>
    <t>BiK83a2bK10-05</t>
  </si>
  <si>
    <t>BiK83a3bK10-05</t>
  </si>
  <si>
    <t>BiK84K10----05</t>
  </si>
  <si>
    <t>BiK81by-----08</t>
  </si>
  <si>
    <t>BiK81bKWKy--08</t>
  </si>
  <si>
    <t>BiK81bKA3y--08</t>
  </si>
  <si>
    <t>BiK81bK09y--08</t>
  </si>
  <si>
    <t>BiK81a1bKWKy08</t>
  </si>
  <si>
    <t>BiK81a1bKA3y08</t>
  </si>
  <si>
    <t>BiK81a1bK09y08</t>
  </si>
  <si>
    <t>BiK81a1by---08</t>
  </si>
  <si>
    <t>BiK81a1y----07</t>
  </si>
  <si>
    <t>BiK81a1KWKy-07</t>
  </si>
  <si>
    <t>BiK81a1KA3y-07</t>
  </si>
  <si>
    <t>BiK81a1K09y-07</t>
  </si>
  <si>
    <t>BiK81by-----07</t>
  </si>
  <si>
    <t>BiK81bKWKy--07</t>
  </si>
  <si>
    <t>BiK81bKA3y--07</t>
  </si>
  <si>
    <t>BiK81bK09y--07</t>
  </si>
  <si>
    <t>BiK82y------07</t>
  </si>
  <si>
    <t>BiK81LK12---06</t>
  </si>
  <si>
    <t>BiK81LK12y--06</t>
  </si>
  <si>
    <t>BiK81X1K12--06</t>
  </si>
  <si>
    <t>BiK81X1K12y-06</t>
  </si>
  <si>
    <t>BiK81bK12---06</t>
  </si>
  <si>
    <t>BiK81bK12y--06</t>
  </si>
  <si>
    <t>BiK81a1bK12-06</t>
  </si>
  <si>
    <t>BiK81a1bK12y06</t>
  </si>
  <si>
    <t>BiK81GbK12--06</t>
  </si>
  <si>
    <t>BiK81GbK12y-06</t>
  </si>
  <si>
    <t>BiK81M1bK12-06</t>
  </si>
  <si>
    <t>BiK81M1bK12y06</t>
  </si>
  <si>
    <t>BiK81LbK12--06</t>
  </si>
  <si>
    <t>BiK81LbK12y-06</t>
  </si>
  <si>
    <t>BiK81X1bK12-06</t>
  </si>
  <si>
    <t>BiK81X1bK12y06</t>
  </si>
  <si>
    <t>BiK82K12----06</t>
  </si>
  <si>
    <t>BiK82K12y---06</t>
  </si>
  <si>
    <t>BiK82a1K12--06</t>
  </si>
  <si>
    <t>BiK82a1K12y-06</t>
  </si>
  <si>
    <t>BiK82X2KWKy-08</t>
  </si>
  <si>
    <t>BiK82X2KA3y-08</t>
  </si>
  <si>
    <t>BiK82X2K09y-08</t>
  </si>
  <si>
    <t>BiK53aK09---01</t>
  </si>
  <si>
    <t>BiK81K09----04</t>
  </si>
  <si>
    <t>BiK83a2bKWK-07</t>
  </si>
  <si>
    <t>BiK83a3b----07</t>
  </si>
  <si>
    <t>BiK83a3bKWK-07</t>
  </si>
  <si>
    <t>BiK84-------07</t>
  </si>
  <si>
    <t>BiK84KWK----07</t>
  </si>
  <si>
    <t>BiK85-------07</t>
  </si>
  <si>
    <t>BiK81-------08</t>
  </si>
  <si>
    <t>BiK81KWK----08</t>
  </si>
  <si>
    <t>BiK81a1-----08</t>
  </si>
  <si>
    <t>BiK81a1KWK--08</t>
  </si>
  <si>
    <t>BiK81b------08</t>
  </si>
  <si>
    <t>BiK81bKWK---08</t>
  </si>
  <si>
    <t>BiK81a1b----08</t>
  </si>
  <si>
    <t>BiK81a1bKWK-08</t>
  </si>
  <si>
    <t>BiK82-------08</t>
  </si>
  <si>
    <t>BiK82KWK----08</t>
  </si>
  <si>
    <t>BiK82a1-----08</t>
  </si>
  <si>
    <t>BiK82a1KWK--08</t>
  </si>
  <si>
    <t>BiK82b------08</t>
  </si>
  <si>
    <t>BiK82bKWK---08</t>
  </si>
  <si>
    <t>BiK82a1b----08</t>
  </si>
  <si>
    <t>BiK82a1bKWK-08</t>
  </si>
  <si>
    <t>BiK83-------08</t>
  </si>
  <si>
    <t>BiK82X2y----04</t>
  </si>
  <si>
    <t>Energieart (vgl. oben)</t>
  </si>
  <si>
    <t>Stelle 4 (Wa, Ga, Bi, Ge) bzw. 4-5 (Wind, Solar)</t>
  </si>
  <si>
    <t>relevanter Paragraph aus dem EEG 2004:</t>
  </si>
  <si>
    <t xml:space="preserve">6 für Wasserkraft </t>
  </si>
  <si>
    <t>DeK5642-MPM--0</t>
  </si>
  <si>
    <t>KlK5642-MPM--0</t>
  </si>
  <si>
    <t>GrK5642-MPM--0</t>
  </si>
  <si>
    <t>GeK5642-MPM--0</t>
  </si>
  <si>
    <t>WiK5642-MPM--0</t>
  </si>
  <si>
    <t>WnK5642-MPM--0</t>
  </si>
  <si>
    <t>WrK5642-MPM--0</t>
  </si>
  <si>
    <t>WfK5642-MPM--0</t>
  </si>
  <si>
    <t>SoK5642-MPM--0</t>
  </si>
  <si>
    <t>SgK5642-MPM--0</t>
  </si>
  <si>
    <t>Nicht-Anerkennung als Grünstrom nach § 56 Abs. 4 Nr. 3 (Doppelvermarktung)</t>
  </si>
  <si>
    <t>Entfall Marktprämie nach § 56 Abs. 4 Nr. 2 (Doppelvermarktung)</t>
  </si>
  <si>
    <t>WaK5643-GSP--0</t>
  </si>
  <si>
    <t>BiK5643-GSP--0</t>
  </si>
  <si>
    <t>GaK5643-GSP--0</t>
  </si>
  <si>
    <t>DeK5643-GSP--0</t>
  </si>
  <si>
    <t>KlK5643-GSP--0</t>
  </si>
  <si>
    <t>GrK5643-GSP--0</t>
  </si>
  <si>
    <t>GeK5643-GSP--0</t>
  </si>
  <si>
    <t>WiK5643-GSP--0</t>
  </si>
  <si>
    <t>WnK5643-GSP--0</t>
  </si>
  <si>
    <t>WrK5643-GSP--0</t>
  </si>
  <si>
    <t>WfK5643-GSP--0</t>
  </si>
  <si>
    <t>SoK5643-GSP--0</t>
  </si>
  <si>
    <t>SgK5643-GSP--0</t>
  </si>
  <si>
    <t>56 für Verrringerung oder Entfall des Vergütungsanspruchs bei Doppelvermarktung</t>
  </si>
  <si>
    <t>Bonus für Einsatz petrothermaler Technik</t>
  </si>
  <si>
    <t>§ 28 Abs. 3 EEG</t>
  </si>
  <si>
    <t>§ 28 Abs. 2 EEG; Anlage 4</t>
  </si>
  <si>
    <t>P</t>
  </si>
  <si>
    <t>0-10 MW</t>
  </si>
  <si>
    <t>Inbetriebnahme 2002</t>
  </si>
  <si>
    <t>WaK42a------02</t>
  </si>
  <si>
    <t>WaK41a------03</t>
  </si>
  <si>
    <t>Inbetriebnahme 2003</t>
  </si>
  <si>
    <t>WaK42a------03</t>
  </si>
  <si>
    <t>WaK41a------04</t>
  </si>
  <si>
    <t>BiK270t2iK--10</t>
  </si>
  <si>
    <t>BiK270t2a1--10</t>
  </si>
  <si>
    <t>BiK270t2a1K-10</t>
  </si>
  <si>
    <t>BiK270t2a1i-10</t>
  </si>
  <si>
    <t>BiK270t2a1iK10</t>
  </si>
  <si>
    <t>BiK270t2G---10</t>
  </si>
  <si>
    <t>BiK270t2GK--10</t>
  </si>
  <si>
    <t>BiK270t2Gi--10</t>
  </si>
  <si>
    <t>BiK270t2GiK-10</t>
  </si>
  <si>
    <t>BiK270t2L---10</t>
  </si>
  <si>
    <t>BiK270t2LK--10</t>
  </si>
  <si>
    <t>BiK270t2Li--10</t>
  </si>
  <si>
    <t>BiK270t2LiK-10</t>
  </si>
  <si>
    <t>BiK270t2M1--10</t>
  </si>
  <si>
    <t>BiK270t2M1K-10</t>
  </si>
  <si>
    <t>BiK270t2M1i-10</t>
  </si>
  <si>
    <t>BiK270t2M1iK10</t>
  </si>
  <si>
    <t>BiK270t2X1--10</t>
  </si>
  <si>
    <t>BiK270t2X1K-10</t>
  </si>
  <si>
    <t>BiK270t2X1i-10</t>
  </si>
  <si>
    <t>BiK270t2X1iK10</t>
  </si>
  <si>
    <t>BiK270t3----10</t>
  </si>
  <si>
    <t>BiK270t3K---10</t>
  </si>
  <si>
    <t>BiK270t3i---10</t>
  </si>
  <si>
    <t>BiK270t3iK--10</t>
  </si>
  <si>
    <t>BiK270t3a1--10</t>
  </si>
  <si>
    <t>BiK270t3a1K-10</t>
  </si>
  <si>
    <t>BiK270t3a1i-10</t>
  </si>
  <si>
    <t>BiK270t3a1iK10</t>
  </si>
  <si>
    <t>BiK270t3G---10</t>
  </si>
  <si>
    <t>BiK270t3GK--10</t>
  </si>
  <si>
    <t>BiK270t3Gi--10</t>
  </si>
  <si>
    <t>BiK270t3GiK-10</t>
  </si>
  <si>
    <t>BiK270t3L---10</t>
  </si>
  <si>
    <t>BiK270t3LK--10</t>
  </si>
  <si>
    <t>BiK270t3Li--10</t>
  </si>
  <si>
    <t>BiK270t3LiK-10</t>
  </si>
  <si>
    <t>BiK270t3M1--10</t>
  </si>
  <si>
    <t>BiK270t3M1K-10</t>
  </si>
  <si>
    <t>BiK270t3M1i-10</t>
  </si>
  <si>
    <t>BiK270t3M1iK10</t>
  </si>
  <si>
    <t>BiK270t3X1--10</t>
  </si>
  <si>
    <t>BiK270t3X1K-10</t>
  </si>
  <si>
    <t>BiK270t3X1i-10</t>
  </si>
  <si>
    <t>BiK270t3X1iK10</t>
  </si>
  <si>
    <t>BiK271------10</t>
  </si>
  <si>
    <t>BiK271K-----10</t>
  </si>
  <si>
    <t>BiK271i-----10</t>
  </si>
  <si>
    <t>BiK271iK----10</t>
  </si>
  <si>
    <t>BiK271a1----10</t>
  </si>
  <si>
    <t>BiK271a1K---10</t>
  </si>
  <si>
    <t>BiK271a1i---10</t>
  </si>
  <si>
    <t>BiK271a1iK--10</t>
  </si>
  <si>
    <t>BiK271G-----10</t>
  </si>
  <si>
    <t>BiK271GK----10</t>
  </si>
  <si>
    <t>BiK271Gi----10</t>
  </si>
  <si>
    <t>BiK271GiK---10</t>
  </si>
  <si>
    <t>BiK271L-----10</t>
  </si>
  <si>
    <t>BiK271LK----10</t>
  </si>
  <si>
    <t>BiK271Li----10</t>
  </si>
  <si>
    <t>BiK271LiK---10</t>
  </si>
  <si>
    <t>BiK271M2----10</t>
  </si>
  <si>
    <t>BiK271M2K---10</t>
  </si>
  <si>
    <t>BiK271M2i---10</t>
  </si>
  <si>
    <t>BiK271M2iK--10</t>
  </si>
  <si>
    <t>BiK271X2----10</t>
  </si>
  <si>
    <t>BiK271X2K---10</t>
  </si>
  <si>
    <t>BiK271X2i---10</t>
  </si>
  <si>
    <t>BiK271X2iK--10</t>
  </si>
  <si>
    <t>BiK271t1----10</t>
  </si>
  <si>
    <t>BiK271t1K---10</t>
  </si>
  <si>
    <t>BiK271t1i---10</t>
  </si>
  <si>
    <t>BiK271t1iK--10</t>
  </si>
  <si>
    <t>BiK271t1a1--10</t>
  </si>
  <si>
    <t>BiK271t1a1K-10</t>
  </si>
  <si>
    <t>BiK271t1a1i-10</t>
  </si>
  <si>
    <t>BiK271t1a1iK10</t>
  </si>
  <si>
    <t>BiK271t1G---10</t>
  </si>
  <si>
    <t>BiK271t1GK--10</t>
  </si>
  <si>
    <t>BiK271t1Gi--10</t>
  </si>
  <si>
    <t>BiK271t1GiK-10</t>
  </si>
  <si>
    <t>BiK271t1L---10</t>
  </si>
  <si>
    <t>BiK271t1LK--10</t>
  </si>
  <si>
    <t>BiK271t1Li--10</t>
  </si>
  <si>
    <t>BiK271t1LiK-10</t>
  </si>
  <si>
    <t>BiK271t1M2--10</t>
  </si>
  <si>
    <t>BiK271t1M2K-10</t>
  </si>
  <si>
    <t>BiK271t1M2i-10</t>
  </si>
  <si>
    <t>BiK271t1M2iK10</t>
  </si>
  <si>
    <t>BiK271t1X2--10</t>
  </si>
  <si>
    <t>BiK271t1X2K-10</t>
  </si>
  <si>
    <t>BiK271t1X2i-10</t>
  </si>
  <si>
    <t>BiK271t1X2iK10</t>
  </si>
  <si>
    <t>BiK271t2----10</t>
  </si>
  <si>
    <t>BiK271t2K---10</t>
  </si>
  <si>
    <t>BiK271t2i---10</t>
  </si>
  <si>
    <t>BiK271t2iK--10</t>
  </si>
  <si>
    <t>BiK271t2a1--10</t>
  </si>
  <si>
    <t>BiK271t2a1K-10</t>
  </si>
  <si>
    <t>BiK271t2a1i-10</t>
  </si>
  <si>
    <t>BiK271t2a1iK10</t>
  </si>
  <si>
    <t>BiK271t2G---10</t>
  </si>
  <si>
    <t>BiK271t2GK--10</t>
  </si>
  <si>
    <t>BiK271t2Gi--10</t>
  </si>
  <si>
    <t>BiK271t2GiK-10</t>
  </si>
  <si>
    <t>BiK271t2L---10</t>
  </si>
  <si>
    <t>BiK271t2LK--10</t>
  </si>
  <si>
    <t>BiK271t2Li--10</t>
  </si>
  <si>
    <t>BiK271t2LiK-10</t>
  </si>
  <si>
    <t>BiK271t2M2--10</t>
  </si>
  <si>
    <t>BiK271t2M2K-10</t>
  </si>
  <si>
    <t>BiK271t2M2i-10</t>
  </si>
  <si>
    <t>BiK271t2M2iK10</t>
  </si>
  <si>
    <t>BiK271t2X2--10</t>
  </si>
  <si>
    <t>BiK271t2X2K-10</t>
  </si>
  <si>
    <t>BiK271t2X2i-10</t>
  </si>
  <si>
    <t>BiK271t2X2iK10</t>
  </si>
  <si>
    <t>BiK271t3----10</t>
  </si>
  <si>
    <t>BiK271t3K---10</t>
  </si>
  <si>
    <t>BiK271t3i---10</t>
  </si>
  <si>
    <t>BiK271t3iK--10</t>
  </si>
  <si>
    <t>BiK271t3a1--10</t>
  </si>
  <si>
    <t>BiK271t3a1K-10</t>
  </si>
  <si>
    <t>BiK271t3a1i-10</t>
  </si>
  <si>
    <t>BiK271t3a1iK10</t>
  </si>
  <si>
    <t>BiK271t3G---10</t>
  </si>
  <si>
    <t>BiK271t3GK--10</t>
  </si>
  <si>
    <t>BiK271t3Gi--10</t>
  </si>
  <si>
    <t>BiK271t3GiK-10</t>
  </si>
  <si>
    <t>BiK271t3L---10</t>
  </si>
  <si>
    <t>BiK271t3LK--10</t>
  </si>
  <si>
    <t>BiK271t3Li--10</t>
  </si>
  <si>
    <t>Kategorien Direktvermarktung für Grünstromprivileg nach § 33b Nr. 2 EEG 2012</t>
  </si>
  <si>
    <t>Die nachfolgenden Kategorien dienen der Datenmeldung der nach § 33b Nr. 2 EEG 2012 direkt vermarkteten und erzeugten Strommengen für die Inanspruchnahme des Grünstromprivilegs ("Grünstrom-Direktvermarktung").</t>
  </si>
  <si>
    <t>Für diese Strommengen werden keine EEG-Vergütung und keine vNNE an den Anlagenbetreiber gezahlt. Die vNNE werden an den ÜNB ausgezahlt, fließen in den bundesweiten Belastungsausgleich ein und reduzieren so die EEG-Umlage.</t>
  </si>
  <si>
    <t>WaK33b2-GSP-DV</t>
  </si>
  <si>
    <t>Strommenge der DV für Grünstromprivileg</t>
  </si>
  <si>
    <t>BiK33b2-GSP-DV</t>
  </si>
  <si>
    <t>GaK33b2-GSP-DV</t>
  </si>
  <si>
    <t>DeK33b2-GSP-DV</t>
  </si>
  <si>
    <t>KlK33b2-GSP-DV</t>
  </si>
  <si>
    <t>GrK33b2-GSP-DV</t>
  </si>
  <si>
    <t>GeK33b2-GSP-DV</t>
  </si>
  <si>
    <t>WiK33b2-GSP-DV</t>
  </si>
  <si>
    <t>WnK33b2-GSP-DV</t>
  </si>
  <si>
    <t>WrK33b2-GSP-DV</t>
  </si>
  <si>
    <t>WfK33b2-GSP-DV</t>
  </si>
  <si>
    <t>SoK33b2-GSP-DV</t>
  </si>
  <si>
    <t>SgK33b2-GSP-DV</t>
  </si>
  <si>
    <t>WaK33b3--SO-DV</t>
  </si>
  <si>
    <t>Strommenge der Sonstigen DV</t>
  </si>
  <si>
    <t>BiK33b3--SO-DV</t>
  </si>
  <si>
    <t>GaK33b3--SO-DV</t>
  </si>
  <si>
    <t>DeK33b3--SO-DV</t>
  </si>
  <si>
    <t>KlK33b3--SO-DV</t>
  </si>
  <si>
    <t>GrK33b3--SO-DV</t>
  </si>
  <si>
    <t>GeK33b3--SO-DV</t>
  </si>
  <si>
    <t>WiK33b3--SO-DV</t>
  </si>
  <si>
    <t>WnK33b3--SO-DV</t>
  </si>
  <si>
    <t>WrK33b3--SO-DV</t>
  </si>
  <si>
    <t>WfK33b3--SO-DV</t>
  </si>
  <si>
    <t>SoK33b3--SO-DV</t>
  </si>
  <si>
    <t>SgK33b3--SO-DV</t>
  </si>
  <si>
    <t>SoK320BS-Apr12</t>
  </si>
  <si>
    <t>Bestandsschutz Bebauungsplan vor 1.3.2012, außer versiegelte bzw. Konversionsflächen (§ 32 Abs. 1 EEG 2012 a.F.)</t>
  </si>
  <si>
    <t>Degression gegenüber § 32 Abs. 1 EEG 2012 (21,11 ct/kWh); Bestandschutz nach § 66 Abs. 18a bei IBN Apr-Juni 12</t>
  </si>
  <si>
    <t>SoK321BS-Apr12</t>
  </si>
  <si>
    <t>Bestandsschutz Bebauungsplan vor 1.3.2012, versiegelte bzw. Konversionsflächen (§ 32 Abs. 2 EEG 2012 a.F.)</t>
  </si>
  <si>
    <t>Degression gegenüber § 32 Abs. 2 EEG 2012 (22,07 ct/kWh); Bestandschutz nach § 66 Abs. 18a bei IBN Apr-Juni 12</t>
  </si>
  <si>
    <t>SoK321BS-Jul12</t>
  </si>
  <si>
    <t>Bestandsschutz für Konversionsflächen (§ 32 Abs. 1 Nr. 3 Buchstabe c Doppelbuchstabe cc EEG 2012)</t>
  </si>
  <si>
    <t>Bestandschutz nach § 66 Abs. 18a bei IBN Juli - Okt 12</t>
  </si>
  <si>
    <t>Monat</t>
  </si>
  <si>
    <t>Degression</t>
  </si>
  <si>
    <t>Freiflächenanlage 0 - 10 MW</t>
  </si>
  <si>
    <t>SoK321---Apr12</t>
  </si>
  <si>
    <t>SoK321---Mai12</t>
  </si>
  <si>
    <t>SoK321---Jun12</t>
  </si>
  <si>
    <t>SoK321---Jul12</t>
  </si>
  <si>
    <t>SoK321---Aug12</t>
  </si>
  <si>
    <t>SoK321---Sep12</t>
  </si>
  <si>
    <t>SoK321---Okt12</t>
  </si>
  <si>
    <t>SoK321---Nov12</t>
  </si>
  <si>
    <t>SoK321---Dez12</t>
  </si>
  <si>
    <t>außer versiegelte bzw. Konversionsflächen (§ 32 Abs. 1 EEG 2012 a.F.)</t>
  </si>
  <si>
    <t>Bebauungsplan, versiegelte bzw. Konversionsflächen (§ 32 Abs. 2 EEG 2012 a.F.)</t>
  </si>
  <si>
    <t>Apr12</t>
  </si>
  <si>
    <t>Inbetriebnahme 01-03/2012</t>
  </si>
  <si>
    <t>Inbetriebnahme 04-06/2012</t>
  </si>
  <si>
    <t>0 - 10 kW</t>
  </si>
  <si>
    <t>10 - 40 kW</t>
  </si>
  <si>
    <t>40 kW - 1 MW</t>
  </si>
  <si>
    <t>1 - 10 MW</t>
  </si>
  <si>
    <t>Bestandsschutz Netzanschlussbegehren vor 24.02.2012, 0-30 kW, selbstverbrauchte Erzeugung</t>
  </si>
  <si>
    <t>Bestandsschutz Netzanschlussbegehren vor 24.02.2012, 30-100 kW, selbstverbrauchte Erzeugung</t>
  </si>
  <si>
    <t>Bestandsschutz Netzanschlussbegehren vor 24.02.2012, 100-500 kW, selbstverbrauchte Erzeugung</t>
  </si>
  <si>
    <t>Bestandsschutz Netzanschlussbegehren vor 24.02.2012, 0-30 kW, Rückvergütung SV bis 30% der Gesamterzeugung der Anlage</t>
  </si>
  <si>
    <t>Bestandsschutz Netzanschlussbegehren vor 24.02.2012, 0-30 kW, Rückvergütung SV über 30% der Gesamterzeugung der Anlage</t>
  </si>
  <si>
    <t>Bestandsschutz Netzanschlussbegehren vor 24.02.2012, 30-100 kW, Rückvergütung SV bis 30% der Gesamterzeugung der Anlage</t>
  </si>
  <si>
    <t>Bestandsschutz Netzanschlussbegehren vor 24.02.2012, 30-100 kW, Rückvergütung SV über 30% der Gesamterzeugung der Anlage</t>
  </si>
  <si>
    <t>Bestandsschutz Netzanschlussbegehren vor 24.02.2012, 100-500 kW, Rückvergütung für SV bis 30% der Gesamterzeugung der Anlage</t>
  </si>
  <si>
    <t>Bestandsschutz Netzanschlussbegehren vor 24.02.2012, 100-500 kW, Rückvergütung SV über 30% der Gesamterzeugung der Anlage</t>
  </si>
  <si>
    <t>SgK3220--Apr12</t>
  </si>
  <si>
    <t>SgK3220--Mai12</t>
  </si>
  <si>
    <t>SgK3220--Jun12</t>
  </si>
  <si>
    <t>SgK3220--Jul12</t>
  </si>
  <si>
    <t>SgK3220--Aug12</t>
  </si>
  <si>
    <t>SgK3220--Sep12</t>
  </si>
  <si>
    <t>SgK3220--Okt12</t>
  </si>
  <si>
    <t>SgK3220--Nov12</t>
  </si>
  <si>
    <t>SgK3220--Dez12</t>
  </si>
  <si>
    <t>SoK351b----SSV</t>
  </si>
  <si>
    <t>50 % der Kosten der PV-Nachrüstung gemäß Systemstabilitätsverordnung (Umrüstung 50,2 Hz)</t>
  </si>
  <si>
    <t>SoK66114-----0</t>
  </si>
  <si>
    <t>SgK66114-----0</t>
  </si>
  <si>
    <t>SoK66114-MPM-0</t>
  </si>
  <si>
    <t>SgK66114-MPM-0</t>
  </si>
  <si>
    <t>Entfall Marktprämie nach § 66 Abs. 1 Nr. 14 (Nichterfüllung der Systemstabilitätsverordnung)</t>
  </si>
  <si>
    <t>Entfall Vergütungsanspruch nach § 66 Abs. 1 Nr. 14 (Nichterfüllung der Systemstabilitätsverordnung)</t>
  </si>
  <si>
    <t>SgK332-MIM-mMW</t>
  </si>
  <si>
    <t>SgK332-MIM-aMW</t>
  </si>
  <si>
    <t>Verringerung auf Monats-Marktwert nach § 33 Abs. 2 (Überschreitung 90 %) für Anlagen mit RLM-Messung</t>
  </si>
  <si>
    <t>BiK81LbK11--06</t>
  </si>
  <si>
    <t>BiK81LbK11y-06</t>
  </si>
  <si>
    <t>BiK81X1bK11-06</t>
  </si>
  <si>
    <t>BiK81X1bK11y06</t>
  </si>
  <si>
    <t>BiK82K11----06</t>
  </si>
  <si>
    <t>BiK82K11y---06</t>
  </si>
  <si>
    <t>BiK82a1K11--06</t>
  </si>
  <si>
    <t>BiK82a1K11y-06</t>
  </si>
  <si>
    <t>BiK82GK11---06</t>
  </si>
  <si>
    <t>BiK82GK11y--06</t>
  </si>
  <si>
    <t>BiK82M2K11--06</t>
  </si>
  <si>
    <t>BiK82M2K11y-06</t>
  </si>
  <si>
    <t>BiK82LK11---06</t>
  </si>
  <si>
    <t>BiK82LK11y--06</t>
  </si>
  <si>
    <t>BiK82X2K11--06</t>
  </si>
  <si>
    <t>BiK82X2K11y-06</t>
  </si>
  <si>
    <t>BiK82bK11---06</t>
  </si>
  <si>
    <t>BiK82bK11y--06</t>
  </si>
  <si>
    <t>BiK82a1bK11-06</t>
  </si>
  <si>
    <t>BiK82a1bK11y06</t>
  </si>
  <si>
    <t>BiK82GbK11--06</t>
  </si>
  <si>
    <t>BiK82GbK11y-06</t>
  </si>
  <si>
    <t>BiK82M2bK11-06</t>
  </si>
  <si>
    <t>BiK82M2bK11y06</t>
  </si>
  <si>
    <t>BiK82LbK11--06</t>
  </si>
  <si>
    <t>BiK82LbK11y-06</t>
  </si>
  <si>
    <t>BiK82X2bK11-06</t>
  </si>
  <si>
    <t>BiK82X2bK11y06</t>
  </si>
  <si>
    <t>BiK83K11----06</t>
  </si>
  <si>
    <t>BiK83a2K11--06</t>
  </si>
  <si>
    <t>BiK83a3K11--06</t>
  </si>
  <si>
    <t>BiK83bK11---06</t>
  </si>
  <si>
    <t>BiK83a2bK11-06</t>
  </si>
  <si>
    <t>BiK83a3bK11-06</t>
  </si>
  <si>
    <t>BiK84K11----06</t>
  </si>
  <si>
    <t>BiK85K11----06</t>
  </si>
  <si>
    <t>BiK81K11----07</t>
  </si>
  <si>
    <t>BiK81K11y---07</t>
  </si>
  <si>
    <t>BiK81a1K11--07</t>
  </si>
  <si>
    <t>BiK81a1K11y-07</t>
  </si>
  <si>
    <t>BiK81GK11---07</t>
  </si>
  <si>
    <t>BiK81GK11y--07</t>
  </si>
  <si>
    <t>BiK81M1K11--07</t>
  </si>
  <si>
    <t>BiK81M1K11y-07</t>
  </si>
  <si>
    <t>BiK81LK11---07</t>
  </si>
  <si>
    <t>BiK81LK11y--07</t>
  </si>
  <si>
    <t>BiK81X1K11--07</t>
  </si>
  <si>
    <t>BiK81X1K11y-07</t>
  </si>
  <si>
    <t>BiK82KWKy---07</t>
  </si>
  <si>
    <t>BiK82KA3y---07</t>
  </si>
  <si>
    <t>BiK82K09y---07</t>
  </si>
  <si>
    <t>BiK82a1y----07</t>
  </si>
  <si>
    <t>BiK82a1KWKy-07</t>
  </si>
  <si>
    <t>BiK82a1KA3y-07</t>
  </si>
  <si>
    <t>BiK82a1K09y-07</t>
  </si>
  <si>
    <t>BiK81a1by---07</t>
  </si>
  <si>
    <t>BiK81a1bKWKy07</t>
  </si>
  <si>
    <t>BiK81a1bKA3y07</t>
  </si>
  <si>
    <t>BiK81a1bK09y07</t>
  </si>
  <si>
    <t>BiK82by-----07</t>
  </si>
  <si>
    <t>BiK82bKWKy--07</t>
  </si>
  <si>
    <t>BiK82bKA3y--07</t>
  </si>
  <si>
    <t>BiK82bK09y--07</t>
  </si>
  <si>
    <t>BiK82a1by---07</t>
  </si>
  <si>
    <t>BiK82a1bKWKy07</t>
  </si>
  <si>
    <t>BiK82a1bKA3y07</t>
  </si>
  <si>
    <t>BiK82a1bK09y07</t>
  </si>
  <si>
    <t>BiK81y------06</t>
  </si>
  <si>
    <t>BiK81KWKy---06</t>
  </si>
  <si>
    <t>BiK81KA3y---06</t>
  </si>
  <si>
    <t>BiK81K09y---06</t>
  </si>
  <si>
    <t>BiK81a1y----06</t>
  </si>
  <si>
    <t>BiK81a1KWKy-06</t>
  </si>
  <si>
    <t>BiK83bK09---04</t>
  </si>
  <si>
    <t>BiK83a2bK09-04</t>
  </si>
  <si>
    <t>BiK83a3bK09-04</t>
  </si>
  <si>
    <t>BiK51nKA3---02</t>
  </si>
  <si>
    <t>BiK51na1KA3-02</t>
  </si>
  <si>
    <t>BiK51aKA3---02</t>
  </si>
  <si>
    <t>BiK51aa1KA3-02</t>
  </si>
  <si>
    <t>BiK51nKA3---03</t>
  </si>
  <si>
    <t>BiK51na1KA3-03</t>
  </si>
  <si>
    <t>BiK51aKA3---03</t>
  </si>
  <si>
    <t>BiK51aa1KA3-03</t>
  </si>
  <si>
    <t>BiK81a1KA3--04</t>
  </si>
  <si>
    <t>BiK81bKA3---04</t>
  </si>
  <si>
    <t>BiK83K10----04</t>
  </si>
  <si>
    <t>BiK83a2K10--04</t>
  </si>
  <si>
    <t>BiK83a3K10--04</t>
  </si>
  <si>
    <t>BiK83bK10---04</t>
  </si>
  <si>
    <t>BiK83a2bK10-04</t>
  </si>
  <si>
    <t>BiK83a3bK10-04</t>
  </si>
  <si>
    <t>BiK84K10----04</t>
  </si>
  <si>
    <t>BiK85K10----04</t>
  </si>
  <si>
    <t>BiK82G------08</t>
  </si>
  <si>
    <t>BiK82GKWK---08</t>
  </si>
  <si>
    <t>BiK82GKA3---08</t>
  </si>
  <si>
    <t>BiK82GK09---08</t>
  </si>
  <si>
    <t>BiK82Gy-----08</t>
  </si>
  <si>
    <t>BiK82GKWKy--08</t>
  </si>
  <si>
    <t>BiK82GKA3y--08</t>
  </si>
  <si>
    <t>BiK82GK09y--08</t>
  </si>
  <si>
    <t>BiK82L------08</t>
  </si>
  <si>
    <t>BiK82LKWK---08</t>
  </si>
  <si>
    <t>BiK82LKA3---08</t>
  </si>
  <si>
    <t>BiK82LK09---08</t>
  </si>
  <si>
    <t>BiK82Ly-----08</t>
  </si>
  <si>
    <t>BiK82LKWKy--08</t>
  </si>
  <si>
    <t>BiK82LKA3y--08</t>
  </si>
  <si>
    <t>BiK82LK09y--08</t>
  </si>
  <si>
    <r>
      <t>Bonusregel a3:</t>
    </r>
    <r>
      <rPr>
        <sz val="11"/>
        <color theme="1"/>
        <rFont val="Calibri"/>
        <family val="2"/>
        <scheme val="minor"/>
      </rPr>
      <t xml:space="preserve"> (§ 8 Abs. 2 Satz 2 EEG 2004) in Höhe von 2,5 ct/kWh bei Verbrennung von Holz für den Anteil oberhalb von 500 kW bis einschließlich 5 MW.</t>
    </r>
  </si>
  <si>
    <t>Bonusregeln für Anlagen bis einschließlich Inbetriebnahmejahr 2008</t>
  </si>
  <si>
    <t>aus EEG 2004 und EEG 2009</t>
  </si>
  <si>
    <t>aus EEG 2009</t>
  </si>
  <si>
    <t>BiK270t3----09</t>
  </si>
  <si>
    <t>BiK270t3K---09</t>
  </si>
  <si>
    <t>BiK270t3a1--09</t>
  </si>
  <si>
    <t>"a3"</t>
  </si>
  <si>
    <t>BiK83a3K09--06</t>
  </si>
  <si>
    <t>BiK83bK09---06</t>
  </si>
  <si>
    <t>BiK83a2bK09-06</t>
  </si>
  <si>
    <t>BiK83a3bK09-06</t>
  </si>
  <si>
    <t>BiK84K09----06</t>
  </si>
  <si>
    <t>BiK81Lb-----08</t>
  </si>
  <si>
    <t>BiK81LbKWK--08</t>
  </si>
  <si>
    <t>BiK81LbKA3--08</t>
  </si>
  <si>
    <t>BiK81LbK09--08</t>
  </si>
  <si>
    <t>BiK82KA3y---08</t>
  </si>
  <si>
    <t>BiK82KWKy---08</t>
  </si>
  <si>
    <t>BiK82y------08</t>
  </si>
  <si>
    <t>BiK82K09y---08</t>
  </si>
  <si>
    <t>BiK82a1y----08</t>
  </si>
  <si>
    <t>BiK82a1KWKy-08</t>
  </si>
  <si>
    <t>BiK82a1KA3y-08</t>
  </si>
  <si>
    <t>BiK82a1K09y-08</t>
  </si>
  <si>
    <t>BiK82by-----08</t>
  </si>
  <si>
    <t>BiK82bKWKy--08</t>
  </si>
  <si>
    <t>BiK82bKA3y--08</t>
  </si>
  <si>
    <t>BiK82bK09y--08</t>
  </si>
  <si>
    <t>BiK82a1by---08</t>
  </si>
  <si>
    <t>BiK82a1bKWKy08</t>
  </si>
  <si>
    <t>BiK82a1bKA3y08</t>
  </si>
  <si>
    <t>BiK82a1bK09y08</t>
  </si>
  <si>
    <t>BiK83a3K09--04</t>
  </si>
  <si>
    <t>BiK51aM2K09-02</t>
  </si>
  <si>
    <t>BiK51aM2y---02</t>
  </si>
  <si>
    <t>BiK51aM2KA3y02</t>
  </si>
  <si>
    <t>BiK51aM2K09y02</t>
  </si>
  <si>
    <t>BiK51aL-----02</t>
  </si>
  <si>
    <t>BiK51aLKA3--02</t>
  </si>
  <si>
    <t>BiK51aLK09--02</t>
  </si>
  <si>
    <t>BiK51aLy----02</t>
  </si>
  <si>
    <t>BiK51aLKA3y-02</t>
  </si>
  <si>
    <t>BiK51aLK09y-02</t>
  </si>
  <si>
    <t>BiK51aX2----02</t>
  </si>
  <si>
    <t>BiK51aX2KA3-02</t>
  </si>
  <si>
    <t>BiK51aX2K09-02</t>
  </si>
  <si>
    <t>BiK51aX2y---02</t>
  </si>
  <si>
    <t>BiK51aX2KA3y02</t>
  </si>
  <si>
    <t>BiK51aX2K09y02</t>
  </si>
  <si>
    <t>BiK51aG-----01</t>
  </si>
  <si>
    <t>BiK51aGKA3--01</t>
  </si>
  <si>
    <t>BiK51aGK09--01</t>
  </si>
  <si>
    <t>BiK51aGy----01</t>
  </si>
  <si>
    <t>BiK51aGKA3y-01</t>
  </si>
  <si>
    <t>BiK51aGK09y-01</t>
  </si>
  <si>
    <t>BiK51aM2----01</t>
  </si>
  <si>
    <t>BiK51aM2KA3-01</t>
  </si>
  <si>
    <t>BiK51aM2K09-01</t>
  </si>
  <si>
    <t>BiK51aM2y---01</t>
  </si>
  <si>
    <t>BiK82a1KWK--05</t>
  </si>
  <si>
    <t>BiK82b------05</t>
  </si>
  <si>
    <t>BiK83KWK----08</t>
  </si>
  <si>
    <t>BiK83a2-----08</t>
  </si>
  <si>
    <t>BiK83a2KWK--08</t>
  </si>
  <si>
    <t>2. NaWaRo-Bonus (a1, a2, ah, G, M1, M2, L, X1 oder X2)</t>
  </si>
  <si>
    <t>3. Formaldehyd-Bonus (i)</t>
  </si>
  <si>
    <t>4. KWK-Bonus (K)</t>
  </si>
  <si>
    <t>BiK82b------04</t>
  </si>
  <si>
    <t>BiK82bKWK---04</t>
  </si>
  <si>
    <t>BiK82a1b----04</t>
  </si>
  <si>
    <t>0,150-0,5 MW, Bonusregel M2</t>
  </si>
  <si>
    <t>0,150-0,5 MW, Bonusregel L</t>
  </si>
  <si>
    <t>0,150-0,5 MW, Bonusregel X2</t>
  </si>
  <si>
    <t>0,150-0,5 MW, Bonusregeln G, i</t>
  </si>
  <si>
    <t>0,150-0,5 MW, Bonusregeln M2, i</t>
  </si>
  <si>
    <t>SoK320BS-Jul10</t>
  </si>
  <si>
    <t>unveränderter Degressionssatz gültig bei Inbetriebnahme ab 1.7.2010 für Freiflächenanlagen mit Bestandsschutz</t>
  </si>
  <si>
    <t>SoK320---Jul10</t>
  </si>
  <si>
    <t>einmaliger Degressionssatz gültig bei Inbetriebnahme ab 1.7.2010 für Freiflächenanlagen</t>
  </si>
  <si>
    <t>SoK321---Jul10</t>
  </si>
  <si>
    <t>einmaliger Degressionssatz gültig bei Inbetriebnahme ab 1.7.2010 für Freiflächenanlagen auf versiegelten oder Konversionsflächen</t>
  </si>
  <si>
    <t>SgK330---Jul10</t>
  </si>
  <si>
    <t>einmaliger Degressionssatz für Vergütungssätze nach § 33 Abs. 1 Nr. 1 EEG gültig bei Inbetriebnahme ab 1.7.2010</t>
  </si>
  <si>
    <t>SgK331---Jul10</t>
  </si>
  <si>
    <t>einmaliger Degressionssatz für Vergütungssätze nach § 33 Abs. 1 Nr. 2 EEG gültig bei Inbetriebnahme ab 1.7.2010</t>
  </si>
  <si>
    <t>SgK332---Jul10</t>
  </si>
  <si>
    <t>einmaliger Degressionssatz für Vergütungssätze nach § 33 Abs. 1 Nr. 3 EEG gültig bei Inbetriebnahme ab 1.7.2010</t>
  </si>
  <si>
    <t>SgK333---Jul10</t>
  </si>
  <si>
    <t>einmaliger Degressionssatz für Vergütungssätze nach § 33 Abs. 1 Nr. 4 EEG gültig bei Inbetriebnahme ab 1.7.2010</t>
  </si>
  <si>
    <t>SgK33410-Jul10</t>
  </si>
  <si>
    <t>wie SgK330---Jul10</t>
  </si>
  <si>
    <t>SgK33420-Jul10</t>
  </si>
  <si>
    <t>BiK81X1y----08</t>
  </si>
  <si>
    <t>BiK81X1KWKy-08</t>
  </si>
  <si>
    <t>BiK81X1KA3y-08</t>
  </si>
  <si>
    <t>BiK81X1K09y-08</t>
  </si>
  <si>
    <t>BiK82bKWK---05</t>
  </si>
  <si>
    <t>rosa</t>
  </si>
  <si>
    <t>erstmals KWK in 2012</t>
  </si>
  <si>
    <t>"K12"</t>
  </si>
  <si>
    <t>Jahr</t>
  </si>
  <si>
    <t>gleich Jahr</t>
  </si>
  <si>
    <t>gleich Kat</t>
  </si>
  <si>
    <t>gleich Bescr</t>
  </si>
  <si>
    <t>gleich Alloc</t>
  </si>
  <si>
    <t>gleich VG</t>
  </si>
  <si>
    <t>J aus Kat</t>
  </si>
  <si>
    <t>J aus Alloc</t>
  </si>
  <si>
    <t>J aus Boni</t>
  </si>
  <si>
    <t>Vergleich</t>
  </si>
  <si>
    <t>VG-Kat</t>
  </si>
  <si>
    <t>Beschr</t>
  </si>
  <si>
    <t>Vgl Beschr</t>
  </si>
  <si>
    <t>Vgl VG-Kat</t>
  </si>
  <si>
    <t>Alloc</t>
  </si>
  <si>
    <t>Vgl Alloc</t>
  </si>
  <si>
    <t>2012</t>
  </si>
  <si>
    <t/>
  </si>
  <si>
    <t>BiK51nK12---01</t>
  </si>
  <si>
    <t>BiK51nK12y--01</t>
  </si>
  <si>
    <t>BiK51na1K12-01</t>
  </si>
  <si>
    <t>BiK51na1K12y01</t>
  </si>
  <si>
    <t>BiK51nGK12--01</t>
  </si>
  <si>
    <t>BiK51nGK12y-01</t>
  </si>
  <si>
    <t>BiK51nM1K12-01</t>
  </si>
  <si>
    <t>BiK51nM1K12y01</t>
  </si>
  <si>
    <t>BiK51nLK12--01</t>
  </si>
  <si>
    <t>BiK51nLK12y-01</t>
  </si>
  <si>
    <t>BiK51nX1K12-01</t>
  </si>
  <si>
    <t>BiK51nX1K12y01</t>
  </si>
  <si>
    <t>BiK51aK12---01</t>
  </si>
  <si>
    <t>BiK51aK12y--01</t>
  </si>
  <si>
    <t>BiK51aa1K12-01</t>
  </si>
  <si>
    <t>BiK51aa1K12y01</t>
  </si>
  <si>
    <t>BiK51aGK12--01</t>
  </si>
  <si>
    <t>BiK51aGK12y-01</t>
  </si>
  <si>
    <t>BiK51aM2K12-01</t>
  </si>
  <si>
    <t>BiK51aM2K12y01</t>
  </si>
  <si>
    <t>BiK51aLK12--01</t>
  </si>
  <si>
    <t>BiK51aLK12y-01</t>
  </si>
  <si>
    <t>BiK51aX2K12-01</t>
  </si>
  <si>
    <t>BiK51aX2K12y01</t>
  </si>
  <si>
    <t>BiK52aK12---01</t>
  </si>
  <si>
    <t>BiK52aa2K12-01</t>
  </si>
  <si>
    <t>BiK52aa3K12-01</t>
  </si>
  <si>
    <t>BiK53aK12---01</t>
  </si>
  <si>
    <t>BiK54aK12---01</t>
  </si>
  <si>
    <t>BiK51nK12---02</t>
  </si>
  <si>
    <t>BiK51nK12y--02</t>
  </si>
  <si>
    <t>BiK51na1K12-02</t>
  </si>
  <si>
    <t>BiK51na1K12y02</t>
  </si>
  <si>
    <t>BiK51nGK12--02</t>
  </si>
  <si>
    <t>BiK51nGK12y-02</t>
  </si>
  <si>
    <t>BiK51nM1K12-02</t>
  </si>
  <si>
    <t>BiK51nM1K12y02</t>
  </si>
  <si>
    <t>BiK51nLK12--02</t>
  </si>
  <si>
    <t>BiK51nLK12y-02</t>
  </si>
  <si>
    <t>BiK51nX1K12-02</t>
  </si>
  <si>
    <t>BiK51nX1K12y02</t>
  </si>
  <si>
    <t>BiK51aK12---02</t>
  </si>
  <si>
    <t>BiK51aK12y--02</t>
  </si>
  <si>
    <t>BiK51aa1K12-02</t>
  </si>
  <si>
    <t>BiK51aa1K12y02</t>
  </si>
  <si>
    <t>BiK51aGK12--02</t>
  </si>
  <si>
    <t>BiK51aGK12y-02</t>
  </si>
  <si>
    <t>BiK51aM2K12-02</t>
  </si>
  <si>
    <t>BiK51aM2K12y02</t>
  </si>
  <si>
    <t>BiK51aLK12--02</t>
  </si>
  <si>
    <t>BiK51aLK12y-02</t>
  </si>
  <si>
    <t>§ 35 Abs. 1b: ÜNB sind verpflichtet den VNB 50% der notwendigen Kosten zu ersetzen, die ihnen durch effiziente Nachrüstung von PV-Anlagen gemäß Systemstabilitätsverordnung (z. B. Umrüstung 50,2 Hz) entstehen. Zur Abwicklung des Kostenersatzes sind über diese Kategorie die vom ÜNB zu ersetzenden Kosten abzurechnen.
Grund für die Entfernung aus der Tabelle der aktuellen Vergütungskategorien: Da keine anlagenscharfe Meldung der Umrüstungskosten erfolgt, ist die Verwendung dieser Kategorien nicht notwendig.</t>
  </si>
  <si>
    <t>BiK6621----KWK</t>
  </si>
  <si>
    <t>Grund-
vergütg. § 27 
EEG 2009</t>
  </si>
  <si>
    <t>WnK290------12</t>
  </si>
  <si>
    <t>WnK290S-----12</t>
  </si>
  <si>
    <t>WnK291------12</t>
  </si>
  <si>
    <t>(nur für Grundvergütung und Gasaufbereitungsbonus; ESVK keine Degression)</t>
  </si>
  <si>
    <t>Vergütungsberechnung für Windenergieanlagen onshore Repowering mit Inbetriebnahme ab 01.01.2012</t>
  </si>
  <si>
    <t>WfK310------12</t>
  </si>
  <si>
    <t>WfK311------12</t>
  </si>
  <si>
    <t>WfK312------12</t>
  </si>
  <si>
    <t>Offshore, erhöhte Anfangsvergütung nach § 31 Abs. 3</t>
  </si>
  <si>
    <t>SoK320------12</t>
  </si>
  <si>
    <t>Degression gegenüber § 32 Abs. 1 EEG 2012 (21,11 ct/kWh)</t>
  </si>
  <si>
    <t>Degression gegenüber § 32 Abs. 2 EEG 2012 (22,07 ct/kWh)</t>
  </si>
  <si>
    <t>SoK321------12</t>
  </si>
  <si>
    <t>Degression gegenüber § 33 Abs. 1 Nr. 1 EEG 2012 (28,74 ct/kWh)</t>
  </si>
  <si>
    <t>Degression gegenüber § 33 Abs. 1 Nr. 2 EEG 2012 (27,33 ct/kWh)</t>
  </si>
  <si>
    <t>Degression gegenüber § 33 Abs. 1 Nr. 3 EEG 2012 (25,86 ct/kWh)</t>
  </si>
  <si>
    <t>Degression gegenüber § 33 Abs. 1 Nr. 4 EEG 2012 (21,56 ct/kWh)</t>
  </si>
  <si>
    <t>wie SgK330-------12</t>
  </si>
  <si>
    <t>wie SgK332-------12</t>
  </si>
  <si>
    <t>wie SgK331-------12</t>
  </si>
  <si>
    <t>Die vNNE werden nicht an den Anlagenbetreiber, sondern an den ÜNB ausgezahlt, fließen in den bundesweiten Belastungsausgleich ein und reduzieren so die EEG-Umlage.</t>
  </si>
  <si>
    <t>Kategorien Flexibilitätsprämie nach § 33i EEG 2012</t>
  </si>
  <si>
    <t>BiK33iM----FLP</t>
  </si>
  <si>
    <t>BiK33iG----FLP</t>
  </si>
  <si>
    <t>Flexibilitätsprämie für Biomethan</t>
  </si>
  <si>
    <t>Flexibilitätsprämie für sonstige Biogase außer Biomethan</t>
  </si>
  <si>
    <t>WaK171-------0</t>
  </si>
  <si>
    <t>BiK171-------0</t>
  </si>
  <si>
    <t>GaK171-------0</t>
  </si>
  <si>
    <t>DeK171-------0</t>
  </si>
  <si>
    <t>KlK171-------0</t>
  </si>
  <si>
    <t>GrK171-------0</t>
  </si>
  <si>
    <t>GeK171-------0</t>
  </si>
  <si>
    <t>WiK171-------0</t>
  </si>
  <si>
    <t>WnK171-------0</t>
  </si>
  <si>
    <t>WrK171-------0</t>
  </si>
  <si>
    <t>WfK171-------0</t>
  </si>
  <si>
    <t>SoK171-------0</t>
  </si>
  <si>
    <t>SgK171-------0</t>
  </si>
  <si>
    <t>Kategorien Verringerte Vergütungsansprüche und Sanktionen</t>
  </si>
  <si>
    <t>WfK311------10</t>
  </si>
  <si>
    <t>BiK82GKWK---04</t>
  </si>
  <si>
    <t>BiK82GKA3---04</t>
  </si>
  <si>
    <t>BiK82GK09---04</t>
  </si>
  <si>
    <t>SoK320------09</t>
  </si>
  <si>
    <t>SgK330------09</t>
  </si>
  <si>
    <t>SgK331------09</t>
  </si>
  <si>
    <t>SgK332------09</t>
  </si>
  <si>
    <t>SgK333------09</t>
  </si>
  <si>
    <t>De-vNNe--SpE01</t>
  </si>
  <si>
    <t>De-vNNe--SpE02</t>
  </si>
  <si>
    <t>De-vNNe--SpE03</t>
  </si>
  <si>
    <t>De-vNNe--SpE04</t>
  </si>
  <si>
    <t>De-vNNe--SpE05</t>
  </si>
  <si>
    <t>De-vNNe--SpE06</t>
  </si>
  <si>
    <t>De-vNNe--SpE07</t>
  </si>
  <si>
    <t xml:space="preserve">Die Höhe der vermiedenen Netzentgelte bemisst sich allerdings nach den Netzentgelten (Leistungsanteil und Arbeitsanteil) der </t>
  </si>
  <si>
    <t xml:space="preserve">Erfolgt die Einspeisung z.B. in Spannungsebene 5 (Mittelspannung), so werden die vermiedenen Netzentgelte in die vNNE-Kategorie </t>
  </si>
  <si>
    <t>der Spannungsebene 5 eingetragen:</t>
  </si>
  <si>
    <t>BiK270X1K---09</t>
  </si>
  <si>
    <t>BiK271X2----09</t>
  </si>
  <si>
    <t>BiK271X2K---09</t>
  </si>
  <si>
    <t>BiK270Gi----09</t>
  </si>
  <si>
    <t>BiK270GiK---09</t>
  </si>
  <si>
    <t>BiK271Gi----09</t>
  </si>
  <si>
    <t>BiK271GiK---09</t>
  </si>
  <si>
    <t>BiK270M1i---09</t>
  </si>
  <si>
    <t>BiK270M1iK--09</t>
  </si>
  <si>
    <t>BiK271M2i---09</t>
  </si>
  <si>
    <t>BiK271M2iK--09</t>
  </si>
  <si>
    <t>BiK270Li----09</t>
  </si>
  <si>
    <t>BiK270LiK---09</t>
  </si>
  <si>
    <t>BiK271Li----09</t>
  </si>
  <si>
    <t>BiK271LiK---09</t>
  </si>
  <si>
    <t>BiK270X1i---09</t>
  </si>
  <si>
    <t>BiK270X1iK--09</t>
  </si>
  <si>
    <t>BiK271X2i---09</t>
  </si>
  <si>
    <t>BiK271X2iK--09</t>
  </si>
  <si>
    <t>BiK270t1a1--09</t>
  </si>
  <si>
    <t>BiK270t1a1K-09</t>
  </si>
  <si>
    <t>BiK271t1a1--09</t>
  </si>
  <si>
    <t>BiK271t1a1K-09</t>
  </si>
  <si>
    <t>BiK272t1a2--09</t>
  </si>
  <si>
    <t>BiK272t1a2K-09</t>
  </si>
  <si>
    <t>BiK272t1ah--09</t>
  </si>
  <si>
    <t>BiK272t1ahK-09</t>
  </si>
  <si>
    <t>BiK270t1G---09</t>
  </si>
  <si>
    <t>BiK270t1GK--09</t>
  </si>
  <si>
    <t>BiK271t1G---09</t>
  </si>
  <si>
    <t>BiK271t1GK--09</t>
  </si>
  <si>
    <t>BiK270t1M1--09</t>
  </si>
  <si>
    <t>BiK270t1M1K-09</t>
  </si>
  <si>
    <t>BiK271t1M2--09</t>
  </si>
  <si>
    <t>BiK271t1M2K-09</t>
  </si>
  <si>
    <t>BiK51nKA3---01</t>
  </si>
  <si>
    <t>BiK51na1KA3-01</t>
  </si>
  <si>
    <t>Anteil KWK gemäß Anlage 3</t>
  </si>
  <si>
    <t>BiK51aKA3---01</t>
  </si>
  <si>
    <t>BiK51aa1KA3-01</t>
  </si>
  <si>
    <t>BiK81KA3----04</t>
  </si>
  <si>
    <t>BiK81a1K09--04</t>
  </si>
  <si>
    <t>BiK52aK09---03</t>
  </si>
  <si>
    <t>BiK81a1bKA3-04</t>
  </si>
  <si>
    <t>BiK82KA3----04</t>
  </si>
  <si>
    <t>BiK82a1KA3--04</t>
  </si>
  <si>
    <t>BiK82a1bKA3-04</t>
  </si>
  <si>
    <t>BiK82bKA3---04</t>
  </si>
  <si>
    <t>BiK81KA3----05</t>
  </si>
  <si>
    <t>BiK81a1KA3--05</t>
  </si>
  <si>
    <t>BiK81bKA3---05</t>
  </si>
  <si>
    <t>BiK81a1bKA3-05</t>
  </si>
  <si>
    <t>BiK82KA3----05</t>
  </si>
  <si>
    <t>BiK82a1KA3--05</t>
  </si>
  <si>
    <t>BiK82bKA3---05</t>
  </si>
  <si>
    <t>BiK82a1bKA3-05</t>
  </si>
  <si>
    <t>BiK81KA3----06</t>
  </si>
  <si>
    <t>BiK81a1KA3--06</t>
  </si>
  <si>
    <t>BiK81bKA3---06</t>
  </si>
  <si>
    <t>BiK81a1bKA3-06</t>
  </si>
  <si>
    <t>BiK82KA3----06</t>
  </si>
  <si>
    <t>BiK82a1KA3--06</t>
  </si>
  <si>
    <t>BiK82bKA3---06</t>
  </si>
  <si>
    <t>BiK82a1bKA3-06</t>
  </si>
  <si>
    <t>BiK81KA3----07</t>
  </si>
  <si>
    <t>BiK81a1KA3--07</t>
  </si>
  <si>
    <t>BiK81bKA3---07</t>
  </si>
  <si>
    <t>BiK81a1bKA3-07</t>
  </si>
  <si>
    <t>BiK82KA3----07</t>
  </si>
  <si>
    <t>BiK82a1KA3--07</t>
  </si>
  <si>
    <t>BiK82bKA3---07</t>
  </si>
  <si>
    <t>BiK82a1bKA3-07</t>
  </si>
  <si>
    <t>BiK81KA3----08</t>
  </si>
  <si>
    <t>BiK82Gb-----04</t>
  </si>
  <si>
    <t>BiK82GbKWK--04</t>
  </si>
  <si>
    <t>BiK82GbKA3--04</t>
  </si>
  <si>
    <t>BiK82GbK09--04</t>
  </si>
  <si>
    <t>BiK82Gby----04</t>
  </si>
  <si>
    <t>BiK82GbKWKy-04</t>
  </si>
  <si>
    <t>BiK82GbKA3y-04</t>
  </si>
  <si>
    <t>BiK82GbK09y-04</t>
  </si>
  <si>
    <t>BiK82Lb-----04</t>
  </si>
  <si>
    <t>BiK82LbKWK--04</t>
  </si>
  <si>
    <t>BiK82LbKA3--04</t>
  </si>
  <si>
    <t>BiK82LbK09--04</t>
  </si>
  <si>
    <t>BiK82Lby----04</t>
  </si>
  <si>
    <t>BiK82LbKWKy-04</t>
  </si>
  <si>
    <t>BiK82LbKA3y-04</t>
  </si>
  <si>
    <t>BiK82LbK09y-04</t>
  </si>
  <si>
    <t>0,150-0,5 MW, Bonusregeln t3, L, i, K</t>
  </si>
  <si>
    <t>0,150-0,5 MW, Bonusregeln t3, X2, i, K</t>
  </si>
  <si>
    <t>Onshore, Anfangsvergütung</t>
  </si>
  <si>
    <t>Onshore, Anfangsvergütung, Bonusregel S</t>
  </si>
  <si>
    <t>Onshore, Endvergütung</t>
  </si>
  <si>
    <t>Immissionsschutzrechtlich genehmigte Anlagen</t>
  </si>
  <si>
    <t>0,150-0,5 MW, Bonusregeln X2, K</t>
  </si>
  <si>
    <t>0,150-0,5 MW, Bonusregeln X2, i, K</t>
  </si>
  <si>
    <t>0,150-0,5 MW, Bonusregeln t1, M2</t>
  </si>
  <si>
    <t>0,150-0,5 MW, Bonusregeln t1, M2, i</t>
  </si>
  <si>
    <t>0,150-0,5 MW, Bonusregeln t2, M2</t>
  </si>
  <si>
    <t>0,150-0,5 MW, Bonusregeln t3, M2</t>
  </si>
  <si>
    <t>BiK51n------01</t>
  </si>
  <si>
    <t>BiK51na1----01</t>
  </si>
  <si>
    <t>BiK51n------02</t>
  </si>
  <si>
    <t>BiK51na1----02</t>
  </si>
  <si>
    <t>BiK51n------03</t>
  </si>
  <si>
    <t>BiK51na1----03</t>
  </si>
  <si>
    <t>BiK51na1K09-01</t>
  </si>
  <si>
    <t>BiK51nK09---01</t>
  </si>
  <si>
    <t>BiK51aK09---01</t>
  </si>
  <si>
    <t>BiK82X2b----04</t>
  </si>
  <si>
    <t>BiK82X2bKWK-04</t>
  </si>
  <si>
    <t>BiK82X2bKA3-04</t>
  </si>
  <si>
    <t>BiK82X2bK09-04</t>
  </si>
  <si>
    <t>BiK82X2by---04</t>
  </si>
  <si>
    <t>BiK82X2bKWKy04</t>
  </si>
  <si>
    <t>BiK82X2bKA3y04</t>
  </si>
  <si>
    <t>BiK82X2bK09y04</t>
  </si>
  <si>
    <t>BiK82X2b----05</t>
  </si>
  <si>
    <t>BiK82X2bKWK-05</t>
  </si>
  <si>
    <t>BiK82X2bKA3-05</t>
  </si>
  <si>
    <t>BiK82X2bK09-05</t>
  </si>
  <si>
    <t>BiK82X2by---05</t>
  </si>
  <si>
    <t>BiK82X2bKWKy05</t>
  </si>
  <si>
    <t>BiK82X2bKA3y05</t>
  </si>
  <si>
    <t>BiK82X2bK09y05</t>
  </si>
  <si>
    <t>BiK82X2b----06</t>
  </si>
  <si>
    <t>BiK82X2bKWK-06</t>
  </si>
  <si>
    <t>BiK82X2bKA3-06</t>
  </si>
  <si>
    <t>BiK82X2bK09-06</t>
  </si>
  <si>
    <t>BiK82X2by---06</t>
  </si>
  <si>
    <t>BiK82X2bKWKy06</t>
  </si>
  <si>
    <t>BiK82X2bKA3y06</t>
  </si>
  <si>
    <t>BiK82X2bK09y06</t>
  </si>
  <si>
    <t>BiK82X2b----07</t>
  </si>
  <si>
    <t>BiK82X2bKWK-07</t>
  </si>
  <si>
    <t>BiK82X2bKA3-07</t>
  </si>
  <si>
    <t>BiK82X2bK09-07</t>
  </si>
  <si>
    <t>BiK82X2by---07</t>
  </si>
  <si>
    <t>BiK82X2bKWKy07</t>
  </si>
  <si>
    <t>BiK82X2bKA3y07</t>
  </si>
  <si>
    <t>BiK82X2bK09y07</t>
  </si>
  <si>
    <t>BiK82X2b----08</t>
  </si>
  <si>
    <t>BiK82X2bKWK-08</t>
  </si>
  <si>
    <t>BiK82X2bKA3-08</t>
  </si>
  <si>
    <t>BiK82X2bK09-08</t>
  </si>
  <si>
    <t>BiK82X2by---08</t>
  </si>
  <si>
    <t>BiK82X2bKWKy08</t>
  </si>
  <si>
    <t>BiK82X2bKA3y08</t>
  </si>
  <si>
    <t>BiK82X2bK09y08</t>
  </si>
  <si>
    <t>Inbetriebnahme 10-12/2010</t>
  </si>
  <si>
    <t xml:space="preserve">Inbetriebnahme 10-12/2010 </t>
  </si>
  <si>
    <t>Degression gegenüber IB von Juli-Sept 2010; gültig bei Inbetriebnahme ab 1.10.2010 für Freiflächenanlagen</t>
  </si>
  <si>
    <t>Degression gegenüber IB von Juli-Sept 2010; gültig bei Inbetriebnahme ab 1.10.2010 für Freiflächenanlagen auf versiegelten oder Konversionsflächen</t>
  </si>
  <si>
    <t>Degression gegenüber IB von Juli-Sept 2010; für Vergütungssätze nach § 33 Abs. 1 Nr. 1 EEG gültig bei Inbetriebnahme ab 1.10.2010</t>
  </si>
  <si>
    <t>Degression gegenüber IB von Juli-Sept 2010; für Vergütungssätze nach § 33 Abs. 1 Nr. 2 EEG gültig bei Inbetriebnahme ab 1.10.2010</t>
  </si>
  <si>
    <t>Degression gegenüber IB von Juli-Sept 2010; für Vergütungssätze nach § 33 Abs. 1 Nr. 3 EEG gültig bei Inbetriebnahme ab 1.10.2010</t>
  </si>
  <si>
    <t>Degression gegenüber IB von Juli-Sept 2010; für Vergütungssätze nach § 33 Abs. 1 Nr. 4 EEG gültig bei Inbetriebnahme ab 1.10.2010</t>
  </si>
  <si>
    <t xml:space="preserve">    bei PV-Anlagen die Leistung in kWp den ersten Schwellenwert (z. B. 30 kW bei PV-Anlagen) überschreitet und / oder sie für einen Teil </t>
  </si>
  <si>
    <t>Beispiel für den Solarstrom-Eigenverbrauch einer PV-Anlage</t>
  </si>
  <si>
    <t>BiK81Ly-----07</t>
  </si>
  <si>
    <t>BiK81LKWKy--07</t>
  </si>
  <si>
    <t>BiK81LKA3y--07</t>
  </si>
  <si>
    <t>BiK81LK09y--07</t>
  </si>
  <si>
    <t>BiK81X1-----07</t>
  </si>
  <si>
    <t>BiK81X1KWK--07</t>
  </si>
  <si>
    <t>BiK81X1KA3--07</t>
  </si>
  <si>
    <t>BiK81X1K09--07</t>
  </si>
  <si>
    <t>BiK81X1y----07</t>
  </si>
  <si>
    <t>BiK81X1KWKy-07</t>
  </si>
  <si>
    <t>BiK81X1KA3y-07</t>
  </si>
  <si>
    <t>BiK81X1K09y-07</t>
  </si>
  <si>
    <t>BiK81Gb-----07</t>
  </si>
  <si>
    <t>BiK81GbKWK--07</t>
  </si>
  <si>
    <t>BiK81GbKA3--07</t>
  </si>
  <si>
    <t>BiK81GbK09--07</t>
  </si>
  <si>
    <t>BiK81Gby----07</t>
  </si>
  <si>
    <t>BiK81GbKWKy-07</t>
  </si>
  <si>
    <t>BiK81GbKA3y-07</t>
  </si>
  <si>
    <t>BiK81GbK09y-07</t>
  </si>
  <si>
    <t>BiK81M1b----07</t>
  </si>
  <si>
    <t>BiK81M1bKWK-07</t>
  </si>
  <si>
    <t>BiK81M1bKA3-07</t>
  </si>
  <si>
    <t>BiK81M1bK09-07</t>
  </si>
  <si>
    <t>BiK81M1by---07</t>
  </si>
  <si>
    <t>BiK81M1bKWKy07</t>
  </si>
  <si>
    <t>BiK81M1bKA3y07</t>
  </si>
  <si>
    <t>BiK81M1bK09y07</t>
  </si>
  <si>
    <t>BiK81Lb-----07</t>
  </si>
  <si>
    <t>BiK81LbKWK--07</t>
  </si>
  <si>
    <t>BiK81LbKA3--07</t>
  </si>
  <si>
    <t>BiK81LbK09--07</t>
  </si>
  <si>
    <t>BiK81Lby----07</t>
  </si>
  <si>
    <t>BiK81LbKWKy-07</t>
  </si>
  <si>
    <t>BiK81LbKA3y-07</t>
  </si>
  <si>
    <t>BiK81LbK09y-07</t>
  </si>
  <si>
    <t>BiK81X1b----07</t>
  </si>
  <si>
    <t>BiK82a1bKWK-04</t>
  </si>
  <si>
    <t>BiK83-------04</t>
  </si>
  <si>
    <t>BiK83KWK----04</t>
  </si>
  <si>
    <t>BiK83a2-----04</t>
  </si>
  <si>
    <t>BiK83a2KWK--04</t>
  </si>
  <si>
    <t>BiK83a3-----04</t>
  </si>
  <si>
    <t>BiK83a3KWK--04</t>
  </si>
  <si>
    <t>BiK83b------04</t>
  </si>
  <si>
    <t>BiK83bKWK---04</t>
  </si>
  <si>
    <t>BiK83a2b----04</t>
  </si>
  <si>
    <t>BiK83a2bKWK-04</t>
  </si>
  <si>
    <t>BiK83a3b----04</t>
  </si>
  <si>
    <t>BiK83a3bKWK-04</t>
  </si>
  <si>
    <t>BiK84-------04</t>
  </si>
  <si>
    <t>BiK84KWK----04</t>
  </si>
  <si>
    <t>BiK81-------05</t>
  </si>
  <si>
    <t>BiK81KWK----05</t>
  </si>
  <si>
    <t>BiK81a1-----05</t>
  </si>
  <si>
    <t>BiK81a1KWK--05</t>
  </si>
  <si>
    <t>BiK81b------05</t>
  </si>
  <si>
    <t>BiK81bKWK---05</t>
  </si>
  <si>
    <t>BiK81a1b----05</t>
  </si>
  <si>
    <t>BiK81a1bKWK-05</t>
  </si>
  <si>
    <t>BiK82-------05</t>
  </si>
  <si>
    <t>BiK82KWK----05</t>
  </si>
  <si>
    <t>BiK82a1-----05</t>
  </si>
  <si>
    <t>BiK82M2-----08</t>
  </si>
  <si>
    <t>BiK82M2KWK--08</t>
  </si>
  <si>
    <t>BiK82M2KA3--08</t>
  </si>
  <si>
    <t>BiK82M2K09--08</t>
  </si>
  <si>
    <t>BiK82M2y----08</t>
  </si>
  <si>
    <t>BiK81X1K09y-05</t>
  </si>
  <si>
    <t>BiK81Gb-----05</t>
  </si>
  <si>
    <t>BiK81GbKWK--05</t>
  </si>
  <si>
    <t>BiK81GbKA3--05</t>
  </si>
  <si>
    <t>BiK81GbK09--05</t>
  </si>
  <si>
    <t>BiK81Gby----05</t>
  </si>
  <si>
    <t>BiK81GbKWKy-05</t>
  </si>
  <si>
    <t>BiK81GbKA3y-05</t>
  </si>
  <si>
    <t>BiK270t2GK--09</t>
  </si>
  <si>
    <t>BiK271t2G---09</t>
  </si>
  <si>
    <t>BiK271t2GK--09</t>
  </si>
  <si>
    <t>BiK270t2M1--09</t>
  </si>
  <si>
    <t>= 162.528,66 Euro + 81.481.14 Euro + 215.233,20 Euro + 109.981,80 Euro</t>
  </si>
  <si>
    <t xml:space="preserve">= 569.224,80 Euro </t>
  </si>
  <si>
    <t>BiK270t1M1i-10</t>
  </si>
  <si>
    <t>BiK270t1M1iK10</t>
  </si>
  <si>
    <t>BiK270t1X1--10</t>
  </si>
  <si>
    <t>SgK33430-Jul10</t>
  </si>
  <si>
    <t>SgK33411-Jul10</t>
  </si>
  <si>
    <t>wie SgK331---Jul10</t>
  </si>
  <si>
    <t>SgK33421-Jul10</t>
  </si>
  <si>
    <t>SgK33431-Jul10</t>
  </si>
  <si>
    <t>SgK33412-Jul10</t>
  </si>
  <si>
    <t>wie SgK332---Jul10</t>
  </si>
  <si>
    <t>SgK33422-Jul10</t>
  </si>
  <si>
    <t>SgK33432-Jul10</t>
  </si>
  <si>
    <t>ungerundeter Wert</t>
  </si>
  <si>
    <t>Bestandsschutz bei gültigem Bebauungsplan vor 25.3.2010</t>
  </si>
  <si>
    <t>Inbetriebnahme 07-09/2010</t>
  </si>
  <si>
    <t>Inbetriebnahme 01-06/2010</t>
  </si>
  <si>
    <t>Bebauungsplan, versiegelte bzw. Konversionsflächen (§ 32 Abs. 3 Nr. 1 und 2)</t>
  </si>
  <si>
    <t>vgl. auch: Umsetzungshilfe zum EEG 2009, Version 1.1 vom 01.12.2009, Anhang 3, online unter http://www.bdew.de/bdew.nsf/id/DE_EEG-Verfahrensbeschreibun_und_-Umsetzungshilfen</t>
  </si>
  <si>
    <t>BiK82X2KWKy-04</t>
  </si>
  <si>
    <t>BiK82X2KA3y-04</t>
  </si>
  <si>
    <t>BiK82X2K09y-04</t>
  </si>
  <si>
    <t>BiK82LKWK---07</t>
  </si>
  <si>
    <t>BiK82LKA3---07</t>
  </si>
  <si>
    <t>BiK82LK09---07</t>
  </si>
  <si>
    <t>BiK82Ly-----07</t>
  </si>
  <si>
    <t>BiK82LKWKy--07</t>
  </si>
  <si>
    <t>BiK82LKA3y--07</t>
  </si>
  <si>
    <t>BiK82LK09y--07</t>
  </si>
  <si>
    <t>BiK82X2-----07</t>
  </si>
  <si>
    <t>BiK82X2KWK--07</t>
  </si>
  <si>
    <t>BiK82X2KA3--07</t>
  </si>
  <si>
    <t>42% von 3.285.000 =</t>
  </si>
  <si>
    <t>18% von 3.285.000 =</t>
  </si>
  <si>
    <r>
      <t xml:space="preserve">Der </t>
    </r>
    <r>
      <rPr>
        <b/>
        <sz val="11"/>
        <color indexed="8"/>
        <rFont val="Arial"/>
        <family val="2"/>
      </rPr>
      <t>Leistungszone 0-150 kW</t>
    </r>
    <r>
      <rPr>
        <sz val="11"/>
        <color indexed="8"/>
        <rFont val="Arial"/>
        <family val="2"/>
      </rPr>
      <t xml:space="preserve"> werden zugerechnet:</t>
    </r>
  </si>
  <si>
    <r>
      <t xml:space="preserve">Der </t>
    </r>
    <r>
      <rPr>
        <b/>
        <sz val="11"/>
        <color indexed="8"/>
        <rFont val="Arial"/>
        <family val="2"/>
      </rPr>
      <t>Leistungszone 150-500 kW</t>
    </r>
    <r>
      <rPr>
        <sz val="11"/>
        <color indexed="8"/>
        <rFont val="Arial"/>
        <family val="2"/>
      </rPr>
      <t xml:space="preserve"> werden zugerechnet:</t>
    </r>
  </si>
  <si>
    <t>(375-150) / 375 = 60 % der erzeugten Strommenge</t>
  </si>
  <si>
    <r>
      <t>Bemessungsleistung P</t>
    </r>
    <r>
      <rPr>
        <b/>
        <vertAlign val="subscript"/>
        <sz val="11"/>
        <color indexed="8"/>
        <rFont val="Arial"/>
        <family val="2"/>
      </rPr>
      <t>B,i</t>
    </r>
    <r>
      <rPr>
        <sz val="11"/>
        <color indexed="8"/>
        <rFont val="Arial"/>
        <family val="2"/>
      </rPr>
      <t xml:space="preserve"> nach § 18 Abs. 2 EEG:   </t>
    </r>
  </si>
  <si>
    <t xml:space="preserve">30 % auf den KWK-Anteil </t>
  </si>
  <si>
    <t>70 % auf den Nicht-KWK-Anteil und</t>
  </si>
  <si>
    <t xml:space="preserve">1. Aufteilung auf die Leistungszonen 0-150 kW und 150-500 kW </t>
  </si>
  <si>
    <t>2. Aufteilung zwischen KWK-Anteil und Nicht-KWK-Anteil</t>
  </si>
  <si>
    <t>In Formelschreibweise lässt sich die Vergütungsberechnung für 2009 in diesem Beispiel wie folgt darstellen:</t>
  </si>
  <si>
    <r>
      <t>Bonusregeln a1 und a2</t>
    </r>
    <r>
      <rPr>
        <sz val="10.5"/>
        <color indexed="8"/>
        <rFont val="Calibri"/>
        <family val="2"/>
      </rPr>
      <t xml:space="preserve"> jeweils bei Anlagen mit ausschließlichem Einsatz von Biomasse aus:
(a) Pflanzen oder Pflanzenbestandteilen ohne Aufbereitung im Sinne von § 8 Abs. 2 Satz 1 Nr. 1 EEG,
(b) Gülle und Schlempe im Sinne von § 8 Abs. 2 Satz 1 Nr. 1 EEG oder
(c) Stoffgemisch aus (a) und (b) sofern ein Tagebuch über den ausschließlichen Einsatz dieser Stoffe geführt wird oder eine Genehmigung der Anlage für den ausschließlichen Einsatz dieser Stoffe vorliegt, sowie keine Biomasseanlagen auf demselben Gelände betrieben werden, in denen Strom aus sonstigen Stoffen gewonnen wird.</t>
    </r>
  </si>
  <si>
    <t>Bedeutung der farblichen Hinterlegung der Einträge:</t>
  </si>
  <si>
    <t>weiß</t>
  </si>
  <si>
    <t>Vergütungskategorie stimmt mit bisheriger Kategorie nach EEG 2004 überein</t>
  </si>
  <si>
    <t>grün</t>
  </si>
  <si>
    <t>Vergütungskategorie bestand bereits nach EEG 2004, Vergütung wird ab 1.1.2009 erhöht</t>
  </si>
  <si>
    <t>gelb</t>
  </si>
  <si>
    <t>Vergütungskategorie ist neu nach EEG 2009</t>
  </si>
  <si>
    <t>WiK101------06</t>
  </si>
  <si>
    <t>WiK102------06</t>
  </si>
  <si>
    <t>WiK103------06</t>
  </si>
  <si>
    <t>WiK104------06</t>
  </si>
  <si>
    <r>
      <t xml:space="preserve">Bonusregel y: </t>
    </r>
    <r>
      <rPr>
        <sz val="10"/>
        <rFont val="Arial"/>
        <family val="2"/>
      </rPr>
      <t>(§ 66 Abs.1 Nr. 4a EEG 2009) Strom aus Biomasseanlagen bis zu einer Anlagenleistung von 500 KW, die Biogas einsetzen, erhalten eine um 1,0 ct/kWh höhere Vergütung, wenn entsprechende Formaldehydgrenzwerte nach TA Luft eingehalten werden (Bonus y).</t>
    </r>
  </si>
  <si>
    <t>BiK82a1K09--06</t>
  </si>
  <si>
    <t>BiK82bK09---06</t>
  </si>
  <si>
    <t>BiK82a1bK09-06</t>
  </si>
  <si>
    <t>BiK83K09----06</t>
  </si>
  <si>
    <t>BiK83a2K09--06</t>
  </si>
  <si>
    <t>BiK81G------06</t>
  </si>
  <si>
    <t>BiK81GKWK---06</t>
  </si>
  <si>
    <t>BiK81GKA3---06</t>
  </si>
  <si>
    <t>BiK81GK09---06</t>
  </si>
  <si>
    <t>BiK81Gy-----06</t>
  </si>
  <si>
    <t>BiK81GKWKy--06</t>
  </si>
  <si>
    <t>BiK81GKA3y--06</t>
  </si>
  <si>
    <t>BiK81GK09y--06</t>
  </si>
  <si>
    <t>BiK81M1-----06</t>
  </si>
  <si>
    <t>BiK81M1KWK--06</t>
  </si>
  <si>
    <t>BiK81M1KA3--06</t>
  </si>
  <si>
    <t>BiK81M1K09--06</t>
  </si>
  <si>
    <t>BiK81M1y----06</t>
  </si>
  <si>
    <t>BiK81M1KWKy-06</t>
  </si>
  <si>
    <t>BiK81M1KA3y-06</t>
  </si>
  <si>
    <t>BiK81Lby----08</t>
  </si>
  <si>
    <t>BiK81LbKWKy-08</t>
  </si>
  <si>
    <t>BiK81LbKA3y-08</t>
  </si>
  <si>
    <t>BiK81LbK09y-08</t>
  </si>
  <si>
    <t>BiK81X1b----08</t>
  </si>
  <si>
    <t>BiK81X1bKWK-08</t>
  </si>
  <si>
    <t>BiK81X1bKA3-08</t>
  </si>
  <si>
    <t>BiK81X1bK09-08</t>
  </si>
  <si>
    <t>BiK51aG-----02</t>
  </si>
  <si>
    <t>BiK51aGKA3--02</t>
  </si>
  <si>
    <t>BiK51aGK09--02</t>
  </si>
  <si>
    <t>BiK51aGy----02</t>
  </si>
  <si>
    <t>BiK51aGKA3y-02</t>
  </si>
  <si>
    <t>BiK51aGK09y-02</t>
  </si>
  <si>
    <t>BiK51aM2----02</t>
  </si>
  <si>
    <t>BiK51aM2KA3-02</t>
  </si>
  <si>
    <t>BiK51aX2K09y03</t>
  </si>
  <si>
    <t>BiK51nG-----02</t>
  </si>
  <si>
    <t>BiK81GKA3y--05</t>
  </si>
  <si>
    <t>BiK81GK09y--05</t>
  </si>
  <si>
    <t>BiK81M1-----05</t>
  </si>
  <si>
    <t>BiK81M1KWK--05</t>
  </si>
  <si>
    <t>BiK81M1KA3--05</t>
  </si>
  <si>
    <t>BiK81M1K09--05</t>
  </si>
  <si>
    <t>Anzahl der Stunden des Jahres 2009:</t>
  </si>
  <si>
    <t>hellgrün</t>
  </si>
  <si>
    <t>SoK383V1109-07</t>
  </si>
  <si>
    <t>Freifläche nach EEG-Clearingstelle Votum 2011/9</t>
  </si>
  <si>
    <t>violett</t>
  </si>
  <si>
    <t>Vergütungskategorie ist 2012 neu nach EEG 2012 in der am 29.06.2012 beschlossenen Fassung (sogenannte PV-Novelle)</t>
  </si>
  <si>
    <t>35 Wälzbare Kosten gemäß Systemstabilitätsverordnung</t>
  </si>
  <si>
    <t xml:space="preserve">38 Sondervergütungen aufgrund Gerichts- oder Clearingstellenurteile </t>
  </si>
  <si>
    <t>66 für Verringerung des Vergütungsanspruchs</t>
  </si>
  <si>
    <t>WnK290SNH11-09</t>
  </si>
  <si>
    <t>Onshore, Bonusregel S</t>
  </si>
  <si>
    <t>WnK290SNH11-10</t>
  </si>
  <si>
    <t>WrK300SNH11-09</t>
  </si>
  <si>
    <t>WrK300SNH11-10</t>
  </si>
  <si>
    <t>Repowering, Bonusregel S</t>
  </si>
  <si>
    <t>SgK3220--Jan13</t>
  </si>
  <si>
    <t>SgK3220--Feb13</t>
  </si>
  <si>
    <t>SgK3220--Mrz13</t>
  </si>
  <si>
    <t>SgK3220--Apr13</t>
  </si>
  <si>
    <t>SgK3220--Mai13</t>
  </si>
  <si>
    <t>SgK3220--Jun13</t>
  </si>
  <si>
    <t>SgK3220--Jul13</t>
  </si>
  <si>
    <t>SgK3220--Aug13</t>
  </si>
  <si>
    <t>SgK3220--Sep13</t>
  </si>
  <si>
    <t>SgK3220--Okt13</t>
  </si>
  <si>
    <t>SgK3220--Nov13</t>
  </si>
  <si>
    <t>SgK3220--Dez13</t>
  </si>
  <si>
    <t>Jan13</t>
  </si>
  <si>
    <t>SoK321---Apr13</t>
  </si>
  <si>
    <t>SoK321---Mai13</t>
  </si>
  <si>
    <t>SoK321---Jun13</t>
  </si>
  <si>
    <t>SoK321---Jul13</t>
  </si>
  <si>
    <t>SoK321---Aug13</t>
  </si>
  <si>
    <t>SoK321---Sep13</t>
  </si>
  <si>
    <t>SoK321---Okt13</t>
  </si>
  <si>
    <t>SoK321---Nov13</t>
  </si>
  <si>
    <t>SoK321---Dez13</t>
  </si>
  <si>
    <t>SoK321---Jan13</t>
  </si>
  <si>
    <t>SoK321---Feb13</t>
  </si>
  <si>
    <t>SoK321---Mrz13</t>
  </si>
  <si>
    <t>WaK230------13</t>
  </si>
  <si>
    <t>Inbetriebnahme 2013</t>
  </si>
  <si>
    <t>WaK231------13</t>
  </si>
  <si>
    <t>WaK232------13</t>
  </si>
  <si>
    <t>WaK233------13</t>
  </si>
  <si>
    <t>WaK234------13</t>
  </si>
  <si>
    <t>WaK235------13</t>
  </si>
  <si>
    <t>WaK236------13</t>
  </si>
  <si>
    <t>WaK230M-----13</t>
  </si>
  <si>
    <t>Modernisierung 2013</t>
  </si>
  <si>
    <t>0-0,5 MW, IB vor 01.01.2009, Modernisierung 2013</t>
  </si>
  <si>
    <t>WaK231M-----13</t>
  </si>
  <si>
    <t>0,5-2 MW, IB vor 01.01.2009, Modernisierung 2013</t>
  </si>
  <si>
    <t>WaK232M-----13</t>
  </si>
  <si>
    <t>2-5 MW, IB vor 01.01.2009, Modernisierung 2013</t>
  </si>
  <si>
    <t>WaK233M-----13</t>
  </si>
  <si>
    <t>5-10 MW, IB vor 01.01.2009, Modernisierung 2013</t>
  </si>
  <si>
    <t>WaK234M-----13</t>
  </si>
  <si>
    <t>10-20 MW, IB vor 01.01.2009, Modernisierung 2013</t>
  </si>
  <si>
    <t>WaK235M-----13</t>
  </si>
  <si>
    <t>20-50 MW, IB vor 01.01.2009, Modernisierung 2013</t>
  </si>
  <si>
    <t>WaK236M-----13</t>
  </si>
  <si>
    <t>&gt; 50 MW, IB vor 01.01.2009, Modernisierung 2013</t>
  </si>
  <si>
    <t>BiK27b------13</t>
  </si>
  <si>
    <t>GrK260------13</t>
  </si>
  <si>
    <t>GrK261------13</t>
  </si>
  <si>
    <t>GrK262------13</t>
  </si>
  <si>
    <t>GeK280------13</t>
  </si>
  <si>
    <t>GeK280P-----13</t>
  </si>
  <si>
    <t>WnK290------13</t>
  </si>
  <si>
    <t>BiK51aM2K10y01</t>
  </si>
  <si>
    <t>BiK51aLK10--01</t>
  </si>
  <si>
    <t>BiK51aLK10y-01</t>
  </si>
  <si>
    <t>BiK51aX2K10-01</t>
  </si>
  <si>
    <t>BiK51aX2K10y01</t>
  </si>
  <si>
    <t>BiK82M2bKWKy05</t>
  </si>
  <si>
    <t>BiK82M2bKA3y05</t>
  </si>
  <si>
    <t>BiK82M2bK09y05</t>
  </si>
  <si>
    <t>BiK82M2b----06</t>
  </si>
  <si>
    <t>BiK82M2bKWK-06</t>
  </si>
  <si>
    <t>BiK82M2bKA3-06</t>
  </si>
  <si>
    <t>BiK82M2bK09-06</t>
  </si>
  <si>
    <t>BiK82M2by---06</t>
  </si>
  <si>
    <t>BiK82M2bKWKy06</t>
  </si>
  <si>
    <t>BiK82M2bKA3y06</t>
  </si>
  <si>
    <t>BiK82M2bK09y06</t>
  </si>
  <si>
    <t>BiK82M2b----07</t>
  </si>
  <si>
    <t>BiK82M2bKWK-07</t>
  </si>
  <si>
    <t>BiK82M2bKA3-07</t>
  </si>
  <si>
    <t>BiK82M2bK09-07</t>
  </si>
  <si>
    <t>BiK82M2by---07</t>
  </si>
  <si>
    <t>BiK82M2bKWKy07</t>
  </si>
  <si>
    <t>BiK82M2bKA3y07</t>
  </si>
  <si>
    <t>BiK82M2bK09y07</t>
  </si>
  <si>
    <t>BiK82M2b----08</t>
  </si>
  <si>
    <t>BiK82M2bKWK-08</t>
  </si>
  <si>
    <t>BiK82M2bKA3-08</t>
  </si>
  <si>
    <t>BiK82M2bK09-08</t>
  </si>
  <si>
    <t>BiK82M2by---08</t>
  </si>
  <si>
    <t>BiK82M2bKWKy08</t>
  </si>
  <si>
    <t>BiK82M2bKA3y08</t>
  </si>
  <si>
    <t>BiK82M2bK09y08</t>
  </si>
  <si>
    <t>BiK51nK09y--01</t>
  </si>
  <si>
    <t>BiK51na1y---01</t>
  </si>
  <si>
    <t>BiK51na1KA3y01</t>
  </si>
  <si>
    <t>BiK51na1K09y01</t>
  </si>
  <si>
    <t>BiK51ay-----01</t>
  </si>
  <si>
    <t>BiK51aKA3y--01</t>
  </si>
  <si>
    <t>BiK51aK09y--01</t>
  </si>
  <si>
    <t>BiK51aa1y---01</t>
  </si>
  <si>
    <t>BiK51aa1KA3y01</t>
  </si>
  <si>
    <t>BiK51aa1K09y01</t>
  </si>
  <si>
    <t>0-10 MW, Bonusregel W</t>
  </si>
  <si>
    <t>0-10 MW, Bonusregel P</t>
  </si>
  <si>
    <t>0-10 MW, Bonusregeln W, P</t>
  </si>
  <si>
    <t>GeK280------09</t>
  </si>
  <si>
    <t>GeK281------09</t>
  </si>
  <si>
    <t>GeK280W-----09</t>
  </si>
  <si>
    <t>GeK280P-----09</t>
  </si>
  <si>
    <t>GeK280WP----09</t>
  </si>
  <si>
    <t>WnK290------09</t>
  </si>
  <si>
    <t>WnK290S-----09</t>
  </si>
  <si>
    <t>WnK291------09</t>
  </si>
  <si>
    <t>WrK300------09</t>
  </si>
  <si>
    <t>WrK300S-----09</t>
  </si>
  <si>
    <t>Repowering, Endvergütung</t>
  </si>
  <si>
    <t>WrK301------09</t>
  </si>
  <si>
    <t>WfK310------09</t>
  </si>
  <si>
    <t>BiK81M1y----05</t>
  </si>
  <si>
    <t>BiK81M1KWKy-05</t>
  </si>
  <si>
    <t>BiK81M1KA3y-05</t>
  </si>
  <si>
    <t>BiK81M1K09y-05</t>
  </si>
  <si>
    <t>BiK81L------05</t>
  </si>
  <si>
    <t>BiK81LKWK---05</t>
  </si>
  <si>
    <t>BiK81LKA3---05</t>
  </si>
  <si>
    <t>BiK81LK09---05</t>
  </si>
  <si>
    <t>BiK81Ly-----05</t>
  </si>
  <si>
    <t>BiK81LKWKy--05</t>
  </si>
  <si>
    <t>BiK81LKA3y--05</t>
  </si>
  <si>
    <t>BiK81LK09y--05</t>
  </si>
  <si>
    <t>BiK81X1-----05</t>
  </si>
  <si>
    <t>BiK81X1KWK--05</t>
  </si>
  <si>
    <t>BiK81X1KA3--05</t>
  </si>
  <si>
    <t>BiK81X1K09--05</t>
  </si>
  <si>
    <t>BiK81X1y----05</t>
  </si>
  <si>
    <t>BiK81X1KWKy-05</t>
  </si>
  <si>
    <t>BiK81X1KA3y-05</t>
  </si>
  <si>
    <t>0,150-0,5 MW, Bonusregeln t3, M2, i</t>
  </si>
  <si>
    <t>BiK81a1bKWK-04</t>
  </si>
  <si>
    <t>BiK81X1KA3y-04</t>
  </si>
  <si>
    <t>BiK81X1K09y-04</t>
  </si>
  <si>
    <t>BiK81Gb-----04</t>
  </si>
  <si>
    <t>BiK81GbKWK--04</t>
  </si>
  <si>
    <t>BiK81GbKA3--04</t>
  </si>
  <si>
    <t>BiK81GbK09--04</t>
  </si>
  <si>
    <t>BiK81Gby----04</t>
  </si>
  <si>
    <t>BiK81GbKWKy-04</t>
  </si>
  <si>
    <t>Inbetriebnahme 30.06. bis 31.12.2006</t>
  </si>
  <si>
    <t>BiK52aa2----01</t>
  </si>
  <si>
    <t>BiK52aa3----01</t>
  </si>
  <si>
    <t>BiK53a------01</t>
  </si>
  <si>
    <t>BiK51a------02</t>
  </si>
  <si>
    <t>BiK51aa1----02</t>
  </si>
  <si>
    <t>BiK52a------02</t>
  </si>
  <si>
    <t>BiK52aa2----02</t>
  </si>
  <si>
    <t>BiK52aa3----02</t>
  </si>
  <si>
    <t>BiK53a------02</t>
  </si>
  <si>
    <t>BiK51a------03</t>
  </si>
  <si>
    <t>BiK51aa1----03</t>
  </si>
  <si>
    <t>BiK52a------03</t>
  </si>
  <si>
    <t>BiK52aa2----03</t>
  </si>
  <si>
    <t>BiK52aa3----03</t>
  </si>
  <si>
    <t>BiK53a------03</t>
  </si>
  <si>
    <t>BiK81-------04</t>
  </si>
  <si>
    <t>Inbetriebnahme 2004</t>
  </si>
  <si>
    <t>Anteil Nicht-KWK</t>
  </si>
  <si>
    <t>BiK81KWK----04</t>
  </si>
  <si>
    <t>Anteil KWK</t>
  </si>
  <si>
    <t>BiK81a1-----04</t>
  </si>
  <si>
    <t>BiK81a1KWK--04</t>
  </si>
  <si>
    <t>BiK81b------04</t>
  </si>
  <si>
    <t>BiK81bKWK---04</t>
  </si>
  <si>
    <t>BiK81a1b----04</t>
  </si>
  <si>
    <t>BiK81X1bK09-07</t>
  </si>
  <si>
    <t>BiK82G------07</t>
  </si>
  <si>
    <t>BiK82GKWK---07</t>
  </si>
  <si>
    <t>BiK82GKA3---07</t>
  </si>
  <si>
    <t>BiK82GK09---07</t>
  </si>
  <si>
    <t>BiK82Gy-----07</t>
  </si>
  <si>
    <t>BiK82GKWKy--07</t>
  </si>
  <si>
    <t>BiK82GKA3y--07</t>
  </si>
  <si>
    <t>BiK82GK09y--07</t>
  </si>
  <si>
    <t>BiK82M2-----07</t>
  </si>
  <si>
    <t>BiK82M2KWK--07</t>
  </si>
  <si>
    <t>BiK82M2KA3--07</t>
  </si>
  <si>
    <t>BiK82M2K09--07</t>
  </si>
  <si>
    <t>BiK82M2y----07</t>
  </si>
  <si>
    <t>BiK82M2KWKy-07</t>
  </si>
  <si>
    <t>BiK82M2KA3y-07</t>
  </si>
  <si>
    <t>BiK82M2K09y-07</t>
  </si>
  <si>
    <t>BiK82L------07</t>
  </si>
  <si>
    <t>BiK83a3-----08</t>
  </si>
  <si>
    <t>BiK83a3KWK--08</t>
  </si>
  <si>
    <t>BiK83b------08</t>
  </si>
  <si>
    <t>BiK83bKWK---08</t>
  </si>
  <si>
    <t>BiK83a2b----08</t>
  </si>
  <si>
    <t>BiK83a2bKWK-08</t>
  </si>
  <si>
    <t>BiK83a3b----08</t>
  </si>
  <si>
    <t>BiK83a3bKWK-08</t>
  </si>
  <si>
    <t>BiK84-------08</t>
  </si>
  <si>
    <t>BiK84KWK----08</t>
  </si>
  <si>
    <t>BiK85-------08</t>
  </si>
  <si>
    <t>Deponie-,Klär-,Grubengas</t>
  </si>
  <si>
    <t>GaK42a------01</t>
  </si>
  <si>
    <t>GaK41a------02</t>
  </si>
  <si>
    <t>GaK42a------02</t>
  </si>
  <si>
    <r>
      <t xml:space="preserve">Bonusregel S: </t>
    </r>
    <r>
      <rPr>
        <sz val="10"/>
        <rFont val="Arial"/>
        <family val="2"/>
      </rPr>
      <t>(§ 66 Abs. 1 Nr. 6 EEG 2009) Windenergieanlagen, die nach dem 31.12.2001 und vor dem 01.01.2009 in Betrieb genommen worden sind, erhalten einen Systemdienstleistungsbonus von 0,7 ct/kWh, wenn sie infolge einer Nachrüstung vor dem 01.01.2011 die Anforderungen der Verordnung nach § 64 Abs. 1 Nr. 1 EEG 2009 erstmals einhalten.</t>
    </r>
  </si>
  <si>
    <t>§27 (4) S.1 Nr.3 EEG 2009 (bis 20 MW)</t>
  </si>
  <si>
    <r>
      <t>Biogas</t>
    </r>
    <r>
      <rPr>
        <sz val="8"/>
        <rFont val="Arial"/>
        <family val="2"/>
      </rPr>
      <t>:Gülle- + Landsch.pfl.-Bon. bis 150 kW</t>
    </r>
  </si>
  <si>
    <r>
      <t>Biogas</t>
    </r>
    <r>
      <rPr>
        <sz val="8"/>
        <rFont val="Arial"/>
        <family val="2"/>
      </rPr>
      <t>: Imm</t>
    </r>
    <r>
      <rPr>
        <sz val="8"/>
        <rFont val="Arial"/>
        <family val="2"/>
      </rPr>
      <t>issionssch.-Bonus bis 500 kW</t>
    </r>
  </si>
  <si>
    <t>BiK51aLK09--03</t>
  </si>
  <si>
    <t>BiK51aLy----03</t>
  </si>
  <si>
    <t>BiK51aLKA3y-03</t>
  </si>
  <si>
    <t>BiK51aLK09y-03</t>
  </si>
  <si>
    <t>BiK51aX2----03</t>
  </si>
  <si>
    <t>BiK51aX2KA3-03</t>
  </si>
  <si>
    <t>BiK51aX2K09-03</t>
  </si>
  <si>
    <t>BiK51aX2y---03</t>
  </si>
  <si>
    <t>BiK51aX2KA3y03</t>
  </si>
  <si>
    <t>BiK81GbKA3y-04</t>
  </si>
  <si>
    <t>BiK81GbK09y-04</t>
  </si>
  <si>
    <t>BiK81M1b----04</t>
  </si>
  <si>
    <t>BiK81M1bKWK-04</t>
  </si>
  <si>
    <t>BiK81M1bKA3-04</t>
  </si>
  <si>
    <t>BiK81M1bK09-04</t>
  </si>
  <si>
    <t>BiK81M1by---04</t>
  </si>
  <si>
    <t>BiK81M1bKWKy04</t>
  </si>
  <si>
    <t>BiK81M1bKA3y04</t>
  </si>
  <si>
    <t>BiK81M1bK09y04</t>
  </si>
  <si>
    <t>BiK81Lb-----04</t>
  </si>
  <si>
    <t>BiK81LbKWK--04</t>
  </si>
  <si>
    <t>BiK81M1b----08</t>
  </si>
  <si>
    <t>BiK81M1bKWK-08</t>
  </si>
  <si>
    <t>BiK81M1bKA3-08</t>
  </si>
  <si>
    <t>BiK81M1bK09-08</t>
  </si>
  <si>
    <t>BiK81M1by---08</t>
  </si>
  <si>
    <t>BiK81M1bKWKy08</t>
  </si>
  <si>
    <t>BiK81M1bKA3y08</t>
  </si>
  <si>
    <t>BiK81M1bK09y08</t>
  </si>
  <si>
    <r>
      <t>Bio</t>
    </r>
    <r>
      <rPr>
        <b/>
        <u/>
        <sz val="8"/>
        <rFont val="Arial"/>
        <family val="2"/>
      </rPr>
      <t>g</t>
    </r>
    <r>
      <rPr>
        <u/>
        <sz val="8"/>
        <rFont val="Arial"/>
        <family val="2"/>
      </rPr>
      <t>as</t>
    </r>
    <r>
      <rPr>
        <sz val="8"/>
        <rFont val="Arial"/>
        <family val="2"/>
      </rPr>
      <t>: allg. Bonus b</t>
    </r>
    <r>
      <rPr>
        <sz val="8"/>
        <rFont val="Arial"/>
        <family val="2"/>
      </rPr>
      <t>is 500 kW</t>
    </r>
  </si>
  <si>
    <t>BiK81K10----06</t>
  </si>
  <si>
    <t>BiK81K10y---06</t>
  </si>
  <si>
    <t>BiK81a1K10--06</t>
  </si>
  <si>
    <t>BiK81a1K10y-06</t>
  </si>
  <si>
    <t>BiK81GK10---06</t>
  </si>
  <si>
    <t>BiK81GK10y--06</t>
  </si>
  <si>
    <t>BiK81M1K10--06</t>
  </si>
  <si>
    <t>BiK81M1K10y-06</t>
  </si>
  <si>
    <t>BiK81LK10---06</t>
  </si>
  <si>
    <t>BiK81LK10y--06</t>
  </si>
  <si>
    <t>BiK81X1K10--06</t>
  </si>
  <si>
    <t>BiK81X1K10y-06</t>
  </si>
  <si>
    <t>BiK81bK10---06</t>
  </si>
  <si>
    <t>BiK81bK10y--06</t>
  </si>
  <si>
    <t>BiK81a1bK10-06</t>
  </si>
  <si>
    <t>BiK81a1bK10y06</t>
  </si>
  <si>
    <t>BiK81GbK10--06</t>
  </si>
  <si>
    <t>BiK81GbK10y-06</t>
  </si>
  <si>
    <t>BiK81M1bK10-06</t>
  </si>
  <si>
    <t>BiK81M1bK10y06</t>
  </si>
  <si>
    <t>BiK81LbK10--06</t>
  </si>
  <si>
    <t>BiK81LbK10y-06</t>
  </si>
  <si>
    <t>BiK81X1bK10-06</t>
  </si>
  <si>
    <t>BiK81X1bK10y06</t>
  </si>
  <si>
    <t>BiK82K10----06</t>
  </si>
  <si>
    <t>BiK82K10y---06</t>
  </si>
  <si>
    <t>BiK82a1K10--06</t>
  </si>
  <si>
    <t>BiK82a1K10y-06</t>
  </si>
  <si>
    <t>BiK82GK10---06</t>
  </si>
  <si>
    <t>BiK82GK10y--06</t>
  </si>
  <si>
    <t>BiK82M2K10--06</t>
  </si>
  <si>
    <t>BiK82M2K10y-06</t>
  </si>
  <si>
    <t>BiK82LK10---06</t>
  </si>
  <si>
    <t>BiK82LK10y--06</t>
  </si>
  <si>
    <t>BiK82X2K10--06</t>
  </si>
  <si>
    <t>BiK82X2K10y-06</t>
  </si>
  <si>
    <t>BiK82bK10---06</t>
  </si>
  <si>
    <t>BiK82bK10y--06</t>
  </si>
  <si>
    <t>BiK82a1bK10-06</t>
  </si>
  <si>
    <t>BiK82a1bK10y06</t>
  </si>
  <si>
    <t>BiK82GbK10--06</t>
  </si>
  <si>
    <t>BiK82GbK10y-06</t>
  </si>
  <si>
    <t>BiK82M2bK10-06</t>
  </si>
  <si>
    <t>BiK82M2bK10y06</t>
  </si>
  <si>
    <t>BiK82LbK10--06</t>
  </si>
  <si>
    <t>BiK82LbK10y-06</t>
  </si>
  <si>
    <t>BiK82X2bK10-06</t>
  </si>
  <si>
    <t>BiK82X2bK10y06</t>
  </si>
  <si>
    <t>BiK83K10----06</t>
  </si>
  <si>
    <t>BiK83a2K10--06</t>
  </si>
  <si>
    <t>BiK83a3K10--06</t>
  </si>
  <si>
    <t>BiK83bK10---06</t>
  </si>
  <si>
    <t>BiK83a2bK10-06</t>
  </si>
  <si>
    <t>BiK83a3bK10-06</t>
  </si>
  <si>
    <t>BiK84K10----06</t>
  </si>
  <si>
    <t>BiK85K10----06</t>
  </si>
  <si>
    <t>BiK81K10----07</t>
  </si>
  <si>
    <t>BiK81K10y---07</t>
  </si>
  <si>
    <t>BiK81a1K10--07</t>
  </si>
  <si>
    <t>BiK81a1K10y-07</t>
  </si>
  <si>
    <t>BiK81GK10---07</t>
  </si>
  <si>
    <t>BiK81GK10y--07</t>
  </si>
  <si>
    <t>BiK81M1K10--07</t>
  </si>
  <si>
    <t>BiK81M1K10y-07</t>
  </si>
  <si>
    <t>BiK81LK10---07</t>
  </si>
  <si>
    <t>BiK81LK10y--07</t>
  </si>
  <si>
    <t>BiK81X1K10--07</t>
  </si>
  <si>
    <t>BiK81X1K10y-07</t>
  </si>
  <si>
    <t>BiK81bK10---07</t>
  </si>
  <si>
    <t>BiK81bK10y--07</t>
  </si>
  <si>
    <t>BiK81a1bK10-07</t>
  </si>
  <si>
    <t>BiK81a1bK10y07</t>
  </si>
  <si>
    <t>BiK81GbK10--07</t>
  </si>
  <si>
    <t>BiK81GbK10y-07</t>
  </si>
  <si>
    <t>BiK81M1bK10-07</t>
  </si>
  <si>
    <t>BiK81M1bK10y07</t>
  </si>
  <si>
    <t>BiK81LbK10--07</t>
  </si>
  <si>
    <t>BiK81LbK10y-07</t>
  </si>
  <si>
    <t>BiK81X1bK10-07</t>
  </si>
  <si>
    <t>BiK81X1bK10y07</t>
  </si>
  <si>
    <t>BiK82K10----07</t>
  </si>
  <si>
    <t>BiK82K10y---07</t>
  </si>
  <si>
    <t>BiK82a1K10--07</t>
  </si>
  <si>
    <t>BiK82a1K10y-07</t>
  </si>
  <si>
    <t>BiK82GK10---07</t>
  </si>
  <si>
    <t>BiK82GK10y--07</t>
  </si>
  <si>
    <t>BiK82M2K10--07</t>
  </si>
  <si>
    <t>BiK82M2K10y-07</t>
  </si>
  <si>
    <t>BiK82LK10---07</t>
  </si>
  <si>
    <t>BiK82LK10y--07</t>
  </si>
  <si>
    <t>BiK82X2K10--07</t>
  </si>
  <si>
    <t>BiK51ay-----03</t>
  </si>
  <si>
    <t>BiK51aKA3y--03</t>
  </si>
  <si>
    <t>BiK270t2M1K-09</t>
  </si>
  <si>
    <t>BiK271t2M2--09</t>
  </si>
  <si>
    <t>BiK271t2M2K-09</t>
  </si>
  <si>
    <t>BiK270t2L---09</t>
  </si>
  <si>
    <t>BiK270t2LK--09</t>
  </si>
  <si>
    <t>BiK271t2L---09</t>
  </si>
  <si>
    <t>BiK271t2LK--09</t>
  </si>
  <si>
    <t>BiK270t2X1--09</t>
  </si>
  <si>
    <t>BiK270t2X1K-09</t>
  </si>
  <si>
    <t>BiK271t2X2--09</t>
  </si>
  <si>
    <t>BiK271t2X2K-09</t>
  </si>
  <si>
    <t>BiK270t2Gi--09</t>
  </si>
  <si>
    <t>BiK270t2GiK-09</t>
  </si>
  <si>
    <t>BiK271t2Gi--09</t>
  </si>
  <si>
    <t>BiK271t2GiK-09</t>
  </si>
  <si>
    <t>BiK270t2M1i-09</t>
  </si>
  <si>
    <t>BiK270t2M1iK09</t>
  </si>
  <si>
    <t>BiK271t2M2i-09</t>
  </si>
  <si>
    <t>BiK271t2M2iK09</t>
  </si>
  <si>
    <t>BiK270t2Li--09</t>
  </si>
  <si>
    <t>BiK270t2LiK-09</t>
  </si>
  <si>
    <t>BiK271t2Li--09</t>
  </si>
  <si>
    <t>BiK271t2LiK-09</t>
  </si>
  <si>
    <t>BiK270t2X1i-09</t>
  </si>
  <si>
    <t>BiK270t2X1iK09</t>
  </si>
  <si>
    <t>BiK271t2X2i-09</t>
  </si>
  <si>
    <t>BiK271t2X2iK09</t>
  </si>
  <si>
    <t>GeK91W------04</t>
  </si>
  <si>
    <t>GeK91P------04</t>
  </si>
  <si>
    <t>GeK91WP-----04</t>
  </si>
  <si>
    <t>GeK92W------04</t>
  </si>
  <si>
    <t>GeK92P------04</t>
  </si>
  <si>
    <t>GeK92WP-----04</t>
  </si>
  <si>
    <t>GeK91W------05</t>
  </si>
  <si>
    <t>GeK91P------05</t>
  </si>
  <si>
    <t>GeK91WP-----05</t>
  </si>
  <si>
    <t>GeK92W------05</t>
  </si>
  <si>
    <t>GeK92P------05</t>
  </si>
  <si>
    <t>GeK92WP-----05</t>
  </si>
  <si>
    <t>GeK91W------06</t>
  </si>
  <si>
    <t>GeK91P------06</t>
  </si>
  <si>
    <t>GeK91WP-----06</t>
  </si>
  <si>
    <t>GeK92W------06</t>
  </si>
  <si>
    <t>GeK92P------06</t>
  </si>
  <si>
    <t>GeK92WP-----06</t>
  </si>
  <si>
    <t>GeK91W------07</t>
  </si>
  <si>
    <t>GeK91P------07</t>
  </si>
  <si>
    <t>GeK91WP-----07</t>
  </si>
  <si>
    <t>GeK92W------07</t>
  </si>
  <si>
    <t>GeK92P------07</t>
  </si>
  <si>
    <t>GeK92WP-----07</t>
  </si>
  <si>
    <t>BiK51nLK09--01</t>
  </si>
  <si>
    <t>BiK51nLy----01</t>
  </si>
  <si>
    <t>BiK51nLKA3y-01</t>
  </si>
  <si>
    <t>BiK51nLK09y-01</t>
  </si>
  <si>
    <t>BiK51nX1----01</t>
  </si>
  <si>
    <t>BiK51nX1KA3-01</t>
  </si>
  <si>
    <t>BiK51nX1K09-01</t>
  </si>
  <si>
    <t>BiK51nX1y---01</t>
  </si>
  <si>
    <t>BiK51nX1KA3y01</t>
  </si>
  <si>
    <t>BiK51nX1K09y01</t>
  </si>
  <si>
    <t>BiK82K09----04</t>
  </si>
  <si>
    <t>BiK82a1K09--04</t>
  </si>
  <si>
    <t>BiK82bK09---04</t>
  </si>
  <si>
    <t>BiK82a1K09--08</t>
  </si>
  <si>
    <t>BiK82a1bK09-04</t>
  </si>
  <si>
    <t>BiK270t1L---09</t>
  </si>
  <si>
    <t>BiK270t1LK--09</t>
  </si>
  <si>
    <t>BiK271t1L---09</t>
  </si>
  <si>
    <t>BiK271t1LK--09</t>
  </si>
  <si>
    <t>BiK270t1X1--09</t>
  </si>
  <si>
    <t>BiK270t1X1K-09</t>
  </si>
  <si>
    <t>BiK271t1X2--09</t>
  </si>
  <si>
    <t>BiK271t1X2K-09</t>
  </si>
  <si>
    <t>BiK270t1Gi--09</t>
  </si>
  <si>
    <t>BiK270t1GiK-09</t>
  </si>
  <si>
    <t>BiK271t1Gi--09</t>
  </si>
  <si>
    <t>BiK271t1GiK-09</t>
  </si>
  <si>
    <t>BiK270t1M1i-09</t>
  </si>
  <si>
    <t>BiK270t1M1iK09</t>
  </si>
  <si>
    <t>BiK271t1M2i-09</t>
  </si>
  <si>
    <t>BiK271t1M2iK09</t>
  </si>
  <si>
    <t>§ 27 Abs. 4 Satz 1 Nr. 2 EEG; Anlage 2 Punkt VI., 2b (2) und Punkt VI., 2c
(Kombination aus Bonus M2 und Bonus L)</t>
  </si>
  <si>
    <t>§ 27 Abs. 4 Satz 1 Nr. 2 EEG; Anlage 2 Punkt VI., 2b (1) und Punkt VI., 2c
(Kombination aus Bonus M1 und Bonus L)</t>
  </si>
  <si>
    <t>BiK82M2b----04</t>
  </si>
  <si>
    <t>BiK82M2bKWK-04</t>
  </si>
  <si>
    <t>BiK82M2bKA3-04</t>
  </si>
  <si>
    <t>BiK82M2bK09-04</t>
  </si>
  <si>
    <t>BiK82M2by---04</t>
  </si>
  <si>
    <t>BiK82M2bKWKy04</t>
  </si>
  <si>
    <t>BiK82M2bKA3y04</t>
  </si>
  <si>
    <t>BiK82M2bK09y04</t>
  </si>
  <si>
    <t>KlK33b1-MPMMai</t>
  </si>
  <si>
    <t>KlK33b1-MPMJun</t>
  </si>
  <si>
    <t>KlK33b1-MPMJul</t>
  </si>
  <si>
    <t>KlK33b1-MPMAug</t>
  </si>
  <si>
    <t>KlK33b1-MPMSep</t>
  </si>
  <si>
    <t>KlK33b1-MPMOkt</t>
  </si>
  <si>
    <t>KlK33b1-MPMNov</t>
  </si>
  <si>
    <t>KlK33b1-MPMDez</t>
  </si>
  <si>
    <t>GrK33b1-MPMJan</t>
  </si>
  <si>
    <t>GrK33b1-MPMFeb</t>
  </si>
  <si>
    <t>GrK33b1-MPMMrz</t>
  </si>
  <si>
    <t>GrK33b1-MPMApr</t>
  </si>
  <si>
    <t>GrK33b1-MPMMai</t>
  </si>
  <si>
    <t>GrK33b1-MPMJun</t>
  </si>
  <si>
    <t>GrK33b1-MPMJul</t>
  </si>
  <si>
    <t>GrK33b1-MPMAug</t>
  </si>
  <si>
    <t>GrK33b1-MPMSep</t>
  </si>
  <si>
    <t>GrK33b1-MPMOkt</t>
  </si>
  <si>
    <t>GrK33b1-MPMNov</t>
  </si>
  <si>
    <t>GrK33b1-MPMDez</t>
  </si>
  <si>
    <t>GeK33b1-MPMJan</t>
  </si>
  <si>
    <t>GeK33b1-MPMFeb</t>
  </si>
  <si>
    <t>GeK33b1-MPMMrz</t>
  </si>
  <si>
    <t>GeK33b1-MPMApr</t>
  </si>
  <si>
    <t>GeK33b1-MPMMai</t>
  </si>
  <si>
    <t>GeK33b1-MPMJun</t>
  </si>
  <si>
    <t>GeK33b1-MPMJul</t>
  </si>
  <si>
    <t>GeK33b1-MPMAug</t>
  </si>
  <si>
    <t>GeK33b1-MPMSep</t>
  </si>
  <si>
    <t>GeK33b1-MPMOkt</t>
  </si>
  <si>
    <t>GeK33b1-MPMNov</t>
  </si>
  <si>
    <t>GeK33b1-MPMDez</t>
  </si>
  <si>
    <t>WiK33b1-MPMJan</t>
  </si>
  <si>
    <t>WiK33b1-MPMFeb</t>
  </si>
  <si>
    <t>WiK33b1-MPMMrz</t>
  </si>
  <si>
    <t>WiK33b1-MPMApr</t>
  </si>
  <si>
    <t>WiK33b1-MPMMai</t>
  </si>
  <si>
    <t>WiK33b1-MPMJun</t>
  </si>
  <si>
    <t>WiK33b1-MPMJul</t>
  </si>
  <si>
    <t>WiK33b1-MPMAug</t>
  </si>
  <si>
    <t>WiK33b1-MPMSep</t>
  </si>
  <si>
    <t>WiK33b1-MPMOkt</t>
  </si>
  <si>
    <t>WiK33b1-MPMNov</t>
  </si>
  <si>
    <t>WiK33b1-MPMDez</t>
  </si>
  <si>
    <t>WnK33b1-MPMJan</t>
  </si>
  <si>
    <t>WnK33b1-MPMFeb</t>
  </si>
  <si>
    <t>WnK33b1-MPMMrz</t>
  </si>
  <si>
    <t>WnK33b1-MPMApr</t>
  </si>
  <si>
    <t>WnK33b1-MPMMai</t>
  </si>
  <si>
    <t>WnK33b1-MPMJun</t>
  </si>
  <si>
    <t>WnK33b1-MPMJul</t>
  </si>
  <si>
    <t>WnK33b1-MPMAug</t>
  </si>
  <si>
    <t>WnK33b1-MPMSep</t>
  </si>
  <si>
    <t>WnK33b1-MPMOkt</t>
  </si>
  <si>
    <t>WnK33b1-MPMNov</t>
  </si>
  <si>
    <t>WnK33b1-MPMDez</t>
  </si>
  <si>
    <t>WrK33b1-MPMJan</t>
  </si>
  <si>
    <t>WrK33b1-MPMFeb</t>
  </si>
  <si>
    <t>WrK33b1-MPMMrz</t>
  </si>
  <si>
    <t>WrK33b1-MPMApr</t>
  </si>
  <si>
    <t>WrK33b1-MPMMai</t>
  </si>
  <si>
    <t>WrK33b1-MPMJun</t>
  </si>
  <si>
    <t>WrK33b1-MPMJul</t>
  </si>
  <si>
    <t>WrK33b1-MPMAug</t>
  </si>
  <si>
    <t>WrK33b1-MPMSep</t>
  </si>
  <si>
    <t>WrK33b1-MPMOkt</t>
  </si>
  <si>
    <t>WrK33b1-MPMNov</t>
  </si>
  <si>
    <t>WrK33b1-MPMDez</t>
  </si>
  <si>
    <t>WfK33b1-MPMJan</t>
  </si>
  <si>
    <t>WfK33b1-MPMFeb</t>
  </si>
  <si>
    <t>WfK33b1-MPMMrz</t>
  </si>
  <si>
    <t>WfK33b1-MPMApr</t>
  </si>
  <si>
    <t>WfK33b1-MPMMai</t>
  </si>
  <si>
    <t>WfK33b1-MPMJun</t>
  </si>
  <si>
    <t>WfK33b1-MPMJul</t>
  </si>
  <si>
    <t>WfK33b1-MPMAug</t>
  </si>
  <si>
    <t>WfK33b1-MPMSep</t>
  </si>
  <si>
    <t>WfK33b1-MPMOkt</t>
  </si>
  <si>
    <t>WfK33b1-MPMNov</t>
  </si>
  <si>
    <t>WfK33b1-MPMDez</t>
  </si>
  <si>
    <t>SoK33b1-MPMJan</t>
  </si>
  <si>
    <t>SoK33b1-MPMFeb</t>
  </si>
  <si>
    <t>SoK33b1-MPMMrz</t>
  </si>
  <si>
    <t>SoK33b1-MPMApr</t>
  </si>
  <si>
    <t>SoK33b1-MPMMai</t>
  </si>
  <si>
    <t>SoK33b1-MPMJun</t>
  </si>
  <si>
    <t>SoK33b1-MPMJul</t>
  </si>
  <si>
    <t>SoK33b1-MPMAug</t>
  </si>
  <si>
    <t>SoK33b1-MPMSep</t>
  </si>
  <si>
    <t>SoK33b1-MPMOkt</t>
  </si>
  <si>
    <t>SoK33b1-MPMNov</t>
  </si>
  <si>
    <t>SoK33b1-MPMDez</t>
  </si>
  <si>
    <t>SgK33b1-MPMJan</t>
  </si>
  <si>
    <t>SgK33b1-MPMFeb</t>
  </si>
  <si>
    <t>SgK33b1-MPMMrz</t>
  </si>
  <si>
    <t>SgK33b1-MPMApr</t>
  </si>
  <si>
    <t>SgK33b1-MPMMai</t>
  </si>
  <si>
    <t>SgK33b1-MPMJun</t>
  </si>
  <si>
    <t>SgK33b1-MPMJul</t>
  </si>
  <si>
    <t>SgK33b1-MPMAug</t>
  </si>
  <si>
    <t>SgK33b1-MPMSep</t>
  </si>
  <si>
    <t>SgK33b1-MPMOkt</t>
  </si>
  <si>
    <t>SgK33b1-MPMNov</t>
  </si>
  <si>
    <t>SgK33b1-MPMDez</t>
  </si>
  <si>
    <t>BiK51aM2K11-01</t>
  </si>
  <si>
    <t>BiK51aM2K11y01</t>
  </si>
  <si>
    <t>BiK51aLK11--01</t>
  </si>
  <si>
    <t>BiK51aLK11y-01</t>
  </si>
  <si>
    <t>BiK51aX2K11-01</t>
  </si>
  <si>
    <t>BiK51aX2K11y01</t>
  </si>
  <si>
    <t>BiK52aK11---01</t>
  </si>
  <si>
    <t>BiK52aa2K11-01</t>
  </si>
  <si>
    <t>BiK52aa3K11-01</t>
  </si>
  <si>
    <t>BiK53aK11---01</t>
  </si>
  <si>
    <t>BiK54aK11---01</t>
  </si>
  <si>
    <t>BiK51nK11---02</t>
  </si>
  <si>
    <t>BiK51nK11y--02</t>
  </si>
  <si>
    <t>BiK51na1K11-02</t>
  </si>
  <si>
    <t>BiK51na1K11y02</t>
  </si>
  <si>
    <t>BiK51nGK11--02</t>
  </si>
  <si>
    <t>BiK51nGK11y-02</t>
  </si>
  <si>
    <t>BiK51nM1K11-02</t>
  </si>
  <si>
    <t>BiK51nM1K11y02</t>
  </si>
  <si>
    <t>BiK51nLK11--02</t>
  </si>
  <si>
    <t>BiK51nLK11y-02</t>
  </si>
  <si>
    <t>BiK51nX1K11-02</t>
  </si>
  <si>
    <t>BiK51nX1K11y02</t>
  </si>
  <si>
    <t>BiK51aK11---02</t>
  </si>
  <si>
    <t>BiK51aK11y--02</t>
  </si>
  <si>
    <t>BiK51aa1K11-02</t>
  </si>
  <si>
    <t>BiK51aa1K11y02</t>
  </si>
  <si>
    <t>BiK51aGK11--02</t>
  </si>
  <si>
    <t>BiK51aGK11y-02</t>
  </si>
  <si>
    <t>BiK51aM2K11-02</t>
  </si>
  <si>
    <t>BiK51aM2K11y02</t>
  </si>
  <si>
    <t>BiK51aLK11--02</t>
  </si>
  <si>
    <t>BiK51aLK11y-02</t>
  </si>
  <si>
    <t>BiK51aX2K11-02</t>
  </si>
  <si>
    <t>BiK51aX2K11y02</t>
  </si>
  <si>
    <t>BiK52aK11---02</t>
  </si>
  <si>
    <t>BiK52aa2K11-02</t>
  </si>
  <si>
    <t>BiK52aa3K11-02</t>
  </si>
  <si>
    <t>BiK53aK11---02</t>
  </si>
  <si>
    <t>BiK54aK11---02</t>
  </si>
  <si>
    <t>BiK51nK11---03</t>
  </si>
  <si>
    <t>BiK51nK11y--03</t>
  </si>
  <si>
    <t>BiK51na1K11-03</t>
  </si>
  <si>
    <t>BiK51na1K11y03</t>
  </si>
  <si>
    <t>BiK51nGK11--03</t>
  </si>
  <si>
    <t>BiK51nGK11y-03</t>
  </si>
  <si>
    <t>BiK51nM1K11-03</t>
  </si>
  <si>
    <t>BiK51nM1K11y03</t>
  </si>
  <si>
    <t>BiK51nLK11--03</t>
  </si>
  <si>
    <t>BiK51nLK11y-03</t>
  </si>
  <si>
    <t>BiK51nX1K11-03</t>
  </si>
  <si>
    <t>BiK51nX1K11y03</t>
  </si>
  <si>
    <t>BiK51aK11---03</t>
  </si>
  <si>
    <t>BiK51aK11y--03</t>
  </si>
  <si>
    <t>BiK51aa1K11-03</t>
  </si>
  <si>
    <t>BiK51aa1K11y03</t>
  </si>
  <si>
    <t>BiK51aGK11--03</t>
  </si>
  <si>
    <t>BiK51aGK11y-03</t>
  </si>
  <si>
    <t>BiK51aM2K11-03</t>
  </si>
  <si>
    <t>BiK51aM2K11y03</t>
  </si>
  <si>
    <t>BiK51aLK11--03</t>
  </si>
  <si>
    <t>BiK51aLK11y-03</t>
  </si>
  <si>
    <t>BiK51aX2K11-03</t>
  </si>
  <si>
    <t>BiK51aX2K11y03</t>
  </si>
  <si>
    <t>BiK52aK11---03</t>
  </si>
  <si>
    <t>BiK52aa2K11-03</t>
  </si>
  <si>
    <t>BiK52aa3K11-03</t>
  </si>
  <si>
    <t>BiK53aK11---03</t>
  </si>
  <si>
    <t>BiK54aK11---03</t>
  </si>
  <si>
    <t>BiK81K11----04</t>
  </si>
  <si>
    <t>BiK81K11y---04</t>
  </si>
  <si>
    <t>BiK81a1K11--04</t>
  </si>
  <si>
    <t>BiK81a1K11y-04</t>
  </si>
  <si>
    <t>BiK81GK11---04</t>
  </si>
  <si>
    <t>BiK81GK11y--04</t>
  </si>
  <si>
    <t>BiK81M1K11--04</t>
  </si>
  <si>
    <t>BiK81M1K11y-04</t>
  </si>
  <si>
    <t>BiK81LK11---04</t>
  </si>
  <si>
    <t>BiK81LK11y--04</t>
  </si>
  <si>
    <t>BiK81X1K11--04</t>
  </si>
  <si>
    <t>BiK81X1K11y-04</t>
  </si>
  <si>
    <t>BiK81bK11---04</t>
  </si>
  <si>
    <t>BiK81bK11y--04</t>
  </si>
  <si>
    <t>BiK81a1bK11-04</t>
  </si>
  <si>
    <t>BiK81a1bK11y04</t>
  </si>
  <si>
    <t>BiK81GbK11--04</t>
  </si>
  <si>
    <t>BiK81GbK11y-04</t>
  </si>
  <si>
    <t>BiK81M1bK11-04</t>
  </si>
  <si>
    <t>BiK81M1bK11y04</t>
  </si>
  <si>
    <t>BiK81LbK11--04</t>
  </si>
  <si>
    <t>BiK81LbK11y-04</t>
  </si>
  <si>
    <t>BiK81X1bK11-04</t>
  </si>
  <si>
    <t>BiK81X1bK11y04</t>
  </si>
  <si>
    <t>BiK82K11----04</t>
  </si>
  <si>
    <t>BiK82K11y---04</t>
  </si>
  <si>
    <t>BiK82a1K11--04</t>
  </si>
  <si>
    <t>BiK82a1K11y-04</t>
  </si>
  <si>
    <t>BiK82GK11---04</t>
  </si>
  <si>
    <t>BiK82GK11y--04</t>
  </si>
  <si>
    <t>BiK82M2K11--04</t>
  </si>
  <si>
    <t>BiK82M2K11y-04</t>
  </si>
  <si>
    <t>BiK82LK11---04</t>
  </si>
  <si>
    <t>BiK82LK11y--04</t>
  </si>
  <si>
    <t>BiK82X2K11--04</t>
  </si>
  <si>
    <t>BiK82X2K11y-04</t>
  </si>
  <si>
    <t>BiK82bK11---04</t>
  </si>
  <si>
    <t>BiK82bK11y--04</t>
  </si>
  <si>
    <t>BiK82a1bK11-04</t>
  </si>
  <si>
    <t>BiK82a1bK11y04</t>
  </si>
  <si>
    <t>BiK82GbK11--04</t>
  </si>
  <si>
    <t>BiK82GbK11y-04</t>
  </si>
  <si>
    <t>BiK82M2bK11-04</t>
  </si>
  <si>
    <t>BiK82M2bK11y04</t>
  </si>
  <si>
    <t>BiK82LbK11--04</t>
  </si>
  <si>
    <t>BiK82LbK11y-04</t>
  </si>
  <si>
    <t>BiK82X2bK11-04</t>
  </si>
  <si>
    <t>BiK82X2bK11y04</t>
  </si>
  <si>
    <t>BiK83K11----04</t>
  </si>
  <si>
    <t>BiK83a2K11--04</t>
  </si>
  <si>
    <t>BiK83a3K11--04</t>
  </si>
  <si>
    <t>BiK83bK11---04</t>
  </si>
  <si>
    <t>BiK83a2bK11-04</t>
  </si>
  <si>
    <t>BiK83a3bK11-04</t>
  </si>
  <si>
    <t>BiK84K11----04</t>
  </si>
  <si>
    <t>BiK85K11----04</t>
  </si>
  <si>
    <t>BiK81K11----05</t>
  </si>
  <si>
    <t>BiK81K11y---05</t>
  </si>
  <si>
    <t>BiK81a1K11--05</t>
  </si>
  <si>
    <t>BiK81a1K11y-05</t>
  </si>
  <si>
    <t>BiK81GK11---05</t>
  </si>
  <si>
    <t>BiK81GK11y--05</t>
  </si>
  <si>
    <t>BiK81M1K11--05</t>
  </si>
  <si>
    <t>BiK81M1K11y-05</t>
  </si>
  <si>
    <t>BiK81LK11---05</t>
  </si>
  <si>
    <t>BiK81LK11y--05</t>
  </si>
  <si>
    <t>BiK81X1K11--05</t>
  </si>
  <si>
    <t>BiK81X1K11y-05</t>
  </si>
  <si>
    <t>BiK81bK11---05</t>
  </si>
  <si>
    <t>BiK81bK11y--05</t>
  </si>
  <si>
    <t>BiK81a1bK11-05</t>
  </si>
  <si>
    <t>BiK81a1bK11y05</t>
  </si>
  <si>
    <t>BiK81GbK11--05</t>
  </si>
  <si>
    <t>BiK81GbK11y-05</t>
  </si>
  <si>
    <t>BiK81M1bK11-05</t>
  </si>
  <si>
    <t>BiK81M1bK11y05</t>
  </si>
  <si>
    <t>BiK81LbK11--05</t>
  </si>
  <si>
    <t>BiK81LbK11y-05</t>
  </si>
  <si>
    <t>BiK81X1bK11-05</t>
  </si>
  <si>
    <t>BiK81X1bK11y05</t>
  </si>
  <si>
    <t>BiK82K11----05</t>
  </si>
  <si>
    <t>BiK82K11y---05</t>
  </si>
  <si>
    <t>BiK82a1K11--05</t>
  </si>
  <si>
    <t>BiK82a1K11y-05</t>
  </si>
  <si>
    <t>BiK82GK11---05</t>
  </si>
  <si>
    <t>BiK82GK11y--05</t>
  </si>
  <si>
    <t>BiK82M2K11--05</t>
  </si>
  <si>
    <t>BiK82M2K11y-05</t>
  </si>
  <si>
    <t>BiK82LK11---05</t>
  </si>
  <si>
    <t>BiK82LK11y--05</t>
  </si>
  <si>
    <t>BiK82X2K11--05</t>
  </si>
  <si>
    <t>BiK82X2K11y-05</t>
  </si>
  <si>
    <t>BiK82bK11---05</t>
  </si>
  <si>
    <t>BiK82bK11y--05</t>
  </si>
  <si>
    <t>BiK82a1bK11-05</t>
  </si>
  <si>
    <t>BiK82a1bK11y05</t>
  </si>
  <si>
    <t>BiK82GbK11--05</t>
  </si>
  <si>
    <t>BiK82GbK11y-05</t>
  </si>
  <si>
    <t>BiK82M2bK11-05</t>
  </si>
  <si>
    <t>BiK82M2bK11y05</t>
  </si>
  <si>
    <t>BiK82LbK11--05</t>
  </si>
  <si>
    <t>BiK82LbK11y-05</t>
  </si>
  <si>
    <t>BiK82X2bK11-05</t>
  </si>
  <si>
    <t>BiK82X2bK11y05</t>
  </si>
  <si>
    <t>BiK83K11----05</t>
  </si>
  <si>
    <t>BiK83a2K11--05</t>
  </si>
  <si>
    <t>BiK83a3K11--05</t>
  </si>
  <si>
    <t>BiK83bK11---05</t>
  </si>
  <si>
    <t>BiK83a2bK11-05</t>
  </si>
  <si>
    <t>BiK83a3bK11-05</t>
  </si>
  <si>
    <t>BiK84K11----05</t>
  </si>
  <si>
    <t>BiK81K11----06</t>
  </si>
  <si>
    <t>BiK81K11y---06</t>
  </si>
  <si>
    <t>BiK81a1K11--06</t>
  </si>
  <si>
    <t>BiK81a1K11y-06</t>
  </si>
  <si>
    <t>BiK81GK11---06</t>
  </si>
  <si>
    <t>BiK81GK11y--06</t>
  </si>
  <si>
    <t>BiK81M1K11--06</t>
  </si>
  <si>
    <t>BiK81M1K11y-06</t>
  </si>
  <si>
    <t>BiK81LK11---06</t>
  </si>
  <si>
    <t>BiK81LK11y--06</t>
  </si>
  <si>
    <t>BiK81X1K11--06</t>
  </si>
  <si>
    <t>BiK81X1K11y-06</t>
  </si>
  <si>
    <t>BiK81bK11---06</t>
  </si>
  <si>
    <t>BiK81bK11y--06</t>
  </si>
  <si>
    <t>BiK81a1bK11-06</t>
  </si>
  <si>
    <t>BiK81a1bK11y06</t>
  </si>
  <si>
    <t>BiK81GbK11--06</t>
  </si>
  <si>
    <t>BiK81GbK11y-06</t>
  </si>
  <si>
    <t>BiK81M1bK11-06</t>
  </si>
  <si>
    <t>BiK81M1bK11y06</t>
  </si>
  <si>
    <t>BiK271t3a1KB12</t>
  </si>
  <si>
    <t>WaK3922-GSP--0</t>
  </si>
  <si>
    <t>BiK3922-GSP--0</t>
  </si>
  <si>
    <t>WaK33g3-MPM--0</t>
  </si>
  <si>
    <t>BiK33g3-MPM--0</t>
  </si>
  <si>
    <t>Bebauungsplan, Grünflächen (§ 32 Abs. 3 Nr. 3)</t>
  </si>
  <si>
    <t>0-30 kW</t>
  </si>
  <si>
    <t>30-100 kW</t>
  </si>
  <si>
    <t>100 kW-1 MW</t>
  </si>
  <si>
    <t>0-30 kW, selbstverbrauchte Erzeugung</t>
  </si>
  <si>
    <t>0-30 kW, Rückvergütung für Selbstverbrauch</t>
  </si>
  <si>
    <t>0-30 kW, Rückvergütung für Selbstverbrauch bis 30% der Gesamterzeugung der Anlage</t>
  </si>
  <si>
    <t>0-30 kW, Rückvergütung für Selbstverbrauch über 30% der Gesamterzeugung der Anlage</t>
  </si>
  <si>
    <t>30-100 kW, selbstverbrauchte Erzeugung</t>
  </si>
  <si>
    <t>30-100 kW, Rückvergütung für Selbstverbrauch bis 30% der Gesamterzeugung der Anlage</t>
  </si>
  <si>
    <t>30-100 kW, Rückvergütung für Selbstverbrauch über 30% der Gesamterzeugung der Anlage</t>
  </si>
  <si>
    <t>100-500 kW, selbstverbrauchte Erzeugung</t>
  </si>
  <si>
    <t>100-500 kW, Rückvergütung für Selbstverbrauch bis 30% der Gesamterzeugung der Anlage</t>
  </si>
  <si>
    <t>100-500 kW, Rückvergütung für Selbstverbrauch über 30% der Gesamterzeugung der Anlage</t>
  </si>
  <si>
    <t>0-30 kW, Fassadenbonus</t>
  </si>
  <si>
    <t>30-100 kW, Fassadenbonus</t>
  </si>
  <si>
    <t>Freifläche</t>
  </si>
  <si>
    <t>Der Vergütungssatz berechnet sich nach Anlage 5 EEG 2012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direkt vermarkteten und tatsächlich eingespeisten Stroms zu multiplizieren.</t>
  </si>
  <si>
    <t>BiK81bK11---07</t>
  </si>
  <si>
    <t>BiK81bK11y--07</t>
  </si>
  <si>
    <t>BiK81a1bK11-07</t>
  </si>
  <si>
    <t>BiK81a1bK11y07</t>
  </si>
  <si>
    <t>BiK81GbK11--07</t>
  </si>
  <si>
    <t>BiK81GbK11y-07</t>
  </si>
  <si>
    <t>BiK81M1bK11-07</t>
  </si>
  <si>
    <t>So-vNNe--SpE07</t>
  </si>
  <si>
    <t>Inbetriebnahme 2009</t>
  </si>
  <si>
    <t>Deponiegas</t>
  </si>
  <si>
    <t>0-0,5 MW</t>
  </si>
  <si>
    <t>0,5-5 MW</t>
  </si>
  <si>
    <t xml:space="preserve">Technologiebonus Gasaufbereitung; </t>
  </si>
  <si>
    <t>Technonogiebonus Innovative Anlagentechnik</t>
  </si>
  <si>
    <t>Klärgas</t>
  </si>
  <si>
    <t>Grubengas</t>
  </si>
  <si>
    <t>0-1 MW</t>
  </si>
  <si>
    <t>1-5 MW</t>
  </si>
  <si>
    <t>0,150-0,5 MW</t>
  </si>
  <si>
    <t>i</t>
  </si>
  <si>
    <t>&lt; 0,5 MW</t>
  </si>
  <si>
    <t>Immissionsbonus</t>
  </si>
  <si>
    <t>Technologiebonus</t>
  </si>
  <si>
    <t>Nawarobonus</t>
  </si>
  <si>
    <t>a1</t>
  </si>
  <si>
    <t>&lt;0,5 MW</t>
  </si>
  <si>
    <t>a2</t>
  </si>
  <si>
    <t>0,5-5 MW; Einschränkung Holz</t>
  </si>
  <si>
    <t>G</t>
  </si>
  <si>
    <t>Nawarobonus_Biogas</t>
  </si>
  <si>
    <t>0-0,5 MW; Landschaftspflege</t>
  </si>
  <si>
    <t xml:space="preserve">&lt;0,5 MW; </t>
  </si>
  <si>
    <t>KWK-Bonus</t>
  </si>
  <si>
    <t>S</t>
  </si>
  <si>
    <t>Repowering, Anfangsvergütung</t>
  </si>
  <si>
    <t>Repowering, Anfangsvergütung, Bonusregel S</t>
  </si>
  <si>
    <t>Offshore, Anfangsvergütung</t>
  </si>
  <si>
    <t>Offshore, Endvergütung</t>
  </si>
  <si>
    <t>Solar/Gebäude</t>
  </si>
  <si>
    <t>Beispiel für die Einordnung einer EEG-Anlage in die zutreffenden EEG-Vergütungskategorien</t>
  </si>
  <si>
    <t>Biomasseanlage, Inbetriebnahme in 2006</t>
  </si>
  <si>
    <t>Berechnung der EEG-Vergütung in 2009:</t>
  </si>
  <si>
    <t>kW</t>
  </si>
  <si>
    <t>1.  Berechnung der Leistung nach § 18 Abs. 2 EEG, die für die Aufteilung in die Vergütungszonen relevant ist ("Bemessungsleistung"):</t>
  </si>
  <si>
    <t>2.  Aufteilung der Stromerzeugung auf die Vergütungskategorien:</t>
  </si>
  <si>
    <t>zu beachten:</t>
  </si>
  <si>
    <t>Vergütungskategorie</t>
  </si>
  <si>
    <t>davon entfallen</t>
  </si>
  <si>
    <t>Vergütungssatz der Vergütungskategorie</t>
  </si>
  <si>
    <t>Die Anlage hat Anspruch auf den allgemeinen NaWaRo-Bonus a1</t>
  </si>
  <si>
    <t>(ct/kWh)</t>
  </si>
  <si>
    <t>kWh</t>
  </si>
  <si>
    <t>h</t>
  </si>
  <si>
    <t>EEG-Strom-Erzeugung in 2009:</t>
  </si>
  <si>
    <t>(kWh)</t>
  </si>
  <si>
    <t>WaK230------10</t>
  </si>
  <si>
    <t>WaK231------10</t>
  </si>
  <si>
    <t>WaK232------10</t>
  </si>
  <si>
    <t>WaK233------10</t>
  </si>
  <si>
    <t>WaK234------10</t>
  </si>
  <si>
    <t>WaK235------10</t>
  </si>
  <si>
    <t>WaK236------10</t>
  </si>
  <si>
    <t>WaK237------10</t>
  </si>
  <si>
    <t>WaK238------10</t>
  </si>
  <si>
    <t>WaK239------10</t>
  </si>
  <si>
    <t>DeK240------10</t>
  </si>
  <si>
    <t>DeK241------10</t>
  </si>
  <si>
    <t>DeK242------10</t>
  </si>
  <si>
    <t>DeK243------10</t>
  </si>
  <si>
    <t>DeK245------10</t>
  </si>
  <si>
    <t>DeK246------10</t>
  </si>
  <si>
    <t>DeK247------10</t>
  </si>
  <si>
    <t>DeK248------10</t>
  </si>
  <si>
    <t>KlK250------10</t>
  </si>
  <si>
    <t>KlK251------10</t>
  </si>
  <si>
    <t>KlK252------10</t>
  </si>
  <si>
    <t>KlK253------10</t>
  </si>
  <si>
    <t>KlK255------10</t>
  </si>
  <si>
    <t>KlK256------10</t>
  </si>
  <si>
    <t>KlK257------10</t>
  </si>
  <si>
    <t>KlK258------10</t>
  </si>
  <si>
    <t>GrK260------10</t>
  </si>
  <si>
    <t>GrK263------10</t>
  </si>
  <si>
    <t>GrK265------10</t>
  </si>
  <si>
    <t>GrK268------10</t>
  </si>
  <si>
    <t>GrK2610-----10</t>
  </si>
  <si>
    <t>GeK280------10</t>
  </si>
  <si>
    <t>GeK280W-----10</t>
  </si>
  <si>
    <t>GeK280P-----10</t>
  </si>
  <si>
    <t>GeK280WP----10</t>
  </si>
  <si>
    <t>GeK281------10</t>
  </si>
  <si>
    <t>Vergütungsberechnung für Geothermieanlagen mit Inbetriebnahme ab 01.01.2009</t>
  </si>
  <si>
    <t>Vergütungsberechnung für Deponiegasanlagen mit Inbetriebnahme ab 01.01.2009</t>
  </si>
  <si>
    <t>Degressionssatz</t>
  </si>
  <si>
    <t>Vergütungsberechnung für Klärgasanlagen mit Inbetriebnahme ab 01.01.2009</t>
  </si>
  <si>
    <t>Grund-
vergütg. § 25 EEG 2009</t>
  </si>
  <si>
    <t>Grund-
vergütg. § 24 EEG 2009</t>
  </si>
  <si>
    <t>Vergütungsberechnung für Grubengasanlagen mit Inbetriebnahme ab 01.01.2009</t>
  </si>
  <si>
    <t>Grund-
vergütg. § 26 EEG 2009</t>
  </si>
  <si>
    <t>Grund-
vergütg. § 28 EEG 2009</t>
  </si>
  <si>
    <t>Bonushöhe bei Inbetriebnahme in 2010</t>
  </si>
  <si>
    <t>Vergütungsberechnung für Windenergieanlagen onshore mit Inbetriebnahme ab 01.01.2009</t>
  </si>
  <si>
    <t>Grund-
vergütg. § 29 EEG 2009</t>
  </si>
  <si>
    <t>IB in 2009</t>
  </si>
  <si>
    <t>IB in 2010</t>
  </si>
  <si>
    <t>IB in 2011</t>
  </si>
  <si>
    <t>1,98 (Biom.)
1,97 (Gase)</t>
  </si>
  <si>
    <t>1,96 (Biom.)
1,94 (Gase)</t>
  </si>
  <si>
    <t>0,98 (Biom.)
0,97 (Gase)</t>
  </si>
  <si>
    <t>Degression gegenüber IB von Okt-Dez 2010; gültig bei Inbetriebnahme ab 01.01.2011 bis 31.08.2011 für Freiflächenanlagen</t>
  </si>
  <si>
    <t>Degression gegenüber IB von Okt-Dez 2010; gültig bei Inbetriebnahme ab 01.01.2011 bis 31.08.2011 für Freiflächenanlagen auf versiegelten oder Konversionsflächen</t>
  </si>
  <si>
    <t>Degression gegenüber IB von Okt-Dez 2010; für Vergütungssätze nach § 33 Abs. 1 Nr. 1 EEG gültig bei Inbetriebnahme ab 01.01.2011 bis 30.06.2011</t>
  </si>
  <si>
    <t>Degression gegenüber IB von Okt-Dez 2010; für Vergütungssätze nach § 33 Abs. 1 Nr. 2 EEG gültig bei Inbetriebnahme ab 01.01.2011 bis 30.06.2011</t>
  </si>
  <si>
    <t>Degression gegenüber IB von Okt-Dez 2010; für Vergütungssätze nach § 33 Abs. 1 Nr. 3 EEG gültig bei Inbetriebnahme ab 01.01.2011 bis 30.06.2011</t>
  </si>
  <si>
    <t>Degression gegenüber IB von Okt-Dez 2010; für Vergütungssätze nach § 33 Abs. 1 Nr. 4 EEG gültig bei Inbetriebnahme ab 01.01.2011 bis 30.06.2011</t>
  </si>
  <si>
    <t xml:space="preserve"> 0-5 MW, Bonusregel W</t>
  </si>
  <si>
    <t xml:space="preserve"> 0-5 MW, Bonusregel P</t>
  </si>
  <si>
    <t xml:space="preserve"> 0-5 MW, Bonusregeln W, P</t>
  </si>
  <si>
    <t>Wärmenutzungsbonus</t>
  </si>
  <si>
    <t>W</t>
  </si>
  <si>
    <t>0-0,5 MW, Bonusregel t1</t>
  </si>
  <si>
    <t>0-0,5 MW, Bonusregel t2</t>
  </si>
  <si>
    <t>BiK52aa3K09-01</t>
  </si>
  <si>
    <r>
      <t>Biogas</t>
    </r>
    <r>
      <rPr>
        <sz val="8"/>
        <rFont val="Arial"/>
        <family val="2"/>
      </rPr>
      <t>: Gülle-Bo</t>
    </r>
    <r>
      <rPr>
        <sz val="8"/>
        <rFont val="Arial"/>
        <family val="2"/>
      </rPr>
      <t xml:space="preserve">nus 30 </t>
    </r>
    <r>
      <rPr>
        <b/>
        <sz val="8"/>
        <rFont val="Arial"/>
        <family val="2"/>
      </rPr>
      <t>M</t>
    </r>
    <r>
      <rPr>
        <sz val="8"/>
        <rFont val="Arial"/>
        <family val="2"/>
      </rPr>
      <t>asse% bis 150 kW</t>
    </r>
  </si>
  <si>
    <r>
      <t>Biogas</t>
    </r>
    <r>
      <rPr>
        <sz val="8"/>
        <rFont val="Arial"/>
        <family val="2"/>
      </rPr>
      <t xml:space="preserve">: Gülle-Bonus 30 </t>
    </r>
    <r>
      <rPr>
        <b/>
        <sz val="8"/>
        <rFont val="Arial"/>
        <family val="2"/>
      </rPr>
      <t>M</t>
    </r>
    <r>
      <rPr>
        <sz val="8"/>
        <rFont val="Arial"/>
        <family val="2"/>
      </rPr>
      <t>asse% 150 bis 500 kW</t>
    </r>
  </si>
  <si>
    <r>
      <t>Biogas</t>
    </r>
    <r>
      <rPr>
        <sz val="8"/>
        <rFont val="Arial"/>
        <family val="2"/>
      </rPr>
      <t xml:space="preserve">: </t>
    </r>
    <r>
      <rPr>
        <b/>
        <sz val="8"/>
        <rFont val="Arial"/>
        <family val="2"/>
      </rPr>
      <t>L</t>
    </r>
    <r>
      <rPr>
        <sz val="8"/>
        <rFont val="Arial"/>
        <family val="2"/>
      </rPr>
      <t>a</t>
    </r>
    <r>
      <rPr>
        <sz val="8"/>
        <rFont val="Arial"/>
        <family val="2"/>
      </rPr>
      <t>ndsch.pflege-Bonus bis 500 kW</t>
    </r>
  </si>
  <si>
    <t>WiK71aS-----02</t>
  </si>
  <si>
    <t>WiK72aS-----02</t>
  </si>
  <si>
    <t>WiK71aS-----03</t>
  </si>
  <si>
    <t>WiK72aS-----03</t>
  </si>
  <si>
    <t>WiK71aS-----04</t>
  </si>
  <si>
    <t>WiK72aS-----04</t>
  </si>
  <si>
    <t>Anfangsvergütung, Bonusregel S</t>
  </si>
  <si>
    <t>Endvergütung, Bonusregel S</t>
  </si>
  <si>
    <t>WiK101S-----04</t>
  </si>
  <si>
    <t>WiK102S-----04</t>
  </si>
  <si>
    <t>WiK101S-----05</t>
  </si>
  <si>
    <t>WiK102S-----05</t>
  </si>
  <si>
    <t>WiK101S-----06</t>
  </si>
  <si>
    <t>WiK102S-----06</t>
  </si>
  <si>
    <t>WiK101S-----07</t>
  </si>
  <si>
    <t>WiK102S-----07</t>
  </si>
  <si>
    <t>WiK101S-----08</t>
  </si>
  <si>
    <t>Inbetriebnahme 2008</t>
  </si>
  <si>
    <t>WaK62-------08</t>
  </si>
  <si>
    <t>WaK63-------08</t>
  </si>
  <si>
    <t>WaK64-------08</t>
  </si>
  <si>
    <t>WaK65-------08</t>
  </si>
  <si>
    <t>WaK66-------08</t>
  </si>
  <si>
    <t>WaK67-------08</t>
  </si>
  <si>
    <t>BiK51a------01</t>
  </si>
  <si>
    <t>Biomasse</t>
  </si>
  <si>
    <t>BiK51aa1----01</t>
  </si>
  <si>
    <t>BiK52a------01</t>
  </si>
  <si>
    <t>BiK81bK09---06</t>
  </si>
  <si>
    <t>BiK81a1bK09-06</t>
  </si>
  <si>
    <t>BiK82K09----06</t>
  </si>
  <si>
    <t>0,150-0,5 MW, Bonusregeln G, K</t>
  </si>
  <si>
    <t>0,150-0,5 MW, Bonusregeln M2, K</t>
  </si>
  <si>
    <t>0,150-0,5 MW, Bonusregeln L, K</t>
  </si>
  <si>
    <t>0,150-0,5 MW, Bonusregeln G, i, K</t>
  </si>
  <si>
    <t>0,150-0,5 MW, Bonusregeln M2, i, K</t>
  </si>
  <si>
    <t>0,150-0,5 MW, Bonusregeln L, i, K</t>
  </si>
  <si>
    <t>0,150-0,5 MW, Bonusregeln t1, a1, K</t>
  </si>
  <si>
    <t>0,5-5 MW, Bonusregeln t1, a2, K</t>
  </si>
  <si>
    <t>0,5-5 MW, Bonusregeln t1, ah, K</t>
  </si>
  <si>
    <t>0,150-0,5 MW, Bonusregeln t1, G, K</t>
  </si>
  <si>
    <t>0,150-0,5 MW, Bonusregeln t1, L, K</t>
  </si>
  <si>
    <t>0,150-0,5 MW, Bonusregeln t1, X2, K</t>
  </si>
  <si>
    <t>0,150-0,5 MW, Bonusregeln t1, G, i, K</t>
  </si>
  <si>
    <t>0,150-0,5 MW, Bonusregeln t1, L, i, K</t>
  </si>
  <si>
    <t>0,150-0,5 MW, Bonusregeln t1, X2, i, K</t>
  </si>
  <si>
    <t>0,150-0,5 MW, Bonusregeln t2, a1, K</t>
  </si>
  <si>
    <t>0,5-5 MW, Bonusregeln t2, a2, K</t>
  </si>
  <si>
    <t>0,150-0,5 MW, Bonusregeln t2, M2, K</t>
  </si>
  <si>
    <t>0,150-0,5 MW, Bonusregeln t3, M2, K</t>
  </si>
  <si>
    <t>0,150-0,5 MW, Bonusregeln t3, M2, i, K</t>
  </si>
  <si>
    <t>WaK231------09</t>
  </si>
  <si>
    <t>WaK232------09</t>
  </si>
  <si>
    <t>WaK233------09</t>
  </si>
  <si>
    <t>WaK234------09</t>
  </si>
  <si>
    <t>WaK235------09</t>
  </si>
  <si>
    <t>WaK236------09</t>
  </si>
  <si>
    <t>WaK237------09</t>
  </si>
  <si>
    <t>WaK238------09</t>
  </si>
  <si>
    <t>WaK239------09</t>
  </si>
  <si>
    <t>WaK230------09</t>
  </si>
  <si>
    <t>DeK240------09</t>
  </si>
  <si>
    <t>DeK241------09</t>
  </si>
  <si>
    <t>DeK242------09</t>
  </si>
  <si>
    <t>DeK245------09</t>
  </si>
  <si>
    <t>DeK246------09</t>
  </si>
  <si>
    <t>DeK247------09</t>
  </si>
  <si>
    <t>KlK250------09</t>
  </si>
  <si>
    <t>KlK251------09</t>
  </si>
  <si>
    <t>KlK252------09</t>
  </si>
  <si>
    <t>KlK255------09</t>
  </si>
  <si>
    <t>KlK256------09</t>
  </si>
  <si>
    <t>KlK257------09</t>
  </si>
  <si>
    <t>ct/kWh</t>
  </si>
  <si>
    <t>BiK270t1X1K-10</t>
  </si>
  <si>
    <t>BiK270t1X1i-10</t>
  </si>
  <si>
    <t>BiK270t1X1iK10</t>
  </si>
  <si>
    <t>BiK270t2----10</t>
  </si>
  <si>
    <t>BiK270t2K---10</t>
  </si>
  <si>
    <t>BiK270t2i---10</t>
  </si>
  <si>
    <t>BiK82M2KWKy-08</t>
  </si>
  <si>
    <t>BiK82M2KA3y-08</t>
  </si>
  <si>
    <t>BiK82M2K09y-08</t>
  </si>
  <si>
    <t>BiK82X2-----08</t>
  </si>
  <si>
    <t>BiK82X2KWK--08</t>
  </si>
  <si>
    <t>BiK82X2KA3--08</t>
  </si>
  <si>
    <t>BiK82X2K09--08</t>
  </si>
  <si>
    <t>BiK82X2y----08</t>
  </si>
  <si>
    <t>Ergänzung der Vergütungssätze der Vergütungskategorien für PV-Anlagen mit Inbetriebnahme Januar bis März 2015</t>
  </si>
  <si>
    <t>BiK81GbK13y-05</t>
  </si>
  <si>
    <t>BiK82GbK13y-05</t>
  </si>
  <si>
    <t>Ergänzung der Vergütungssätze der Vergütungskategorien für PV-Anlagen mit Inbetriebnahme April bis Juni 2015
Ergänzung von Vergütungskategorien Biomasse Inbetriebnahme 2006 für Erfüllung Bonusregel K erstmals 2014</t>
  </si>
  <si>
    <t>BiK82M2K14--06</t>
  </si>
  <si>
    <t>BiK81M1K14--06</t>
  </si>
  <si>
    <t>BiK81M1bK13y06</t>
  </si>
  <si>
    <t>BiK82M2bK13y06</t>
  </si>
  <si>
    <t>Ergänzung von Vergütungskategorien Biomasse Inbetriebnahme 2006 für Erfüllung Bonusregel K erstmals 2013
Ergänzung von Vergütungskategorien Biomasse Inbetriebnahme 2004 für Erfüllung Bonusregel K erstmals 2014</t>
  </si>
  <si>
    <t>BiK82M2K14y-04</t>
  </si>
  <si>
    <t>BiK81M1K14y-04</t>
  </si>
  <si>
    <t>BiK51nM1K14-01</t>
  </si>
  <si>
    <t>BiK81M1K15--07</t>
  </si>
  <si>
    <t>BiK82M2K15--07</t>
  </si>
  <si>
    <t>Anteil KWK, erstmals 2015</t>
  </si>
  <si>
    <t>Nicht-Gebäudeanlage 0 - 10 MW</t>
  </si>
  <si>
    <t>BiK81M1bK13y07</t>
  </si>
  <si>
    <t>BiK82M2bK13y07</t>
  </si>
  <si>
    <t>Ergänzung von Vergütungskategorien Biomasse Inbetriebnahme 2007 für Erfüllung Bonusregel K erstmals 2013</t>
  </si>
  <si>
    <r>
      <t xml:space="preserve">Ergänzung der Vergütungssätze für PV-Anlagen mit Inbetriebnahme Juli bis September 2015
Ergänzung von Vergütungskategorien Biomasse Inbetriebnahme 2001 für Erfüllung Bonusregel K erstmals 2014
Ergänzung von Vergütungskategorien Biomasse Inbetriebnahme 2007 für Erfüllung Bonusregel K erstmals 2015
Anpassung des Beschreibungstextes "Weitere Kriterien" für Kategorien </t>
    </r>
    <r>
      <rPr>
        <sz val="11"/>
        <color indexed="8"/>
        <rFont val="Courier New"/>
        <family val="3"/>
      </rPr>
      <t>SoK511---Sep15</t>
    </r>
    <r>
      <rPr>
        <sz val="11"/>
        <color theme="1"/>
        <rFont val="Calibri"/>
        <family val="2"/>
        <scheme val="minor"/>
      </rPr>
      <t xml:space="preserve"> und folgende</t>
    </r>
  </si>
  <si>
    <t>BiK81K14----05</t>
  </si>
  <si>
    <t>BiK82K14----05</t>
  </si>
  <si>
    <t>BiK83K14----05</t>
  </si>
  <si>
    <t>BiK83a2K13--08</t>
  </si>
  <si>
    <t>BiK82M2K13y-08</t>
  </si>
  <si>
    <t>BiK81M1K13y-08</t>
  </si>
  <si>
    <t>Inbetriebnahme ab 09/2015</t>
  </si>
  <si>
    <t>BiK81M1K15y-04</t>
  </si>
  <si>
    <t>BiK82M2K15y-04</t>
  </si>
  <si>
    <t>Gesamt-</t>
  </si>
  <si>
    <t>vergütg.</t>
  </si>
  <si>
    <t>§ 31 EEG 2012</t>
  </si>
  <si>
    <t>Grundvergütg.</t>
  </si>
  <si>
    <t>55 für Solar-Freiflächenanlagen (Ausschreibungsverfahren, Inbetriebnahme ab 01.09.2015)</t>
  </si>
  <si>
    <t>Ergänzung der Vergütungssätze für PV-Anlagen mit Inbetriebnahme Oktober bis Dezember 2015
Ergänzung von Vergütungskategorien Biomasse Inbetriebnahme 2008 für Erfüllung Bonusregel K erstmals 2013
Ergänzung von Vergütungskategorien Biomasse Inbetriebnahme 2005 für Erfüllung Bonusregel K erstmals 2014
Ergänzung von Vergütungskategorien Biomasse Inbetriebnahme 2004 für Erfüllung Bonusregel K erstmals 2015
Ergänzung von Vergütungskategorien für Solar-Freiflächen-Anlagen (Ausschreibungsmodell)
Präzisierung der Anwendungsfälle für Kategorien '-kVG-'</t>
  </si>
  <si>
    <t>SoK55-------AS</t>
  </si>
  <si>
    <t>WaK400------16</t>
  </si>
  <si>
    <t>Inbetriebnahme 2016</t>
  </si>
  <si>
    <t>WaK401------16</t>
  </si>
  <si>
    <t>WaK402------16</t>
  </si>
  <si>
    <t>WaK403------16</t>
  </si>
  <si>
    <t>WaK404------16</t>
  </si>
  <si>
    <t>WaK405------16</t>
  </si>
  <si>
    <t>WaK406------16</t>
  </si>
  <si>
    <t>WaK400M-----16</t>
  </si>
  <si>
    <t>WaK401M-----16</t>
  </si>
  <si>
    <t>WaK402M-----16</t>
  </si>
  <si>
    <t>WaK403M-----16</t>
  </si>
  <si>
    <t>WaK404M-----16</t>
  </si>
  <si>
    <t>WaK405M-----16</t>
  </si>
  <si>
    <t>WaK406M-----16</t>
  </si>
  <si>
    <t>0-0,5 MW, IB vor 01.01.2009, Modernisierung 2016</t>
  </si>
  <si>
    <t>0,5-2 MW, IB vor 01.01.2009, Modernisierung 2016</t>
  </si>
  <si>
    <t>2-5 MW, IB vor 01.01.2009, Modernisierung 2016</t>
  </si>
  <si>
    <t>5-10 MW, IB vor 01.01.2009, Modernisierung 2016</t>
  </si>
  <si>
    <t>10-20 MW, IB vor 01.01.2009, Modernisierung 2016</t>
  </si>
  <si>
    <t>20-50 MW, IB vor 01.01.2009, Modernisierung 2016</t>
  </si>
  <si>
    <t>&gt; 50 MW, IB vor 01.01.2009, Modernisierung 2016</t>
  </si>
  <si>
    <t>DeK410------16</t>
  </si>
  <si>
    <t>DeK411------16</t>
  </si>
  <si>
    <t>KlK420------16</t>
  </si>
  <si>
    <t>KlK421------16</t>
  </si>
  <si>
    <t>GrK430------16</t>
  </si>
  <si>
    <t>GrK431------16</t>
  </si>
  <si>
    <t>GrK432------16</t>
  </si>
  <si>
    <t>GeK480------16</t>
  </si>
  <si>
    <t>Inbetriebnahme 01-03/2016</t>
  </si>
  <si>
    <t>BiK440----Q116</t>
  </si>
  <si>
    <t>BiK441----Q116</t>
  </si>
  <si>
    <t>BiK442----Q116</t>
  </si>
  <si>
    <t>BiK443----Q116</t>
  </si>
  <si>
    <t>Quartal</t>
  </si>
  <si>
    <t>BiK440----Q216</t>
  </si>
  <si>
    <t>BiK441----Q216</t>
  </si>
  <si>
    <t>BiK442----Q216</t>
  </si>
  <si>
    <t>BiK443----Q216</t>
  </si>
  <si>
    <t>BiK440----Q316</t>
  </si>
  <si>
    <t>BiK441----Q316</t>
  </si>
  <si>
    <t>BiK442----Q316</t>
  </si>
  <si>
    <t>BiK443----Q316</t>
  </si>
  <si>
    <t>BiK440----Q416</t>
  </si>
  <si>
    <t>BiK441----Q416</t>
  </si>
  <si>
    <t>BiK442----Q416</t>
  </si>
  <si>
    <t>BiK443----Q416</t>
  </si>
  <si>
    <t>Inbetriebnahme 04-06/2016</t>
  </si>
  <si>
    <t>Inbetriebnahme 07-09/2016</t>
  </si>
  <si>
    <t>Inbetriebnahme 10-12/2016</t>
  </si>
  <si>
    <t>BiK450----Q116</t>
  </si>
  <si>
    <t>BiK451----Q116</t>
  </si>
  <si>
    <t>BiK450----Q216</t>
  </si>
  <si>
    <t>BiK451----Q216</t>
  </si>
  <si>
    <t>BiK450----Q316</t>
  </si>
  <si>
    <t>BiK451----Q316</t>
  </si>
  <si>
    <t>BiK450----Q416</t>
  </si>
  <si>
    <t>BiK451----Q416</t>
  </si>
  <si>
    <t>BiK460----Q116</t>
  </si>
  <si>
    <t>BiK460----Q216</t>
  </si>
  <si>
    <t>BiK460----Q316</t>
  </si>
  <si>
    <t>BiK460----Q416</t>
  </si>
  <si>
    <t>WfK500------16</t>
  </si>
  <si>
    <t>WfK501------16</t>
  </si>
  <si>
    <t>WfK502------16</t>
  </si>
  <si>
    <t>WnK490----Q116</t>
  </si>
  <si>
    <t>WnK491----Q116</t>
  </si>
  <si>
    <t>WnK490----Q216</t>
  </si>
  <si>
    <t>WnK491----Q216</t>
  </si>
  <si>
    <t>WnK490----Q316</t>
  </si>
  <si>
    <t>WnK491----Q316</t>
  </si>
  <si>
    <t>WnK490----Q416</t>
  </si>
  <si>
    <t>WnK491----Q416</t>
  </si>
  <si>
    <t>Jan16</t>
  </si>
  <si>
    <t>SgK5120--Jan16</t>
  </si>
  <si>
    <t>SgK5120--Feb16</t>
  </si>
  <si>
    <t>SgK5120--Mrz16</t>
  </si>
  <si>
    <t>SgK5120--Apr16</t>
  </si>
  <si>
    <t>SgK5120--Mai16</t>
  </si>
  <si>
    <t>SgK5120--Jun16</t>
  </si>
  <si>
    <t>SgK5120--Jul16</t>
  </si>
  <si>
    <t>SgK5120--Aug16</t>
  </si>
  <si>
    <t>SgK5120--Sep16</t>
  </si>
  <si>
    <t>SgK5120--Okt16</t>
  </si>
  <si>
    <t>SgK5120--Nov16</t>
  </si>
  <si>
    <t>SgK5120--Dez16</t>
  </si>
  <si>
    <t>SoK511---Jan16</t>
  </si>
  <si>
    <t>Inbetriebnahme 01/2016</t>
  </si>
  <si>
    <t>SoK511---Feb16</t>
  </si>
  <si>
    <t>Inbetriebnahme 02/2016</t>
  </si>
  <si>
    <t>SoK511---Mrz16</t>
  </si>
  <si>
    <t>Inbetriebnahme 03/2016</t>
  </si>
  <si>
    <t>SoK511---Apr16</t>
  </si>
  <si>
    <t>Inbetriebnahme 04/2016</t>
  </si>
  <si>
    <t>SoK511---Mai16</t>
  </si>
  <si>
    <t>Inbetriebnahme 05/2016</t>
  </si>
  <si>
    <t>SoK511---Jun16</t>
  </si>
  <si>
    <t>Inbetriebnahme 06/2016</t>
  </si>
  <si>
    <t>SoK511---Jul16</t>
  </si>
  <si>
    <t>Inbetriebnahme 07/2016</t>
  </si>
  <si>
    <t>SoK511---Aug16</t>
  </si>
  <si>
    <t>Inbetriebnahme 08/2016</t>
  </si>
  <si>
    <t>SoK511---Sep16</t>
  </si>
  <si>
    <t>Inbetriebnahme 09/2016</t>
  </si>
  <si>
    <t>SoK511---Okt16</t>
  </si>
  <si>
    <t>Inbetriebnahme 10/2016</t>
  </si>
  <si>
    <t>SoK511---Nov16</t>
  </si>
  <si>
    <t>Inbetriebnahme 11/2016</t>
  </si>
  <si>
    <t>SoK511---Dez16</t>
  </si>
  <si>
    <t>Inbetriebnahme 12/2016</t>
  </si>
  <si>
    <t>Vergütungskategorie 2014/2015/2016 ist neu nach EEG 2014</t>
  </si>
  <si>
    <t>Q1</t>
  </si>
  <si>
    <t>Q2</t>
  </si>
  <si>
    <t>Q3</t>
  </si>
  <si>
    <t>Q4</t>
  </si>
  <si>
    <t>BiK51nM1K15y03</t>
  </si>
  <si>
    <t>BiK51aM2K15y03</t>
  </si>
  <si>
    <t>Ergänzung Vergütungskategorien für 2016
Ergänzung von Vergütungskategorien Biomasse Inbetriebnahme 2003 für Erfüllung Bonusregel K erstmals 2015</t>
  </si>
  <si>
    <t>ab 5 MW inst. Leistung nur Anteil der Leistungserhöhung</t>
  </si>
  <si>
    <t>Modernisierung 2015</t>
  </si>
  <si>
    <t>Modernisierung 2016</t>
  </si>
  <si>
    <t>Ergänzung der Kategorien für § 24 EEG 2014 (6-h-Regel negativer Börsenstrompreise)</t>
  </si>
  <si>
    <t>WaK24----AV--0</t>
  </si>
  <si>
    <t>BiK24----AV--0</t>
  </si>
  <si>
    <t>DeK24----AV--0</t>
  </si>
  <si>
    <t>KlK24----AV--0</t>
  </si>
  <si>
    <t>GrK24----AV--0</t>
  </si>
  <si>
    <t>GeK24----AV--0</t>
  </si>
  <si>
    <t>WnK24----AV--0</t>
  </si>
  <si>
    <t>WfK24----AV--0</t>
  </si>
  <si>
    <t>SoK24----AV--0</t>
  </si>
  <si>
    <t>SgK24----AV--0</t>
  </si>
  <si>
    <t>BiK51nK15---03</t>
  </si>
  <si>
    <t>BiK51aK15---03</t>
  </si>
  <si>
    <t>Ergänzung der vergütungssätze für PV-Anlagen mit Inbetriebnahme Januar bis März 2016</t>
  </si>
  <si>
    <t>BiK51nM1K13-02</t>
  </si>
  <si>
    <t>BiK51aM2K13-02</t>
  </si>
  <si>
    <t>BiK51nM1K13-03</t>
  </si>
  <si>
    <t>BiK51aM2K13-03</t>
  </si>
  <si>
    <t>BiK81GbK15y-06</t>
  </si>
  <si>
    <t>BiK82GbK15y-06</t>
  </si>
  <si>
    <t>BiK83a2bK15-06</t>
  </si>
  <si>
    <t>BiK81M1K15y-07</t>
  </si>
  <si>
    <t>BiK81M1bK15y07</t>
  </si>
  <si>
    <t>BiK82M2K15y-07</t>
  </si>
  <si>
    <t>BiK82M2bK15y07</t>
  </si>
  <si>
    <t>Ergänzung von Vergütungskategorien Biomasse Inbetriebnahme 2002 für Erfüllung Bonusregel K erstmals 2013
Ergänzung von Vergütungskategorien Biomasse Inbetriebnahme 2003 für Erfüllung Bonusregel K erstmals 2013
Ergänzung von Vergütungskategorien Biomasse Inbetriebnahme 2003 für Erfüllung Bonusregel K erstmals 2015
Ergänzung von Vergütungskategorien Biomasse Inbetriebnahme 2006 für Erfüllung Bonusregel K erstmals 2015
Ergänzung von Vergütungskategorien Biomasse Inbetriebnahme 2007 für Erfüllung Bonusregel K erstmals 2015
Ergänzung der vergütungssätze für Biomasse- und Windenergie-Anlagen mit Inbetriebnahme Juli bis September 2016
Ergänzung der vergütungssätze für PV-Anlagen mit Inbetriebnahme April bis Juni 2016</t>
  </si>
  <si>
    <t>BiK81M1bK13y04</t>
  </si>
  <si>
    <t>BiK82M2bK13y04</t>
  </si>
  <si>
    <t>BiK83K15----04</t>
  </si>
  <si>
    <t>BiK51nM1K15-02</t>
  </si>
  <si>
    <t>BiK51aM2K15-02</t>
  </si>
  <si>
    <t>Ergänzung von Vergütungskategorien Biomasse Inbetriebnahme 2004 für Erfüllung Bonusregel K erstmals 2013
Ergänzung von Vergütungskategorien Biomasse Inbetriebnahme 2002 für Erfüllung Bonusregel K erstmals 2015
Ergänzung von Vergütungskategorien Biomasse Inbetriebnahme 2004 für Erfüllung Bonusregel K erstmals 2015
Korrektur der Ausfallvermarktung für die Kategorien BiK51nK13y--01, BiK51aK13y--01, BiK81GbK13y-05 und BiK82GbK13y-05</t>
  </si>
  <si>
    <t>BiK51nM1K15-01</t>
  </si>
  <si>
    <t>BiK51aM2K15-01</t>
  </si>
  <si>
    <t>hellgrau</t>
  </si>
  <si>
    <t>Vergütungskategorien, die ab dem 01.10.2016 in die Liste aufgenommen werden. Aufgrund der Einführung eines Datums zur Aufnahme neuer Kategorien, erfolgt zukünftig keine weitere Farbunterscheidung.</t>
  </si>
  <si>
    <t>vor dem 01.10.2016</t>
  </si>
  <si>
    <t>BiK51nM1K16-02</t>
  </si>
  <si>
    <t>Anteil KWK, erstmals 2016</t>
  </si>
  <si>
    <t>BiK81M1K16--06</t>
  </si>
  <si>
    <t>BiK82M2K16--06</t>
  </si>
  <si>
    <t>BiK81M1K14y-06</t>
  </si>
  <si>
    <t>BiK82M2K14y-06</t>
  </si>
  <si>
    <t>0-0,15 MW, Bonusregeln M1, y und K erstmals 2014</t>
  </si>
  <si>
    <t>0,15-0,5 MW, Bonusregeln M2, y und K erstmals 2014</t>
  </si>
  <si>
    <t>7. Kategorien für vermiedene Netznutzungsentgelte</t>
  </si>
  <si>
    <t>WaK53b-------0</t>
  </si>
  <si>
    <t>BiK53b-------0</t>
  </si>
  <si>
    <t>GaK53b-------0</t>
  </si>
  <si>
    <t>DeK53b-------0</t>
  </si>
  <si>
    <t>KlK53b-------0</t>
  </si>
  <si>
    <t>GrK53b-------0</t>
  </si>
  <si>
    <t>GeK53b-------0</t>
  </si>
  <si>
    <t>WiK53b-------0</t>
  </si>
  <si>
    <t>WnK53b-------0</t>
  </si>
  <si>
    <t>WrK53b-------0</t>
  </si>
  <si>
    <t>WfK53b-------0</t>
  </si>
  <si>
    <t>SoK53b-------0</t>
  </si>
  <si>
    <t>SgK53b-------0</t>
  </si>
  <si>
    <t>Datum an dem die jeweilige Kategorie in die vorliegende Liste aufgenommen oder geändert wurde</t>
  </si>
  <si>
    <t xml:space="preserve">Entfall oder Verzicht auf Vergütungsanspruch </t>
  </si>
  <si>
    <t>Entfall oder Verzicht auf Marktprämie</t>
  </si>
  <si>
    <t>Entfall oder Verzicht auf Vergütungsanspruch</t>
  </si>
  <si>
    <t>WaK53b--MPM-VZ</t>
  </si>
  <si>
    <t>BiK53b--MPM-VZ</t>
  </si>
  <si>
    <t>GaK53b--MPM-VZ</t>
  </si>
  <si>
    <t>DeK53b--MPM-VZ</t>
  </si>
  <si>
    <t>KlK53b--MPM-VZ</t>
  </si>
  <si>
    <t>GrK53b--MPM-VZ</t>
  </si>
  <si>
    <t>GeK53b--MPM-VZ</t>
  </si>
  <si>
    <t>WiK53b--MPM-VZ</t>
  </si>
  <si>
    <t>WnK53b--MPM-VZ</t>
  </si>
  <si>
    <t>WrK53b--MPM-VZ</t>
  </si>
  <si>
    <t>WfK53b--MPM-VZ</t>
  </si>
  <si>
    <t>SoK53b--MPM-VZ</t>
  </si>
  <si>
    <t>SgK53b--MPM-VZ</t>
  </si>
  <si>
    <t xml:space="preserve">Ergänzung einer Spalte mit Angabe des Datum zu dem eine Kategorie in die Liste aufgenommen oder geändert wurde (nur für neue Kategorien).
Ergänzung von Vergütungskategorien Biomasse Inbetriebnahme 2006 für Erfüllung Bonusregel K erstmals 2014
Ergänzung von Vergütungskategorien Biomasse Inbetriebnahme 2002 für Erfüllung Bonusregel K erstmals 2016
Ergänzung von Vergütungskategorien Biomasse Inbetriebnahme 2006 für Erfüllung Bonusregel K erstmals 2016
Ergänzung der Vergütungssätze für PV-Anlagen mit Inbetriebnahme Oktober bis Dezember 2016
Ergänzung von Kategorien für die Verringerung des anzulegenden Wertes aufgrund einer Inanspruchnahme von Regonalnachweise (nach EEG 2017)
</t>
  </si>
  <si>
    <t>Grundlegende Änderungen durch das EEG 2017</t>
  </si>
  <si>
    <t>Grundlegende Änderungen durch das EEG 2014</t>
  </si>
  <si>
    <t xml:space="preserve">Sofern der anzulegende Wert einer Anlage durch Ausschreibungen ermittelt wurde, ist es vorgesehen die entsprechende Menge über eine energieträgerspezifische Sammelkategorie zu melden. </t>
  </si>
  <si>
    <t>Freiflächenanlagen 0 - 10 MW, bezuschlagt in einem Ausschreibungsverfahren nach EEG 2014</t>
  </si>
  <si>
    <t>BiK22-------AS</t>
  </si>
  <si>
    <t>WnK22-------AS</t>
  </si>
  <si>
    <t>WfK22-------AS</t>
  </si>
  <si>
    <t>SoK22-------AS</t>
  </si>
  <si>
    <t>Inbetriebnahme ab 01/2017</t>
  </si>
  <si>
    <t>SgK22-------AS</t>
  </si>
  <si>
    <t>§ 40 Abs. 1 EEG 2017</t>
  </si>
  <si>
    <t>§ 40 Abs. 2 EEG 2017</t>
  </si>
  <si>
    <t>i. V.m. § 53</t>
  </si>
  <si>
    <t>0-0,5 MW, IB vor 01.01.2009, Modernisierung 2017</t>
  </si>
  <si>
    <t>0,5-2 MW, IB vor 01.01.2009, Modernisierung 2017</t>
  </si>
  <si>
    <t>2-5 MW, IB vor 01.01.2009, Modernisierung 2017</t>
  </si>
  <si>
    <t>5-10 MW, IB vor 01.01.2009, Modernisierung 2017</t>
  </si>
  <si>
    <t>10-20 MW, IB vor 01.01.2009, Modernisierung 2017</t>
  </si>
  <si>
    <t>20-50 MW, IB vor 01.01.2009, Modernisierung 2017</t>
  </si>
  <si>
    <t>&gt; 50 MW, IB vor 01.01.2009, Modernisierung 2017</t>
  </si>
  <si>
    <t>Modernisierung 2017</t>
  </si>
  <si>
    <t>Inbetriebnahme 2017</t>
  </si>
  <si>
    <t>WaK400------17</t>
  </si>
  <si>
    <t>WaK401------17</t>
  </si>
  <si>
    <t>WaK402------17</t>
  </si>
  <si>
    <t>WaK403------17</t>
  </si>
  <si>
    <t>WaK404------17</t>
  </si>
  <si>
    <t>WaK405------17</t>
  </si>
  <si>
    <t>WaK406------17</t>
  </si>
  <si>
    <t>WaK400M-----17</t>
  </si>
  <si>
    <t>WaK401M-----17</t>
  </si>
  <si>
    <t>WaK402M-----17</t>
  </si>
  <si>
    <t>WaK403M-----17</t>
  </si>
  <si>
    <t>WaK404M-----17</t>
  </si>
  <si>
    <t>WaK405M-----17</t>
  </si>
  <si>
    <t>WaK406M-----17</t>
  </si>
  <si>
    <t>i.V.m. § 53</t>
  </si>
  <si>
    <t>§ 41 Abs. 2</t>
  </si>
  <si>
    <t>KlK4121-----17</t>
  </si>
  <si>
    <t>KlK4122-----17</t>
  </si>
  <si>
    <t>§ 41 Abs. 1</t>
  </si>
  <si>
    <t>DeK4111-----17</t>
  </si>
  <si>
    <t>DeK4112-----17</t>
  </si>
  <si>
    <t>GrK4133-----17</t>
  </si>
  <si>
    <t>GrK4131-----17</t>
  </si>
  <si>
    <t>GrK4132-----17</t>
  </si>
  <si>
    <t>§ 41 Abs. 3</t>
  </si>
  <si>
    <t>Inbetriebnahme 01-03/2017</t>
  </si>
  <si>
    <t>Inbetriebnahme 04-06/2017</t>
  </si>
  <si>
    <t>Inbetriebnahme 07-09/2017</t>
  </si>
  <si>
    <t>Inbetriebnahme 10-12/2017</t>
  </si>
  <si>
    <t>BiK420----Q117</t>
  </si>
  <si>
    <t>BiK421----Q117</t>
  </si>
  <si>
    <t>BiK422----Q117</t>
  </si>
  <si>
    <t>BiK423----Q117</t>
  </si>
  <si>
    <t>BiK420----Q217</t>
  </si>
  <si>
    <t>BiK421----Q217</t>
  </si>
  <si>
    <t>BiK440----Q317</t>
  </si>
  <si>
    <t>BiK440----Q417</t>
  </si>
  <si>
    <t>BiK422----Q217</t>
  </si>
  <si>
    <t>BiK423----Q217</t>
  </si>
  <si>
    <t>BiK420----Q317</t>
  </si>
  <si>
    <t>BiK421----Q317</t>
  </si>
  <si>
    <t>BiK422----Q317</t>
  </si>
  <si>
    <t>BiK423----Q317</t>
  </si>
  <si>
    <t>BiK420----Q417</t>
  </si>
  <si>
    <t>BiK421----Q417</t>
  </si>
  <si>
    <t>BiK422----Q417</t>
  </si>
  <si>
    <t>BiK423----Q417</t>
  </si>
  <si>
    <t>Vergütungsberechnung für Biogasanlagen (Bioabfälle) mit Inbetriebnahme ab 01.01.2017</t>
  </si>
  <si>
    <t>BiK430----Q117</t>
  </si>
  <si>
    <t>BiK431----Q117</t>
  </si>
  <si>
    <t>BiK430----Q217</t>
  </si>
  <si>
    <t>BiK431----Q217</t>
  </si>
  <si>
    <t>BiK430----Q317</t>
  </si>
  <si>
    <t>BiK431----Q317</t>
  </si>
  <si>
    <t>BiK430----Q417</t>
  </si>
  <si>
    <t>BiK431----Q417</t>
  </si>
  <si>
    <t>Vergütungsberechnung für Biogasanlagen (Gülle) mit Inbetriebnahme ab 01.01.2017</t>
  </si>
  <si>
    <t>BiK440----Q117</t>
  </si>
  <si>
    <t>BiK440----Q217</t>
  </si>
  <si>
    <t>GeK450------17</t>
  </si>
  <si>
    <t>keine Degression bis 2021</t>
  </si>
  <si>
    <t>Vergütungsberechnung für Windenergieanlagen an Land mit Inbetriebnahme ab 01.01.2017</t>
  </si>
  <si>
    <t>Inbetriebnahme 04/2017</t>
  </si>
  <si>
    <t>Inbetriebnahme 05/2017</t>
  </si>
  <si>
    <t>Inbetriebnahme 06/2017</t>
  </si>
  <si>
    <t>Feb</t>
  </si>
  <si>
    <t>Mar</t>
  </si>
  <si>
    <t>Apr</t>
  </si>
  <si>
    <t>Mai</t>
  </si>
  <si>
    <t>Jun</t>
  </si>
  <si>
    <t>Jul</t>
  </si>
  <si>
    <t>Aug</t>
  </si>
  <si>
    <t>Sep</t>
  </si>
  <si>
    <t>Okt</t>
  </si>
  <si>
    <t>Nov</t>
  </si>
  <si>
    <t>Dez</t>
  </si>
  <si>
    <t>Inbetriebnahme 03/2017</t>
  </si>
  <si>
    <t>Inbetriebnahme 07/2017</t>
  </si>
  <si>
    <t>Inbetriebnahme 08/2017</t>
  </si>
  <si>
    <t>Inbetriebnahme 09/2017</t>
  </si>
  <si>
    <t>Inbetriebnahme 10/2017</t>
  </si>
  <si>
    <t>Inbetriebnahme 11/2017</t>
  </si>
  <si>
    <t>Inbetriebnahme 12/2017</t>
  </si>
  <si>
    <t>Jan</t>
  </si>
  <si>
    <t>WnK460---Jan17</t>
  </si>
  <si>
    <t>WnK461---Jan17</t>
  </si>
  <si>
    <t>Inbetriebnahme 02/2017</t>
  </si>
  <si>
    <t>Inbetriebnahme 01/2017</t>
  </si>
  <si>
    <t>WnK460---Feb17</t>
  </si>
  <si>
    <t>WnK461---Feb17</t>
  </si>
  <si>
    <t>WnK460---Mar17</t>
  </si>
  <si>
    <t>WnK461---Mar17</t>
  </si>
  <si>
    <t>WnK460---Apr17</t>
  </si>
  <si>
    <t>WnK461---Apr17</t>
  </si>
  <si>
    <t>WnK460---Mai17</t>
  </si>
  <si>
    <t>WnK460---Jun17</t>
  </si>
  <si>
    <t>WnK461---Jun17</t>
  </si>
  <si>
    <t>WnK460---Jul17</t>
  </si>
  <si>
    <t>WnK461---Jul17</t>
  </si>
  <si>
    <t>WnK460---Aug17</t>
  </si>
  <si>
    <t>WnK461---Aug17</t>
  </si>
  <si>
    <t>WnK460---Sep17</t>
  </si>
  <si>
    <t>WnK461---Sep17</t>
  </si>
  <si>
    <t>WnK460---Okt17</t>
  </si>
  <si>
    <t>WnK461---Okt17</t>
  </si>
  <si>
    <t>WnK460---Nov17</t>
  </si>
  <si>
    <t>WnK461---Nov17</t>
  </si>
  <si>
    <t>WnK460---Dez17</t>
  </si>
  <si>
    <t>WnK461---Dez17</t>
  </si>
  <si>
    <t>Vergütungsberechnung für Windenergieanlagen auf See mit Inbetriebnahme ab 01.01.2017</t>
  </si>
  <si>
    <t>§ 47</t>
  </si>
  <si>
    <t>WfK470------17</t>
  </si>
  <si>
    <t>WfK471------17</t>
  </si>
  <si>
    <t>WfK472------17</t>
  </si>
  <si>
    <t>§ 48 Abs. 1</t>
  </si>
  <si>
    <t>Jan17</t>
  </si>
  <si>
    <t>SoK481---Jan17</t>
  </si>
  <si>
    <t>SoK481---Feb17</t>
  </si>
  <si>
    <t>SoK481---Mrz17</t>
  </si>
  <si>
    <t>SoK481---Apr17</t>
  </si>
  <si>
    <t>SoK481---Mai17</t>
  </si>
  <si>
    <t>SoK481---Jun17</t>
  </si>
  <si>
    <t>SoK481---Jul17</t>
  </si>
  <si>
    <t>SoK481---Aug17</t>
  </si>
  <si>
    <t>SoK481---Sep17</t>
  </si>
  <si>
    <t>SoK481---Okt17</t>
  </si>
  <si>
    <t>SoK481---Nov17</t>
  </si>
  <si>
    <t>SoK481---Dez17</t>
  </si>
  <si>
    <t>§ 48 Abs. 2</t>
  </si>
  <si>
    <t>SgK4820--Jan17</t>
  </si>
  <si>
    <t>SgK4820--Mrz17</t>
  </si>
  <si>
    <t>SgK4820--Apr17</t>
  </si>
  <si>
    <t>SgK4820--Mai17</t>
  </si>
  <si>
    <t>SgK4820--Jun17</t>
  </si>
  <si>
    <t>SgK4820--Jul17</t>
  </si>
  <si>
    <t>SgK4820--Aug17</t>
  </si>
  <si>
    <t>SgK4820--Sep17</t>
  </si>
  <si>
    <t>SgK4820--Okt17</t>
  </si>
  <si>
    <t>SgK4820--Nov17</t>
  </si>
  <si>
    <t>SgK4820--Dez17</t>
  </si>
  <si>
    <t>SgK4820--Feb17</t>
  </si>
  <si>
    <t>Wind Onshore</t>
  </si>
  <si>
    <t>Wind Offshore</t>
  </si>
  <si>
    <t>Die Höhe des Flexibilitätszuschlags hängt nicht von der Strommenge ab. Daher wird diese Kategorie ohne Strommenge oder mit der Strommenge 0 kWh gemeldet.</t>
  </si>
  <si>
    <t>Verringerung auf null nach § 25 Abs. 1 Nr. 3 (Pflichtverletzung bei anteiliger DV, Viertelstundenmessung)</t>
  </si>
  <si>
    <t>WaK5214------0</t>
  </si>
  <si>
    <t>BiK5214------0</t>
  </si>
  <si>
    <t>GaK5214------0</t>
  </si>
  <si>
    <t>DeK5214------0</t>
  </si>
  <si>
    <t>KlK5214------0</t>
  </si>
  <si>
    <t>GrK5214------0</t>
  </si>
  <si>
    <t>GeK5214------0</t>
  </si>
  <si>
    <t>WiK5214------0</t>
  </si>
  <si>
    <t>WnK5214------0</t>
  </si>
  <si>
    <t>WrK5214------0</t>
  </si>
  <si>
    <t>WfK5214------0</t>
  </si>
  <si>
    <t>SoK5214------0</t>
  </si>
  <si>
    <t>SgK5214------0</t>
  </si>
  <si>
    <t>Verringerung auf null nach § 52 Abs. 1 Satz 1 Nr. 4 (Verstoß gegen Eigenversorgungsverbot)</t>
  </si>
  <si>
    <t>vor dem 01.01.2016</t>
  </si>
  <si>
    <t>§ 25 Abs. 2 Nr. 3 EEG 2014: Der anzulegende Wert nach § 23 Abs. 1 Satz 2 EEG 2014 verringert sich sich auf den Monatsmarktwert, wenn der Strom mit Strom aus mindestens einer anderen Anlage über eine gemeinsame Messeinrichtung abgerechnet wird und nicht der gesamte Strom direktvermarktet wird oder nicht für den gesamten Strom eine Einspeisevergütung in Anspruch genommen wird. Die Verringerung gilt bis zum Ablauf des Kalendermonats, der auf die Beendigung des Verstoßes folgt.
Dieser Verstoß wurde nachträglich und rückwirkend aus dem EEG gestrichen und kommt deshalb nicht zur Anwendung.</t>
  </si>
  <si>
    <t>Verringerung auf Marktwert nach § 52 Abs. 2 Satz 1 Nr. 3 (Überschreitung der Höchstdauer der Ausfallvermarktung)</t>
  </si>
  <si>
    <t>WaK52213----MW</t>
  </si>
  <si>
    <t>BiK52213----MW</t>
  </si>
  <si>
    <t>GaK52213----MW</t>
  </si>
  <si>
    <t>DeK52213----MW</t>
  </si>
  <si>
    <t>KlK52213----MW</t>
  </si>
  <si>
    <t>GrK52213----MW</t>
  </si>
  <si>
    <t>GeK52213----MW</t>
  </si>
  <si>
    <t>WiK52213----MW</t>
  </si>
  <si>
    <t>WnK52213----MW</t>
  </si>
  <si>
    <t>WrK52213----MW</t>
  </si>
  <si>
    <t>WfK52213----MW</t>
  </si>
  <si>
    <t>SoK52213----MW</t>
  </si>
  <si>
    <t>SgK52213----MW</t>
  </si>
  <si>
    <t>WaK523----20PZ</t>
  </si>
  <si>
    <t>BiK523----20PZ</t>
  </si>
  <si>
    <t>GaK523----20PZ</t>
  </si>
  <si>
    <t>DeK523----20PZ</t>
  </si>
  <si>
    <t>KlK523----20PZ</t>
  </si>
  <si>
    <t>GrK523----20PZ</t>
  </si>
  <si>
    <t>GeK523----20PZ</t>
  </si>
  <si>
    <t>WiK523----20PZ</t>
  </si>
  <si>
    <t>WnK523----20PZ</t>
  </si>
  <si>
    <t>WrK523----20PZ</t>
  </si>
  <si>
    <t>WfK523----20PZ</t>
  </si>
  <si>
    <t>SoK523----20PZ</t>
  </si>
  <si>
    <t>SgK523----20PZ</t>
  </si>
  <si>
    <t>WaK523-MPM20PZ</t>
  </si>
  <si>
    <t>BiK523-MPM20PZ</t>
  </si>
  <si>
    <t>GaK523-MPM20PZ</t>
  </si>
  <si>
    <t>DeK523-MPM20PZ</t>
  </si>
  <si>
    <t>KlK523-MPM20PZ</t>
  </si>
  <si>
    <t>GrK523-MPM20PZ</t>
  </si>
  <si>
    <t>GeK523-MPM20PZ</t>
  </si>
  <si>
    <t>WnK523-MPM20PZ</t>
  </si>
  <si>
    <t>WrK523-MPM20PZ</t>
  </si>
  <si>
    <t>WfK523-MPM20PZ</t>
  </si>
  <si>
    <t>SoK523-MPM20PZ</t>
  </si>
  <si>
    <t>SgK523-MPM20PZ</t>
  </si>
  <si>
    <t>WiK523-MPM20PZ</t>
  </si>
  <si>
    <t>WnK53a-------0</t>
  </si>
  <si>
    <t>WnK53a---MPM-0</t>
  </si>
  <si>
    <t xml:space="preserve">Gemäß § 52 Abs. 3 EEG 2017 Kürzung des anzulegenden Werts in der Einspeisevergütung um 20% (Unterlassene Registrierung oder Meldung Leistungserhöhung bei erfolgter Jahresmeldung). </t>
  </si>
  <si>
    <t xml:space="preserve">Gemäß § 52 Abs. 3 EEG 2017 Kürzung des anzulegenden Werts in der Marktprämie um 20% (Unterlassene Registrierung oder Meldung Leistungserhöhung bei erfolgter Jahresmeldung). </t>
  </si>
  <si>
    <t>WnK461---Mai17</t>
  </si>
  <si>
    <t xml:space="preserve">Gemäß § 53a EEG 2017 Verringerung der Einspeisevergütung auf null (Verzicht auf gesetzliche Vergütung und ohne Zuschlag aus einer Ausschreibung). </t>
  </si>
  <si>
    <t xml:space="preserve">Gemäß § 53a EEG 2017 Verringerung der Marktprämie auf null (Verzicht auf gesetzliche Vergütung und ohne Zuschlag aus einer Ausschreibung). </t>
  </si>
  <si>
    <t>Verringerung auf Monatsmarktwert nach § 101 Abs. 1 EEG 2014 (Überschreitung Höchstbemessungsleistung)</t>
  </si>
  <si>
    <t>Offshore, erhöhte Anfangsvergütung nach § 47 Abs. 3</t>
  </si>
  <si>
    <t>Kategorien Marktprämie nach § 33b Nr. 1 EEG 2012 mit erhöhter Managementprämie</t>
  </si>
  <si>
    <t>Grund für die Entfernung aus der Tabelle der aktuellen Vergütungskategorien: Nach Ablauf der Übergangsvorschriften des § 100 Abs. 1 Nr. 8 EEG 2014 ist seit dem 01.04.2015 die Fernsteuerbarkeit nach § 36 EEG 2014 für Bestandsanlagen verpflichtend. Damit entfällt für die Bestandsanlagen die Unterscheidung zwischen Kategorien mit regulärer und erhöhter Managementprämie. Die für die erhöhte Managementprämie vorgesehenen Kategorien sind für Datenmeldungen ab Leistungsjahr 2016 nicht mehr erforderlich und entfallen daher. Statt dessen sind die Kategorien der regulären Managementprämie zu verwenden. Sollten Bestandsanlagen nach dem Stichtag 31.03.2015 oder Neuanlagen nach der Stichtagsregelungen des § 35 EEG 2014 oder § 20 Abs. 1 Satz 2 EEG 2017 nicht fernsteuerbar sein, sind Sanktionskategorien zu verwenden.</t>
  </si>
  <si>
    <t>42 für Biomasse</t>
  </si>
  <si>
    <t>43 für Vergärung von Bioabfällen (Energieträger Biomasse)</t>
  </si>
  <si>
    <t>41 für Deponie-, Klär- und Grubengas</t>
  </si>
  <si>
    <t>44 für Vergärung von Gülle (Energieträger Biomasse)</t>
  </si>
  <si>
    <t>45 für Geothermie</t>
  </si>
  <si>
    <t>46 für Windenergie an Land</t>
  </si>
  <si>
    <t>47 für Windenergie auf See</t>
  </si>
  <si>
    <t>48 für Solare Strahlungsenergie</t>
  </si>
  <si>
    <t>Kategorien für Anlagen, die in einem Ausschreibungsverfahren bezuschlagt worden sind</t>
  </si>
  <si>
    <t xml:space="preserve">Gemäß § 53b EEG 2017 Verringerung des Zahlungsanspruchs (Strom mit Regionalnachweis). </t>
  </si>
  <si>
    <t>Gemäß § 53b EEG 2017 Strom mit Regionalnachweis, der aufgrund anderer Regelungen einen Zahlungsanspruch auf 0 ct/kWh hat.</t>
  </si>
  <si>
    <t>53b für Regionalnachweise</t>
  </si>
  <si>
    <t>22 für Bezuschlagung im Ausschreibungsverfahren</t>
  </si>
  <si>
    <t>Stellen 13-14, teils 11-14</t>
  </si>
  <si>
    <t>Ergänzung der Kategorien für das Jahr 2017
Anpassung der Beschreibungen hinsichtlich EEG 2017
Wegfall der separaten Sanktionskategorien für die erhöhte Managementprämie, da aufgrund der Pflicht zur Fernsteuerbarkeit bei Marktprämien-DV seit 01.04.2015 nicht mehr relevant.</t>
  </si>
  <si>
    <t>Im EEG 2017 sind Verringerungen des anzulegenden Wertes aufgrund von Pflichtverstößen überwiegend in § 52 und nicht mehr wie im EEG 2014 in § 25 geregelt. Sanktionskategorien, bei denen sich zwar der Paragraph, allerdings nicht der Inhalt der Regelung geändert hat, werden keine neuen Kategorien gebildet. Die Kategorien nach EEG 2014 werden unverändert auch im EEG 2017 weiter angewandt. Gleiches gilt für die Kategorien, die für die verschiedenen alternativen Vermarktungsformen vorgesehen sind.</t>
  </si>
  <si>
    <t>Die durch den Wortlaut des EEG 2014 hinsichtlich der Vermarktungskosten auftretende Degression und die Rundungseffekte wurde durch § 23 Abs. 3 EEG 2017 für die ab 01.01.2017 geltenden Vergütungskategorien geheilt, indem einheitlich 0,2 bzw. 0,4 ct/kWh vom anzulegenden Wert abgezogen werden. Hinsichtlich der Vergütung der vor dem 01.01.2017 in Betrieb genommenen Anlagen ändert sich nichts.</t>
  </si>
  <si>
    <t>Die bisherige Regelung des § 100 Abs. 4 EEG 2014 wurde im EEG 2017 für Biomasseanlagen dahingehend geändert, dass nunmehr auf das Vorliegen einer Baugenehmigung abzustellen ist. Für Biogasanlagen, die aufgrund dieser Übergangsvorschrift wie Anlagen nach dem EEG 2012 vergütet werden (rückwirkend zum 01.07.2014), enthält § 101 Abs. 1 Satz 4 EEG 2017 eine neue Vorschrift, wie die Höchstbemessungsleistung zu ermitteln ist, die ab dem 01.01.2017 auch für diese Anlagen anzuwenden ist.</t>
  </si>
  <si>
    <t>Verringerung Einspeisevergütung auf null nach § 47 Abs. 2 (Verstoß gegen Vorlage des Einsatzstofftagebuchs nach § 47 Abs. 2 Nr. 1)</t>
  </si>
  <si>
    <t>Verringerung Marktprämie auf null nach § 47 Abs. 2 (Verstoß gegen Vorlage des Einsatzstofftagebuchs nach § 47 Abs. 2 Nr. 1)</t>
  </si>
  <si>
    <t>BiK81M1bK15y05</t>
  </si>
  <si>
    <t>BiK82M2bK15y05</t>
  </si>
  <si>
    <t>BiK83a2bK15-05</t>
  </si>
  <si>
    <t>WaK24---MPM--0</t>
  </si>
  <si>
    <t>BiK24---MPM--0</t>
  </si>
  <si>
    <t>DeK24---MPM--0</t>
  </si>
  <si>
    <t>KlK24---MPM--0</t>
  </si>
  <si>
    <t>GrK24---MPM--0</t>
  </si>
  <si>
    <t>GeK24---MPM--0</t>
  </si>
  <si>
    <t>WnK24---MPM--0</t>
  </si>
  <si>
    <t>WfK24---MPM--0</t>
  </si>
  <si>
    <t>SoK24---MPM--0</t>
  </si>
  <si>
    <t>SgK24---MPM--0</t>
  </si>
  <si>
    <t>Freiflächen- und Nicht-Gebäudeanlagen</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</si>
  <si>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
Hinweis: gelöscht da irrtümlich angelegt (nur für Biomasse anwendbar)</t>
  </si>
  <si>
    <t>Ergänzung der Vergütungssätze für PV-Anlagen mit Inbetriebnahme Juli bis September 2016
Ergänzung der Vergütungssätze für Biomasse- und Windenergie-Anlagen mit Inbetriebnahme Oktober bis Dezember 2016
Ergänzung von Vergütungskategorien Biomasse Inbetriebnahme bis 2001 für Erfüllung Bonusregel K erstmals 2015</t>
  </si>
  <si>
    <t>BiK51nGK14--01</t>
  </si>
  <si>
    <t>BiK51aGK14--01</t>
  </si>
  <si>
    <t xml:space="preserve">Gemäß § 53c EEG 2017 Kürzung der Einspeisevergütung um Stromsteuerbefreiung. </t>
  </si>
  <si>
    <t xml:space="preserve">Gemäß § 53c EEG 2017 Kürzung der Marktprämie um Stromsteuerbefreiung. </t>
  </si>
  <si>
    <t>Ergänzung der Vergütungssätze für PV-Anlagen mit Inbetriebnahme Februar bis April 2017
Anpassung der Beschreibungen hinsichtlich § 52 Abs. 3 EEG 2017
Ergänzung der Kategorien zur Meldung der Stromsteuerbefreiung nach § 53c EEG 2017
Ergänzung von Vergütungskategorien Biomasse mit Inbetriebnahme 2001 für Erfüllung Bonusregel K erstmals 2014</t>
  </si>
  <si>
    <t>SgK53c-MPM-SSB</t>
  </si>
  <si>
    <t>SoK53c-MPM-SSB</t>
  </si>
  <si>
    <t>WfK53c-MPM-SSB</t>
  </si>
  <si>
    <t>WrK53c-MPM-SSB</t>
  </si>
  <si>
    <t>WnK53c-MPM-SSB</t>
  </si>
  <si>
    <t>WaK53c-MPM-SSB</t>
  </si>
  <si>
    <t>BiK53c-MPM-SSB</t>
  </si>
  <si>
    <t>GaK53c-MPM-SSB</t>
  </si>
  <si>
    <t>DeK53c-MPM-SSB</t>
  </si>
  <si>
    <t>KlK53c-MPM-SSB</t>
  </si>
  <si>
    <t>GrK53c-MPM-SSB</t>
  </si>
  <si>
    <t>GeK53c-MPM-SSB</t>
  </si>
  <si>
    <t>WiK53c-MPM-SSB</t>
  </si>
  <si>
    <t>WaK53c-----SSB</t>
  </si>
  <si>
    <t>BiK53c-----SSB</t>
  </si>
  <si>
    <t>GaK53c-----SSB</t>
  </si>
  <si>
    <t>DeK53c-----SSB</t>
  </si>
  <si>
    <t>KlK53c-----SSB</t>
  </si>
  <si>
    <t>GrK53c-----SSB</t>
  </si>
  <si>
    <t>GeK53c-----SSB</t>
  </si>
  <si>
    <t>WiK53c-----SSB</t>
  </si>
  <si>
    <t>WnK53c-----SSB</t>
  </si>
  <si>
    <t>WrK53c-----SSB</t>
  </si>
  <si>
    <t>WfK53c-----SSB</t>
  </si>
  <si>
    <t>SoK53c-----SSB</t>
  </si>
  <si>
    <t>SgK53c-----SSB</t>
  </si>
  <si>
    <t>BiK51nK16y--01</t>
  </si>
  <si>
    <t>BiK51aK16y--01</t>
  </si>
  <si>
    <t>28.02.2017
08.03.2017
16.03.2017</t>
  </si>
  <si>
    <t xml:space="preserve">Ergänzung von Vergütungskategorien Biomasse mit Inbetriebnahme 2001 für Erfüllung Bonusregel K erstmals 2016
Ergänzung von Vergütungskategorien Biomasse mit Inbetriebnahme 2002 für Erfüllung Bonusregel K erstmals 2016
Ergänzung von Vergütungskategorien Biomasse mit Inbetriebnahme 2007 für Erfüllung Bonusregel K erstmals 2017
</t>
  </si>
  <si>
    <t>BiK51nK16---02</t>
  </si>
  <si>
    <t>BiK51aK16---02</t>
  </si>
  <si>
    <t>BiK52aK16---02</t>
  </si>
  <si>
    <t>BiK53aK16---02</t>
  </si>
  <si>
    <t>BiK81a1K17--07</t>
  </si>
  <si>
    <t>Anteil KWK, erstmals 2017</t>
  </si>
  <si>
    <t>BiK82a1K17--07</t>
  </si>
  <si>
    <t>BiK81a1bK13y05</t>
  </si>
  <si>
    <t>BiK82a1bK13y05</t>
  </si>
  <si>
    <t>BiK81M1K16y-07</t>
  </si>
  <si>
    <t>BiK82M2K16y-07</t>
  </si>
  <si>
    <t>Ergänzung von Vergütungskategorien Biomasse mit Inbetriebnahme 2005 für Erfüllung Bonusregel K erstmals 2013
Ergänzung von Vergütungskategorien Biomasse mit Inbetriebnahme 2007 für Erfüllung Bonusregel K erstmals 2016</t>
  </si>
  <si>
    <t>BiK81M1K13--04</t>
  </si>
  <si>
    <t>BiK81GbK13--06</t>
  </si>
  <si>
    <t>BiK82GbK13--06</t>
  </si>
  <si>
    <t>Ergänzung von Vergütungskategorien Biomasse mit Inbetriebnahme 2006 für Erfüllung Bonusregel K erstmals 2013</t>
  </si>
  <si>
    <t>BiK83K16----04</t>
  </si>
  <si>
    <t>Ergänzung von Vergütungskategorien Biomasse mit Inbetriebnahme 2004 für Erfüllung Bonusregel K erstmals 2016</t>
  </si>
  <si>
    <t>BiK82M2K13--04</t>
  </si>
  <si>
    <r>
      <t xml:space="preserve">Ergänzung der Vergütungssätze für PV-Anlagen mit Inbetriebnahme Mai bis Juni 2017
Aufgrund rechtlicher Unsicherheiten bei der Berechnung der anzulegenden Werte für Energieträger Solar bei der Degression ist der Wert für Juli 2017 noch nicht angegeben.
Ergänzung von Vergütungskategorien Biomasse mit Inbetriebnahme 2005 für Erfüllung Bonusregel K erstmals 2016
</t>
    </r>
    <r>
      <rPr>
        <sz val="11"/>
        <color indexed="10"/>
        <rFont val="Calibri"/>
        <family val="2"/>
      </rPr>
      <t/>
    </r>
  </si>
  <si>
    <t>BiK81M1K16--05</t>
  </si>
  <si>
    <t>BiK82M2K16--05</t>
  </si>
  <si>
    <t>BiK81M1bK16y05</t>
  </si>
  <si>
    <t>BiK82M2bK16y05</t>
  </si>
  <si>
    <t>BiK51nK15---02</t>
  </si>
  <si>
    <t>BiK51aK15---02</t>
  </si>
  <si>
    <t>BiK52aK15---02</t>
  </si>
  <si>
    <t>BiK53aK15---02</t>
  </si>
  <si>
    <t>Ergänzung der Vergütungssätze für PV-Anlagen mit Inbetriebnahme Juli 2017
Ergänzung der Vergütungssätze für Windenergie-Anlagen mit Inbetriebnahme Oktober bis Dezember 2017
Ergänzung von Vergütungskategorien Biomasse mit Inbetriebnahme 2002 für Erfüllung Bonusregel K erstmals 2015
Ergänzung von Vergütungskategorien Biomasse mit Inbetriebnahme 2005 für Erfüllung Bonusregel K erstmals 2016</t>
  </si>
  <si>
    <r>
      <t>Ergänzung der Vergütungssätze für PV-Anlagen mit Inbetriebnahme August bis Oktober 2017</t>
    </r>
    <r>
      <rPr>
        <sz val="11"/>
        <color indexed="10"/>
        <rFont val="Calibri"/>
        <family val="2"/>
      </rPr>
      <t/>
    </r>
  </si>
  <si>
    <t xml:space="preserve">Ergänzung von Vergütungskategorien Biomasse mit Inbetriebnahme 2008 für Erfüllung Bonusregel K erstmals 2016
</t>
  </si>
  <si>
    <t>BiK81M1K16y-08</t>
  </si>
  <si>
    <t>BiK82M2K16y-08</t>
  </si>
  <si>
    <t>BiK81M1bK17y05</t>
  </si>
  <si>
    <t>BiK82M2bK17y05</t>
  </si>
  <si>
    <t xml:space="preserve">Ergänzung von Vergütungskategorien Biomasse mit Inbetriebnahme 2005 für Erfüllung Bonusregel K erstmals 2017
</t>
  </si>
  <si>
    <t>Inbetriebnahme 2018</t>
  </si>
  <si>
    <t>Modernisierung 2018</t>
  </si>
  <si>
    <t>0-0,5 MW, IB vor 01.01.2009, Modernisierung 2018</t>
  </si>
  <si>
    <t>0,5-2 MW, IB vor 01.01.2009, Modernisierung 2018</t>
  </si>
  <si>
    <t>2-5 MW, IB vor 01.01.2009, Modernisierung 2018</t>
  </si>
  <si>
    <t>5-10 MW, IB vor 01.01.2009, Modernisierung 2018</t>
  </si>
  <si>
    <t>10-20 MW, IB vor 01.01.2009, Modernisierung 2018</t>
  </si>
  <si>
    <t>20-50 MW, IB vor 01.01.2009, Modernisierung 2018</t>
  </si>
  <si>
    <t>&gt; 50 MW, IB vor 01.01.2009, Modernisierung 2018</t>
  </si>
  <si>
    <t>Inbetriebnahme 01-03/2018</t>
  </si>
  <si>
    <t>Inbetriebnahme 04-06/2018</t>
  </si>
  <si>
    <t>Inbetriebnahme 07-09/2018</t>
  </si>
  <si>
    <t>Inbetriebnahme 10-12/2018</t>
  </si>
  <si>
    <t>BiK420----Q118</t>
  </si>
  <si>
    <t>BiK421----Q118</t>
  </si>
  <si>
    <t>BiK422----Q118</t>
  </si>
  <si>
    <t>BiK423----Q118</t>
  </si>
  <si>
    <t>BiK420----Q218</t>
  </si>
  <si>
    <t>BiK421----Q218</t>
  </si>
  <si>
    <t>BiK422----Q218</t>
  </si>
  <si>
    <t>BiK423----Q218</t>
  </si>
  <si>
    <t>BiK420----Q318</t>
  </si>
  <si>
    <t>BiK421----Q318</t>
  </si>
  <si>
    <t>BiK422----Q318</t>
  </si>
  <si>
    <t>BiK423----Q318</t>
  </si>
  <si>
    <t>BiK420----Q418</t>
  </si>
  <si>
    <t>BiK421----Q418</t>
  </si>
  <si>
    <t>BiK422----Q418</t>
  </si>
  <si>
    <t>BiK423----Q418</t>
  </si>
  <si>
    <t>BiK440----Q118</t>
  </si>
  <si>
    <t>BiK440----Q218</t>
  </si>
  <si>
    <t>BiK440----Q318</t>
  </si>
  <si>
    <t>BiK440----Q418</t>
  </si>
  <si>
    <t>DeK4111-----18</t>
  </si>
  <si>
    <t>DeK4112-----18</t>
  </si>
  <si>
    <t>GrK4131-----18</t>
  </si>
  <si>
    <t>GrK4132-----18</t>
  </si>
  <si>
    <t>GrK4133-----18</t>
  </si>
  <si>
    <t>GeK450------18</t>
  </si>
  <si>
    <t>KlK4122-----18</t>
  </si>
  <si>
    <t>KlK4121-----18</t>
  </si>
  <si>
    <t>WnK460---Jan18</t>
  </si>
  <si>
    <t>WnK461---Jan18</t>
  </si>
  <si>
    <t>WnK460---Feb18</t>
  </si>
  <si>
    <t>WnK461---Feb18</t>
  </si>
  <si>
    <t>WnK460---Apr18</t>
  </si>
  <si>
    <t>WnK461---Apr18</t>
  </si>
  <si>
    <t>WnK460---Mai18</t>
  </si>
  <si>
    <t>WnK461---Mai18</t>
  </si>
  <si>
    <t>WnK460---Jun18</t>
  </si>
  <si>
    <t>WnK461---Jun18</t>
  </si>
  <si>
    <t>WnK460---Jul18</t>
  </si>
  <si>
    <t>WnK461---Jul18</t>
  </si>
  <si>
    <t>WnK460---Aug18</t>
  </si>
  <si>
    <t>WnK461---Aug18</t>
  </si>
  <si>
    <t>WnK460---Sep18</t>
  </si>
  <si>
    <t>WnK461---Sep18</t>
  </si>
  <si>
    <t>WnK460---Okt18</t>
  </si>
  <si>
    <t>WnK461---Okt18</t>
  </si>
  <si>
    <t>WnK460---Nov18</t>
  </si>
  <si>
    <t>WnK461---Nov18</t>
  </si>
  <si>
    <t>WnK460---Dez18</t>
  </si>
  <si>
    <t>WnK461---Dez18</t>
  </si>
  <si>
    <t>Inbetriebnahme 01/2018</t>
  </si>
  <si>
    <t>Inbetriebnahme 02/2018</t>
  </si>
  <si>
    <t>Inbetriebnahme 03/2018</t>
  </si>
  <si>
    <t>Inbetriebnahme 04/2018</t>
  </si>
  <si>
    <t>Inbetriebnahme 05/2018</t>
  </si>
  <si>
    <t>Inbetriebnahme 06/2018</t>
  </si>
  <si>
    <t>Inbetriebnahme 07/2018</t>
  </si>
  <si>
    <t>Inbetriebnahme 08/2018</t>
  </si>
  <si>
    <t>Inbetriebnahme 09/2018</t>
  </si>
  <si>
    <t>Inbetriebnahme 10/2018</t>
  </si>
  <si>
    <t>Inbetriebnahme 11/2018</t>
  </si>
  <si>
    <t>Inbetriebnahme 12/2018</t>
  </si>
  <si>
    <t>WfK471------18</t>
  </si>
  <si>
    <t>WfK472------18</t>
  </si>
  <si>
    <t>WfK470------18</t>
  </si>
  <si>
    <t>SoK481---Jan18</t>
  </si>
  <si>
    <t>SoK481---Feb18</t>
  </si>
  <si>
    <t>SoK481---Mrz18</t>
  </si>
  <si>
    <t>SoK481---Apr18</t>
  </si>
  <si>
    <t>SoK481---Mai18</t>
  </si>
  <si>
    <t>SoK481---Jun18</t>
  </si>
  <si>
    <t>SoK481---Jul18</t>
  </si>
  <si>
    <t>SoK481---Aug18</t>
  </si>
  <si>
    <t>SoK481---Sep18</t>
  </si>
  <si>
    <t>SoK481---Okt18</t>
  </si>
  <si>
    <t>SoK481---Nov18</t>
  </si>
  <si>
    <t>SoK481---Dez18</t>
  </si>
  <si>
    <t>Jan18</t>
  </si>
  <si>
    <t>SgK4820--Jan18</t>
  </si>
  <si>
    <t>SgK4820--Feb18</t>
  </si>
  <si>
    <t>SgK4820--Mrz18</t>
  </si>
  <si>
    <t>SgK4820--Apr18</t>
  </si>
  <si>
    <t>SgK4820--Mai18</t>
  </si>
  <si>
    <t>SgK4820--Jun18</t>
  </si>
  <si>
    <t>SgK4820--Jul18</t>
  </si>
  <si>
    <t>SgK4820--Aug18</t>
  </si>
  <si>
    <t>SgK4820--Sep18</t>
  </si>
  <si>
    <t>SgK4820--Okt18</t>
  </si>
  <si>
    <t>SgK4820--Nov18</t>
  </si>
  <si>
    <t>SgK4820--Dez18</t>
  </si>
  <si>
    <t>WnK460---Mrz18</t>
  </si>
  <si>
    <t>WnK461---Mrz18</t>
  </si>
  <si>
    <t>WaK401------18</t>
  </si>
  <si>
    <t>WaK402------18</t>
  </si>
  <si>
    <t>WaK403------18</t>
  </si>
  <si>
    <t>WaK404------18</t>
  </si>
  <si>
    <t>WaK405------18</t>
  </si>
  <si>
    <t>WaK406------18</t>
  </si>
  <si>
    <t>WaK400M-----18</t>
  </si>
  <si>
    <t>WaK401M-----18</t>
  </si>
  <si>
    <t>WaK402M-----18</t>
  </si>
  <si>
    <t>WaK403M-----18</t>
  </si>
  <si>
    <t>WaK404M-----18</t>
  </si>
  <si>
    <t>WaK405M-----18</t>
  </si>
  <si>
    <t>WaK406M-----18</t>
  </si>
  <si>
    <t>WaK400------18</t>
  </si>
  <si>
    <t>Mrz</t>
  </si>
  <si>
    <t>BiK430----Q118</t>
  </si>
  <si>
    <t>BiK431----Q118</t>
  </si>
  <si>
    <t>BiK430----Q218</t>
  </si>
  <si>
    <t>BiK431----Q218</t>
  </si>
  <si>
    <t>BiK430----Q318</t>
  </si>
  <si>
    <t>BiK431----Q318</t>
  </si>
  <si>
    <t>BiK430----Q418</t>
  </si>
  <si>
    <t>BiK431----Q418</t>
  </si>
  <si>
    <t>Ergänzung der Kategorien für das Jahr 2018</t>
  </si>
  <si>
    <t>Korrektur Formelberechnungen bei PV-Kategorien für Juli 2017</t>
  </si>
  <si>
    <r>
      <t>Ergänzung der Vergütungssätze für PV-Anlagen mit Inbetriebnahme November bis Dezember 2017</t>
    </r>
    <r>
      <rPr>
        <sz val="11"/>
        <color indexed="10"/>
        <rFont val="Calibri"/>
        <family val="2"/>
      </rPr>
      <t/>
    </r>
  </si>
  <si>
    <t>Mieterstromzuschlag</t>
  </si>
  <si>
    <t>Ergänzung der Vergütungssätze für Windanlagen an Land mit Inbetriebnahme April bis Juni 2018</t>
  </si>
  <si>
    <t xml:space="preserve">Zusätzliche Spalte für den Mieterstromzuschlag </t>
  </si>
  <si>
    <t>Ergänzung der anzulegenden Werte für den Mieterstromzuschlag für PV-Gebäudeanlagen ab Inbetriebnahme 25.07.2017</t>
  </si>
  <si>
    <t>SgK523-MSZ20PZ</t>
  </si>
  <si>
    <t xml:space="preserve">Gemäß § 52 Abs. 3 EEG 2017 Kürzung des anzulegenden Werts für den Mieterstromzuschlag um 20% (Unterlassene Registrierung oder Meldung Leistungserhöhung bei erfolgter Jahresmeldung). </t>
  </si>
  <si>
    <t xml:space="preserve">SgK23b1----MSZ </t>
  </si>
  <si>
    <r>
      <t xml:space="preserve">Mieterstrom-zuschlag
ct/kWh
</t>
    </r>
    <r>
      <rPr>
        <sz val="10"/>
        <rFont val="Arial"/>
        <family val="2"/>
      </rPr>
      <t>(nur bei Solar/Gebäude mit Inbetriebnahme ab 25.07.2017)</t>
    </r>
  </si>
  <si>
    <t>Ergänzung Mieterstromkategorie SgK23b1----MSZ</t>
  </si>
  <si>
    <t>Zusätzliche Kategorie für die Sanktionierung des Mieterstromzuschlags nach § 52 Abs. 3 EEG</t>
  </si>
  <si>
    <t>Die Strommengen, die in unmittelbar räumlicher Zusammenhang ohne Durchleitung durch ein Netz an einen Letztverbraucher geliefert werden, fließen weder in die Berechnung der der vNNE, noch in den bundesweiten Belastungsausgleich ein.</t>
  </si>
  <si>
    <t>23b für Mieterstrom</t>
  </si>
  <si>
    <t>BiK51aM2K14-01</t>
  </si>
  <si>
    <t>Ergänzung der Vergütungssätze für PV-Anlagen mit Inbetriebnahme Februar bis April 2018</t>
  </si>
  <si>
    <t>BiK84K14----05</t>
  </si>
  <si>
    <t>BiK81M1K17y-07</t>
  </si>
  <si>
    <t>BiK83a2K17--07</t>
  </si>
  <si>
    <t>BiK82M2K17y-07</t>
  </si>
  <si>
    <t>BiK51nM1K15y01</t>
  </si>
  <si>
    <t>BiK51aM2K15y01</t>
  </si>
  <si>
    <t>BiK52aa2K15-01</t>
  </si>
  <si>
    <t>BiK51nM1K17y03</t>
  </si>
  <si>
    <t>BiK51aM2K17y03</t>
  </si>
  <si>
    <t>BiK52aa2K17-03</t>
  </si>
  <si>
    <t>BiK82M2K17--07</t>
  </si>
  <si>
    <t>BiK81M1K17--07</t>
  </si>
  <si>
    <t>BiK81GbK17--07</t>
  </si>
  <si>
    <t>BiK51nM1K17-01</t>
  </si>
  <si>
    <t>BiK81M1bK16y07</t>
  </si>
  <si>
    <t>BiK82M2bK16y07</t>
  </si>
  <si>
    <t>BiK83a2bK16-07</t>
  </si>
  <si>
    <t xml:space="preserve">Ergänzung Kategorien BiK84K14----05, BiK81M1K17y-07, BiK82M2K17y-07, BiK83a2K17--07
Ergänzung der Vergütungssätze für Windanlagen an Land mit Inbetriebnahme Juli bis September 2018
Ergänzung Kategorien BiK51nM1K15y01, BiK51aM2K15y01, BiK52aa2K15-01
Ergänzung Kategorien BiK51nM1K17y03, BiK51aM2K17y03, BiK52aa2K17-03
Ergänzung Kategorien BiK81M1K17--07, BiK82M2K17--07
Korrektur der Boni-Zulässigkeit (Spalten V bis AG) für ausgewählte Biomasse-Kategorien (informell, kein Einfluss auf Vergütungsanspruch)
Ergänzung Kategorien BiK51nM1K17-01, BiK81M1bK16y07, BiK82M2bK16y07, BiK83a2bK16-07, BiK81GbK17--07
Ergänzung der Vergütungssätze für PV-Anlagen mit Inbetriebnahme Mai bis Juli 2018
</t>
  </si>
  <si>
    <t>BiK83K17----04</t>
  </si>
  <si>
    <t>BiK51nM1K14y02</t>
  </si>
  <si>
    <t>BiK51aM2K14y02</t>
  </si>
  <si>
    <t>BiK81M1K17y-08</t>
  </si>
  <si>
    <t>BiK82M2K17y-08</t>
  </si>
  <si>
    <t>BiK81GbK17y-06</t>
  </si>
  <si>
    <t>BiK82GbK17y-06</t>
  </si>
  <si>
    <t>Ergänzung Kategorien BiK83K17----04, BiK51nM1K14y02, BiK51aM2K14y02, BiK51nM1K14y02, BiK51aM2K14y02, BiK81M1K17y-08, BiK82M2K17y-08, BiK81GbK17y-06, BiK82GbK17y-06
Ergänzung der Vergütungssätze für PV-Anlagen mit Inbetriebnahme August bis Oktober 2018
Ergänzung der Vergütungssätze für Windanlagen an Land mit Inbetriebnahme Oktober bis Dezember 2018</t>
  </si>
  <si>
    <t>WaK400------19</t>
  </si>
  <si>
    <t>WaK401------19</t>
  </si>
  <si>
    <t>WaK402------19</t>
  </si>
  <si>
    <t>WaK403------19</t>
  </si>
  <si>
    <t>WaK404------19</t>
  </si>
  <si>
    <t>WaK405------19</t>
  </si>
  <si>
    <t>WaK406------19</t>
  </si>
  <si>
    <t>WaK400M-----19</t>
  </si>
  <si>
    <t>WaK401M-----19</t>
  </si>
  <si>
    <t>WaK402M-----19</t>
  </si>
  <si>
    <t>WaK403M-----19</t>
  </si>
  <si>
    <t>WaK404M-----19</t>
  </si>
  <si>
    <t>WaK405M-----19</t>
  </si>
  <si>
    <t>WaK406M-----19</t>
  </si>
  <si>
    <t>BiK420----Q119</t>
  </si>
  <si>
    <t>BiK421----Q119</t>
  </si>
  <si>
    <t>BiK422----Q119</t>
  </si>
  <si>
    <t>BiK423----Q119</t>
  </si>
  <si>
    <t>BiK420----Q219</t>
  </si>
  <si>
    <t>BiK421----Q219</t>
  </si>
  <si>
    <t>BiK422----Q219</t>
  </si>
  <si>
    <t>BiK423----Q219</t>
  </si>
  <si>
    <t>BiK420----Q319</t>
  </si>
  <si>
    <t>BiK421----Q319</t>
  </si>
  <si>
    <t>BiK422----Q319</t>
  </si>
  <si>
    <t>BiK423----Q319</t>
  </si>
  <si>
    <t>BiK420----Q419</t>
  </si>
  <si>
    <t>BiK421----Q419</t>
  </si>
  <si>
    <t>BiK422----Q419</t>
  </si>
  <si>
    <t>BiK423----Q419</t>
  </si>
  <si>
    <t>BiK430----Q119</t>
  </si>
  <si>
    <t>BiK431----Q119</t>
  </si>
  <si>
    <t>BiK430----Q219</t>
  </si>
  <si>
    <t>BiK431----Q219</t>
  </si>
  <si>
    <t>BiK430----Q319</t>
  </si>
  <si>
    <t>BiK431----Q319</t>
  </si>
  <si>
    <t>BiK430----Q419</t>
  </si>
  <si>
    <t>BiK431----Q419</t>
  </si>
  <si>
    <t>Ergänzung der Kategorien für das Jahr 2019</t>
  </si>
  <si>
    <t>BiK440----Q119</t>
  </si>
  <si>
    <t>BiK440----Q219</t>
  </si>
  <si>
    <t>BiK440----Q319</t>
  </si>
  <si>
    <t>BiK440----Q419</t>
  </si>
  <si>
    <t>Inbetriebnahme 01-03/2019</t>
  </si>
  <si>
    <t>Inbetriebnahme 04-06/2019</t>
  </si>
  <si>
    <t>Inbetriebnahme 07-09/2019</t>
  </si>
  <si>
    <t>Inbetriebnahme 10-12/2019</t>
  </si>
  <si>
    <t>Inbetriebnahme 2019</t>
  </si>
  <si>
    <t>DeK4111-----19</t>
  </si>
  <si>
    <t>DeK4112-----19</t>
  </si>
  <si>
    <t>KlK4121-----19</t>
  </si>
  <si>
    <t>KlK4122-----19</t>
  </si>
  <si>
    <t>GrK4131-----19</t>
  </si>
  <si>
    <t>GrK4132-----19</t>
  </si>
  <si>
    <t>GrK4133-----19</t>
  </si>
  <si>
    <t>GeK450------19</t>
  </si>
  <si>
    <t>WfK470------19</t>
  </si>
  <si>
    <t>WfK472------19</t>
  </si>
  <si>
    <t>WfK471------19</t>
  </si>
  <si>
    <t>Onshore - Vergütung nach § 46b i.V.m. § 36h EEG 2017</t>
  </si>
  <si>
    <t>WnK46b------19</t>
  </si>
  <si>
    <t>SoK481---Jan19</t>
  </si>
  <si>
    <t>SoK481---Feb19</t>
  </si>
  <si>
    <t>SoK481---Mrz19</t>
  </si>
  <si>
    <t>SoK481---Apr19</t>
  </si>
  <si>
    <t>SoK481---Mai19</t>
  </si>
  <si>
    <t>SoK481---Jun19</t>
  </si>
  <si>
    <t>SoK481---Jul19</t>
  </si>
  <si>
    <t>SoK481---Aug19</t>
  </si>
  <si>
    <t>SoK481---Sep19</t>
  </si>
  <si>
    <t>SoK481---Okt19</t>
  </si>
  <si>
    <t>SoK481---Nov19</t>
  </si>
  <si>
    <t>SoK481---Dez19</t>
  </si>
  <si>
    <t>Inbetriebnahme 01/2019</t>
  </si>
  <si>
    <t>Inbetriebnahme 02/2019</t>
  </si>
  <si>
    <t>Inbetriebnahme 03/2019</t>
  </si>
  <si>
    <t>Inbetriebnahme 04/2019</t>
  </si>
  <si>
    <t>Inbetriebnahme 05/2019</t>
  </si>
  <si>
    <t>Inbetriebnahme 06/2019</t>
  </si>
  <si>
    <t>Inbetriebnahme 07/2019</t>
  </si>
  <si>
    <t>Inbetriebnahme 08/2019</t>
  </si>
  <si>
    <t>Inbetriebnahme 09/2019</t>
  </si>
  <si>
    <t>Inbetriebnahme 10/2019</t>
  </si>
  <si>
    <t>Inbetriebnahme 11/2019</t>
  </si>
  <si>
    <t>Inbetriebnahme 12/2019</t>
  </si>
  <si>
    <t>Jan19</t>
  </si>
  <si>
    <t>SgK4820--Jan19</t>
  </si>
  <si>
    <t>SgK4820--Feb19</t>
  </si>
  <si>
    <t>SgK4820--Mrz19</t>
  </si>
  <si>
    <t>SgK4820--Apr19</t>
  </si>
  <si>
    <t>SgK4820--Mai19</t>
  </si>
  <si>
    <t>SgK4820--Jun19</t>
  </si>
  <si>
    <t>SgK4820--Jul19</t>
  </si>
  <si>
    <t>SgK4820--Aug19</t>
  </si>
  <si>
    <t>SgK4820--Sep19</t>
  </si>
  <si>
    <t>SgK4820--Okt19</t>
  </si>
  <si>
    <t>SgK4820--Nov19</t>
  </si>
  <si>
    <t>SgK4820--Dez19</t>
  </si>
  <si>
    <t>20-50 MW, IB vor 01.01.2009, Modernisierung 2019</t>
  </si>
  <si>
    <t>0-0,5 MW, IB vor 01.01.2009, Modernisierung 2019</t>
  </si>
  <si>
    <t>0,5-2 MW, IB vor 01.01.2009, Modernisierung 2019</t>
  </si>
  <si>
    <t>2-5 MW, IB vor 01.01.2009, Modernisierung 2019</t>
  </si>
  <si>
    <t>5-10 MW, IB vor 01.01.2009, Modernisierung 2019</t>
  </si>
  <si>
    <t>10-20 MW, IB vor 01.01.2009, Modernisierung 2019</t>
  </si>
  <si>
    <t>&gt; 50 MW, IB vor 01.01.2009, Modernisierung 2019</t>
  </si>
  <si>
    <t>Modernisierung 2019</t>
  </si>
  <si>
    <t>BiK81a1bK18-07</t>
  </si>
  <si>
    <t>Anteil KWK, erstmals 2018</t>
  </si>
  <si>
    <t>BiK82a1bK18-07</t>
  </si>
  <si>
    <t>AW (Anzuleg. Wert)</t>
  </si>
  <si>
    <t>EV (Einspeisevergütung i.V.m. § 37)</t>
  </si>
  <si>
    <t>§ 48 EEG 2014</t>
  </si>
  <si>
    <t>EV (Einspeisevergütung i.V.m. § 53)</t>
  </si>
  <si>
    <t>§ 45 EEG 2017</t>
  </si>
  <si>
    <t>SgK-kVG--SV--0</t>
  </si>
  <si>
    <t>Ergänzung Kategorien BiK81a1bK18-07, BiK82a1bK18-07
Ergänzung der Vergütungssätze für PV-Anlagen mit Inbetriebnahme November 2018 bis Dezember 2018
Ergänzung Selbstverbrauchskatgorie Sgk-kVG--SV--0 bei Verzicht auf Vergütungsanspruch</t>
  </si>
  <si>
    <t>Vergärung von Gülle in Anlagen bis maximal 150 kW installierter Leistung</t>
  </si>
  <si>
    <t>Verringerung auf Marktwert nach § 25 Abs. 2 Nr. 1 und Nr. 1b (Verstoß gegen technische Vorgaben)</t>
  </si>
  <si>
    <t>Vergärung von Gülle in Anlagen bis maximal 75 bzw. mit IB nach dem 20.12. bis maximal 150 kW installierter Leistung</t>
  </si>
  <si>
    <t>BiK81M1K18--05</t>
  </si>
  <si>
    <t>BiK82M2K18--05</t>
  </si>
  <si>
    <t>BiK83a2K18--05</t>
  </si>
  <si>
    <t>Ergänzung der Kategorien BiK81M1K18--05, BiK82M2K18--05 und BiK83a2K18--05
Ergänzung der Vergütungssätze für PV-Anlagen mit Inbetriebnahme Januar 2019 bis April 2019</t>
  </si>
  <si>
    <t>Anpassung der Beschreibungen hinsichtlich § 52 Abs. 3 EEG 2017 (nach EnSaG)</t>
  </si>
  <si>
    <t>BiK83a2K17--05</t>
  </si>
  <si>
    <t>BiK81M1K17--05</t>
  </si>
  <si>
    <t>BiK82M2K17--05</t>
  </si>
  <si>
    <t>Ergänzung der Kategorien BiK81M1K17--05, BiK82M2K17--05 und BiK83a2K17--05
Ergänzung der Vergütungssätze für PV-Anlagen mit Inbetriebnahme April 2019 bis Juli 2019</t>
  </si>
  <si>
    <t>Ergänzung der Kategorien BiK83a2bK13-07</t>
  </si>
  <si>
    <t>BiK83a2bK13-07</t>
  </si>
  <si>
    <t>BiK81M1K18--06</t>
  </si>
  <si>
    <t>BiK82M2K18--06</t>
  </si>
  <si>
    <t>Ergänzung der Kategorien BiK81M1K18--06 und BiK82M2K18--06
Änderung des Mieterstromzuschlags für die Leistungsstufe ab 40 kW für Inbetriebnahme im Januar 2019 durch Artikel 5 Nr. 15 Buchstabe c des Gesetzes zur Beschleunigung des Energieleitungsbaus (NABEG 2.0)
Ergänzung der Vergütungssätze für PV-Anlagen mit Inbetriebnahme August 2019 bis Oktober 2019</t>
  </si>
  <si>
    <t>Datum an dem der Anspruch auf Förderung beendet ist.</t>
  </si>
  <si>
    <t>WaK400------20</t>
  </si>
  <si>
    <t>WaK401------20</t>
  </si>
  <si>
    <t>WaK402------20</t>
  </si>
  <si>
    <t>WaK403------20</t>
  </si>
  <si>
    <t>WaK404------20</t>
  </si>
  <si>
    <t>WaK405------20</t>
  </si>
  <si>
    <t>WaK406------20</t>
  </si>
  <si>
    <t>WaK400M-----20</t>
  </si>
  <si>
    <t>WaK401M-----20</t>
  </si>
  <si>
    <t>WaK402M-----20</t>
  </si>
  <si>
    <t>WaK403M-----20</t>
  </si>
  <si>
    <t>WaK404M-----20</t>
  </si>
  <si>
    <t>WaK405M-----20</t>
  </si>
  <si>
    <t>WaK406M-----20</t>
  </si>
  <si>
    <t>Inbetriebnahme 2020</t>
  </si>
  <si>
    <t>Modernisierung 2020</t>
  </si>
  <si>
    <t>0-0,5 MW, IB vor 01.01.2009, Modernisierung 2020</t>
  </si>
  <si>
    <t>0,5-2 MW, IB vor 01.01.2009, Modernisierung 2020</t>
  </si>
  <si>
    <t>2-5 MW, IB vor 01.01.2009, Modernisierung 2020</t>
  </si>
  <si>
    <t>5-10 MW, IB vor 01.01.2009, Modernisierung 2020</t>
  </si>
  <si>
    <t>10-20 MW, IB vor 01.01.2009, Modernisierung 2020</t>
  </si>
  <si>
    <t>20-50 MW, IB vor 01.01.2009, Modernisierung 2020</t>
  </si>
  <si>
    <t>&gt; 50 MW, IB vor 01.01.2009, Modernisierung 2020</t>
  </si>
  <si>
    <t>Inbetriebnahme 01-03/2020</t>
  </si>
  <si>
    <t>Inbetriebnahme 04-06/2020</t>
  </si>
  <si>
    <t>Inbetriebnahme 07-09/2020</t>
  </si>
  <si>
    <t>Inbetriebnahme 10-12/2020</t>
  </si>
  <si>
    <t>BiK420----Q120</t>
  </si>
  <si>
    <t>BiK421----Q120</t>
  </si>
  <si>
    <t>BiK422----Q120</t>
  </si>
  <si>
    <t>BiK423----Q120</t>
  </si>
  <si>
    <t>BiK420----Q220</t>
  </si>
  <si>
    <t>BiK421----Q220</t>
  </si>
  <si>
    <t>BiK422----Q220</t>
  </si>
  <si>
    <t>BiK423----Q220</t>
  </si>
  <si>
    <t>BiK420----Q320</t>
  </si>
  <si>
    <t>BiK421----Q320</t>
  </si>
  <si>
    <t>BiK422----Q320</t>
  </si>
  <si>
    <t>BiK423----Q320</t>
  </si>
  <si>
    <t>BiK420----Q420</t>
  </si>
  <si>
    <t>BiK421----Q420</t>
  </si>
  <si>
    <t>BiK422----Q420</t>
  </si>
  <si>
    <t>BiK423----Q420</t>
  </si>
  <si>
    <t>BiK430----Q120</t>
  </si>
  <si>
    <t>BiK431----Q120</t>
  </si>
  <si>
    <t>BiK430----Q220</t>
  </si>
  <si>
    <t>BiK431----Q220</t>
  </si>
  <si>
    <t>BiK430----Q320</t>
  </si>
  <si>
    <t>BiK431----Q320</t>
  </si>
  <si>
    <t>BiK430----Q420</t>
  </si>
  <si>
    <t>BiK431----Q420</t>
  </si>
  <si>
    <t>BiK440----Q120</t>
  </si>
  <si>
    <t>BiK440----Q220</t>
  </si>
  <si>
    <t>BiK440----Q320</t>
  </si>
  <si>
    <t>BiK440----Q420</t>
  </si>
  <si>
    <t>DeK4111-----20</t>
  </si>
  <si>
    <t>DeK4112-----20</t>
  </si>
  <si>
    <t>KlK4121-----20</t>
  </si>
  <si>
    <t>KlK4122-----20</t>
  </si>
  <si>
    <t>GrK4131-----20</t>
  </si>
  <si>
    <t>GrK4132-----20</t>
  </si>
  <si>
    <t>GrK4133-----20</t>
  </si>
  <si>
    <t>GeK450------20</t>
  </si>
  <si>
    <t>WnK46b------20</t>
  </si>
  <si>
    <t>WfK470------20</t>
  </si>
  <si>
    <t>WfK472------20</t>
  </si>
  <si>
    <t>SoK481---Jan20</t>
  </si>
  <si>
    <t>Inbetriebnahme 01/2020</t>
  </si>
  <si>
    <t>SoK481---Feb20</t>
  </si>
  <si>
    <t>Inbetriebnahme 02/2020</t>
  </si>
  <si>
    <t>SoK481---Mrz20</t>
  </si>
  <si>
    <t>Inbetriebnahme 03/2020</t>
  </si>
  <si>
    <t>SoK481---Apr20</t>
  </si>
  <si>
    <t>Inbetriebnahme 04/2020</t>
  </si>
  <si>
    <t>SoK481---Mai20</t>
  </si>
  <si>
    <t>Inbetriebnahme 05/2020</t>
  </si>
  <si>
    <t>SoK481---Jun20</t>
  </si>
  <si>
    <t>Inbetriebnahme 06/2020</t>
  </si>
  <si>
    <t>SoK481---Jul20</t>
  </si>
  <si>
    <t>Inbetriebnahme 07/2020</t>
  </si>
  <si>
    <t>SoK481---Aug20</t>
  </si>
  <si>
    <t>Inbetriebnahme 08/2020</t>
  </si>
  <si>
    <t>SoK481---Sep20</t>
  </si>
  <si>
    <t>Inbetriebnahme 09/2020</t>
  </si>
  <si>
    <t>SoK481---Okt20</t>
  </si>
  <si>
    <t>Inbetriebnahme 10/2020</t>
  </si>
  <si>
    <t>SoK481---Nov20</t>
  </si>
  <si>
    <t>Inbetriebnahme 11/2020</t>
  </si>
  <si>
    <t>SoK481---Dez20</t>
  </si>
  <si>
    <t>Inbetriebnahme 12/2020</t>
  </si>
  <si>
    <t>Jan20</t>
  </si>
  <si>
    <t>SgK4820--Jan20</t>
  </si>
  <si>
    <t>SgK4820--Feb20</t>
  </si>
  <si>
    <t>SgK4820--Mrz20</t>
  </si>
  <si>
    <t>SgK4820--Apr20</t>
  </si>
  <si>
    <t>SgK4820--Mai20</t>
  </si>
  <si>
    <t>SgK4820--Jun20</t>
  </si>
  <si>
    <t>SgK4820--Jul20</t>
  </si>
  <si>
    <t>SgK4820--Aug20</t>
  </si>
  <si>
    <t>SgK4820--Sep20</t>
  </si>
  <si>
    <t>SgK4820--Okt20</t>
  </si>
  <si>
    <t>SgK4820--Nov20</t>
  </si>
  <si>
    <t>SgK4820--Dez20</t>
  </si>
  <si>
    <t>gem. § 3 EEG 2014 keine Degression</t>
  </si>
  <si>
    <t>Grundvergütung</t>
  </si>
  <si>
    <t>Einfügen Tabellenblatt 'Kategorien Auslauf d. Förderung'
Löschung von Wasserkraftkategorien &gt; 5 MW, Zubau Inbetriebnahme 08-12/2004 wegen Auslaufen der Förderung
Ergänzung der Kategorien für das Jahr 2020</t>
  </si>
  <si>
    <t>BiK81GbK19y-07</t>
  </si>
  <si>
    <t>Anteil KWK, erstmals 2019</t>
  </si>
  <si>
    <t>BiK82GbK19y-07</t>
  </si>
  <si>
    <t>BiK83a2bK19-07</t>
  </si>
  <si>
    <t>Ergänzung der Vergütungssätze für PV-Anlagen mit Inbetriebnahme November 2019 bis Januar 2020</t>
  </si>
  <si>
    <t>Ergänzung der Kategorien BBiK81GbK19y-07, BiK82GbK19y-07 und BiK83a2bK19-07
Ergänzung der Vergütungssätze für PV-Anlagen mit Inbetriebnahme Februar 2020 bis April 2020</t>
  </si>
  <si>
    <t>BiK81M1K17--08</t>
  </si>
  <si>
    <t>BiK82M2K17--08</t>
  </si>
  <si>
    <t>BiK81M1K19y-06</t>
  </si>
  <si>
    <t>BiK82M2K19y-06</t>
  </si>
  <si>
    <t>BiK83a2K19--06</t>
  </si>
  <si>
    <t>BiK82M2bK19y06</t>
  </si>
  <si>
    <t>BiK81M1K20--04</t>
  </si>
  <si>
    <t>Anteil KWK, erstmals 2020</t>
  </si>
  <si>
    <t>BiK81GbK15--06</t>
  </si>
  <si>
    <t>BiK82GbK15--06</t>
  </si>
  <si>
    <t>BiK81GbK18y-06</t>
  </si>
  <si>
    <t>BiK82GbK18y-06</t>
  </si>
  <si>
    <t>BiK81M1bK19y06</t>
  </si>
  <si>
    <t>BiK82K17----05</t>
  </si>
  <si>
    <t>BiK81K17----05</t>
  </si>
  <si>
    <t>BiK81M1K17y-05</t>
  </si>
  <si>
    <t>BiK82M2K17y-05</t>
  </si>
  <si>
    <t>Ergänzung Vergütungskategorien BiK81M1K17--08 und BiK82M2K17--08
Ergänzung Vergütungskategorien BiK81M1K19y-06, BiK82M2K19y-06, BiK83a2K19--06 und BiK82M2bK19y06
Ergänzung Vergütungskategorie BiK81M1K20--04
Ergänzung Vergütungskategorien BiK81GbK18y-06, BiK82GbK18y-06, BiK81GbK15--06, BiK82GbK15--06, BiK81M1bK19y06, BiK81K17----05, BiK81M1K17y-05, BiK82K17----05 und BiK82M2K17y-05
Korrektur Beschreibung "Weitere Kriterien" für BiK82M2bK19y06
Ergänzung der Vergütungssätze für PV-Anlagen mit Inbetriebnahme Mai 2020 bis Juli 2020</t>
  </si>
  <si>
    <t>Ergänzung der Vergütungssätze für PV-Anlagen mit Inbetriebnahme August 2020 bis Oktober 2020</t>
  </si>
  <si>
    <t>Ergänzung der Vergütungssätze für PV-Anlagen mit Inbetriebnahme November 2020 bis Dezember 2020</t>
  </si>
  <si>
    <t>§ 40 Abs. 2 EEG 2021</t>
  </si>
  <si>
    <t>Inbetriebnahme 2021</t>
  </si>
  <si>
    <t>Modernisierung 2021</t>
  </si>
  <si>
    <t>0-0,5 MW, IB vor 01.01.2009, Modernisierung 2021</t>
  </si>
  <si>
    <t>0,5-2 MW, IB vor 01.01.2009, Modernisierung 2021</t>
  </si>
  <si>
    <t>2-5 MW, IB vor 01.01.2009, Modernisierung 2021</t>
  </si>
  <si>
    <t>5-10 MW, IB vor 01.01.2009, Modernisierung 2021</t>
  </si>
  <si>
    <t>10-20 MW, IB vor 01.01.2009, Modernisierung 2021</t>
  </si>
  <si>
    <t>20-50 MW, IB vor 01.01.2009, Modernisierung 2021</t>
  </si>
  <si>
    <t>&gt; 50 MW, IB vor 01.01.2009, Modernisierung 2021</t>
  </si>
  <si>
    <t>WaK400------21</t>
  </si>
  <si>
    <t>WaK401------21</t>
  </si>
  <si>
    <t>WaK402------21</t>
  </si>
  <si>
    <t>WaK403------21</t>
  </si>
  <si>
    <t>WaK404------21</t>
  </si>
  <si>
    <t>WaK405------21</t>
  </si>
  <si>
    <t>WaK406------21</t>
  </si>
  <si>
    <t>WaK400M-----21</t>
  </si>
  <si>
    <t>WaK401M-----21</t>
  </si>
  <si>
    <t>WaK402M-----21</t>
  </si>
  <si>
    <t>WaK403M-----21</t>
  </si>
  <si>
    <t>WaK404M-----21</t>
  </si>
  <si>
    <t>WaK405M-----21</t>
  </si>
  <si>
    <t>WaK406M-----21</t>
  </si>
  <si>
    <t>DeK4111-----21</t>
  </si>
  <si>
    <t>DeK4112-----21</t>
  </si>
  <si>
    <t>KlK4121-----21</t>
  </si>
  <si>
    <t>KlK4122-----21</t>
  </si>
  <si>
    <t>GrK4131-----21</t>
  </si>
  <si>
    <t>GrK4132-----21</t>
  </si>
  <si>
    <t>GrK4133-----21</t>
  </si>
  <si>
    <t>GeK450------21</t>
  </si>
  <si>
    <t>SoK481---Jan21</t>
  </si>
  <si>
    <t>SoK481---Feb21</t>
  </si>
  <si>
    <t>SoK481---Mrz21</t>
  </si>
  <si>
    <t>SoK481---Apr21</t>
  </si>
  <si>
    <t>SoK481---Mai21</t>
  </si>
  <si>
    <t>SoK481---Jun21</t>
  </si>
  <si>
    <t>SoK481---Jul21</t>
  </si>
  <si>
    <t>SoK481---Aug21</t>
  </si>
  <si>
    <t>SoK481---Sep21</t>
  </si>
  <si>
    <t>SoK481---Okt21</t>
  </si>
  <si>
    <t>SoK481---Nov21</t>
  </si>
  <si>
    <t>SoK481---Dez21</t>
  </si>
  <si>
    <t>Inbetriebnahme 01/2021</t>
  </si>
  <si>
    <t>Inbetriebnahme 02/2021</t>
  </si>
  <si>
    <t>Inbetriebnahme 03/2021</t>
  </si>
  <si>
    <t>Inbetriebnahme 04/2021</t>
  </si>
  <si>
    <t>Inbetriebnahme 05/2021</t>
  </si>
  <si>
    <t>Inbetriebnahme 06/2021</t>
  </si>
  <si>
    <t>Inbetriebnahme 07/2021</t>
  </si>
  <si>
    <t>Inbetriebnahme 08/2021</t>
  </si>
  <si>
    <t>Inbetriebnahme 09/2021</t>
  </si>
  <si>
    <t>Inbetriebnahme 10/2021</t>
  </si>
  <si>
    <t>Inbetriebnahme 11/2021</t>
  </si>
  <si>
    <t>Inbetriebnahme 12/2021</t>
  </si>
  <si>
    <t>Jan21</t>
  </si>
  <si>
    <t>&gt; 5 MW, Zubau. Anspruch auf Förderung gem. § 12 Abs. 3 Satz 2 EEG 2004 zum 31.12.2020 beendet</t>
  </si>
  <si>
    <t>&gt; 5 MW, Zubau. Anspruch auf Förderung gem. § 12 Abs. 3 Satz 2 EEG 2004 zum 31.12.2019 beendet</t>
  </si>
  <si>
    <t>Onshore - Vergütung nach § 46 i.V.m. § 36h EEG 2021</t>
  </si>
  <si>
    <t>8. Zuordnung von EEG-Anlagen zu den Vergütungskategorien</t>
  </si>
  <si>
    <t>SgK485-------0</t>
  </si>
  <si>
    <t>SgK485--MPM--0</t>
  </si>
  <si>
    <t>BiK420------21</t>
  </si>
  <si>
    <t>BiK440------21</t>
  </si>
  <si>
    <t>BiK430------21</t>
  </si>
  <si>
    <t>BiK431------21</t>
  </si>
  <si>
    <t>(1) Bei ausgeförderten Anlagen, die keine Windenergieanlagen an Land sind und eine installierte Leistung von bis zu 100 Kilowatt haben, ist als anzulegender Wert</t>
  </si>
  <si>
    <t>für die Höhe des Anspruchs auf die Einspeisevergütung nach § 19 Absatz 1 Nummer 2 in Verbindung mit § 21 Absatz 1 Nummer 3 der Jahresmarktwert anzuwenden,</t>
  </si>
  <si>
    <t>(2) Bei ausgeförderten Windenergieanlagen an Land, bei denen der ursprüngliche Anspruch auf Zahlung nach der für die Anlage maßgeblichen Fassung des</t>
  </si>
  <si>
    <t>WaK23b1----aMW</t>
  </si>
  <si>
    <t>BiK23b1----aMW</t>
  </si>
  <si>
    <t>GeK23b1----aMW</t>
  </si>
  <si>
    <t>SoK23b1----aMW</t>
  </si>
  <si>
    <t>WaK1007-----01</t>
  </si>
  <si>
    <t>GaK23b1----aMW</t>
  </si>
  <si>
    <t>ausgeförderte Anlagen, 0 bis 100 kW</t>
  </si>
  <si>
    <t>WiK23b1----aMW</t>
  </si>
  <si>
    <t>WiK23b22---eMW</t>
  </si>
  <si>
    <t>WiK23b21----AS</t>
  </si>
  <si>
    <t>BiK101100---01</t>
  </si>
  <si>
    <t>BiK101100MPM01</t>
  </si>
  <si>
    <t xml:space="preserve">Die Vergütung berechnet sich für Anlagen mit erstmaliger Inanspruchnahme bis zum 31.12.2020 aus der installierten Leistung der Anlage multipliziert mit dem Faktor 40 €/kW und Jahr. </t>
  </si>
  <si>
    <t xml:space="preserve">Die Vergütung berechnet sich für Anlagen mit Inanspruchnahme erstmals nach dem 01.01.2021 aus der installierten Leistung der Anlage multipliziert mit dem Faktor 65 €/kW und Jahr. </t>
  </si>
  <si>
    <t>Kategorien Anschlussförderung für Altholz-Anlagen nach  § 101 EEG 2021</t>
  </si>
  <si>
    <t xml:space="preserve">2. im Kalenderjahr 2023 80 Prozent des anzulegenden Werts für den in der jeweiligen Anlage erzeugten Strom nach dem Erneuerbare-Energien-Gesetz in der für die Anlage bisher maßgeblichen Fassung, </t>
  </si>
  <si>
    <t xml:space="preserve">3. im Kalenderjahr 2024 60 Prozent des anzulegenden Werts für den in der jeweiligen Anlage erzeugten Strom nach dem Erneuerbare-Energien-Gesetz in der für die Anlage bisher maßgeblichen Fassung, </t>
  </si>
  <si>
    <t>4. im Kalenderjahr 2025 40 Prozent des anzulegenden Werts für den in der jeweiligen Anlage erzeugten Strom nach dem Erneuerbare-Energien-Gesetz in der für die Anlage bisher maßgeblichen Fassung,</t>
  </si>
  <si>
    <t>Kategorien für ausgeförderte Anlagen gem. § 3 Nr. 3a) EEG 2021</t>
  </si>
  <si>
    <t>WaK1007-----02</t>
  </si>
  <si>
    <t>WaK1007-----03</t>
  </si>
  <si>
    <t>WaK1007-010704</t>
  </si>
  <si>
    <t>WaK1007-081204</t>
  </si>
  <si>
    <t>WaK1007-----06</t>
  </si>
  <si>
    <t>WaK1007-----05</t>
  </si>
  <si>
    <t>WaK1007-----07</t>
  </si>
  <si>
    <t>WaK1007-----08</t>
  </si>
  <si>
    <t>WaK1007-----09</t>
  </si>
  <si>
    <t>WaK1007M----09</t>
  </si>
  <si>
    <t>WaK1007-----10</t>
  </si>
  <si>
    <t>WaK1007M----10</t>
  </si>
  <si>
    <t>WaK1007-----11</t>
  </si>
  <si>
    <t>WaK1007M----11</t>
  </si>
  <si>
    <t>WaK1007BS---12</t>
  </si>
  <si>
    <t>WaK1007-----12</t>
  </si>
  <si>
    <t>WaK1007BS---13</t>
  </si>
  <si>
    <t>WaK1007-----13</t>
  </si>
  <si>
    <t>Inbetriebnahme 01-07/2014</t>
  </si>
  <si>
    <t>WaK1007-010714</t>
  </si>
  <si>
    <t>WaK1007-081214</t>
  </si>
  <si>
    <t>WaK1007-----15</t>
  </si>
  <si>
    <t>WaK1007-----16</t>
  </si>
  <si>
    <t>WaK1007-----17</t>
  </si>
  <si>
    <t>WaK1007-----18</t>
  </si>
  <si>
    <t>WaK1007-----19</t>
  </si>
  <si>
    <t>0-0,5 MW, Anlage nur bis 500 kW installierte Leistung</t>
  </si>
  <si>
    <t>0-0,5 MW, Anlage nur bis 500 kW installierte Leistung, Modernisierung</t>
  </si>
  <si>
    <t xml:space="preserve">0-0,5 MW, Anlage &lt; 5 MW, Modernisierung </t>
  </si>
  <si>
    <t>0-0,5 MW, Anlage &lt; 5 MW</t>
  </si>
  <si>
    <t>0-0,5 MW, Anlage nur bis 500 kW installierte Leistung mit IB vor 01.08.2004, Modernisierung</t>
  </si>
  <si>
    <t>0-0,5 MW, Anlage 0,5-5 MW, wasserrechtliche Genehmigung vor 01.01.2012 (Bestandsschutz nach § 66 Abs. 5 EEG 2012)</t>
  </si>
  <si>
    <t>0-0,5 MW, Anlage &lt; 5 MW mit IB vor 01.08.2004, Modernisierung (Bestandsschutz nach § 66 Abs. 14 EEG 2012)</t>
  </si>
  <si>
    <t>WaK1007-----20</t>
  </si>
  <si>
    <t>0,5-2 MW, Anlage &lt; 5 MW</t>
  </si>
  <si>
    <t xml:space="preserve">0,5-5 MW, Anlage &lt; 5 MW, Modernisierung </t>
  </si>
  <si>
    <t>0,5-5 MW, Anlage &lt; 5 MW mit IB vor 01.08.2004, Modernisierung (Bestandsschutz nach § 66 Abs. 14 EEG 2012)</t>
  </si>
  <si>
    <t>0,5-5 MW, Bonusregel K erstmals 2009</t>
  </si>
  <si>
    <t>0,5-5 MW, Bonusregel K erstmals 2010</t>
  </si>
  <si>
    <t>0,5-5 MW, Bonusregel K erstmals 2011</t>
  </si>
  <si>
    <t>0,5-5 MW, Bonusregel K erstmals 2012</t>
  </si>
  <si>
    <t>0,5-5 MW, Bonusregeln a2, K erstmals 2009</t>
  </si>
  <si>
    <t>0,5-5 MW, Bonusregeln a2, K erstmals 2010</t>
  </si>
  <si>
    <t>0,5-5 MW, Bonusregeln a2, K erstmals 2011</t>
  </si>
  <si>
    <t>0,5-5 MW, Bonusregeln a2, K erstmals 2012</t>
  </si>
  <si>
    <t>0,5-5 MW, Bonusregel a3</t>
  </si>
  <si>
    <t>0,5-5 MW, Bonusregeln a3, K erstmals 2009</t>
  </si>
  <si>
    <t>0,5-5 MW, Bonusregeln a3, K erstmals 2010</t>
  </si>
  <si>
    <t>0,5-5 MW, Bonusregeln a3, K erstmals 2011</t>
  </si>
  <si>
    <t>0,5-5 MW, Bonusregeln a3, K erstmals 2012</t>
  </si>
  <si>
    <t>0,5-5 MW, Bonusregel K erstmals 2013</t>
  </si>
  <si>
    <t>0,5-5 MW, Bonusregeln a2, K erstmals 2013</t>
  </si>
  <si>
    <t xml:space="preserve">0,5-5 MW, Bonusregeln a2, K erstmals 2014                  </t>
  </si>
  <si>
    <t>0,5-5 MW, Bonusregeln a2, K erstmals 2015</t>
  </si>
  <si>
    <t>0,5-5 MW, Bonusregel K erstmals 2015</t>
  </si>
  <si>
    <t>0,5-5 MW, Bonusregel K erstmals 2016</t>
  </si>
  <si>
    <t>0,5-5 MW, Bonusregeln a2, K erstmals 2017</t>
  </si>
  <si>
    <t>0,5-5 MW, Bonusregel KWK</t>
  </si>
  <si>
    <t>0,5-5 MW, Bonusregel a2 und KWK</t>
  </si>
  <si>
    <t>0,5-5 MW, Bonusregeln a2 und K erstmals 2009</t>
  </si>
  <si>
    <t>0,5-5 MW, Bonusregeln a2 und K erstmals 2010</t>
  </si>
  <si>
    <t>0,5-5 MW, Bonusregeln a2 und K erstmals 2011</t>
  </si>
  <si>
    <t>0,5-5 MW, Bonusregeln a2 und K erstmals 2012</t>
  </si>
  <si>
    <t>0,5-5 MW, Bonusregel a3 und KWK</t>
  </si>
  <si>
    <t>0,5-5 MW, Bonusregeln a3 und K erstmals 2009</t>
  </si>
  <si>
    <t>0,5-5 MW, Bonusregeln a3 und K erstmals 2010</t>
  </si>
  <si>
    <t>0,5-5 MW, Bonusregeln a3 und K erstmals 2011</t>
  </si>
  <si>
    <t>0,5-5 MW, Bonusregeln a3 und K erstmals 2012</t>
  </si>
  <si>
    <t>0,5-5 MW, Bonusregel b</t>
  </si>
  <si>
    <t>0,5-5 MW, Bonusregel b und KWK</t>
  </si>
  <si>
    <t>0,5-5 MW, Bonusregel b und K erstmals 2009</t>
  </si>
  <si>
    <t>0,5-5 MW, Bonusregel b und K erstmals 2010</t>
  </si>
  <si>
    <t>0,5-5 MW, Bonusregel b und K erstmals 2011</t>
  </si>
  <si>
    <t>0,5-5 MW, Bonusregel b und K erstmals 2012</t>
  </si>
  <si>
    <t>0,5-5 MW, Bonusregeln a2 und b</t>
  </si>
  <si>
    <t>0,5-5 MW, Bonusregeln a2, b und KWK</t>
  </si>
  <si>
    <t>0,5-5 MW, Bonusregeln a2, b und K erstmals 2009</t>
  </si>
  <si>
    <t>0,5-5 MW, Bonusregeln a2, b und K erstmals 2010</t>
  </si>
  <si>
    <t>0,5-5 MW, Bonusregeln a2, b und K erstmals 2011</t>
  </si>
  <si>
    <t>0,5-5 MW, Bonusregeln a2, b und K erstmals 2012</t>
  </si>
  <si>
    <t>0,5-5 MW, Bonusregeln a3 und b</t>
  </si>
  <si>
    <t>0,5-5 MW, Bonusregeln a3, b und KWK</t>
  </si>
  <si>
    <t>0,5-5 MW, Bonusregeln a3, b und K erstmals 2009</t>
  </si>
  <si>
    <t>0,5-5 MW, Bonusregeln a3, b und K erstmals 2010</t>
  </si>
  <si>
    <t>0,5-5 MW, Bonusregeln a3, b und K erstmals 2011</t>
  </si>
  <si>
    <t>0,5-5 MW, Bonusregeln a3, b und K erstmals 2012</t>
  </si>
  <si>
    <t>0,5-5 MW, Bonusregeln a2, b und K erstmals 2013</t>
  </si>
  <si>
    <t>0,5-5 MW, Bonusregel K erstmals 2017</t>
  </si>
  <si>
    <t>0,5-5 MW, Bonusregeln a2 und K erstmals 2013</t>
  </si>
  <si>
    <t>0,5-5 MW, Bonusregel K erstmals 2014</t>
  </si>
  <si>
    <t>0,5-5 MW, Bonusregeln a2, b und K erstmals 2015</t>
  </si>
  <si>
    <t>0,5-5 MW, Bonusregeln a2 und K erstmals 2017</t>
  </si>
  <si>
    <t>0,5-5 MW, Bonusregeln a2 und K erstmals 2018</t>
  </si>
  <si>
    <t>0-0,15 MW, Bonusregel G</t>
  </si>
  <si>
    <t>0-0,15 MW, Bonusregeln G und K wenn Anlage 3 erfüllt</t>
  </si>
  <si>
    <t>0-0,15 MW, Bonusregeln G und K erstmals 2009</t>
  </si>
  <si>
    <t>0-0,15 MW, Bonusregeln G und K erstmals 2010</t>
  </si>
  <si>
    <t>0-0,15 MW, Bonusregeln G und K erstmals 2011</t>
  </si>
  <si>
    <t>0-0,15 MW, Bonusregeln G und K erstmals 2012</t>
  </si>
  <si>
    <t>0-0,15 MW, Bonusregel G, y</t>
  </si>
  <si>
    <t>0-0,15 MW, Bonusregeln G, y und K wenn Anlage 3 erfüllt</t>
  </si>
  <si>
    <t>0-0,15 MW, Bonusregeln G, y und K erstmals 2009</t>
  </si>
  <si>
    <t>0-0,15 MW, Bonusregeln G, y und K erstmals 2010</t>
  </si>
  <si>
    <t>0-0,15 MW, Bonusregeln G, y und K erstmals 2011</t>
  </si>
  <si>
    <t>0-0,15 MW, Bonusregeln G, y und K erstmals 2012</t>
  </si>
  <si>
    <t>0-0,15 MW, Bonusregel M1</t>
  </si>
  <si>
    <t>0-0,15 MW, Bonusregeln M1 und K wenn Anlage 3 erfüllt</t>
  </si>
  <si>
    <t>0-0,15 MW, Bonusregeln M1 und K erstmals 2009</t>
  </si>
  <si>
    <t>0-0,15 MW, Bonusregeln M1 und K erstmals 2010</t>
  </si>
  <si>
    <t>0-0,15 MW, Bonusregeln M1 und K erstmals 2011</t>
  </si>
  <si>
    <t>0-0,15 MW, Bonusregeln M1 und K erstmals 2012</t>
  </si>
  <si>
    <t>0-0,15 MW, Bonusregeln M1, y</t>
  </si>
  <si>
    <t>0-0,15 MW, Bonusregeln M1, y und K wenn Anlage 3 erfüllt</t>
  </si>
  <si>
    <t>0-0,15 MW, Bonusregeln M1, y und K erstmals 2009</t>
  </si>
  <si>
    <t>0-0,15 MW, Bonusregeln M1, y und K erstmals 2010</t>
  </si>
  <si>
    <t>0-0,15 MW, Bonusregeln M1, y und K erstmals 2011</t>
  </si>
  <si>
    <t>0-0,15 MW, Bonusregeln M1, y und K erstmals 2012</t>
  </si>
  <si>
    <t>0-0,15 MW, Bonusregel L</t>
  </si>
  <si>
    <t>0-0,15 MW, Bonusregeln L und K wenn Anlage 3 erfüllt</t>
  </si>
  <si>
    <t>0-0,15 MW, Bonusregeln L und K erstmals 2009</t>
  </si>
  <si>
    <t>0-0,15 MW, Bonusregeln L und K erstmals 2010</t>
  </si>
  <si>
    <t>0-0,15 MW, Bonusregeln L und K erstmals 2011</t>
  </si>
  <si>
    <t>0-0,15 MW, Bonusregeln L und K erstmals 2012</t>
  </si>
  <si>
    <t>0-0,15 MW, Bonusregeln L, y</t>
  </si>
  <si>
    <t>0-0,15 MW, Bonusregeln L, y und K wenn Anlage 3 erfüllt</t>
  </si>
  <si>
    <t>0-0,15 MW, Bonusregeln L, y und K erstmals 2009</t>
  </si>
  <si>
    <t>0-0,15 MW, Bonusregeln L, y und K erstmals 2010</t>
  </si>
  <si>
    <t>0-0,15 MW, Bonusregeln L, y und K erstmals 2011</t>
  </si>
  <si>
    <t>0-0,15 MW, Bonusregeln L, y und K erstmals 2012</t>
  </si>
  <si>
    <t>0-0,15 MW, Bonusregel X1</t>
  </si>
  <si>
    <t>0-0,15 MW, Bonusregeln X1 und K wenn Anlage 3 erfüllt</t>
  </si>
  <si>
    <t>0-0,15 MW, Bonusregeln X1 und K erstmals 2009</t>
  </si>
  <si>
    <t>0-0,15 MW, Bonusregeln X1 und K erstmals 2010</t>
  </si>
  <si>
    <t>0-0,15 MW, Bonusregeln X1 und K erstmals 2011</t>
  </si>
  <si>
    <t>0-0,15 MW, Bonusregeln X1 und K erstmals 2012</t>
  </si>
  <si>
    <t>0-0,15 MW, Bonusregeln X1, y</t>
  </si>
  <si>
    <t>0-0,15 MW, Bonusregeln X1, y und K wenn Anlage 3 erfüllt</t>
  </si>
  <si>
    <t>0-0,15 MW, Bonusregeln X1, y und K erstmals 2009</t>
  </si>
  <si>
    <t>0-0,15 MW, Bonusregeln X1, y und K erstmals 2010</t>
  </si>
  <si>
    <t>0-0,15 MW, Bonusregeln X1, y und K erstmals 2011</t>
  </si>
  <si>
    <t>0-0,15 MW, Bonusregeln X1, y und K erstmals 2012</t>
  </si>
  <si>
    <t>0-0,15 MW, Bonusregeln M1 und K erstmals 2013</t>
  </si>
  <si>
    <t>0-0,15 MW, Bonusregeln M1, y und K erstmals 2013</t>
  </si>
  <si>
    <t>0-0,15 MW, Bonusregeln X1, y und K erstmals 2013</t>
  </si>
  <si>
    <t>0-0,15 MW, Bonusregeln G und K erstmals 2014</t>
  </si>
  <si>
    <t>0-0,15 MW, Bonusregeln M1 und K erstmals 2015</t>
  </si>
  <si>
    <t>0-0,15 MW, Bonusregeln M1, y und K erstmals 2015</t>
  </si>
  <si>
    <t>0-0,15 MW, Bonusregeln M1 und K erstmals 2017</t>
  </si>
  <si>
    <t>0-0,15 MW, Bonusregel M1, K erstmals 2016</t>
  </si>
  <si>
    <t>0-0,15 MW, Bonusregeln G, y</t>
  </si>
  <si>
    <t>0-0,15 MW, Bonusregeln M1, y und K erstmals 2017</t>
  </si>
  <si>
    <t>0-0,15 MW, Bonusregel KWK</t>
  </si>
  <si>
    <t>0-0,15 MW, Bonusregel K wenn Anlage 3 erfüllt</t>
  </si>
  <si>
    <t>0-0,15 MW, Bonusregel K erstmals 2009</t>
  </si>
  <si>
    <t>0-0,15 MW, Bonusregel K erstmals 2010</t>
  </si>
  <si>
    <t>0-0,15 MW, Bonusregel K erstmals 2011</t>
  </si>
  <si>
    <t>0-0,15 MW, Bonusregel K erstmals 2012</t>
  </si>
  <si>
    <t>0-0,15 MW, Bonusregel y</t>
  </si>
  <si>
    <t>0-0,15 MW, Bonusregeln y und KWK</t>
  </si>
  <si>
    <t>0-0,15 MW, Bonusregeln y und K wenn Anlage 3 erfüllt</t>
  </si>
  <si>
    <t>0-0,15 MW, Bonusregeln y und K erstmals 2009</t>
  </si>
  <si>
    <t>0-0,15 MW, Bonusregeln y und K erstmals 2010</t>
  </si>
  <si>
    <t>0-0,15 MW, Bonusregeln y und K erstmals 2011</t>
  </si>
  <si>
    <t>0-0,15 MW, Bonusregeln y und K erstmals 2012</t>
  </si>
  <si>
    <t>0-0,15 MW, Bonusregel a1</t>
  </si>
  <si>
    <t>0-0,15 MW, Bonusregeln a1 und KWK</t>
  </si>
  <si>
    <t>0-0,15 MW, Bonusregeln a1 und K wenn Anlage 3 erfüllt</t>
  </si>
  <si>
    <t>0-0,15 MW, Bonusregeln a1, K erstmals 2009</t>
  </si>
  <si>
    <t>0-0,15 MW, Bonusregeln a1, K erstmals 2010</t>
  </si>
  <si>
    <t>0-0,15 MW, Bonusregeln a1, K erstmals 2011</t>
  </si>
  <si>
    <t>0-0,15 MW, Bonusregeln a1, K erstmals 2012</t>
  </si>
  <si>
    <t>0-0,15 MW, Bonusregeln a1, y</t>
  </si>
  <si>
    <t>0-0,15 MW, Bonusregeln a1, y und KWK</t>
  </si>
  <si>
    <t>0-0,15 MW, Bonusregeln a1, y und K wenn Anlage 3 erfüllt</t>
  </si>
  <si>
    <t>0-0,15 MW, Bonusregeln a1, y und K erstmals 2009</t>
  </si>
  <si>
    <t>0-0,15 MW, Bonusregeln a1, y und K erstmals 2010</t>
  </si>
  <si>
    <t>0-0,15 MW, Bonusregeln a1, y und K erstmals 2011</t>
  </si>
  <si>
    <t>0-0,15 MW, Bonusregeln a1, y und K erstmals 2012</t>
  </si>
  <si>
    <t>0-0,15 MW, Bonusregeln G und KWK</t>
  </si>
  <si>
    <t>0-0,15 MW, Bonusregeln G, y und KWK</t>
  </si>
  <si>
    <t>0-0,15 MW, Bonusregeln M1 und KWK</t>
  </si>
  <si>
    <t>0-0,15 MW, Bonusregeln M1, K erstmals 2009</t>
  </si>
  <si>
    <t>0-0,15 MW, Bonusregeln M1, K erstmals 2010</t>
  </si>
  <si>
    <t>0-0,15 MW, Bonusregeln M1, K erstmals 2011</t>
  </si>
  <si>
    <t>0-0,15 MW, Bonusregeln M1, K erstmals 2012</t>
  </si>
  <si>
    <t>0-0,15 MW, Bonusregeln M1, y und KWK</t>
  </si>
  <si>
    <t>0-0,15 MW, Bonusregeln L und KWK</t>
  </si>
  <si>
    <t>0-0,15 MW, Bonusregeln L, y und KWK</t>
  </si>
  <si>
    <t>0-0,15 MW, Bonusregeln X1 und KWK</t>
  </si>
  <si>
    <t>0-0,15 MW, Bonusregeln X1, y und KWK</t>
  </si>
  <si>
    <t>0-0,15 MW, Bonusregel b</t>
  </si>
  <si>
    <t>0-0,15 MW, Bonusregeln b und KWK</t>
  </si>
  <si>
    <t>0-0,15 MW, Bonusregeln b und K wenn Anlage 3 erfüllt</t>
  </si>
  <si>
    <t>0-0,15 MW, Bonusregeln b und K erstmals 2009</t>
  </si>
  <si>
    <t>0-0,15 MW, Bonusregeln b und K erstmals 2010</t>
  </si>
  <si>
    <t>0-0,15 MW, Bonusregeln b und K erstmals 2011</t>
  </si>
  <si>
    <t>0-0,15 MW, Bonusregeln b und K erstmals 2012</t>
  </si>
  <si>
    <t>0-0,15 MW, Bonusregeln b, y</t>
  </si>
  <si>
    <t>0-0,15 MW, Bonusregeln b, y und KWK</t>
  </si>
  <si>
    <t>0-0,15 MW, Bonusregeln b, y und K wenn Anlage 3 erfüllt</t>
  </si>
  <si>
    <t>0-0,15 MW, Bonusregeln b, y und K erstmals 2009</t>
  </si>
  <si>
    <t>0-0,15 MW, Bonusregeln b, y und K erstmals 2010</t>
  </si>
  <si>
    <t>0-0,15 MW, Bonusregeln b, y und K erstmals 2011</t>
  </si>
  <si>
    <t>0-0,15 MW, Bonusregeln b, y und K erstmals 2012</t>
  </si>
  <si>
    <t>0-0,15 MW, Bonusregeln a1 und b</t>
  </si>
  <si>
    <t>0-0,15 MW, Bonusregeln a1, b und KWK</t>
  </si>
  <si>
    <t>0-0,15 MW, Bonusregeln a1, b und K wenn Anlage 3 erfüllt</t>
  </si>
  <si>
    <t>0-0,15 MW, Bonusregeln a1, b und K erstmals 2009</t>
  </si>
  <si>
    <t>0-0,15 MW, Bonusregeln a1, b und K erstmals 2010</t>
  </si>
  <si>
    <t>0-0,15 MW, Bonusregeln a1, b und K erstmals 2011</t>
  </si>
  <si>
    <t>0-0,15 MW, Bonusregeln a1, b und K erstmals 2012</t>
  </si>
  <si>
    <t>0-0,15 MW, Bonusregeln a1, b, y</t>
  </si>
  <si>
    <t>0-0,15 MW, Bonusregeln a1, b, y und KWK</t>
  </si>
  <si>
    <t>0-0,15 MW, Bonusregeln a1, b, y und K wenn Anlage 3 erfüllt</t>
  </si>
  <si>
    <t>0-0,15 MW, Bonusregeln a1, b, y und K erstmals 2009</t>
  </si>
  <si>
    <t>0-0,15 MW, Bonusregeln a1, b, y und K erstmals 2010</t>
  </si>
  <si>
    <t>0-0,15 MW, Bonusregeln a1, b, y und K erstmals 2011</t>
  </si>
  <si>
    <t>0-0,15 MW, Bonusregeln a1, b, y und K erstmals 2012</t>
  </si>
  <si>
    <t>0-0,15 MW, Bonusregeln G, b</t>
  </si>
  <si>
    <t>0-0,15 MW, Bonusregeln G, b und KWK</t>
  </si>
  <si>
    <t>0-0,15 MW, Bonusregeln G, b und K wenn Anlage 3 erfüllt</t>
  </si>
  <si>
    <t>0-0,15 MW, Bonusregeln G, b und K erstmals 2009</t>
  </si>
  <si>
    <t>0-0,15 MW, Bonusregeln G, b und K erstmals 2010</t>
  </si>
  <si>
    <t>0-0,15 MW, Bonusregeln G, b und K erstmals 2011</t>
  </si>
  <si>
    <t>0-0,15 MW, Bonusregeln G, b und K erstmals 2012</t>
  </si>
  <si>
    <t>0-0,15 MW, Bonusregeln G, y, b</t>
  </si>
  <si>
    <t>0-0,15 MW, Bonusregeln G, y, b und KWK</t>
  </si>
  <si>
    <t>0-0,15 MW, Bonusregeln G, y, b und K wenn Anlage 3 erfüllt</t>
  </si>
  <si>
    <t>0-0,15 MW, Bonusregeln G, y, b und K erstmals 2009</t>
  </si>
  <si>
    <t>0-0,15 MW, Bonusregeln G, y, b und K erstmals 2010</t>
  </si>
  <si>
    <t>0-0,15 MW, Bonusregeln G, y, b und K erstmals 2011</t>
  </si>
  <si>
    <t>0-0,15 MW, Bonusregeln G, y, b und K erstmals 2012</t>
  </si>
  <si>
    <t>0-0,15 MW, Bonusregeln M1, b</t>
  </si>
  <si>
    <t>0-0,15 MW, Bonusregeln M1, b und KWK</t>
  </si>
  <si>
    <t>0-0,15 MW, Bonusregeln M1, b und K wenn Anlage 3 erfüllt</t>
  </si>
  <si>
    <t>0-0,15 MW, Bonusregeln M1, b und K erstmals 2009</t>
  </si>
  <si>
    <t>0-0,15 MW, Bonusregeln M1, b und K erstmals 2010</t>
  </si>
  <si>
    <t>0-0,15 MW, Bonusregeln M1, b und K erstmals 2011</t>
  </si>
  <si>
    <t>0-0,15 MW, Bonusregeln M1, b und K erstmals 2012</t>
  </si>
  <si>
    <t>0-0,15 MW, Bonusregeln M1, y, b</t>
  </si>
  <si>
    <t>0-0,15 MW, Bonusregeln M1, y, b und KWK</t>
  </si>
  <si>
    <t>0-0,15 MW, Bonusregeln M1, y, b und K wenn Anlage 3 erfüllt</t>
  </si>
  <si>
    <t>0-0,15 MW, Bonusregeln M1, y, b und K erstmals 2009</t>
  </si>
  <si>
    <t>0-0,15 MW, Bonusregeln M1, y, b und K erstmals 2010</t>
  </si>
  <si>
    <t>0-0,15 MW, Bonusregeln M1, y, b und K erstmals 2011</t>
  </si>
  <si>
    <t>0-0,15 MW, Bonusregeln M1, y, b und K erstmals 2012</t>
  </si>
  <si>
    <t>0-0,15 MW, Bonusregeln L, b</t>
  </si>
  <si>
    <t>0-0,15 MW, Bonusregeln L, b und KWK</t>
  </si>
  <si>
    <t>0-0,15 MW, Bonusregeln L, b und K wenn Anlage 3 erfüllt</t>
  </si>
  <si>
    <t>0-0,15 MW, Bonusregeln L, b und K erstmals 2009</t>
  </si>
  <si>
    <t>0-0,15 MW, Bonusregeln L, b und K erstmals 2010</t>
  </si>
  <si>
    <t>0-0,15 MW, Bonusregeln L, b und K erstmals 2011</t>
  </si>
  <si>
    <t>0-0,15 MW, Bonusregeln L, b und K erstmals 2012</t>
  </si>
  <si>
    <t>0-0,15 MW, Bonusregeln L, y, b</t>
  </si>
  <si>
    <t>0-0,15 MW, Bonusregeln L, y, b und KWK</t>
  </si>
  <si>
    <t>0-0,15 MW, Bonusregeln L, y, b und K wenn Anlage 3 erfüllt</t>
  </si>
  <si>
    <t>0-0,15 MW, Bonusregeln L, y, b und K erstmals 2009</t>
  </si>
  <si>
    <t>0-0,15 MW, Bonusregeln L, y, b und K erstmals 2010</t>
  </si>
  <si>
    <t>0-0,15 MW, Bonusregeln L, y, b und K erstmals 2011</t>
  </si>
  <si>
    <t>0-0,15 MW, Bonusregeln L, y, b und K erstmals 2012</t>
  </si>
  <si>
    <t>0-0,15 MW, Bonusregeln X1, b</t>
  </si>
  <si>
    <t>0-0,15 MW, Bonusregeln X1, b und KWK</t>
  </si>
  <si>
    <t>0-0,15 MW, Bonusregeln X1, b und K wenn Anlage 3 erfüllt</t>
  </si>
  <si>
    <t>0-0,15 MW, Bonusregeln X1, b und K erstmals 2009</t>
  </si>
  <si>
    <t>0-0,15 MW, Bonusregeln X1, b und K erstmals 2010</t>
  </si>
  <si>
    <t>0-0,15 MW, Bonusregeln X1, b und K erstmals 2011</t>
  </si>
  <si>
    <t>0-0,15 MW, Bonusregeln X1, b und K erstmals 2012</t>
  </si>
  <si>
    <t>0-0,15 MW, Bonusregeln X1, y, b</t>
  </si>
  <si>
    <t>0-0,15 MW, Bonusregeln X1, y, b und KWK</t>
  </si>
  <si>
    <t>0-0,15 MW, Bonusregeln X1, y, b und K wenn Anlage 3 erfüllt</t>
  </si>
  <si>
    <t>0-0,15 MW, Bonusregeln X1, y, b und K erstmals 2009</t>
  </si>
  <si>
    <t>0-0,15 MW, Bonusregeln X1, y, b und K erstmals 2010</t>
  </si>
  <si>
    <t>0-0,15 MW, Bonusregeln X1, y, b und K erstmals 2011</t>
  </si>
  <si>
    <t>0-0,15 MW, Bonusregeln X1, y, b und K erstmals 2012</t>
  </si>
  <si>
    <t>0-0,15 MW, Bonusregeln G, y, b und K erstmals 2013</t>
  </si>
  <si>
    <t>0-0,15 MW, Bonusregeln M1, K erstmals 2013</t>
  </si>
  <si>
    <t>0-0,15 MW, Bonusregeln M1, y, b und K erstmals 2013</t>
  </si>
  <si>
    <t>0-0,15 MW, Bonusregeln M1 und K erstmals 2020</t>
  </si>
  <si>
    <t>0-0,15 MW, Bonusregeln a1 und K erstmals 2009</t>
  </si>
  <si>
    <t>0-0,15 MW, Bonusregeln a1 und K erstmals 2010</t>
  </si>
  <si>
    <t>0-0,15 MW, Bonusregeln a1 und K erstmals 2011</t>
  </si>
  <si>
    <t>0-0,15 MW, Bonusregeln a1 und K erstmals 2012</t>
  </si>
  <si>
    <t>0-0,15 MW, Bonusregeln G und K erstmals 2013</t>
  </si>
  <si>
    <t>0-0,15 MW, Bonusregeln a1, b, y und K erstmals 2013</t>
  </si>
  <si>
    <t>0-0,15 MW, Bonusregel K erstmals 2014</t>
  </si>
  <si>
    <t>0-0,15 MW, Bonusregeln M1, y, b und K erstmals 2015</t>
  </si>
  <si>
    <t>0-0,15 MW, Bonusregeln M1, K erstmals 2016</t>
  </si>
  <si>
    <t>0-0,15 MW, Bonusregeln M1, y, b und K erstmals 2016</t>
  </si>
  <si>
    <t>0-0,15 MW, Bonusregel K erstmals 2017</t>
  </si>
  <si>
    <t>0-0,15 MW, Bonusregeln M1, K erstmals 2017</t>
  </si>
  <si>
    <t>0-0,15 MW, Bonusregeln M1, y, K erstmals 2017</t>
  </si>
  <si>
    <t>0-0,15 MW, Bonusregeln M1, y, b und K erstmals 2017</t>
  </si>
  <si>
    <t>0-0,15 MW, Bonusregeln M1, K erstmals 2018</t>
  </si>
  <si>
    <t>0-0,15 MW, Bonusregel K erstmals 2013</t>
  </si>
  <si>
    <t>0-0,15 MW, Bonusregeln G, b und K erstmals 2013</t>
  </si>
  <si>
    <t>0-0,15 MW, Bonusregeln M1, K erstmals 2014</t>
  </si>
  <si>
    <t>0-0,15 MW, Bonusregeln G, b und K erstmals 2015</t>
  </si>
  <si>
    <t>0-0,15 MW, Bonusregeln G, y, b und K erstmals 2015</t>
  </si>
  <si>
    <t>0-0,15 MW, Bonusregel M1 und K erstmals 2016</t>
  </si>
  <si>
    <t>0-0,15 MW, Bonusregeln G, y, b und K erstmals 2017</t>
  </si>
  <si>
    <t>0-0,15 MW, Bonusregeln G, y, b und K erstmals 2018</t>
  </si>
  <si>
    <t>0-0,15 MW, Bonusregel M1 und K erstmals 2018</t>
  </si>
  <si>
    <t>0-0,15 MW, Bonusregel M1, y  und K erstmals 2019</t>
  </si>
  <si>
    <t>0-0,15 MW, Bonusregel M1, y, b  und K erstmals 2019</t>
  </si>
  <si>
    <t>0-0,15 MW, Bonusregeln M1, K erstmals 2015</t>
  </si>
  <si>
    <t>0-0,15 MW, Bonusregeln M1, y und K erstmals 2016</t>
  </si>
  <si>
    <t>0-0,15 MW, Bonusregeln a1, K erstmals 2017</t>
  </si>
  <si>
    <t>0-0,15 MW, Bonusregeln G, b und K erstmals 2017</t>
  </si>
  <si>
    <t>0-0,15 MW, Bonusregeln a1, b und K erstmals 2018</t>
  </si>
  <si>
    <t>0-0,15 MW, Bonusregeln G, y, b und K erstmals 2019</t>
  </si>
  <si>
    <t>0-0,15 MW, Bonusregeln y, KWK</t>
  </si>
  <si>
    <t>0-0,15 MW, Bonusregeln y, K wenn Anlage 3 erfüllt</t>
  </si>
  <si>
    <t>0-0,15 MW, Bonusregeln y, K erstmals 2009</t>
  </si>
  <si>
    <t>0-0,15 MW, Bonusregeln y, K erstmals 2010</t>
  </si>
  <si>
    <t>0-0,15 MW, Bonusregeln y, K erstmals 2011</t>
  </si>
  <si>
    <t>0-0,15 MW, Bonusregeln y, K erstmals 2012</t>
  </si>
  <si>
    <t>0-0,15 MW, Bonusregeln a1, b</t>
  </si>
  <si>
    <t>0,15-0,5 MW, Bonusregel G</t>
  </si>
  <si>
    <t>0,15-0,5 MW, Bonusregeln G und K wenn Anlage 3 erfüllt</t>
  </si>
  <si>
    <t>0,15-0,5 MW, Bonusregeln G und K erstmals 2009</t>
  </si>
  <si>
    <t>0,15-0,5 MW, Bonusregeln G und K erstmals 2010</t>
  </si>
  <si>
    <t>0,15-0,5 MW, Bonusregeln G und K erstmals 2011</t>
  </si>
  <si>
    <t>0,15-0,5 MW, Bonusregeln G und K erstmals 2012</t>
  </si>
  <si>
    <t>0,15-0,5 MW, Bonusregel G, y</t>
  </si>
  <si>
    <t>0,15-0,5 MW, Bonusregeln G, y und K wenn Anlage 3 erfüllt</t>
  </si>
  <si>
    <t>0,15-0,5 MW, Bonusregeln G, y und K erstmals 2009</t>
  </si>
  <si>
    <t>0,15-0,5 MW, Bonusregeln G, y und K erstmals 2010</t>
  </si>
  <si>
    <t>0,15-0,5 MW, Bonusregeln G, y und K erstmals 2011</t>
  </si>
  <si>
    <t>0,15-0,5 MW, Bonusregeln G, y und K erstmals 2012</t>
  </si>
  <si>
    <t>0,15-0,5 MW, Bonusregel M2</t>
  </si>
  <si>
    <t>0,15-0,5 MW, Bonusregeln M2 und K wenn Anlage 3 erfüllt</t>
  </si>
  <si>
    <t>0,15-0,5 MW, Bonusregeln M2 und K erstmals 2009</t>
  </si>
  <si>
    <t>0,15-0,5 MW, Bonusregeln M2 und K erstmals 2010</t>
  </si>
  <si>
    <t>0,15-0,5 MW, Bonusregeln M2 und K erstmals 2011</t>
  </si>
  <si>
    <t>0,15-0,5 MW, Bonusregeln M2 und K erstmals 2012</t>
  </si>
  <si>
    <t>0,15-0,5 MW, Bonusregeln M2, y</t>
  </si>
  <si>
    <t>0,15-0,5 MW, Bonusregeln M2, y und K wenn Anlage 3 erfüllt</t>
  </si>
  <si>
    <t>0,15-0,5 MW, Bonusregeln M2, y und K erstmals 2009</t>
  </si>
  <si>
    <t>0,15-0,5 MW, Bonusregeln M2, y und K erstmals 2010</t>
  </si>
  <si>
    <t>0,15-0,5 MW, Bonusregeln M2, y und K erstmals 2011</t>
  </si>
  <si>
    <t>0,15-0,5 MW, Bonusregeln M2, y und K erstmals 2012</t>
  </si>
  <si>
    <t>0,15-0,5 MW, Bonusregel L</t>
  </si>
  <si>
    <t>0,15-0,5 MW, Bonusregeln L und K wenn Anlage 3 erfüllt</t>
  </si>
  <si>
    <t>0,15-0,5 MW, Bonusregeln L und K erstmals 2009</t>
  </si>
  <si>
    <t>0,15-0,5 MW, Bonusregeln L und K erstmals 2010</t>
  </si>
  <si>
    <t>0,15-0,5 MW, Bonusregeln L und K erstmals 2011</t>
  </si>
  <si>
    <t>0,15-0,5 MW, Bonusregeln L und K erstmals 2012</t>
  </si>
  <si>
    <t>0,15-0,5 MW, Bonusregeln L, y</t>
  </si>
  <si>
    <t>0,15-0,5 MW, Bonusregeln L, y und K wenn Anlage 3 erfüllt</t>
  </si>
  <si>
    <t>0,15-0,5 MW, Bonusregeln L, y und K erstmals 2009</t>
  </si>
  <si>
    <t>0,15-0,5 MW, Bonusregeln L, y und K erstmals 2010</t>
  </si>
  <si>
    <t>0,15-0,5 MW, Bonusregeln L, y und K erstmals 2011</t>
  </si>
  <si>
    <t>0,15-0,5 MW, Bonusregeln L, y und K erstmals 2012</t>
  </si>
  <si>
    <t>0,15-0,5 MW, Bonusregel X2</t>
  </si>
  <si>
    <t>0,15-0,5 MW, Bonusregeln X2 und K wenn Anlage 3 erfüllt</t>
  </si>
  <si>
    <t>0,15-0,5 MW, Bonusregeln X2 und K erstmals 2009</t>
  </si>
  <si>
    <t>0,15-0,5 MW, Bonusregeln X2 und K erstmals 2010</t>
  </si>
  <si>
    <t>0,15-0,5 MW, Bonusregeln X2 und K erstmals 2011</t>
  </si>
  <si>
    <t>0,15-0,5 MW, Bonusregeln X2 und K erstmals 2012</t>
  </si>
  <si>
    <t>0,15-0,5 MW, Bonusregeln X2, y</t>
  </si>
  <si>
    <t>0,15-0,5 MW, Bonusregeln X2, y und K wenn Anlage 3 erfüllt</t>
  </si>
  <si>
    <t>0,15-0,5 MW, Bonusregeln X2, y und K erstmals 2009</t>
  </si>
  <si>
    <t>0,15-0,5 MW, Bonusregeln X2, y und K erstmals 2010</t>
  </si>
  <si>
    <t>0,15-0,5 MW, Bonusregeln X2, y und K erstmals 2011</t>
  </si>
  <si>
    <t>0,15-0,5 MW, Bonusregeln X2, y und K erstmals 2012</t>
  </si>
  <si>
    <t>0,15-0,5 MW, Bonusregeln M2 und K erstmals 2013</t>
  </si>
  <si>
    <t>0,15-0,5 MW, Bonusregeln M2, y und K erstmals 2013</t>
  </si>
  <si>
    <t>0,15-0,5 MW, Bonusregeln X2, y und K erstmals 2013</t>
  </si>
  <si>
    <t>0,15-0,5 MW, Bonusregeln G und K erstmals 2014</t>
  </si>
  <si>
    <t>0,15-0,5 MW, Bonusregeln M2 und K erstmals 2014</t>
  </si>
  <si>
    <t>0,15-0,5 MW, Bonusregeln M2 und K erstmals 2015</t>
  </si>
  <si>
    <t>0,15-0,5 MW, Bonusregeln M2, y und K erstmals 2015</t>
  </si>
  <si>
    <t>0,15-0,5 MW, Bonusregeln G, y</t>
  </si>
  <si>
    <t>0,15-0,5 MW, Bonusregeln M2, y und K erstmals 2017</t>
  </si>
  <si>
    <t>0,15-0,5 MW, Bonusregel KWK</t>
  </si>
  <si>
    <t>0,15-0,5 MW, Bonusregel K wenn Anlage 3 erfüllt</t>
  </si>
  <si>
    <t>0,15-0,5 MW, Bonusregel K erstmals 2009</t>
  </si>
  <si>
    <t>0,15-0,5 MW, Bonusregel K erstmals 2010</t>
  </si>
  <si>
    <t>0,15-0,5 MW, Bonusregel K erstmals 2011</t>
  </si>
  <si>
    <t>0,15-0,5 MW, Bonusregel K erstmals 2012</t>
  </si>
  <si>
    <t>0,15-0,5 MW, Bonusregel y</t>
  </si>
  <si>
    <t>0,15-0,5 MW, Bonusregeln y und KWK</t>
  </si>
  <si>
    <t>0,15-0,5 MW, Bonusregeln y und K wenn Anlage 3 erfüllt</t>
  </si>
  <si>
    <t>0,15-0,5 MW, Bonusregeln y und K erstmals 2009</t>
  </si>
  <si>
    <t>0,15-0,5 MW, Bonusregeln y und K erstmals 2010</t>
  </si>
  <si>
    <t>0,15-0,5 MW, Bonusregeln y und K erstmals 2011</t>
  </si>
  <si>
    <t>0,15-0,5 MW, Bonusregeln y und K erstmals 2012</t>
  </si>
  <si>
    <t>0,15-0,5 MW, Bonusregel a1</t>
  </si>
  <si>
    <t>0,15-0,5 MW, Bonusregel a1 und KWK</t>
  </si>
  <si>
    <t>0,15-0,5 MW, Bonusregeln a1 und K wenn Anlage 3 erfüllt</t>
  </si>
  <si>
    <t>0,15-0,5 MW, Bonusregeln a1 und K erstmals 2009</t>
  </si>
  <si>
    <t>0,15-0,5 MW, Bonusregeln a1 und K erstmals 2010</t>
  </si>
  <si>
    <t>0,15-0,5 MW, Bonusregeln a1 und K erstmals 2011</t>
  </si>
  <si>
    <t>0,15-0,5 MW, Bonusregeln a1 und K erstmals 2012</t>
  </si>
  <si>
    <t>0,15-0,5 MW, Bonusregeln a1, y</t>
  </si>
  <si>
    <t>0,15-0,5 MW, Bonusregeln a1, y und KWK</t>
  </si>
  <si>
    <t>0,15-0,5 MW, Bonusregeln a1, y und K wenn Anlage 3 erfüllt</t>
  </si>
  <si>
    <t>0,15-0,5 MW, Bonusregeln a1, y und K erstmals 2009</t>
  </si>
  <si>
    <t>0,15-0,5 MW, Bonusregeln a1, y und K erstmals 2010</t>
  </si>
  <si>
    <t>0,15-0,5 MW, Bonusregeln a1, y und K erstmals 2011</t>
  </si>
  <si>
    <t>0,15-0,5 MW, Bonusregeln a1, y und K erstmals 2012</t>
  </si>
  <si>
    <t>0,15-0,5 MW, Bonusregeln G und KWK</t>
  </si>
  <si>
    <t>0,15-0,5 MW, Bonusregeln G, y und KWK</t>
  </si>
  <si>
    <t>0,15-0,5 MW, Bonusregeln M2 und KWK</t>
  </si>
  <si>
    <t>0,15-0,5 MW, Bonusregeln M2, K erstmals 2009</t>
  </si>
  <si>
    <t>0,15-0,5 MW, Bonusregeln M2, K erstmals 2010</t>
  </si>
  <si>
    <t>0,15-0,5 MW, Bonusregeln M2, K erstmals 2011</t>
  </si>
  <si>
    <t>0,15-0,5 MW, Bonusregeln M2, K erstmals 2012</t>
  </si>
  <si>
    <t>0,15-0,5 MW, Bonusregeln M2, y und KWK</t>
  </si>
  <si>
    <t>0,15-0,5 MW, Bonusregeln L und KWK</t>
  </si>
  <si>
    <t>0,15-0,5 MW, Bonusregeln L, y und KWK</t>
  </si>
  <si>
    <t>0,15-0,5 MW, Bonusregeln X2 und KWK</t>
  </si>
  <si>
    <t>0,15-0,5 MW, Bonusregeln X2, y und KWK</t>
  </si>
  <si>
    <t>0,15-0,5 MW, Bonusregel b</t>
  </si>
  <si>
    <t>0,15-0,5 MW, Bonusregeln b und KWK</t>
  </si>
  <si>
    <t>0,15-0,5 MW, Bonusregeln b und K wenn Anlage 3 erfüllt</t>
  </si>
  <si>
    <t>0,15-0,5 MW, Bonusregeln b und K erstmals 2009</t>
  </si>
  <si>
    <t>0,15-0,5 MW, Bonusregeln b und K erstmals 2010</t>
  </si>
  <si>
    <t>0,15-0,5 MW, Bonusregeln b und K erstmals 2011</t>
  </si>
  <si>
    <t>0,15-0,5 MW, Bonusregeln b und K erstmals 2012</t>
  </si>
  <si>
    <t>0,15-0,5 MW, Bonusregeln b, y</t>
  </si>
  <si>
    <t>0,15-0,5 MW, Bonusregeln b, y und KWK</t>
  </si>
  <si>
    <t>0,15-0,5 MW, Bonusregeln b, y und K wenn Anlage 3 erfüllt</t>
  </si>
  <si>
    <t>0,15-0,5 MW, Bonusregeln b, y und K erstmals 2009</t>
  </si>
  <si>
    <t>0,15-0,5 MW, Bonusregeln b, y und K erstmals 2010</t>
  </si>
  <si>
    <t>0,15-0,5 MW, Bonusregeln b, y und K erstmals 2011</t>
  </si>
  <si>
    <t>0,15-0,5 MW, Bonusregeln b, y und K erstmals 2012</t>
  </si>
  <si>
    <t>0,15-0,5 MW, Bonusregeln a1 und b</t>
  </si>
  <si>
    <t>0,15-0,5 MW, Bonusregeln a1, b und KWK</t>
  </si>
  <si>
    <t>0,15-0,5 MW, Bonusregeln a1, b und K wenn Anlage 3 erfüllt</t>
  </si>
  <si>
    <t>0,15-0,5 MW, Bonusregeln a1, b und K erstmals 2009</t>
  </si>
  <si>
    <t>0,15-0,5 MW, Bonusregeln a1, b und K erstmals 2010</t>
  </si>
  <si>
    <t>0,15-0,5 MW, Bonusregeln a1, b und K erstmals 2011</t>
  </si>
  <si>
    <t>0,15-0,5 MW, Bonusregeln a1, b und K erstmals 2012</t>
  </si>
  <si>
    <t>0,15-0,5 MW, Bonusregeln a1, b, y</t>
  </si>
  <si>
    <t>0,15-0,5 MW, Bonusregeln a1, b, y und KWK</t>
  </si>
  <si>
    <t>0,15-0,5 MW, Bonusregeln a1, b, y und K wenn Anlage 3 erfüllt</t>
  </si>
  <si>
    <t>0,15-0,5 MW, Bonusregeln a1, b, y und K erstmals 2009</t>
  </si>
  <si>
    <t>0,15-0,5 MW, Bonusregeln a1, b, y und K erstmals 2010</t>
  </si>
  <si>
    <t>0,15-0,5 MW, Bonusregeln a1, b, y und K erstmals 2011</t>
  </si>
  <si>
    <t>0,15-0,5 MW, Bonusregeln a1, b, y und K erstmals 2012</t>
  </si>
  <si>
    <t>0,15-0,5 MW, Bonusregeln G, b</t>
  </si>
  <si>
    <t>0,15-0,5 MW, Bonusregeln G, b und KWK</t>
  </si>
  <si>
    <t>0,15-0,5 MW, Bonusregeln G, b und K wenn Anlage 3 erfüllt</t>
  </si>
  <si>
    <t>0,15-0,5 MW, Bonusregeln G, b und K erstmals 2009</t>
  </si>
  <si>
    <t>0,15-0,5 MW, Bonusregeln G, b und K erstmals 2010</t>
  </si>
  <si>
    <t>0,15-0,5 MW, Bonusregeln G, b und K erstmals 2011</t>
  </si>
  <si>
    <t>0,15-0,5 MW, Bonusregeln G, b und K erstmals 2012</t>
  </si>
  <si>
    <t>0,15-0,5 MW, Bonusregeln G, y, b</t>
  </si>
  <si>
    <t>0,15-0,5 MW, Bonusregeln G, y, b und KWK</t>
  </si>
  <si>
    <t>0,15-0,5 MW, Bonusregeln G, y, b und K wenn Anlage 3 erfüllt</t>
  </si>
  <si>
    <t>0,15-0,5 MW, Bonusregeln G, y, b und K erstmals 2009</t>
  </si>
  <si>
    <t>0,15-0,5 MW, Bonusregeln G, y, b und K erstmals 2010</t>
  </si>
  <si>
    <t>0,15-0,5 MW, Bonusregeln G, y, b und K erstmals 2011</t>
  </si>
  <si>
    <t>0,15-0,5 MW, Bonusregeln G, y, b und K erstmals 2012</t>
  </si>
  <si>
    <t>0,15-0,5 MW, Bonusregeln M2, b</t>
  </si>
  <si>
    <t>0,15-0,5 MW, Bonusregeln M2, b und KWK</t>
  </si>
  <si>
    <t>0,15-0,5 MW, Bonusregeln M2, b und K wenn Anlage 3 erfüllt</t>
  </si>
  <si>
    <t>0,15-0,5 MW, Bonusregeln M2, b und K erstmals 2009</t>
  </si>
  <si>
    <t>0,15-0,5 MW, Bonusregeln M2, b und K erstmals 2010</t>
  </si>
  <si>
    <t>0,15-0,5 MW, Bonusregeln M2, b und K erstmals 2011</t>
  </si>
  <si>
    <t>0,15-0,5 MW, Bonusregeln M2, b und K erstmals 2012</t>
  </si>
  <si>
    <t>0,15-0,5 MW, Bonusregeln M2, y, b</t>
  </si>
  <si>
    <t>0,15-0,5 MW, Bonusregeln M2, y, b und KWK</t>
  </si>
  <si>
    <t>0,15-0,5 MW, Bonusregeln M2, y, b und K wenn Anlage 3 erfüllt</t>
  </si>
  <si>
    <t>0,15-0,5 MW, Bonusregeln M2, y, b und K erstmals 2009</t>
  </si>
  <si>
    <t>0,15-0,5 MW, Bonusregeln M2, y, b und K erstmals 2010</t>
  </si>
  <si>
    <t>0,15-0,5 MW, Bonusregeln M2, y, b und K erstmals 2011</t>
  </si>
  <si>
    <t>0,15-0,5 MW, Bonusregeln M2, y, b und K erstmals 2012</t>
  </si>
  <si>
    <t>0,15-0,5 MW, Bonusregeln L, b</t>
  </si>
  <si>
    <t>0,15-0,5 MW, Bonusregeln L, b und KWK</t>
  </si>
  <si>
    <t>0,15-0,5 MW, Bonusregeln L, b und K wenn Anlage 3 erfüllt</t>
  </si>
  <si>
    <t>0,15-0,5 MW, Bonusregeln L, b und K erstmals 2009</t>
  </si>
  <si>
    <t>0,15-0,5 MW, Bonusregeln L, b und K erstmals 2010</t>
  </si>
  <si>
    <t>0,15-0,5 MW, Bonusregeln L, b und K erstmals 2011</t>
  </si>
  <si>
    <t>0,15-0,5 MW, Bonusregeln L, b und K erstmals 2012</t>
  </si>
  <si>
    <t>0,15-0,5 MW, Bonusregeln L, y, b</t>
  </si>
  <si>
    <t>0,15-0,5 MW, Bonusregeln L, y, b und KWK</t>
  </si>
  <si>
    <t>0,15-0,5 MW, Bonusregeln L, y, b und K wenn Anlage 3 erfüllt</t>
  </si>
  <si>
    <t>0,15-0,5 MW, Bonusregeln L, y, b und K erstmals 2009</t>
  </si>
  <si>
    <t>0,15-0,5 MW, Bonusregeln L, y, b und K erstmals 2010</t>
  </si>
  <si>
    <t>0,15-0,5 MW, Bonusregeln L, y, b und K erstmals 2011</t>
  </si>
  <si>
    <t>0,15-0,5 MW, Bonusregeln L, y, b und K erstmals 2012</t>
  </si>
  <si>
    <t>0,15-0,5 MW, Bonusregeln X2, b</t>
  </si>
  <si>
    <t>0,15-0,5 MW, Bonusregeln X2, b und KWK</t>
  </si>
  <si>
    <t>0,15-0,5 MW, Bonusregeln X2, b und K wenn Anlage 3 erfüllt</t>
  </si>
  <si>
    <t>0,15-0,5 MW, Bonusregeln X2, b und K erstmals 2009</t>
  </si>
  <si>
    <t>0,15-0,5 MW, Bonusregeln X2, b und K erstmals 2010</t>
  </si>
  <si>
    <t>0,15-0,5 MW, Bonusregeln X2, b und K erstmals 2011</t>
  </si>
  <si>
    <t>0,15-0,5 MW, Bonusregeln X2, b und K erstmals 2012</t>
  </si>
  <si>
    <t>0,15-0,5 MW, Bonusregeln X2, y, b</t>
  </si>
  <si>
    <t>0,15-0,5 MW, Bonusregeln X2, y, b und KWK</t>
  </si>
  <si>
    <t>0,15-0,5 MW, Bonusregeln X2, y, b und K wenn Anlage 3 erfüllt</t>
  </si>
  <si>
    <t>0,15-0,5 MW, Bonusregeln X2, y, b und K erstmals 2009</t>
  </si>
  <si>
    <t>0,15-0,5 MW, Bonusregeln X2, y, b und K erstmals 2010</t>
  </si>
  <si>
    <t>0,15-0,5 MW, Bonusregeln X2, y, b und K erstmals 2011</t>
  </si>
  <si>
    <t>0,15-0,5 MW, Bonusregeln X2, y, b und K erstmals 2012</t>
  </si>
  <si>
    <t>0,15-0,5 MW, Bonusregeln G, y, b und K erstmals 2013</t>
  </si>
  <si>
    <t>0,15-0,5 MW, Bonusregeln M2, K erstmals 2013</t>
  </si>
  <si>
    <t>0,15-0,5 MW, Bonusregeln M2, y, b und K erstmals 2013</t>
  </si>
  <si>
    <t>0,15-0,5 MW, Bonusregeln a1 und KWK</t>
  </si>
  <si>
    <t>0,15-0,5 MW, Bonusregeln G und K erstmals 2013</t>
  </si>
  <si>
    <t>0,15-0,5 MW, Bonusregeln a1, b, y und K erstmals 2013</t>
  </si>
  <si>
    <t>0,15-0,5 MW, Bonusregel K erstmals 2014</t>
  </si>
  <si>
    <t>0,15-0,5 MW, Bonusregeln M2, y, b und K erstmals 2015</t>
  </si>
  <si>
    <t>0,15-0,5 MW, Bonusregeln M2, K erstmals 2016</t>
  </si>
  <si>
    <t>0,15-0,5 MW, Bonusregeln M2, y, b und K erstmals 2016</t>
  </si>
  <si>
    <t>0,15-0,5 MW, Bonusregel K erstmals 2017</t>
  </si>
  <si>
    <t>0,15-0,5 MW, Bonusregeln M2, K erstmals 2017</t>
  </si>
  <si>
    <t>0,15-0,5 MW, Bonusregeln M2, y, K erstmals 2017</t>
  </si>
  <si>
    <t>0,15-0,5 MW, Bonusregeln M2, y, b und K erstmals 2017</t>
  </si>
  <si>
    <t>0,15-0,5 MW, Bonusregeln M2, K erstmals 2018</t>
  </si>
  <si>
    <t>0,15-0,5 MW, Bonusregel K erstmals 2013</t>
  </si>
  <si>
    <t>0,15-0,5 MW, Bonusregeln G, b und K erstmals 2013</t>
  </si>
  <si>
    <t>0,15-0,5 MW, Bonusregeln M2, K erstmals 2014</t>
  </si>
  <si>
    <t>0,15-0,5 MW, Bonusregeln G, b und K erstmals 2015</t>
  </si>
  <si>
    <t>0,15-0,5 MW, Bonusregeln G, y, b und K erstmals 2015</t>
  </si>
  <si>
    <t>0,15-0,5 MW, Bonusregel M2 und K erstmals 2016</t>
  </si>
  <si>
    <t>0,15-0,5 MW, Bonusregeln G, y, b und K erstmals 2017</t>
  </si>
  <si>
    <t>0,15-0,5 MW, Bonusregeln G, y, b und K erstmals 2018</t>
  </si>
  <si>
    <t>0,15-0,5 MW, Bonusregel M2 und K erstmals 2018</t>
  </si>
  <si>
    <t>0,15-0,5 MW, Bonusregel M2, y und K erstmals 2019</t>
  </si>
  <si>
    <t>0,15-0,5 MW, Bonusregeln M2, y, b und K erstmals 2019</t>
  </si>
  <si>
    <t>0,15-0,5 MW, Bonusregeln M2, K erstmals 2015</t>
  </si>
  <si>
    <t>0,15-0,5 MW, Bonusregeln M2, y und K erstmals 2016</t>
  </si>
  <si>
    <t>0,15-0,5 MW, Bonusregeln a1, K erstmals 2017</t>
  </si>
  <si>
    <t>0,15-0,5 MW, Bonusregeln M2 und K erstmals 2017</t>
  </si>
  <si>
    <t>0,15-0,5 MW, Bonusregeln a1, b und K erstmals 2018</t>
  </si>
  <si>
    <t>0,15-0,5 MW, Bonusregeln G, y, b und K erstmals 2019</t>
  </si>
  <si>
    <t>2-5 MW, Anlage &lt; 5 MW</t>
  </si>
  <si>
    <t>0-0,15 MW, Bonusregel K</t>
  </si>
  <si>
    <t>0-0,15 MW, Bonusregel i</t>
  </si>
  <si>
    <t>0-0,15 MW, Bonusregel i, K</t>
  </si>
  <si>
    <t>0-0,15 MW, Bonusregeln a1, K</t>
  </si>
  <si>
    <t>0-0,15 MW, Bonusregeln a1, i</t>
  </si>
  <si>
    <t>0-0,15 MW, Bonusregeln a1, i, K</t>
  </si>
  <si>
    <t>0-0,15 MW, Bonusregeln G, K</t>
  </si>
  <si>
    <t>0-0,15 MW, Bonusregeln G, i</t>
  </si>
  <si>
    <t>0-0,15 MW, Bonusregeln G, i, K</t>
  </si>
  <si>
    <t>0-0,15 MW, Bonusregeln L, K</t>
  </si>
  <si>
    <t>0-0,15 MW, Bonusregeln L, i</t>
  </si>
  <si>
    <t>0-0,15 MW, Bonusregeln L, i, K</t>
  </si>
  <si>
    <t>0-0,15 MW, Bonusregeln M1, K</t>
  </si>
  <si>
    <t>0-0,15 MW, Bonusregeln M1, i</t>
  </si>
  <si>
    <t>0-0,15 MW, Bonusregeln M1, i, K</t>
  </si>
  <si>
    <t>0-0,15 MW, Bonusregeln X1</t>
  </si>
  <si>
    <t>0-0,15 MW, Bonusregeln X1, K</t>
  </si>
  <si>
    <t>0-0,15 MW, Bonusregeln X1, i</t>
  </si>
  <si>
    <t>0-0,15 MW, Bonusregeln X1, i, K</t>
  </si>
  <si>
    <t>0-0,15 MW, Bonusregel t1</t>
  </si>
  <si>
    <t>0-0,15 MW, Bonusregeln t1, K</t>
  </si>
  <si>
    <t>0-0,15 MW, Bonusregeln t1, i</t>
  </si>
  <si>
    <t>0-0,15 MW, Bonusregeln t1, i, K</t>
  </si>
  <si>
    <t>0-0,15 MW, Bonusregeln t1, a1</t>
  </si>
  <si>
    <t>0-0,15 MW, Bonusregeln t1, a1, K</t>
  </si>
  <si>
    <t>0-0,15 MW, Bonusregeln t1, a1, i</t>
  </si>
  <si>
    <t>0-0,15 MW, Bonusregeln t1, a1, i, K</t>
  </si>
  <si>
    <t>0-0,15 MW, Bonusregeln t1, G</t>
  </si>
  <si>
    <t>0-0,15 MW, Bonusregeln t1, G, K</t>
  </si>
  <si>
    <t>0-0,15 MW, Bonusregeln t1, G, i</t>
  </si>
  <si>
    <t>0-0,15 MW, Bonusregeln t1, G, i, K</t>
  </si>
  <si>
    <t>0-0,15 MW, Bonusregeln t1, L</t>
  </si>
  <si>
    <t>0-0,15 MW, Bonusregeln t1, L, K</t>
  </si>
  <si>
    <t>0-0,15 MW, Bonusregeln t1, L, i</t>
  </si>
  <si>
    <t>0-0,15 MW, Bonusregeln t1, L, i, K</t>
  </si>
  <si>
    <t>0-0,15 MW, Bonusregeln t1, M1</t>
  </si>
  <si>
    <t>0-0,15 MW, Bonusregeln t1, M1, K</t>
  </si>
  <si>
    <t>0-0,15 MW, Bonusregeln t1, M1, i</t>
  </si>
  <si>
    <t>0-0,15 MW, Bonusregeln t1, M1, i, K</t>
  </si>
  <si>
    <t>0-0,15 MW, Bonusregeln t1, X1</t>
  </si>
  <si>
    <t>0-0,15 MW, Bonusregeln t1, X1, K</t>
  </si>
  <si>
    <t>0-0,15 MW, Bonusregeln t1, X1, i</t>
  </si>
  <si>
    <t>0-0,15 MW, Bonusregeln t1, X1, i, K</t>
  </si>
  <si>
    <t>0-0,15 MW, Bonusregel t2</t>
  </si>
  <si>
    <t>0-0,15 MW, Bonusregeln t2, K</t>
  </si>
  <si>
    <t>0-0,15 MW, Bonusregeln t2, i</t>
  </si>
  <si>
    <t>0-0,15 MW, Bonusregeln t2, i, K</t>
  </si>
  <si>
    <t>0-0,15 MW, Bonusregeln t2, a1</t>
  </si>
  <si>
    <t>0-0,15 MW, Bonusregeln t2, a1, K</t>
  </si>
  <si>
    <t>0-0,15 MW, Bonusregeln t2, a1, i</t>
  </si>
  <si>
    <t>0-0,15 MW, Bonusregeln t2, a1, i, K</t>
  </si>
  <si>
    <t>0-0,15 MW, Bonusregeln t2, G</t>
  </si>
  <si>
    <t>0-0,15 MW, Bonusregeln t2, G, K</t>
  </si>
  <si>
    <t>0-0,15 MW, Bonusregeln t2, G, i</t>
  </si>
  <si>
    <t>0-0,15 MW, Bonusregeln t2, G, i, K</t>
  </si>
  <si>
    <t>0-0,15 MW, Bonusregeln t2, L</t>
  </si>
  <si>
    <t>0-0,15 MW, Bonusregeln t2, L, K</t>
  </si>
  <si>
    <t>0-0,15 MW, Bonusregeln t2, L, i</t>
  </si>
  <si>
    <t>0-0,15 MW, Bonusregeln t2, L, i, K</t>
  </si>
  <si>
    <t>0-0,15 MW, Bonusregeln t2, M1</t>
  </si>
  <si>
    <t>0-0,15 MW, Bonusregeln t2, M1, K</t>
  </si>
  <si>
    <t>0-0,15 MW, Bonusregeln t2, M1, i</t>
  </si>
  <si>
    <t>0-0,15 MW, Bonusregeln t2, M1, i, K</t>
  </si>
  <si>
    <t>0-0,15 MW, Bonusregeln t2, X1</t>
  </si>
  <si>
    <t>0-0,15 MW, Bonusregeln t2, X1, K</t>
  </si>
  <si>
    <t>0-0,15 MW, Bonusregeln t2, X1, i</t>
  </si>
  <si>
    <t>0-0,15 MW, Bonusregeln t2, X1, i, K</t>
  </si>
  <si>
    <t>0-0,15 MW, Bonusregel t3</t>
  </si>
  <si>
    <t>0-0,15 MW, Bonusregeln t3, K</t>
  </si>
  <si>
    <t>0-0,15 MW, Bonusregeln t3, i</t>
  </si>
  <si>
    <t>0-0,15 MW, Bonusregeln t3, i, K</t>
  </si>
  <si>
    <t>0-0,15 MW, Bonusregeln t3, a1</t>
  </si>
  <si>
    <t>0-0,15 MW, Bonusregeln t3, a1, K</t>
  </si>
  <si>
    <t>0-0,15 MW, Bonusregeln t3, a1, i</t>
  </si>
  <si>
    <t>0-0,15 MW, Bonusregeln t3, a1, i, K</t>
  </si>
  <si>
    <t>0-0,15 MW, Bonusregeln t3, G</t>
  </si>
  <si>
    <t>0-0,15 MW, Bonusregeln t3, G, K</t>
  </si>
  <si>
    <t>0-0,15 MW, Bonusregeln t3, G, i</t>
  </si>
  <si>
    <t>0-0,15 MW, Bonusregeln t3, G, i, K</t>
  </si>
  <si>
    <t>0-0,15 MW, Bonusregeln t3, L</t>
  </si>
  <si>
    <t>0-0,15 MW, Bonusregeln t3, L, K</t>
  </si>
  <si>
    <t>0-0,15 MW, Bonusregeln t3, L, i</t>
  </si>
  <si>
    <t>0-0,15 MW, Bonusregeln t3, L, i, K</t>
  </si>
  <si>
    <t>0-0,15 MW, Bonusregeln t3, M1</t>
  </si>
  <si>
    <t>0-0,15 MW, Bonusregeln t3, M1, K</t>
  </si>
  <si>
    <t>0-0,15 MW, Bonusregeln t3, M1, i</t>
  </si>
  <si>
    <t>0-0,15 MW, Bonusregeln t3, M1, i, K</t>
  </si>
  <si>
    <t>0-0,15 MW, Bonusregeln t3, X1</t>
  </si>
  <si>
    <t>0-0,15 MW, Bonusregeln t3, X1, K</t>
  </si>
  <si>
    <t>0-0,15 MW, Bonusregeln t3, X1, i</t>
  </si>
  <si>
    <t>0-0,15 MW, Bonusregeln t3, X1, i, K</t>
  </si>
  <si>
    <t>0,15-0,5 MW, Bonusregeln y und K erstmals 2013</t>
  </si>
  <si>
    <t>0,15-0,5 MW, Bonusregeln a1 und K erstmals 2013</t>
  </si>
  <si>
    <t xml:space="preserve">0,15-0,5 MW, Bonusregeln a1 und K erstmals 2014      </t>
  </si>
  <si>
    <t>0,15-0,5 MW, Bonusregeln y und K erstmals 2016</t>
  </si>
  <si>
    <t>0,15-0,5 MW, Bonusregeln a1, K wenn Anlage 3 erfüllt</t>
  </si>
  <si>
    <t>0,15-0,5 MW, Bonusregeln a1, K erstmals 2009</t>
  </si>
  <si>
    <t>0,15-0,5 MW, Bonusregeln a1, K erstmals 2010</t>
  </si>
  <si>
    <t>0,15-0,5 MW, Bonusregeln a1, K erstmals 2011</t>
  </si>
  <si>
    <t>0,15-0,5 MW, Bonusregeln a1, K erstmals 2012</t>
  </si>
  <si>
    <t xml:space="preserve">0,15-0,5 MW, Bonusregeln M2, y und K erstmals 2014     </t>
  </si>
  <si>
    <t>0,15-0,5 MW, Bonusregel K erstmals 2015</t>
  </si>
  <si>
    <t>0,15-0,5 MW, Bonusregel K erstmals 2016</t>
  </si>
  <si>
    <t>0-0,5 MW, Zuschlag</t>
  </si>
  <si>
    <t>0-0,15 MW; Bonusregel a1</t>
  </si>
  <si>
    <t>0-0,15 MW, Bonusregeln a1, K wenn Anlage 3 erfüllt</t>
  </si>
  <si>
    <t>0-0,15 MW; Bonusregeln a1, y</t>
  </si>
  <si>
    <t>0-0,15 MW, Bonusregeln y und K erstmals 2013</t>
  </si>
  <si>
    <t>0-0,15 MW, Bonusregeln a1, K erstmals 2013</t>
  </si>
  <si>
    <t xml:space="preserve">0-0,15 MW, Bonusregeln a1, K erstmals 2014             </t>
  </si>
  <si>
    <t>0-0,15 MW, Bonusregeln M1 und K erstmals 2014</t>
  </si>
  <si>
    <t>0-0,15 MW, Bonusregeln y und K erstmals 2016</t>
  </si>
  <si>
    <t>0-0,15 MW, Bonusregel K erstmals 2015</t>
  </si>
  <si>
    <t>0-0,15 MW, Bonusregel K erstmals 2016</t>
  </si>
  <si>
    <t>0-0,15 MW, Bonusregeln y und wenn Anlage 3 erfüllt</t>
  </si>
  <si>
    <t xml:space="preserve">5-20 MW </t>
  </si>
  <si>
    <t>5-20 MW, Bonusregel K erstmals 2009</t>
  </si>
  <si>
    <t>5-20 MW, Bonusregel K erstmals 2010</t>
  </si>
  <si>
    <t>5-20 MW, Bonusregel K erstmals 2011</t>
  </si>
  <si>
    <t>5-20 MW, Bonusregel K erstmals 2012</t>
  </si>
  <si>
    <t>5-20 MW, Bonusregel KWK</t>
  </si>
  <si>
    <t>5-20 MW, Bonusregel K erstmals 2013</t>
  </si>
  <si>
    <t>5-20 MW, Bonusregel K erstmals 2014</t>
  </si>
  <si>
    <t>5-20 MW, Bonusregel K erstmals 2015</t>
  </si>
  <si>
    <t>5-20 MW, Bonusregel K erstmals 2016</t>
  </si>
  <si>
    <t>&gt; 5 MW, Zubau 0-0,5 MW</t>
  </si>
  <si>
    <t>&gt; 5 MW, Zubau 0,5-10 MW</t>
  </si>
  <si>
    <t>&gt; 5 MW, nur Grubengas</t>
  </si>
  <si>
    <t>&gt; 5 MW, Zuschlag; nur Grubengas</t>
  </si>
  <si>
    <t>&gt; 5 MW</t>
  </si>
  <si>
    <t>&gt; 5 MW, Zubau 10-20 MW</t>
  </si>
  <si>
    <t>&gt; 5 MW, Zubau 20-50 MW</t>
  </si>
  <si>
    <t>&gt; 5 MW, Zubau 50-150 MW</t>
  </si>
  <si>
    <t>&gt; 5 MW , Zubau 0-0,5 MW</t>
  </si>
  <si>
    <t xml:space="preserve">&gt; 5 MW, Zubau 0-0,5 MW </t>
  </si>
  <si>
    <t>&gt; 20 MW, 75% Schwarzlauge etc.</t>
  </si>
  <si>
    <t>&gt; 20 MW, 75% Schwarzlauge etc., Bonusregel K erstmals 2009</t>
  </si>
  <si>
    <t>&gt; 20 MW, 75% Schwarzlauge etc., Bonusregel K erstmals 2010</t>
  </si>
  <si>
    <t>&gt; 20 MW, 75% Schwarzlauge etc., Bonusregel K erstmals 2011</t>
  </si>
  <si>
    <t>&gt; 20 MW, 75% Schwarzlauge etc., Bonusregel K erstmals 2012</t>
  </si>
  <si>
    <t>&gt; 20 MW</t>
  </si>
  <si>
    <t>&lt; 20 MW, Altholz, Bonusregel K erstmals 2010</t>
  </si>
  <si>
    <t>&lt; 20 MW, Altholz, Bonusregel K erstmals 2011</t>
  </si>
  <si>
    <t>&lt; 20 MW, Altholz, Bonusregel K erstmals 2012</t>
  </si>
  <si>
    <t>&lt; 20 MW, Altholz</t>
  </si>
  <si>
    <t>&lt; 20 MW, Altholz, Bonusregel K erstmals 2009</t>
  </si>
  <si>
    <t>0,5-5 MW, Bonusregeln a2 und K erstmals 2019</t>
  </si>
  <si>
    <t>0,5-5 MW, Bonusregeln a2, b und K erstmals 2016</t>
  </si>
  <si>
    <t>0,5-5 MW, Bonusregeln a2, b und K erstmals 2019</t>
  </si>
  <si>
    <t>0,5-5 MW, Zuschlag</t>
  </si>
  <si>
    <t>0,5-2 MW, Anlage 0,5-5 MW, wasserrechtliche Genehmigung vor 01.01.2012 (Bestandsschutz nach § 66 Abs. 5 EEG 2012)</t>
  </si>
  <si>
    <t>2-5 MW, Anlage 0,5-5 MW, wasserrechtliche Genehmigung vor 01.01.2012 (Bestandsschutz nach § 66 Abs. 5 EEG 2012)</t>
  </si>
  <si>
    <t>Die BNetzA hat diesen Wert für 2021 noch nicht veröffentlicht.</t>
  </si>
  <si>
    <t>&gt; 1 MW</t>
  </si>
  <si>
    <t>&gt; 100 kW</t>
  </si>
  <si>
    <t>&gt; 100 kW, Fassadenbonus</t>
  </si>
  <si>
    <t>&gt; 5 MW, Zubau &gt; 50 MW</t>
  </si>
  <si>
    <t>5. im Kalenderjahr 2026 20 Prozent des anzulegenden Werts für den in der jeweiligen Anlage erzeugten Strom nach dem Erneuerbare-Energien-Gesetz in der für die Anlage bisher maßgeblichen Fassung.</t>
  </si>
  <si>
    <t>WnK46-------21</t>
  </si>
  <si>
    <t>1. in den Kalenderjahren 2021 und 2022 100 Prozent des anzulegenden Werts für den in der jeweiligen Anlage erzeugten Strom nach dem Erneuerbare-Energien-Gesetz in der für die Anlage bisher maßgeblichen Fassung,</t>
  </si>
  <si>
    <t>WaK23-MaStRV-0</t>
  </si>
  <si>
    <t>BiK23-MaStRV-0</t>
  </si>
  <si>
    <t>GaK23-MaStRV-0</t>
  </si>
  <si>
    <t>DeK23-MaStRV-0</t>
  </si>
  <si>
    <t>KlK23-MaStRV-0</t>
  </si>
  <si>
    <t>GrK23-MaStRV-0</t>
  </si>
  <si>
    <t>GeK23-MaStRV-0</t>
  </si>
  <si>
    <t>WiK23-MaStRV-0</t>
  </si>
  <si>
    <t>WnK23-MaStRV-0</t>
  </si>
  <si>
    <t>WrK23-MaStRV-0</t>
  </si>
  <si>
    <t>WfK23-MaStRV-0</t>
  </si>
  <si>
    <t>SoK23-MaStRV-0</t>
  </si>
  <si>
    <t>SgK23-MaStRV-0</t>
  </si>
  <si>
    <t>Verringerung auf null nach § 23 MaStRV, nicht fällig werdende Ansprüche der Förderung bei unterlassener Registrierung im MaStR</t>
  </si>
  <si>
    <t>WaK5212a-----0</t>
  </si>
  <si>
    <t>BiK5212a-----0</t>
  </si>
  <si>
    <t>GaK5212a-----0</t>
  </si>
  <si>
    <t>DeK5212a-----0</t>
  </si>
  <si>
    <t>KlK5212a-----0</t>
  </si>
  <si>
    <t>GrK5212a-----0</t>
  </si>
  <si>
    <t>GeK5212a-----0</t>
  </si>
  <si>
    <t>WiK5212a-----0</t>
  </si>
  <si>
    <t>WnK5212a-----0</t>
  </si>
  <si>
    <t>WrK5212a-----0</t>
  </si>
  <si>
    <t>WfK5212a-----0</t>
  </si>
  <si>
    <t>SoK5212a-----0</t>
  </si>
  <si>
    <t>SgK5212a-----0</t>
  </si>
  <si>
    <t>Verringerung auf null nach § 52 Abs. 1 Nr. 2a (Verstoß gegen Vorgaben zur Direktvermarktung)</t>
  </si>
  <si>
    <t>SgK2521-SV---0</t>
  </si>
  <si>
    <t>WaK23b1iMS-aMW</t>
  </si>
  <si>
    <t>BiK23b1iMS-aMW</t>
  </si>
  <si>
    <t>GaK23b1iMS-aMW</t>
  </si>
  <si>
    <t>GeK23b1iMS-aMW</t>
  </si>
  <si>
    <t>WiK23b1iMS-aMW</t>
  </si>
  <si>
    <t>SoK23b1iMS-aMW</t>
  </si>
  <si>
    <t>ausgeförderte Anlagen mit intelligentem Messsystem, 0 bis 100 kW</t>
  </si>
  <si>
    <t>Inbetriebnahme 25.07.2017 - 31.12.2020</t>
  </si>
  <si>
    <t>40 - 750 kW</t>
  </si>
  <si>
    <t>§ 52 Abs. 1 Satz 1 Nr. 4 EEG 2017/2021: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t>
  </si>
  <si>
    <t>§ 25 Abs. 1 Nr. 4 EEG 2014: Der anzulegende Wert nach § 23 Abs. 1 Satz 2 EEG 2014 verringert sich sich auf null, solange der Nachweis nach § 100 Abs. 2 Satz 2 EEG 2014 der Nachweis nach § 100 Abs. 2 Satz 3 EEG 2014 nicht erbracht ist, d. h. solange der Nachweis für die endgültige Stilllegung einer anderen Biomethananlage nicht erbracht ist.
§ 52 Abs. 1 Satz 1 Nr. 5 EEG 2017: Der anzulegende Wert  verringert sich sich auf null, solange der Nachweis nach § 100 Abs. 3 Satz 2 EEG 2017 der Nachweis nach § 100 Abs. 3 Satz 3 EEG 2017 nicht erbracht ist, d. h. solange der Nachweis für die endgültige Stilllegung einer anderen Biomethananlage nicht erbracht ist.</t>
  </si>
  <si>
    <t>Verringerung Marktprämie auf null nach § 47 Abs. 1 (Einspeisung &gt; Höchstbemessungsleistung)</t>
  </si>
  <si>
    <t>§ 53a EEG 2017: Der durch §§ 46 bis 46b gesetzlich bestimmte anzulegende Wert verringert sich bei Windenergieanlagen an Land auf null, wenn der Einspeisewillige nach § 22 Abs. 2 Satz 2 Nr. 2 Buchstabe c EEG 2017 auf den gesetzlich bestimmten Förderungsanspruch verzichtet hat. Dabei handelt es sich um Anlagen, bei denen nach § 22 Abs. 2 Satz 2 Nr. 2 EEG 2017 von der Bundesnetzagentur erteilte Zuschläge nicht erforderlich sind, um einen Anspruch nach § 19 Abs. 1 EEG 2017 geltend zu machen. Sofern der Anlagenbetreiber gegenüber der Bundesnetzagetur bis zum 31.03.2017 erklärt, dass er auf den gesetzlich bestimmten Anspruch verzichtet, eröffnet sich für ihn die Möglichkeit, am Ausschreibungsverfahren teilzunehmen. 
Die Information über den Verzicht erhält der Anschlussnetzbetreiber von der Bundesnetzagentur.
Diese Kategorien sind unter Berücksichtigung der Übergangsbestimmungen nach § 100 Abs. 1 Nr. 1 EEG 2017 nur für Anlagen mit Inbetriebnahme ab dem 01.01.2017 anzuwenden.
Der Anspruch auf eine durch Ausschreibung ermittelte Zahlung nach § 19 Abs. 1 EEG 2017 bleibt unberührt. Ist die Anlage im Ausschreibungsverfahren bezuschlagt worden, dürfen diese Kategorien nicht gemeldet werden, sondern es dürfen ausschließlich die für das Ausschreibungsverfahren vorgesehenen Kategorien gemeldet werden, da es andernfalls zu einer Doppelmeldung der Strommenge käme.
Der Strom, der in dieser Kategorie gemeldet wird,  fließt in die Summenberechnung der Energiemenge ein, die der Berechnung der vNNE zugrunde gelegt und in den Rechnungen, Testaten ausgewiesen wird.
§ 53a ist im EEG 2021 aufgehoben, so dass diese Regelung nur Anwendung findet für Strom aus Anlagen, die vor dem 01.01.2021 in Betrieb genommen worden sind.</t>
  </si>
  <si>
    <r>
      <t xml:space="preserve">§ 100 Abs. 4 Nr. 1 EEG 2014: Für jeden Kalendermonat, den ein Anlagenbetreiber ganz oder teilweise den Anforderungen der Systemstabilitätsverordnung nach der gesetzten Frist nicht nachkommt, verringert sich bei Anlagen mit RLM-Messung  der Vergütungs- bzw. Prämienanspruch auf 0; für Anlagen ohne RLM-Messung um ein Zwölftel des im Kalenderjahr entstandenen Vergütungsanspruchs. Letzteres entspricht einem Entfall der Vergütung für ein Zwölftel der Jahresstrommenge.
§ 100 Abs. 5 EEG 2017: Für jeden Kalendermonat, den ein Anlagenbetreiber ganz oder teilweise den Anforderungen der Systemstabilitätsverordnung nach der gesetzten Frist nicht nachkommt, verringert sich bei Anlagen mit RLM-Messung  der Vergütungs- bzw. Prämienanspruch auf null; für Anlagen ohne RLM-Messung um ein Zwölftel des im Kalenderjahr entstandenen Vergütungsanspruchs. Letzteres entspricht einem Entfall der Vergütung für ein Zwölftel der Jahresstrommenge.
</t>
    </r>
    <r>
      <rPr>
        <b/>
        <sz val="10"/>
        <color indexed="8"/>
        <rFont val="Arial"/>
        <family val="2"/>
      </rPr>
      <t xml:space="preserve">
Bei Vorhandensein einer RLM-Messung können die in den jeweiligen Kalendermonaten erzeugten Energiemengen exakt ermittelt werden. Ohne eine RLM-Messung ist die Strommenge und Vergütungshöhe jeder Vergütungskategorie im Kalenderjahr um ein Zwölftel pro Kalendermonat zu kürzen. In beiden Fällen sind die nicht vergüteten Strommengen in diesen Kategorien zu erfassen.
In den bundesweiten Belastungsausgleich fließen die Marktprämienmodell vermarkteten Strommengen nicht ein. Daher sind diese Strommengen getrennt auszuweisen.</t>
    </r>
  </si>
  <si>
    <t>§101 Abs. 1 EEG 2014 und § 101 Abs. 1 EEG 2017: Für Biogasanlagen mit Inbetriebnahme vor dem 01.08.2014, zusätzlich ab dem 01.10.2017 für Biomasseanlagen nach § 100 Abs. 4 EEG 2017, verringert sich der Vergütungsanspruch für jede Kilowattstunde Strom, um die in einem Kalenderjahr die vor dem 01.08.2014 erreichte Höchstbemessungsleistung der Anlage überschritten wird, auf den Monatsmarktwert. Im Fall der Anlagen nach § 100 Abs. 4 EEG 2017 berechnet sich abweichend die Höchstbemessungsleistung nach § 101 Abs. 1 Satz 4 EEG 2017.</t>
  </si>
  <si>
    <t>Marktwert</t>
  </si>
  <si>
    <t>48a für Mieterstrom ab IB 01.01.2021</t>
  </si>
  <si>
    <t>Inbetriebnahmejahr (2-stellig) für Vergütungskategorien nach §§ 40 bis 48a, die vom Inbetriebnahmejahr abhängig sind</t>
  </si>
  <si>
    <t>- Anschlussförderung für Altholzanlagen nach § 101 EEG 2021.</t>
  </si>
  <si>
    <t>Verringerung auf null nach § 25 Abs. 1 Nr. 2 (Nichtmeldung einer Leistungserhöhung an das Anlagenregister)</t>
  </si>
  <si>
    <r>
      <t>§ 33 Abs. 2 EEG 2012 n.F. (Marktintegrationsmodell): Die nach EEG förderfähige Strommenge ist für PV-Anlagen nach § 32 Abs. 2 und 3 EEG 2012 n.F. (Gebäude-Anlagen) mit einer installierten Leistung von mehr als 10 kW bis einschließlich 1 MW auf 90 % der im Kalenderjahr erzeugten Strommengen begrenzt. Für darüber hinausgehende Strommengen, die weder vom Anlagenbetreiber oder nach § 33a Abs. 2 EEG 2012 oder § 20 Abs. 3 Nr. 2 EEG 2014 durch Dritte verbraucht noch nach § 33b Nr. 3 EEG 2012 oder § 20 Abs. 1 Nr. 2 EEG 2014 direkt vermarktet wurden ("Sonstige Direktvermarktung"), verringert sich der Vergütungsanspruch auf den tatsächlichen Mittelwert des Marktwertes Solar. Für RLM-gemessene PV-Anlagen ist der Monatsmittelwert des Marktwerts MW</t>
    </r>
    <r>
      <rPr>
        <b/>
        <vertAlign val="subscript"/>
        <sz val="10"/>
        <color indexed="8"/>
        <rFont val="Arial"/>
        <family val="2"/>
      </rPr>
      <t>Solar</t>
    </r>
    <r>
      <rPr>
        <b/>
        <sz val="10"/>
        <color indexed="8"/>
        <rFont val="Arial"/>
        <family val="2"/>
      </rPr>
      <t xml:space="preserve"> zu verwenden, für Anlagen ohne RLM-Messung der Jahresmittelwert des Marktwertes MW</t>
    </r>
    <r>
      <rPr>
        <b/>
        <vertAlign val="subscript"/>
        <sz val="10"/>
        <color indexed="8"/>
        <rFont val="Arial"/>
        <family val="2"/>
      </rPr>
      <t>Solar(a)</t>
    </r>
    <r>
      <rPr>
        <b/>
        <sz val="10"/>
        <color indexed="8"/>
        <rFont val="Arial"/>
        <family val="2"/>
      </rPr>
      <t>, der ein Zwölftel der Summe aller Monatsmittelwerte des Kalenderjahres ist.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Wird die über 90 % hinausgehende, nicht förderfähige Strommenge in der Form der Direktvermarktung nach § 33b Nr. 1 EEG 2012 oder § 20 Abs. 1 Nr. 1 EEG 2014 ("Marktprämienmodell") vermarktet, reduziert sich der anzulegende Wert nach § 33h EEG 2012 auf den Monatsmittelwert  des Marktwerts MW</t>
    </r>
    <r>
      <rPr>
        <b/>
        <vertAlign val="subscript"/>
        <sz val="10"/>
        <color indexed="8"/>
        <rFont val="Arial"/>
        <family val="2"/>
      </rPr>
      <t>Solar</t>
    </r>
    <r>
      <rPr>
        <b/>
        <sz val="10"/>
        <color indexed="8"/>
        <rFont val="Arial"/>
        <family val="2"/>
      </rPr>
      <t>, d.h. die Marktprämie reduziert sich faktisch auf die  Managementprämie. 
Die nicht förderfähige Strommenge fließt in die Berechnung der vNNE ein, außer im Fall der Direktvermarktung auch in den bundesweiten Belastungsausgleich.</t>
    </r>
  </si>
  <si>
    <r>
      <t>§ 33 Abs. 4 EEG 2012 n.F.: Der Strom aus PV-Anlagen darf nur dann über eine gemeinsame Messeinrichtung erfasst werden, wenn alle gemeinsam gemessenen Anlagen die gleiche Begrenzung der förderfähigen Strommenge nach § 33 Abs. 1 EEG 2012 n.F. (Marktintegrationsmodell) aufweisen. Andernfalls verringert sich der Vergütungsanspruch für den gesamten Strom sämtlicher gemeinsam gemessener Anlagen auf den tatsächlichen Jahresmittelwert des Marktwertes MW</t>
    </r>
    <r>
      <rPr>
        <b/>
        <vertAlign val="subscript"/>
        <sz val="10"/>
        <color indexed="8"/>
        <rFont val="Arial"/>
        <family val="2"/>
      </rPr>
      <t>Solar(a)</t>
    </r>
    <r>
      <rPr>
        <b/>
        <sz val="10"/>
        <color indexed="8"/>
        <rFont val="Arial"/>
        <family val="2"/>
      </rPr>
      <t>, der ein Zwölftel der Summe aller Monatsmittelwerte des Kalenderjahres ist. Dies gilt bis zum Ablauf des ersten Kalendermonats, der auf die Beendigung des Verstoßes folgt.
Der Jahresmittelwert des Marktwertes MW</t>
    </r>
    <r>
      <rPr>
        <b/>
        <vertAlign val="subscript"/>
        <sz val="10"/>
        <color indexed="8"/>
        <rFont val="Arial"/>
        <family val="2"/>
      </rPr>
      <t>Solar(a)</t>
    </r>
    <r>
      <rPr>
        <b/>
        <sz val="10"/>
        <color indexed="8"/>
        <rFont val="Arial"/>
        <family val="2"/>
      </rPr>
      <t xml:space="preserve"> ist nicht identisch zum Jahresmarktwert JW</t>
    </r>
    <r>
      <rPr>
        <b/>
        <vertAlign val="subscript"/>
        <sz val="10"/>
        <color indexed="8"/>
        <rFont val="Arial"/>
        <family val="2"/>
      </rPr>
      <t>Solar</t>
    </r>
    <r>
      <rPr>
        <b/>
        <sz val="10"/>
        <color indexed="8"/>
        <rFont val="Arial"/>
        <family val="2"/>
      </rPr>
      <t xml:space="preserve"> gemäß Anlage 1 Nr. 4.3 EEG 2021. Beide Werte sind auf der gemeinsamen ÜNB-Homepage www.netztransparenz.de veröffentlicht.
Während § 33 Abs. 1 und 2 EEG 2012 n.F. nur für PV-Anlagen gilt, die nach dem 31.03.2012 und vor dem 01.08.2014 in Betrieb genommen wurden und einen Vergütungsanspruch nach § 32 Abs. 2 und 3 EEG 2012 (Gebäude-Anlagen) haben, gilt diese Sanktion für sämtliche PV-Anlagen, also auch Freiflächenanlagen und Anlagen mit Inbetriebnahme vor dem 01.04.2012.
Die sanktionierte Strommenge fließt in die Berechnung der vNNE ein, außer im Fall der Direktvermarktung auch in den bundesweiten Belastungsausgleich.</t>
    </r>
  </si>
  <si>
    <t xml:space="preserve">§ 35 EEG 2014: Der Anspruch auf Zahlung der Marktprämie besteht nur, wenn
1. für den Strom kein vermiedenes Netzentgelt in Anspruch genommen wird,
2. der Strom in einer Anlage erzeugt wird, fernsteuerbar im Sinne des § 36 EEG 2014 ist (diese Voraussetzung muss nicht vor Beginn des zweiten auf die Inbetriebnahme der Anlage folgenden Kalendermonats erfüllt sein), und
3. der Strom ausschließlich in einem Bilanz- oder Unterbilanzkreis bilanziert wird, in dem ausschließlich Strom in der Marktprämie bilanziert wird, bzw. sofern die Einstellung anderweitiger Mengen nicht vom Anlagenbetreiber und vom Direktvermarktungsunternehmer zu vertreten ist.
Darüber hinaus ergibt sich rechnerisch ein Anspruch auf eine Marktprämie in der Höhe von 0 ct/kWh, wenn der Strom nach § 25 EEG 2014 sanktioniert wird. Die entsprechenden Strommengen sind entweder über die Kategorien zu § 25 EEG 2014 oder über die Kategorien zu § 35 EEG 2014 an den Übertragungsnetzbetreiber zu melden. Informationen zur Datenmeldung des VNB an den ÜNB erhalten Netzbetreiber bei ihrem zuständigen ÜNB.
Für das EEG 2017 sind analoge Regelungen in § 20 EEG 2017 formuliert. Für ab dem 01.01.2021 erzeugte Strommengen sind die analogen Regelungen der § 10b und § 20 EEG 2021 anzuwenden. Abweichend zum EEG 2014/2017 müssen die Anforderungen des § 10b EEG 2021, insbesondere die Fernsteuerbarkeit, ab Inbetriebnahme erfüllt sein. Andernfalls erfolgt eine Sanktionierung gemäß § 52 Abs. 1 Nr. 2a EEG 2021. </t>
  </si>
  <si>
    <t>WaK1007M----12</t>
  </si>
  <si>
    <t>0-0,5 MW, Anlage nur bis 500 kW installierte Leistung, IB vor 01.01.2009, Modernisierung 2012</t>
  </si>
  <si>
    <t>0-0,5 MW, Anlage nur bis 500 kW installierte Leistung, IB vor 01.01.2009, Modernisierung 2013</t>
  </si>
  <si>
    <t>WaK1007M----13</t>
  </si>
  <si>
    <t>WaK1007M010714</t>
  </si>
  <si>
    <t>Modernisierung 01-07/2014</t>
  </si>
  <si>
    <t>0-0,5 MW, Anlage nur bis 500 kW installierte Leistung, IB vor 01.01.2009, Modernisierung 2014</t>
  </si>
  <si>
    <t>WaK1007M081214</t>
  </si>
  <si>
    <t>WaK1007M----15</t>
  </si>
  <si>
    <t>0-0,5 MW, Anlage nur bis 500 kW installierte Leistung, IB vor 01.01.2009, Modernisierung 2015</t>
  </si>
  <si>
    <t>WaK1007M----16</t>
  </si>
  <si>
    <t>0-0,5 MW, Anlage nur bis 500 kW installierte Leistung, IB vor 01.01.2009, Modernisierung 2016</t>
  </si>
  <si>
    <t>WaK1007M----17</t>
  </si>
  <si>
    <t>0-0,5 MW, Anlage nur bis 500 kW installierte Leistung, IB vor 01.01.2009, Modernisierung 2017</t>
  </si>
  <si>
    <t>WaK1007M----18</t>
  </si>
  <si>
    <t>0-0,5 MW, Anlage nur bis 500 kW installierte Leistung, IB vor 01.01.2009, Modernisierung 2018</t>
  </si>
  <si>
    <t>WaK1007M----19</t>
  </si>
  <si>
    <t>0-0,5 MW, Anlage nur bis 500 kW installierte Leistung, IB vor 01.01.2009, Modernisierung 2019</t>
  </si>
  <si>
    <t>WaK1007M----20</t>
  </si>
  <si>
    <t>0-0,5 MW, Anlage nur bis 500 kW installierte Leistung, IB vor 01.01.2009, Modernisierung 2020</t>
  </si>
  <si>
    <t>Kategorien für Anlagen, die Kommunen finanziell beteiligt haben</t>
  </si>
  <si>
    <t>Inbetriebnahme ab 01/2021</t>
  </si>
  <si>
    <t>WnK36k------FB</t>
  </si>
  <si>
    <t>36k für kfinazielle Beiteiligung von Kommunen</t>
  </si>
  <si>
    <t>BiK22-innov-AS</t>
  </si>
  <si>
    <t>WnK22-innov-AS</t>
  </si>
  <si>
    <t>WfK22-innov-AS</t>
  </si>
  <si>
    <t>SoK22-innov-AS</t>
  </si>
  <si>
    <t>SgK22-innov-AS</t>
  </si>
  <si>
    <t>BiK81M1bK20y07</t>
  </si>
  <si>
    <t>BiK81M1bK20-07</t>
  </si>
  <si>
    <t>BiK82M2bK20-07</t>
  </si>
  <si>
    <t>BiK82M2bK20y07</t>
  </si>
  <si>
    <t>BiK83a2bK20-07</t>
  </si>
  <si>
    <t>0-0,15 MW, Bonusregeln M1, b und K erstmals 2020</t>
  </si>
  <si>
    <t>0-0,15 MW, Bonusregeln M1, y, b und K erstmals 2020</t>
  </si>
  <si>
    <t>0,15-0,5 MW, Bonusregeln M2, b und K erstmals 2020</t>
  </si>
  <si>
    <t>0,15-0,5 MW, Bonusregeln M2, y, b und K erstmals 2020</t>
  </si>
  <si>
    <t>0,5-5 MW, Bonusregeln a2 und b und K erstmals 2020</t>
  </si>
  <si>
    <t>BiK81LbK20--05</t>
  </si>
  <si>
    <t>BiK81LbK20y-05</t>
  </si>
  <si>
    <t>BiK82LbK20--05</t>
  </si>
  <si>
    <t>BiK82LbK20y-05</t>
  </si>
  <si>
    <t>BiK83a2bK20-05</t>
  </si>
  <si>
    <t>0-0,15 MW, Bonusregeln L, y, b, erstmals 2020</t>
  </si>
  <si>
    <t>0-0,15 MW, Bonusregeln L, b, erstmals 2020</t>
  </si>
  <si>
    <t>0,15-0,5 MW, Bonusregeln L, b, erstmals 2020</t>
  </si>
  <si>
    <t>0,15-0,5 MW, Bonusregeln L, y, b, erstmals 2020</t>
  </si>
  <si>
    <t>0,5-5 MW, Bonusregeln a2 und b, erstmals 2020</t>
  </si>
  <si>
    <t>BiK51nM1K14-02</t>
  </si>
  <si>
    <t>0-0,15 MW, Bonusregeln y und K erstmals 2017</t>
  </si>
  <si>
    <t>BiK51nK17y--01</t>
  </si>
  <si>
    <t>BiK51nK17y--02</t>
  </si>
  <si>
    <t>BiK51nK17---02</t>
  </si>
  <si>
    <t>BiK51aK17y--02</t>
  </si>
  <si>
    <t>BiK51aK17---02</t>
  </si>
  <si>
    <t>0,15-0,5 MW, Bonusregeln y und K erstmals 2017</t>
  </si>
  <si>
    <t>BiK51nK17y--03</t>
  </si>
  <si>
    <t>BiK51aK17y--03</t>
  </si>
  <si>
    <t>BiK51nM1K13y03</t>
  </si>
  <si>
    <t>BiK51aM2K13y03</t>
  </si>
  <si>
    <t>BiK81K17y---04</t>
  </si>
  <si>
    <t>BiK82K17y---04</t>
  </si>
  <si>
    <t>BiK81K17y---07</t>
  </si>
  <si>
    <t>BiK82K17y---07</t>
  </si>
  <si>
    <t>Ergänzung Vorbehaltshinweis zur beihilferechtlichen Genehmigung durch EU-KOM für Mieterstromzuschlag, Zuschlagserteilung nach dem 31.12.2020, ausgeförderte Windenergieanlagen und Absenkung der anzulegenden Werte für Strom aus solarer Strahlungsenergie 
Ergänzung Kategorien für Wasserkraft &lt; 500 kW mit IB vor 01.01.2009 und Modernisierung 2012 bis 2020 (Erhöhung 3 ct/kWh)
Ergänzung Kategorien für Innovationsauschreibungen
Ergänzung Kategorie für finanzielle Beteiligung von Kommunen
Ergänzung der Vergütungssätze für PV-Anlagen mit Inbetriebnahme Februar 2021 bis April 2021
Ergänzung der Kategorien BiK51nK17y--01, BiK51nK17---02, BiK51nK17y--02, BiK51aK17---02, BiK51aK17y--02, BiK51nM1K14-02, BiK51nK17y--03, BiK51aK17y--03, BiK51nM1K13y03, BiK51aM2K13y03, BiK81K17y---04, BiK82K17y---04, BiK81LbK20--05, BiK81LbK20y-05, BiK82LbK20--05, BiK82LbK20y-05, BiK82LbK20--05, BiK81K17y---07, BiK82K17y---07, BiK81M1bK20-07, BiK81M1bK20y07, BiK82M2bK20-07, BiK82M2bK20y07, BiK83a2bK20-07</t>
  </si>
  <si>
    <t>BiK51aM2K14-02</t>
  </si>
  <si>
    <t>0,15-0,5 MW, Bonusregel M2 und K erstmals 2014</t>
  </si>
  <si>
    <t>BiK81M1K20--06</t>
  </si>
  <si>
    <t>BiK82M2K20--06</t>
  </si>
  <si>
    <t>0-0,15 MW, Bonusregeln M1, K erstmals 2020</t>
  </si>
  <si>
    <t>0,15-0,5 MW, Bonusregeln M2, K erstmals 2020</t>
  </si>
  <si>
    <t>Anpassung Vorbehaltshinweis zur beihilferechtlichen Genehmigung durch EU-KOM (Tabellenblatt 'Vorbehalt und Haftungsauschluss')
Ergänzung der Vergütungssätze für PV-Anlagen mit Inbetriebnahme Mai 2021 bis Juli 2021
Ergänzung der Kategorien BiK51aM2K14-02, BiK81M1K20--06 und BiK82M2K20--06</t>
  </si>
  <si>
    <t>- Anschlussförderung für Grubengasanlagen nach § 102 EEG 2021-2.</t>
  </si>
  <si>
    <t>- Zulässigkeit finanzielle Beteiligung von Kommunen für Freiflächenanlagen gemäß § 6 Abs. 3 EEG 2021-2</t>
  </si>
  <si>
    <t>finanzielle Beteiligung von Kommunen nach § 6 EEG 2021</t>
  </si>
  <si>
    <t>Die Erhöhung des Marktwertes für ausgeförderte Windenergieanlagen an Land nach § 23b Absatz 2 Satz 2 EEG 2021 wurde nicht genehmigt und wird durch eine neue Regelung gemäß §23b Abs. 2 bis 5 EEG 2021-2 ("Frühjahresnovelle") ersetzt, die selbst keine genehmigungspflichtige Beihilfe darstellt.</t>
  </si>
  <si>
    <t xml:space="preserve">Ergänzung der Vergütungssätze für PV-Anlagen mit Inbetriebnahme August 2021 bis Oktober 2021 
Anpassung hinsichtlich beihilferechtlicher Genehmigung des EEG 2021 durch EU-KOM:
Zulässigkeit der Kategorien für Mieterstromzuschlag ab Inbetriebnahmedatum 01.01.2021
Änderung des Vergütungssatzes für Geothermie-Anlagen auf der Basis der Degression gemäß § 45 Abs. 2 EEG 2021 (keine Degression bis 2023)
Änderung der Vergütungssätze für PV-Anlagen mit Inbetriebnahme Februar 2021 bis Juli 2021 auf der Basis der Degression gemäß § 49 EEG 2021 in Höhe von 1,4 %
Überarbeitung Vorbehaltshinweis zur beihilferechtlichen Genehmigung durch EU-KOM.
</t>
  </si>
  <si>
    <t>§ 48 Abs. 1 EEG 2021</t>
  </si>
  <si>
    <t>§ 48a EEG 2021</t>
  </si>
  <si>
    <t>zum 31.12.2020 ausgeförderte Windenergie-Anlagen</t>
  </si>
  <si>
    <t>zum 31.12.2020 ausgeförderte Windenergie-Anlagen (entfallen mit EEG 2021-2)</t>
  </si>
  <si>
    <t>bezuschlagt in einem Ausschreibungsverfahren (entfallen mit EEG 2021-2)</t>
  </si>
  <si>
    <t>zum 31.12.2020 ausgeförderte Windenergie-Anlagen mit intelligentem Messsystem</t>
  </si>
  <si>
    <t>Betreiber von Windenergieanlagen an Land mit Inbetriebnahme nach dem 31.12.2020, die einen Zuschlag für ihre Anlage erhalten, dürfen gemäß § 36k EEG 2021 den Gemeinden, die von der Errichtung der Windenergieanlage betroffen sind, Beträge durch einseitige Zuwendung ohne Gegenleistung von insgesamt 0,2 Cent pro Kilowattstunde für die tatsächliche eingespeiste Strommenge und für die fiktive Strommenge nach Anlage 2 Nummer 7.2 EEG 2021 anbieten.
Für diese Kategorie wird keine Strommenge, sondern nur die finanzielle Beteiligung an die jeweilige Kommune als positiver Euro-Betrag gemeldet.
Die Meldung kann auschließlich im Rahmen einer Jahresabrechnung erfolgen.
Gelöscht, da durch Kategorie für § 6 Absatz 2 EEG 2021 ersetzt.</t>
  </si>
  <si>
    <t>WnK62-------FB</t>
  </si>
  <si>
    <t>SoK63-------FB</t>
  </si>
  <si>
    <t>SgK23MaStRVSV0</t>
  </si>
  <si>
    <t>Gelöscht, da mit EEG 2021-2 entfallen</t>
  </si>
  <si>
    <t>Inbetriebnahme bis 31.12.2000</t>
  </si>
  <si>
    <t>WiK23b2----AUF</t>
  </si>
  <si>
    <t>Aufschlag nach § 23b Abs. 2 EEG 2021-2</t>
  </si>
  <si>
    <t>einmalig für Leistungsjahr 2021</t>
  </si>
  <si>
    <t>Kategorie für Aufschlag gem. § 23b Abs. 2 EEG 2021-2 für ausgeförderte Windenergieanlagen</t>
  </si>
  <si>
    <t>Ergänzung Kategorie für finanzielle Beteiligung von Kommunen für Freiflächenanlagen und Umbenennung der Kategorie für Windenergieanlagen an Land
Ergänzung Kategorie SgK23MaStRVSV0
Löschung Kategorien WiK23b22---eMW, WiK23b21----AS
Ergänzung Kategorie für Aufschlag gem. § 23b Abs. 2 EEG 2021-2 für ausgeförderte Windenergieanlagen
Ergänzung der Kategorien BiK51nGK17y-03, BiK51aGK17y-03, BiK51nK20---03 und BiK51aK20---03</t>
  </si>
  <si>
    <t>BiK51nGK17y-03</t>
  </si>
  <si>
    <t>BiK51aGK17y-03</t>
  </si>
  <si>
    <t>BiK51nK20---03</t>
  </si>
  <si>
    <t>BiK51aK20---03</t>
  </si>
  <si>
    <t>Unter den Voraussetzungen des § 23b Abs. 3 EEG 2021-2 können zum 31.12.2020 ausgeförderte Windenergieanlagen für das Leistungsjahr 2021 einmalig einen Aufschlag für die Strommenge in der Einspeisevergütung nach § 19 Abs. 1 Nr. 2 EEG 2021-2 erhalten. Gemäß § 23b Abs. 2 EEG 2021-2 beträgt die Höhe des Aufschlages 1,0 ct/kWh für Strom, der vor dem 01.07.2021 erzeugt worden ist, 0,5 ct/kWh für Strom, der nach dem 30.06.2021 und vor dem 01.10.2021 erzeugt worden ist und 0,25 ct/kWh für Strom, der nach dem 30.09.2021 und vor dem 01.01.2022 erzeugt worden ist.
Für diese Kategorie wird keine Strommenge, sondern nur der Aufschlag als positiver Euro-Betrag gemeldet.
Informationen zur Datenmeldung des VNB an den ÜNB erhalten Netzbetreiber bei ihrem zuständigen ÜNB.</t>
  </si>
  <si>
    <t>Ergänzung der Vergütungssätze für PV-Anlagen mit Inbetriebnahme November 2021 bis Dezember 2021
Anpassung Beschreibung der Kategorie für Aufschlag gem. § 23b Abs. 2 EEG 2021-2 für ausgeförderte Windenergieanlagen</t>
  </si>
  <si>
    <t>WaK20---MPM-AB</t>
  </si>
  <si>
    <t>BiK20---MPM-AB</t>
  </si>
  <si>
    <t>GaK20---MPM-AB</t>
  </si>
  <si>
    <t>DeK20---MPM-AB</t>
  </si>
  <si>
    <t>KlK20---MPM-AB</t>
  </si>
  <si>
    <t>GrK20---MPM-AB</t>
  </si>
  <si>
    <t>GeK20---MPM-AB</t>
  </si>
  <si>
    <t>WiK20---MPM-AB</t>
  </si>
  <si>
    <t>WnK20---MPM-AB</t>
  </si>
  <si>
    <t>WrK20---MPM-AB</t>
  </si>
  <si>
    <t>WfK20---MPM-AB</t>
  </si>
  <si>
    <t>SoK20---MPM-AB</t>
  </si>
  <si>
    <t>SgK20---MPM-AB</t>
  </si>
  <si>
    <t>Marktwerte Januar [ct/kWh]</t>
  </si>
  <si>
    <t>Marktwerte Februar [ct/kWh]</t>
  </si>
  <si>
    <t>Marktwerte März [ct/kWh]</t>
  </si>
  <si>
    <t>Marktwerte April [ct/kWh]</t>
  </si>
  <si>
    <t>Marktwerte Mai [ct/kWh]</t>
  </si>
  <si>
    <t>Marktwerte Juni [ct/kWh]</t>
  </si>
  <si>
    <t>Marktwerte Juli [ct/kWh]</t>
  </si>
  <si>
    <t>Marktwerte August [ct/kWh]</t>
  </si>
  <si>
    <t>Marktwerte September [ct/kWh]</t>
  </si>
  <si>
    <t>Marktwerte Oktober [ct/kWh]</t>
  </si>
  <si>
    <t>Marktwerte November [ct/kWh]</t>
  </si>
  <si>
    <t>Marktwerte Dezember [ct/kWh]</t>
  </si>
  <si>
    <t>Strommenge 
[kWh] für das Kalenderjahr</t>
  </si>
  <si>
    <t>Strom-menge
Januar [kWh]</t>
  </si>
  <si>
    <t>Strom-menge
Februar [kWh]</t>
  </si>
  <si>
    <t>Strom-menge
März [kWh]</t>
  </si>
  <si>
    <t>Strom-menge
April [kWh]</t>
  </si>
  <si>
    <t>Strom-menge
Mai [kWh]</t>
  </si>
  <si>
    <t>Strom-menge
Juni [kWh]</t>
  </si>
  <si>
    <t>Strom-menge
Juli [kWh]</t>
  </si>
  <si>
    <t>Strom-menge
August [kWh]</t>
  </si>
  <si>
    <t>Strom-menge
September [kWh]</t>
  </si>
  <si>
    <t>Strom-menge
Oktober [kWh]</t>
  </si>
  <si>
    <t>Strom-menge
November [kWh]</t>
  </si>
  <si>
    <t>Strom-menge
Dezember [kWh]</t>
  </si>
  <si>
    <t>Markt-prämie
Januar [EUR]</t>
  </si>
  <si>
    <t>Markt-prämie
Februar [EUR]</t>
  </si>
  <si>
    <t>Markt-prämie
März [EUR]</t>
  </si>
  <si>
    <t>Markt-prämie
April [EUR]</t>
  </si>
  <si>
    <t>Markt-prämie
Mai [EUR]</t>
  </si>
  <si>
    <t>Markt-prämie
Juni [EUR]</t>
  </si>
  <si>
    <t>Markt-prämie
Juli [EUR]</t>
  </si>
  <si>
    <t>Markt-prämie
August [EUR]</t>
  </si>
  <si>
    <t>Markt-prämie
September [EUR]</t>
  </si>
  <si>
    <t>Markt-prämie
Oktober [EUR]</t>
  </si>
  <si>
    <t>Markt-prämie
November [EUR]</t>
  </si>
  <si>
    <t>Markt-prämie
Dezember [EUR]</t>
  </si>
  <si>
    <t>E12345010000000000620387850500003</t>
  </si>
  <si>
    <t>SgK4821--Nov20</t>
  </si>
  <si>
    <t>Berechnung der Marktprämie bei hohen Marktpreisen - Unzulässige Anwendung des "Topfauffüllmodells"</t>
  </si>
  <si>
    <t>Beispiel Wasserkraftanlage mit installierter Leistung von 4 MW bei einer angenommenen monatlichen Einspeisung von je 2 Mio. kWh.</t>
  </si>
  <si>
    <t>Das gibt im Jahr mit 365 Tagen eine Einspeisung von 24 Mio. kWh, was einer Bemessungsleistung von 2.739,726 kW entspricht.</t>
  </si>
  <si>
    <t xml:space="preserve"> 0-0,5 MW</t>
  </si>
  <si>
    <t>max.</t>
  </si>
  <si>
    <t>kWh/Jahr</t>
  </si>
  <si>
    <t xml:space="preserve"> 0,5-2 MW</t>
  </si>
  <si>
    <t xml:space="preserve"> 2-5 MW</t>
  </si>
  <si>
    <t>Angenommener monatlicher Marktwert (steuerbar) in ct/kWh:</t>
  </si>
  <si>
    <t>z.B. unterhalb niederigstem anzulegenden Wert (wie 6 ct/kWh), oberhalb höchsten anzulegenden Wert (wie 13 ct/kWh) und zwischen anzulegenden Werten (wie 7 oder 9 ct/kWh)</t>
  </si>
  <si>
    <t>Aufteilung aller Strommengen gemäß Bemessungsleistung auf die Leistungsstufen nach § 23d EEG</t>
  </si>
  <si>
    <t>Strommenge in kWh</t>
  </si>
  <si>
    <t>anzuleg. Wert</t>
  </si>
  <si>
    <t>Summe Jan-Dez</t>
  </si>
  <si>
    <t>Gesamtjahr</t>
  </si>
  <si>
    <t>Marktprämie</t>
  </si>
  <si>
    <t>Marktprämie vor der Kappung in Euro</t>
  </si>
  <si>
    <t>Summe vor der Kappung</t>
  </si>
  <si>
    <t>In diesem Beispiel wird für alle Monate derselbe Monatsmarktwert angenommen. Je nach zeitlicher Entwicklung des Monatsmarktwertes im Jahresverlauf kann das "Topfauffüllmodell" für den Anlagenbetreiber auch nachteilig ausfallen.</t>
  </si>
  <si>
    <t>SgK21----MW-AB</t>
  </si>
  <si>
    <t>SoK21----MW-AB</t>
  </si>
  <si>
    <t>WfK21----MW-AB</t>
  </si>
  <si>
    <t>WrK21----MW-AB</t>
  </si>
  <si>
    <t>WnK21----MW-AB</t>
  </si>
  <si>
    <t>WiK21----MW-AB</t>
  </si>
  <si>
    <t>GeK21----MW-AB</t>
  </si>
  <si>
    <t>GrK21----MW-AB</t>
  </si>
  <si>
    <t>KlK21----MW-AB</t>
  </si>
  <si>
    <t>DeK21----MW-AB</t>
  </si>
  <si>
    <t>GaK21----MW-AB</t>
  </si>
  <si>
    <t>BiK21----MW-AB</t>
  </si>
  <si>
    <t>WaK21----MW-AB</t>
  </si>
  <si>
    <t>Ausgleichsbetrag zum Ausgleich der andernfalls negativen Marktprämienzahlung</t>
  </si>
  <si>
    <t>Marktwertzahlung [EUR] für das Kalenderjahr</t>
  </si>
  <si>
    <t>Beispiel für die Datenmeldung und Darstellung von Ausgleichsbeträgen für rechnerisch negative Marktprämienzahlungen</t>
  </si>
  <si>
    <t>Beispiel für die Datenmeldung und Darstellung von Ausgleichsbeträgen für rechnerisch zu hohe Marktwertsanktionsbeträge</t>
  </si>
  <si>
    <t>Marktwerte
Februar [EUR]</t>
  </si>
  <si>
    <t>Marktwerte
März [EUR]</t>
  </si>
  <si>
    <t>Marktwerte
April [EUR]</t>
  </si>
  <si>
    <t>Marktwerte
Mai [EUR]</t>
  </si>
  <si>
    <t>Marktwerte
Juni [EUR]</t>
  </si>
  <si>
    <t>Marktwerte
Juli [EUR]</t>
  </si>
  <si>
    <t>Anzule-gender Wert [ct/kWh]</t>
  </si>
  <si>
    <t>Jan22</t>
  </si>
  <si>
    <t>HJ1</t>
  </si>
  <si>
    <t>HJ2</t>
  </si>
  <si>
    <t>Halbjahr</t>
  </si>
  <si>
    <t>§ 42 EEG</t>
  </si>
  <si>
    <t>§ 44 EEG</t>
  </si>
  <si>
    <t>§ 43 EEG</t>
  </si>
  <si>
    <t>WnK46-------22</t>
  </si>
  <si>
    <t>Inbetriebnahme 2022</t>
  </si>
  <si>
    <t xml:space="preserve"> &gt;5 MW, Zubau 0-0,5 MW</t>
  </si>
  <si>
    <t xml:space="preserve"> &gt;5 MW, Zubau 0,5-10 MW</t>
  </si>
  <si>
    <t>&gt; 5 MW, Zubau. Anspruch auf Förderung gem. § 12 Abs. 3 Satz 2 EEG 2004 zum 31.12.2021 beendet</t>
  </si>
  <si>
    <t>Ab dem 01.01.2021 gelten die besonderen Bestimmungen zur Einspeisevergütung</t>
  </si>
  <si>
    <t>bei ausgeförderten Anlagen nach § 23b EEG 2021-2</t>
  </si>
  <si>
    <t>der sich ab dem Jahr 2021 in entsprechender Anwendung von Anlage 1 Nummer 4 berechnet. Diese Einspeisevergütung ist bis 31.12.2027 befristet.</t>
  </si>
  <si>
    <t>Erneuerbare-Energien-Gesetzes am 31. Dezember 2020 beträgt der anzulegende Wert der Monatsmarktwert für Windenergieanlagen an Land. Diese Einspeisevergütung</t>
  </si>
  <si>
    <t>gilt ausschließlich für das Leistungsjahr 2021. Der anzulegende Wert erhöht sich unter den Bedingungen des § 23b Abs. 3 bis 5 EEG 2021-2 um einen Aufschlag von maximal</t>
  </si>
  <si>
    <t xml:space="preserve">  1. 1,0 Cent pro Kilowattstunde für Strom, der vor dem 1. Juli 2021 erzeugt worden ist,</t>
  </si>
  <si>
    <t xml:space="preserve">  2. 0,5 Cent pro Kilowattstunde für Strom, der nach dem 30. Juni 2021 und vor dem 1. Oktober 2021 erzeugt worden ist, und</t>
  </si>
  <si>
    <t xml:space="preserve">  3. 0,25 Cent pro Kilowattstunde für Strom, der nach dem 30. September 2021 und vor dem 1. Januar 2022 erzeugt worden ist.</t>
  </si>
  <si>
    <t>Die anzulegenden Werte reduzieren sich nach Maßgabe von § 53 Abs. 2 EEG 2021-2.</t>
  </si>
  <si>
    <t>unterjährig einsetzende neue Vergütungssätze (bei PV-Anlagen z. B. ab Juli): Monatsangaben in den Stellen 10 bis 12, Quartalsangaben Q1 bis Q4, Halbjahresangaben HJ1 und HJ2</t>
  </si>
  <si>
    <t>Marktprämie nach der Kappung</t>
  </si>
  <si>
    <t>Beispiel für die unzulässige Anwendung des "Topfauffüllmodells"</t>
  </si>
  <si>
    <t xml:space="preserve">  </t>
  </si>
  <si>
    <t>Zwischensumme</t>
  </si>
  <si>
    <t>Gesamtsumme</t>
  </si>
  <si>
    <t xml:space="preserve"> &lt;= Abzug Managementkosten gemäß § 53 Abs. 1 EEG 2021 bzw. § 53 Satz 1 EEG 2017</t>
  </si>
  <si>
    <t xml:space="preserve"> &lt;= Marktwert nach Anwendung § 53 EEG</t>
  </si>
  <si>
    <t>Einspeise-
vergütung [ct/kWh]</t>
  </si>
  <si>
    <t>Einspeise-vergütung
Januar [EUR]</t>
  </si>
  <si>
    <t>Einspeise-vergütung
August [EUR]</t>
  </si>
  <si>
    <t>Einspeise-vergütung
September [EUR]</t>
  </si>
  <si>
    <t>Einspeise-vergütung
Oktober [EUR]</t>
  </si>
  <si>
    <t>Einspeise-vergütung
November [EUR]</t>
  </si>
  <si>
    <t>Einspeise-vergütung
Dezember [EUR]</t>
  </si>
  <si>
    <t>* Angenommene fiktive Marktwerte für einzelne Kalendermonate *</t>
  </si>
  <si>
    <t>Zwischensumme (hypothetische Einspeisevergütung ohne Sanktionierung)</t>
  </si>
  <si>
    <t>Tatsächliche Auszahlung Einspeisevergütung</t>
  </si>
  <si>
    <t xml:space="preserve"> &lt;= Hypothetische Einspeisevergütung ohne Sanktionierung 1. Leistungsstufe</t>
  </si>
  <si>
    <t xml:space="preserve"> &lt;= Hypothetische Einspeisevergütung ohne Sanktionierung 2. Leistungsstufe</t>
  </si>
  <si>
    <t>* Aufteilung auf Leistungsstufen für eine PV-Anlage von 25,0 kW *</t>
  </si>
  <si>
    <t xml:space="preserve"> &lt;= Einspeisevergütung auf Basis Marktwert nach Anwendung § 53 EEG für sanktionierte Strommenge</t>
  </si>
  <si>
    <t>Für die Kategorienverwendung in den regelzonenspezifischen Datenmeldungen wenden Sie sich bitte an Ihren zuständigen Übertragungsnetzbetreiber.</t>
  </si>
  <si>
    <t>Kategorien zum Ausgleich bzw. zur Abschöpfung von Marktwertzahlungen, wenn diese über der hypothetischen Einspeisevergütung ohne Sanktionierung liegen</t>
  </si>
  <si>
    <t>Gemäß § 23d EEG 2021 und ebenso in allen Vorgängerversionen dieser Regelung ist jede kWh gemäß der installierten oder Bemessungsleistung auf alle Leistungsstufen aufzuteilen. Eine Zuteilung von einzelnen Strommengen nur bestimmten Leistungsstufen ist unzulässig. Das gilt gleichmaßen für eine monatlich unterschiedliche Aufteilung, z.B. im Januar mit der ersten Leistungsstufe beginnend, bis die maximal zulässige Strommenge dieser Leistungsstufe erreicht ist, um erst im Anschluss mit der nächsten Leistungsstufe fortzufahren. Bildlich gesprochen wird bei diesem Ansatz erst der "Topf" der ersten Leistungsstufe aufgefüllt, bis dieser voll ist, um dann den nächstgrößeren "Topf" (nächste Leistungsstufe) gleichermaßen aufzufüllen.
Dieses Verfahren wurde einst verbreitet verwendet, weil es eine monatliche Abschlagsberechnung vereinfacht, solange die jährliche Bemessungsleistung noch nicht bekannt ist. Allerdings führt das Verfahren in verschiedenen Fällen zu einem falschen Ergebnis und ist daher sowohl für die Berechnung der Einspeisevergütung als auch der Marktprämie unzulässig. Einer dieser Fälle ist die Kappung einer negativen Marktprämie aufgrund sehr hoher Marktwerte. Dies wird auf dieser Seite anhand der korrekten Aufteilung und dem unzulässigen "Topfauffüllmodell" gezeigt. Dies ist der Fall, wenn der monatliche Marktwert höher als der niedrigste anzulegende Wert einer Kategorie ist.</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</si>
  <si>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dass in diesem Fall der Einspeisevergütung analoge Anwendung findet. Für die Kategorienverwendung in den regelzonenspezifischen Datenmeldungen wenden Sie sich bitte an Ihren zuständigen Übertragungsnetzbetreiber.</t>
  </si>
  <si>
    <t>Eine beispielhafte Erläuterung zur Verwendung der Kategorien im Fall einer fiktiven PV-Anlage können Sie der nachfolgenden Tabelle entnehmen. Bitte beachten Sie auch die korrekte Aufteilung der monatlichen Strommengen auf mehrere Leistungsstufen entsprechend der Bemessungsleistung oder installierten Leistung gemäß § 23d EEG auf dem Tabellenblatt "Beispiel Leistungsstufen". Für die Kategorienverwendung in den regelzonenspezifischen Datenmeldungen wenden Sie sich bitte an Ihren zuständigen Übertragungsnetzbetreiber.</t>
  </si>
  <si>
    <t xml:space="preserve">Beispielhafte Erläuterung zur Verwendung der Kategorien können Sie dem Tabellenblatt "Beispiel Sanktion Marktwert" entnehmen. Bitte beachten Sie die Hinweise zur korrekten Aufteilung auf die Leistungszonen auf den Tabellenblatt "Beispiel Leistungsstufen". </t>
  </si>
  <si>
    <r>
      <t xml:space="preserve">Da die Höhe der Marktprämie nicht nur von der individuellen Vergütung der konkreten EEG-Anlage abhängig ist, sondern auch vom energieträgerspezifisch durchschnittlichen Marktwert im jeweiligen Kalendermonat, sind die Marktprämien-Strommenge und die ausgeschüttete Marktprämie für jeden Kalendermonat separat mit einer eigenen Kategorie zu melden, die keinen fixen Vergütungssatz in ct/kWh besitzt.
</t>
    </r>
    <r>
      <rPr>
        <b/>
        <sz val="10"/>
        <color indexed="10"/>
        <rFont val="Arial"/>
        <family val="2"/>
      </rPr>
      <t xml:space="preserve">Bitte beachten Sie die Hinweise zur korrekten Berechnung und Meldung der Marktprämie insbesondere bei hohen Marktwerten und die Aufteilung auf die Leistungsstufen auf den Tabellenblättern "Beispiel negative Marktprämie" und "Beispiel Leistungsstufen". 
</t>
    </r>
  </si>
  <si>
    <t>Sofern eine Unterscheidung zwischen dem EEG 2012 in der vom 01.01.2012 bis 31.03.2012 geltenden alten Fassung und der ab 01.04.2012 gelten neuen Fassung erforderlich ist, ist dies durch die Verwendung von EEG 2012 a.F. bzw. EEG 2012 n.F. gekennzeichnet.
Die zum 27.07.2021 in Kraft getretene "Frühjahrsnovelle" wird als EEG 2021-2 bezeichnet, sofern eine Unterscheidung zum am 01.01.2021 in Kraft getretenen EEG 2021 erforderlich ist.</t>
  </si>
  <si>
    <r>
      <t xml:space="preserve">Biomasse
</t>
    </r>
    <r>
      <rPr>
        <b/>
        <sz val="12"/>
        <color indexed="8"/>
        <rFont val="Calibri"/>
        <family val="2"/>
      </rPr>
      <t xml:space="preserve"> 
</t>
    </r>
    <r>
      <rPr>
        <b/>
        <u/>
        <sz val="12"/>
        <color indexed="8"/>
        <rFont val="Calibri"/>
        <family val="2"/>
      </rPr>
      <t>Hinweis zu KWK-Bonus nach Anlage 3 EEG 2009</t>
    </r>
    <r>
      <rPr>
        <b/>
        <sz val="12"/>
        <color indexed="8"/>
        <rFont val="Calibri"/>
        <family val="2"/>
      </rPr>
      <t xml:space="preserve"> 
Beginnend mit dem Jahr 2013 werden die Kategorien "Bonusregel K erstmals ..." nur noch bei tatsächlichem Bedarf für entsprechend umgerüstete Altanlagen in diese Tabelle aufgenommen. Sofern ein solcher Bedarf besteht, setzen sich Netzbetreiber bitte zwecks Ergänzung der Tabelle mit ihren zugeordneten ÜNB in Verbindung.
Bei erstmaliger Erfüllung der Anforderungen nach Anlage 3 EEG 2009 in den Jahren 2013 bis 2020 beträgt dieser KWK-Bonus "K13" bis "K21" 2,88 ct/kWh, 2,85 ct/kWh, 2,82 ct/kWh, 2,80 ct/kWh, 2,77 ct/kWh, 2,74 ct/kWh, 2,71 ct/kWh bzw. 2,69 ct/kWh. 
Bei erstmaliger Erfüllung der Anforderungen nach Anlage 3 EEG 2009 in den Jahren 2021 bis 2028 beträgt der Bonus 2,66 ct/kWh, 2,63 ct/kWh, 2,61 ct/kWh, 2,58 ct/kWh, 2,55 ct/kWh, 2,53 ct/kWh, 2,50 ct/kWh bzw. 2,48 ct/kWh.</t>
    </r>
  </si>
  <si>
    <t>Die Kategorien XxK20---MPM-AB dienen der Kappung einer Marktprämie auf 0 Euro, sofern der energieträgerspezifische Marktwert höher als der anzulegende Wert ist, der sich aus der Anwendung des § 23d EEG ergibt. Die Marktprämie einer Anlage ist für den betreffenden Kalendermonat zunächst mit denselben Kategorien zu melden, als wäre der Marktwert niedriger als der anzulegende Wert. Hierbei können sich für eine oder auch mehrere Kategorien negative Euro-Beträge ergeben (siehe Zwischensumme). Da bei im Ergebnis negativer Marktprämie der Wert auf ‚null‘ gesetzt werden muss, ist mit der nachfolgenden Kategorie XxK20---MPM-AB  die Differenz zu 0 Euro mit positivem Euro-Betrag (ohne Angabe einer Strommenge) zu melden. Bei der Saldierung aller Kategorien muss sich hierbei exakt 0 Euro ergeben (siehe Gesamtsumme).</t>
  </si>
  <si>
    <r>
      <t>Die Strommengen ergeben sich in der Datenmeldung aus den Vergütungskategorien, die nach den Vorgaben des jeweiligen Übertragungsnetzbetreibers verwendet werden. Sollten sich rein rechnerisch negative Marktprämienzahlungen ergeben, sind die nachstehenden Kategorien ohne Angabe der Strommenge dahingehend zu verwenden, die Marktprämie durch eine positive Angabe in Euro auf Null zu begrenzen.</t>
    </r>
    <r>
      <rPr>
        <b/>
        <sz val="10"/>
        <color indexed="10"/>
        <rFont val="Arial"/>
        <family val="2"/>
      </rPr>
      <t xml:space="preserve"> Bitte beachten Sie die Hinweise zur korrekten Berechnung und Meldung der Marktprämie insbesondere bei hohen Marktwerten und die Aufteilung auf die Leistungsstufen auf den Tabellenblättern "Beispiel negative Marktprämie" und "Beispiel Leistungsstufen". </t>
    </r>
  </si>
  <si>
    <t>Kategorien Anschlussförderung für Güllekleinanlagen nach Abschnitt 3a der Erneuerbare-Energien-Verordnung (EEV)</t>
  </si>
  <si>
    <t xml:space="preserve">Für Strom aus Anlagen, in denen Biogas eingesetzt wird, verlängert sich der ursprüngliche Anspruch auf Zahlung nach der für die Anlage maßgeblichen Fassung des Erneuerbare-Energien-Gesetzes einmalig um zehn Jahre (Anschlusszeitraum), wenn die Voraussetzungen nach § 12a und § 12b EEV sowie die Mitteilungspflichten nach § 12d EEV erfüllt sind. 
</t>
  </si>
  <si>
    <t xml:space="preserve">In dem Anschlusszeitraum ist der ursprüngliche Anspruch auf Zahlung der Höhe nach begrenzt auf die durchschnittliche Höhe des anzulegenden Werts für den in der jeweiligen Anlage erzeugten Strom in Cent pro Kilowattstunde nach dem Erneuerbare-Energien-Gesetz in der für die Anlage maßgeblichen Fassung, wobei der Durchschnitt der drei letzten Kalenderjahre des ursprünglichen Anspruchszeitraums maßgeblich ist. Zudem besteht nach § 12c Abs. 1 Nr. 2 und § 12c Abs. 2 EEV eine Anspruchsbegrenzung in Abhängigkeit von der Bemessungsleistung und dem Beginn des Anschlusszeitraums. 
</t>
  </si>
  <si>
    <t>BiK12cEEV---01</t>
  </si>
  <si>
    <t>Einspeisevergütung für Güllekleinanlagen nach § 12c EEV</t>
  </si>
  <si>
    <t>BiK12cEEVMPM01</t>
  </si>
  <si>
    <t>Marktprämie für Güllekleinanlagen nach § 12c EEV</t>
  </si>
  <si>
    <t>GrK102100---01</t>
  </si>
  <si>
    <t>GrK102100MPM01</t>
  </si>
  <si>
    <t>Kategorien Anschlussförderung für Grubengas nach  § 102 EEG 2021-2</t>
  </si>
  <si>
    <t>Einspeisevergütung für Grubengasanlagen nach § 102 Abs. 1 Satz 2  Nr. 1 EEG 2021-2 (100%)</t>
  </si>
  <si>
    <t>Marktprämie für Grubengasanlagen nach § 102 Abs. 1 Satz 2  Nr. 1 EEG 2021-2 (100%)</t>
  </si>
  <si>
    <t>Einspeisevergütung für Altholzanlagen nach § 101 Satz 4  Nr. 1 EEG 2021 (100%)</t>
  </si>
  <si>
    <t>Marktprämie für Altholzanlagen nach § 101 Satz 4  Nr. 1 EEG 2021 (100%)</t>
  </si>
  <si>
    <t>1. im Kalenderjahr 2021 100 Prozent des anzulegenden Werts für den in der jeweiligen Anlage erzeugten Strom nach dem Erneuerbare-Energien-Gesetz in der für die Anlage bisher maßgeblichen Fassung,</t>
  </si>
  <si>
    <t xml:space="preserve">2. im Kalenderjahr 2022 95 Prozent des anzulegenden Werts für den in der jeweiligen Anlage erzeugten Strom nach dem Erneuerbare-Energien-Gesetz in der für die Anlage bisher maßgeblichen Fassung, </t>
  </si>
  <si>
    <t xml:space="preserve">3. im Kalenderjahr 2023 90 Prozent des anzulegenden Werts für den in der jeweiligen Anlage erzeugten Strom nach dem Erneuerbare-Energien-Gesetz in der für die Anlage bisher maßgeblichen Fassung, </t>
  </si>
  <si>
    <t>4. im Kalenderjahr 2024 85 Prozent des anzulegenden Werts für den in der jeweiligen Anlage erzeugten Strom nach dem Erneuerbare-Energien-Gesetz in der für die Anlage bisher maßgeblichen Fassung,</t>
  </si>
  <si>
    <t>Der sich nach Satz 2 ergebende Wert wird auf zwei Stellen nach dem Komma gerundet.</t>
  </si>
  <si>
    <t>Der sich nach Satz 4 ergebende Wert wird auf zwei Stellen nach dem Komma gerundet.</t>
  </si>
  <si>
    <t>GrK102-95---01</t>
  </si>
  <si>
    <t>GrK102-95MPM01</t>
  </si>
  <si>
    <t>Einspeisevergütung für Grubengasanlagen nach § 102 Abs. 1 Satz 2  Nr. 2 EEG 2021-2 (95%)</t>
  </si>
  <si>
    <t>Marktprämie für Grubengasanlagen nach § 102 Abs. 1 Satz 2  Nr. 2 EEG 2021-2 (95%)</t>
  </si>
  <si>
    <t>Leistungsjahr 2021</t>
  </si>
  <si>
    <t>Leistungsjahr 2022</t>
  </si>
  <si>
    <t>SgK38d-----PSB</t>
  </si>
  <si>
    <t>Inbetriebnahme ab 27.07.2021</t>
  </si>
  <si>
    <t>- Projektsicherungsbeitrag nach § 38d EEG 2021-2</t>
  </si>
  <si>
    <t>Leistungsjahre 2021 und 2022</t>
  </si>
  <si>
    <t xml:space="preserve">Für Altholz-Anlagen verlängert sich der Zeitraum, nach dem Ende des ursprünglichen Anspruchs auf Zahlung, das in der Fassung des Erneuerbare-Energien-Gesetzes festgelegt ist, das bei Inbetriebnahme der Anlage anzuwenden war, einmalig bis zum 31. Dezember 2026. Der anzulegende Wert der Anschlussförderung entspricht nach Satz 4 </t>
  </si>
  <si>
    <t>Für Grubengas-Anlagen verlängert sich der Zeitraum, nach dem Ende des ursprünglichen Anspruchs auf Zahlung, das in der Fassung des Erneuerbare-Energien-Gesetzes festgelegt ist, das bei Inbetriebnahme der Anlage anzuwenden war, einmalig bis zum 31. Dezember 2024, wenn das Grubengas aus Bergwerken des aktiven oder stillgelegten Bergbaus stammt. Der anzulegende Wert der Anschlussförderung entspricht nach Satz 2</t>
  </si>
  <si>
    <t>Ausgleichsbetrag für den Fall von Marktwerten, die über den hypothetisch förderfähigen anzulegenden Werten liegen</t>
  </si>
  <si>
    <t>SgK23MSRVMSZAB</t>
  </si>
  <si>
    <t>BiK23MSRVFLPAB</t>
  </si>
  <si>
    <t>BiK23MSRVFLZAB</t>
  </si>
  <si>
    <t>Abzugsbetrag für Flexibilitätsprämie nach § 50b EEG, die nach § 23 MaStRV nicht fällig geworden ist</t>
  </si>
  <si>
    <t>Abzugsbetrag für Marktprämie nach § 20 EEG, die nach § 23 MaStRV nicht fällig geworden ist</t>
  </si>
  <si>
    <t>Abzugsbetrag für Flexibilitätszuschlag nach § 50a EEG, der nach § 23 MaStRV nicht fällig geworden ist</t>
  </si>
  <si>
    <t>Abzugsbetrag für vergüteten Selbstverbrauch nach § 33 Abs. 2 EEG 2009/2012 a.F., der nach § 23 MaStRV nicht fällig geworden ist</t>
  </si>
  <si>
    <t>Abzugsbetrag für Mieterstromzuschlag nach § 21 Abs. 3 EEG, der nach § 23 MaStRV nicht fällig geworden ist</t>
  </si>
  <si>
    <t>Abzugsbetrag für Einspeisevergütung nach § 21 Abs. 1 EEG, die nach § 23 MaStRV nicht fällig geworden ist</t>
  </si>
  <si>
    <t>Nachträgliche Zahlung für Einspeisevergütung nach § 21 Abs. 1 EEG, die nach Registrierung im MaStRV fällig geworden ist</t>
  </si>
  <si>
    <t>Nachträgliche Zahlung für vergüteten Selbstverbrauch nach § 33 Abs. 2 EEG 2009/2012 a.F., die nach Registrierung im MaStRV fällig geworden ist</t>
  </si>
  <si>
    <t>Nachträgliche Zahlung für Mieterstromzuschlag nach § 21 Abs. 3 EEG, die nach Registrierung im MaStRV fällig geworden ist</t>
  </si>
  <si>
    <t>Nachträgliche Zahlung für Marktprämie nach § 20 EEG, die nach Registrierung im MaStRV fällig geworden ist</t>
  </si>
  <si>
    <t>Nachträgliche Zahlung für Flexibilitätszuschlag nach § 50a EEG, die nach Registrierung im MaStRV fällig geworden ist</t>
  </si>
  <si>
    <t>Nachträgliche Zahlung für Flexibilitätsprämie nach § 50b EEG, die nach Registrierung im MaStRV fällig geworden ist</t>
  </si>
  <si>
    <t>Ein Beispiel für die Datenmeldung mit den Kategorien XxK23MSRV-FGAB und XxK23MSRV-FGNZ finden Sie weiter unten auf diesem Tabellenblatt.</t>
  </si>
  <si>
    <t>Ja</t>
  </si>
  <si>
    <t>Nein</t>
  </si>
  <si>
    <t>Dem Grunde nach bestehender Zahlungsanspruch Einspeisevergütung</t>
  </si>
  <si>
    <t>[kWh]</t>
  </si>
  <si>
    <t>[Euro]</t>
  </si>
  <si>
    <t>August 2021</t>
  </si>
  <si>
    <t>Juli 2021</t>
  </si>
  <si>
    <t>September 2021</t>
  </si>
  <si>
    <t>Oktober 2021</t>
  </si>
  <si>
    <t>November 2021</t>
  </si>
  <si>
    <t>Dezember 2021</t>
  </si>
  <si>
    <t>1. Schritt: Berechnung des dem Grunde nach bestehenden Zahlungsanspruchs Einspeisevergütung (monatliche Abschläge)</t>
  </si>
  <si>
    <t>SgK4821--Jan18</t>
  </si>
  <si>
    <t>Auszahlung der Abschläge gemäß § 23 MaStRV</t>
  </si>
  <si>
    <t>Registrierung der Anlage im MaStR zum Zeitpunkt des Abschlags</t>
  </si>
  <si>
    <t>2. Schritt: Prüfung der Auszahlung der Einspeisevergütung</t>
  </si>
  <si>
    <t>3. Schritt: Datenmeldung der monatliche Abschläge</t>
  </si>
  <si>
    <t>Gesamtsumme der Abschlags-Datenmeldung</t>
  </si>
  <si>
    <t>Summe
Juli bis Dezember 2021</t>
  </si>
  <si>
    <t>Innerhalb eines Leistungsjahres darf die Summe der Strommengen, die mit XxK23-MaStRV-0 gemeldet worden sind, von Januar bis zum jeweiligen Monat für keine Anlage keine negative Strommenge annehmen.</t>
  </si>
  <si>
    <t>Einspeisevergütung [ct/kWh]</t>
  </si>
  <si>
    <t>Anlage</t>
  </si>
  <si>
    <t>Ein Beispiel für die Datenmeldung mit den Kategorien XxK23-MaStRV-0 finden Sie weiter oben auf diesem Tabellenblatt.</t>
  </si>
  <si>
    <t>Sobald die verfristete Registrierung erfolgt ist, ist die nicht ausgezahlte Einspeisevergütung, für die dem Grunde nach ein Zahlungsanspruch besteht, an den Anlagenbetreiber auszuzahlen. Diese nachträglich gezahlte und bislang nicht in den Belastungsausgleich eingebrachte Einspeisevergütung kann aperiodisch dem Übertragungsnetzbetreiber gemeldet werden. Zur Verbesserung der Transparenz sind hierfür nicht die Kategorien der aperiodischen Zahlung XxK-ap------FG zu verwenden, sondern die Kategorien XxK23MSRV-FGNZ. Der positiv gemeldete Euro-Betrag darf nicht höher als der mit XxK23MSRV-FGAB gemeldete negative Euro-Betrag sein. Die Kategorie XxK23MSRV-FGNZ darf zeitlich erst nach der Meldung XxK23MSRV-FGAB erfolgen. Wird die Kategorie XxK23MSRV-FGAB innerhalb der monatlichen Datenmeldung verwendet, darf die Kategorie XxK23MSRV-FGNZ nur innerhalb desselben Leistungsjahres gemeldet werden. Sofern die Registrierung erst im Folgejahr erfolgt, erfolgt die Nachzahlung im Zuge der Jahresmeldung, im Ausnahmefall ist das Vorgehen mit dem jeweiligen ÜNB abzustimmen.</t>
  </si>
  <si>
    <t xml:space="preserve">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t>
  </si>
  <si>
    <t xml:space="preserve">Die Kategorien XxK23MSRV-FGAB und XxK23MSRV-FGNZ sind für die Einspeisevergütung nach § 21 Abs. 1 EEG in der Jahresmeldung vorgesehen, können in Abstimmung mit dem zuständigen Übertragungsnetzbetreiber aber auch für die monatliche Datenmeldung verwendet werden. Sowohl die Verwendung in der Jahresmeldung als auch Monatsmeldung wird im folgenden Beispiel demonstriert. </t>
  </si>
  <si>
    <t>Für die anderen Fördersachverhalte Marktprämie, vergüteter Selbstverbrauch, Mieterstromzuschlag, Flexibilitätszuschlag und Flexibilitätsprämie existieren mit XxK23MSRVMPMAB / XxK23MSRVMPMNZ, SgK23MSRV-SVAB / SgK23MSRV-SVNZ, SgK23MSRVMSZAB / SgK23MSRVMSZNZ, BiK23MSRVFLZAB / BiK23MSRVFLZNZ bzw. BiK23MSRVFLZAB / BiK23MSRVFLZNZ separate Kategorien-Paare, die in analoger Weise zu verwenden sind. Auch hier ergibt das Saldo den zu testierenden Euro-Betrag des jeweiligen Fördersachverhalts.</t>
  </si>
  <si>
    <t>Vewendung der Kategorien für die monatlichen Datenmeldungen eines Leistungsjahres</t>
  </si>
  <si>
    <t>SgK23MSRV-FGAB</t>
  </si>
  <si>
    <t>SgK23MSRV-FGNZ</t>
  </si>
  <si>
    <t>(8,00)</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</si>
  <si>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Im Monat Dezember muss eine Sanktionierung auf den Marktwert wegen Verstoß gegen die Vorschriften zum Wechsel der Veräußerungsform erfolgen. Der Marktwert wird mit 8,40 ct/kWh angenommen. Das fiktive Beispiel übernimmt damit dieselben Annahmen wie weiter oben auf diesem Tabellenblatt, um die Gemeinsamkeiten und Unterschiede zur Verwendung der Kategorie XxK23-MaStRV-0 aufzuzeigen.
Bis Leistungsmonat August hat der Anlagenbetreiber ungeachtet der fehlenden Registrierung im MaStR einen Anspruch auf den monatlichen Abschlag zum 15. des Folgemonats. Für die Monate September bis November muss die Strommenge an den ÜNB gewälzt werden und sind mit den regulären Vergütungskategorien zu melden. Damit mit der Meldung dieser Kategorien zugleich eine Auszahlung des ÜNB an den meldenden VNB verbunden ist, die jedoch wegen des nicht fälligen Anspruchs auf die Einspeisevergütung gerade nicht erfolgen soll, ist die nicht fällige und nicht zu zahlenden Einspeisevergütung mit der Kategorie SgK23MSRV-FGAB als negativer Euro-Betrag ohne Angabe der Strommenge zu melden. In der Summe aller Kategorien wird folglich nur die Strommenge zwecks Wälzung gemeldet, aber kein auszuzahlender Euro-Betrag.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des Monats Dezember sind mit den regulären Kategorien zu melden. Zusätzlich sind mit der Kategorie SgK23MSRV-FGNZ die nicht ausgezahlten Einspeisevergütungen der Monate September bis November mit positiven Vorzeichen zu melden.</t>
    </r>
  </si>
  <si>
    <r>
      <t xml:space="preserve">Jahresmeldung
</t>
    </r>
    <r>
      <rPr>
        <sz val="10"/>
        <color indexed="8"/>
        <rFont val="Arial"/>
        <family val="2"/>
      </rPr>
      <t>(Juli bis Dezember 2021)</t>
    </r>
  </si>
  <si>
    <t>Gesamtsumme der Jahresmeldung</t>
  </si>
  <si>
    <r>
      <rPr>
        <b/>
        <u/>
        <sz val="11"/>
        <color indexed="8"/>
        <rFont val="Arial"/>
        <family val="2"/>
      </rPr>
      <t>Erläuterung für das folgende fiktive Beispiel:</t>
    </r>
    <r>
      <rPr>
        <sz val="11"/>
        <color indexed="8"/>
        <rFont val="Arial"/>
        <family val="2"/>
      </rPr>
      <t xml:space="preserve"> Das obige Beispiel wird dahingehend modifiziert, dass angenommen wird, dass die Registrierung der Anlage im MaStR nicht bereits im November 2021, sondern erst zu einem späteren Zeitpunkt:
  (a) vor Abschluss der Jahresabrechnung, Jahresmeldung und Testierung
  (b) erst nach Abschluss der Jahresabrechnung, Jahresmeldung und Testierung.
Zunächst die monatlichen Datenmeldungen 2021, wie sie unter den geänderten Annahmen aussehen würde:</t>
    </r>
  </si>
  <si>
    <t>(a) Registrierung vor Abschluss der Jahresabrechnung, Jahresmeldung und Testierung 2021</t>
  </si>
  <si>
    <t>In diesem Fall besteht keine Notwendigkeit, in der Jahresmeldung diese Kategorien zu verwenden, weil die Auszahlung des dem Grunde nach bestehenden Zahlungsanspruchs an den Anlagenbetreiber ungekürzt erfolgt und der Netzbetreiber diese Auszahlung durch den ÜNB erhält. Daher sieht die Jahresmeldung genauso aus, wie oben unter der Annahme, dass die Registrierung bereits im November 2021 erfolgt ist.</t>
  </si>
  <si>
    <t>(b) Registrierung nach Abschluss der Jahresabrechnung, Jahresmeldung und Testierung 2021</t>
  </si>
  <si>
    <t>Beispiel für die Datenmeldung mit den Kategorien XxK23MSRV-FGAB und XxK23MSRV-FGNZ</t>
  </si>
  <si>
    <t>Wenn Sie nur die tatsächlich an Anlagenbetreiber geleisteten Zahlungen in der Jahresmeldung melden und testieren wollen, ist dennoch der dem Grunde nach bestehende Zahlungsanspruch mit den hierfür vorgesehenen Kategorien zu melden, wie dies oben bei der Monatsmeldung bereits erläutert worden ist. Die Differenz zur tatsächlichen Auszahlung, die in den Wälzungsmechnismus einzubringen ist, ist mit der Kategorie  XxK23MSRV-FGAB mit negativem Euro-Betrag (ohne Strommenge) zu melden. Dieser Abzugsbetrag reduziert in der Tabelle der Einspeisevergütung im Testat den Euro-Betrag, während die Strommenge unverändert bleibt.</t>
  </si>
  <si>
    <t>Im obigen Beispiel würde eie Jahresmeldung 2021 für den Zeitraum Juli bis Dezember 2021 wie folgend aussehen, wobei die Meldung für Januar bis Juni noch zu ergänzen wäre:</t>
  </si>
  <si>
    <t>Da die Nachzahlung bereits innerhalb des Leistungsjahres vorgenommen worden ist, würde die Jahresmeldung 2021 für den Zeitraum Juli bis Dezember 2021 wie folgend aussehen, wobei die Meldung für Januar bis Juni noch zu ergänzen wäre:</t>
  </si>
  <si>
    <t>Jahresmeldung 2022</t>
  </si>
  <si>
    <t>…</t>
  </si>
  <si>
    <t>( + 9.078,64)</t>
  </si>
  <si>
    <t>Nachdem die Registrierung erfolgt ist, kann die nicht fällig gewordene und nicht in den Wälzungsmechanismus eingebrachte Zahlung mit Hilfe der Kategorie XxK23MSRV-FGNZ in einer späteren Jahresmeldung und Testierung (2022 oder später) eingebracht werden.  Diese nachträgliche Zahlung erhöht in der Tabelle der Einspeisevergütung im Testat den Euro-Betrag, während die Strommenge unverändert bleibt. Der Betrag der nachträglichen Zahlung darf nicht höher sein als die vorherigen Abzugsbeträge dieser Anlage, die in der bzw. den vorherigen Jahresmeldung(en) gemeldet worden sind. Hierbei müssen Meldungen in den monatlichen Datenmeldung unberücksichtigt bleiben!</t>
  </si>
  <si>
    <t>Verwendung der Kategorien für die Jahresmeldung</t>
  </si>
  <si>
    <r>
      <t xml:space="preserve">Damit der Netzbetreiber nicht über ggf. ein ganzes Jahr in Vorleistung gehen muss, kann die nachträgliche Zahlung mit dieser Kategorie auch in den monatlichen Datenmeldungen der Abschlagszahlung gemeldet werden. </t>
    </r>
    <r>
      <rPr>
        <sz val="11"/>
        <color indexed="10"/>
        <rFont val="Arial"/>
        <family val="2"/>
      </rPr>
      <t>Dabei muss zwingend beachtet werden, das die Einbringung in die Jahresmeldung und Testierung nur für dasselbe Leistungsjahr zulässig ist, für das der monatliche Abschlag gemeldet und gezahlt worden ist.</t>
    </r>
    <r>
      <rPr>
        <sz val="11"/>
        <color indexed="8"/>
        <rFont val="Arial"/>
        <family val="2"/>
      </rPr>
      <t xml:space="preserve"> Wurde daher z.B. für den Leistungsmonat März 2022 die Kategorie gemeldet, darf die Einbringung in die Jahresmeldung und Testierung erst für das Leistungsjahr 2022 erfolgen! In der Jahresmeldung und Testierung 2021 muss ein gleich hoher Abzugsbetrag eingebracht werden bzw. eingebracht worden sein.</t>
    </r>
  </si>
  <si>
    <r>
      <t xml:space="preserve">Die Kategorien XxK23MSRV-FGAB sind für die Einspeisevergütung nach § 21 Abs. 1 EEG in der </t>
    </r>
    <r>
      <rPr>
        <b/>
        <u/>
        <sz val="10"/>
        <color indexed="8"/>
        <rFont val="Arial"/>
        <family val="2"/>
      </rPr>
      <t>Jahresmeldung</t>
    </r>
    <r>
      <rPr>
        <b/>
        <sz val="10"/>
        <color indexed="8"/>
        <rFont val="Arial"/>
        <family val="2"/>
      </rPr>
      <t xml:space="preserve"> vorgesehen. Die Kategorien sind stets mit einer Strommenge von 0 kWh sowie einem negativen Euro-Betrag zu melden. Sie dienen der Meldung der Abzugsbeträge in Euro, die dem Anlagenbetreiber als Einspeisevergütung dem Grunde nach zustehen würde, wenn die Anlage im MaStR registriert worden wäre, die aber wegen nicht eingetretener Fälligkeit bis zum Zeitpunkt der Jahresmeldung nicht an den Anlagenbetreiber ausgezahlt worden sind. Zusätzlich sind die Vergütungskategorien der Einspeisevergütung mit den zu wälzenden Strommengen und der dem Grunde nach zustehenden Vergütung (die ihrerseits sanktioniert sein kann) zu melden. Im Ergebnis ist dann der negative Euro-Abzugsbetrag dieser Kategorie abzuziehen und dieses Saldo (das nicht negativ werden darf) zu testieren. Diese Kategorien können in Abstimmung mit dem zuständigen Übertragungsnetzbetreiber auch für die monatliche Datenmeldung verwendet werden. 
</t>
    </r>
  </si>
  <si>
    <t>- Flexibilitätszuschlag für Anlagen, die bereits eine Flexibilitätsprämie erhalten haben, gemäß § 50a Abs. 1 Satz 2 EEG 2021-2</t>
  </si>
  <si>
    <t>Die hierfür vorgesehenen Vergütungskategorien wurden aus dem Tabellenblatt "EEG-Vergütungen und vNNE" in das Tabellenblatt "Nicht mehr verwendbare Kateg." verschoben.</t>
  </si>
  <si>
    <r>
      <t xml:space="preserve">Die Kategorien XxK23-MaStRV-0 sind für die für die Einspeisevergütung nach § 21 Abs. 1 EEG in den </t>
    </r>
    <r>
      <rPr>
        <b/>
        <u/>
        <sz val="10"/>
        <color indexed="8"/>
        <rFont val="Arial"/>
        <family val="2"/>
      </rPr>
      <t>monatlichen Datenmeldungen</t>
    </r>
    <r>
      <rPr>
        <b/>
        <sz val="10"/>
        <color indexed="8"/>
        <rFont val="Arial"/>
        <family val="2"/>
      </rPr>
      <t xml:space="preserve">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r>
  </si>
  <si>
    <t xml:space="preserve">In analoger Weise sind die Kategorien für die Marktprämie, den vergüteten Selbstverbrauch, den Mieterstromzuschlag, den Flexibilitätszuschlag bzw. die Flexibilitätsprämie zu verwenden, um in der Jahresmeldung den Abzugsbetrag der nicht fällig gewordenen Zahlungen zusätzlich zur regulär zu verwendenden Kategorie mit dem im Grunde nach zustehenden Zahlungsanspruch zu melden. Auch hier ergibt das Saldo den zu testierenden Euro-Betrag des jeweiligen Fördersachverhalts.
</t>
  </si>
  <si>
    <t>Verringerung auf null nach § 23 MaStRV, nicht fällig werdende Ansprüche für vergüteten Selbstverbrauch nach § 33 Abs. 2 EEG 2009/2012 a.F. bei unterlassener Registrierung im MaStR</t>
  </si>
  <si>
    <t>Die Kategorien XxK23-MaStRV-0 sind für die für die Einspeisevergütung nach § 21 Abs. 1 EEG in den monatlichen Datenmeldungen vorgesehen. Die Kategorien sind stets mit einem Betrag von 0 Euro sowie einer positiven oder negativen Strommenge zu melden. Sie dienen der Meldung der wälzungspflichtigen Strommengen der Einspeisevergütung des Leistungsmonats. Die Strommengen, für die die Fälligkeit der Einspeisevergütung ausgesetzt ist, sind mit positivem Vorzeichen in den Kategorien zu melden. Sofern die Registrierung im gleichen Leistungsjahr erfolgt ist, sind die Strommengen aus Vormonaten mit negativem Vorzeichen zu melden und gleichzeitig in den regulären Vergütungskategorie mit positivem Vorzeichen nachzumelden. Daher heben sich die Strommengen gegenseitig auf und sind nicht erneut zu wälzen. Sofern die Registrierung erst im Folgejahr erfolgt, erfolgt die Nachzahlung im Zuge der Jahresmeldung, im Ausnahmefall ist das Vorgehen mit dem jeweiligen ÜNB abzustimmen. In Absprache mit dem ÜNB können die Vergütungskategorien auch für die Marktprämie verwendet werden.</t>
  </si>
  <si>
    <r>
      <t>Da sich bei Verwendung dieser Kategorie nicht erkennen lässt, wie sich der dem Grunde nach bestehende Vergütungsanspruch zusammensetzt</t>
    </r>
    <r>
      <rPr>
        <sz val="11"/>
        <color indexed="8"/>
        <rFont val="Arial"/>
        <family val="2"/>
      </rPr>
      <t>, ist diese Kategorie nicht für die Jahresmeldung zulässig. Stattdessen sind die weiter unten beschriebenen Kategorien zu verwenden, die neben der Jahresmeldung auch für die monatliche Datenmeldung für die Abschläge verwendbar sind, sofern der jeweilige ÜNB dies unterstützt.</t>
    </r>
  </si>
  <si>
    <t>Wenn die Nachzahlung nicht bereits innerhalb des Leistungsjahres vorgenommen worden ist, würde die Jahresmeldung die Kategorie SgK23MSRV-FGAB erfordern. 
Dieser Fall wird weiter unten beim Beispiel zur Kategorie XxK23MSRV-FGAB beschrieben.</t>
  </si>
  <si>
    <t xml:space="preserve">Ergänzung der Kategorien für nicht fällig gewordene Zahlungen gemäß § 23 Abs. 1 MaStRV in der Jahresmeldung (siehe Tabellenblatt "Beispiel § 23 MaStRV")
Anpassung der beihilferechtlich genehmigten Regelungen in Tabellenblatt "Vorbehalt und Haftungsausschluss"
Verschiebung der nicht beihilferechtlich genehmigten Vergütungskategorien auf Tabellenblatt "Nicht mehr verwendbare Kateg."
(3 ct/kWh Aufschlag für Wasserkraftanlagen, Grubengas- und Altholz-Anschlussförderung)
</t>
  </si>
  <si>
    <t>Kategorien für Wasserkraftanlagen &lt; 500 kW mit IB vor 01.01.2009 und Modernisierung 2012 bis 2020 (Erhöhung 3 ct/kWh)</t>
  </si>
  <si>
    <t>Kategorien für temporär nicht erfolgte Zahlungen nach § 23 MaStRV (Marktstammdatenregisterverordnung) und Abwicklung nachträglicher Zahlungen</t>
  </si>
  <si>
    <t>Beispiel für die Datenmeldung mit den Kategorien XxK23-MaStRV-0
temporär nicht erfolgte Zahlungen nach § 23 MaStRV (Marktstammdatenregisterverordnung) und Abwicklung nachträglicher Zahlungen</t>
  </si>
  <si>
    <t>Datum an dem die jeweilige Kategorie in 'EEG-Vergütung und vNNE' aufgenommen oder geändert wurde</t>
  </si>
  <si>
    <t>Gelöscht, da § 102 EEG 2021 von der EU-Kommission beihilferechtlich abgelehnt worden ist</t>
  </si>
  <si>
    <t>Gelöscht, da § 100 Abs. 7 EEG 2021 von der EU-Kommission beihilferechtlich abgelehnt worden ist</t>
  </si>
  <si>
    <t>Gelöscht, da § 101 EEG 2021 von der EU-Kommission beihilferechtlich abgelehnt worden ist</t>
  </si>
  <si>
    <t>Grund für die Entfernung aus der Tabelle der aktuellen Vergütungskategorien: Seit Leistungsjahr 2020 sind die vermiedene Netzentgelte für volatile Energieträger (Wind und Solar) entfallen.
Anmerkung: Teilweise wird die Meldung dieser Kategorien für Leistungsjahre ab 2020 noch akzeptiert, allerdings nur mit exakt 0 Euro.</t>
  </si>
  <si>
    <t>- Anschlussförderung für Güllekleinanlagen nach Abschnitt 3a der Erneuerbare-Energien-Verordnung (EEV), geändert am 14. Juli 2021</t>
  </si>
  <si>
    <t>Verringerung der Marktprämie auf Null (4-h-, 6-h- bzw. 1-h-Regel für negative Börsenpreise)</t>
  </si>
  <si>
    <t>Angaben zur gekürzten Vergütung, z. B. "MW" für Marktwert und "-0" für 0 ct/kWh, außerdem individuelle Vergütung "AS" bei Ausschreibung und AB für Ausgleichsbetrag/Abzugsbetrag</t>
  </si>
  <si>
    <t>Da die Nachzahlung nicht innerhalb des Leistungsjahres vorgenommen worden ist, stimmt die zu wälzende Strommenge mit der tatsächlichen Einspeisung überein, die ausgezahlte Einspeisevergütung ist jedoch niedriger als der dem Grunde nach bestehende Zahlungsanspruch. Dieser ist entweder
  (a) im Rahmen der Jahresmeldung, Testierung und Jahresausgleich 2021 im Jahr 2022 oder
  (b) in einem noch späteren Zeitraum
auszugleichen.</t>
  </si>
  <si>
    <t>Der Betrag der nachträglichen Zahlung - im Beispiel im Monat Dezember - darf nicht höher sein als die vorherigen Abzugsbeträge dieser Anlage, die in den vorherigen monatlichen Datenmeldungen - hier September bis November - gemeldet worden sind.
Da die Nachzahlung bereits innerhalb des Leistungsjahres vorgenommen worden ist, würde die Jahresmeldung 2021 für den Zeitraum Juli bis Dezember 2021 wie folgend aussehen, wobei die Meldung für Januar bis Juni noch zu ergänzen wäre:</t>
  </si>
  <si>
    <r>
      <rPr>
        <b/>
        <u/>
        <sz val="11"/>
        <color indexed="8"/>
        <rFont val="Arial"/>
        <family val="2"/>
      </rPr>
      <t>Erläuterung für das folgende fiktive Beispiel</t>
    </r>
    <r>
      <rPr>
        <sz val="11"/>
        <color indexed="8"/>
        <rFont val="Arial"/>
        <family val="2"/>
      </rPr>
      <t xml:space="preserve"> einer PV-Anlage von 25,0 kW aus dem Jahr 2018, die mit Inbetriebnahme im Vorläuferregister des MaStR, aber erst in der 2. Novemberhälfte 2021 im MaStR registriert worden ist für das zweite Halbjahr 2021. Zur Demonstration, wie die Meldung im Fall einer Sanktionierung auf den Marktwert nach § 52 Abs. 2 EEG zu melden wäre, wird eine Sanktionierung auf den Marktwert wegen Verstoß gegen die Vorschriften zum Wechsel der Veräußerungsform unabhängig von dem Registrierungsverstoß angenommen. Der Marktwert wird mit 8,40 ct/kWh angenommen.
Bis Leistungsmonat August hat der Anlagenbetreiber ungeachtet der fehlenden Registrierung im MaStR einen Anspruch auf den monatlichen Abschlag zum 15. des Folgemonats. Für die Monate September bis November besteht jedoch nicht der Anspruch auf die Einspeisevergütung, allerdings muss die Strommenge an den ÜNB gewälzt und daher mit der Kategorie SgK23-MaStRV-0 gemeldet werden. Nachdem in der zweiten Novemberhälfte die Registrierung erfolgt ist, ist nicht nur der Abschlag für den Monat Dezember zum 15. Januar 2022 zu zahlen, sondern der Anlagenbetreiber hat auch einen Anspruch, die bislang nicht ausgezahlten Zahlungen für die Leistungsmonate September bis November 2021 zusätzlich ausgezahlt zu bekommen. Die Strommengen und Einspeisevergütungen dieser Monate sind zusätzlich mit jenen Werten des Dezembers zu melden. Damit die Strommenge nicht doppelt gewälzt werden muss, ist die Strommenge der Monate September bis November mit negativen Vorzeichen zu melden.
</t>
    </r>
  </si>
  <si>
    <r>
      <t xml:space="preserve">§ 52 Abs. 3 EEG 2017/2021: Der anzulegende Wert verringert sich um jeweils 20 Prozent, wobei das Ergebnis auf zwei Stellen nach dem Komma gerundet wird,
1. solange Anlagenbetreiber die zur Registrierung der Anlage erforderlichen Angaben nicht an das Register übermittelt haben, aber die Meldung nach § 71 Nr. 1 erfolgt ist, oder
2. solange und soweit Anlagenbetreiber einer im Register registrierten Anlage eine Erhöhung der installierten Leistung der Anlage nicht nach Maßgabe der Rechtsverordnung nach § 93 EEG 2017 bzw. Marktstammdatenregisterverordnung (MaStRV) übermittelt haben, aber die Meldung nach § 71 Nr. 1 erfolgt ist. 
Die beiden Verstöße wirken kumulativ, d. h. bei Verstoß gegen beide Vorgaben ist der anzulegende Wert um 40 Prozent zu kürzen. Bitte beachten Sie die Reihenfolge der vorzunehmenden Kürzungen gemäß § 23 Abs. 3 EEG 2017/2021. Zum Beispiel ist die Kürzung der Einspeisevergütung nach § 53 EEG 2017/2021 nach der Kürzung nach § 52 Abs. 3 EEG 2017/2021 vorzunehmen.
</t>
    </r>
    <r>
      <rPr>
        <b/>
        <u/>
        <sz val="10"/>
        <rFont val="Arial"/>
        <family val="2"/>
      </rPr>
      <t>Diese Sanktion ist u.a. für Strom anzuwenden, der nach dem 31. Dezember 2015 eingespeist worden ist.</t>
    </r>
    <r>
      <rPr>
        <b/>
        <sz val="10"/>
        <rFont val="Arial"/>
        <family val="2"/>
      </rPr>
      <t xml:space="preserve"> Sie gilt auch für Anlagen, die vor dem 01.08.2014 in Betrieb genommen worden sind. Da § 52 Abs. 3 EEG 2017/2021 an die Bedingung der fristgerechte Abgabe der Jahresabrechnung gemäß § 71 Nr. 1 EEG gekoppelt ist, können diese Kategorien nicht in der monatlichen Meldung verwendet werden, sondern ausschließlich in der Jahresmeldung. Unterjährig sind die für die Sanktionen der § 25 Abs. 1 Nr. 1 und 2 EEG 2014 und § 52 Abs. 1 Nr. 1 und 2 EEG 2017/2021 vorgesehenen Sanktionskategorien zu verwenden.
Das Änderungsgesetz vom 22.12.2016 sieht vor, dass § 52 Abs. 3 EEG 2017 auch rückwirkend für Strommengen, die nach dem 31.07.2014 und vor dem 01.01.2016 eingespeist worden sind, anzuwenden ist. Diese Strommengen wurden in den Jahren 2014 und 2015 bereits mit Sanktionskategorien gemeldet. Für die nachträgliche Zahlung der auf 60 % bzw. 80 % reduzierten EEG-Förderungen </t>
    </r>
    <r>
      <rPr>
        <b/>
        <u/>
        <sz val="10"/>
        <rFont val="Arial"/>
        <family val="2"/>
      </rPr>
      <t>für Strommengen, die nach dem 31.07.2014 und vor dem 01.01.2016 eingespeist worden sind, sind diese Kategorien nach Vorgaben Ihres zuständigen ÜNB zu verwenden.</t>
    </r>
    <r>
      <rPr>
        <b/>
        <sz val="10"/>
        <rFont val="Arial"/>
        <family val="2"/>
      </rPr>
      <t xml:space="preserve">
Darüber hinaus können Ansprüche für nachträgliche Zahlungen von Anlagen, die vor dem 01.08.2014 in Betrieb genommen wurden und die erst mit dem Energiesammelgesetz vom 17.12.2018 entstanden sind, erstmalig und einmalig in der Jahresabrechnung für das Jahr 2018 als aperiodische Beträge für Strommengen, die nach dem 31.07.2014 und vor dem 01.01.2018 einspeist worden sind, abgerechnet werden. Für derartige nachträgliche Zahlungen der auf 60 % bzw. 80 % reduzierten EEG-Förderungen</t>
    </r>
    <r>
      <rPr>
        <b/>
        <u/>
        <sz val="10"/>
        <rFont val="Arial"/>
        <family val="2"/>
      </rPr>
      <t xml:space="preserve"> für Strommengen sind ebenfalls die Kategorien nach Vorgaben Ihres zuständigen ÜNB zu verwenden.</t>
    </r>
    <r>
      <rPr>
        <b/>
        <sz val="10"/>
        <rFont val="Arial"/>
        <family val="2"/>
      </rPr>
      <t xml:space="preserve">
Da der Strom bereits über eine Vergütungs- oder Sanktionskategorie gemeldet wird, fließt er nicht in die Summenberechnung der Energiemenge ein, die der Berechnung der Bemessungsleistung und der vNNE zugrunde gelegt und in den Rechnungen, Testaten etc. als direkt vermarktete Strommenge oder Strommenge in der Einspeisevergütung ausgewiesen wird. Die Kürzung der Vergütung, die mit den vorliegenden Kategorien </t>
    </r>
    <r>
      <rPr>
        <b/>
        <u/>
        <sz val="10"/>
        <rFont val="Arial"/>
        <family val="2"/>
      </rPr>
      <t>als negative Eurobeträge</t>
    </r>
    <r>
      <rPr>
        <b/>
        <sz val="10"/>
        <rFont val="Arial"/>
        <family val="2"/>
      </rPr>
      <t xml:space="preserve"> zu melden ist, fließt in die o. g. Summenberechnung der EEG-Förderung ein. Nähere Informationen zur Abwicklung erhalten Sie von Ihrem zuständigen ÜNB. 
</t>
    </r>
  </si>
  <si>
    <t>Die Einspeisevergütung nach § 19 Abs. 1 Nummer 2 in Verbindung mit § 21 Abs. 1 Nummer 3 ist zu zahlen bei ausgeförderten Anlagen, die keine Windenergieanlagen an Land sind und die eine installierte Leistung von bis zu 100 Kilowatt haben, bis zum 31. Dezember 2027.</t>
  </si>
  <si>
    <t>Für die Vergütungskategorien nach EEG 2000 bis 2012 ist es nicht möglich, in der Spalte "Anzulegender Wert" einen Wert einzutragen, da gemäß der Übergangsbestimmung § 100 Abs. 1 Nr. 8 EEG 2014 die bisherige Managementprämie addiert werden muss, deren Höhe kein fester Wert ist. Vielmehr ist sie nicht nur vom Energieträger abhängig, sondern auch vom Zeitraum der Einspeisung und der Erfüllung der Anforderungen an fernsteuerbare Anlagen. Dies gilt für alle Anlagen mit Inbetriebnahme vor dem 01.08.2014, außerdem auch für alle Anlagen mit Inbetriebnahme vor dem 01.01.2015, die aufgrund des Vertrauensschutztatbestandes gemäß § 100 Abs. 3 EEG 2014 nach dem EEG 2012 vergütet werden.</t>
  </si>
  <si>
    <t>Ergänzung Vergütungskategorien für 2015
Erweiterung des Erläuterungstextes bei § 35 EEG 2014 (Sanktionierung nach § 25 EEG)
Anpassung der Erläuterungen zum Aufbau der Vergütungskategorien nach EEG 2014
Löschung von Vergütungskategorien für § 32 EEG 2012 August bis Dezember 2014 
Löschung von Vergütungskategorien für § 17 Abs. 2, Nr. 1 - 4 und Abs. 3 EEG 2012
Löschung von Vergütungskategorien für § 33f und § 33g EEG 2012
Löschung von Vergütungskategorien für § 39 EEG 2012 (GSP)
Löschung von Vergütungskategorien für § 56 EEG 2012 (Doppelvermarktungsverbot)
Löschung von Vergütungskategorien für § 66 Abs. 1 Nr. 14 (Nichterfüllung Systemstabilitätsverordnung)
Änderung Einspeisevergütung für 2014 modernisierte Wasserkraftanlagen</t>
  </si>
  <si>
    <t>Löschung von Vergütungskategorien (unzulässige Energieträger) für § 52 Abs. 1 Nr. 4 EEG</t>
  </si>
  <si>
    <t>Löschung von Vergütungskategorien (unzulässige Energieträger) für § 52 Abs. 2 Satz 1 Nr. 3 EEG</t>
  </si>
  <si>
    <t>Kategorie BiK51aM2K14-01 ergänzt</t>
  </si>
  <si>
    <t>Ergänzung Vorbehaltshinweis zur beihilferechtlichen Genehmigung durch EU-KOM.
Kategorien mit Endung 01 nur noch für Inbetriebnahme 2001 zulässig. (Vorher bis Inbetriebnahme 2001. Ausnahme Wasserkraft)
Ergänzung der Kategorien für das Inbetriebnahmejahr 2021 auf Stand EEG 2021
Ergänzung Kategorie für erzeugten Strom &gt; 50 % für Solaranlagen &lt;300 kW bis 750 kW
Ergänzung Kategorien für Mieterstromzuschlag ab IB 01.01.2021
Ergänzung der Kategorien für ausgeförderte Anlagen.
Ergänzung Kategorien für Wasserkraft &lt; 500 KW mit Inbetriebnahmedatum vor 01.01.2021 (Erhöhung 3 ct/kWh)
Ergänzung Kategorien für Altholzanlagen
Ergänzung der Kategorien für Zahlungsaufschub bei fehlender MaStR-Registrierung
Löschung von Wasserkraftkategorien &gt; 5 MW, Zubau Inbetriebnahme 2005 wegen Auslaufen der Förderung</t>
  </si>
  <si>
    <t>Ergänzung Kategorien für Güllekleinanlagen nach § 12c EEV
Ergänzung Kategorien für Grubengasanlagen nach § 102 EEG 2021-2
Ergänzung Kategorie für Projektsicherungsbeitrag nach § 38d EEG 2021-2 
Ergänzung Kategorien zur Meldung von Ausgleichsbeträgen bei sehr hohen Marktwerten, die zu negativen Marktprämien (XxK20---MPM-AB) oder zu Sanktionen oberhalb der regulären Vergütung führen würden (XxK21----MW-AB). Hinweise dazu auf den Tabellenblättern "Beispiel negative Marktprämie", "Beispiel Leistungsstufen" und "Beispiel Sanktion Marktwert".
Verschiebung der Kategorien für vermiedene Netzentgelte für volatile Energieträger (Wind und Solar) auf Tabellenblatt "Nicht mehr verwendbare Kateg."
Verschiebung der Kategorien für ausgeförderte Anlagen (Inbetriebnahme 2001 außer Energieträger Wasser) auf Tabellenblatt "Kategorien Auslauf d. Förderung"
Verschiebung von Wasserkraftkategorien &gt; 5 MW, Zubau Inbetriebnahme 2006 wegen Auslaufen der Förderung auf Tabellenblatt "Kategorien Auslauf d. Förderung"
Ergänzung der Kategorien für Anlagen mit Inbetriebnahme 2022</t>
  </si>
  <si>
    <t>Anpassung der Beschreibung der Kategorien für Verringerung der Marktprämie auf Null (4-h- bzw. 6-h-Regel für negative Börsenpreise) um 1-h-Regel gemäß § 9 InnAusV
Anpassung der Beschreibung der Kategorien zur Abschöpfung von Marktwertzahlungen (XxK21----MW-AB)
Ergänzung der Beschreibung der Kategorien für die Kürzung des anzulegenden Werts um 20% (XxK523-MPM20PZ)
Verschiebung der nur für das Jahr 2021 gültigen Kategorien für ausgeförderte Windenergieanlagen an Land
Ergänzung der Vergütungssätze für PV-Anlagen/MSZ mit Inbetriebnahme Februar 2022 bis April 2022</t>
  </si>
  <si>
    <t>WnK36h2----MPM</t>
  </si>
  <si>
    <t>WnK36h2-----AV</t>
  </si>
  <si>
    <t>WnK36h2ZinsMPM</t>
  </si>
  <si>
    <t>WnK36h2Zins-AV</t>
  </si>
  <si>
    <t>Ergänzung der Kategorien für Anlagen mit einer Korrektur des anzulegenden Wertes nach § 36h Abs. 2 EEG 2017/2021</t>
  </si>
  <si>
    <t>Die anzulegenden Werte werden jeweils mit Wirkung ab Beginn des sechsten, elften und sechzehnten auf die Inbetriebnahme der Anlage folgenden Jahres anhand des Standortertrags der Anlagen nach Anlage 2 Nummer 7 in den fünf vorangegangenen Jahren angepasst. In dem überprüften Zeitraum zu viel oder zu wenig geleistete Zahlungen nach § 19 Absatz 1 müssen erstattet werden, wenn der Gütefaktor auf Basis des Standortertrags der jeweils zuletzt betrachteten fünf Jahre mehr als 2 Prozentpunkte von dem zuletzt berechneten Gütefaktor abweicht. Dabei werden Ansprüche des Netzbetreibers auf Rückzahlung mit 1 Prozentpunkt über dem am ersten Tag des Überprüfungszeitraums geltenden Euro Interbank Offered Rate-Satz für die Beschaffung von Zwölfmonatsgeld von ersten Adressen in den Teilnehmerstaaten der Europäischen Währungsunion verzinst. Eine Aufrechnung mit Ansprüchen nach § 19 Absatz 1 ist zulässig.
Für diese Kategorien wird keine Strommenge, sondern nur die Differenz der Förderung gemeldet: Eine Nachzahlung an den Anlagenbetreiber ist als positiver Euro-Betrag, eine Rückzahlung des Anlagenbetreibers als negativer Euro-Betrag zu erfassen.
Der nachzuzahlende Zinsbetrag einer Rückzahlung ist als negativer Euro-Betrag ohne Angabe einer Strommenge anzugeben.</t>
  </si>
  <si>
    <t>BiK51nM1K13y02</t>
  </si>
  <si>
    <t>BiK51aM2K13y02</t>
  </si>
  <si>
    <t>BiK83a2K16--08</t>
  </si>
  <si>
    <t>0,5-5 MW, Bonusregeln a2 und K erstmals 2016</t>
  </si>
  <si>
    <t>Ergänzung der Kategorien BiK51nM1K13y02, BiK51aM2K13y02, BiK83a2K16--08, BiK81M1K21y-08, BiK82M2K21y-08 und BiK83a2K21--08
Ergänzung der Vergütungssätze für PV-Anlagen/MSZ mit Inbetriebnahme Mai 2022 bis Juli 2022</t>
  </si>
  <si>
    <t>BiK81M1K21y-08</t>
  </si>
  <si>
    <t>0-0,15 MW, Bonusregeln M1, y und K erstmals 2021</t>
  </si>
  <si>
    <t>Anteil KWK, erstmals 2021</t>
  </si>
  <si>
    <t>BiK82M2K21y-08</t>
  </si>
  <si>
    <t>0,15-0,5 MW, Bonusregeln M2, y und K erstmals 2021</t>
  </si>
  <si>
    <t>BiK83a2K21--08</t>
  </si>
  <si>
    <t>0,5-5 MW, Bonusregeln a2 und K erstmals 2021</t>
  </si>
  <si>
    <t>Ergänzung der Vergütungssätze für PV-Anlagen/MSZ mit Inbetriebnahme August 2022 bis Oktober 2022 
(Anwendung bis zur beihilferechtlichen Genehmigung des EEG 2023, siehe Vorbehalt und Haftungsausschluss)</t>
  </si>
  <si>
    <t>SgK1001410--22</t>
  </si>
  <si>
    <t>SgK1001411--22</t>
  </si>
  <si>
    <t>SgK1001412--22</t>
  </si>
  <si>
    <t>SgK1001420--22</t>
  </si>
  <si>
    <t>SgK1001421--22</t>
  </si>
  <si>
    <t>SgK1001422--22</t>
  </si>
  <si>
    <t>SgK1001423--22</t>
  </si>
  <si>
    <t>Volleinspeisung</t>
  </si>
  <si>
    <t>0 - 10 kW, § 100 Abs. 14 S. 2 Nr. 1 EEG 2021</t>
  </si>
  <si>
    <t>10 - 40 kW, § 100 Abs. 14 S. 2 Nr. 2 EEG 2021</t>
  </si>
  <si>
    <t>40 - 100 kW, § 100 Abs. 14 S. 2 Nr. 3 EEG 2021</t>
  </si>
  <si>
    <t>100 - 300 kW, § 100 Abs. 14 S. 2 Nr. 4 EEG 2021</t>
  </si>
  <si>
    <t>0 - 10 kW, § 100 Abs. 14 S. 1 Nr. 1 EEG 2021</t>
  </si>
  <si>
    <t>10 - 40 kW, § 100 Abs. 14 S. 1 Nr. 2 EEG 2021</t>
  </si>
  <si>
    <t>40 - 750 kW, § 100 Abs. 14 S. 1 Nr. 3 EEG 2021</t>
  </si>
  <si>
    <t>SgK100144---MW</t>
  </si>
  <si>
    <t>Verringerung auf Monatsmarktwert nach § 100 Abs. 14 Satz 4 EEG 2021 (Verstoß gegen Volleinspeisungsgebot)</t>
  </si>
  <si>
    <t>Inbetriebnahme 01.07. bis 29.07.2022</t>
  </si>
  <si>
    <t>Inbetriebnahme 30.07. bis 31.12.2022</t>
  </si>
  <si>
    <t>Kategorien für Solare Strahlungsenergie</t>
  </si>
  <si>
    <t>Gelöscht, da Degression für Anlagen mit Inbetriebnahme im Zeitraum 30.07.2022 bis 31.12.2022 mit § 100 Abs. 14 EEG 2021 ausgesetzt und die Förderung erhöht worden ist. Ersatz durch neue Kategorien für den Zeitraum 30.07. bis 31.12.2022.</t>
  </si>
  <si>
    <t>bezuschlagt in einem Innovationsausschreibungsverfahren nach EEG 2017/2021 vor dem 01.12.2022</t>
  </si>
  <si>
    <t>Anpassung der Erläuterungen zu der beihilferechtlichen Genehmigung unter 'Vorbehalt und Haftungsausschluss'
Verschiebung der Vergütungssätze für Gebäude PV-Anlagen mit Inbetriebnahme August 2022 bis Oktober 2022 auf Tabellenblatt "Nicht mehr verwendbare Kateg."
Ergänzung der Vergütungssätze für Gebäude PV-Anlagen mit Inbetriebnahme ab 30.07.2022 bis 31.12.2022 inklusive Kategorien mit Berücksichtigung Volleinspeiseraufschlag
Ergänzung der Sanktionskategorie für Gebäude PV-Anlagen bei Verstoß gegen Volleinspeisungsgebot
Geänderte Erläuterung zu Kategorien der Innovationsausschreibungsverfahren</t>
  </si>
  <si>
    <t xml:space="preserve">Vorbehalt zur beihilferechtlichen Genehmigung durch EU-Kommission nach § 105 EEG 2021 </t>
  </si>
  <si>
    <t>Wir verweisen auf die Ausführungen des BMWK unter den folgenden Links:</t>
  </si>
  <si>
    <t>https://www.bmwk.de/Redaktion/DE/FAQ/dach-solaranlagen/faq-dach-solaranlagen.html</t>
  </si>
  <si>
    <t>Seitens des BMWK sind die folgenden Sachverhalte nunmehr von der EU-Kommission genehmigt (Stand: 14.10.2022) und dürfen damit Anwendung finden:</t>
  </si>
  <si>
    <t>https://www.bmwk.de/Redaktion/DE/FAQ/EEG-2021/faq-beihilferechtlichen-genehmigung-eu-kommission.html</t>
  </si>
  <si>
    <t>- Erhöhung der PV-Fördersätze für Gebäudeanlagen mit Inbetriebnahme 30.07.2022 bis 31.12.2022 (keine Degression) gemäß § 100 Absatz 14 Satz 1 EEG 2021</t>
  </si>
  <si>
    <t>- Einführung von PV-Fördersätzen für Gebäudeanlagen mit Volleinspeisung mit Inbetriebnahme 30.07.2022 bis 31.12.2022  (keine Degression) gemäß § 100 Absatz 14 Satz 2 EEG 2021</t>
  </si>
  <si>
    <t>- Ersatz der fixen durch die gleitende Marktprämie bei Innovationsausschreibungen ab dem 01.12.2022 gemäß Artikel 16 Nr. 6 EEGAusbGuEnFG</t>
  </si>
  <si>
    <t>- Erhöhung des anzulegenden Wertes um 3 ct/kWh nach § 100 Abs. 7 EEG 2021 für Anlagen zur Erzeugung von Strom aus Wasserkraft mit einer installierten Leistung bis einschließlich 500 kW,
   die vor dem 1. Januar 2021 in Betrieb genommen worden sind.</t>
  </si>
  <si>
    <t>- befristete Aufhebung der Beschränkung auf die Höchstbemessungsleistung nach § 44b Absatz 1 EEG 2021 und § 101 Absatz 1 EEG 2017 für Biogasanlagen, die kein Biomethan einsetzen, für die
   Leistungsjahre 2022 und 2023 gemäß § 100 Absatz 16 EEG 2021</t>
  </si>
  <si>
    <t>Ergänzung der Vergütungssätze für sonstige PV-Anlagen/MSZ mit Inbetriebnahme November 2022 und  Dezember 2022 
(Anwendung bis zur beihilferechtlichen Genehmigung des EEG 2023, siehe Vorbehalt und Haftungsausschluss)</t>
  </si>
  <si>
    <t>&gt; 5 MW, Zubau. Anspruch auf Förderung gem. § 12 Abs. 3 Satz 2 EEG 2004 zum 31.12.2022 beendet</t>
  </si>
  <si>
    <t>§ 40 Abs. 1 EEG 2023</t>
  </si>
  <si>
    <t>§ 40 Abs. 1 EEG 2021</t>
  </si>
  <si>
    <t>§ 41 Abs. 1 EEG 2023</t>
  </si>
  <si>
    <t>Biomasse nach § 42 EEG 2017/2021/2023</t>
  </si>
  <si>
    <t>BiK420------23</t>
  </si>
  <si>
    <t>Inbetriebnahme 2023</t>
  </si>
  <si>
    <t>nicht für Biomethan</t>
  </si>
  <si>
    <t>BiK430------23</t>
  </si>
  <si>
    <t>BiK431------23</t>
  </si>
  <si>
    <t>Biomasse nach § 44 EEG 2017/2021/2023 (Vergärung von Gülle)</t>
  </si>
  <si>
    <t>§ 44 EEG 2023</t>
  </si>
  <si>
    <t>Vergärung von Gülle in Anlagen 75 kW bis maximal 150 kW installierter Leistung</t>
  </si>
  <si>
    <t>§ 40 Abs. 2 EEG 2023 i.V.m. Abs. 1</t>
  </si>
  <si>
    <t>WnK46-------23</t>
  </si>
  <si>
    <t>Onshore - Vergütung nach § 46 i.V.m. § 36h EEG 2023</t>
  </si>
  <si>
    <t>§ 48 Abs. 1 EEG 2023</t>
  </si>
  <si>
    <t>§ 48 Abs. 2 EEG 2023</t>
  </si>
  <si>
    <t>40 - 1000 kW</t>
  </si>
  <si>
    <t>40 - 100 kW</t>
  </si>
  <si>
    <t>100 - 400 kW</t>
  </si>
  <si>
    <t>§ 48 Abs. 2a EEG 2023</t>
  </si>
  <si>
    <t>§ 48a EEG 2023</t>
  </si>
  <si>
    <t>01.01.2021 bis 31.12.2022</t>
  </si>
  <si>
    <t>Verringerung Marktprämie auf Null nach § 48 Abs. 5 ( &gt; 50% bzw &gt; 80% der erzeugten Strommenge)</t>
  </si>
  <si>
    <t>Verringerung Einspeisevergütung auf Null nach § 48 Abs. 5 ( &gt; 50% bzw. &gt; 80% der erzeugten Strommenge)</t>
  </si>
  <si>
    <t xml:space="preserve">§ 47 Abs. 2 Nr. 1 EEG 2014: Der finanzielle Anspruch für Strom aus Biomasse besteht nur, wenn 
- über ein Einsatzstofftagebuch mittels Art, Herkunft, Menge und Einheit der eingesetzten Stoffe nachgewiesen wird, welche Biomasse und in welchem Umfang Speichergas oder Grubengas eingesetzt werden, 
- soweit bei Anlagen, in denen Biomethan eingesetzt wird, der Strom aus Kraft-Wärme-Kopplung erzeugt wird
- wenn in Anlagen flüssige Biomasse eingesetzt wird, für den Stromanteil aus flüssiger Biomasse, die zur Anfahr-, Zünd- und Stützfeuerung notwendig ist
Im EEG 2017 finden sich analoge, teils verschärfte Regelungen in § 44b Abs. 2 bis 3 EEG 2017 und § 44c Abs. 1 und 2 EEG 2017.
Im EEG 2021/2023 finden sich analoge, teils verschärfte Regelungen in § 44b Abs. 2 EEG 2021/2023 und § 44c Abs. 1 bis 7 EEG 2021/2023.
</t>
  </si>
  <si>
    <t>§ 47 Abs. 4 EEG 2014: Der finanzielle Anspruch für Strom aus Biomasse verringert sich im jeweiligen Kalenderjahr auf den Wert Monatsmarktwert, wenn die Voraussetzungen (KWK-Nachweis nach Abs. 2 Nr. 2 i. V. m. Abs. 3 Nr. 1 und der Nachweis zum Stromanteil aus flüssiger Biomase nach Abs. 2 Nr. 3 i. V. m. Abs. 3 Nr. 2 nach Absatz 3 nicht nachgewiesen werden. Da bei der Berechnung der Marktprämie der Monatsmarktwert abgezogen wird, führt dies zu einer Kürzung der Marktprämie auf null.
§ 44c Abs. 3 EEG 2017: Der Vergütungsanspruch für Strom aus Biomasse verringert sich auf den Monatsmarktwert, wenn die Nachweisführung nicht in der nach § 44c Abs. 2 (Einsatzstofftagebuch) oder 44b Abs. 2 Satz 2 oder 3 (Nachweis für KWK bzw. Umweltgutachten) vorgeschriebenen Weise erfolgt ist.
§ 44c Abs. 8 EEG 2021/2023: Der Vergütungsanspruch für Strom aus Biomasse verringert sich auf den Marktwert, wenn die Nachweisführung nicht in der nach den § 44c Abs. 2 (Einsatzstofftagebuch) und § 44c Abs. 6 (Nachweis für KWK bzw. Umweltgutachten) vorgeschriebenen Weise erfolgt ist.</t>
  </si>
  <si>
    <t>1 - 6 MW (Bürgerenergiegesellschaften)</t>
  </si>
  <si>
    <t>Freiflächen- und Nicht-Gebäudeanlagen 0 - 1 MW</t>
  </si>
  <si>
    <t>Freiflächen- und Nicht-Gebäudeanlagen 1 - 6 MW (Bürgerenergiegesellschaften)</t>
  </si>
  <si>
    <t>400 - 1 MW</t>
  </si>
  <si>
    <t>40 - 1 MW</t>
  </si>
  <si>
    <t>Kategorie für Solaranlagen mit einer installierten Leistung von mehr als 1 MW nach § 48 Abs. 1a EEG 2023</t>
  </si>
  <si>
    <t>Für Strom aus Solaranlagen mit einer installierten Leistung von mehr als 1 Megawatt, deren anzulegender Wert gesetzlich bestimmt wird, beträgt dieser den Durchschnitt aus den Gebotswerten des jeweils höchsten noch bezuschlagten Gebots der Gebotstermine für Solaranlagen des ersten bzw. zweiten Segments in dem der Inbetriebnahme vorangegangenen Kalenderjahr.</t>
  </si>
  <si>
    <t>§ 52 Abs. 3 Nr. 1 EEG 2023: Bei einem Pflichtverstoß nach § 52 Abs. 1 Nr. 1, 3, 4 und 11 EEG verringert sich die zu leistende Zahlung auf 2 Euro pro installierter Leistung der Anlage und Kalendermonat sobald die Pflicht erfüllt, zurück bis zum Beginn des Pflichtverstoßes. Über diese Kategorien ist die Differenz zu den für eine Anlage und Kalendermonat bereits geleisteten Zahlungen gem § 52 Abs. 2 EEG  als negativer Betrag einzutragen.</t>
  </si>
  <si>
    <t>0-75 kW, Vergärung von Gülle in Anlagen bis maximal 150 kW installierter Leistung</t>
  </si>
  <si>
    <t>75-150 kW, Vergärung von Gülle in Anlagen bis maximal 150 kW installierter Leistung</t>
  </si>
  <si>
    <t>Biomasse nach § 43 EEG 2017/2021/2023 (Vergärung von Bioabfällen)</t>
  </si>
  <si>
    <t>Für Windenergieanlagen an Land, die nach dem 31.12.2018 in Betrieb genommen werden und deren anzulegender Wert gesetzlich festgelegt wird, wird die Vergütungssystematik an jene Windenergieanlagen angeglichen, deren anzulegender Wert durch eine Ausschreibung ermittelt worden ist. Jede Anlage erhält einen individuellen anzulegenden Wert, der gemäß § 36h Abs. 1 EEG 2017/2021/2023 aus dem individuellen Gütefaktor der Anlage gemäß Anlage 2 Nr. 2 und 7 EEG und dem von der BNetzA gemäß § 46b Abs. 2 EEG 2017 bzw. § 46 Abs. 2 EEG 2021/2023 berechneten und veröffentlichten Wert für den Referenzstandort berechnet wird. Der individuelle anzulegende Wert ist gemäß § 36h Abs. 2 bis 4 EEG 2017/2021/2023 zu bestimmten Fristen an den tatsächlichen Standortertrag der Anlage anzupassen und ggf. auch rückwirkend zu korrigieren.
Der in Spalte G angegebene Wert ist der von der BNetzA gemäß § 46b Abs. 2 EEG 2017 bzw. § 46 Abs. 2 EEG 2021/2023 berechnete und veröffentlichte Wert angegeben, der für das jeweilige Inbetriebnahmejahr der Anlage maßgeblich ist.</t>
  </si>
  <si>
    <t>negativer Ausgleichsbetrag zur Verringerung einer Sanktion nach § 52 Abs. 3 oder Abs. 5 EEG</t>
  </si>
  <si>
    <t>6. Anlagen mit Vergütung nach EEG 2017/2021/2023</t>
  </si>
  <si>
    <t>WaK5211-----SZ</t>
  </si>
  <si>
    <t>BiK5211-----SZ</t>
  </si>
  <si>
    <t>GaK5211-----SZ</t>
  </si>
  <si>
    <t>DeK5211-----SZ</t>
  </si>
  <si>
    <t>KlK5211-----SZ</t>
  </si>
  <si>
    <t>GrK5211-----SZ</t>
  </si>
  <si>
    <t>GeK5211-----SZ</t>
  </si>
  <si>
    <t>WiK5211-----SZ</t>
  </si>
  <si>
    <t>WnK5211-----SZ</t>
  </si>
  <si>
    <t>WrK5211-----SZ</t>
  </si>
  <si>
    <t>WfK5211-----SZ</t>
  </si>
  <si>
    <t>SoK5211-----SZ</t>
  </si>
  <si>
    <t>SgK5211-----SZ</t>
  </si>
  <si>
    <t>BiK5212-----SZ</t>
  </si>
  <si>
    <t>WiK5213-----SZ</t>
  </si>
  <si>
    <t>WfK5213-----SZ</t>
  </si>
  <si>
    <t>WaK5214-----SZ</t>
  </si>
  <si>
    <t>BiK5214-----SZ</t>
  </si>
  <si>
    <t>GaK5214-----SZ</t>
  </si>
  <si>
    <t>DeK5214-----SZ</t>
  </si>
  <si>
    <t>KlK5214-----SZ</t>
  </si>
  <si>
    <t>GrK5214-----SZ</t>
  </si>
  <si>
    <t>GeK5214-----SZ</t>
  </si>
  <si>
    <t>WiK5214-----SZ</t>
  </si>
  <si>
    <t>WnK5214-----SZ</t>
  </si>
  <si>
    <t>WrK5214-----SZ</t>
  </si>
  <si>
    <t>WfK5214-----SZ</t>
  </si>
  <si>
    <t>SoK5214-----SZ</t>
  </si>
  <si>
    <t>SgK5214-----SZ</t>
  </si>
  <si>
    <t>WaK5215-----SZ</t>
  </si>
  <si>
    <t>BiK5215-----SZ</t>
  </si>
  <si>
    <t>GaK5215-----SZ</t>
  </si>
  <si>
    <t>DeK5215-----SZ</t>
  </si>
  <si>
    <t>KlK5215-----SZ</t>
  </si>
  <si>
    <t>GrK5215-----SZ</t>
  </si>
  <si>
    <t>GeK5215-----SZ</t>
  </si>
  <si>
    <t>WiK5215-----SZ</t>
  </si>
  <si>
    <t>WnK5215-----SZ</t>
  </si>
  <si>
    <t>WrK5215-----SZ</t>
  </si>
  <si>
    <t>WfK5215-----SZ</t>
  </si>
  <si>
    <t>SoK5215-----SZ</t>
  </si>
  <si>
    <t>SgK5215-----SZ</t>
  </si>
  <si>
    <t>WaK5216-----SZ</t>
  </si>
  <si>
    <t>BiK5216-----SZ</t>
  </si>
  <si>
    <t>GaK5216-----SZ</t>
  </si>
  <si>
    <t>DeK5216-----SZ</t>
  </si>
  <si>
    <t>KlK5216-----SZ</t>
  </si>
  <si>
    <t>GrK5216-----SZ</t>
  </si>
  <si>
    <t>GeK5216-----SZ</t>
  </si>
  <si>
    <t>WiK5216-----SZ</t>
  </si>
  <si>
    <t>WnK5216-----SZ</t>
  </si>
  <si>
    <t>WrK5216-----SZ</t>
  </si>
  <si>
    <t>WfK5216-----SZ</t>
  </si>
  <si>
    <t>SoK5216-----SZ</t>
  </si>
  <si>
    <t>SgK5216-----SZ</t>
  </si>
  <si>
    <t>WaK5217-----SZ</t>
  </si>
  <si>
    <t>BiK5217-----SZ</t>
  </si>
  <si>
    <t>GaK5217-----SZ</t>
  </si>
  <si>
    <t>DeK5217-----SZ</t>
  </si>
  <si>
    <t>KlK5217-----SZ</t>
  </si>
  <si>
    <t>GrK5217-----SZ</t>
  </si>
  <si>
    <t>GeK5217-----SZ</t>
  </si>
  <si>
    <t>WiK5217-----SZ</t>
  </si>
  <si>
    <t>WnK5217-----SZ</t>
  </si>
  <si>
    <t>WrK5217-----SZ</t>
  </si>
  <si>
    <t>WfK5217-----SZ</t>
  </si>
  <si>
    <t>SoK5217-----SZ</t>
  </si>
  <si>
    <t>SgK5217-----SZ</t>
  </si>
  <si>
    <t>WaK5218-----SZ</t>
  </si>
  <si>
    <t>BiK5218-----SZ</t>
  </si>
  <si>
    <t>GaK5218-----SZ</t>
  </si>
  <si>
    <t>DeK5218-----SZ</t>
  </si>
  <si>
    <t>KlK5218-----SZ</t>
  </si>
  <si>
    <t>GrK5218-----SZ</t>
  </si>
  <si>
    <t>GeK5218-----SZ</t>
  </si>
  <si>
    <t>WiK5218-----SZ</t>
  </si>
  <si>
    <t>WnK5218-----SZ</t>
  </si>
  <si>
    <t>WrK5218-----SZ</t>
  </si>
  <si>
    <t>WfK5218-----SZ</t>
  </si>
  <si>
    <t>SoK5218-----SZ</t>
  </si>
  <si>
    <t>SgK5218-----SZ</t>
  </si>
  <si>
    <t>WaK5219-----SZ</t>
  </si>
  <si>
    <t>BiK5219-----SZ</t>
  </si>
  <si>
    <t>GaK5219-----SZ</t>
  </si>
  <si>
    <t>DeK5219-----SZ</t>
  </si>
  <si>
    <t>KlK5219-----SZ</t>
  </si>
  <si>
    <t>GrK5219-----SZ</t>
  </si>
  <si>
    <t>GeK5219-----SZ</t>
  </si>
  <si>
    <t>WiK5219-----SZ</t>
  </si>
  <si>
    <t>WnK5219-----SZ</t>
  </si>
  <si>
    <t>WrK5219-----SZ</t>
  </si>
  <si>
    <t>WfK5219-----SZ</t>
  </si>
  <si>
    <t>SoK5219-----SZ</t>
  </si>
  <si>
    <t>SgK5219-----SZ</t>
  </si>
  <si>
    <t>SgK52110----SZ</t>
  </si>
  <si>
    <t>WaK52111----SZ</t>
  </si>
  <si>
    <t>BiK52111----SZ</t>
  </si>
  <si>
    <t>GaK52111----SZ</t>
  </si>
  <si>
    <t>DeK52111----SZ</t>
  </si>
  <si>
    <t>KlK52111----SZ</t>
  </si>
  <si>
    <t>GrK52111----SZ</t>
  </si>
  <si>
    <t>GeK52111----SZ</t>
  </si>
  <si>
    <t>WiK52111----SZ</t>
  </si>
  <si>
    <t>WnK52111----SZ</t>
  </si>
  <si>
    <t>WrK52111----SZ</t>
  </si>
  <si>
    <t>WfK52111----SZ</t>
  </si>
  <si>
    <t>SoK52111----SZ</t>
  </si>
  <si>
    <t>SgK52111----SZ</t>
  </si>
  <si>
    <t>WaK52112----SZ</t>
  </si>
  <si>
    <t>BiK52112----SZ</t>
  </si>
  <si>
    <t>GaK52112----SZ</t>
  </si>
  <si>
    <t>DeK52112----SZ</t>
  </si>
  <si>
    <t>KlK52112----SZ</t>
  </si>
  <si>
    <t>GrK52112----SZ</t>
  </si>
  <si>
    <t>GeK52112----SZ</t>
  </si>
  <si>
    <t>WiK52112----SZ</t>
  </si>
  <si>
    <t>WnK52112----SZ</t>
  </si>
  <si>
    <t>WrK52112----SZ</t>
  </si>
  <si>
    <t>WfK52112----SZ</t>
  </si>
  <si>
    <t>SoK52112----SZ</t>
  </si>
  <si>
    <t>SgK52112----SZ</t>
  </si>
  <si>
    <t>WaK523-5----AB</t>
  </si>
  <si>
    <t>BiK523-5----AB</t>
  </si>
  <si>
    <t>GaK523-5----AB</t>
  </si>
  <si>
    <t>DeK523-5----AB</t>
  </si>
  <si>
    <t>KlK523-5----AB</t>
  </si>
  <si>
    <t>GrK523-5----AB</t>
  </si>
  <si>
    <t>GeK523-5----AB</t>
  </si>
  <si>
    <t>WiK523-5----AB</t>
  </si>
  <si>
    <t>WnK523-5----AB</t>
  </si>
  <si>
    <t>WrK523-5----AB</t>
  </si>
  <si>
    <t>WfK523-5----AB</t>
  </si>
  <si>
    <t>SoK523-5----AB</t>
  </si>
  <si>
    <t>SgK523-5----AB</t>
  </si>
  <si>
    <t>Beispiele für die Datenmeldung und Darstellung von Zahlungen bei Pflichtverstößen nach § 52 EEG 2023</t>
  </si>
  <si>
    <t>Eingabe positiv</t>
  </si>
  <si>
    <t>Eingabe negativ</t>
  </si>
  <si>
    <t>Beispiel 1: Strafzahlung bei einem Pflichtverstoß und Reduzierung der Strafzahlung bei Erfüllung der Pflicht</t>
  </si>
  <si>
    <t>- Verstoß gegen technische Vorgaben (SgK5211-----SZ) durch eine Solar/Gebäude-Anlage mit einer installierten Leistung von 10 kWp ab Januar 2023 bis 25. Oktober 2023</t>
  </si>
  <si>
    <t>- Verstoß gegen technische Vorgaben (SgK5211-----SZ) durch eine Solar/Gebäude-Anlage mit einer installierten Leistung von 10 kWp ab Januar 2023 bis 25. März 2023</t>
  </si>
  <si>
    <t>§ 17 Abs. 1 EEG 2012: Der Vergütungsanspruch nach § 16 EEG 2012 oder § 19 EEG 2014 verringert sich auf Null, solange Anlagenbetreiber gegen § 6 Absatz 1, 2, 4 oder 5  EEG 2012 (Technische Vorgaben) verstoßen.
Gelöscht da Neuregelung Sanktionierung § 52 EEG 2023.</t>
  </si>
  <si>
    <t>§ 25 Abs. 1 Nr. 1 EEG 2014: Der anzulegende Wert nach § 23 Abs. 1 Satz 2 EEG 2014 verringert sich sich auf null, solange Anlagenbetreiber die zur Registrierung der Anlage erforderlichen Angaben nicht nach Maßgabe der Anlagenregisterverordnung übermittelt haben.
§ 52 Abs. 1 Satz 1 Nr. 1 EEG 2017/2021: Der anzulegende Wert verringert sich auf null, solange Anlagenbetreiber die zur Registrierung der Anlage erforderlichen Angaben nicht an das Register übermittelt haben und die Meldung nach § 71 noch nicht erfolgt ist.
Gelöscht da Neuregelung Sanktionierung § 52 EEG 2023.</t>
  </si>
  <si>
    <t>§ 25 Abs. 1 Nr. 2 EEG 2014: Der anzulegende Wert nach § 23 Abs. 1 Satz 2 EEG 2014 verringert sich sich auf null, solange und soweit Anlagenbetreiber einer nach Maßgabe der Anlagenregisterverordnung registrierten Anlage eine Erhöhung der installierten Leistung der Anlage nicht nach Maßgabe der Anlagenregisterverordnung übermittelt haben.
§ 52 Abs. 1 Satz 1 Nr. 2 EEG 2017/2021: Der anzulegende Wert  verringert sich sich auf null, solange und soweit Betreiber von im Register registrierten Anlagen die zur Meldung einer Erhöhung der installierten Leistung der Anlage erforderlichen Angaben nicht an das Register übermittelt haben und die Meldung nach § 71 noch nicht erfolgt ist.
Gelöscht da Neuregelung Sanktionierung § 52 EEG 2023.</t>
  </si>
  <si>
    <t>§ 25 Abs. 1 Nr. 3 EEG 2014: Der anzulegende Wert nach § 23 Abs. 1 Satz 2 EEG 2014 verringert sich sich auf null, wenn Anlagenbetreiber gegen § 20 Abs. 2 Satz 2 EEG 2014 verstoßen, d. h. wenn die gemeldeten Prozentsätze für die anteilige Direktvermarktung nicht jederzeit eingehalten wurden.
§ 52 Abs. 1 Satz 1 Nr. 3 EEG 2017/2021: Der anzulegende Wert verringert sich auf null, wenn Anlagenbetreiber gegen § 21b Abs. 2 Satz 1 zweiter Halbsatz (anteilige DV) oder Abs. 3 (Pflicht zur Viertelstundenmessung bei Direktvermarktung) verstoßen.
Diese Verringerung gilt bis zum Ablauf des dritten Kalendermonats, der auf die Beendigung des Verstoßes folgt.
Gelöscht da Neuregelung Sanktionierung § 52 EEG 2023.</t>
  </si>
  <si>
    <r>
      <t xml:space="preserve">Unter Maßgabe der § 100 Abs. 4 und § 100 Abs. 4a EEG 2021 gilt:
§ 25 Abs. 2 Nr. 1 EEG 2014: Der anzulegende Wert nach § 23 Abs. 1 Satz 2 EEG 2014 verringert sich sich auf den Monatsmarktwert, solange Anlagenbetreiber gegen § 9 Abs. 1 (Einspeisemanagement für Anlage &gt;100kW), Abs. 2 (Einspeisemanagement für PV-Anlagen bis 100kW), Abs. 5 (Gärrestlager, 150 Tage hydraulische Verweilzeit und zusätzliche Gasverbrauchseinrichtung bei Biogasanlagen) , Abs. 6 EEG 2014 (Erfüllung Systemdienstleistungsverordnung für Windenergieanlagen mit Inbetriebnahme vor 2017) verstoßen.
§ 52 Abs. 2 Satz 1 Nr. 1 EEG 2017: Der anzulegende Wert verringert sich auf den Monatsmarktwert, solange Anlagenbetreiber gegen § 9 Abs. 1, 2, 5 oder 6 EEG 2017 verstoßen.
§ 52 Abs. 2 Satz 1 Nr. 1b EEG 2017: Der anzulegende Wert verringert sich auf den Monatsmarktwert, solange Anlagenbetreiber gegen § 9 Abs. 8 EEG 2017 verstoßen (Änderung aus dem Energiesammelgesetz: Pflicht zur Nachtkennzeichnung bei Windenergieanlagen).
§ 52 Abs. 2 Satz 1 Nr. 1 EEG 2021: Der anzulegende Wert verringert sich auf den Marktwert, solange Anlagenbetreiber gegen § 9 Abs. 1, 1a 2, oder 5 EEG 2021 verstoßen.
Im Fall des § 48a ist Satz 1 entsprechend mit der Maßgabe anzuwenden, dass sich der anzulegende Wert auf null verringert.
</t>
    </r>
    <r>
      <rPr>
        <b/>
        <u/>
        <sz val="10"/>
        <rFont val="Arial"/>
        <family val="2"/>
      </rPr>
      <t>Achtung:</t>
    </r>
    <r>
      <rPr>
        <b/>
        <sz val="10"/>
        <rFont val="Arial"/>
        <family val="2"/>
      </rPr>
      <t xml:space="preserve"> Bei Altanlagen (Vergütung nach EEG 2000 bis 2012) ist bei einem Verstoß gegen die technischen Vorgaben gemäß § 100 Abs. 1 Nr. 2 EEG 2014 bzw. § 100 Abs. 1 Nr. 10 Buchstabe b EEG 2017 die Sanktion nach § 17 Abs. 1 EEG 2012 (Verringerung der Vergütung auf null) und die entsprechende Sanktionskategorie XxK171* anzuwenden.
Gelöscht da Neuregelung Sanktionierung § 52 EEG 2023.</t>
    </r>
  </si>
  <si>
    <t>§ 25 Abs. 2 Nr. 2 EEG 2014: Der anzulegende Wert nach § 23 Abs. 1 Satz 2 EEG 2014 verringert sich sich auf den Monatsmarktwert, wenn Anlagenbetreiber dem Netzbetreiber den Wechsel zwischen den verschiedenen Vermarktungsformen nach § 20 Abs 1 EEG 2014 nicht nach Maßgabe des § 21 EEG 2014 übermittelt haben (verspätete, fehlerhafte oder unvollständige Meldung von Wechseln zwischen den Vermarktungsformen). Die Verringerung gilt bis zum Ablauf des Kalendermonats, der auf die Beendigung des Verstoßes folgt.
§ 52 Abs. 2 Satz 1 Nr. 2 EEG 2017: Der anzulegende Wert verringert sich sich auf den Monatsmarktwert, wenn Anlagenbetreiber dem Netzbetreiber die Zuordnung oder den Wechsel zwischen den verschiedenen Veräußerungsformen nach § 21b Abs. 1 nicht nach Maßgabe des § 21c EEG 2017 übermittelt haben (verspätete, fehlerhafte oder unvollständige Meldung von Wechseln zwischen den Vermarktungsformen). Die Verringerung gilt bis zum Ablauf des Kalendermonats, der auf die Beendigung des Verstoßes folgt.
§ 52 Abs. 2 Satz 1 Nr. 2 EEG 2021: Der anzulegende Wert verringert sich sich auf den Marktwert, wenn Anlagenbetreiber dem Netzbetreiber die Zuordnung oder den Wechsel zwischen den verschiedenen Veräußerungsformen nach § 21b Abs. 1 nicht nach Maßgabe des § 21c EEG 2021 übermittelt haben (verspätete, fehlerhafte oder unvollständige Meldung von Wechseln zwischen den Vermarktungsformen). Die Verringerung gilt bis zum Ablauf des Kalendermonats, der auf die Beendigung des Verstoßes folgt. Im Fall des § 48a ist Satz 1 entsprechend mit der Maßgabe anzuwenden, dass sich der anzulegende Wert auf null verringert.
Gelöscht da Neuregelung Sanktionierung § 52 EEG 2023.</t>
  </si>
  <si>
    <r>
      <t xml:space="preserve">§ 25 Abs. 2 Nr. 4 EEG 2014: Der anzulegende Wert nach § 23 Abs. 1 Satz 2 EEG 2014 verringert sich sich auf den Monatsmarktwert, solange Anlagenbetreiber, die den in der Anlage erzeugten Strom dem Netzbetreiber nach § 19 Abs. 1 Nr. 2 EEG 2014 zur Verfügung stellen gegen § 39 Abs. 2 EEG 2014 verstoßen, mindestens jedoch für die Dauer des gesamten Kalendermonats, in dem ein solcher Verstoß erfolgt ist.
§ 52 Abs. 2 Satz 1 Nr. 4 EEG 2017: Der anzulegende Wert  verringert sich sich auf den Monatsmarktwert, solange Anlagenbetreiber, die eine Einspeisevergütung in Anspruch nehmen, gegen § 21 Abs. 2 EEG 2017 verstoßen, mindestens jedoch für die Dauer des gesamten Kalendermonats, in dem ein solcher Verstoß erfolgt ist.
§ 52 Abs. 2 Satz 1 Nr. 4 EEG 2021: Der anzulegende Wert  verringert sich sich auf den Marktwert, solange Anlagenbetreiber, die eine Einspeisevergütung in Anspruch nehmen, gegen § 21 Abs. 2 EEG 2021 verstoßen, mindestens jedoch für die Dauer des gesamten Kalendermonats, in dem ein solcher Verstoß erfolgt ist. Im Fall des § 48a ist Satz 1 entsprechend mit der Maßgabe anzuwenden, dass sich der anzulegende Wert auf null verringert.
</t>
    </r>
    <r>
      <rPr>
        <b/>
        <u/>
        <sz val="10"/>
        <rFont val="Arial"/>
        <family val="2"/>
      </rPr>
      <t>Achtung:</t>
    </r>
    <r>
      <rPr>
        <b/>
        <sz val="10"/>
        <rFont val="Arial"/>
        <family val="2"/>
      </rPr>
      <t xml:space="preserve"> Es kann auch ein Verstoß gegen das Doppelvermarktungsverbot des § 80 EEG 2014/2017/2021 vorliegen, der gemäß § 25 Abs. 2 Nr. 5 EEG 2014 bzw. § 52 Abs. 2 Nr. 5 EEG 2017/2021 zu sanktionieren ist, und zwar für die Dauer des Verstoßes zuzüglich der darauf folgenden sechs Kalendermonate.
Gelöscht da Neuregelung Sanktionierung § 52 EEG 2023.</t>
    </r>
  </si>
  <si>
    <t>§ 25 Abs. 2 Nr. 5 EEG 2014: Der anzulegende Wert nach § 23 Abs. 1 Satz 2 EEG 2014 verringert sich sich auf den Monatsmarktwert, wenn Anlagenbetreiber gegen die in § 80 EEG 2014 geregelten Pflichten verstoßen (Doppelvermarktungsverbot). Die Verringerung gilt für die Dauer des Verstoßes zuzüglich der darauf folgenden sechs Kalendermonate.
§ 52 Abs. 2 Satz 1 Nr. 5 EEG 2017: Der anzulegende Wert verringert sich sich auf den Monatsmarktwert, wenn Anlagenbetreiber gegen die in § 80 EEG 2017 geregelten Pflichten verstoßen (Doppelvermarktungsverbot). Die Verringerung gilt für die Dauer des Verstoßes zuzüglich der darauf folgenden sechs Kalendermonate. 
§ 52 Abs. 2 Satz 1 Nr. 5 EEG 2021: Der anzulegende Wert verringert sich sich auf den Marktwert, wenn Anlagenbetreiber gegen die in § 80 EEG 2021 geregelten Pflichten verstoßen (Doppelvermarktungsverbot). Die Verringerung gilt für die Dauer des Verstoßes zuzüglich der darauf folgenden sechs Kalendermonate. Im Fall des § 48a ist Satz 1 entsprechend mit der Maßgabe anzuwenden, dass sich der anzulegende Wert auf null verringert.
Gelöscht da Neuregelung Sanktionierung § 52 EEG 2023.</t>
  </si>
  <si>
    <t>Für den Fall, dass sich auf Grund hoher Marktwerte in Summe ein rein rechnerisch positiver Wert ergeben würde, der aber nicht positiv gemeldet werden darf, ist als Eurobetrag 0,00 Euro anzugeben.
Gelöscht da Neuregelung Sanktionierung § 52 EEG 2023.</t>
  </si>
  <si>
    <t>§100 Abs. 14 Satz 4 EEG 2021: Wenn der Anlagenbetreiber entgegen der Mitteilung nach § 100 Abs. 14 Satz 2 EEG 2021 (Inanspruchnahme der erhöhten Volleinspeiservergütung) nicht den gesamten in der Anlage in einem Kalenderjahr erzeugten Strom in das Netz einspeist, verringert sich der anzulegende Wert für dieses Kalenderjahr auf den Marktwert, höchstens jedoch die Vergütung nach § 100 Absatz 14 Satz 1 EEG 2021 (Überschusseinspeisung).
Gelöscht da Neuregelung Sanktionierung § 52 EEG 2023.</t>
  </si>
  <si>
    <t>Die Kategorien erfassen die nach § 27 Abs. 7, § 33 Abs. 2 und 4 EEG 2012, den § 25 Abs. 2 Nr. 6 und § 47 Abs. 1 EEG 2014 sowie § 51, § 52 EEG 2017/2021/2023, § 44b EEG 2017/2021/2023 bzw. § 44c EEG 2021/2023 die an den Anlagenbetreiber gezahlten reduzierten EEG-Vergütungen sowie die zugrundeliegende Strommenge. Weiterhin wird die EEG-Vergütung für Biomasse-Anlagen um den Wert kostenlos zugeteilter  Berechtigungen nach § 9 Treibhausgas-Emissionshandelsgesetz gemäß § 66 Abs. 21 EEG 2012 gekürzt, um eine Doppelförderung zu vermeiden. Bis auf § 25 Abs. 2 Nr. 6 EEG 2014 (Vorbildwirkung öffentlicher Gebäude), § 24 EEG 2014 bzw. § 51 EEG 2017/2021/2023 (6-h-Regel/4-h-Regel negative Börsenpreise), § 33 Abs. 2 EEG 2012 (Marktintegration), § 47 Abs. 1 EEG 2014 bzw. § 44b EEG 2017/2021 (Begrenzung großer Biogas-Anlagen) und § 66 Abs. 21 EEG 2012 (Wert kostenloser Berechtigungen) handelt es sich um Sanktionen bei verschiedenen Verstößen gegen Vorschriften des EEG.</t>
  </si>
  <si>
    <t xml:space="preserve">§ 24 EEG 2014 und § 51 EEG 2017/2021/2023: Wenn der Wert der Stundenkontrakte für die Preiszone Deutschland am Spotmarkt der Strombörsen an mindestens vier bzw. sechs aufeinanderfolgenden Stunden negativ ist, verringert sich der anzulegende Wert  für den gesamten Zeitraum, in dem die Stundenkontrakte ohne Unterbrechnung negativ sind, auf Null. In § 24 Abs. 3 EEG werden die Anlagen definiert, auf die diese Regelung nicht anzuwenden ist. Anlagen, für die diese Regelung anzuwenden sind, unterliegen immer der Direktvermarktungspflicht, d.h. eine Einspeisevergütung nach § 37 EEG 2014 ist ausgeschlossen. Für die während dieses Zeitraums eingespeisten Strommengen wird keine Marktprämie und keine Ausfallvergütung gezahlt. 
Der Anspruch auf Ausfallvergütung nach § 38 EEG 2014 verringert sich in einem Monat, in dem gegen die Meldepflicht nach § 24 Abs. 2 Halbsatz 1 EEG 2014 verstoßen wird, um 5 % pro Kalendertag, in dem der relevante Zeitraum von mindestens 6 aufeinanderfolgenden Stunden mit negativen Preisen nach § 24 Abs. 1 EEG 2014 ganz oder teilweise liegt. Die Kürzung der Ausfallvergütung ist äquivalent zur Kürzung der in diesem Monat eingespeisten Strommenge um 5 % je Kalendertag. Diese gekürzte Strommenge ist ersatzweise zur tatsächlich gemäß § 24 Abs. 2 Halbsatz 1 EEG 2014 vom Anlagenbetreiber gemeldeten Strommenge mit diesen Kategorien zu melden.
Diese Kategorien werden ab 2017 analog weitergeführt. Die Rechtsgrundlage für die Sanktion ist in § 51 EEG 2017 analog zum § 24 EEG 2014 geregelt.
Diese Kategorien werden ab 2021 analog weitergeführt. Die Rechtsgrundlage für die Sanktion ist in § 51 EEG 2021 analog zum § 24 EEG 2014 geregelt (4h-Regel für negative Börsenpreise).
Diese Kategorien werden ab 2023 analog weitergeführt. Die Rechtsgrundlage für die Sanktion ist in § 51 EEG 2023 analog zum § 24 EEG 2014 geregelt (4h-Regel für negative Börsenpreise).
Die Sanktion nach § 24 EEG 2014 bzw. § 51 EEG 2017/2021/2023 ist nicht für Anlagen mit Inbetriebnahme vor dem 01. Januar 2016 anzuwenden.
§ 9 InnAusV: Für Anlagen, die Zahlungen aufgrund eines Zuschlags in der Innovationsauschreibung erhalten, verringert sich die fixe Marktprämie für einen Zeitraum, in dem der Wert der Stundenkontrakte für die Preiszone für Deutschland am Spotmarkt der Strombörse in der vortägigen Auktion negativ ist, auf null.
Diese Kategorien werden auch für Anlagen, die Zahlungen aufgrund eines Zuschlags in der Innovationsausschreibung erhalten, analog verwendet. 
Die mit diesen Kategorien zu meldenden Strommengen fließen in die Berechnung der vNNE ein und sind im Fall der Ausfallvermarktung an den ÜNB energetisch zu wälzen.
Die Ausweisung dieser Zeiträume ist unter folgender URL ersichtlich: http://www.netztransparenz.de/de/Marktwerte.htm </t>
  </si>
  <si>
    <t xml:space="preserve">Vorbehalt zur beihilferechtlichen Genehmigung durch EU-Kommission nach § 101 EEG 2023 </t>
  </si>
  <si>
    <t>§ 48 Abs. 5 EEG 2021: Für Solaranlagen mit einer instalierten Leistung von mehr als 300 kW bis einschließlich 750 kW mit Inbetriebnahme vom 01.01.2021 bis 29.07.2022 verringert sich der Vergütungsanspruch für jede Kilowattstunde Strom, der 50 Prozent der erzeugten Strommenge in einem Kalenderjahr überschreitet, sowohl in der Einspeisevergütung als auch Marktprämie auf Null.  Die nicht in das Netz eingespeiste Strommenge (Selbstverbrauch) ist über die Kategorie SgK33a2-----SV zu melden.
§ 100 Abs. 9 EEG 2021: Für Solaranlagen mit einer installierten Leistung von mehr als 300 kW bis einschließlich 750 kW mit Inbetriebnahme ab dem 30.07.2022 besteht Anspruch nach § 19 Abs. 1 Nr. 1 und 2 für 80 Prozent der erzeugten Strommenge. 
§ 48 EEG Absatz 5 ist im EEG 2023 nicht mehr enthalten, so dass diese Regelung nur Anwendung findet für Strom aus Anlagen, die vor dem 01.01.2023 in Betrieb genommen worden sind.</t>
  </si>
  <si>
    <t>Strafzahlung 10 Euro pro Kilowatt installierter Leistung und Kalendermonat nach § 52 Abs. 1 Nr. 1 EEG (Verstoß gegen technische Vorgaben)</t>
  </si>
  <si>
    <t>Strafzahlung 10 Euro pro Kilowatt installierter Leistung und Kalendermonat nach § 52 Abs. 1 Nr. 2 EEG (Verstoß gegen technische Vorgaben -Freisetzung von Biogas-)</t>
  </si>
  <si>
    <t>Strafzahlung 10 Euro pro Kilowatt installierter Leistung und Kalendermonat nach § 52 Abs. 1 Nr. 3 EEG (Verstoß gegen technische Vorgaben -Nachtkennzeichnung-)</t>
  </si>
  <si>
    <t>Strafzahlung 10 Euro pro Kilowatt installierter Leistung und Kalendermonat nach § 52 Abs. 1 Nr. 4 EEG (Verstoß gegen Vorgaben zur Direktvermarktung)</t>
  </si>
  <si>
    <t>Die Sanktionen nach § 52  EEG 2023 sind auch für Anlagen anzuwenden, die keine Förderung nach § 19 Abs. 1 EEG in Anspruch nehmen (z.B. Sonstige Direktvermarktung, freiwilliger Verzicht auf EEG-Förderung).</t>
  </si>
  <si>
    <t>Strafzahlung 10 Euro pro Kilowatt installierter Leistung und Kalendermonat nach § 52 Abs. 1 Nr. 5 EEG (Überschreitung der Höchstdauer bei Ausfallvergütung)</t>
  </si>
  <si>
    <t>Strafzahlung 10 Euro pro Kilowatt installierter Leistung und Kalendermonat nach § 52 Abs. 1 Nr. 6 EEG (Verstoß gegen Stromüberlassung nach §21 Abs. 2 EEG)</t>
  </si>
  <si>
    <t>Strafzahlung 10 Euro pro Kilowatt installierter Leistung und Kalendermonat nach § 52 Abs. 1 Nr. 7 EEG (Verstoß gegen prozentale Aufteilung auf verschiedene Veräußerungsformen)</t>
  </si>
  <si>
    <t>Strafzahlung 10 Euro pro Kilowatt installierter Leistung und Kalendermonat nach § 52 Abs. 1 Nr. 8 EEG (Viertelstundenmessung)</t>
  </si>
  <si>
    <t>Strafzahlung 10 Euro pro Kilowatt installierter Leistung und Kalendermonat nach § 52 Abs. 1 Nr. 9 EEG (Verstoß gegen Meldepflicht zum Wechsel der Vermarktungsform)</t>
  </si>
  <si>
    <t>Strafzahlung 2 Euro pro Kilowatt installierter Leistung und Kalendermonat nach § 52 Abs. 1 Nr. 10 EEG (Verstoß gegen Volleinspeisungsgebot)</t>
  </si>
  <si>
    <t>Strafzahlung 10 Euro pro Kilowatt installierter Leistung und Kalendermonat nach § 52 Abs. 1 Nr. 12 EEG (Doppelvermarktung)</t>
  </si>
  <si>
    <t>SgK23b1-MSZ-AB</t>
  </si>
  <si>
    <t>Ausgleichsbetrag zum Ausgleich des andernfalls negativen Mieterstromzuschlags</t>
  </si>
  <si>
    <t>Kategorien Sonstige Direktvermarktung nach § 20 Abs. 1 Nr. 2 EEG 2014 und § 21a EEG 2017/2021/2023</t>
  </si>
  <si>
    <t>Die nachfolgenden Kategorien dienen der Datenmeldung der nach § 33b Nr. 3 EEG 2012 (vor 01.08.2014), § 20 Abs. 1 Nr. 2 EEG 2014 (nach 31.07.2014 und vor 01.01.2017) oder § 21a EEG 2017/2021/2023 (nach 31.12.2016) direkt vermarkteten und erzeugten, nicht durch das EEG geförderten Strommengen ("Sonstige Direktvermarktung").</t>
  </si>
  <si>
    <t>Für diese Strommengen wird keine EEG-Vergütung an den Anlagenbetreiber gezahlt. Die vNNE werden an den Anlagenbetreiber ausgezahlt und sind nicht in der Datenmeldung zu erfassen. Ab 01.01.2017 erfolgt nach Maßgabe § 52 Abs. 4 EEG 2017/2021 keine Zahlung der vNNE an den Anlagenbetreiber, solange gegen § 9 Abs. 1, 2, 5 oder 6 EEG 2017, § 9 Abs. 1, 1a, 2 oder 5 EEG 2021  oder § 21b Abs. 3 EEG 2017/2021 verstoßen wird. Ab 01.01.2023 sind bei einem Verstoß nach § 52 Abs. 1 EEG 2023 keine vNNe an den Anlagenbetreiber nach § 52 Abs. 7 EEG 2023 zu zahlen.</t>
  </si>
  <si>
    <t>- Die Sanktionierung erfolgt für den kompletten Kalendermonat, auch wenn der Verstoß nicht den gesamten Monat andauert.</t>
  </si>
  <si>
    <t>- Verstoß gegen prozentuale Aufteilung auf verschiedene Veräußerungsformen (SgK5217-----SZ) durch eine Solar/Gebäude-Anlage mit einer installierten Leistung von 10 kWp ab Januar 2023 bis 5. April 2023. Sanktionierung wird nach § 52 Abs. 4 Nr. 1 um 3 Kalendermonate verlängert.</t>
  </si>
  <si>
    <t>- Die rückwirkende Reduzierung der Sanktionierung auf 2 EUR/kW hat für die Monate Januar bis Juli keinen Effekt, da die Sanktionierung nach § 52 Abs. 1 Nr. 7 weiterhin 10 EUR/kW beträgt.</t>
  </si>
  <si>
    <t>Beispiel 2.3: Begrenzung der Strafzahlungen bei mehreren Pflichtverstößen und Reduzierung der Strafzahlung bei Erfüllung beider Pflichten</t>
  </si>
  <si>
    <t>Beispiel 2.2: Begrenzung der Strafzahlungen bei mehreren Pflichtverstößen und Reduzierung der Strafzahlung bei Erfüllung nur einer Pflicht</t>
  </si>
  <si>
    <t>Beispiel 2.1: Begrenzung der Strafzahlungen bei mehreren Pflichtverstößen und Reduzierung der Strafzahlung bei Erfüllung nur einer Pflicht</t>
  </si>
  <si>
    <t xml:space="preserve">- Verstoß gegen Registrierungspflicht (SgK52111----SZ) durch eine Solar/Gebäude-Anlage mit einer installierten Leistung von 10 kWp ab Januar 2023 bis 5. April 2023. </t>
  </si>
  <si>
    <t>- Verstoß gegen prozentuale Aufteilung auf verschiedene Veräußerungsformen (SgK5217-----SZ) durch eine Solar/Gebäude-Anlage mit einer installierten Leistung von 10 kWp ab Januar 2023 bis 31. Juli 2023. Sanktionierung wird nach § 52 Abs. 4 Nr. 1 um 3 Kalendermonate verlängert.</t>
  </si>
  <si>
    <t>Kategorie Mieterstromzuschlag nach § 21 Abs. 3 EEG 2017/2021/2023</t>
  </si>
  <si>
    <t>Informationen zur Datenmeldung des VNB an den ÜNB für Anlagen mit Inbetriebnahme vor dem 01.01.2021 erhalten Netzbetreiber bei ihrem zuständigen ÜNB. Für Anlagen, die nach dem 31.12.2020 in Betrieb gegangen sind, sind die Kategorien beginnend mit SgK48a zu verwenden.</t>
  </si>
  <si>
    <t>Diese Kategorien erfassen die nach § 21 Abs. 3 EEG 2017/2021/2023 (nach 24.07.2017) an Letztverbraucher gelieferte Strommengen mit Inanspruchnahme des Mieterstromzuschlags, sowie die Höhe des an den Anlagenbetreiber ausgezahlten Mieterstromzuschlags.</t>
  </si>
  <si>
    <t>Voraussetzung für die Nutzung dieser Kategorien für Strommengen, die nach dem 24.07.2017 erzeugt worden sind, ist die Einhaltung der besonderen Bestimmung zum Mieterstromzuschlag  gemäß §§ 21 Abs. 3, 21b und 23b EEG 2017 oder §§ 21 Abs. 3, 21b EEG 2021/2023 und § 23c EEG 2021.</t>
  </si>
  <si>
    <t>Kategorien für Anlagen mit einer Korrektur des anzulegenden Wertes nach § 36h Abs. 2 EEG 2017/2021/2023</t>
  </si>
  <si>
    <t>Korrekturbetrag der Marktprämie nach § 36h Abs. 2 S. 2 EEG 2017/2021/2023</t>
  </si>
  <si>
    <t>Korrekturbetrag der Ausfallvergütung nach § 36h Abs. 2 S. 2 EEG 2017/2021/2023</t>
  </si>
  <si>
    <t>Zinsen auf negativen Korrekturbetrag der Marktprämie nach § 36h Abs. 2 S. 3 EEG 2017/2021/2023</t>
  </si>
  <si>
    <t>Zinsen auf negativen Korrekturbetrag der Ausfallvergütung nach § 36h Abs. 2 S. 3 EEG 2017/2021/2023</t>
  </si>
  <si>
    <t>Kategorie für den Projektsicherungsbeitrag nach § 38d EEG 2021-2/2023</t>
  </si>
  <si>
    <t>Projektsicherungsbeitrag nach § 38d EEG 2021-2/2023</t>
  </si>
  <si>
    <t xml:space="preserve">Bieter müssen für ihre Gebote, die sie im Rahmen von Ausschreibungen für Solaranlagen des zweiten Segments abgeben, einen Projektsicherungsbeitrag gemäß § 38d EEG 2021-2/2023 leisten. Der Netzbetreiber erstattet nach der Inbetriebnahme einer Anlage den von dem Anlagenbetreiber geleisteten Projektsicherungsbeitrag in Höhe von 35 Euro je Kilowatt installierter und bezuschlagter Gebotsmenge im Rahmen der ersten auf die Inbetriebnahme folgenden Endabrechnung in Form einer Einmalzahlung. Diese geleisteten Zahlungen sind dem Netzbetreiber durch den vorgelagerten Übertragungsnetzbetreiber nach § 57 Abs. 1 EEG 2021-2 bzw. § 13 Abs. 1 EnFG zu erstatten.
Für diese Kategorie wird keine Strommenge, sondern nur der Projektsicherungsbeitrag als positiver Euro-Betrag gemeldet.
Die Meldung kann auschließlich im Rahmen einer Jahresabrechnung erfolgen. 
</t>
  </si>
  <si>
    <t>Kategorien für ausgeförderte Anlagen gemäß § 3 Nr. 3a) EEG 2021/2023</t>
  </si>
  <si>
    <t>Gemäß § 21 Abs. 1 Nr. 3 EEG 2021/2023 besteht der Anspruch auf Zahlung der Einspeisevergütung nach § 19 Abs. 1 Nr. 2 EEG 2021/2023 für Strom aus ausgeförderten Anlagen, die keine Windenergieanlagen an Land sind und eine installierte Leistung von bis zu 100 Kilowatt haben.</t>
  </si>
  <si>
    <t>Die Besonderen Bestimmungen zur Einspeisevergütung bei ausgeförderten Anlagen gem. § 23b EEG 2021/2023 sind zu beachten.</t>
  </si>
  <si>
    <t>Kategorien Selbstverbrauch und Verbrauch durch Dritte in räumlicher Nähe nach § 20 Abs. 3 Nr. 2 EEG 2014 und § 21b Abs. 4 Nr. 2 EEG 2017/2021/2023</t>
  </si>
  <si>
    <r>
      <t xml:space="preserve">Die nachfolgenden Kategorien dienen der Datenmeldung der selbst verbrauchten oder nach  § 33a Abs. 2 EEG 2012 (vor 01.08.2014), § 20 Abs. 3 Nr. 2 EEG 2014 (nach 31.07.2014 und vor 01.01.2017) oder § 21b Abs. 4 Nr. 2 EEG 2017/2021/2023 (nach 31.12.2016) an Dritte veräußerten Strommengen, die in unmittelbarer räumlicher Nähe der Anlage verbraucht werden, ohne durch ein Netz durchgeleitet zu werden. Es handelt sich hierbei </t>
    </r>
    <r>
      <rPr>
        <b/>
        <u/>
        <sz val="10"/>
        <rFont val="Arial"/>
        <family val="2"/>
      </rPr>
      <t>nicht</t>
    </r>
    <r>
      <rPr>
        <b/>
        <sz val="10"/>
        <rFont val="Arial"/>
        <family val="2"/>
      </rPr>
      <t xml:space="preserve"> um eine Direktvermarktung. </t>
    </r>
  </si>
  <si>
    <t>Die nach § 33 Abs. 2 EEG 2009 oder 2012 a.F. selbst oder durch Dritte verbrauchten und vergüteten Solarstrommengen sind in den Vergütungskategorien, die mit SgK334 beginnen, zu melden. Solarstrommengen sind mit den nachfolgenden Kategorien nur dann zu melden, wenn generell keine EEG-Vergütung nach § 33 Abs. 2 EEG 2009 oder EEG 2012 a.F. gezahlt wird, z. B. im Fall von Freiflächenanlagen, Dachanlagen über 500 kW installierter Leistung oder einer grundsätzlich nicht gegebenen Vergütungsfähigkeit (EEG 2000, EEG 2004, EEG 2012 n.F., EEG 2014, EEG 2017, EEG 2021, EEG 2023). Wird für an sich nach § 33 Abs. 2 EEG 2009 oder 2012 a.F. vergütungsfähige Strommengen aufgrund von Sanktionen die Selbstverbrauchsvergütung auf 0 gekürzt, sind die hierfür vorgesehenen Sanktionskategorien zu verwenden.</t>
  </si>
  <si>
    <t>Kategorien Marktprämie nach § 34 EEG 2014 und § 20 EEG 2017/2021/2023</t>
  </si>
  <si>
    <t>Die Kategorien erfassen die nach § 33b Nr. 1 EEG 2012 (vor 01.08.2014), § 34 EEG 2014 (nach 31.07.2014 und vor 01.01.2017) oder § 20 EEG 2017/2021/2023 (nach 31.12.2016) direkt vermarkteten und erzeugten Strommengen mit Inanspruchnahme der Marktprämie ("Marktprämiemodell") sowie die Höhe der an den Anlagenbetreiber ausgezahlten Marktprämie.</t>
  </si>
  <si>
    <t>Voraussetzung für die Nutzung dieser Kategorien für Strommengen, die nach dem 31.07.2014 erzeugt worden sind, ist die Einhaltung der Vorschriften zur Fernsteuerbarkeit der Anlagen gemäß § 36 EEG 2014 oder § 20 Abs. 2 EEG 2017 entsprechend den Stichtagsregelungen der § 35 und § 100 Abs. 1 Nr. 8 EEG 2014 oder § 20 Abs. 1 Satz 2 EEG 2017 oder § 10b EEG 2021/2023. Sollte nach Ablauf des Stichtags eine verpflichtende Fernsteuerbarkeit nicht vorhanden sein, sind nicht diese Kategorien zu verwenden, sondern die weiter unten aufgeführten Sanktionskategorien.</t>
  </si>
  <si>
    <t>Kategorien zur Saldierung von rechnerisch negativen Marktprämienzahlungen nach § 20 i.V.m. Anlage 1 zu § 23a EEG 2021/2023</t>
  </si>
  <si>
    <t xml:space="preserve">Die nachfolgenden Kategorien dienen der Datenmeldung der positiven Saldierungsbeträge zu kalendermonatlich ggf. mit negativen Werten berechneten Marktprämienzahlungen mit den Zweck, die sachgerechte Reduzierung der Marktprämie auf Null Euro Förderung darzustellen. Dies ist für den Fall relevant, dass der Marktwert (MW) echt größer ist als der relevante anzulegende Wert (AW) der geförderten EEG-Anlage. Aus der gesetzlichen Berechnungsvorschrift ergibt sich daraus das Erfordernis, die Marktprämie (MP) mit "null festzusetzen" (vgl. Abschnitt 3.1.2 der Anlage 1 zum EEG 2021/2023 für die Höhe der Marktprämienzahlung). Sollte sich die Vergütung aus mehreren Vergütungskategorien ergeben, ist die Reduzierung der Marktprämie auf Null nicht auf der Ebene der einzelnen Kategorie, sondern erst nach der Saldierung sämtlicher Vergütungskategorien vorzunehmen, sofern diese negativ ist. 
</t>
  </si>
  <si>
    <t>Kategorien Ausfallvermarktung ("Einspeisung in Ausnahmefällen") nach § 38 EEG 2014 und § 21 Abs. 1 Nr. 2 EEG 2017/2021/2023</t>
  </si>
  <si>
    <t>Ausfallvermarktung nach § 38 EEG 2014 oder § 21 Abs. 1 Nr.  2 EEG 2017/2021/2023</t>
  </si>
  <si>
    <t>Kategorien Flexibilitätszuschlag für neue Biogas-Anlagen nach § 53 EEG 2014 bzw. nach § 50a EEG 2017/2021/2023</t>
  </si>
  <si>
    <t>Die Kategorien erfassen den nach § 53 EEG 2014 oder § 50a EEG 2017/2021/2023 an den Anlagenbetreiber ausgezahlten Flexibilitätszuschlag. Der Anspruch besteht nur, sofern für die Biogas-Anlage eine finanzielle Förderung nach § 19 EEG 2014 bzw. § 19 Abs. 1 EEG 2017/2021/2023(Marktprämie, Einspeise- oder Ausfallvergütung) für den in § 47 Abs. 1 EEG 2014  bzw. § 44 Abs. 1 EEG 2017/2021/2023 bestimmten Anteil (entsprechend 50 % der installierten Leistung) in Anspruch genommen wird und dieser Anspruch nicht nach § 25 EEG 2014 bzw. § 52 EEG 2017/2021/2023 verringert ist.</t>
  </si>
  <si>
    <t>Kategorien Flexibilitätsprämie für bestehende Biogas-Anlagen nach § 54 EEG 2014 bzw. § 50b EEG 2017/2021/2023</t>
  </si>
  <si>
    <t>Die Kategorien erfassen die nach § 54 EEG 2014  bzw. § 50b EEG 2017/2021/2023 die an den Anlagenbetreiber ausgezahlte Flexibilitätsprämie sowie die der Berechnung zugrundeliegende Marktprämien-Strommenge bzw. die zugrundeliegende Menge in der sonstigen Direktvermarktung.</t>
  </si>
  <si>
    <t>Der Vergütungssatz berechnet sich nach Anlage 3 EEG 2014 bzw. Anlage 3 EEG 2017/2021/2023 aus der Bemessungsleistung der Anlage (während des Kalenderjahrs oder Zeitraums der Inanspruchnahme der Flexibilitätsprämie), der installierten Leistung und der Art des eingesetzten Biogases. Dieser Vergütungssatz ist mit der Menge des während des gleichen Zeitraums nach Marktprämienmodell oder sonstiger Direktvermarktung direkt vermarkteten und tatsächlich eingespeisten Stroms zu multiplizieren.</t>
  </si>
  <si>
    <t>§ 53b EEG 2017/2021/2023: Für die direkt vermarktete Strommenge, für die dem Anlagenbetreiber ein Regionalnachweis ausgestellt worden ist, reduziert sich der anzulegende Wert um 0,1 ct/kWh. Dies gilt nur bei solchen Anlagen, deren anzulegender Wert gesetzlich festgelegt ist, also nicht durch eine Ausschreibung bestimmt worden ist. 
Die Strommengen werden einerseits mit der Förderung ohne Berücksichtigung des Regionalnachweises gemeldet. Die Kürzung für den Regionalnachweis erfolgt durch die zusätzliche Meldung mit den unten genannten Kategorien. Im Regelfall ist hierfür die jeweilige Kategorie mit der Endung "VZ" zu verwenden. Durch den negativen Vergütungssatz ergibt sich eine Kürzung der Förderung. Für den Fall, dass die Anlage aufgrund anderer Regelungen (bspw. wegen Pflichtverstoß) bereits auf Null sanktioniert ist oder sich in der Sonstigen Direktvermarktung befindet, ist die entsprechende Kategorie mit der Endung "0" zu verwenden.
Da der Strom, der in dieser Kategorie gemeldet wird, bereits über eine Vergütungs- oder Sanktionskategorie gemeldet wird, fließt er nicht in die Summenberechnung der Energiemenge ein, die der Berechnung der Bemessungsleistung und der vNNE zugrunde gelegt und in den Rechnungen, Testaten etc. als direkt vermarktete Strommenge ausgewiesen wird. Der negative Eurobetrag, der sich aus der Meldung in der vorliegenden Kategorie ergibt, fließt in die o. g. Summenberechnung der EEG-Förderung ein.</t>
  </si>
  <si>
    <r>
      <t xml:space="preserve">§ 53c EEG 2017/2021/2023: Der anzulegende Wert verringert sich für Strom, der durch ein Netz durchgeleitet wird und der von der Stromsteuer nach dem Stromsteuergesetz befreit ist, um die Höhe der pro Kilowattstunde gewährten Stromsteuerbefreiung.
Für diese Kategorie wird </t>
    </r>
    <r>
      <rPr>
        <b/>
        <u/>
        <sz val="10"/>
        <rFont val="Arial"/>
        <family val="2"/>
      </rPr>
      <t>keine Strommenge, sondern nur die Stromsteuerbefreiung als negativer Euro-Betrag</t>
    </r>
    <r>
      <rPr>
        <b/>
        <sz val="10"/>
        <rFont val="Arial"/>
        <family val="2"/>
      </rPr>
      <t xml:space="preserve"> gemeldet. Der Euro-Betrag errechnet sich aus der Einspeisevergütung oder Marktprämie mit Berücksichtigung von § 53c EEG 2017/2021/2023 abzüglich der Einspeisevergütung bzw. Marktprämie ohne Berücksichtigung von § 53c EEG 2017/2021/2023. Dabei ist die Reihenfolge der verschiedenen Vergütungskürzungen gemäß § 23 Abs. 3 EEG 2017/2021/2023  und die ggf. vorzunehmende Kappung auf 0 ct/kWh zu beachten.
Der negative Eurobetrag, der sich aus der Meldung in der vorliegenden Kategorie ergibt, fließt in die Summenberechnung der EEG-Förderung oder der Marktprämie ein. Für Rechnungsstellung und Testierung ist eine korrekte Zuordnung der Kürzung zur Einspeisevergütung bzw. Marktprämie erforderlich. Daher gibt es zwei verschiedene Kategorien für die Vermarktungsformen der Einspeisevergütung (§ 21 EEG 2017/2021/2023) und der Marktprämien-Direktvermarktung (§ 20 EEG 2017/2021/2023). Die Kürzung nach § 53c EEG 2017/2021/2023 ist dagegen nicht anzuwenden für die Sonstige Direktvermarktung (keine EEG-Förderung) und für Selbstverbrauch oder Verbrauch durch Dritte in unmittelbarer räumlicher Nähe (keine Netzdurchleitung). 
Diese Kürzung ist rückwirkend auch auf </t>
    </r>
    <r>
      <rPr>
        <b/>
        <u/>
        <sz val="10"/>
        <rFont val="Arial"/>
        <family val="2"/>
      </rPr>
      <t>Strommengen, die ab dem 01.01.2016 erzeugt</t>
    </r>
    <r>
      <rPr>
        <b/>
        <sz val="10"/>
        <rFont val="Arial"/>
        <family val="2"/>
      </rPr>
      <t xml:space="preserve"> worden sind, anzuwenden (§ 104 Abs. 5 EEG 2017).</t>
    </r>
  </si>
  <si>
    <t xml:space="preserve">Nur für Strommengen vor 01.01.2023: Im Fall sehr hoher Marktwerte könnte die formale Sanktionierung auf den Marktwert nach § 52 Abs. 2 EEG 2017/2021 die hypothetische Förderung ohne Sanktionierung übersteigen. In diesem Fall muss zwar die Sanktionskategorie gemeldet werden, aber die Einspeisevergütung auf die hypothetische Einspeisevergütung ohne Sanktionierung begrenzt werden. Um zu prüfen, ob ein solcher Fall vorliegt, ist neben der Sanktionierung auf den Marktwert auch die hypothetische Förderung ohne Sanktionierung zu berechnen. Ist letztere geringer, muss der Differenzbetrag als negativer Euro-Betrag ohne Angabe einer Strommenge mit den folgenden Kategorien gemeldet werden. 
</t>
  </si>
  <si>
    <t>Diese Kategorien sind auch im Fall der Überschreitung der förderfähigen Strommengen nach § 44b Abs. 1 EEG 2017/2021/2023 und § 101 Abs. 1 EEG 2017 (Höchstbemessungsleistung), § 33 Abs. 2 EEG 2012 n.F (Marktintegrationsmodell) sowie § 52 Abs. 2 Nr. 3 EEG 2017/2021 (Überschreitung Höchstförderdauer der EEG-Ausfallvergütung) anzuwenden.</t>
  </si>
  <si>
    <r>
      <t xml:space="preserve">Vergütungsansprüche für ein Leistungsjahr sind vom Anlagenbetreiber bis zum 28. Februar des Folgejahres dem Anschluss-Netzbetreiber zu melden. Dieser hat bis zum 31. Mai des Folgejahres dem ÜNB die Vergütungsansprüche zu melden und zu testieren. Vom Grundsatz bedürfen alle Änderungen der Strommengen und/oder Vergütungen nach dem 31. Mai einer Nachtragstestierung nach § 62 EEG 2014 /2017/2021 bzw. § 20 EnFG. In </t>
    </r>
    <r>
      <rPr>
        <b/>
        <u/>
        <sz val="10"/>
        <rFont val="Arial"/>
        <family val="2"/>
      </rPr>
      <t>sehr eng begrenzten</t>
    </r>
    <r>
      <rPr>
        <b/>
        <sz val="10"/>
        <rFont val="Arial"/>
        <family val="2"/>
      </rPr>
      <t xml:space="preserve"> Fällen ist die Nachtragstestierung nicht erforderlich, nämlich dann, wenn die Fälligkeit des Anspruches erst nach dem genannten Termin entstanden ist (vgl. Clearingstelle EEG Empfehlungsverfahren 2012/12 und Hinweisverfahren 2011/21). Die Fälligkeit entsteht, wenn das EEG die Vorlage eines Gutachten erfordert, erst bei Vorliegen des Gutachtens. In der Regel können Gutachten bis zu den genannten Terminen erstellt und damit die Vergütungsansprüche 'ordnungsgemäß' in die Jahresmeldung und Testierung aufgenommen werden. Eine Ausnahme ist bspw. das SDL-Gutachten für Prototypen-WEA, für die das Gesetz eine Frist von 2 Jahren ab Inbetriebnahme der Anlage einräumt.</t>
    </r>
  </si>
  <si>
    <r>
      <t xml:space="preserve">Die nachfolgenden Kategorien dienen dazu, in diesen Ausnahmefällen die Vergütung </t>
    </r>
    <r>
      <rPr>
        <b/>
        <u/>
        <sz val="10"/>
        <rFont val="Arial"/>
        <family val="2"/>
      </rPr>
      <t>abgeschlossener Jahre</t>
    </r>
    <r>
      <rPr>
        <b/>
        <sz val="10"/>
        <rFont val="Arial"/>
        <family val="2"/>
      </rPr>
      <t xml:space="preserve"> nachträglich (aperiodisch) in den Belastungsausgleich einbringen zu können. Sie dürfen nicht zur Umgehung einer erforderlichen Nachtragstestierung nach § 62 EEG 2014 /2017/2021 bzw. § 20 EnFG verwendet werden und stellen auch keinen Freibrief dar, Gutachten verspätet zu erstellen oder in den Belastungsausgleich einzubringen. Um die ordnungsgemäße Verwendung sicherstellen und nachprüfen zu können, sind vom VNB </t>
    </r>
    <r>
      <rPr>
        <b/>
        <u/>
        <sz val="10"/>
        <rFont val="Arial"/>
        <family val="2"/>
      </rPr>
      <t>in jedem Einzelfall</t>
    </r>
    <r>
      <rPr>
        <b/>
        <sz val="10"/>
        <rFont val="Arial"/>
        <family val="2"/>
      </rPr>
      <t xml:space="preserve"> der Verwendung einer dieser Kategorien dem ÜNB </t>
    </r>
    <r>
      <rPr>
        <b/>
        <u/>
        <sz val="10"/>
        <rFont val="Arial"/>
        <family val="2"/>
      </rPr>
      <t>unaufgefordert und zeitgleich ein schriftlicher Nachweis</t>
    </r>
    <r>
      <rPr>
        <b/>
        <sz val="10"/>
        <rFont val="Arial"/>
        <family val="2"/>
      </rPr>
      <t xml:space="preserve"> vorzulegen, weshalb diese Kategorie verwendet wird, warum keine Nachtragstestierung nach § 62 EEG 2014 /2017/2021 bzw. § 20 EnFG erforderlich ist und wie sich die nachträgliche Forderung konkret berechnet.</t>
    </r>
  </si>
  <si>
    <t xml:space="preserve">relevanter Paragraph aus dem EEG 2017/2021/2023: </t>
  </si>
  <si>
    <t>52 für Verringerung der Förderung bei Pflichtverstößen (neue Sanktionen des EEG 2017/2021/2023)</t>
  </si>
  <si>
    <t>53c für Stromsteuer</t>
  </si>
  <si>
    <t>Bei Pflichtverstößen müssen Anlagenbetreiber an den Netzbetreiber eine Zahlung leisten. Die zu leistende Zahlung variiert je nach Pflichtverstoß der Höhe nach und ist in Euro pro Kilowatt installierter Leistung der Anlage und Kalendermonat zu zahlen. Um die Strafzahlungen des Anlagenbetreibers an den Netzbetreiber zu melden, wurden je Pflichtverstoß die energieträgerspezifischen Kategorien XxK5211x----SZ eingeführt. Die Meldung erfolgt je Pflichtverstoß als positiver Eurobetrag ohne Berücksichtigung einer ggf. vorzunehmenden Begrenzung der Strafzahlung beim Vorliegen mehrerer Pflichtverstöße.  
Die vom Anlagenbetreiber an den Netzbetreiber zu leistenden Strafzahlungen sind beim Vorliegen mehrerer Pflichtverstöße auf insgesamt 10 Euro pro Kilowatt installierter Leistung der Anlage und Kalendermonat zu begrenzen. Wenn eine Pflicht erfüllt wird und ein Pflichtverstoß somit nicht mehr vorliegt, kann sich die zu leistende Strafzahlung je nach Tatbestand rückwirkend reduzieren. Um die Begrenzung bzw. Reduzierung der Strafzahlung abzubilden und zu melden, wurden die energieträgerspezifischen Kategorien XxK523-5----AB eingeführt. Die Meldung erfolgt ohne Differenzierung nach einzelnen Pflichtverstößen als negativer Eurobetrag.</t>
  </si>
  <si>
    <t>BiK82GK16y--08</t>
  </si>
  <si>
    <t>0-0,15 MW, Bonusregeln G, y und K erstmals 2016</t>
  </si>
  <si>
    <t>0,15-0,5 MW, Bonusregeln G, y und K erstmals 2016</t>
  </si>
  <si>
    <t>BiK81GK16y--08</t>
  </si>
  <si>
    <t xml:space="preserve">Ergänzung Vorbehaltshinweis zur beihilferechtlichen Genehmigung durch EU-KOM.
Ergänzung der Kategorien für das Inbetriebnahmejahr 2023 auf Stand EEG 2023
Anpassung Erläuterung Kategorie für erzeugten Strom für Solaranlagen &lt;300 kW bis 750 kW. (&gt; 80 %,  Inbetriebnahme bis 31.12.2022)
Ergänzung Ausgleichsbetrag für ansonsten negativen Mieterstromzuschlag
Anpassung Erläuterung zu den Kategorien der Sonstigen Direktvermarktung und zu den Sanktionskategorien
Diverse Anpassungen der Kategorienbeschreibungen auf das EEG 2023
Verschiebung alter Kategorien für Sanktionierung nach § 25 EEG 2014 bzw. 52 EEG 2017/2021 auf Tabellenblatt "Nicht mehr verwendbare Kateg."
Verschiebung der Kategorie Verringerung auf Monatsmarktwert nach § 100 Abs. 14 Satz 4 EEG 2021 auf Tabellenblatt "Nicht mehr verwendbare Kateg."
Verschiebung der Kategorien für ausgeförderte Anlagen (Inbetriebnahme 2002 außer Energieträger Wasser) auf Tabellenblatt "Kategorien Auslauf d. Förderung"
Verschiebung von Wasserkraftkategorien &gt; 5 MW, Zubau Inbetriebnahme 2007 wegen Auslaufen der Förderung auf Tabellenblatt "Kategorien Auslauf d. Förderung"
Anpassung Erläuterung zu § 44b EEG 2023
Ergänzung Tabellenblatt "Beispiel Sanktionen § 52 EEG 2023"
Geänderte Erläuterung in den Kategorien der Ausschreibungsverfahren
Ergänzung der Kategorien BiK81GK16y--08, BiK82GK16y--08
</t>
  </si>
  <si>
    <t>§ 52 Abs. 1 Satz 1 Nr. 2a EEG 2021: Der anzulegende Wert verringert sich sich auf null, solange Anlagenbetreiber gegen § 10b (Vorgaben zur Direktvermarktung) verstoßen.
Die Kategorien sind nur für Strommengen vorgesehen, bei denen die Anlagen sich in der Veräußerungsform der Marktprämie befinden.
Gemäß § 52 Abs. 1b EEG 2023 sind diese Kategorien nur für Anlagen bis 500 kW installierter Leistung und nur für Strommengen, die vor dem 01.01.2024 eingespeist worden sind, zu verwenden. Andernfalls sind die Kategorien der Sanktion gemäß § 52 Abs. 1 Nr. 4 EEG 2023 zu verwenden.</t>
  </si>
  <si>
    <t>Strafzahlung 10 Euro pro Kilowatt installierter Leistung und Kalendermonat nach § 52 Abs. 1 Nr. 11 EEG (Unterlassene Registrierung)</t>
  </si>
  <si>
    <t>Anpassung Vorbehaltshinweis zur beihilferechtlichen Genehmigung durch EU-KOM
Anpassung an § 52 Abs. 1b EEG 2023: Reaktivierung der Sanktionskategorien XxK5212a-----0 und XxK52213----MW
Anpassung Beschreibung der Kategorien XxK5214-----SZ und XxK5215-----SZ
Anpassung Beschreibung der Kategorien XxK52111----SZ
Ergänzung Rundung für Kategorien SgK48a1-----23 und SgK48a2-----23</t>
  </si>
  <si>
    <r>
      <t xml:space="preserve">Die Bestimmungen des Teil 3 dürfen, soweit sie durch Artikel 2 der Gesetzesnovellierungen vom 20. Juli 2022 </t>
    </r>
    <r>
      <rPr>
        <i/>
        <sz val="11"/>
        <color theme="1"/>
        <rFont val="Calibri"/>
        <family val="2"/>
        <scheme val="minor"/>
      </rPr>
      <t xml:space="preserve">Sofortmaßnahmen für einen beschleunigten Ausbau der erneuerbaren Energien und weiteren Maßnahmen im Stromsektor </t>
    </r>
    <r>
      <rPr>
        <sz val="11"/>
        <color theme="1"/>
        <rFont val="Calibri"/>
        <family val="2"/>
        <scheme val="minor"/>
      </rPr>
      <t>(EEGAusbGuEnFG) geändert worden sind, erst nach der beihilferechtlichen Genehmigung durch die Europäische Kommission und nur nach Maßgabe dieser Genehmigung angewandt werden. Die EU-KOM hat am 22.12.2022 das EEG 2023 beihilferechtlich genehmigt.</t>
    </r>
  </si>
  <si>
    <t>Grundlegende Änderungen durch das EEG 2021</t>
  </si>
  <si>
    <t>BiK81M1K15y-08</t>
  </si>
  <si>
    <t>BiK82M2K15y-08</t>
  </si>
  <si>
    <t>BiK83a2K15--08</t>
  </si>
  <si>
    <t>0,5-5 MW, Bonusregeln a2 und K erstmals 2015</t>
  </si>
  <si>
    <t>BiK12cEEV---02</t>
  </si>
  <si>
    <t>BiK12cEEVMPM02</t>
  </si>
  <si>
    <t>Die EU-KOM hat am 22.12.2022 den nachfolgenden Sachverhalt beihilferechtlich genehmigt.</t>
  </si>
  <si>
    <t>Im EEG 2017/2021 ist die Ausfallvergütung in den § 21 Abs. 1 Nr. 2, § 52 Abs. 2 Nr. 3, § 53 Satz 2 EEG 2017 und § 53 Abs. 3 EEG 2021 geregelt. Im § 23 Abs. 3 EEG 2017/2021 wird die Reihenfolge festgelegt, in der mehrere Kürzungen vorzunehmen sind. So ist z. B. zuerst eine ggf. vorzunehmende Kürzung auf den Marktwert vorzunehmen, der je nach Rechtsauslegung im Fall der Ausfallvergütung ggf. weiter auf 80 % (gerundet auf 2 Nachkommastellen) zu reduzieren ist. Hiervon sind anschließend die ggf. nach § 54 EEG 2017/2021 oder § 54a EEG 2021 vorzunehmenden Kürzungen bei Solaranlagen im Ausschreibungsverfahren (verspätete Inbetriebnahme, anderer Standort) abzuziehen. Ab dem 01.01.2023 erfolgt nach Überschreitung der Höchstdauer nach Abs. 1 Nr. 2 EEG 2023 ausschließlich eine Sanktionierung nach § 52 Abs. 1 Nr. 5 EEG 2023. Ab dem 01.01.2023 erfolgt nach Überschreitung der Höchstdauer nach Abs. 1 Nr. 2 EEG 2023 ausschließlich eine Sanktionierung nach § 52 Abs. 1 Nr. 5 EEG 2023. Abweichend hiervon sind für Anlagen bis 500 kW installierter Leistung im Leistungsjahr 2023 noch die Sanktion nach § 52 Abs. 2 Nr. 3 EEG 2021 vorzunehmen und die entsprechenden Kategorien zu verwenden.</t>
  </si>
  <si>
    <t>BiK10016-FLZAB</t>
  </si>
  <si>
    <t>Abzugsbetrag Flexibilitätszuschlag nach § 100 Abs. 16 EEG 2021</t>
  </si>
  <si>
    <t>Sonderregelung für die Kalenderjahre 2022 und 2023 nach § 100 Abs. 16 EEG 2021: bei Anlagen, die einen Anspruch auf Flexibilitätszuschlag nach § 50 Absatz 1 in Verbindung mit § 50a oder nach der entsprechenden Bestimmung des Erneuerbare-Energien-Gesetzes in der für die Anlage maßgeblichen Fassung haben, werden Mehrerlöse, die in dem jeweiligen Kalenderjahr durch die Erhöhung der für die Anlage maßgeblichen Bemessungsleistung nach Satz 1 erzielt werden, auf den Anspruch auf Flexibilitätszuschlag angerechnet.</t>
  </si>
  <si>
    <t>Sonderregelung: Die nachfolgenden Kategorien sind gemäß § 100 Abs. 16 EEG 2021 für die Kalenderjahre 2022 und 2023 ausschließlich für Biomethananlagen anzuwenden.</t>
  </si>
  <si>
    <t>Die Kategorien XxK21----MW-AB dienen der Sicherstellung, dass die Sanktionierung gemäß § 52 Abs. 2 EEG ("Der anzulegende Wert verringert sich auf den Marktwert ...") im Fall sehr hoher Marktwerte nicht sogar die reguläre Vergütung ohne Sanktionierung übersteigt. Sofern auch ein jahresbezogener Marktwert den anzulegenden Wert abzüglich der Managementkosten übersteigt, ist die Abschöpfungskategorie entsprechend zu verwenden.
Der Netzbetreiber muss im Fall der Sanktionierung gemäß § 52 Abs. 2 EEG immer auch die reguläre Vergütung ohne Sanktionierung berechnen, um diese mit jener Vergütung zu vergleichen, die sich aus dem Marktwert abzüglich der Managementkosten gemäß § 53 EEG ergibt. Die tatsächlich an den Anlagenbetreiber zu zahlende Vergütung ist jeweils der kleinere der beiden Werte. Sollte die reguläre Vergütung geringer sein, ist die Differenz als negativer Wert (ohne Angabe einer Strommenge) zu melden.</t>
  </si>
  <si>
    <t>Der anzulegende Wert beträgt für die Anlagen, die keine Windenergieanlagen an Land sind, der Jahresmarktwert des jeweiligen Energieträgers, ab dem Kalenderjahr 2023 jedoch maximal 10 ct/kWh.
Der anzulegende Wert verringert sich in diesen Fällen nach Maßgabe des § 53 Abs. 2 EEG 2021/2023. Der Wert nach § 53 Abs. 2 Satz 1 EEG 2021/2023 verringert sich um die Hälfte für Strom aus ausgeförderten Anlagen, die mit einem intelligenten Messsystem ausgestattet sind.</t>
  </si>
  <si>
    <t>§ 52 Abs. 1 Nr. 1 EEG 2023: Anlagenbetreiber müssen eine Zahlung an Ihren zuständigen Netzbetreiber in Höhe von 10 Euro pro Kilowatt installierter Leistung der Anlage und Kalendermonat nach § 52 Abs. 2 EEG 2023 zahlen, wenn gegen § 9 Abs. 1, 1a oder 2 EEG verstoßen wird. Die zu leistende Zahlung verringert sich rückwirkend auf 2 Euro pro Kilowatt installierter Leistung der Anlage und Kalendermonat, sobald die Pflicht erfüllt ist. Die Verringerung des Pflichtverstoßes ist über die entsprechende Gegenkategorie  (XxK523-5----AB) zu melden.</t>
  </si>
  <si>
    <t xml:space="preserve">§ 52 Abs. 1 Nr. 2 EEG 2023: Anlagenbetreiber müssen eine Zahlung an Ihren zuständigen Netzbetreiber in Höhe von 10 Euro pro Kilowatt installierter Leistung der Anlage und Kalendermonat nach § 52 Abs. 2 EEG 2023 zahlen, wenn gegen § 9 Abs. 5 EEG verstoßen wird. </t>
  </si>
  <si>
    <t>§ 52 Abs. 1 Nr. 3 EEG 2023: Anlagenbetreiber müssen eine Zahlung an Ihren zuständigen Netzbetreiber in Höhe von 10 Euro pro Kilowatt installierter Leistung der Anlage und Kalendermonat nach § 52 Abs. 2 EEG 2023 zahlen, wenn ab dem 01.01.2024 gegen § 9 Abs. 8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t>
  </si>
  <si>
    <t>§ 52 Abs. 1 Nr. 4 EEG 2023: Anlagenbetreiber müssen eine Zahlung an Ihren zuständigen Netzbetreiber in Höhe von 10 Euro pro Kilowatt installierter Leistung der Anlage und Kalendermonat nach § 52 Abs. 2 EEG 2023 zahlen, wenn gegen § 10b EEG verstoßen wird. Die zu leistende Zahlung verringert sich rückwirkend auf 2 Euro pro Kilowatt installierter Leistung der Anlage und Kalendermonat, sobald die Pflicht erfüllt ist. Die Verringerung des Pflichtverstoßes ist über die entsprechende Ausgleichsbetragskategorie  (XxK523-5----AB) zu melden.
Gemäß § 52 Abs. 1b EEG 2023 sind diese Kategorien nur für Anlagen über 500 kW installierter Leistung sowie für sämtliche Anlagen ab dem 01.01.2024 zu verwenden.</t>
  </si>
  <si>
    <t>§ 52 Abs. 1 Nr. 5 EEG 2023: Anlagenbetreiber müssen eine Zahlung an Ihren zuständigen Netzbetreiber in Höhe von 10 Euro pro Kilowatt installierter Leistung der Anlage und Kalendermonat nach § 52 Abs. 2 EEG 2023 zahlen, wenn die Ausfallvergütung in Anspruch genommen wird und dabei eine der Höchstdauern nach § 21 Abs. 1 Nr. 2  EEG überschritten wird.
Gemäß § 52 Abs. 1b EEG 2023 sind diese Kategorien nur für Anlagen über 500 kW installierter Leistung sowie für sämtliche Anlagen ab dem 01.01.2024 zu verwenden.</t>
  </si>
  <si>
    <t>§ 52 Abs. 1 Nr. 6 EEG 2023: Anlagenbetreiber müssen eine Zahlung an Ihren zuständigen Netzbetreiber in Höhe von 10 Euro pro Kilowatt installierter Leistung der Anlage und Kalendermonat nach § 52 Abs. 2 EEG 2023 zahlen, wenn die Einspeisevergütung in Anspruch genommen wird und dabei gegen § 21 Abs. 2  EEG verstoßen.</t>
  </si>
  <si>
    <t>§ 52 Abs. 1 Nr. 7 EEG 2023: Anlagenbetreiber müssen eine Zahlung an Ihren zuständigen Netzbetreiber in Höhe von 10 Euro pro Kilowatt installierter Leistung der Anlage und Kalendermonat nach § 52 Abs. 2 EEG 2023 zahlen, wenn gegen § 21b Abs. 2 Satz 1 zweiter Halbsatz  verstoßen wird. Die Zahlung ist zusätzlich für die jeweils 3 auf den Pflichtverstoß folgenden Kalendermonate zu leisten.</t>
  </si>
  <si>
    <t>§ 52 Abs. 1 Nr. 8 EEG 2023: Anlagenbetreiber müssen eine Zahlung an Ihren zuständigen Netzbetreiber in Höhe von 10 Euro pro Kilowatt installierter Leistung der Anlage und Kalendermonat nach § 52 Abs. 2 EEG 2023 zahlen, wenn entgegen § 21b Abs. 3 nicht die gesamte Ist-Einspeisung in viertelstündlicher Auflöung gemessen und bilanziert wird.</t>
  </si>
  <si>
    <t>§ 52 Abs. 1 Nr. 9 EEG 2023: Anlagenbetreiber müssen eine Zahlung an Ihren zuständigen Netzbetreiber in Höhe von 10 Euro pro Kilowatt installierter Leistung der Anlage und Kalendermonat nach § 52 Abs. 2 EEG 2023 zahlen, wenn dem Netzbetreiber die Zuordnung oder der Wechsel zwischen den Veräußerungsformen nach § 21b Absatz 1 EEG nicht nach Maßgabe des 21c EEG übermittelt wurde. Die Zahlung ist zusätzlich für den jeweils auf den Pflichtverstoß folgenden Kalendermonat zu leisten.</t>
  </si>
  <si>
    <t>§ 52 Abs. 1 Nr. 11 EEG 2023: Anlagenbetreiber müssen eine Zahlung an Ihren zuständigen Netzbetreiber in Höhe von 10 Euro pro Kilowatt installierter Leistung der Anlage und Kalendermonat nach § 52 Abs. 2 EEG 2023 zahlen, wenn die zur Registrierung der Anlage erforderlichen Angabe nicht nach Maßgabe der MaStRV an das Register übermittelt wurde und keine Meldung nach § 71 Abs. 1 Nr. 1 EEG erfolgt ist. Die Verringerung des Pflichtverstoßes ist über die entsprechende Ausgleichsbetragskategorie (XxK523-5----AB) zu melden. 
Es ist rechtlich ungeklärt, ob diese Sanktion auch im Fall einer nicht erfolgten Meldung einer Leistungserhöhung erfolgt.</t>
  </si>
  <si>
    <t>§ 52 Abs. 1 Nr. 12 EEG 2023: Anlagenbetreiber müssen eine Zahlung an Ihren zuständigen Netzbetreiber in Höhe von 10 Euro pro Kilowatt installierter Leistung der Anlage und Kalendermonat nach § 52 Abs. 2 EEG 2023 zahlen, wenn gegen eine Pflicht nach § 80 EEG verstoßen wurde. Die Zahlung ist zusätzlich für die jeweils 6 auf den Pflichtverstoß folgenden Kalendermonate zu leisten.</t>
  </si>
  <si>
    <t>§ 52 Abs. 1 Nr. 10 EEG 2023: Anlagenbetreiber müssen eine Zahlung an Ihren zuständigen Netzbetreiber in Höhe von 2 Euro pro Kilowatt installierter Leistung der Anlage und Kalendermonat nach § 52 Abs. 3 EEG 2023 zahlen, wenn entgegen der Mitteilung nach § 48 Abs. 2a EEG nicht der im gesamten Kalenderjahr in der Anlage erzeugte Strom in das Netz eingespeist wurde. Die Zahlung ist für alle Kalendermonate des Kalenderjahres zu leisten.</t>
  </si>
  <si>
    <t>Verwendbarkeit für Datenmeldungen bis Leistungszeitraum</t>
  </si>
  <si>
    <t>nie</t>
  </si>
  <si>
    <t>§ 52 Abs. 1 Satz 1 Nr. 4 EEG 2017: Der anzulegende Wert verringert sich auf null, wenn Betreiber von Anlagen, deren anzulegender Wert durch Ausschreibungen ermittelt wird, gegen § 27a EEG 2017 (Verbot der Nutzung des in der Anlage erzeugten Stroms zur Eigenversorgung) verstoßen.
Diese Verringerung gilt für das gesamte Kalenderjahr des Verstoßes.
Hinweis: gelöscht da irrtümlich angelegt (für Energieträger im Ausschreibungsverfahren anwendbar, d. h. Biomasse, Wind onshore, Wind offshore, Solar, Solar/Gebäude.)</t>
  </si>
  <si>
    <t>§ 52 Abs. 2 Satz 1 Nr. 3 EEG 2017: Der anzulegende Wert verringert sich sich auf den Monatsmarktwert, solange Anlagenbetreiber, die die Ausfallvermarktung in Anspruch nehmen, eine der Höchstdauern nach § 21 Abs. 1 Nr. 2 erster Halbsatz EEG 2017 überschreiten. Diese Kategorien sind unter Berücksichtigung der Übergangsbestimmungen nach § 100 Abs. 1 Nr. 1 EEG 2017 nur für Anlagen mit Inbetriebnahme ab dem 01.01.2017 anzuwenden.
Aufgrund § 23 Abs. 3 Nr. 3 und 4 EEG 2017 beträgt die Ausfallvermarktung 80 % des Monatsmarktwerts, gerundet auf zwei Nachkommastellen (bezogen auf ct/kWh).
Die Sanktion ist für die Dauer des gesamten Kalendermonats, in dem ein solcher Verstoß erfolgt ist, anzuwenden.
Hinweis: gelöscht da irrtümlich angelegt  Die Präfixe Ga, Wi und Wr sind seit 2009 bzw. 01.08.2014 unzulässig</t>
  </si>
  <si>
    <r>
      <t xml:space="preserve">Die nachfolgenden Kategorien sind für solche Anlagen anzuwenden, die nicht fristgerecht im MaStR registriert worden sind. In diesen Fällen bleiben die Zahlungsansprüche nach § 19 und § 50 EEG erhalten, werden aber nicht zur Auszahlung an den Anlagenbetreiber fällig. Davon zu unterscheiden sind die tatsächlichen Sanktionen nach § 52 Abs. 1 Nr. 1 oder 2 sowie Abs. 3 EEG, für die die dafür vorgesehenen Sanktionskategorien zusätzlich zu verwenden sind.
Die Strommengen für die Marktprämie, Einspeisevergütung, vergütetem Selbstverbrauch und Mieterstromzuschlag sind trotzdem für den jeweiligen Leistungszeitraum zu melden und im Fall der Einspeisevergütung an den ÜNB zu wälzen. 
Es sind zwei Möglichkeiten für die Datenmeldung vorgesehen. Die erste ist ausschließlich für die monatliche Datenmeldung, nicht aber für die Jahresmeldung zu verwenden. Die zweite ist für die Jahresmeldung bestimmt, kann nach Rücksprache mit dem ÜNB auch für die monatlichen Datenmeldungen genutzt werden. 
</t>
    </r>
    <r>
      <rPr>
        <b/>
        <sz val="10"/>
        <color indexed="10"/>
        <rFont val="Arial"/>
        <family val="2"/>
      </rPr>
      <t>Bitte beachten Sie die Hinweise zur Verwendung dieser Kategorien auf dem Tabellenblatt "Beispiel § 23 MaStRV".</t>
    </r>
  </si>
  <si>
    <t>Sammelkategorie für Strom, der aus sonstigen Gründen zwar in den Belastungsausgleich oder im Fall der Direktvermarktung oder des nicht vergüteten Selbstverbrauchs in die Mengenmeldung einfließt, für den der Verteilnetzbetreiber dem Anlagenbetreiber jedoch keine EEG-Förderung (Einspeisevergütung, Marktprämie, Selbstverbrauchsvergütung) ausgezahlt hat.
Die folgenden Kategorien sind für solche Fälle vorgesehen, in denen der Anlagenbetreiber auf seinen monetären Anspruch auf EEG-Förderung verzichtet oder in denen eine Anlage keinen Anspruch auf eine Förderung nach dem EEG hat, weil die Anforderungen der §§ 23 bis 33 EEG 2009 oder 2012, §§ 40 bis 51 EEG 2014 sowie §§ 40 bis 48 EEG 2017/2021/2023 (zeitweilig) nicht erfüllt sind, z. B. bei Wasserkraftanlagen ein nicht vorhandener oder nicht durch vorgeschriebene Nachweise belegter ökologischer Zustand gemäß § 23 EEG 2012, § 40 EEG 2014 bzw. § 40 EEG 2017/2021/2023. Diese Kategorien sind ebenfalls zu verwenden, wenn auf Grund § 19 Abs. 4 und 5 EEG 2023 (Unternehmen in Schwierigkeiten) kein Förderanspruch besteht.
Soweit die betroffene Anlage Strom in der Sonstigen Direktvermarktung gemäß § 20 Abs. 1 Nr. 2 EEG 2014 oder § 21a EEG 2017/2021/2023 vermarktet, sind diese Strommengen nicht mit diesen Kategorien, sondern jenen der Sonstigen Direktvermarktung zu melden. Für den selbst oder durch Dritte in räumlicher Nähe nach § 20 Abs. 3 Nr. 2 EEG 2014 und § 21 Abs. 2 EEG 2017/2021/2023 verbrauchten Strom können alternativ die Selbstverbrauchskategorien ohne Vergütungsanspruch verwendet werden. Weiterhin sind diese Kategorien nur dann zu verwenden, wenn der Sanktionstatbestand nicht durch eine spezielle Sanktionskategorie abgedeckt wird.
In den bundesweiten Belastungsausgleich fließen die Marktprämienmodell vermarkteten Strommengen nicht ein. Daher sind diese Strommengen getrennt auszuweisen.
Diese Strommengen fließen mit Ausnahme des nicht vergüteten Selbstverbrauchs in die Berechnung der vNNE ein, die an den ÜNB zu zahlen sind, und reduzieren somit im bundesweiten Belastungsausgleich die EEG-Umlage.</t>
  </si>
  <si>
    <t>Januar</t>
  </si>
  <si>
    <t>Februar</t>
  </si>
  <si>
    <t>März</t>
  </si>
  <si>
    <t>April</t>
  </si>
  <si>
    <t>Juni</t>
  </si>
  <si>
    <t>Juli</t>
  </si>
  <si>
    <t>August</t>
  </si>
  <si>
    <t>September</t>
  </si>
  <si>
    <t>Oktober</t>
  </si>
  <si>
    <t>November</t>
  </si>
  <si>
    <t>Dezember</t>
  </si>
  <si>
    <t>BiK52aK20---03</t>
  </si>
  <si>
    <t>BiK53aK20---03</t>
  </si>
  <si>
    <t>0,5-5 MW, Bonusregel K erstmals 2020</t>
  </si>
  <si>
    <t>5-20 MW, Bonusregel K erstmals 2020</t>
  </si>
  <si>
    <t>0-0,150 MW, Bonusregel K erstmals 2020</t>
  </si>
  <si>
    <t>0,150-0,5 MW, Bonusregel K erstmals 2020</t>
  </si>
  <si>
    <t>0,15-0,5 MW, Bonusregeln G, y und K erstmals 2017</t>
  </si>
  <si>
    <t>0-0,15 MW, Bonusregeln G, y und K erstmals 2017</t>
  </si>
  <si>
    <t>Anpassung Beschreibung der Kategorien für unterlassene Meldung im MaStRV
Anpassung Beschreibung der kVG-Kategorien hinsichtlich Unternehmen in Schwierigkeiten
Ergänzung der Kategorien BiK52aK20---03 und BiK53aK20---03
Ergänzung der gesetzlich bestimmten Solar Vergütung &gt; 1MW nach EEG 2023</t>
  </si>
  <si>
    <t>Gewisse Bestimmungen nach Artikel 1 des EEGAusbGuEnFG sind bereits mit Verkündung und Veröffentlichung, also mit Wirkung vom 29.07.2022 in Kraft getreten, durften jedoch vor der inzwischen erfolgten beihilferechtlichen Genehmigung nicht angewendet werden. Die beilhilferechtliche Genehmigung gilt jedoch nur für diejenigen Änderungen des EEG 2021, nicht jedoch für die erst ab 01.01.2023 (EEG 2023) geltenden Änderungen.</t>
  </si>
  <si>
    <r>
      <t xml:space="preserve">Die folgenden Sachverhalte erhielten </t>
    </r>
    <r>
      <rPr>
        <b/>
        <u/>
        <sz val="11"/>
        <color indexed="8"/>
        <rFont val="Calibri"/>
        <family val="2"/>
      </rPr>
      <t>keine</t>
    </r>
    <r>
      <rPr>
        <sz val="11"/>
        <color theme="1"/>
        <rFont val="Calibri"/>
        <family val="2"/>
      </rPr>
      <t xml:space="preserve"> beihilferechtliche Genehmigung und dürfen daher keine Anwendung finden:</t>
    </r>
  </si>
  <si>
    <r>
      <t xml:space="preserve">Grundsätzlich galt ab dem 1. Januar 2021 das EEG 2021, welches zuletzt durch die Gesetzesnovellierungen vom 20. Juli 2022 </t>
    </r>
    <r>
      <rPr>
        <i/>
        <sz val="11"/>
        <color indexed="8"/>
        <rFont val="Calibri"/>
        <family val="2"/>
      </rPr>
      <t>Sofortmaßnahmen für einen beschleunigten Ausbau der erneuerbaren Energien und weiteren Maßnahmen im Stromsektor</t>
    </r>
    <r>
      <rPr>
        <sz val="11"/>
        <color indexed="8"/>
        <rFont val="Calibri"/>
        <family val="2"/>
      </rPr>
      <t xml:space="preserve"> (EEGAusbGuEnFG) und 8. Oktober 2022 </t>
    </r>
    <r>
      <rPr>
        <i/>
        <sz val="11"/>
        <color indexed="8"/>
        <rFont val="Calibri"/>
        <family val="2"/>
      </rPr>
      <t xml:space="preserve">Änderung des Energiesicherungsgesetzes und anderer energiewirtschaftlicher Vorschriften </t>
    </r>
    <r>
      <rPr>
        <sz val="11"/>
        <color indexed="8"/>
        <rFont val="Calibri"/>
        <family val="2"/>
      </rPr>
      <t xml:space="preserve">(EnSiGuaÄndG) geändert wurde. </t>
    </r>
  </si>
  <si>
    <t>bezuschlagt in einem Ausschreibungsverfahren nach EEG 2017/2021</t>
  </si>
  <si>
    <t>BiK22----JW-AS</t>
  </si>
  <si>
    <t>WnK22----JW-AS</t>
  </si>
  <si>
    <t>WfK22----JW-AS</t>
  </si>
  <si>
    <t>SoK22----JW-AS</t>
  </si>
  <si>
    <t>SgK22----JW-AS</t>
  </si>
  <si>
    <t>Inbetriebnahme ab 01/2023</t>
  </si>
  <si>
    <t>bezuschlagt in einem Ausschreibungsverfahren nach EEG 2023</t>
  </si>
  <si>
    <t>Ergänzung der Kategorien XxK22----JW-AS</t>
  </si>
  <si>
    <t>finanzielle Beteiligung von Kommunen nach § 6 Abs. 3 i.V.m. § 100 Abs. 2 EEG 2023</t>
  </si>
  <si>
    <t>finanzielle Beteiligung von Kommunen nach § 6 Abs. 2 i.V.m. § 100 Abs. 2 EEG 2023</t>
  </si>
  <si>
    <t>Betreiber von Windenergieanlagen an Land, die einen Zuschlag in einem Ausschreibungsverfahren für ihre Anlage erhalten haben, dürfen gemäß  § 6 Abs. 2 i.V.m. § 100 Abs. 2 EEG 2023 den Gemeinden, die von der Errichtung der Windenergieanlage betroffen sind, Beträge durch einseitige Zuwendung ohne Gegenleistung von insgesamt 0,2 Cent pro Kilowattstunde für die tatsächlich eingespeiste Strommenge und für die fiktive Strommenge nach Anlage 2 Nummer 7.2 EEG 2023 anbieten.
Betreiber von Freiflächenanlagen dürfen gemäß § 6 Abs. 3 i.V.m. § 100 Abs. 2 EEG 2023 den Gemeinden, die von der Errichtung der Freiflächenanlage betroffen sind, Beträge durch einseitige Zuwendung ohne Gegenleistung von insgesamt 0,2 Cent pro Kilowattstunde für die tatsächlich eingespeiste Strommenge anbieten.
Für diese Kategorien wird keine Strommenge, sondern nur die finanzielle Beteiligung an die jeweilige Kommune als positiver Euro-Betrag gemeldet.
Die Meldung kann auschließlich im Rahmen einer Jahresabrechnung erfolgen.</t>
  </si>
  <si>
    <t>EEG-Vergütungskategorientabelle für das Leistungsjahr 2024</t>
  </si>
  <si>
    <t>&gt; 5 MW, Zubau. Anspruch auf Förderung gem. § 12 Abs. 3 Satz 2 EEG 2004 zum 31.12.2023 beendet</t>
  </si>
  <si>
    <t>2010</t>
  </si>
  <si>
    <t>2011</t>
  </si>
  <si>
    <t>2013</t>
  </si>
  <si>
    <t>DIFF</t>
  </si>
  <si>
    <t>2015</t>
  </si>
  <si>
    <t>Gleich</t>
  </si>
  <si>
    <t>2017</t>
  </si>
  <si>
    <t>WnK46-------24</t>
  </si>
  <si>
    <t>Inbetriebnahme 2024</t>
  </si>
  <si>
    <t>Jan24</t>
  </si>
  <si>
    <t>https://www.bundesnetzagentur.de/DE/Fachthemen/ElektrizitaetundGas/ErneuerbareEnergien_neu/EEG_Foerderung/start.html</t>
  </si>
  <si>
    <t>https://www.bundesnetzagentur.de/DE/Fachthemen/ElektrizitaetundGas/ErneuerbareEnergien_neu/EEG_Foerderung/start.html#doc899816bodyText2</t>
  </si>
  <si>
    <t>BiK12cEEV---03</t>
  </si>
  <si>
    <t>BiK12cEEVMPM03</t>
  </si>
  <si>
    <t>Sg = Solarenergie an oder auf Gebäuden (ab Inbetriebnahmejahr 2009) oder an einer Lärmschutzwand (ab Inbetriebnahme 2021)</t>
  </si>
  <si>
    <t>Aug24</t>
  </si>
  <si>
    <t>Feb24</t>
  </si>
  <si>
    <t>Hinweis: auf Grund von Unklarheiten in Zusammenhang mit der Anwendung der Degressionsregel für Volleinspeisung, sind zunächst noch keine Werte ab Februar 2024 eingetragen.</t>
  </si>
  <si>
    <t>Grundlegende Änderungen durch das EEG 2023</t>
  </si>
  <si>
    <t>Neue Strafzahlungslogik und Wegfall alter Sanktionen</t>
  </si>
  <si>
    <t>Für Strom aus Anlagen, die vor dem 1. Januar 2023 in Betrieb genommen worden sind oder deren Zuschlag im Rahmen eines Ausschreibungsverfahren vor dem 1. Januar 2023 erteilt worden ist, wird die Höhe der Marktprämie nach § 23a („MP") weiterhin anhand des energieträgerspezifischen Monatsmarktwertes (MW) berechnet. Für Strom aus Anlagen mit Inbetriebnahme ab 1. Januar 2023 und (sofern es sich um Ausschreibungsanlagen handelt) Zuschlagserteilung ab 1. Januar 2023 wird die Höhe der MP anhand des energieträgerspezifischen Jahresmarktwertes JW berechnet. Dies gilt ohne Ausnahmen für alle Energieträger. Eine Unterscheidung in den Vergütungskategorien erfolgt nur im Fall der Vergütungskategorien der Ausschreibungsanlagen ansonst können beide Fälle mit denselben Vergütungskategorien gemeldet werden.</t>
  </si>
  <si>
    <t>BiK471------JW</t>
  </si>
  <si>
    <t>Verringerung Einspeisevergütung auf den Monatsmarktwert nach § 47 Abs. 1 (Einspeisung &gt; Höchstbemessungsleistung)</t>
  </si>
  <si>
    <t>Verringerung Einspeisevergütung auf Jahresmarktwert nach § 47 Abs. 1 (Einspeisung &gt; Höchstbemessungsleistung)</t>
  </si>
  <si>
    <t>§ 47 Abs. 1 EEG 2014: Der finanzielle Anspruch für Strom aus Biogas besteht für Strom, der in Anlagen mit einer installierten Leistung  von mehr als 100 kW erzeugt wird, nur für den Anteil der in einem Kalenderjahr erzeugten Strommenge, der einer Bemessungsleistung von 50 % des Wertes der installierten Leistung entspricht. Für den darüber hinausgehenden Teil verringert sich der Anspruch auf finanzielle Förderung in der Marktprämie auf null und in der Einspeisevergütung nach § 20 Abs. 1 Nr. 3 und 4 EEG 2014 auf den monatlich Marktwert.
§ 39h Abs. 2 EEG 2017/§ 39i EEG 2021/2023: Für Biomasseanlagen verringert sich bei Überschreitung der Höchstbemessungsleistung für Anlagen mit Inbetriebnahme ab dem 01.01.2017 der Anspruch auf eine Marktprämie auf Null und in der Einspeisevergütung auf den Marktwert.
§ 44b Abs. 1 Satz 1 und 2 EEG 2017/2021/2023: Für Biogasanlagen mit Inbetriebnahme ab dem 01.01.2017 mit einer installierten Leistung größer 100 kW verringert sich der Vergütungsanspruch für jede Kilowattstunde Strom, um die in einem Kalenderjahr die  Höchstbemessungsleistung der Anlage überschritten wird, auf den in der Einspeisevergütung auf den Marktwert und in der Marktprämie auf Null. 
§ 44b Abs. 1 Satz 3 EEG 2023: Für Gülleanlagen nach § 44 EEG ist Absatz 1 Satz 1 und 2 nicht anzuwenden.
Die Kategorie BiK471------JW ist für die Anlagen anzuwenden für deren Vergütung der Jahresmarktwert maßgeblich ist (§ 3 Nr. 34 EEG 2023).</t>
  </si>
  <si>
    <t>Ergänzung der Kategorien für das Inbetriebnahmejahr 2024 auf Stand EEG 2023 (Stand: 08.12.2023)
Ergänzung der Kategorien BiK12cEEV---02 und BiK12cEEVMPM02 für Güllekleinanlagen Inbetriebnahmejahr 2003 in Anschlussförderung
Ergänzung der Kategorie BiK471------JW
Verschiebung der Kategorien für ausgeförderte Anlagen (Inbetriebnahme 2003 außer Energieträger Wasser) auf Tabellenblatt "Kategorien Auslauf d. Förderung"
Verschiebung von Wasserkraftkategorien &gt; 5 MW, Zubau Inbetriebnahme 2008 wegen Auslaufen der Förderung auf Tabellenblatt "Kategorien Auslauf d. Förderung"
Verschiebung alter Kategorien für Sanktionierung nach § 52 EEG 2017/2021, die gem. § 52 Abs. 1b EEG 2023 für 2023 noch Anwendung fanden, auf Tabellenblatt "Nicht mehr verwendbare Kateg."
Anpassung Beschreibung der Kategorien für finanziellen Beteiligung der Kommunen gem. § 100 Abs. 2 EEG 2023.
Ergänzung 'Lärmschutzwand (ab Inbetriebnahme 2021)' in Tabellenblatt Erläuterungen für Abkürzung 'Sg' bei Anlagen mit Vergütung EEG2017/2021/2023</t>
  </si>
  <si>
    <t>Bei Pflichtverstößen müssen Anlagenbetreiber nach § 52 EEG 2023 an den Netzbetreiber eine Zahlung leisten. Die zu leistende Zahlung variiert je nach Pflichtverstoß der Höhe nach und ist in Euro pro Kilowatt installierter Leistung der Anlage und Kalendermonat zu zahlen. Eine grundsätzliche Reduzierung des Förderanspruchs des eingespeisten Stromes geht damit nicht einher. Die bisherige Logik der Kürzungen der Vergütungen entfällt damit.</t>
  </si>
  <si>
    <t>Angaben zu Sonderregelungen wie, z.B. "MW" für Marktwert", "JW" für Jahresmarktwert, "VZ" für Verringerte Zahlung, "20PZ" für 20 % oder 40 % Kürzung, "SSB" für Stromsteuerbefreiung, "-0" für 0 ct/kWh, "AS" bei Ausschreibung, "MSZ" für Mieterstromzuschlag, "FB" bei finanzieller Beteiligung von Kommunen, "AUF" für Aufschlag nach § 23b Abs. 2 EEG 2021-2, "AB" für Ausgleichsbetrag, "NZ" für Nachträgliche Zahlung, "PSB" für Projektsicherungsbeitrag, "SZ" für Strafzahlung</t>
  </si>
  <si>
    <t>Erläuterungen zur EEG-Vergütungskategorientabelle für das Leistungsjahr 2024</t>
  </si>
  <si>
    <t>Korrektur anzulegender Wert und Ausfallvergütung der Kategorien BiK420---HJ224</t>
  </si>
  <si>
    <t>Verringerung auf Marktwert nach § 21 Abs 1 Nr. 2 EEG 2023 (Überschreitung der Höchstdauer der Ausfallvermarktung)</t>
  </si>
  <si>
    <t>§ 52 Abs. 2 Satz 1 Nr. 3 EEG 2017/2021 und § 21 Abs 1 Nr. 2 EEG 2023: Der anzulegende Wert verringert sich auf den Marktwert, solange Anlagenbetreiber, die die Ausfallvermarktung in Anspruch nehmen, eine der Höchstdauern nach § 21 Abs. 1 Nr. 2 erster Halbsatz EEG 2017/2021/2023 überschreiten. Diese Kategorien sind unter Berücksichtigung der Übergangsbestimmungen nach § 100 Abs. 1 Nr. 1 EEG 2017 nur für Anlagen mit Inbetriebnahme ab dem 01.01.2017 anzuwenden.
Es ist derzeit noch rechtlich umstritten, ob die Kürzung des Marktwertes auch für den Fall der Überschreitung der Höchstdauer in der Ausfallvermarktung anzuwenden ist.
Die Sanktion ist für die Dauer des gesamten Kalendermonats, in dem ein solcher Verstoß erfolgt ist, anzuwenden.
Gemäß § 21 Abs 1 Nr. 2 EEG 2023 erfolgt nach Überschreitung der Höchstdauer eine Verringerung auf den Marktwert, die ebenfalls mit diesen Kategorien gemeldet werden. Dies gilt für alle Anlagen mit einer installierten Leistung größer 100 kW.</t>
  </si>
  <si>
    <t>Sofern der anzulegende Wert einer Anlage nicht gesetzlich bestimmt wurde, sind die folgenden Kategorien unter Berücksichtigung der sonstigen Bestimmungen zu verwenden.
Bei der Berechnung der Förderung von Solar-Anlagen ist ggf. auch eine Verringerung nach § 54 EEG 2017/2021/2023 sowie § 54a EEG 2021 (verspätete Inbetriebnahme, abweichender Standort) zu berücksichtigen.
Die Kategorie SoK55-------AS ist für solche Freiflächenanlagen zu verwenden, die in einem nach EEG 2014 / FFAV durchgeführten Ausschreibungsverfahren bezuschlagt worden sind, auch wenn deren Inbetriebnahme erst nach dem 31.12.2016 erfolgte.
Sollte der Zuschlag nach dem 31.12.2022 erfolgen, berechnet sich die Marktprämie gemäß Anlage 1 Nr. 1 Satz 2 EEG 2023 auf Basis des energieträgerspezifischen Jahresmarktwertes. Für diese Anlagen sind die Kategorien XxK22----JW-AS zu verwenden.
Sollte der Zuschlag im Rahmen der Innovationsausschreibung nach § 39j EEG 2017 oder § 39n EEG 2021 erteilt worden sein, sind die hierfür vorgesehenen Kategorien zu verwenden, da hier eine abweichende Berechnung der Marktprämie gemäß § 8 InnAusV erfolgt.
Dies gilt nur für Anlagen, die den Zuschlag in einem Ausschreibungsverfahren vor dem 1. Dezember 2022 erhalten haben. Für Anlagen eines späteren Innovationsausschreibungsverfahrens sind die energieträgerspezifischen Kategorien XxK22----JW-AS zu verwenden.</t>
  </si>
  <si>
    <t>F</t>
  </si>
  <si>
    <t>Sonderregelung: Die nachfolgenden Kategorien sind gemäß § 100 Abs. 16 EEG 2021 und § 100 Abs. 15 EEG 2023 für die Kalenderjahre 2022 bis 2024 ausschließlich für Biomethananlagen anzuwenden.</t>
  </si>
  <si>
    <t>Anpassung Vorbehaltshinweis zur beihilferechtlichen Genehmigung durch EU-KOM
Ergänzung der Kategorien BiK83a2K13--08, BiK81M1K15y-08 und BiK82M2K15y-08
Ergänzung der Kategorien BiK12cEEV---02 und BiK12cEEVMPM02 für Güllekleinanlagen Inbetriebnahmejahr 2002 in Anschlussförderung
Ergänzung der Kategorie BiK10016-FLZAB
Anpassung Beschreibungstexte: ausgeförderte Anlagen, Anlagen in der Ausfallvergütung, Höchstbemessungsleistung in den Kalenderjahren 2022 und 2023
Ergänzung der Spalte "Verwendbarkeit für Datenmeldungen bis Leistungszeitraum" auf Tabellenblatt "Nicht mehr verwendbare Kateg."</t>
  </si>
  <si>
    <t>§ 100 Abs. 15 und 16 EEG 2023 in der ab dem 03. August 2023 geltenden Fassung sind beihilferechtlich genehmigt und dürfen daher Anwendung finden.</t>
  </si>
  <si>
    <t>https://www.bundesnetzagentur.de/DE/Fachthemen/ElektrizitaetundGas/ErneuerbareEnergien/EEG_Foerderung/start.html</t>
  </si>
  <si>
    <t xml:space="preserve">Wiederaufnahme der Kategorien XxK52213----MW zur Anwendung des § 21 Abs. 1 Nr. 2 EEG 2023
Wiederaufnahme der Kategorien XxK5212a-----0 infolge der verlängerten Anwendbarkeit bis zum 30.06.2024
Anpassung Beschreibungstexte: Höchstbemessungsleistung in den Kalenderjahren 2022 bis 2024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</si>
</sst>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quot;;\-#,##0\ &quot;€&quot;"/>
    <numFmt numFmtId="6" formatCode="#,##0\ &quot;€&quot;;[Red]\-#,##0\ &quot;€&quot;"/>
    <numFmt numFmtId="164" formatCode="_-* #,##0.00\ _€_-;\-* #,##0.00\ _€_-;_-* &quot;-&quot;??\ _€_-;_-@_-"/>
    <numFmt numFmtId="165" formatCode="#,##0_ ;\-#,##0\ "/>
    <numFmt numFmtId="166" formatCode="#,##0.00_ ;\-#,##0.00\ "/>
    <numFmt numFmtId="167" formatCode="0.0%"/>
    <numFmt numFmtId="168" formatCode=";;;"/>
    <numFmt numFmtId="169" formatCode="0_ ;\-0\ "/>
    <numFmt numFmtId="170" formatCode="0.0"/>
    <numFmt numFmtId="171" formatCode="0.0000"/>
    <numFmt numFmtId="172" formatCode="0.000000"/>
    <numFmt numFmtId="173" formatCode="_-* #,##0\ _€_-;\-* #,##0\ _€_-;_-* &quot;-&quot;??\ _€_-;_-@_-"/>
    <numFmt numFmtId="174" formatCode="#,##0.000"/>
    <numFmt numFmtId="175" formatCode="#,##0.0"/>
    <numFmt numFmtId="176" formatCode="#,##0.0000"/>
    <numFmt numFmtId="177" formatCode="[$-407]mmmyy;@"/>
    <numFmt numFmtId="178" formatCode="_-* #,##0_-;\-* #,##0_-;_-* &quot;-&quot;??_-;_-@_-"/>
    <numFmt numFmtId="179" formatCode="_-* #,##0.00\ [$€-407]_-;\-* #,##0.00\ [$€-407]_-;_-* &quot;-&quot;??\ [$€-407]_-;_-@_-"/>
    <numFmt numFmtId="180" formatCode="mmm"/>
    <numFmt numFmtId="181" formatCode="#,##0_ ;[Red]\-#,##0\ "/>
  </numFmts>
  <fonts count="133" x14ac:knownFonts="1">
    <font>
      <sz val="11"/>
      <color theme="1"/>
      <name val="Calibri"/>
      <family val="2"/>
      <scheme val="minor"/>
    </font>
    <font>
      <sz val="11"/>
      <color indexed="8"/>
      <name val="Calibri"/>
      <family val="2"/>
    </font>
    <font>
      <sz val="10"/>
      <name val="Arial"/>
      <family val="2"/>
    </font>
    <font>
      <b/>
      <sz val="10"/>
      <name val="Arial"/>
      <family val="2"/>
    </font>
    <font>
      <b/>
      <sz val="10"/>
      <name val="Arial"/>
      <family val="2"/>
    </font>
    <font>
      <sz val="10"/>
      <name val="Courier"/>
      <family val="3"/>
    </font>
    <font>
      <sz val="10"/>
      <name val="Arial"/>
      <family val="2"/>
    </font>
    <font>
      <b/>
      <sz val="11"/>
      <color indexed="8"/>
      <name val="Calibri"/>
      <family val="2"/>
    </font>
    <font>
      <b/>
      <sz val="20"/>
      <color indexed="8"/>
      <name val="Calibri"/>
      <family val="2"/>
    </font>
    <font>
      <b/>
      <u/>
      <sz val="11"/>
      <color indexed="8"/>
      <name val="Calibri"/>
      <family val="2"/>
    </font>
    <font>
      <sz val="11"/>
      <color indexed="8"/>
      <name val="Calibri"/>
      <family val="2"/>
    </font>
    <font>
      <sz val="8"/>
      <name val="Calibri"/>
      <family val="2"/>
    </font>
    <font>
      <u/>
      <sz val="11"/>
      <color indexed="12"/>
      <name val="Calibri"/>
      <family val="2"/>
    </font>
    <font>
      <sz val="10"/>
      <color indexed="8"/>
      <name val="Arial"/>
      <family val="2"/>
    </font>
    <font>
      <sz val="11"/>
      <name val="Calibri"/>
      <family val="2"/>
    </font>
    <font>
      <b/>
      <sz val="11"/>
      <name val="Calibri"/>
      <family val="2"/>
    </font>
    <font>
      <b/>
      <sz val="16"/>
      <color indexed="8"/>
      <name val="Calibri"/>
      <family val="2"/>
    </font>
    <font>
      <b/>
      <sz val="10.5"/>
      <name val="Arial"/>
      <family val="2"/>
    </font>
    <font>
      <sz val="10.5"/>
      <color indexed="8"/>
      <name val="Calibri"/>
      <family val="2"/>
    </font>
    <font>
      <sz val="8"/>
      <name val="Arial"/>
      <family val="2"/>
    </font>
    <font>
      <b/>
      <sz val="8"/>
      <name val="Arial"/>
      <family val="2"/>
    </font>
    <font>
      <b/>
      <sz val="8"/>
      <name val="Arial"/>
      <family val="2"/>
    </font>
    <font>
      <sz val="8"/>
      <color indexed="81"/>
      <name val="Tahoma"/>
      <family val="2"/>
    </font>
    <font>
      <b/>
      <sz val="8"/>
      <color indexed="81"/>
      <name val="Tahoma"/>
      <family val="2"/>
    </font>
    <font>
      <vertAlign val="superscript"/>
      <sz val="8"/>
      <name val="Arial"/>
      <family val="2"/>
    </font>
    <font>
      <b/>
      <sz val="12"/>
      <name val="Arial"/>
      <family val="2"/>
    </font>
    <font>
      <sz val="8"/>
      <color indexed="55"/>
      <name val="Arial"/>
      <family val="2"/>
    </font>
    <font>
      <sz val="8"/>
      <color indexed="55"/>
      <name val="Arial"/>
      <family val="2"/>
    </font>
    <font>
      <sz val="8"/>
      <name val="Arial"/>
      <family val="2"/>
    </font>
    <font>
      <u/>
      <sz val="8"/>
      <name val="Arial"/>
      <family val="2"/>
    </font>
    <font>
      <sz val="9"/>
      <name val="Arial"/>
      <family val="2"/>
    </font>
    <font>
      <b/>
      <u/>
      <sz val="8"/>
      <name val="Arial"/>
      <family val="2"/>
    </font>
    <font>
      <sz val="10.5"/>
      <name val="Calibri"/>
      <family val="2"/>
    </font>
    <font>
      <b/>
      <sz val="10.5"/>
      <name val="Calibri"/>
      <family val="2"/>
    </font>
    <font>
      <b/>
      <sz val="18"/>
      <color indexed="8"/>
      <name val="Calibri"/>
      <family val="2"/>
    </font>
    <font>
      <sz val="11"/>
      <color indexed="8"/>
      <name val="Arial"/>
      <family val="2"/>
    </font>
    <font>
      <b/>
      <sz val="11"/>
      <color indexed="8"/>
      <name val="Arial"/>
      <family val="2"/>
    </font>
    <font>
      <u/>
      <sz val="11"/>
      <color indexed="8"/>
      <name val="Arial"/>
      <family val="2"/>
    </font>
    <font>
      <b/>
      <sz val="14"/>
      <color indexed="8"/>
      <name val="Arial"/>
      <family val="2"/>
    </font>
    <font>
      <vertAlign val="subscript"/>
      <sz val="11"/>
      <color indexed="8"/>
      <name val="Arial"/>
      <family val="2"/>
    </font>
    <font>
      <b/>
      <vertAlign val="subscript"/>
      <sz val="11"/>
      <color indexed="8"/>
      <name val="Arial"/>
      <family val="2"/>
    </font>
    <font>
      <sz val="10"/>
      <color indexed="8"/>
      <name val="Calibri"/>
      <family val="2"/>
    </font>
    <font>
      <sz val="9"/>
      <color indexed="8"/>
      <name val="Arial"/>
      <family val="2"/>
    </font>
    <font>
      <sz val="8"/>
      <color indexed="8"/>
      <name val="Calibri"/>
      <family val="2"/>
    </font>
    <font>
      <b/>
      <sz val="8"/>
      <color indexed="8"/>
      <name val="Arial"/>
      <family val="2"/>
    </font>
    <font>
      <sz val="10"/>
      <name val="Calibri"/>
      <family val="2"/>
    </font>
    <font>
      <b/>
      <u/>
      <sz val="11"/>
      <color indexed="8"/>
      <name val="Arial"/>
      <family val="2"/>
    </font>
    <font>
      <b/>
      <u/>
      <sz val="14"/>
      <color indexed="8"/>
      <name val="Calibri"/>
      <family val="2"/>
    </font>
    <font>
      <sz val="9"/>
      <color indexed="81"/>
      <name val="Tahoma"/>
      <family val="2"/>
    </font>
    <font>
      <b/>
      <sz val="9"/>
      <color indexed="81"/>
      <name val="Tahoma"/>
      <family val="2"/>
    </font>
    <font>
      <sz val="8"/>
      <color indexed="8"/>
      <name val="Arial"/>
      <family val="2"/>
    </font>
    <font>
      <sz val="11"/>
      <name val="Courier New"/>
      <family val="3"/>
    </font>
    <font>
      <b/>
      <sz val="11"/>
      <name val="Arial"/>
      <family val="2"/>
    </font>
    <font>
      <sz val="10"/>
      <color indexed="8"/>
      <name val="Courier New"/>
      <family val="3"/>
    </font>
    <font>
      <sz val="11"/>
      <color indexed="8"/>
      <name val="Courier New"/>
      <family val="3"/>
    </font>
    <font>
      <sz val="8"/>
      <color indexed="8"/>
      <name val="Arial"/>
      <family val="2"/>
    </font>
    <font>
      <sz val="11"/>
      <color indexed="8"/>
      <name val="Arial"/>
      <family val="2"/>
    </font>
    <font>
      <sz val="10"/>
      <color indexed="8"/>
      <name val="Arial"/>
      <family val="2"/>
    </font>
    <font>
      <b/>
      <sz val="10"/>
      <color indexed="8"/>
      <name val="Arial"/>
      <family val="2"/>
    </font>
    <font>
      <b/>
      <u/>
      <sz val="10"/>
      <name val="Arial"/>
      <family val="2"/>
    </font>
    <font>
      <b/>
      <sz val="10"/>
      <color indexed="81"/>
      <name val="Tahoma"/>
      <family val="2"/>
    </font>
    <font>
      <sz val="10"/>
      <color indexed="81"/>
      <name val="Tahoma"/>
      <family val="2"/>
    </font>
    <font>
      <b/>
      <vertAlign val="subscript"/>
      <sz val="10"/>
      <color indexed="8"/>
      <name val="Arial"/>
      <family val="2"/>
    </font>
    <font>
      <b/>
      <sz val="12"/>
      <color indexed="8"/>
      <name val="Calibri"/>
      <family val="2"/>
    </font>
    <font>
      <sz val="11"/>
      <color indexed="8"/>
      <name val="Calibri"/>
      <family val="2"/>
    </font>
    <font>
      <b/>
      <sz val="11"/>
      <color indexed="8"/>
      <name val="Calibri"/>
      <family val="2"/>
    </font>
    <font>
      <sz val="11"/>
      <color indexed="8"/>
      <name val="Courier New"/>
      <family val="3"/>
    </font>
    <font>
      <sz val="11"/>
      <color indexed="8"/>
      <name val="Arial"/>
      <family val="2"/>
    </font>
    <font>
      <sz val="11"/>
      <name val="Calibri"/>
      <family val="2"/>
    </font>
    <font>
      <sz val="8"/>
      <color indexed="8"/>
      <name val="Arial"/>
      <family val="2"/>
    </font>
    <font>
      <b/>
      <sz val="10"/>
      <color indexed="8"/>
      <name val="Arial"/>
      <family val="2"/>
    </font>
    <font>
      <b/>
      <u/>
      <sz val="12"/>
      <color indexed="8"/>
      <name val="Calibri"/>
      <family val="2"/>
    </font>
    <font>
      <sz val="11"/>
      <name val="Arial"/>
      <family val="2"/>
    </font>
    <font>
      <b/>
      <sz val="10"/>
      <name val="Courier"/>
      <family val="3"/>
    </font>
    <font>
      <b/>
      <u/>
      <sz val="9"/>
      <color indexed="81"/>
      <name val="Tahoma"/>
      <family val="2"/>
    </font>
    <font>
      <b/>
      <sz val="11"/>
      <color indexed="8"/>
      <name val="Calibri"/>
      <family val="2"/>
    </font>
    <font>
      <b/>
      <sz val="20"/>
      <color indexed="8"/>
      <name val="Calibri"/>
      <family val="2"/>
    </font>
    <font>
      <b/>
      <sz val="14"/>
      <color indexed="8"/>
      <name val="Calibri"/>
      <family val="2"/>
    </font>
    <font>
      <b/>
      <sz val="18"/>
      <color indexed="8"/>
      <name val="Arial"/>
      <family val="2"/>
    </font>
    <font>
      <b/>
      <sz val="11"/>
      <name val="Courier New"/>
      <family val="3"/>
    </font>
    <font>
      <b/>
      <sz val="11"/>
      <color indexed="81"/>
      <name val="Tahoma"/>
      <family val="2"/>
    </font>
    <font>
      <sz val="11"/>
      <color indexed="81"/>
      <name val="Tahoma"/>
      <family val="2"/>
    </font>
    <font>
      <b/>
      <sz val="9"/>
      <color indexed="81"/>
      <name val="Segoe UI"/>
      <family val="2"/>
    </font>
    <font>
      <sz val="11"/>
      <color indexed="10"/>
      <name val="Calibri"/>
      <family val="2"/>
    </font>
    <font>
      <b/>
      <u/>
      <sz val="9"/>
      <color indexed="81"/>
      <name val="Segoe UI"/>
      <family val="2"/>
    </font>
    <font>
      <sz val="9"/>
      <color indexed="81"/>
      <name val="Segoe UI"/>
      <family val="2"/>
    </font>
    <font>
      <sz val="14"/>
      <color indexed="8"/>
      <name val="Calibri"/>
      <family val="2"/>
    </font>
    <font>
      <b/>
      <sz val="18"/>
      <name val="Calibri"/>
      <family val="2"/>
    </font>
    <font>
      <b/>
      <sz val="10"/>
      <color indexed="10"/>
      <name val="Arial"/>
      <family val="2"/>
    </font>
    <font>
      <b/>
      <u/>
      <sz val="10"/>
      <color indexed="8"/>
      <name val="Arial"/>
      <family val="2"/>
    </font>
    <font>
      <b/>
      <sz val="12"/>
      <color indexed="8"/>
      <name val="Arial"/>
      <family val="2"/>
    </font>
    <font>
      <sz val="11"/>
      <color indexed="10"/>
      <name val="Arial"/>
      <family val="2"/>
    </font>
    <font>
      <b/>
      <sz val="20"/>
      <name val="Calibri"/>
      <family val="2"/>
    </font>
    <font>
      <sz val="11"/>
      <color theme="1"/>
      <name val="Calibri"/>
      <family val="2"/>
      <scheme val="minor"/>
    </font>
    <font>
      <sz val="11"/>
      <color theme="0"/>
      <name val="Calibri"/>
      <family val="2"/>
      <scheme val="minor"/>
    </font>
    <font>
      <b/>
      <sz val="11"/>
      <color theme="1"/>
      <name val="Calibri"/>
      <family val="2"/>
      <scheme val="minor"/>
    </font>
    <font>
      <sz val="11"/>
      <color rgb="FFFF0000"/>
      <name val="Calibri"/>
      <family val="2"/>
      <scheme val="minor"/>
    </font>
    <font>
      <sz val="10"/>
      <color theme="1"/>
      <name val="Calibri"/>
      <family val="2"/>
      <scheme val="minor"/>
    </font>
    <font>
      <sz val="11"/>
      <color theme="1"/>
      <name val="Arial"/>
      <family val="2"/>
    </font>
    <font>
      <sz val="11"/>
      <name val="Calibri"/>
      <family val="2"/>
      <scheme val="minor"/>
    </font>
    <font>
      <sz val="8"/>
      <color theme="1"/>
      <name val="Arial"/>
      <family val="2"/>
    </font>
    <font>
      <sz val="10"/>
      <color rgb="FFEEECE1"/>
      <name val="Arial"/>
      <family val="2"/>
    </font>
    <font>
      <sz val="14"/>
      <color theme="1"/>
      <name val="Calibri"/>
      <family val="2"/>
      <scheme val="minor"/>
    </font>
    <font>
      <b/>
      <sz val="10"/>
      <color theme="1"/>
      <name val="Arial"/>
      <family val="2"/>
    </font>
    <font>
      <sz val="11"/>
      <color rgb="FF00B050"/>
      <name val="Calibri"/>
      <family val="2"/>
      <scheme val="minor"/>
    </font>
    <font>
      <b/>
      <sz val="11"/>
      <color rgb="FFFF0000"/>
      <name val="Calibri"/>
      <family val="2"/>
      <scheme val="minor"/>
    </font>
    <font>
      <sz val="11"/>
      <color theme="1"/>
      <name val="Courier New"/>
      <family val="3"/>
    </font>
    <font>
      <sz val="11"/>
      <color rgb="FFFF0000"/>
      <name val="Courier New"/>
      <family val="3"/>
    </font>
    <font>
      <i/>
      <sz val="11"/>
      <color theme="0" tint="-0.499984740745262"/>
      <name val="Calibri"/>
      <family val="2"/>
      <scheme val="minor"/>
    </font>
    <font>
      <b/>
      <sz val="12"/>
      <color theme="1"/>
      <name val="Calibri"/>
      <family val="2"/>
      <scheme val="minor"/>
    </font>
    <font>
      <i/>
      <sz val="10"/>
      <color theme="0" tint="-0.34998626667073579"/>
      <name val="Calibri"/>
      <family val="2"/>
      <scheme val="minor"/>
    </font>
    <font>
      <sz val="11"/>
      <color theme="0"/>
      <name val="Courier New"/>
      <family val="3"/>
    </font>
    <font>
      <b/>
      <sz val="11"/>
      <color rgb="FFFF0000"/>
      <name val="Arial"/>
      <family val="2"/>
    </font>
    <font>
      <sz val="11"/>
      <color rgb="FF0070C0"/>
      <name val="Calibri"/>
      <family val="2"/>
      <scheme val="minor"/>
    </font>
    <font>
      <sz val="11"/>
      <color rgb="FF00B050"/>
      <name val="Courier New"/>
      <family val="3"/>
    </font>
    <font>
      <b/>
      <sz val="10"/>
      <name val="Calibri"/>
      <family val="2"/>
      <scheme val="minor"/>
    </font>
    <font>
      <sz val="10"/>
      <color rgb="FFFF0000"/>
      <name val="Arial"/>
      <family val="2"/>
    </font>
    <font>
      <b/>
      <sz val="18"/>
      <color rgb="FF000000"/>
      <name val="Calibri"/>
      <family val="2"/>
    </font>
    <font>
      <sz val="11"/>
      <color theme="1"/>
      <name val="Calibri"/>
      <family val="2"/>
    </font>
    <font>
      <b/>
      <sz val="10"/>
      <color rgb="FF000000"/>
      <name val="Arial"/>
      <family val="2"/>
    </font>
    <font>
      <sz val="24"/>
      <color rgb="FF666666"/>
      <name val="Arial"/>
      <family val="2"/>
    </font>
    <font>
      <b/>
      <sz val="10"/>
      <color rgb="FFFF0000"/>
      <name val="Arial"/>
      <family val="2"/>
    </font>
    <font>
      <sz val="10"/>
      <color rgb="FF0070C0"/>
      <name val="Arial"/>
      <family val="2"/>
    </font>
    <font>
      <b/>
      <sz val="16"/>
      <color theme="1"/>
      <name val="Calibri"/>
      <family val="2"/>
      <scheme val="minor"/>
    </font>
    <font>
      <sz val="11"/>
      <color rgb="FFFF0000"/>
      <name val="Arial"/>
      <family val="2"/>
    </font>
    <font>
      <sz val="11"/>
      <color rgb="FF002060"/>
      <name val="Arial"/>
      <family val="2"/>
    </font>
    <font>
      <i/>
      <sz val="11"/>
      <color theme="1"/>
      <name val="Calibri"/>
      <family val="2"/>
      <scheme val="minor"/>
    </font>
    <font>
      <b/>
      <sz val="10"/>
      <color indexed="8"/>
      <name val="Calibri"/>
      <family val="2"/>
    </font>
    <font>
      <u/>
      <sz val="9"/>
      <color indexed="81"/>
      <name val="Segoe UI"/>
      <family val="2"/>
    </font>
    <font>
      <i/>
      <sz val="11"/>
      <color indexed="8"/>
      <name val="Calibri"/>
      <family val="2"/>
    </font>
    <font>
      <b/>
      <sz val="20"/>
      <color rgb="FFFF0000"/>
      <name val="Calibri"/>
      <family val="2"/>
    </font>
    <font>
      <sz val="11"/>
      <color rgb="FFFF0000"/>
      <name val="Calibri"/>
      <family val="2"/>
    </font>
    <font>
      <sz val="11"/>
      <color rgb="FF1F497D"/>
      <name val="Calibri"/>
      <family val="2"/>
      <scheme val="minor"/>
    </font>
  </fonts>
  <fills count="28">
    <fill>
      <patternFill patternType="none"/>
    </fill>
    <fill>
      <patternFill patternType="gray125"/>
    </fill>
    <fill>
      <patternFill patternType="solid">
        <fgColor indexed="13"/>
        <bgColor indexed="64"/>
      </patternFill>
    </fill>
    <fill>
      <patternFill patternType="solid">
        <fgColor indexed="11"/>
        <bgColor indexed="64"/>
      </patternFill>
    </fill>
    <fill>
      <patternFill patternType="solid">
        <fgColor indexed="22"/>
        <bgColor indexed="64"/>
      </patternFill>
    </fill>
    <fill>
      <patternFill patternType="solid">
        <fgColor indexed="9"/>
        <bgColor indexed="64"/>
      </patternFill>
    </fill>
    <fill>
      <patternFill patternType="solid">
        <fgColor indexed="29"/>
        <bgColor indexed="64"/>
      </patternFill>
    </fill>
    <fill>
      <patternFill patternType="solid">
        <fgColor indexed="44"/>
        <bgColor indexed="64"/>
      </patternFill>
    </fill>
    <fill>
      <patternFill patternType="solid">
        <fgColor indexed="43"/>
        <bgColor indexed="64"/>
      </patternFill>
    </fill>
    <fill>
      <patternFill patternType="solid">
        <fgColor indexed="51"/>
        <bgColor indexed="64"/>
      </patternFill>
    </fill>
    <fill>
      <patternFill patternType="solid">
        <fgColor indexed="52"/>
        <bgColor indexed="64"/>
      </patternFill>
    </fill>
    <fill>
      <patternFill patternType="solid">
        <fgColor indexed="46"/>
        <bgColor indexed="64"/>
      </patternFill>
    </fill>
    <fill>
      <patternFill patternType="darkHorizontal">
        <fgColor indexed="53"/>
        <bgColor indexed="29"/>
      </patternFill>
    </fill>
    <fill>
      <patternFill patternType="solid">
        <fgColor indexed="40"/>
        <bgColor indexed="64"/>
      </patternFill>
    </fill>
    <fill>
      <patternFill patternType="solid">
        <fgColor indexed="42"/>
        <bgColor indexed="64"/>
      </patternFill>
    </fill>
    <fill>
      <patternFill patternType="solid">
        <fgColor indexed="44"/>
        <bgColor indexed="53"/>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00CCFF"/>
        <bgColor indexed="64"/>
      </patternFill>
    </fill>
    <fill>
      <patternFill patternType="solid">
        <fgColor theme="0"/>
        <bgColor indexed="64"/>
      </patternFill>
    </fill>
    <fill>
      <patternFill patternType="solid">
        <fgColor theme="0" tint="-0.14990691854609822"/>
        <bgColor indexed="64"/>
      </patternFill>
    </fill>
    <fill>
      <patternFill patternType="solid">
        <fgColor rgb="FFFFC000"/>
        <bgColor indexed="64"/>
      </patternFill>
    </fill>
    <fill>
      <patternFill patternType="solid">
        <fgColor theme="6"/>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C0C0C0"/>
        <bgColor indexed="64"/>
      </patternFill>
    </fill>
    <fill>
      <patternFill patternType="solid">
        <fgColor theme="0" tint="-0.1499984740745262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9"/>
      </left>
      <right style="thin">
        <color indexed="9"/>
      </right>
      <top/>
      <bottom/>
      <diagonal/>
    </border>
    <border>
      <left style="thin">
        <color indexed="9"/>
      </left>
      <right style="thin">
        <color indexed="9"/>
      </right>
      <top style="thin">
        <color indexed="9"/>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medium">
        <color indexed="64"/>
      </left>
      <right/>
      <top style="medium">
        <color indexed="64"/>
      </top>
      <bottom/>
      <diagonal/>
    </border>
    <border>
      <left style="medium">
        <color indexed="64"/>
      </left>
      <right/>
      <top/>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indexed="9"/>
      </left>
      <right style="thin">
        <color indexed="9"/>
      </right>
      <top style="hair">
        <color theme="0"/>
      </top>
      <bottom style="thin">
        <color indexed="9"/>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right style="thin">
        <color theme="0"/>
      </right>
      <top style="thin">
        <color indexed="64"/>
      </top>
      <bottom style="thin">
        <color indexed="64"/>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right style="thin">
        <color theme="0"/>
      </right>
      <top style="thin">
        <color indexed="64"/>
      </top>
      <bottom/>
      <diagonal/>
    </border>
    <border>
      <left/>
      <right style="thin">
        <color indexed="9"/>
      </right>
      <top style="thin">
        <color theme="0"/>
      </top>
      <bottom style="thin">
        <color indexed="9"/>
      </bottom>
      <diagonal/>
    </border>
    <border>
      <left style="medium">
        <color theme="1"/>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style="thin">
        <color theme="0"/>
      </left>
      <right/>
      <top/>
      <bottom/>
      <diagonal/>
    </border>
    <border>
      <left/>
      <right style="thin">
        <color theme="0"/>
      </right>
      <top/>
      <bottom/>
      <diagonal/>
    </border>
    <border>
      <left style="medium">
        <color theme="1"/>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style="thin">
        <color theme="1"/>
      </right>
      <top style="thin">
        <color theme="1"/>
      </top>
      <bottom style="thin">
        <color theme="1"/>
      </bottom>
      <diagonal/>
    </border>
    <border>
      <left style="thin">
        <color indexed="64"/>
      </left>
      <right/>
      <top style="medium">
        <color theme="1"/>
      </top>
      <bottom style="medium">
        <color theme="1"/>
      </bottom>
      <diagonal/>
    </border>
    <border>
      <left/>
      <right style="thin">
        <color indexed="64"/>
      </right>
      <top style="medium">
        <color theme="1"/>
      </top>
      <bottom style="medium">
        <color theme="1"/>
      </bottom>
      <diagonal/>
    </border>
    <border>
      <left style="thin">
        <color indexed="9"/>
      </left>
      <right/>
      <top style="thin">
        <color theme="0"/>
      </top>
      <bottom style="thin">
        <color indexed="9"/>
      </bottom>
      <diagonal/>
    </border>
    <border>
      <left/>
      <right/>
      <top style="thin">
        <color theme="0"/>
      </top>
      <bottom style="thin">
        <color indexed="9"/>
      </bottom>
      <diagonal/>
    </border>
    <border>
      <left/>
      <right/>
      <top style="thin">
        <color theme="0"/>
      </top>
      <bottom style="thin">
        <color theme="0"/>
      </bottom>
      <diagonal/>
    </border>
    <border>
      <left/>
      <right style="thin">
        <color indexed="64"/>
      </right>
      <top style="medium">
        <color indexed="64"/>
      </top>
      <bottom style="medium">
        <color indexed="64"/>
      </bottom>
      <diagonal/>
    </border>
  </borders>
  <cellStyleXfs count="14">
    <xf numFmtId="0" fontId="0" fillId="0" borderId="0"/>
    <xf numFmtId="164" fontId="1" fillId="0" borderId="0" applyFont="0" applyFill="0" applyBorder="0" applyAlignment="0" applyProtection="0"/>
    <xf numFmtId="164" fontId="10" fillId="0" borderId="0" applyFont="0" applyFill="0" applyBorder="0" applyAlignment="0" applyProtection="0"/>
    <xf numFmtId="164" fontId="1" fillId="0" borderId="0" applyFont="0" applyFill="0" applyBorder="0" applyAlignment="0" applyProtection="0"/>
    <xf numFmtId="0" fontId="12" fillId="0" borderId="0" applyNumberFormat="0" applyFill="0" applyBorder="0" applyAlignment="0" applyProtection="0">
      <alignment vertical="top"/>
      <protection locked="0"/>
    </xf>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2" fillId="0" borderId="0"/>
    <xf numFmtId="0" fontId="6" fillId="0" borderId="0"/>
    <xf numFmtId="0" fontId="2" fillId="0" borderId="0"/>
    <xf numFmtId="0" fontId="2" fillId="0" borderId="0"/>
    <xf numFmtId="0" fontId="2" fillId="0" borderId="0" applyFont="0" applyFill="0" applyBorder="0" applyAlignment="0" applyProtection="0"/>
  </cellStyleXfs>
  <cellXfs count="1018">
    <xf numFmtId="0" fontId="0" fillId="0" borderId="0" xfId="0"/>
    <xf numFmtId="0" fontId="2" fillId="0" borderId="1" xfId="9" applyBorder="1"/>
    <xf numFmtId="0" fontId="5" fillId="0" borderId="2" xfId="9" applyFont="1" applyBorder="1"/>
    <xf numFmtId="0" fontId="0" fillId="0" borderId="3" xfId="0" applyBorder="1" applyAlignment="1">
      <alignment horizontal="left" vertical="top"/>
    </xf>
    <xf numFmtId="0" fontId="5" fillId="0" borderId="3" xfId="0" applyFont="1" applyBorder="1" applyAlignment="1">
      <alignment horizontal="left" vertical="top"/>
    </xf>
    <xf numFmtId="2" fontId="0" fillId="0" borderId="3" xfId="0" applyNumberFormat="1" applyBorder="1" applyAlignment="1">
      <alignment horizontal="left" vertical="top"/>
    </xf>
    <xf numFmtId="0" fontId="0" fillId="0" borderId="4" xfId="0" applyBorder="1" applyAlignment="1">
      <alignment horizontal="left" vertical="top"/>
    </xf>
    <xf numFmtId="0" fontId="5" fillId="0" borderId="4" xfId="0" applyFont="1" applyBorder="1" applyAlignment="1">
      <alignment horizontal="left" vertical="top"/>
    </xf>
    <xf numFmtId="2" fontId="0" fillId="0" borderId="4" xfId="0" applyNumberFormat="1" applyBorder="1" applyAlignment="1">
      <alignment horizontal="left" vertical="top"/>
    </xf>
    <xf numFmtId="0" fontId="2" fillId="0" borderId="0" xfId="9"/>
    <xf numFmtId="4" fontId="2" fillId="0" borderId="1" xfId="9" applyNumberFormat="1" applyBorder="1"/>
    <xf numFmtId="4" fontId="0" fillId="0" borderId="0" xfId="0" applyNumberFormat="1"/>
    <xf numFmtId="0" fontId="5" fillId="0" borderId="0" xfId="9" applyFont="1"/>
    <xf numFmtId="0" fontId="2" fillId="2" borderId="1" xfId="9" applyFill="1" applyBorder="1"/>
    <xf numFmtId="4" fontId="2" fillId="2" borderId="1" xfId="9" applyNumberFormat="1" applyFill="1" applyBorder="1"/>
    <xf numFmtId="0" fontId="8" fillId="0" borderId="0" xfId="0" applyFont="1"/>
    <xf numFmtId="0" fontId="3" fillId="0" borderId="0" xfId="0" applyFont="1" applyAlignment="1">
      <alignment horizontal="left" vertical="top" wrapText="1"/>
    </xf>
    <xf numFmtId="0" fontId="6" fillId="2" borderId="1" xfId="9" applyFont="1" applyFill="1" applyBorder="1"/>
    <xf numFmtId="0" fontId="6" fillId="0" borderId="1" xfId="9" applyFont="1" applyBorder="1"/>
    <xf numFmtId="0" fontId="9" fillId="2" borderId="1" xfId="0" applyFont="1" applyFill="1" applyBorder="1" applyAlignment="1">
      <alignment wrapText="1"/>
    </xf>
    <xf numFmtId="0" fontId="7" fillId="2" borderId="1" xfId="0" applyFont="1" applyFill="1" applyBorder="1" applyAlignment="1">
      <alignment wrapText="1"/>
    </xf>
    <xf numFmtId="0" fontId="0" fillId="2" borderId="1" xfId="0" applyFill="1" applyBorder="1" applyAlignment="1">
      <alignment wrapText="1"/>
    </xf>
    <xf numFmtId="4" fontId="2" fillId="0" borderId="0" xfId="9" applyNumberFormat="1"/>
    <xf numFmtId="0" fontId="2" fillId="3" borderId="1" xfId="9" applyFill="1" applyBorder="1"/>
    <xf numFmtId="0" fontId="6" fillId="3" borderId="1" xfId="9" applyFont="1" applyFill="1" applyBorder="1"/>
    <xf numFmtId="0" fontId="14" fillId="0" borderId="0" xfId="0" applyFont="1"/>
    <xf numFmtId="0" fontId="16" fillId="0" borderId="0" xfId="0" applyFont="1"/>
    <xf numFmtId="4" fontId="3" fillId="0" borderId="0" xfId="9" applyNumberFormat="1" applyFont="1"/>
    <xf numFmtId="4" fontId="19" fillId="0" borderId="5" xfId="9" applyNumberFormat="1" applyFont="1" applyBorder="1"/>
    <xf numFmtId="4" fontId="19" fillId="0" borderId="0" xfId="9" applyNumberFormat="1" applyFont="1"/>
    <xf numFmtId="4" fontId="19" fillId="0" borderId="0" xfId="9" applyNumberFormat="1" applyFont="1" applyAlignment="1">
      <alignment wrapText="1"/>
    </xf>
    <xf numFmtId="4" fontId="2" fillId="0" borderId="6" xfId="9" applyNumberFormat="1" applyBorder="1"/>
    <xf numFmtId="4" fontId="19" fillId="0" borderId="6" xfId="9" applyNumberFormat="1" applyFont="1" applyBorder="1" applyAlignment="1">
      <alignment wrapText="1"/>
    </xf>
    <xf numFmtId="4" fontId="19" fillId="0" borderId="7" xfId="9" applyNumberFormat="1" applyFont="1" applyBorder="1"/>
    <xf numFmtId="0" fontId="0" fillId="0" borderId="0" xfId="0" applyAlignment="1">
      <alignment wrapText="1"/>
    </xf>
    <xf numFmtId="0" fontId="0" fillId="0" borderId="5" xfId="0" applyBorder="1"/>
    <xf numFmtId="4" fontId="20" fillId="0" borderId="0" xfId="9" applyNumberFormat="1" applyFont="1" applyAlignment="1">
      <alignment wrapText="1"/>
    </xf>
    <xf numFmtId="4" fontId="21" fillId="0" borderId="0" xfId="9" applyNumberFormat="1" applyFont="1"/>
    <xf numFmtId="0" fontId="0" fillId="0" borderId="8" xfId="0" applyBorder="1"/>
    <xf numFmtId="4" fontId="19" fillId="0" borderId="8" xfId="9" applyNumberFormat="1" applyFont="1" applyBorder="1" applyAlignment="1">
      <alignment wrapText="1"/>
    </xf>
    <xf numFmtId="4" fontId="19" fillId="0" borderId="9" xfId="9" applyNumberFormat="1" applyFont="1" applyBorder="1"/>
    <xf numFmtId="4" fontId="0" fillId="0" borderId="6" xfId="0" applyNumberFormat="1" applyBorder="1"/>
    <xf numFmtId="0" fontId="0" fillId="0" borderId="10" xfId="0" applyBorder="1"/>
    <xf numFmtId="4" fontId="19" fillId="0" borderId="10" xfId="9" applyNumberFormat="1" applyFont="1" applyBorder="1" applyAlignment="1">
      <alignment wrapText="1"/>
    </xf>
    <xf numFmtId="4" fontId="19" fillId="0" borderId="11" xfId="9" applyNumberFormat="1" applyFont="1" applyBorder="1"/>
    <xf numFmtId="4" fontId="21" fillId="0" borderId="5" xfId="9" applyNumberFormat="1" applyFont="1" applyBorder="1"/>
    <xf numFmtId="4" fontId="2" fillId="0" borderId="12" xfId="9" applyNumberFormat="1" applyBorder="1"/>
    <xf numFmtId="0" fontId="0" fillId="0" borderId="13" xfId="0" applyBorder="1"/>
    <xf numFmtId="4" fontId="19" fillId="4" borderId="0" xfId="9" applyNumberFormat="1" applyFont="1" applyFill="1" applyAlignment="1">
      <alignment wrapText="1"/>
    </xf>
    <xf numFmtId="4" fontId="19" fillId="4" borderId="5" xfId="9" applyNumberFormat="1" applyFont="1" applyFill="1" applyBorder="1"/>
    <xf numFmtId="0" fontId="0" fillId="4" borderId="0" xfId="0" applyFill="1"/>
    <xf numFmtId="0" fontId="0" fillId="4" borderId="13" xfId="0" applyFill="1" applyBorder="1"/>
    <xf numFmtId="0" fontId="0" fillId="4" borderId="8" xfId="0" applyFill="1" applyBorder="1"/>
    <xf numFmtId="4" fontId="25" fillId="0" borderId="0" xfId="9" applyNumberFormat="1" applyFont="1"/>
    <xf numFmtId="0" fontId="0" fillId="0" borderId="14" xfId="0" applyBorder="1"/>
    <xf numFmtId="4" fontId="26" fillId="0" borderId="0" xfId="9" applyNumberFormat="1" applyFont="1"/>
    <xf numFmtId="0" fontId="27" fillId="0" borderId="0" xfId="0" applyFont="1"/>
    <xf numFmtId="0" fontId="13" fillId="0" borderId="0" xfId="0" applyFont="1"/>
    <xf numFmtId="0" fontId="27" fillId="0" borderId="5" xfId="0" applyFont="1" applyBorder="1"/>
    <xf numFmtId="4" fontId="0" fillId="4" borderId="0" xfId="0" applyNumberFormat="1" applyFill="1"/>
    <xf numFmtId="0" fontId="0" fillId="4" borderId="10" xfId="0" applyFill="1" applyBorder="1"/>
    <xf numFmtId="0" fontId="0" fillId="4" borderId="11" xfId="0" applyFill="1" applyBorder="1"/>
    <xf numFmtId="0" fontId="0" fillId="4" borderId="5" xfId="0" applyFill="1" applyBorder="1"/>
    <xf numFmtId="0" fontId="0" fillId="4" borderId="9" xfId="0" applyFill="1" applyBorder="1"/>
    <xf numFmtId="4" fontId="29" fillId="0" borderId="0" xfId="9" applyNumberFormat="1" applyFont="1" applyAlignment="1">
      <alignment wrapText="1"/>
    </xf>
    <xf numFmtId="4" fontId="29" fillId="0" borderId="10" xfId="9" applyNumberFormat="1" applyFont="1" applyBorder="1" applyAlignment="1">
      <alignment wrapText="1"/>
    </xf>
    <xf numFmtId="4" fontId="29" fillId="0" borderId="8" xfId="9" applyNumberFormat="1" applyFont="1" applyBorder="1" applyAlignment="1">
      <alignment wrapText="1"/>
    </xf>
    <xf numFmtId="4" fontId="0" fillId="0" borderId="7" xfId="0" applyNumberFormat="1" applyBorder="1"/>
    <xf numFmtId="4" fontId="26" fillId="0" borderId="5" xfId="9" applyNumberFormat="1" applyFont="1" applyBorder="1"/>
    <xf numFmtId="4" fontId="2" fillId="0" borderId="5" xfId="9" applyNumberFormat="1" applyBorder="1"/>
    <xf numFmtId="4" fontId="30" fillId="4" borderId="5" xfId="9" applyNumberFormat="1" applyFont="1" applyFill="1" applyBorder="1"/>
    <xf numFmtId="4" fontId="0" fillId="4" borderId="6" xfId="0" applyNumberFormat="1" applyFill="1" applyBorder="1"/>
    <xf numFmtId="4" fontId="19" fillId="0" borderId="15" xfId="9" applyNumberFormat="1" applyFont="1" applyBorder="1"/>
    <xf numFmtId="4" fontId="19" fillId="0" borderId="8" xfId="9" applyNumberFormat="1" applyFont="1" applyBorder="1"/>
    <xf numFmtId="4" fontId="19" fillId="0" borderId="6" xfId="9" applyNumberFormat="1" applyFont="1" applyBorder="1"/>
    <xf numFmtId="0" fontId="0" fillId="0" borderId="6" xfId="0" applyBorder="1"/>
    <xf numFmtId="2" fontId="6" fillId="0" borderId="1" xfId="9" applyNumberFormat="1" applyFont="1" applyBorder="1"/>
    <xf numFmtId="176" fontId="26" fillId="0" borderId="0" xfId="9" applyNumberFormat="1" applyFont="1"/>
    <xf numFmtId="0" fontId="13" fillId="3" borderId="0" xfId="0" applyFont="1" applyFill="1"/>
    <xf numFmtId="0" fontId="13" fillId="2" borderId="0" xfId="0" applyFont="1" applyFill="1"/>
    <xf numFmtId="0" fontId="0" fillId="2" borderId="1" xfId="0" applyFill="1" applyBorder="1" applyAlignment="1">
      <alignment vertical="top" wrapText="1"/>
    </xf>
    <xf numFmtId="0" fontId="7" fillId="2" borderId="1" xfId="0" applyFont="1" applyFill="1" applyBorder="1" applyAlignment="1">
      <alignment vertical="top" wrapText="1"/>
    </xf>
    <xf numFmtId="0" fontId="15" fillId="2" borderId="1" xfId="0" applyFont="1" applyFill="1" applyBorder="1" applyAlignment="1">
      <alignment vertical="top" wrapText="1"/>
    </xf>
    <xf numFmtId="0" fontId="14" fillId="2" borderId="1" xfId="0" applyFont="1" applyFill="1" applyBorder="1" applyAlignment="1">
      <alignment vertical="top" wrapText="1"/>
    </xf>
    <xf numFmtId="0" fontId="0" fillId="2" borderId="0" xfId="0" applyFill="1" applyAlignment="1">
      <alignment vertical="top"/>
    </xf>
    <xf numFmtId="4" fontId="2" fillId="0" borderId="8" xfId="9" applyNumberFormat="1" applyBorder="1"/>
    <xf numFmtId="4" fontId="30" fillId="0" borderId="0" xfId="9" applyNumberFormat="1" applyFont="1"/>
    <xf numFmtId="4" fontId="2" fillId="3" borderId="1" xfId="9" applyNumberFormat="1" applyFill="1" applyBorder="1"/>
    <xf numFmtId="0" fontId="13" fillId="2" borderId="1" xfId="0" applyFont="1" applyFill="1" applyBorder="1"/>
    <xf numFmtId="0" fontId="34" fillId="4" borderId="0" xfId="0" applyFont="1" applyFill="1"/>
    <xf numFmtId="0" fontId="0" fillId="0" borderId="9" xfId="0" applyBorder="1"/>
    <xf numFmtId="0" fontId="41" fillId="0" borderId="8" xfId="0" applyFont="1" applyBorder="1"/>
    <xf numFmtId="0" fontId="41" fillId="0" borderId="0" xfId="0" applyFont="1"/>
    <xf numFmtId="0" fontId="41" fillId="0" borderId="9" xfId="0" applyFont="1" applyBorder="1"/>
    <xf numFmtId="0" fontId="41" fillId="0" borderId="5" xfId="0" applyFont="1" applyBorder="1"/>
    <xf numFmtId="4" fontId="28" fillId="0" borderId="0" xfId="9" applyNumberFormat="1" applyFont="1" applyAlignment="1">
      <alignment wrapText="1"/>
    </xf>
    <xf numFmtId="167" fontId="19" fillId="0" borderId="0" xfId="5" applyNumberFormat="1" applyFont="1" applyFill="1" applyBorder="1" applyAlignment="1">
      <alignment wrapText="1"/>
    </xf>
    <xf numFmtId="0" fontId="41" fillId="4" borderId="0" xfId="0" applyFont="1" applyFill="1"/>
    <xf numFmtId="0" fontId="41" fillId="4" borderId="5" xfId="0" applyFont="1" applyFill="1" applyBorder="1"/>
    <xf numFmtId="0" fontId="41" fillId="4" borderId="6" xfId="0" applyFont="1" applyFill="1" applyBorder="1"/>
    <xf numFmtId="10" fontId="42" fillId="0" borderId="0" xfId="0" applyNumberFormat="1" applyFont="1"/>
    <xf numFmtId="0" fontId="0" fillId="0" borderId="0" xfId="0" quotePrefix="1"/>
    <xf numFmtId="4" fontId="2" fillId="0" borderId="0" xfId="9" applyNumberFormat="1" applyAlignment="1">
      <alignment horizontal="right"/>
    </xf>
    <xf numFmtId="0" fontId="2" fillId="0" borderId="10" xfId="9" applyBorder="1" applyAlignment="1">
      <alignment horizontal="right"/>
    </xf>
    <xf numFmtId="0" fontId="43" fillId="0" borderId="5" xfId="0" applyFont="1" applyBorder="1"/>
    <xf numFmtId="0" fontId="43" fillId="0" borderId="0" xfId="0" applyFont="1"/>
    <xf numFmtId="0" fontId="44" fillId="0" borderId="5" xfId="0" applyFont="1" applyBorder="1"/>
    <xf numFmtId="172" fontId="41" fillId="0" borderId="0" xfId="0" applyNumberFormat="1" applyFont="1"/>
    <xf numFmtId="9" fontId="41" fillId="0" borderId="0" xfId="0" applyNumberFormat="1" applyFont="1"/>
    <xf numFmtId="0" fontId="45" fillId="0" borderId="0" xfId="0" applyFont="1"/>
    <xf numFmtId="4" fontId="45" fillId="0" borderId="0" xfId="0" applyNumberFormat="1" applyFont="1"/>
    <xf numFmtId="4" fontId="41" fillId="0" borderId="0" xfId="0" applyNumberFormat="1" applyFont="1"/>
    <xf numFmtId="0" fontId="38" fillId="0" borderId="16" xfId="0" applyFont="1" applyBorder="1"/>
    <xf numFmtId="0" fontId="35" fillId="0" borderId="16" xfId="0" applyFont="1" applyBorder="1"/>
    <xf numFmtId="0" fontId="36" fillId="0" borderId="16" xfId="0" applyFont="1" applyBorder="1"/>
    <xf numFmtId="0" fontId="37" fillId="0" borderId="16" xfId="0" applyFont="1" applyBorder="1"/>
    <xf numFmtId="0" fontId="35" fillId="0" borderId="16" xfId="0" applyFont="1" applyBorder="1" applyAlignment="1">
      <alignment horizontal="right"/>
    </xf>
    <xf numFmtId="3" fontId="35" fillId="0" borderId="16" xfId="0" applyNumberFormat="1" applyFont="1" applyBorder="1"/>
    <xf numFmtId="0" fontId="35" fillId="0" borderId="16" xfId="0" applyFont="1" applyBorder="1" applyAlignment="1">
      <alignment vertical="center"/>
    </xf>
    <xf numFmtId="0" fontId="35" fillId="0" borderId="16" xfId="0" applyFont="1" applyBorder="1" applyAlignment="1">
      <alignment horizontal="center" vertical="center" wrapText="1"/>
    </xf>
    <xf numFmtId="0" fontId="35" fillId="0" borderId="16" xfId="0" applyFont="1" applyBorder="1" applyAlignment="1">
      <alignment horizontal="center" vertical="center"/>
    </xf>
    <xf numFmtId="0" fontId="35" fillId="0" borderId="16" xfId="0" applyFont="1" applyBorder="1" applyAlignment="1">
      <alignment horizontal="center"/>
    </xf>
    <xf numFmtId="0" fontId="5" fillId="3" borderId="16" xfId="9" applyFont="1" applyFill="1" applyBorder="1"/>
    <xf numFmtId="167" fontId="35" fillId="0" borderId="16" xfId="5" applyNumberFormat="1" applyFont="1" applyBorder="1" applyAlignment="1">
      <alignment horizontal="center"/>
    </xf>
    <xf numFmtId="0" fontId="35" fillId="0" borderId="16" xfId="0" quotePrefix="1" applyFont="1" applyBorder="1"/>
    <xf numFmtId="3" fontId="35" fillId="0" borderId="16" xfId="0" applyNumberFormat="1" applyFont="1" applyBorder="1" applyAlignment="1">
      <alignment horizontal="right"/>
    </xf>
    <xf numFmtId="4" fontId="35" fillId="0" borderId="16" xfId="0" applyNumberFormat="1" applyFont="1" applyBorder="1"/>
    <xf numFmtId="0" fontId="5" fillId="0" borderId="16" xfId="9" applyFont="1" applyBorder="1"/>
    <xf numFmtId="2" fontId="35" fillId="0" borderId="16" xfId="0" applyNumberFormat="1" applyFont="1" applyBorder="1" applyAlignment="1">
      <alignment horizontal="center"/>
    </xf>
    <xf numFmtId="167" fontId="35" fillId="0" borderId="16" xfId="0" applyNumberFormat="1" applyFont="1" applyBorder="1" applyAlignment="1">
      <alignment horizontal="center"/>
    </xf>
    <xf numFmtId="4" fontId="36" fillId="0" borderId="16" xfId="0" applyNumberFormat="1" applyFont="1" applyBorder="1"/>
    <xf numFmtId="0" fontId="36" fillId="0" borderId="16" xfId="0" quotePrefix="1" applyFont="1" applyBorder="1"/>
    <xf numFmtId="0" fontId="0" fillId="0" borderId="16" xfId="0" applyBorder="1"/>
    <xf numFmtId="0" fontId="46" fillId="0" borderId="16" xfId="0" applyFont="1" applyBorder="1"/>
    <xf numFmtId="0" fontId="5" fillId="2" borderId="16" xfId="9" applyFont="1" applyFill="1" applyBorder="1"/>
    <xf numFmtId="3" fontId="35" fillId="0" borderId="16" xfId="0" quotePrefix="1" applyNumberFormat="1" applyFont="1" applyBorder="1"/>
    <xf numFmtId="0" fontId="35" fillId="0" borderId="4" xfId="0" applyFont="1" applyBorder="1"/>
    <xf numFmtId="0" fontId="35" fillId="0" borderId="17" xfId="0" applyFont="1" applyBorder="1"/>
    <xf numFmtId="0" fontId="35" fillId="0" borderId="18" xfId="0" applyFont="1" applyBorder="1"/>
    <xf numFmtId="0" fontId="35" fillId="0" borderId="19" xfId="0" applyFont="1" applyBorder="1"/>
    <xf numFmtId="0" fontId="2" fillId="0" borderId="16" xfId="9" applyBorder="1"/>
    <xf numFmtId="0" fontId="35" fillId="0" borderId="16" xfId="0" applyFont="1" applyBorder="1" applyAlignment="1">
      <alignment horizontal="right" vertical="center"/>
    </xf>
    <xf numFmtId="3" fontId="36" fillId="0" borderId="16" xfId="0" applyNumberFormat="1" applyFont="1" applyBorder="1"/>
    <xf numFmtId="4" fontId="1" fillId="4" borderId="6" xfId="0" applyNumberFormat="1" applyFont="1" applyFill="1" applyBorder="1"/>
    <xf numFmtId="4" fontId="1" fillId="0" borderId="0" xfId="0" applyNumberFormat="1" applyFont="1"/>
    <xf numFmtId="0" fontId="1" fillId="0" borderId="0" xfId="0" applyFont="1"/>
    <xf numFmtId="0" fontId="1" fillId="0" borderId="10" xfId="0" applyFont="1" applyBorder="1"/>
    <xf numFmtId="0" fontId="1" fillId="4" borderId="0" xfId="0" applyFont="1" applyFill="1"/>
    <xf numFmtId="0" fontId="1" fillId="0" borderId="6" xfId="0" applyFont="1" applyBorder="1"/>
    <xf numFmtId="4" fontId="1" fillId="0" borderId="6" xfId="0" applyNumberFormat="1" applyFont="1" applyBorder="1"/>
    <xf numFmtId="169" fontId="2" fillId="0" borderId="0" xfId="2" applyNumberFormat="1" applyFont="1" applyFill="1" applyBorder="1"/>
    <xf numFmtId="0" fontId="0" fillId="0" borderId="1" xfId="0" applyBorder="1"/>
    <xf numFmtId="0" fontId="0" fillId="3" borderId="1" xfId="0" applyFill="1" applyBorder="1"/>
    <xf numFmtId="0" fontId="0" fillId="2" borderId="1" xfId="0" applyFill="1" applyBorder="1"/>
    <xf numFmtId="0" fontId="0" fillId="4" borderId="6" xfId="0" applyFill="1" applyBorder="1"/>
    <xf numFmtId="4" fontId="19" fillId="0" borderId="10" xfId="9" applyNumberFormat="1" applyFont="1" applyBorder="1"/>
    <xf numFmtId="4" fontId="19" fillId="4" borderId="0" xfId="9" applyNumberFormat="1" applyFont="1" applyFill="1"/>
    <xf numFmtId="2" fontId="0" fillId="2" borderId="1" xfId="0" applyNumberFormat="1" applyFill="1" applyBorder="1" applyAlignment="1">
      <alignment vertical="top" wrapText="1"/>
    </xf>
    <xf numFmtId="4" fontId="19" fillId="5" borderId="7" xfId="9" applyNumberFormat="1" applyFont="1" applyFill="1" applyBorder="1"/>
    <xf numFmtId="4" fontId="19" fillId="5" borderId="0" xfId="9" applyNumberFormat="1" applyFont="1" applyFill="1"/>
    <xf numFmtId="4" fontId="30" fillId="5" borderId="5" xfId="9" applyNumberFormat="1" applyFont="1" applyFill="1" applyBorder="1"/>
    <xf numFmtId="0" fontId="0" fillId="5" borderId="5" xfId="0" applyFill="1" applyBorder="1"/>
    <xf numFmtId="0" fontId="0" fillId="5" borderId="11" xfId="0" applyFill="1" applyBorder="1"/>
    <xf numFmtId="0" fontId="0" fillId="5" borderId="9" xfId="0" applyFill="1" applyBorder="1"/>
    <xf numFmtId="0" fontId="0" fillId="5" borderId="0" xfId="0" applyFill="1"/>
    <xf numFmtId="173" fontId="2" fillId="0" borderId="0" xfId="2" applyNumberFormat="1" applyFont="1" applyFill="1" applyBorder="1"/>
    <xf numFmtId="0" fontId="0" fillId="2" borderId="0" xfId="0" applyFill="1"/>
    <xf numFmtId="0" fontId="0" fillId="6" borderId="0" xfId="0" applyFill="1"/>
    <xf numFmtId="0" fontId="0" fillId="3" borderId="0" xfId="0" applyFill="1"/>
    <xf numFmtId="0" fontId="0" fillId="7" borderId="0" xfId="0" applyFill="1"/>
    <xf numFmtId="0" fontId="53" fillId="8" borderId="0" xfId="0" applyFont="1" applyFill="1"/>
    <xf numFmtId="0" fontId="0" fillId="2" borderId="0" xfId="0" quotePrefix="1" applyFill="1"/>
    <xf numFmtId="0" fontId="13" fillId="9" borderId="0" xfId="0" applyFont="1" applyFill="1"/>
    <xf numFmtId="0" fontId="2" fillId="9" borderId="1" xfId="9" applyFill="1" applyBorder="1"/>
    <xf numFmtId="0" fontId="6" fillId="9" borderId="1" xfId="9" applyFont="1" applyFill="1" applyBorder="1"/>
    <xf numFmtId="4" fontId="2" fillId="9" borderId="1" xfId="9" applyNumberFormat="1" applyFill="1" applyBorder="1"/>
    <xf numFmtId="4" fontId="25" fillId="0" borderId="0" xfId="9" quotePrefix="1" applyNumberFormat="1" applyFont="1"/>
    <xf numFmtId="4" fontId="30" fillId="5" borderId="0" xfId="9" applyNumberFormat="1" applyFont="1" applyFill="1"/>
    <xf numFmtId="4" fontId="19" fillId="0" borderId="7" xfId="9" applyNumberFormat="1" applyFont="1" applyBorder="1" applyAlignment="1">
      <alignment wrapText="1"/>
    </xf>
    <xf numFmtId="4" fontId="6" fillId="0" borderId="6" xfId="9" applyNumberFormat="1" applyFont="1" applyBorder="1"/>
    <xf numFmtId="0" fontId="5" fillId="0" borderId="2" xfId="9" applyFont="1" applyBorder="1" applyAlignment="1">
      <alignment vertical="top"/>
    </xf>
    <xf numFmtId="0" fontId="2" fillId="0" borderId="1" xfId="9" applyBorder="1" applyAlignment="1">
      <alignment vertical="top"/>
    </xf>
    <xf numFmtId="0" fontId="6" fillId="0" borderId="1" xfId="9" applyFont="1" applyBorder="1" applyAlignment="1">
      <alignment vertical="top"/>
    </xf>
    <xf numFmtId="2" fontId="6" fillId="0" borderId="1" xfId="9" applyNumberFormat="1" applyFont="1" applyBorder="1" applyAlignment="1">
      <alignment vertical="top"/>
    </xf>
    <xf numFmtId="4" fontId="2" fillId="0" borderId="0" xfId="9" applyNumberFormat="1" applyAlignment="1">
      <alignment vertical="top"/>
    </xf>
    <xf numFmtId="169" fontId="2" fillId="0" borderId="0" xfId="2" applyNumberFormat="1" applyFont="1" applyFill="1" applyBorder="1" applyAlignment="1">
      <alignment vertical="top"/>
    </xf>
    <xf numFmtId="0" fontId="41" fillId="0" borderId="0" xfId="0" applyFont="1" applyAlignment="1">
      <alignment horizontal="center" vertical="top"/>
    </xf>
    <xf numFmtId="0" fontId="0" fillId="0" borderId="0" xfId="0" applyAlignment="1">
      <alignment vertical="top"/>
    </xf>
    <xf numFmtId="4" fontId="2" fillId="0" borderId="15" xfId="9" applyNumberFormat="1" applyBorder="1"/>
    <xf numFmtId="4" fontId="19" fillId="0" borderId="5" xfId="9" applyNumberFormat="1" applyFont="1" applyBorder="1" applyAlignment="1">
      <alignment wrapText="1"/>
    </xf>
    <xf numFmtId="4" fontId="19" fillId="0" borderId="9" xfId="9" applyNumberFormat="1" applyFont="1" applyBorder="1" applyAlignment="1">
      <alignment wrapText="1"/>
    </xf>
    <xf numFmtId="4" fontId="20" fillId="0" borderId="0" xfId="9" applyNumberFormat="1" applyFont="1" applyAlignment="1">
      <alignment vertical="top" wrapText="1"/>
    </xf>
    <xf numFmtId="4" fontId="19" fillId="0" borderId="0" xfId="9" applyNumberFormat="1" applyFont="1" applyAlignment="1">
      <alignment vertical="top" wrapText="1"/>
    </xf>
    <xf numFmtId="4" fontId="28" fillId="0" borderId="15" xfId="9" applyNumberFormat="1" applyFont="1" applyBorder="1" applyAlignment="1">
      <alignment vertical="top" wrapText="1"/>
    </xf>
    <xf numFmtId="4" fontId="28" fillId="0" borderId="8" xfId="9" applyNumberFormat="1" applyFont="1" applyBorder="1" applyAlignment="1">
      <alignment vertical="top" wrapText="1"/>
    </xf>
    <xf numFmtId="4" fontId="28" fillId="0" borderId="12" xfId="9" applyNumberFormat="1" applyFont="1" applyBorder="1" applyAlignment="1">
      <alignment vertical="top" wrapText="1"/>
    </xf>
    <xf numFmtId="0" fontId="50" fillId="0" borderId="12" xfId="0" applyFont="1" applyBorder="1" applyAlignment="1">
      <alignment vertical="top" wrapText="1"/>
    </xf>
    <xf numFmtId="0" fontId="50" fillId="0" borderId="15" xfId="0" applyFont="1" applyBorder="1" applyAlignment="1">
      <alignment vertical="top" wrapText="1"/>
    </xf>
    <xf numFmtId="0" fontId="50" fillId="0" borderId="13" xfId="0" applyFont="1" applyBorder="1" applyAlignment="1">
      <alignment vertical="top" wrapText="1"/>
    </xf>
    <xf numFmtId="4" fontId="28" fillId="0" borderId="6" xfId="9" applyNumberFormat="1" applyFont="1" applyBorder="1" applyAlignment="1">
      <alignment horizontal="center" wrapText="1"/>
    </xf>
    <xf numFmtId="4" fontId="28" fillId="0" borderId="0" xfId="9" applyNumberFormat="1" applyFont="1" applyAlignment="1">
      <alignment horizontal="center" wrapText="1"/>
    </xf>
    <xf numFmtId="4" fontId="28" fillId="0" borderId="8" xfId="9" applyNumberFormat="1" applyFont="1" applyBorder="1" applyAlignment="1">
      <alignment horizontal="center" wrapText="1"/>
    </xf>
    <xf numFmtId="4" fontId="6" fillId="0" borderId="0" xfId="9" applyNumberFormat="1" applyFont="1"/>
    <xf numFmtId="0" fontId="54" fillId="0" borderId="0" xfId="0" applyFont="1"/>
    <xf numFmtId="0" fontId="2" fillId="0" borderId="1" xfId="9" applyBorder="1" applyAlignment="1">
      <alignment vertical="center"/>
    </xf>
    <xf numFmtId="4" fontId="2" fillId="0" borderId="1" xfId="9" applyNumberFormat="1" applyBorder="1" applyAlignment="1">
      <alignment vertical="center"/>
    </xf>
    <xf numFmtId="0" fontId="2" fillId="0" borderId="0" xfId="9" applyAlignment="1">
      <alignment vertical="center"/>
    </xf>
    <xf numFmtId="0" fontId="0" fillId="0" borderId="0" xfId="0" applyAlignment="1">
      <alignment vertical="center"/>
    </xf>
    <xf numFmtId="4" fontId="25" fillId="0" borderId="0" xfId="9" applyNumberFormat="1" applyFont="1" applyAlignment="1">
      <alignment vertical="center"/>
    </xf>
    <xf numFmtId="4" fontId="0" fillId="0" borderId="0" xfId="0" applyNumberFormat="1" applyAlignment="1">
      <alignment vertical="center"/>
    </xf>
    <xf numFmtId="4" fontId="25" fillId="0" borderId="0" xfId="9" quotePrefix="1" applyNumberFormat="1" applyFont="1" applyAlignment="1">
      <alignment vertical="top"/>
    </xf>
    <xf numFmtId="4" fontId="3" fillId="0" borderId="0" xfId="9" applyNumberFormat="1" applyFont="1" applyAlignment="1">
      <alignment vertical="top"/>
    </xf>
    <xf numFmtId="0" fontId="25" fillId="0" borderId="2" xfId="9" applyFont="1" applyBorder="1" applyAlignment="1">
      <alignment vertical="center"/>
    </xf>
    <xf numFmtId="0" fontId="13" fillId="0" borderId="0" xfId="0" applyFont="1" applyAlignment="1">
      <alignment horizontal="center" vertical="top" wrapText="1"/>
    </xf>
    <xf numFmtId="0" fontId="50" fillId="0" borderId="0" xfId="0" applyFont="1" applyAlignment="1">
      <alignment vertical="top" wrapText="1"/>
    </xf>
    <xf numFmtId="4" fontId="27" fillId="0" borderId="0" xfId="9" applyNumberFormat="1" applyFont="1"/>
    <xf numFmtId="4" fontId="30" fillId="0" borderId="0" xfId="9" applyNumberFormat="1" applyFont="1" applyAlignment="1">
      <alignment vertical="top"/>
    </xf>
    <xf numFmtId="4" fontId="2" fillId="0" borderId="0" xfId="9" applyNumberFormat="1" applyAlignment="1">
      <alignment vertical="center"/>
    </xf>
    <xf numFmtId="4" fontId="3" fillId="0" borderId="0" xfId="9" applyNumberFormat="1" applyFont="1" applyAlignment="1">
      <alignment vertical="center"/>
    </xf>
    <xf numFmtId="167" fontId="55" fillId="0" borderId="0" xfId="5" applyNumberFormat="1" applyFont="1"/>
    <xf numFmtId="0" fontId="41" fillId="0" borderId="6" xfId="0" applyFont="1" applyBorder="1"/>
    <xf numFmtId="4" fontId="28" fillId="0" borderId="0" xfId="9" applyNumberFormat="1" applyFont="1"/>
    <xf numFmtId="4" fontId="19" fillId="5" borderId="5" xfId="9" applyNumberFormat="1" applyFont="1" applyFill="1" applyBorder="1"/>
    <xf numFmtId="4" fontId="19" fillId="5" borderId="9" xfId="9" applyNumberFormat="1" applyFont="1" applyFill="1" applyBorder="1" applyAlignment="1">
      <alignment horizontal="right"/>
    </xf>
    <xf numFmtId="4" fontId="28" fillId="0" borderId="0" xfId="9" applyNumberFormat="1" applyFont="1" applyAlignment="1">
      <alignment horizontal="left"/>
    </xf>
    <xf numFmtId="0" fontId="2" fillId="6" borderId="1" xfId="9" applyFill="1" applyBorder="1"/>
    <xf numFmtId="0" fontId="6" fillId="6" borderId="1" xfId="9" applyFont="1" applyFill="1" applyBorder="1"/>
    <xf numFmtId="4" fontId="2" fillId="6" borderId="1" xfId="9" applyNumberFormat="1" applyFill="1" applyBorder="1"/>
    <xf numFmtId="4" fontId="2" fillId="6" borderId="1" xfId="9" applyNumberFormat="1" applyFill="1" applyBorder="1" applyAlignment="1">
      <alignment horizontal="right"/>
    </xf>
    <xf numFmtId="0" fontId="56" fillId="6" borderId="1" xfId="0" applyFont="1" applyFill="1" applyBorder="1"/>
    <xf numFmtId="0" fontId="51" fillId="6" borderId="1" xfId="0" applyFont="1" applyFill="1" applyBorder="1"/>
    <xf numFmtId="0" fontId="13" fillId="6" borderId="0" xfId="0" applyFont="1" applyFill="1"/>
    <xf numFmtId="0" fontId="0" fillId="2" borderId="1" xfId="0" applyFill="1" applyBorder="1" applyAlignment="1">
      <alignment vertical="top"/>
    </xf>
    <xf numFmtId="0" fontId="0" fillId="2" borderId="14" xfId="0" applyFill="1" applyBorder="1" applyAlignment="1">
      <alignment vertical="top"/>
    </xf>
    <xf numFmtId="0" fontId="0" fillId="2" borderId="11" xfId="0" applyFill="1" applyBorder="1" applyAlignment="1">
      <alignment vertical="top"/>
    </xf>
    <xf numFmtId="0" fontId="2" fillId="10" borderId="1" xfId="9" applyFill="1" applyBorder="1"/>
    <xf numFmtId="0" fontId="6" fillId="10" borderId="1" xfId="9" applyFont="1" applyFill="1" applyBorder="1"/>
    <xf numFmtId="4" fontId="2" fillId="10" borderId="1" xfId="9" applyNumberFormat="1" applyFill="1" applyBorder="1"/>
    <xf numFmtId="0" fontId="13" fillId="10" borderId="0" xfId="0" applyFont="1" applyFill="1"/>
    <xf numFmtId="0" fontId="54" fillId="10" borderId="1" xfId="0" applyFont="1" applyFill="1" applyBorder="1"/>
    <xf numFmtId="0" fontId="56" fillId="10" borderId="1" xfId="0" applyFont="1" applyFill="1" applyBorder="1"/>
    <xf numFmtId="2" fontId="2" fillId="0" borderId="1" xfId="9" applyNumberFormat="1" applyBorder="1" applyAlignment="1">
      <alignment vertical="top"/>
    </xf>
    <xf numFmtId="0" fontId="52" fillId="4" borderId="2" xfId="9" applyFont="1" applyFill="1" applyBorder="1" applyAlignment="1">
      <alignment vertical="center"/>
    </xf>
    <xf numFmtId="0" fontId="2" fillId="4" borderId="1" xfId="9" applyFill="1" applyBorder="1"/>
    <xf numFmtId="0" fontId="6" fillId="4" borderId="1" xfId="9" applyFont="1" applyFill="1" applyBorder="1"/>
    <xf numFmtId="2" fontId="6" fillId="4" borderId="1" xfId="9" applyNumberFormat="1" applyFont="1" applyFill="1" applyBorder="1"/>
    <xf numFmtId="0" fontId="0" fillId="0" borderId="1" xfId="0" applyBorder="1" applyAlignment="1">
      <alignment vertical="top"/>
    </xf>
    <xf numFmtId="0" fontId="66" fillId="10" borderId="1" xfId="0" applyFont="1" applyFill="1" applyBorder="1"/>
    <xf numFmtId="0" fontId="67" fillId="10" borderId="1" xfId="0" applyFont="1" applyFill="1" applyBorder="1"/>
    <xf numFmtId="4" fontId="67" fillId="10" borderId="1" xfId="0" applyNumberFormat="1" applyFont="1" applyFill="1" applyBorder="1"/>
    <xf numFmtId="0" fontId="66" fillId="0" borderId="0" xfId="0" applyFont="1"/>
    <xf numFmtId="0" fontId="67" fillId="0" borderId="0" xfId="0" applyFont="1"/>
    <xf numFmtId="4" fontId="67" fillId="0" borderId="0" xfId="0" applyNumberFormat="1" applyFont="1"/>
    <xf numFmtId="49" fontId="51" fillId="10" borderId="1" xfId="0" applyNumberFormat="1" applyFont="1" applyFill="1" applyBorder="1"/>
    <xf numFmtId="49" fontId="67" fillId="10" borderId="1" xfId="0" applyNumberFormat="1" applyFont="1" applyFill="1" applyBorder="1"/>
    <xf numFmtId="0" fontId="51" fillId="10" borderId="1" xfId="0" applyFont="1" applyFill="1" applyBorder="1"/>
    <xf numFmtId="0" fontId="51" fillId="0" borderId="0" xfId="0" applyFont="1"/>
    <xf numFmtId="0" fontId="2" fillId="11" borderId="1" xfId="9" applyFill="1" applyBorder="1"/>
    <xf numFmtId="4" fontId="2" fillId="11" borderId="1" xfId="9" applyNumberFormat="1" applyFill="1" applyBorder="1"/>
    <xf numFmtId="14" fontId="45" fillId="0" borderId="0" xfId="0" applyNumberFormat="1" applyFont="1"/>
    <xf numFmtId="9" fontId="0" fillId="0" borderId="0" xfId="0" applyNumberFormat="1"/>
    <xf numFmtId="2" fontId="0" fillId="0" borderId="0" xfId="0" applyNumberFormat="1"/>
    <xf numFmtId="0" fontId="65" fillId="0" borderId="0" xfId="0" applyFont="1"/>
    <xf numFmtId="173" fontId="41" fillId="0" borderId="0" xfId="3" applyNumberFormat="1" applyFont="1"/>
    <xf numFmtId="173" fontId="41" fillId="0" borderId="0" xfId="3" applyNumberFormat="1" applyFont="1" applyFill="1"/>
    <xf numFmtId="173" fontId="2" fillId="0" borderId="0" xfId="3" applyNumberFormat="1" applyFont="1" applyFill="1" applyBorder="1" applyAlignment="1">
      <alignment horizontal="right"/>
    </xf>
    <xf numFmtId="177" fontId="45" fillId="0" borderId="0" xfId="0" applyNumberFormat="1" applyFont="1"/>
    <xf numFmtId="14" fontId="2" fillId="0" borderId="0" xfId="3" applyNumberFormat="1" applyFont="1" applyFill="1" applyBorder="1" applyAlignment="1">
      <alignment horizontal="right"/>
    </xf>
    <xf numFmtId="0" fontId="54" fillId="11" borderId="1" xfId="0" applyFont="1" applyFill="1" applyBorder="1"/>
    <xf numFmtId="0" fontId="35" fillId="11" borderId="1" xfId="0" applyFont="1" applyFill="1" applyBorder="1"/>
    <xf numFmtId="4" fontId="35" fillId="11" borderId="1" xfId="0" applyNumberFormat="1" applyFont="1" applyFill="1" applyBorder="1"/>
    <xf numFmtId="0" fontId="66" fillId="0" borderId="1" xfId="0" applyFont="1" applyBorder="1"/>
    <xf numFmtId="0" fontId="67" fillId="0" borderId="1" xfId="0" applyFont="1" applyBorder="1"/>
    <xf numFmtId="4" fontId="67" fillId="0" borderId="1" xfId="0" applyNumberFormat="1" applyFont="1" applyBorder="1"/>
    <xf numFmtId="0" fontId="57" fillId="12" borderId="0" xfId="0" applyFont="1" applyFill="1"/>
    <xf numFmtId="0" fontId="2" fillId="11" borderId="0" xfId="9" applyFill="1"/>
    <xf numFmtId="4" fontId="35" fillId="2" borderId="1" xfId="0" applyNumberFormat="1" applyFont="1" applyFill="1" applyBorder="1"/>
    <xf numFmtId="167" fontId="0" fillId="0" borderId="0" xfId="0" applyNumberFormat="1"/>
    <xf numFmtId="9" fontId="64" fillId="0" borderId="0" xfId="5" applyFont="1"/>
    <xf numFmtId="0" fontId="69" fillId="0" borderId="0" xfId="0" applyFont="1"/>
    <xf numFmtId="2" fontId="69" fillId="0" borderId="0" xfId="0" applyNumberFormat="1" applyFont="1"/>
    <xf numFmtId="2" fontId="41" fillId="0" borderId="8" xfId="0" applyNumberFormat="1" applyFont="1" applyBorder="1"/>
    <xf numFmtId="169" fontId="2" fillId="0" borderId="15" xfId="2" applyNumberFormat="1" applyFont="1" applyFill="1" applyBorder="1" applyAlignment="1">
      <alignment vertical="top"/>
    </xf>
    <xf numFmtId="4" fontId="19" fillId="0" borderId="20" xfId="9" applyNumberFormat="1" applyFont="1" applyBorder="1"/>
    <xf numFmtId="4" fontId="19" fillId="0" borderId="21" xfId="9" applyNumberFormat="1" applyFont="1" applyBorder="1"/>
    <xf numFmtId="4" fontId="19" fillId="0" borderId="2" xfId="9" applyNumberFormat="1" applyFont="1" applyBorder="1"/>
    <xf numFmtId="4" fontId="21" fillId="0" borderId="15" xfId="9" applyNumberFormat="1" applyFont="1" applyBorder="1"/>
    <xf numFmtId="169" fontId="2" fillId="0" borderId="5" xfId="2" applyNumberFormat="1" applyFont="1" applyFill="1" applyBorder="1" applyAlignment="1">
      <alignment vertical="top"/>
    </xf>
    <xf numFmtId="4" fontId="6" fillId="0" borderId="7" xfId="9" applyNumberFormat="1" applyFont="1" applyBorder="1"/>
    <xf numFmtId="0" fontId="0" fillId="0" borderId="20" xfId="0" applyBorder="1"/>
    <xf numFmtId="4" fontId="19" fillId="0" borderId="8" xfId="9" applyNumberFormat="1" applyFont="1" applyBorder="1" applyAlignment="1">
      <alignment vertical="top" wrapText="1"/>
    </xf>
    <xf numFmtId="4" fontId="0" fillId="0" borderId="9" xfId="0" applyNumberFormat="1" applyBorder="1"/>
    <xf numFmtId="4" fontId="0" fillId="0" borderId="2" xfId="0" applyNumberFormat="1" applyBorder="1"/>
    <xf numFmtId="167" fontId="19" fillId="0" borderId="6" xfId="5" applyNumberFormat="1" applyFont="1" applyFill="1" applyBorder="1" applyAlignment="1">
      <alignment wrapText="1"/>
    </xf>
    <xf numFmtId="0" fontId="41" fillId="0" borderId="7" xfId="0" applyFont="1" applyBorder="1"/>
    <xf numFmtId="0" fontId="50" fillId="0" borderId="8" xfId="0" applyFont="1" applyBorder="1" applyAlignment="1">
      <alignment vertical="top" wrapText="1"/>
    </xf>
    <xf numFmtId="0" fontId="0" fillId="0" borderId="2" xfId="0" applyBorder="1"/>
    <xf numFmtId="2" fontId="41" fillId="0" borderId="9" xfId="0" applyNumberFormat="1" applyFont="1" applyBorder="1"/>
    <xf numFmtId="0" fontId="2" fillId="13" borderId="0" xfId="9" applyFill="1"/>
    <xf numFmtId="0" fontId="67" fillId="13" borderId="1" xfId="0" applyFont="1" applyFill="1" applyBorder="1"/>
    <xf numFmtId="0" fontId="66" fillId="13" borderId="1" xfId="0" applyFont="1" applyFill="1" applyBorder="1"/>
    <xf numFmtId="0" fontId="2" fillId="13" borderId="1" xfId="9" applyFill="1" applyBorder="1"/>
    <xf numFmtId="0" fontId="6" fillId="13" borderId="1" xfId="9" applyFont="1" applyFill="1" applyBorder="1"/>
    <xf numFmtId="4" fontId="2" fillId="13" borderId="1" xfId="9" applyNumberFormat="1" applyFill="1" applyBorder="1"/>
    <xf numFmtId="0" fontId="4" fillId="4" borderId="9" xfId="9" applyFont="1" applyFill="1" applyBorder="1" applyAlignment="1">
      <alignment horizontal="left" vertical="center"/>
    </xf>
    <xf numFmtId="0" fontId="4" fillId="4" borderId="11" xfId="9" applyFont="1" applyFill="1" applyBorder="1" applyAlignment="1">
      <alignment horizontal="left" vertical="center"/>
    </xf>
    <xf numFmtId="4" fontId="3" fillId="4" borderId="11" xfId="9" applyNumberFormat="1" applyFont="1" applyFill="1" applyBorder="1" applyAlignment="1">
      <alignment horizontal="left" vertical="center" wrapText="1"/>
    </xf>
    <xf numFmtId="0" fontId="35" fillId="13" borderId="1" xfId="0" applyFont="1" applyFill="1" applyBorder="1"/>
    <xf numFmtId="0" fontId="58" fillId="0" borderId="0" xfId="0" applyFont="1" applyAlignment="1">
      <alignment vertical="top"/>
    </xf>
    <xf numFmtId="0" fontId="58" fillId="0" borderId="0" xfId="0" applyFont="1"/>
    <xf numFmtId="0" fontId="2" fillId="7" borderId="0" xfId="9" applyFill="1"/>
    <xf numFmtId="0" fontId="54" fillId="7" borderId="1" xfId="0" applyFont="1" applyFill="1" applyBorder="1"/>
    <xf numFmtId="0" fontId="56" fillId="7" borderId="1" xfId="0" applyFont="1" applyFill="1" applyBorder="1"/>
    <xf numFmtId="4" fontId="56" fillId="7" borderId="1" xfId="0" applyNumberFormat="1" applyFont="1" applyFill="1" applyBorder="1"/>
    <xf numFmtId="0" fontId="35" fillId="7" borderId="1" xfId="0" applyFont="1" applyFill="1" applyBorder="1"/>
    <xf numFmtId="4" fontId="20" fillId="0" borderId="0" xfId="9" applyNumberFormat="1" applyFont="1"/>
    <xf numFmtId="4" fontId="19" fillId="0" borderId="6" xfId="9" applyNumberFormat="1" applyFont="1" applyBorder="1" applyAlignment="1">
      <alignment horizontal="center" wrapText="1"/>
    </xf>
    <xf numFmtId="4" fontId="19" fillId="0" borderId="0" xfId="9" applyNumberFormat="1" applyFont="1" applyAlignment="1">
      <alignment horizontal="center" wrapText="1"/>
    </xf>
    <xf numFmtId="4" fontId="19" fillId="0" borderId="8" xfId="9" applyNumberFormat="1" applyFont="1" applyBorder="1" applyAlignment="1">
      <alignment horizontal="center" wrapText="1"/>
    </xf>
    <xf numFmtId="4" fontId="41" fillId="4" borderId="6" xfId="0" applyNumberFormat="1" applyFont="1" applyFill="1" applyBorder="1"/>
    <xf numFmtId="4" fontId="41" fillId="4" borderId="0" xfId="0" applyNumberFormat="1" applyFont="1" applyFill="1"/>
    <xf numFmtId="1" fontId="41" fillId="4" borderId="0" xfId="0" applyNumberFormat="1" applyFont="1" applyFill="1"/>
    <xf numFmtId="167" fontId="50" fillId="0" borderId="0" xfId="6" applyNumberFormat="1" applyFont="1"/>
    <xf numFmtId="169" fontId="2" fillId="0" borderId="0" xfId="3" applyNumberFormat="1" applyFont="1" applyFill="1" applyBorder="1" applyAlignment="1">
      <alignment vertical="top"/>
    </xf>
    <xf numFmtId="4" fontId="19" fillId="0" borderId="12" xfId="9" applyNumberFormat="1" applyFont="1" applyBorder="1" applyAlignment="1">
      <alignment vertical="top" wrapText="1"/>
    </xf>
    <xf numFmtId="4" fontId="19" fillId="0" borderId="15" xfId="9" applyNumberFormat="1" applyFont="1" applyBorder="1" applyAlignment="1">
      <alignment vertical="top" wrapText="1"/>
    </xf>
    <xf numFmtId="4" fontId="19" fillId="0" borderId="0" xfId="9" applyNumberFormat="1" applyFont="1" applyAlignment="1">
      <alignment horizontal="left"/>
    </xf>
    <xf numFmtId="0" fontId="26" fillId="0" borderId="0" xfId="0" applyFont="1"/>
    <xf numFmtId="169" fontId="2" fillId="0" borderId="5" xfId="3" applyNumberFormat="1" applyFont="1" applyFill="1" applyBorder="1" applyAlignment="1">
      <alignment vertical="top"/>
    </xf>
    <xf numFmtId="9" fontId="1" fillId="0" borderId="0" xfId="6" applyFont="1"/>
    <xf numFmtId="2" fontId="2" fillId="13" borderId="1" xfId="9" applyNumberFormat="1" applyFill="1" applyBorder="1"/>
    <xf numFmtId="0" fontId="50" fillId="0" borderId="0" xfId="0" applyFont="1"/>
    <xf numFmtId="4" fontId="20" fillId="0" borderId="15" xfId="9" applyNumberFormat="1" applyFont="1" applyBorder="1"/>
    <xf numFmtId="4" fontId="20" fillId="0" borderId="5" xfId="9" applyNumberFormat="1" applyFont="1" applyBorder="1"/>
    <xf numFmtId="169" fontId="2" fillId="0" borderId="15" xfId="3" applyNumberFormat="1" applyFont="1" applyFill="1" applyBorder="1" applyAlignment="1">
      <alignment vertical="top"/>
    </xf>
    <xf numFmtId="4" fontId="2" fillId="0" borderId="7" xfId="9" applyNumberFormat="1" applyBorder="1"/>
    <xf numFmtId="0" fontId="7" fillId="0" borderId="0" xfId="0" applyFont="1"/>
    <xf numFmtId="0" fontId="68" fillId="0" borderId="0" xfId="0" applyFont="1" applyAlignment="1">
      <alignment vertical="center"/>
    </xf>
    <xf numFmtId="0" fontId="68" fillId="0" borderId="0" xfId="0" applyFont="1"/>
    <xf numFmtId="164" fontId="2" fillId="0" borderId="0" xfId="3" applyFont="1" applyFill="1" applyBorder="1" applyAlignment="1">
      <alignment horizontal="right"/>
    </xf>
    <xf numFmtId="176" fontId="19" fillId="0" borderId="0" xfId="9" applyNumberFormat="1" applyFont="1"/>
    <xf numFmtId="171" fontId="69" fillId="0" borderId="0" xfId="5" applyNumberFormat="1" applyFont="1"/>
    <xf numFmtId="0" fontId="51" fillId="13" borderId="1" xfId="9" applyFont="1" applyFill="1" applyBorder="1"/>
    <xf numFmtId="0" fontId="72" fillId="13" borderId="1" xfId="9" applyFont="1" applyFill="1" applyBorder="1"/>
    <xf numFmtId="2" fontId="72" fillId="13" borderId="1" xfId="9" applyNumberFormat="1" applyFont="1" applyFill="1" applyBorder="1"/>
    <xf numFmtId="0" fontId="14" fillId="0" borderId="10" xfId="0" applyFont="1" applyBorder="1"/>
    <xf numFmtId="0" fontId="14" fillId="4" borderId="0" xfId="0" applyFont="1" applyFill="1"/>
    <xf numFmtId="0" fontId="14" fillId="0" borderId="6" xfId="0" applyFont="1" applyBorder="1"/>
    <xf numFmtId="0" fontId="14" fillId="4" borderId="10" xfId="0" applyFont="1" applyFill="1" applyBorder="1"/>
    <xf numFmtId="0" fontId="3" fillId="4" borderId="0" xfId="9" applyFont="1" applyFill="1" applyAlignment="1">
      <alignment vertical="top" wrapText="1"/>
    </xf>
    <xf numFmtId="0" fontId="58" fillId="4" borderId="0" xfId="0" applyFont="1" applyFill="1" applyAlignment="1">
      <alignment vertical="center" wrapText="1"/>
    </xf>
    <xf numFmtId="0" fontId="70" fillId="4" borderId="0" xfId="0" applyFont="1" applyFill="1" applyAlignment="1">
      <alignment vertical="center" wrapText="1"/>
    </xf>
    <xf numFmtId="0" fontId="70" fillId="4" borderId="0" xfId="0" applyFont="1" applyFill="1" applyAlignment="1">
      <alignment vertical="top" wrapText="1"/>
    </xf>
    <xf numFmtId="0" fontId="70" fillId="4" borderId="0" xfId="0" applyFont="1" applyFill="1" applyAlignment="1">
      <alignment vertical="top"/>
    </xf>
    <xf numFmtId="0" fontId="3" fillId="4" borderId="0" xfId="9" applyFont="1" applyFill="1"/>
    <xf numFmtId="0" fontId="2" fillId="14" borderId="0" xfId="9" applyFill="1"/>
    <xf numFmtId="0" fontId="2" fillId="14" borderId="1" xfId="9" applyFill="1" applyBorder="1"/>
    <xf numFmtId="4" fontId="2" fillId="14" borderId="1" xfId="9" applyNumberFormat="1" applyFill="1" applyBorder="1"/>
    <xf numFmtId="0" fontId="4" fillId="4" borderId="9" xfId="9" applyFont="1" applyFill="1" applyBorder="1" applyAlignment="1">
      <alignment horizontal="left" vertical="center" wrapText="1"/>
    </xf>
    <xf numFmtId="0" fontId="4" fillId="4" borderId="11" xfId="9" applyFont="1" applyFill="1" applyBorder="1" applyAlignment="1">
      <alignment horizontal="left" vertical="center" wrapText="1"/>
    </xf>
    <xf numFmtId="0" fontId="0" fillId="0" borderId="0" xfId="0" applyAlignment="1">
      <alignment vertical="center" wrapText="1"/>
    </xf>
    <xf numFmtId="0" fontId="75" fillId="0" borderId="0" xfId="0" applyFont="1"/>
    <xf numFmtId="4" fontId="3" fillId="0" borderId="1" xfId="9" applyNumberFormat="1" applyFont="1" applyBorder="1"/>
    <xf numFmtId="0" fontId="75" fillId="4" borderId="0" xfId="0" applyFont="1" applyFill="1"/>
    <xf numFmtId="4" fontId="3" fillId="2" borderId="1" xfId="9" applyNumberFormat="1" applyFont="1" applyFill="1" applyBorder="1"/>
    <xf numFmtId="4" fontId="3" fillId="9" borderId="1" xfId="9" applyNumberFormat="1" applyFont="1" applyFill="1" applyBorder="1"/>
    <xf numFmtId="4" fontId="3" fillId="6" borderId="1" xfId="9" applyNumberFormat="1" applyFont="1" applyFill="1" applyBorder="1"/>
    <xf numFmtId="4" fontId="3" fillId="10" borderId="1" xfId="9" applyNumberFormat="1" applyFont="1" applyFill="1" applyBorder="1"/>
    <xf numFmtId="4" fontId="3" fillId="13" borderId="1" xfId="9" applyNumberFormat="1" applyFont="1" applyFill="1" applyBorder="1"/>
    <xf numFmtId="4" fontId="3" fillId="14" borderId="1" xfId="9" applyNumberFormat="1" applyFont="1" applyFill="1" applyBorder="1"/>
    <xf numFmtId="2" fontId="58" fillId="3" borderId="1" xfId="0" applyNumberFormat="1" applyFont="1" applyFill="1" applyBorder="1"/>
    <xf numFmtId="2" fontId="58" fillId="2" borderId="1" xfId="0" applyNumberFormat="1" applyFont="1" applyFill="1" applyBorder="1"/>
    <xf numFmtId="2" fontId="58" fillId="9" borderId="1" xfId="0" applyNumberFormat="1" applyFont="1" applyFill="1" applyBorder="1"/>
    <xf numFmtId="2" fontId="3" fillId="2" borderId="1" xfId="9" applyNumberFormat="1" applyFont="1" applyFill="1" applyBorder="1"/>
    <xf numFmtId="2" fontId="3" fillId="9" borderId="1" xfId="9" applyNumberFormat="1" applyFont="1" applyFill="1" applyBorder="1"/>
    <xf numFmtId="2" fontId="3" fillId="0" borderId="1" xfId="9" applyNumberFormat="1" applyFont="1" applyBorder="1"/>
    <xf numFmtId="2" fontId="58" fillId="13" borderId="1" xfId="0" applyNumberFormat="1" applyFont="1" applyFill="1" applyBorder="1"/>
    <xf numFmtId="2" fontId="3" fillId="13" borderId="1" xfId="9" applyNumberFormat="1" applyFont="1" applyFill="1" applyBorder="1"/>
    <xf numFmtId="2" fontId="3" fillId="3" borderId="1" xfId="9" applyNumberFormat="1" applyFont="1" applyFill="1" applyBorder="1"/>
    <xf numFmtId="0" fontId="3" fillId="13" borderId="1" xfId="9" applyFont="1" applyFill="1" applyBorder="1"/>
    <xf numFmtId="2" fontId="3" fillId="0" borderId="1" xfId="9" applyNumberFormat="1" applyFont="1" applyBorder="1" applyAlignment="1">
      <alignment vertical="top"/>
    </xf>
    <xf numFmtId="4" fontId="3" fillId="0" borderId="1" xfId="9" applyNumberFormat="1" applyFont="1" applyBorder="1" applyAlignment="1">
      <alignment vertical="center"/>
    </xf>
    <xf numFmtId="2" fontId="3" fillId="6" borderId="1" xfId="9" applyNumberFormat="1" applyFont="1" applyFill="1" applyBorder="1"/>
    <xf numFmtId="2" fontId="3" fillId="4" borderId="1" xfId="9" applyNumberFormat="1" applyFont="1" applyFill="1" applyBorder="1"/>
    <xf numFmtId="2" fontId="3" fillId="10" borderId="1" xfId="9" applyNumberFormat="1" applyFont="1" applyFill="1" applyBorder="1"/>
    <xf numFmtId="0" fontId="73" fillId="0" borderId="2" xfId="9" applyFont="1" applyBorder="1"/>
    <xf numFmtId="4" fontId="3" fillId="3" borderId="1" xfId="9" applyNumberFormat="1" applyFont="1" applyFill="1" applyBorder="1"/>
    <xf numFmtId="4" fontId="75" fillId="0" borderId="0" xfId="0" applyNumberFormat="1" applyFont="1"/>
    <xf numFmtId="4" fontId="3" fillId="11" borderId="1" xfId="9" applyNumberFormat="1" applyFont="1" applyFill="1" applyBorder="1"/>
    <xf numFmtId="4" fontId="3" fillId="2" borderId="1" xfId="9" applyNumberFormat="1" applyFont="1" applyFill="1" applyBorder="1" applyAlignment="1">
      <alignment horizontal="right"/>
    </xf>
    <xf numFmtId="4" fontId="3" fillId="6" borderId="1" xfId="9" applyNumberFormat="1" applyFont="1" applyFill="1" applyBorder="1" applyAlignment="1">
      <alignment horizontal="right"/>
    </xf>
    <xf numFmtId="4" fontId="36" fillId="10" borderId="1" xfId="0" applyNumberFormat="1" applyFont="1" applyFill="1" applyBorder="1"/>
    <xf numFmtId="4" fontId="36" fillId="0" borderId="0" xfId="0" applyNumberFormat="1" applyFont="1"/>
    <xf numFmtId="4" fontId="36" fillId="13" borderId="1" xfId="0" applyNumberFormat="1" applyFont="1" applyFill="1" applyBorder="1"/>
    <xf numFmtId="4" fontId="36" fillId="7" borderId="1" xfId="0" applyNumberFormat="1" applyFont="1" applyFill="1" applyBorder="1"/>
    <xf numFmtId="0" fontId="36" fillId="6" borderId="1" xfId="0" applyFont="1" applyFill="1" applyBorder="1"/>
    <xf numFmtId="0" fontId="52" fillId="13" borderId="1" xfId="9" applyFont="1" applyFill="1" applyBorder="1"/>
    <xf numFmtId="2" fontId="52" fillId="13" borderId="1" xfId="9" applyNumberFormat="1" applyFont="1" applyFill="1" applyBorder="1"/>
    <xf numFmtId="4" fontId="36" fillId="0" borderId="1" xfId="0" applyNumberFormat="1" applyFont="1" applyBorder="1"/>
    <xf numFmtId="4" fontId="6" fillId="2" borderId="1" xfId="9" applyNumberFormat="1" applyFont="1" applyFill="1" applyBorder="1"/>
    <xf numFmtId="4" fontId="6" fillId="9" borderId="1" xfId="9" applyNumberFormat="1" applyFont="1" applyFill="1" applyBorder="1"/>
    <xf numFmtId="4" fontId="6" fillId="0" borderId="1" xfId="9" applyNumberFormat="1" applyFont="1" applyBorder="1"/>
    <xf numFmtId="4" fontId="6" fillId="13" borderId="1" xfId="9" applyNumberFormat="1" applyFont="1" applyFill="1" applyBorder="1"/>
    <xf numFmtId="4" fontId="6" fillId="3" borderId="1" xfId="9" applyNumberFormat="1" applyFont="1" applyFill="1" applyBorder="1"/>
    <xf numFmtId="4" fontId="6" fillId="0" borderId="1" xfId="9" applyNumberFormat="1" applyFont="1" applyBorder="1" applyAlignment="1">
      <alignment vertical="top"/>
    </xf>
    <xf numFmtId="4" fontId="6" fillId="6" borderId="1" xfId="9" applyNumberFormat="1" applyFont="1" applyFill="1" applyBorder="1"/>
    <xf numFmtId="4" fontId="2" fillId="0" borderId="1" xfId="9" applyNumberFormat="1" applyBorder="1" applyAlignment="1">
      <alignment vertical="top"/>
    </xf>
    <xf numFmtId="4" fontId="6" fillId="4" borderId="1" xfId="9" applyNumberFormat="1" applyFont="1" applyFill="1" applyBorder="1"/>
    <xf numFmtId="4" fontId="6" fillId="10" borderId="1" xfId="9" applyNumberFormat="1" applyFont="1" applyFill="1" applyBorder="1"/>
    <xf numFmtId="4" fontId="5" fillId="0" borderId="2" xfId="9" applyNumberFormat="1" applyFont="1" applyBorder="1"/>
    <xf numFmtId="4" fontId="3" fillId="4" borderId="0" xfId="9" applyNumberFormat="1" applyFont="1" applyFill="1" applyAlignment="1">
      <alignment vertical="top" wrapText="1"/>
    </xf>
    <xf numFmtId="4" fontId="70" fillId="4" borderId="0" xfId="0" applyNumberFormat="1" applyFont="1" applyFill="1" applyAlignment="1">
      <alignment vertical="top" wrapText="1"/>
    </xf>
    <xf numFmtId="4" fontId="3" fillId="4" borderId="0" xfId="9" applyNumberFormat="1" applyFont="1" applyFill="1"/>
    <xf numFmtId="4" fontId="70" fillId="4" borderId="0" xfId="0" applyNumberFormat="1" applyFont="1" applyFill="1" applyAlignment="1">
      <alignment vertical="top"/>
    </xf>
    <xf numFmtId="4" fontId="58" fillId="4" borderId="0" xfId="0" applyNumberFormat="1" applyFont="1" applyFill="1" applyAlignment="1">
      <alignment vertical="center" wrapText="1"/>
    </xf>
    <xf numFmtId="4" fontId="72" fillId="13" borderId="1" xfId="9" applyNumberFormat="1" applyFont="1" applyFill="1" applyBorder="1"/>
    <xf numFmtId="4" fontId="70" fillId="4" borderId="0" xfId="0" applyNumberFormat="1" applyFont="1" applyFill="1" applyAlignment="1">
      <alignment vertical="center" wrapText="1"/>
    </xf>
    <xf numFmtId="4" fontId="34" fillId="4" borderId="5" xfId="0" applyNumberFormat="1" applyFont="1" applyFill="1" applyBorder="1" applyAlignment="1">
      <alignment horizontal="left" vertical="top" wrapText="1"/>
    </xf>
    <xf numFmtId="4" fontId="34" fillId="4" borderId="9" xfId="0" applyNumberFormat="1" applyFont="1" applyFill="1" applyBorder="1" applyAlignment="1">
      <alignment horizontal="left" vertical="top" wrapText="1"/>
    </xf>
    <xf numFmtId="0" fontId="2" fillId="0" borderId="21" xfId="9" applyBorder="1"/>
    <xf numFmtId="0" fontId="2" fillId="0" borderId="20" xfId="9" applyBorder="1"/>
    <xf numFmtId="2" fontId="3" fillId="0" borderId="20" xfId="9" applyNumberFormat="1" applyFont="1" applyBorder="1"/>
    <xf numFmtId="2" fontId="6" fillId="0" borderId="20" xfId="9" applyNumberFormat="1" applyFont="1" applyBorder="1"/>
    <xf numFmtId="4" fontId="6" fillId="0" borderId="20" xfId="9" applyNumberFormat="1" applyFont="1" applyBorder="1"/>
    <xf numFmtId="168" fontId="2" fillId="2" borderId="1" xfId="9" applyNumberFormat="1" applyFill="1" applyBorder="1"/>
    <xf numFmtId="168" fontId="2" fillId="0" borderId="1" xfId="9" applyNumberFormat="1" applyBorder="1"/>
    <xf numFmtId="168" fontId="2" fillId="9" borderId="1" xfId="9" applyNumberFormat="1" applyFill="1" applyBorder="1"/>
    <xf numFmtId="168" fontId="2" fillId="6" borderId="1" xfId="9" applyNumberFormat="1" applyFill="1" applyBorder="1"/>
    <xf numFmtId="168" fontId="2" fillId="10" borderId="1" xfId="9" applyNumberFormat="1" applyFill="1" applyBorder="1"/>
    <xf numFmtId="168" fontId="2" fillId="13" borderId="1" xfId="9" applyNumberFormat="1" applyFill="1" applyBorder="1"/>
    <xf numFmtId="168" fontId="6" fillId="2" borderId="1" xfId="9" applyNumberFormat="1" applyFont="1" applyFill="1" applyBorder="1"/>
    <xf numFmtId="168" fontId="6" fillId="9" borderId="1" xfId="9" applyNumberFormat="1" applyFont="1" applyFill="1" applyBorder="1"/>
    <xf numFmtId="168" fontId="6" fillId="0" borderId="1" xfId="9" applyNumberFormat="1" applyFont="1" applyBorder="1"/>
    <xf numFmtId="168" fontId="6" fillId="13" borderId="1" xfId="9" applyNumberFormat="1" applyFont="1" applyFill="1" applyBorder="1"/>
    <xf numFmtId="168" fontId="6" fillId="3" borderId="1" xfId="9" applyNumberFormat="1" applyFont="1" applyFill="1" applyBorder="1"/>
    <xf numFmtId="168" fontId="0" fillId="0" borderId="0" xfId="0" applyNumberFormat="1"/>
    <xf numFmtId="168" fontId="6" fillId="0" borderId="1" xfId="9" applyNumberFormat="1" applyFont="1" applyBorder="1" applyAlignment="1">
      <alignment vertical="top"/>
    </xf>
    <xf numFmtId="168" fontId="2" fillId="0" borderId="1" xfId="9" applyNumberFormat="1" applyBorder="1" applyAlignment="1">
      <alignment vertical="center"/>
    </xf>
    <xf numFmtId="168" fontId="6" fillId="6" borderId="1" xfId="9" applyNumberFormat="1" applyFont="1" applyFill="1" applyBorder="1"/>
    <xf numFmtId="168" fontId="2" fillId="0" borderId="1" xfId="9" applyNumberFormat="1" applyBorder="1" applyAlignment="1">
      <alignment vertical="top"/>
    </xf>
    <xf numFmtId="168" fontId="6" fillId="10" borderId="1" xfId="9" applyNumberFormat="1" applyFont="1" applyFill="1" applyBorder="1"/>
    <xf numFmtId="168" fontId="2" fillId="3" borderId="1" xfId="9" applyNumberFormat="1" applyFill="1" applyBorder="1"/>
    <xf numFmtId="168" fontId="2" fillId="0" borderId="0" xfId="9" applyNumberFormat="1"/>
    <xf numFmtId="168" fontId="0" fillId="4" borderId="0" xfId="0" applyNumberFormat="1" applyFill="1"/>
    <xf numFmtId="168" fontId="2" fillId="11" borderId="1" xfId="9" applyNumberFormat="1" applyFill="1" applyBorder="1"/>
    <xf numFmtId="168" fontId="2" fillId="2" borderId="1" xfId="9" applyNumberFormat="1" applyFill="1" applyBorder="1" applyAlignment="1">
      <alignment horizontal="right"/>
    </xf>
    <xf numFmtId="168" fontId="2" fillId="6" borderId="1" xfId="9" applyNumberFormat="1" applyFill="1" applyBorder="1" applyAlignment="1">
      <alignment horizontal="right"/>
    </xf>
    <xf numFmtId="4" fontId="2" fillId="0" borderId="1" xfId="9" applyNumberFormat="1" applyBorder="1" applyAlignment="1">
      <alignment vertical="center" wrapText="1"/>
    </xf>
    <xf numFmtId="4" fontId="3" fillId="4" borderId="11" xfId="9" applyNumberFormat="1" applyFont="1" applyFill="1" applyBorder="1" applyAlignment="1">
      <alignment horizontal="center" vertical="center" wrapText="1"/>
    </xf>
    <xf numFmtId="0" fontId="0" fillId="0" borderId="0" xfId="0" applyAlignment="1">
      <alignment vertical="top" wrapText="1"/>
    </xf>
    <xf numFmtId="0" fontId="76" fillId="0" borderId="0" xfId="0" applyFont="1" applyAlignment="1">
      <alignment vertical="top" wrapText="1"/>
    </xf>
    <xf numFmtId="0" fontId="77" fillId="0" borderId="0" xfId="0" applyFont="1" applyAlignment="1">
      <alignment vertical="top" wrapText="1"/>
    </xf>
    <xf numFmtId="0" fontId="0" fillId="0" borderId="1" xfId="0" applyBorder="1" applyAlignment="1">
      <alignment vertical="top" wrapText="1"/>
    </xf>
    <xf numFmtId="0" fontId="4" fillId="4" borderId="9" xfId="9" applyFont="1" applyFill="1" applyBorder="1" applyAlignment="1">
      <alignment horizontal="center" vertical="top" wrapText="1"/>
    </xf>
    <xf numFmtId="14" fontId="0" fillId="0" borderId="1" xfId="0" applyNumberFormat="1" applyBorder="1" applyAlignment="1">
      <alignment horizontal="center" vertical="top"/>
    </xf>
    <xf numFmtId="0" fontId="0" fillId="0" borderId="0" xfId="0" applyAlignment="1">
      <alignment horizontal="center" vertical="top"/>
    </xf>
    <xf numFmtId="0" fontId="67" fillId="14" borderId="1" xfId="0" applyFont="1" applyFill="1" applyBorder="1"/>
    <xf numFmtId="4" fontId="36" fillId="14" borderId="1" xfId="0" applyNumberFormat="1" applyFont="1" applyFill="1" applyBorder="1"/>
    <xf numFmtId="0" fontId="35" fillId="14" borderId="1" xfId="0" applyFont="1" applyFill="1" applyBorder="1"/>
    <xf numFmtId="0" fontId="35" fillId="6" borderId="1" xfId="0" applyFont="1" applyFill="1" applyBorder="1"/>
    <xf numFmtId="0" fontId="3" fillId="4" borderId="9" xfId="9" applyFont="1" applyFill="1" applyBorder="1" applyAlignment="1">
      <alignment horizontal="left" vertical="center" wrapText="1"/>
    </xf>
    <xf numFmtId="10" fontId="50" fillId="0" borderId="0" xfId="6" applyNumberFormat="1" applyFont="1"/>
    <xf numFmtId="174" fontId="0" fillId="0" borderId="0" xfId="0" applyNumberFormat="1"/>
    <xf numFmtId="17" fontId="0" fillId="0" borderId="0" xfId="0" quotePrefix="1" applyNumberFormat="1"/>
    <xf numFmtId="0" fontId="34" fillId="4" borderId="15" xfId="0" applyFont="1" applyFill="1" applyBorder="1"/>
    <xf numFmtId="0" fontId="0" fillId="4" borderId="15" xfId="0" applyFill="1" applyBorder="1"/>
    <xf numFmtId="0" fontId="75" fillId="4" borderId="15" xfId="0" applyFont="1" applyFill="1" applyBorder="1"/>
    <xf numFmtId="4" fontId="36" fillId="10" borderId="10" xfId="0" applyNumberFormat="1" applyFont="1" applyFill="1" applyBorder="1"/>
    <xf numFmtId="0" fontId="54" fillId="10" borderId="10" xfId="0" applyFont="1" applyFill="1" applyBorder="1"/>
    <xf numFmtId="0" fontId="56" fillId="10" borderId="10" xfId="0" applyFont="1" applyFill="1" applyBorder="1"/>
    <xf numFmtId="4" fontId="75" fillId="0" borderId="10" xfId="0" applyNumberFormat="1" applyFont="1" applyBorder="1"/>
    <xf numFmtId="0" fontId="54" fillId="6" borderId="10" xfId="0" applyFont="1" applyFill="1" applyBorder="1"/>
    <xf numFmtId="0" fontId="56" fillId="6" borderId="10" xfId="0" applyFont="1" applyFill="1" applyBorder="1"/>
    <xf numFmtId="4" fontId="36" fillId="6" borderId="10" xfId="0" applyNumberFormat="1" applyFont="1" applyFill="1" applyBorder="1"/>
    <xf numFmtId="0" fontId="54" fillId="7" borderId="10" xfId="0" applyFont="1" applyFill="1" applyBorder="1"/>
    <xf numFmtId="0" fontId="56" fillId="7" borderId="10" xfId="0" applyFont="1" applyFill="1" applyBorder="1"/>
    <xf numFmtId="4" fontId="36" fillId="7" borderId="10" xfId="0" applyNumberFormat="1" applyFont="1" applyFill="1" applyBorder="1"/>
    <xf numFmtId="0" fontId="54" fillId="12" borderId="10" xfId="0" applyFont="1" applyFill="1" applyBorder="1"/>
    <xf numFmtId="0" fontId="56" fillId="12" borderId="10" xfId="0" applyFont="1" applyFill="1" applyBorder="1"/>
    <xf numFmtId="4" fontId="36" fillId="12" borderId="10" xfId="0" applyNumberFormat="1" applyFont="1" applyFill="1" applyBorder="1"/>
    <xf numFmtId="0" fontId="54" fillId="15" borderId="10" xfId="0" applyFont="1" applyFill="1" applyBorder="1"/>
    <xf numFmtId="0" fontId="56" fillId="15" borderId="10" xfId="0" applyFont="1" applyFill="1" applyBorder="1"/>
    <xf numFmtId="0" fontId="35" fillId="10" borderId="10" xfId="0" applyFont="1" applyFill="1" applyBorder="1"/>
    <xf numFmtId="0" fontId="51" fillId="13" borderId="10" xfId="9" applyFont="1" applyFill="1" applyBorder="1"/>
    <xf numFmtId="0" fontId="72" fillId="13" borderId="10" xfId="9" applyFont="1" applyFill="1" applyBorder="1"/>
    <xf numFmtId="2" fontId="52" fillId="13" borderId="10" xfId="9" applyNumberFormat="1" applyFont="1" applyFill="1" applyBorder="1"/>
    <xf numFmtId="0" fontId="54" fillId="10" borderId="11" xfId="0" applyFont="1" applyFill="1" applyBorder="1"/>
    <xf numFmtId="0" fontId="56" fillId="10" borderId="11" xfId="0" applyFont="1" applyFill="1" applyBorder="1"/>
    <xf numFmtId="4" fontId="36" fillId="10" borderId="11" xfId="0" applyNumberFormat="1" applyFont="1" applyFill="1" applyBorder="1"/>
    <xf numFmtId="0" fontId="35" fillId="10" borderId="1" xfId="0" applyFont="1" applyFill="1" applyBorder="1"/>
    <xf numFmtId="4" fontId="75" fillId="0" borderId="1" xfId="0" applyNumberFormat="1" applyFont="1" applyBorder="1"/>
    <xf numFmtId="4" fontId="36" fillId="11" borderId="1" xfId="0" applyNumberFormat="1" applyFont="1" applyFill="1" applyBorder="1"/>
    <xf numFmtId="0" fontId="34" fillId="4" borderId="0" xfId="0" applyFont="1" applyFill="1" applyAlignment="1">
      <alignment vertical="center"/>
    </xf>
    <xf numFmtId="0" fontId="0" fillId="4" borderId="0" xfId="0" applyFill="1" applyAlignment="1">
      <alignment vertical="center"/>
    </xf>
    <xf numFmtId="0" fontId="75" fillId="4" borderId="0" xfId="0" applyFont="1" applyFill="1" applyAlignment="1">
      <alignment vertical="center"/>
    </xf>
    <xf numFmtId="0" fontId="51" fillId="14" borderId="2" xfId="9" applyFont="1" applyFill="1" applyBorder="1"/>
    <xf numFmtId="0" fontId="51" fillId="0" borderId="2" xfId="9" applyFont="1" applyBorder="1"/>
    <xf numFmtId="0" fontId="51" fillId="2" borderId="2" xfId="9" applyFont="1" applyFill="1" applyBorder="1"/>
    <xf numFmtId="0" fontId="51" fillId="0" borderId="1" xfId="9" applyFont="1" applyBorder="1"/>
    <xf numFmtId="0" fontId="51" fillId="2" borderId="1" xfId="9" applyFont="1" applyFill="1" applyBorder="1"/>
    <xf numFmtId="0" fontId="51" fillId="6" borderId="2" xfId="9" applyFont="1" applyFill="1" applyBorder="1"/>
    <xf numFmtId="0" fontId="51" fillId="11" borderId="2" xfId="9" applyFont="1" applyFill="1" applyBorder="1"/>
    <xf numFmtId="0" fontId="51" fillId="13" borderId="2" xfId="9" applyFont="1" applyFill="1" applyBorder="1"/>
    <xf numFmtId="0" fontId="51" fillId="0" borderId="0" xfId="9" applyFont="1"/>
    <xf numFmtId="0" fontId="79" fillId="0" borderId="2" xfId="9" applyFont="1" applyBorder="1" applyAlignment="1">
      <alignment vertical="center"/>
    </xf>
    <xf numFmtId="0" fontId="51" fillId="3" borderId="2" xfId="9" applyFont="1" applyFill="1" applyBorder="1"/>
    <xf numFmtId="0" fontId="51" fillId="6" borderId="2" xfId="10" applyFont="1" applyFill="1" applyBorder="1"/>
    <xf numFmtId="0" fontId="51" fillId="13" borderId="2" xfId="10" applyFont="1" applyFill="1" applyBorder="1"/>
    <xf numFmtId="0" fontId="51" fillId="0" borderId="2" xfId="9" applyFont="1" applyBorder="1" applyAlignment="1">
      <alignment vertical="top"/>
    </xf>
    <xf numFmtId="0" fontId="51" fillId="0" borderId="2" xfId="9" applyFont="1" applyBorder="1" applyAlignment="1">
      <alignment vertical="center"/>
    </xf>
    <xf numFmtId="0" fontId="51" fillId="10" borderId="2" xfId="9" applyFont="1" applyFill="1" applyBorder="1"/>
    <xf numFmtId="0" fontId="51" fillId="9" borderId="2" xfId="9" applyFont="1" applyFill="1" applyBorder="1"/>
    <xf numFmtId="0" fontId="51" fillId="9" borderId="1" xfId="9" applyFont="1" applyFill="1" applyBorder="1"/>
    <xf numFmtId="0" fontId="51" fillId="3" borderId="1" xfId="9" applyFont="1" applyFill="1" applyBorder="1"/>
    <xf numFmtId="168" fontId="2" fillId="14" borderId="1" xfId="9" applyNumberFormat="1" applyFill="1" applyBorder="1"/>
    <xf numFmtId="0" fontId="3" fillId="4" borderId="0" xfId="9" applyFont="1" applyFill="1" applyAlignment="1">
      <alignment vertical="center" wrapText="1"/>
    </xf>
    <xf numFmtId="4" fontId="3" fillId="4" borderId="0" xfId="9" applyNumberFormat="1" applyFont="1" applyFill="1" applyAlignment="1">
      <alignment vertical="center" wrapText="1"/>
    </xf>
    <xf numFmtId="0" fontId="0" fillId="0" borderId="16" xfId="0" applyBorder="1" applyAlignment="1">
      <alignment vertical="top"/>
    </xf>
    <xf numFmtId="4" fontId="19" fillId="0" borderId="0" xfId="9" applyNumberFormat="1" applyFont="1" applyAlignment="1">
      <alignment vertical="top"/>
    </xf>
    <xf numFmtId="4" fontId="19" fillId="0" borderId="0" xfId="9" applyNumberFormat="1" applyFont="1" applyAlignment="1">
      <alignment horizontal="center"/>
    </xf>
    <xf numFmtId="0" fontId="0" fillId="0" borderId="0" xfId="0" quotePrefix="1" applyAlignment="1">
      <alignment horizontal="center"/>
    </xf>
    <xf numFmtId="167" fontId="50" fillId="0" borderId="0" xfId="6" applyNumberFormat="1" applyFont="1" applyAlignment="1">
      <alignment horizontal="center"/>
    </xf>
    <xf numFmtId="17" fontId="97" fillId="0" borderId="0" xfId="0" quotePrefix="1" applyNumberFormat="1" applyFont="1"/>
    <xf numFmtId="0" fontId="97" fillId="0" borderId="0" xfId="0" quotePrefix="1" applyFont="1"/>
    <xf numFmtId="0" fontId="97" fillId="0" borderId="0" xfId="0" applyFont="1"/>
    <xf numFmtId="0" fontId="2" fillId="16" borderId="0" xfId="9" applyFill="1"/>
    <xf numFmtId="0" fontId="2" fillId="16" borderId="1" xfId="9" applyFill="1" applyBorder="1"/>
    <xf numFmtId="0" fontId="51" fillId="16" borderId="2" xfId="9" applyFont="1" applyFill="1" applyBorder="1"/>
    <xf numFmtId="0" fontId="54" fillId="16" borderId="1" xfId="0" applyFont="1" applyFill="1" applyBorder="1"/>
    <xf numFmtId="0" fontId="56" fillId="16" borderId="1" xfId="0" applyFont="1" applyFill="1" applyBorder="1"/>
    <xf numFmtId="4" fontId="36" fillId="16" borderId="1" xfId="0" applyNumberFormat="1" applyFont="1" applyFill="1" applyBorder="1"/>
    <xf numFmtId="4" fontId="56" fillId="16" borderId="1" xfId="0" applyNumberFormat="1" applyFont="1" applyFill="1" applyBorder="1"/>
    <xf numFmtId="4" fontId="35" fillId="16" borderId="1" xfId="0" applyNumberFormat="1" applyFont="1" applyFill="1" applyBorder="1"/>
    <xf numFmtId="0" fontId="35" fillId="16" borderId="1" xfId="0" applyFont="1" applyFill="1" applyBorder="1"/>
    <xf numFmtId="14" fontId="72" fillId="16" borderId="0" xfId="9" applyNumberFormat="1" applyFont="1" applyFill="1" applyAlignment="1">
      <alignment vertical="center"/>
    </xf>
    <xf numFmtId="14" fontId="0" fillId="0" borderId="0" xfId="0" applyNumberFormat="1" applyAlignment="1">
      <alignment horizontal="center" vertical="top"/>
    </xf>
    <xf numFmtId="0" fontId="8" fillId="0" borderId="0" xfId="0" applyFont="1" applyAlignment="1">
      <alignment vertical="top" wrapText="1"/>
    </xf>
    <xf numFmtId="4" fontId="2" fillId="16" borderId="1" xfId="9" applyNumberFormat="1" applyFill="1" applyBorder="1"/>
    <xf numFmtId="4" fontId="3" fillId="16" borderId="1" xfId="9" applyNumberFormat="1" applyFont="1" applyFill="1" applyBorder="1"/>
    <xf numFmtId="0" fontId="50" fillId="0" borderId="0" xfId="6" applyNumberFormat="1" applyFont="1"/>
    <xf numFmtId="49" fontId="19" fillId="0" borderId="0" xfId="9" applyNumberFormat="1" applyFont="1" applyAlignment="1">
      <alignment horizontal="center"/>
    </xf>
    <xf numFmtId="49" fontId="19" fillId="0" borderId="0" xfId="9" applyNumberFormat="1" applyFont="1" applyAlignment="1">
      <alignment horizontal="center" vertical="center"/>
    </xf>
    <xf numFmtId="0" fontId="0" fillId="0" borderId="0" xfId="0" applyAlignment="1">
      <alignment horizontal="center"/>
    </xf>
    <xf numFmtId="0" fontId="34" fillId="4" borderId="0" xfId="0" applyFont="1" applyFill="1" applyAlignment="1">
      <alignment horizontal="left" vertical="center"/>
    </xf>
    <xf numFmtId="4" fontId="0" fillId="4" borderId="0" xfId="0" applyNumberFormat="1" applyFill="1" applyAlignment="1">
      <alignment vertical="center"/>
    </xf>
    <xf numFmtId="0" fontId="0" fillId="4" borderId="0" xfId="0" applyFill="1" applyAlignment="1">
      <alignment vertical="top"/>
    </xf>
    <xf numFmtId="4" fontId="0" fillId="4" borderId="0" xfId="0" applyNumberFormat="1" applyFill="1" applyAlignment="1">
      <alignment vertical="top"/>
    </xf>
    <xf numFmtId="4" fontId="0" fillId="0" borderId="0" xfId="0" applyNumberFormat="1" applyAlignment="1">
      <alignment vertical="top"/>
    </xf>
    <xf numFmtId="14" fontId="98" fillId="0" borderId="0" xfId="0" applyNumberFormat="1" applyFont="1" applyAlignment="1">
      <alignment vertical="center"/>
    </xf>
    <xf numFmtId="14" fontId="72" fillId="0" borderId="0" xfId="9" applyNumberFormat="1" applyFont="1" applyAlignment="1">
      <alignment vertical="center"/>
    </xf>
    <xf numFmtId="14" fontId="98" fillId="4" borderId="0" xfId="0" applyNumberFormat="1" applyFont="1" applyFill="1" applyAlignment="1">
      <alignment vertical="center"/>
    </xf>
    <xf numFmtId="4" fontId="35" fillId="10" borderId="21" xfId="0" applyNumberFormat="1" applyFont="1" applyFill="1" applyBorder="1"/>
    <xf numFmtId="4" fontId="35" fillId="0" borderId="0" xfId="0" applyNumberFormat="1" applyFont="1"/>
    <xf numFmtId="4" fontId="3" fillId="17" borderId="1" xfId="9" applyNumberFormat="1" applyFont="1" applyFill="1" applyBorder="1"/>
    <xf numFmtId="2" fontId="41" fillId="0" borderId="0" xfId="0" applyNumberFormat="1" applyFont="1"/>
    <xf numFmtId="14" fontId="0" fillId="0" borderId="1" xfId="0" applyNumberFormat="1" applyBorder="1" applyAlignment="1">
      <alignment horizontal="center" vertical="top" wrapText="1"/>
    </xf>
    <xf numFmtId="0" fontId="3" fillId="0" borderId="1" xfId="9" applyFont="1" applyBorder="1"/>
    <xf numFmtId="14" fontId="0" fillId="0" borderId="2" xfId="0" applyNumberFormat="1" applyBorder="1" applyAlignment="1">
      <alignment horizontal="center" vertical="top" wrapText="1"/>
    </xf>
    <xf numFmtId="10" fontId="50" fillId="0" borderId="0" xfId="6" applyNumberFormat="1" applyFont="1" applyFill="1"/>
    <xf numFmtId="0" fontId="96" fillId="0" borderId="0" xfId="0" applyFont="1"/>
    <xf numFmtId="2" fontId="3" fillId="13" borderId="1" xfId="0" applyNumberFormat="1" applyFont="1" applyFill="1" applyBorder="1"/>
    <xf numFmtId="0" fontId="0" fillId="18" borderId="0" xfId="0" applyFill="1"/>
    <xf numFmtId="10" fontId="19" fillId="0" borderId="0" xfId="6" applyNumberFormat="1" applyFont="1"/>
    <xf numFmtId="175" fontId="50" fillId="0" borderId="0" xfId="6" applyNumberFormat="1" applyFont="1"/>
    <xf numFmtId="171" fontId="0" fillId="0" borderId="0" xfId="0" applyNumberFormat="1"/>
    <xf numFmtId="4" fontId="0" fillId="0" borderId="0" xfId="0" applyNumberFormat="1" applyAlignment="1">
      <alignment horizontal="center"/>
    </xf>
    <xf numFmtId="4" fontId="2" fillId="0" borderId="1" xfId="9" applyNumberFormat="1" applyBorder="1" applyAlignment="1">
      <alignment horizontal="center"/>
    </xf>
    <xf numFmtId="4" fontId="0" fillId="4" borderId="0" xfId="0" applyNumberFormat="1" applyFill="1" applyAlignment="1">
      <alignment horizontal="center"/>
    </xf>
    <xf numFmtId="4" fontId="2" fillId="2" borderId="1" xfId="9" applyNumberFormat="1" applyFill="1" applyBorder="1" applyAlignment="1">
      <alignment horizontal="center"/>
    </xf>
    <xf numFmtId="4" fontId="2" fillId="9" borderId="1" xfId="9" applyNumberFormat="1" applyFill="1" applyBorder="1" applyAlignment="1">
      <alignment horizontal="center"/>
    </xf>
    <xf numFmtId="4" fontId="2" fillId="6" borderId="1" xfId="9" applyNumberFormat="1" applyFill="1" applyBorder="1" applyAlignment="1">
      <alignment horizontal="center"/>
    </xf>
    <xf numFmtId="4" fontId="2" fillId="10" borderId="1" xfId="9" applyNumberFormat="1" applyFill="1" applyBorder="1" applyAlignment="1">
      <alignment horizontal="center"/>
    </xf>
    <xf numFmtId="4" fontId="2" fillId="13" borderId="1" xfId="9" applyNumberFormat="1" applyFill="1" applyBorder="1" applyAlignment="1">
      <alignment horizontal="center"/>
    </xf>
    <xf numFmtId="4" fontId="2" fillId="14" borderId="1" xfId="9" applyNumberFormat="1" applyFill="1" applyBorder="1" applyAlignment="1">
      <alignment horizontal="center"/>
    </xf>
    <xf numFmtId="4" fontId="2" fillId="16" borderId="1" xfId="9" applyNumberFormat="1" applyFill="1" applyBorder="1" applyAlignment="1">
      <alignment horizontal="center"/>
    </xf>
    <xf numFmtId="4" fontId="34" fillId="4" borderId="9" xfId="0" applyNumberFormat="1" applyFont="1" applyFill="1" applyBorder="1" applyAlignment="1">
      <alignment horizontal="center" vertical="top" wrapText="1"/>
    </xf>
    <xf numFmtId="4" fontId="6" fillId="2" borderId="1" xfId="9" applyNumberFormat="1" applyFont="1" applyFill="1" applyBorder="1" applyAlignment="1">
      <alignment horizontal="center"/>
    </xf>
    <xf numFmtId="4" fontId="6" fillId="9" borderId="1" xfId="9" applyNumberFormat="1" applyFont="1" applyFill="1" applyBorder="1" applyAlignment="1">
      <alignment horizontal="center"/>
    </xf>
    <xf numFmtId="4" fontId="6" fillId="0" borderId="1" xfId="9" applyNumberFormat="1" applyFont="1" applyBorder="1" applyAlignment="1">
      <alignment horizontal="center"/>
    </xf>
    <xf numFmtId="4" fontId="13" fillId="13" borderId="1" xfId="0" applyNumberFormat="1" applyFont="1" applyFill="1" applyBorder="1" applyAlignment="1">
      <alignment horizontal="center"/>
    </xf>
    <xf numFmtId="4" fontId="6" fillId="13" borderId="1" xfId="9" applyNumberFormat="1" applyFont="1" applyFill="1" applyBorder="1" applyAlignment="1">
      <alignment horizontal="center"/>
    </xf>
    <xf numFmtId="4" fontId="6" fillId="3" borderId="1" xfId="9" applyNumberFormat="1" applyFont="1" applyFill="1" applyBorder="1" applyAlignment="1">
      <alignment horizontal="center"/>
    </xf>
    <xf numFmtId="4" fontId="6" fillId="0" borderId="1" xfId="9" applyNumberFormat="1" applyFont="1" applyBorder="1" applyAlignment="1">
      <alignment horizontal="center" vertical="top"/>
    </xf>
    <xf numFmtId="4" fontId="2" fillId="0" borderId="1" xfId="9" applyNumberFormat="1" applyBorder="1" applyAlignment="1">
      <alignment horizontal="center" vertical="center"/>
    </xf>
    <xf numFmtId="4" fontId="6" fillId="6" borderId="1" xfId="9" applyNumberFormat="1" applyFont="1" applyFill="1" applyBorder="1" applyAlignment="1">
      <alignment horizontal="center"/>
    </xf>
    <xf numFmtId="4" fontId="2" fillId="0" borderId="1" xfId="9" applyNumberFormat="1" applyBorder="1" applyAlignment="1">
      <alignment horizontal="center" vertical="top"/>
    </xf>
    <xf numFmtId="4" fontId="6" fillId="4" borderId="1" xfId="9" applyNumberFormat="1" applyFont="1" applyFill="1" applyBorder="1" applyAlignment="1">
      <alignment horizontal="center"/>
    </xf>
    <xf numFmtId="4" fontId="6" fillId="10" borderId="1" xfId="9" applyNumberFormat="1" applyFont="1" applyFill="1" applyBorder="1" applyAlignment="1">
      <alignment horizontal="center"/>
    </xf>
    <xf numFmtId="4" fontId="5" fillId="0" borderId="2" xfId="9" applyNumberFormat="1" applyFont="1" applyBorder="1" applyAlignment="1">
      <alignment horizontal="center"/>
    </xf>
    <xf numFmtId="4" fontId="6" fillId="0" borderId="20" xfId="9" applyNumberFormat="1" applyFont="1" applyBorder="1" applyAlignment="1">
      <alignment horizontal="center"/>
    </xf>
    <xf numFmtId="4" fontId="2" fillId="3" borderId="1" xfId="9" applyNumberFormat="1" applyFill="1" applyBorder="1" applyAlignment="1">
      <alignment horizontal="center"/>
    </xf>
    <xf numFmtId="4" fontId="2" fillId="0" borderId="0" xfId="9" applyNumberFormat="1" applyAlignment="1">
      <alignment horizontal="center"/>
    </xf>
    <xf numFmtId="4" fontId="2" fillId="11" borderId="1" xfId="9" applyNumberFormat="1" applyFill="1" applyBorder="1" applyAlignment="1">
      <alignment horizontal="center"/>
    </xf>
    <xf numFmtId="4" fontId="0" fillId="4" borderId="0" xfId="0" applyNumberFormat="1" applyFill="1" applyAlignment="1">
      <alignment horizontal="center" vertical="center"/>
    </xf>
    <xf numFmtId="4" fontId="0" fillId="4" borderId="0" xfId="0" applyNumberFormat="1" applyFill="1" applyAlignment="1">
      <alignment horizontal="center" vertical="top"/>
    </xf>
    <xf numFmtId="4" fontId="3" fillId="4" borderId="0" xfId="9" applyNumberFormat="1" applyFont="1" applyFill="1" applyAlignment="1">
      <alignment horizontal="center" vertical="top" wrapText="1"/>
    </xf>
    <xf numFmtId="4" fontId="70" fillId="4" borderId="0" xfId="0" applyNumberFormat="1" applyFont="1" applyFill="1" applyAlignment="1">
      <alignment horizontal="center" vertical="top" wrapText="1"/>
    </xf>
    <xf numFmtId="4" fontId="67" fillId="10" borderId="1" xfId="0" applyNumberFormat="1" applyFont="1" applyFill="1" applyBorder="1" applyAlignment="1">
      <alignment horizontal="center"/>
    </xf>
    <xf numFmtId="4" fontId="3" fillId="4" borderId="0" xfId="9" applyNumberFormat="1" applyFont="1" applyFill="1" applyAlignment="1">
      <alignment horizontal="center"/>
    </xf>
    <xf numFmtId="4" fontId="70" fillId="4" borderId="0" xfId="0" applyNumberFormat="1" applyFont="1" applyFill="1" applyAlignment="1">
      <alignment horizontal="center" vertical="top"/>
    </xf>
    <xf numFmtId="4" fontId="35" fillId="10" borderId="21" xfId="0" applyNumberFormat="1" applyFont="1" applyFill="1" applyBorder="1" applyAlignment="1">
      <alignment horizontal="center"/>
    </xf>
    <xf numFmtId="4" fontId="67" fillId="0" borderId="0" xfId="0" applyNumberFormat="1" applyFont="1" applyAlignment="1">
      <alignment horizontal="center"/>
    </xf>
    <xf numFmtId="4" fontId="3" fillId="4" borderId="0" xfId="9" applyNumberFormat="1" applyFont="1" applyFill="1" applyAlignment="1">
      <alignment horizontal="center" vertical="center" wrapText="1"/>
    </xf>
    <xf numFmtId="4" fontId="36" fillId="14" borderId="1" xfId="0" applyNumberFormat="1" applyFont="1" applyFill="1" applyBorder="1" applyAlignment="1">
      <alignment horizontal="center"/>
    </xf>
    <xf numFmtId="4" fontId="3" fillId="14" borderId="1" xfId="9" applyNumberFormat="1" applyFont="1" applyFill="1" applyBorder="1" applyAlignment="1">
      <alignment horizontal="center"/>
    </xf>
    <xf numFmtId="4" fontId="58" fillId="4" borderId="0" xfId="0" applyNumberFormat="1" applyFont="1" applyFill="1" applyAlignment="1">
      <alignment horizontal="center" vertical="center" wrapText="1"/>
    </xf>
    <xf numFmtId="0" fontId="36" fillId="6" borderId="1" xfId="0" applyFont="1" applyFill="1" applyBorder="1" applyAlignment="1">
      <alignment horizontal="center"/>
    </xf>
    <xf numFmtId="0" fontId="52" fillId="13" borderId="1" xfId="9" applyFont="1" applyFill="1" applyBorder="1" applyAlignment="1">
      <alignment horizontal="center"/>
    </xf>
    <xf numFmtId="4" fontId="72" fillId="13" borderId="1" xfId="9" applyNumberFormat="1" applyFont="1" applyFill="1" applyBorder="1" applyAlignment="1">
      <alignment horizontal="center"/>
    </xf>
    <xf numFmtId="4" fontId="3" fillId="17" borderId="1" xfId="9" applyNumberFormat="1" applyFont="1" applyFill="1" applyBorder="1" applyAlignment="1">
      <alignment horizontal="center"/>
    </xf>
    <xf numFmtId="4" fontId="35" fillId="16" borderId="1" xfId="0" applyNumberFormat="1" applyFont="1" applyFill="1" applyBorder="1" applyAlignment="1">
      <alignment horizontal="center"/>
    </xf>
    <xf numFmtId="4" fontId="56" fillId="16" borderId="1" xfId="0" applyNumberFormat="1" applyFont="1" applyFill="1" applyBorder="1" applyAlignment="1">
      <alignment horizontal="center"/>
    </xf>
    <xf numFmtId="4" fontId="70" fillId="4" borderId="0" xfId="0" applyNumberFormat="1" applyFont="1" applyFill="1" applyAlignment="1">
      <alignment horizontal="center" vertical="center" wrapText="1"/>
    </xf>
    <xf numFmtId="4" fontId="67" fillId="0" borderId="1" xfId="0" applyNumberFormat="1" applyFont="1" applyBorder="1" applyAlignment="1">
      <alignment horizontal="center"/>
    </xf>
    <xf numFmtId="4" fontId="56" fillId="7" borderId="1" xfId="0" applyNumberFormat="1" applyFont="1" applyFill="1" applyBorder="1" applyAlignment="1">
      <alignment horizontal="center"/>
    </xf>
    <xf numFmtId="0" fontId="2" fillId="0" borderId="0" xfId="9" applyAlignment="1">
      <alignment horizontal="right"/>
    </xf>
    <xf numFmtId="2" fontId="99" fillId="0" borderId="0" xfId="0" applyNumberFormat="1" applyFont="1"/>
    <xf numFmtId="0" fontId="58" fillId="0" borderId="0" xfId="0" applyFont="1" applyAlignment="1">
      <alignment vertical="center" wrapText="1"/>
    </xf>
    <xf numFmtId="4" fontId="2" fillId="14" borderId="1" xfId="9" applyNumberFormat="1" applyFill="1" applyBorder="1" applyAlignment="1">
      <alignment horizontal="right"/>
    </xf>
    <xf numFmtId="0" fontId="13" fillId="16" borderId="1" xfId="0" applyFont="1" applyFill="1" applyBorder="1"/>
    <xf numFmtId="4" fontId="58" fillId="16" borderId="1" xfId="0" applyNumberFormat="1" applyFont="1" applyFill="1" applyBorder="1"/>
    <xf numFmtId="4" fontId="13" fillId="16" borderId="1" xfId="0" applyNumberFormat="1" applyFont="1" applyFill="1" applyBorder="1"/>
    <xf numFmtId="4" fontId="13" fillId="16" borderId="1" xfId="0" applyNumberFormat="1" applyFont="1" applyFill="1" applyBorder="1" applyAlignment="1">
      <alignment horizontal="right"/>
    </xf>
    <xf numFmtId="0" fontId="1" fillId="18" borderId="10" xfId="0" applyFont="1" applyFill="1" applyBorder="1"/>
    <xf numFmtId="0" fontId="14" fillId="18" borderId="0" xfId="0" applyFont="1" applyFill="1"/>
    <xf numFmtId="4" fontId="2" fillId="13" borderId="21" xfId="9" applyNumberFormat="1" applyFill="1" applyBorder="1"/>
    <xf numFmtId="0" fontId="100" fillId="0" borderId="0" xfId="0" applyFont="1"/>
    <xf numFmtId="0" fontId="100" fillId="0" borderId="0" xfId="0" quotePrefix="1" applyFont="1"/>
    <xf numFmtId="2" fontId="100" fillId="0" borderId="0" xfId="0" applyNumberFormat="1" applyFont="1"/>
    <xf numFmtId="4" fontId="96" fillId="0" borderId="0" xfId="0" applyNumberFormat="1" applyFont="1"/>
    <xf numFmtId="4" fontId="99" fillId="0" borderId="0" xfId="0" applyNumberFormat="1" applyFont="1"/>
    <xf numFmtId="14" fontId="2" fillId="0" borderId="1" xfId="9" applyNumberFormat="1" applyBorder="1"/>
    <xf numFmtId="167" fontId="12" fillId="0" borderId="0" xfId="4" applyNumberFormat="1" applyAlignment="1" applyProtection="1"/>
    <xf numFmtId="14" fontId="72" fillId="16" borderId="1" xfId="9" applyNumberFormat="1" applyFont="1" applyFill="1" applyBorder="1" applyAlignment="1">
      <alignment vertical="center"/>
    </xf>
    <xf numFmtId="0" fontId="0" fillId="18" borderId="6" xfId="0" applyFill="1" applyBorder="1"/>
    <xf numFmtId="0" fontId="41" fillId="18" borderId="0" xfId="0" applyFont="1" applyFill="1"/>
    <xf numFmtId="14" fontId="0" fillId="0" borderId="0" xfId="0" applyNumberFormat="1" applyAlignment="1">
      <alignment horizontal="center" vertical="top" wrapText="1"/>
    </xf>
    <xf numFmtId="4" fontId="2" fillId="16" borderId="1" xfId="9" applyNumberFormat="1" applyFill="1" applyBorder="1" applyAlignment="1" applyProtection="1">
      <alignment horizontal="center"/>
      <protection hidden="1"/>
    </xf>
    <xf numFmtId="4" fontId="101" fillId="16" borderId="1" xfId="9" applyNumberFormat="1" applyFont="1" applyFill="1" applyBorder="1" applyAlignment="1" applyProtection="1">
      <alignment horizontal="center"/>
      <protection hidden="1"/>
    </xf>
    <xf numFmtId="4" fontId="3" fillId="16" borderId="1" xfId="9" applyNumberFormat="1" applyFont="1" applyFill="1" applyBorder="1" applyProtection="1">
      <protection hidden="1"/>
    </xf>
    <xf numFmtId="0" fontId="3" fillId="4" borderId="0" xfId="9" applyFont="1" applyFill="1" applyAlignment="1">
      <alignment vertical="top"/>
    </xf>
    <xf numFmtId="4" fontId="2" fillId="16" borderId="1" xfId="9" applyNumberFormat="1" applyFill="1" applyBorder="1" applyProtection="1">
      <protection hidden="1"/>
    </xf>
    <xf numFmtId="0" fontId="2" fillId="0" borderId="1" xfId="9" applyBorder="1" applyAlignment="1">
      <alignment horizontal="center"/>
    </xf>
    <xf numFmtId="0" fontId="86" fillId="18" borderId="22" xfId="0" applyFont="1" applyFill="1" applyBorder="1" applyAlignment="1">
      <alignment vertical="top"/>
    </xf>
    <xf numFmtId="0" fontId="77" fillId="18" borderId="22" xfId="0" applyFont="1" applyFill="1" applyBorder="1" applyAlignment="1">
      <alignment vertical="top"/>
    </xf>
    <xf numFmtId="0" fontId="77" fillId="18" borderId="23" xfId="0" applyFont="1" applyFill="1" applyBorder="1" applyAlignment="1">
      <alignment vertical="top"/>
    </xf>
    <xf numFmtId="0" fontId="102" fillId="18" borderId="24" xfId="0" applyFont="1" applyFill="1" applyBorder="1"/>
    <xf numFmtId="0" fontId="86" fillId="18" borderId="25" xfId="0" applyFont="1" applyFill="1" applyBorder="1" applyAlignment="1">
      <alignment vertical="top"/>
    </xf>
    <xf numFmtId="0" fontId="86" fillId="18" borderId="26" xfId="0" applyFont="1" applyFill="1" applyBorder="1" applyAlignment="1">
      <alignment vertical="top"/>
    </xf>
    <xf numFmtId="0" fontId="102" fillId="18" borderId="26" xfId="0" applyFont="1" applyFill="1" applyBorder="1"/>
    <xf numFmtId="0" fontId="102" fillId="18" borderId="27" xfId="0" applyFont="1" applyFill="1" applyBorder="1"/>
    <xf numFmtId="0" fontId="87" fillId="4" borderId="0" xfId="0" applyFont="1" applyFill="1" applyAlignment="1">
      <alignment vertical="center"/>
    </xf>
    <xf numFmtId="0" fontId="51" fillId="16" borderId="1" xfId="9" applyFont="1" applyFill="1" applyBorder="1"/>
    <xf numFmtId="0" fontId="20" fillId="0" borderId="0" xfId="6" applyNumberFormat="1" applyFont="1"/>
    <xf numFmtId="0" fontId="2" fillId="0" borderId="6" xfId="9" applyBorder="1" applyAlignment="1">
      <alignment horizontal="right"/>
    </xf>
    <xf numFmtId="4" fontId="0" fillId="0" borderId="5" xfId="0" applyNumberFormat="1" applyBorder="1"/>
    <xf numFmtId="4" fontId="3" fillId="0" borderId="0" xfId="9" applyNumberFormat="1" applyFont="1" applyAlignment="1">
      <alignment horizontal="center"/>
    </xf>
    <xf numFmtId="0" fontId="51" fillId="19" borderId="2" xfId="9" applyFont="1" applyFill="1" applyBorder="1"/>
    <xf numFmtId="0" fontId="2" fillId="19" borderId="1" xfId="9" applyFill="1" applyBorder="1"/>
    <xf numFmtId="2" fontId="3" fillId="19" borderId="1" xfId="9" applyNumberFormat="1" applyFont="1" applyFill="1" applyBorder="1"/>
    <xf numFmtId="2" fontId="58" fillId="19" borderId="1" xfId="0" applyNumberFormat="1" applyFont="1" applyFill="1" applyBorder="1"/>
    <xf numFmtId="0" fontId="58" fillId="4" borderId="0" xfId="0" applyFont="1" applyFill="1" applyAlignment="1">
      <alignment vertical="top" wrapText="1"/>
    </xf>
    <xf numFmtId="0" fontId="35" fillId="0" borderId="0" xfId="0" applyFont="1"/>
    <xf numFmtId="0" fontId="7" fillId="4" borderId="0" xfId="0" applyFont="1" applyFill="1" applyAlignment="1">
      <alignment vertical="center"/>
    </xf>
    <xf numFmtId="4" fontId="58" fillId="4" borderId="0" xfId="0" applyNumberFormat="1" applyFont="1" applyFill="1" applyAlignment="1">
      <alignment vertical="top" wrapText="1"/>
    </xf>
    <xf numFmtId="4" fontId="58" fillId="4" borderId="0" xfId="0" applyNumberFormat="1" applyFont="1" applyFill="1" applyAlignment="1">
      <alignment horizontal="center" vertical="top" wrapText="1"/>
    </xf>
    <xf numFmtId="4" fontId="7" fillId="0" borderId="0" xfId="0" applyNumberFormat="1" applyFont="1"/>
    <xf numFmtId="0" fontId="35" fillId="20" borderId="16" xfId="0" applyFont="1" applyFill="1" applyBorder="1"/>
    <xf numFmtId="0" fontId="0" fillId="20" borderId="0" xfId="0" applyFill="1"/>
    <xf numFmtId="0" fontId="103" fillId="21" borderId="21" xfId="0" applyFont="1" applyFill="1" applyBorder="1" applyAlignment="1">
      <alignment horizontal="center" vertical="center" wrapText="1"/>
    </xf>
    <xf numFmtId="0" fontId="103" fillId="21" borderId="1" xfId="0" applyFont="1" applyFill="1" applyBorder="1" applyAlignment="1">
      <alignment horizontal="center" vertical="center" wrapText="1"/>
    </xf>
    <xf numFmtId="174" fontId="2" fillId="20" borderId="10" xfId="13" quotePrefix="1" applyNumberFormat="1" applyFont="1" applyFill="1" applyBorder="1" applyAlignment="1" applyProtection="1">
      <alignment horizontal="center" vertical="center"/>
    </xf>
    <xf numFmtId="174" fontId="2" fillId="22" borderId="10" xfId="13" quotePrefix="1" applyNumberFormat="1" applyFont="1" applyFill="1" applyBorder="1" applyAlignment="1" applyProtection="1">
      <alignment horizontal="center" vertical="center"/>
    </xf>
    <xf numFmtId="174" fontId="99" fillId="20" borderId="10" xfId="13" quotePrefix="1" applyNumberFormat="1" applyFont="1" applyFill="1" applyBorder="1" applyAlignment="1" applyProtection="1">
      <alignment horizontal="center" vertical="center"/>
    </xf>
    <xf numFmtId="174" fontId="99" fillId="22" borderId="10" xfId="13" quotePrefix="1" applyNumberFormat="1" applyFont="1" applyFill="1" applyBorder="1" applyAlignment="1" applyProtection="1">
      <alignment horizontal="center" vertical="center"/>
    </xf>
    <xf numFmtId="178" fontId="103" fillId="21" borderId="28" xfId="3" applyNumberFormat="1" applyFont="1" applyFill="1" applyBorder="1" applyAlignment="1" applyProtection="1">
      <alignment horizontal="center" vertical="center" wrapText="1"/>
    </xf>
    <xf numFmtId="178" fontId="103" fillId="21" borderId="29" xfId="3" applyNumberFormat="1" applyFont="1" applyFill="1" applyBorder="1" applyAlignment="1" applyProtection="1">
      <alignment horizontal="center" vertical="center" wrapText="1"/>
    </xf>
    <xf numFmtId="178" fontId="103" fillId="21" borderId="30" xfId="3" applyNumberFormat="1" applyFont="1" applyFill="1" applyBorder="1" applyAlignment="1" applyProtection="1">
      <alignment horizontal="center" vertical="center" wrapText="1"/>
    </xf>
    <xf numFmtId="0" fontId="95" fillId="20" borderId="0" xfId="0" applyFont="1" applyFill="1"/>
    <xf numFmtId="2" fontId="0" fillId="20" borderId="1" xfId="0" applyNumberFormat="1" applyFill="1" applyBorder="1" applyAlignment="1">
      <alignment horizontal="center"/>
    </xf>
    <xf numFmtId="179" fontId="0" fillId="20" borderId="1" xfId="0" applyNumberFormat="1" applyFill="1" applyBorder="1"/>
    <xf numFmtId="170" fontId="0" fillId="20" borderId="1" xfId="0" applyNumberFormat="1" applyFill="1" applyBorder="1" applyAlignment="1">
      <alignment horizontal="center"/>
    </xf>
    <xf numFmtId="0" fontId="95" fillId="20" borderId="0" xfId="0" quotePrefix="1" applyFont="1" applyFill="1"/>
    <xf numFmtId="0" fontId="35" fillId="20" borderId="16" xfId="0" applyFont="1" applyFill="1" applyBorder="1" applyAlignment="1">
      <alignment horizontal="right"/>
    </xf>
    <xf numFmtId="179" fontId="0" fillId="23" borderId="1" xfId="0" applyNumberFormat="1" applyFill="1" applyBorder="1"/>
    <xf numFmtId="179" fontId="104" fillId="20" borderId="1" xfId="0" applyNumberFormat="1" applyFont="1" applyFill="1" applyBorder="1"/>
    <xf numFmtId="0" fontId="46" fillId="20" borderId="16" xfId="0" applyFont="1" applyFill="1" applyBorder="1"/>
    <xf numFmtId="0" fontId="35" fillId="20" borderId="16" xfId="0" applyFont="1" applyFill="1" applyBorder="1" applyAlignment="1">
      <alignment vertical="center"/>
    </xf>
    <xf numFmtId="0" fontId="35" fillId="20" borderId="4" xfId="0" applyFont="1" applyFill="1" applyBorder="1"/>
    <xf numFmtId="0" fontId="5" fillId="20" borderId="16" xfId="9" applyFont="1" applyFill="1" applyBorder="1"/>
    <xf numFmtId="0" fontId="2" fillId="20" borderId="16" xfId="9" applyFill="1" applyBorder="1"/>
    <xf numFmtId="0" fontId="35" fillId="20" borderId="17" xfId="0" applyFont="1" applyFill="1" applyBorder="1"/>
    <xf numFmtId="0" fontId="36" fillId="20" borderId="16" xfId="0" applyFont="1" applyFill="1" applyBorder="1"/>
    <xf numFmtId="0" fontId="35" fillId="20" borderId="16" xfId="0" applyFont="1" applyFill="1" applyBorder="1" applyAlignment="1">
      <alignment horizontal="center"/>
    </xf>
    <xf numFmtId="0" fontId="105" fillId="0" borderId="0" xfId="0" applyFont="1"/>
    <xf numFmtId="179" fontId="96" fillId="20" borderId="1" xfId="0" applyNumberFormat="1" applyFont="1" applyFill="1" applyBorder="1"/>
    <xf numFmtId="0" fontId="105" fillId="0" borderId="0" xfId="0" applyFont="1" applyAlignment="1">
      <alignment horizontal="right"/>
    </xf>
    <xf numFmtId="10" fontId="50" fillId="0" borderId="0" xfId="6" applyNumberFormat="1" applyFont="1" applyAlignment="1">
      <alignment horizontal="center"/>
    </xf>
    <xf numFmtId="0" fontId="12" fillId="0" borderId="0" xfId="4" applyAlignment="1" applyProtection="1"/>
    <xf numFmtId="0" fontId="8" fillId="0" borderId="0" xfId="0" applyFont="1" applyAlignment="1">
      <alignment vertical="top"/>
    </xf>
    <xf numFmtId="0" fontId="86" fillId="18" borderId="0" xfId="0" applyFont="1" applyFill="1" applyAlignment="1">
      <alignment vertical="top"/>
    </xf>
    <xf numFmtId="0" fontId="102" fillId="18" borderId="0" xfId="0" applyFont="1" applyFill="1"/>
    <xf numFmtId="3" fontId="0" fillId="0" borderId="1" xfId="0" applyNumberFormat="1" applyBorder="1" applyAlignment="1" applyProtection="1">
      <alignment vertical="center"/>
      <protection locked="0"/>
    </xf>
    <xf numFmtId="178" fontId="0" fillId="0" borderId="1"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178" fontId="93" fillId="0" borderId="1" xfId="3" applyNumberFormat="1" applyFont="1" applyFill="1" applyBorder="1" applyAlignment="1" applyProtection="1">
      <alignment vertical="center"/>
      <protection locked="0"/>
    </xf>
    <xf numFmtId="3" fontId="106" fillId="0" borderId="1" xfId="0" applyNumberFormat="1" applyFont="1" applyBorder="1" applyAlignment="1" applyProtection="1">
      <alignment vertical="center"/>
      <protection locked="0"/>
    </xf>
    <xf numFmtId="3" fontId="107" fillId="0" borderId="1" xfId="0" applyNumberFormat="1" applyFont="1" applyBorder="1" applyAlignment="1" applyProtection="1">
      <alignment vertical="center"/>
      <protection locked="0"/>
    </xf>
    <xf numFmtId="0" fontId="35" fillId="20" borderId="18" xfId="0" applyFont="1" applyFill="1" applyBorder="1" applyAlignment="1">
      <alignment horizontal="center" vertical="center" wrapText="1"/>
    </xf>
    <xf numFmtId="0" fontId="35" fillId="20" borderId="18" xfId="0" applyFont="1" applyFill="1" applyBorder="1" applyAlignment="1">
      <alignment horizontal="center"/>
    </xf>
    <xf numFmtId="4" fontId="35" fillId="20" borderId="18" xfId="0" applyNumberFormat="1" applyFont="1" applyFill="1" applyBorder="1" applyAlignment="1">
      <alignment horizontal="center"/>
    </xf>
    <xf numFmtId="3" fontId="0" fillId="0" borderId="21" xfId="0" applyNumberFormat="1" applyBorder="1" applyAlignment="1" applyProtection="1">
      <alignment vertical="center"/>
      <protection locked="0"/>
    </xf>
    <xf numFmtId="3" fontId="0" fillId="0" borderId="39" xfId="0" applyNumberFormat="1" applyBorder="1" applyAlignment="1" applyProtection="1">
      <alignment vertical="center"/>
      <protection locked="0"/>
    </xf>
    <xf numFmtId="178" fontId="93" fillId="0" borderId="2" xfId="3" applyNumberFormat="1" applyFont="1" applyFill="1" applyBorder="1" applyAlignment="1" applyProtection="1">
      <alignment vertical="center"/>
      <protection locked="0"/>
    </xf>
    <xf numFmtId="3" fontId="106" fillId="0" borderId="40" xfId="0" applyNumberFormat="1" applyFont="1" applyBorder="1" applyAlignment="1" applyProtection="1">
      <alignment vertical="center"/>
      <protection locked="0"/>
    </xf>
    <xf numFmtId="178" fontId="93" fillId="0" borderId="21" xfId="3" applyNumberFormat="1" applyFont="1" applyFill="1" applyBorder="1" applyAlignment="1" applyProtection="1">
      <alignment vertical="center"/>
      <protection locked="0"/>
    </xf>
    <xf numFmtId="178" fontId="93" fillId="0" borderId="40" xfId="3" applyNumberFormat="1" applyFont="1" applyFill="1" applyBorder="1" applyAlignment="1" applyProtection="1">
      <alignment vertical="center"/>
      <protection locked="0"/>
    </xf>
    <xf numFmtId="2" fontId="0" fillId="20" borderId="2" xfId="0" applyNumberFormat="1" applyFill="1" applyBorder="1" applyAlignment="1">
      <alignment horizontal="center"/>
    </xf>
    <xf numFmtId="0" fontId="0" fillId="20" borderId="0" xfId="0" quotePrefix="1" applyFill="1"/>
    <xf numFmtId="2" fontId="0" fillId="20" borderId="0" xfId="0" applyNumberFormat="1" applyFill="1" applyAlignment="1">
      <alignment horizontal="center"/>
    </xf>
    <xf numFmtId="179" fontId="108" fillId="20" borderId="0" xfId="0" applyNumberFormat="1" applyFont="1" applyFill="1"/>
    <xf numFmtId="0" fontId="35" fillId="20" borderId="41" xfId="0" applyFont="1" applyFill="1" applyBorder="1"/>
    <xf numFmtId="0" fontId="35" fillId="0" borderId="31" xfId="0" applyFont="1" applyBorder="1"/>
    <xf numFmtId="4" fontId="35" fillId="20" borderId="16" xfId="0" applyNumberFormat="1" applyFont="1" applyFill="1" applyBorder="1" applyAlignment="1">
      <alignment horizontal="center"/>
    </xf>
    <xf numFmtId="0" fontId="35" fillId="20" borderId="16" xfId="0" applyFont="1" applyFill="1" applyBorder="1" applyAlignment="1">
      <alignment horizontal="center" vertical="center" wrapText="1"/>
    </xf>
    <xf numFmtId="0" fontId="0" fillId="0" borderId="42" xfId="0" applyBorder="1" applyAlignment="1">
      <alignment vertical="center"/>
    </xf>
    <xf numFmtId="0" fontId="0" fillId="0" borderId="42" xfId="0" applyBorder="1"/>
    <xf numFmtId="4" fontId="0" fillId="0" borderId="42" xfId="0" applyNumberFormat="1" applyBorder="1" applyAlignment="1">
      <alignment horizontal="right" indent="1"/>
    </xf>
    <xf numFmtId="0" fontId="0" fillId="0" borderId="42" xfId="0" applyBorder="1" applyAlignment="1">
      <alignment horizontal="right" indent="1"/>
    </xf>
    <xf numFmtId="3" fontId="0" fillId="0" borderId="42" xfId="0" applyNumberFormat="1" applyBorder="1" applyAlignment="1">
      <alignment horizontal="right" indent="1"/>
    </xf>
    <xf numFmtId="0" fontId="109" fillId="0" borderId="42" xfId="0" applyFont="1" applyBorder="1"/>
    <xf numFmtId="0" fontId="0" fillId="24" borderId="42" xfId="0" applyFill="1" applyBorder="1"/>
    <xf numFmtId="0" fontId="0" fillId="24" borderId="42" xfId="0" applyFill="1" applyBorder="1" applyAlignment="1">
      <alignment horizontal="center"/>
    </xf>
    <xf numFmtId="180" fontId="0" fillId="24" borderId="42" xfId="0" applyNumberFormat="1" applyFill="1" applyBorder="1" applyAlignment="1">
      <alignment horizontal="center"/>
    </xf>
    <xf numFmtId="3" fontId="0" fillId="0" borderId="42" xfId="0" applyNumberFormat="1" applyBorder="1"/>
    <xf numFmtId="4" fontId="0" fillId="0" borderId="42" xfId="0" applyNumberFormat="1" applyBorder="1"/>
    <xf numFmtId="4" fontId="0" fillId="24" borderId="42" xfId="0" applyNumberFormat="1" applyFill="1" applyBorder="1" applyAlignment="1">
      <alignment horizontal="right" indent="1"/>
    </xf>
    <xf numFmtId="0" fontId="105" fillId="0" borderId="42" xfId="0" applyFont="1" applyBorder="1"/>
    <xf numFmtId="0" fontId="0" fillId="0" borderId="43" xfId="0" applyBorder="1" applyAlignment="1">
      <alignment horizontal="right" indent="1"/>
    </xf>
    <xf numFmtId="0" fontId="0" fillId="0" borderId="44" xfId="0" applyBorder="1"/>
    <xf numFmtId="3" fontId="0" fillId="0" borderId="45" xfId="0" applyNumberFormat="1" applyBorder="1" applyAlignment="1">
      <alignment horizontal="left" indent="1"/>
    </xf>
    <xf numFmtId="0" fontId="0" fillId="0" borderId="46" xfId="0" applyBorder="1" applyAlignment="1">
      <alignment horizontal="right" indent="1"/>
    </xf>
    <xf numFmtId="4" fontId="0" fillId="25" borderId="1" xfId="0" applyNumberFormat="1" applyFill="1" applyBorder="1" applyAlignment="1">
      <alignment horizontal="right" indent="1"/>
    </xf>
    <xf numFmtId="178" fontId="93" fillId="0" borderId="1" xfId="3" applyNumberFormat="1" applyFont="1" applyFill="1" applyBorder="1" applyAlignment="1" applyProtection="1">
      <alignment vertical="center"/>
    </xf>
    <xf numFmtId="178" fontId="110" fillId="0" borderId="1" xfId="3" applyNumberFormat="1" applyFont="1" applyFill="1" applyBorder="1" applyAlignment="1" applyProtection="1">
      <alignment vertical="center"/>
    </xf>
    <xf numFmtId="166" fontId="0" fillId="20" borderId="1" xfId="0" applyNumberFormat="1" applyFill="1" applyBorder="1"/>
    <xf numFmtId="166" fontId="0" fillId="22" borderId="1" xfId="0" applyNumberFormat="1" applyFill="1" applyBorder="1"/>
    <xf numFmtId="166" fontId="0" fillId="0" borderId="1" xfId="0" applyNumberFormat="1" applyBorder="1"/>
    <xf numFmtId="0" fontId="0" fillId="0" borderId="0" xfId="0" applyAlignment="1">
      <alignment horizontal="center" vertical="center"/>
    </xf>
    <xf numFmtId="14" fontId="0" fillId="0" borderId="0" xfId="0" applyNumberFormat="1" applyAlignment="1">
      <alignment horizontal="center" vertical="center"/>
    </xf>
    <xf numFmtId="14" fontId="72" fillId="0" borderId="0" xfId="9" applyNumberFormat="1" applyFont="1" applyAlignment="1">
      <alignment horizontal="center" vertical="center"/>
    </xf>
    <xf numFmtId="0" fontId="7" fillId="4" borderId="0" xfId="0" applyFont="1" applyFill="1"/>
    <xf numFmtId="3" fontId="94" fillId="0" borderId="1" xfId="0" applyNumberFormat="1" applyFont="1" applyBorder="1" applyAlignment="1" applyProtection="1">
      <alignment vertical="center"/>
      <protection locked="0"/>
    </xf>
    <xf numFmtId="3" fontId="111" fillId="0" borderId="1" xfId="0" applyNumberFormat="1" applyFont="1" applyBorder="1" applyAlignment="1" applyProtection="1">
      <alignment vertical="center"/>
      <protection locked="0"/>
    </xf>
    <xf numFmtId="178" fontId="94" fillId="0" borderId="1" xfId="3" applyNumberFormat="1" applyFont="1" applyFill="1" applyBorder="1" applyAlignment="1" applyProtection="1">
      <alignment vertical="center"/>
      <protection locked="0"/>
    </xf>
    <xf numFmtId="2" fontId="94" fillId="20" borderId="1" xfId="0" applyNumberFormat="1" applyFont="1" applyFill="1" applyBorder="1" applyAlignment="1">
      <alignment horizontal="center"/>
    </xf>
    <xf numFmtId="179" fontId="94" fillId="20" borderId="1" xfId="0" applyNumberFormat="1" applyFont="1" applyFill="1" applyBorder="1"/>
    <xf numFmtId="0" fontId="72" fillId="16" borderId="1" xfId="9" applyFont="1" applyFill="1" applyBorder="1"/>
    <xf numFmtId="0" fontId="112" fillId="0" borderId="42" xfId="0" applyFont="1" applyBorder="1" applyAlignment="1">
      <alignment vertical="center"/>
    </xf>
    <xf numFmtId="0" fontId="35" fillId="0" borderId="42" xfId="0" applyFont="1" applyBorder="1"/>
    <xf numFmtId="0" fontId="35" fillId="20" borderId="19" xfId="0" applyFont="1" applyFill="1" applyBorder="1"/>
    <xf numFmtId="0" fontId="113" fillId="20" borderId="0" xfId="0" applyFont="1" applyFill="1"/>
    <xf numFmtId="0" fontId="0" fillId="20" borderId="0" xfId="0" applyFill="1" applyAlignment="1">
      <alignment horizontal="center" vertical="center" wrapText="1"/>
    </xf>
    <xf numFmtId="3" fontId="0" fillId="0" borderId="1" xfId="0" applyNumberFormat="1" applyBorder="1" applyAlignment="1">
      <alignment vertical="center"/>
    </xf>
    <xf numFmtId="3" fontId="106" fillId="0" borderId="1" xfId="0" applyNumberFormat="1" applyFont="1" applyBorder="1" applyAlignment="1">
      <alignment vertical="center"/>
    </xf>
    <xf numFmtId="3" fontId="94" fillId="0" borderId="1" xfId="0" applyNumberFormat="1" applyFont="1" applyBorder="1" applyAlignment="1">
      <alignment vertical="center"/>
    </xf>
    <xf numFmtId="3" fontId="111" fillId="0" borderId="1" xfId="0" applyNumberFormat="1" applyFont="1" applyBorder="1" applyAlignment="1">
      <alignment vertical="center"/>
    </xf>
    <xf numFmtId="178" fontId="94" fillId="0" borderId="1" xfId="3" applyNumberFormat="1" applyFont="1" applyFill="1" applyBorder="1" applyAlignment="1" applyProtection="1">
      <alignment vertical="center"/>
    </xf>
    <xf numFmtId="3" fontId="0" fillId="0" borderId="39" xfId="0" applyNumberFormat="1" applyBorder="1" applyAlignment="1">
      <alignment vertical="center"/>
    </xf>
    <xf numFmtId="3" fontId="106" fillId="0" borderId="40" xfId="0" applyNumberFormat="1" applyFont="1" applyBorder="1" applyAlignment="1">
      <alignment vertical="center"/>
    </xf>
    <xf numFmtId="178" fontId="93" fillId="0" borderId="40" xfId="3" applyNumberFormat="1" applyFont="1" applyFill="1" applyBorder="1" applyAlignment="1" applyProtection="1">
      <alignment vertical="center"/>
    </xf>
    <xf numFmtId="178" fontId="93" fillId="0" borderId="47" xfId="3" applyNumberFormat="1" applyFont="1" applyFill="1" applyBorder="1" applyAlignment="1" applyProtection="1">
      <alignment vertical="center"/>
    </xf>
    <xf numFmtId="165" fontId="0" fillId="20" borderId="1" xfId="0" applyNumberFormat="1" applyFill="1" applyBorder="1"/>
    <xf numFmtId="3" fontId="0" fillId="0" borderId="48" xfId="0" applyNumberFormat="1" applyBorder="1" applyAlignment="1">
      <alignment vertical="center"/>
    </xf>
    <xf numFmtId="3" fontId="106" fillId="0" borderId="49" xfId="0" applyNumberFormat="1" applyFont="1" applyBorder="1" applyAlignment="1">
      <alignment vertical="center"/>
    </xf>
    <xf numFmtId="178" fontId="93" fillId="0" borderId="49" xfId="3" applyNumberFormat="1" applyFont="1" applyFill="1" applyBorder="1" applyAlignment="1" applyProtection="1">
      <alignment vertical="center"/>
    </xf>
    <xf numFmtId="178" fontId="93" fillId="0" borderId="50" xfId="3" applyNumberFormat="1" applyFont="1" applyFill="1" applyBorder="1" applyAlignment="1" applyProtection="1">
      <alignment vertical="center"/>
    </xf>
    <xf numFmtId="0" fontId="35" fillId="0" borderId="51" xfId="0" applyFont="1" applyBorder="1" applyAlignment="1">
      <alignment horizontal="center"/>
    </xf>
    <xf numFmtId="3" fontId="107" fillId="0" borderId="1" xfId="0" applyNumberFormat="1" applyFont="1" applyBorder="1" applyAlignment="1">
      <alignment vertical="center"/>
    </xf>
    <xf numFmtId="3" fontId="0" fillId="0" borderId="21" xfId="0" applyNumberFormat="1" applyBorder="1" applyAlignment="1">
      <alignment vertical="center"/>
    </xf>
    <xf numFmtId="181" fontId="93" fillId="0" borderId="1" xfId="3" applyNumberFormat="1" applyFont="1" applyFill="1" applyBorder="1" applyAlignment="1" applyProtection="1">
      <alignment vertical="center"/>
    </xf>
    <xf numFmtId="4" fontId="93" fillId="0" borderId="1" xfId="3" applyNumberFormat="1" applyFont="1" applyFill="1" applyBorder="1" applyAlignment="1" applyProtection="1">
      <alignment vertical="center"/>
    </xf>
    <xf numFmtId="4" fontId="0" fillId="20" borderId="1" xfId="0" applyNumberFormat="1" applyFill="1" applyBorder="1"/>
    <xf numFmtId="4" fontId="94" fillId="0" borderId="1" xfId="3" applyNumberFormat="1" applyFont="1" applyFill="1" applyBorder="1" applyAlignment="1" applyProtection="1">
      <alignment vertical="center"/>
    </xf>
    <xf numFmtId="4" fontId="93" fillId="0" borderId="40" xfId="3" applyNumberFormat="1" applyFont="1" applyFill="1" applyBorder="1" applyAlignment="1" applyProtection="1">
      <alignment vertical="center"/>
    </xf>
    <xf numFmtId="4" fontId="94" fillId="20" borderId="1" xfId="0" applyNumberFormat="1" applyFont="1" applyFill="1" applyBorder="1"/>
    <xf numFmtId="3" fontId="93" fillId="0" borderId="1" xfId="3" applyNumberFormat="1" applyFont="1" applyFill="1" applyBorder="1" applyAlignment="1" applyProtection="1">
      <alignment vertical="center"/>
    </xf>
    <xf numFmtId="178" fontId="103" fillId="21" borderId="52" xfId="3" applyNumberFormat="1" applyFont="1" applyFill="1" applyBorder="1" applyAlignment="1" applyProtection="1">
      <alignment horizontal="center" vertical="center" wrapText="1"/>
    </xf>
    <xf numFmtId="178" fontId="103" fillId="21" borderId="53" xfId="3" applyNumberFormat="1" applyFont="1" applyFill="1" applyBorder="1" applyAlignment="1" applyProtection="1">
      <alignment horizontal="center" vertical="center" wrapText="1"/>
    </xf>
    <xf numFmtId="178" fontId="103" fillId="21" borderId="54" xfId="3" applyNumberFormat="1" applyFont="1" applyFill="1" applyBorder="1" applyAlignment="1" applyProtection="1">
      <alignment horizontal="center" vertical="center" wrapText="1"/>
    </xf>
    <xf numFmtId="0" fontId="35" fillId="0" borderId="3" xfId="0" applyFont="1" applyBorder="1"/>
    <xf numFmtId="0" fontId="0" fillId="20" borderId="0" xfId="0" applyFill="1" applyAlignment="1">
      <alignment horizontal="left" vertical="center"/>
    </xf>
    <xf numFmtId="0" fontId="35" fillId="20" borderId="32" xfId="0" applyFont="1" applyFill="1" applyBorder="1" applyAlignment="1">
      <alignment horizontal="left" vertical="top" wrapText="1"/>
    </xf>
    <xf numFmtId="0" fontId="35" fillId="20" borderId="33" xfId="0" applyFont="1" applyFill="1" applyBorder="1" applyAlignment="1">
      <alignment horizontal="left" vertical="top" wrapText="1"/>
    </xf>
    <xf numFmtId="3" fontId="114" fillId="0" borderId="1" xfId="0" applyNumberFormat="1" applyFont="1" applyBorder="1" applyAlignment="1">
      <alignment vertical="center"/>
    </xf>
    <xf numFmtId="165" fontId="93" fillId="0" borderId="1" xfId="3" applyNumberFormat="1" applyFont="1" applyFill="1" applyBorder="1" applyAlignment="1" applyProtection="1">
      <alignment vertical="center"/>
    </xf>
    <xf numFmtId="4" fontId="96" fillId="0" borderId="1" xfId="3" applyNumberFormat="1" applyFont="1" applyFill="1" applyBorder="1" applyAlignment="1" applyProtection="1">
      <alignment vertical="center"/>
    </xf>
    <xf numFmtId="4" fontId="104" fillId="0" borderId="1" xfId="3" applyNumberFormat="1" applyFont="1" applyFill="1" applyBorder="1" applyAlignment="1" applyProtection="1">
      <alignment vertical="center"/>
    </xf>
    <xf numFmtId="2" fontId="0" fillId="20" borderId="1" xfId="0" quotePrefix="1" applyNumberFormat="1" applyFill="1" applyBorder="1" applyAlignment="1">
      <alignment horizontal="center"/>
    </xf>
    <xf numFmtId="0" fontId="5" fillId="20" borderId="16" xfId="9" applyFont="1" applyFill="1" applyBorder="1" applyAlignment="1">
      <alignment vertical="top"/>
    </xf>
    <xf numFmtId="4" fontId="35" fillId="20" borderId="18" xfId="0" applyNumberFormat="1" applyFont="1" applyFill="1" applyBorder="1" applyAlignment="1">
      <alignment horizontal="center" vertical="top"/>
    </xf>
    <xf numFmtId="0" fontId="2" fillId="20" borderId="16" xfId="9" applyFill="1" applyBorder="1" applyAlignment="1">
      <alignment vertical="top"/>
    </xf>
    <xf numFmtId="0" fontId="35" fillId="20" borderId="16" xfId="0" applyFont="1" applyFill="1" applyBorder="1" applyAlignment="1">
      <alignment vertical="top"/>
    </xf>
    <xf numFmtId="0" fontId="35" fillId="0" borderId="16" xfId="0" applyFont="1" applyBorder="1" applyAlignment="1">
      <alignment vertical="top"/>
    </xf>
    <xf numFmtId="0" fontId="35" fillId="0" borderId="19" xfId="0" applyFont="1" applyBorder="1" applyAlignment="1">
      <alignment vertical="top"/>
    </xf>
    <xf numFmtId="3" fontId="106" fillId="0" borderId="1" xfId="0" applyNumberFormat="1" applyFont="1" applyBorder="1" applyAlignment="1">
      <alignment horizontal="center" vertical="center"/>
    </xf>
    <xf numFmtId="4" fontId="99" fillId="0" borderId="1" xfId="3" applyNumberFormat="1" applyFont="1" applyFill="1" applyBorder="1" applyAlignment="1" applyProtection="1">
      <alignment horizontal="right" vertical="center"/>
    </xf>
    <xf numFmtId="14" fontId="99" fillId="0" borderId="0" xfId="9" applyNumberFormat="1" applyFont="1" applyAlignment="1">
      <alignment horizontal="center" vertical="center"/>
    </xf>
    <xf numFmtId="0" fontId="115" fillId="0" borderId="0" xfId="9" applyFont="1" applyAlignment="1">
      <alignment horizontal="center"/>
    </xf>
    <xf numFmtId="14" fontId="0" fillId="0" borderId="14" xfId="0" applyNumberFormat="1" applyBorder="1" applyAlignment="1">
      <alignment horizontal="center" vertical="top" wrapText="1"/>
    </xf>
    <xf numFmtId="0" fontId="0" fillId="0" borderId="14" xfId="0" applyBorder="1" applyAlignment="1">
      <alignment vertical="top" wrapText="1"/>
    </xf>
    <xf numFmtId="14" fontId="0" fillId="0" borderId="0" xfId="0" applyNumberFormat="1"/>
    <xf numFmtId="0" fontId="3" fillId="0" borderId="0" xfId="9" applyFont="1" applyAlignment="1">
      <alignment vertical="top" wrapText="1"/>
    </xf>
    <xf numFmtId="0" fontId="87" fillId="4" borderId="34" xfId="0" applyFont="1" applyFill="1" applyBorder="1" applyAlignment="1">
      <alignment vertical="center"/>
    </xf>
    <xf numFmtId="0" fontId="0" fillId="4" borderId="22" xfId="0" applyFill="1" applyBorder="1"/>
    <xf numFmtId="0" fontId="75" fillId="4" borderId="23" xfId="0" applyFont="1" applyFill="1" applyBorder="1"/>
    <xf numFmtId="0" fontId="87" fillId="4" borderId="35" xfId="0" applyFont="1" applyFill="1" applyBorder="1" applyAlignment="1">
      <alignment vertical="center"/>
    </xf>
    <xf numFmtId="0" fontId="75" fillId="4" borderId="24" xfId="0" applyFont="1" applyFill="1" applyBorder="1"/>
    <xf numFmtId="0" fontId="58" fillId="18" borderId="34" xfId="0" applyFont="1" applyFill="1" applyBorder="1"/>
    <xf numFmtId="0" fontId="58" fillId="18" borderId="35" xfId="0" applyFont="1" applyFill="1" applyBorder="1" applyAlignment="1">
      <alignment vertical="top"/>
    </xf>
    <xf numFmtId="0" fontId="58" fillId="18" borderId="35" xfId="0" quotePrefix="1" applyFont="1" applyFill="1" applyBorder="1" applyAlignment="1">
      <alignment vertical="top"/>
    </xf>
    <xf numFmtId="0" fontId="92" fillId="0" borderId="0" xfId="0" applyFont="1" applyAlignment="1">
      <alignment vertical="top" wrapText="1"/>
    </xf>
    <xf numFmtId="4" fontId="116" fillId="16" borderId="1" xfId="9" applyNumberFormat="1" applyFont="1" applyFill="1" applyBorder="1" applyProtection="1">
      <protection hidden="1"/>
    </xf>
    <xf numFmtId="164" fontId="2" fillId="0" borderId="0" xfId="3" quotePrefix="1" applyFont="1" applyFill="1" applyBorder="1" applyAlignment="1">
      <alignment horizontal="left"/>
    </xf>
    <xf numFmtId="0" fontId="117" fillId="26" borderId="0" xfId="0" applyFont="1" applyFill="1" applyAlignment="1">
      <alignment vertical="center"/>
    </xf>
    <xf numFmtId="0" fontId="117" fillId="0" borderId="0" xfId="0" applyFont="1" applyAlignment="1">
      <alignment vertical="center"/>
    </xf>
    <xf numFmtId="0" fontId="118" fillId="0" borderId="0" xfId="0" applyFont="1" applyAlignment="1">
      <alignment vertical="center" wrapText="1"/>
    </xf>
    <xf numFmtId="0" fontId="119" fillId="0" borderId="0" xfId="0" applyFont="1" applyAlignment="1">
      <alignment vertical="center" wrapText="1"/>
    </xf>
    <xf numFmtId="0" fontId="120" fillId="0" borderId="0" xfId="0" applyFont="1" applyAlignment="1">
      <alignment horizontal="left" vertical="center"/>
    </xf>
    <xf numFmtId="0" fontId="14" fillId="0" borderId="0" xfId="0" applyFont="1" applyAlignment="1">
      <alignment vertical="top" wrapText="1"/>
    </xf>
    <xf numFmtId="10" fontId="0" fillId="0" borderId="0" xfId="0" applyNumberFormat="1"/>
    <xf numFmtId="4" fontId="3" fillId="16" borderId="1" xfId="9" applyNumberFormat="1" applyFont="1" applyFill="1" applyBorder="1" applyAlignment="1">
      <alignment horizontal="center"/>
    </xf>
    <xf numFmtId="0" fontId="35" fillId="20" borderId="16" xfId="0" applyFont="1" applyFill="1" applyBorder="1" applyAlignment="1">
      <alignment horizontal="left"/>
    </xf>
    <xf numFmtId="0" fontId="35" fillId="20" borderId="1" xfId="0" applyFont="1" applyFill="1" applyBorder="1" applyAlignment="1">
      <alignment horizontal="left"/>
    </xf>
    <xf numFmtId="0" fontId="35" fillId="20" borderId="1" xfId="0" applyFont="1" applyFill="1" applyBorder="1"/>
    <xf numFmtId="6" fontId="35" fillId="20" borderId="1" xfId="0" applyNumberFormat="1" applyFont="1" applyFill="1" applyBorder="1" applyAlignment="1">
      <alignment horizontal="right"/>
    </xf>
    <xf numFmtId="0" fontId="46" fillId="20" borderId="16" xfId="0" applyFont="1" applyFill="1" applyBorder="1" applyAlignment="1">
      <alignment horizontal="left"/>
    </xf>
    <xf numFmtId="178" fontId="103" fillId="21" borderId="65" xfId="3" applyNumberFormat="1" applyFont="1" applyFill="1" applyBorder="1" applyAlignment="1" applyProtection="1">
      <alignment horizontal="center" vertical="center" wrapText="1"/>
    </xf>
    <xf numFmtId="5" fontId="72" fillId="20" borderId="1" xfId="0" applyNumberFormat="1" applyFont="1" applyFill="1" applyBorder="1" applyAlignment="1">
      <alignment horizontal="right"/>
    </xf>
    <xf numFmtId="6" fontId="35" fillId="20" borderId="0" xfId="0" applyNumberFormat="1" applyFont="1" applyFill="1" applyAlignment="1">
      <alignment horizontal="right"/>
    </xf>
    <xf numFmtId="0" fontId="35" fillId="0" borderId="0" xfId="0" applyFont="1" applyAlignment="1">
      <alignment horizontal="right"/>
    </xf>
    <xf numFmtId="0" fontId="35" fillId="20" borderId="16" xfId="0" quotePrefix="1" applyFont="1" applyFill="1" applyBorder="1" applyAlignment="1">
      <alignment horizontal="left"/>
    </xf>
    <xf numFmtId="0" fontId="124" fillId="0" borderId="16" xfId="0" applyFont="1" applyBorder="1"/>
    <xf numFmtId="6" fontId="35" fillId="20" borderId="16" xfId="0" applyNumberFormat="1" applyFont="1" applyFill="1" applyBorder="1"/>
    <xf numFmtId="0" fontId="125" fillId="0" borderId="16" xfId="0" applyFont="1" applyBorder="1" applyAlignment="1">
      <alignment horizontal="right"/>
    </xf>
    <xf numFmtId="0" fontId="0" fillId="0" borderId="0" xfId="0" applyAlignment="1">
      <alignment horizontal="left" vertical="center" wrapText="1"/>
    </xf>
    <xf numFmtId="0" fontId="53" fillId="16" borderId="1" xfId="0" applyFont="1" applyFill="1" applyBorder="1"/>
    <xf numFmtId="4" fontId="13" fillId="16" borderId="1" xfId="0" applyNumberFormat="1" applyFont="1" applyFill="1" applyBorder="1" applyAlignment="1">
      <alignment horizontal="center"/>
    </xf>
    <xf numFmtId="14" fontId="2" fillId="0" borderId="0" xfId="9" applyNumberFormat="1" applyAlignment="1">
      <alignment vertical="center"/>
    </xf>
    <xf numFmtId="4" fontId="127" fillId="0" borderId="0" xfId="0" applyNumberFormat="1" applyFont="1"/>
    <xf numFmtId="4" fontId="97" fillId="0" borderId="0" xfId="0" applyNumberFormat="1" applyFont="1"/>
    <xf numFmtId="4" fontId="97" fillId="0" borderId="0" xfId="0" applyNumberFormat="1" applyFont="1" applyAlignment="1">
      <alignment horizontal="center"/>
    </xf>
    <xf numFmtId="0" fontId="53" fillId="13" borderId="1" xfId="0" applyFont="1" applyFill="1" applyBorder="1"/>
    <xf numFmtId="0" fontId="13" fillId="13" borderId="1" xfId="0" applyFont="1" applyFill="1" applyBorder="1"/>
    <xf numFmtId="4" fontId="58" fillId="13" borderId="1" xfId="0" applyNumberFormat="1" applyFont="1" applyFill="1" applyBorder="1"/>
    <xf numFmtId="4" fontId="58" fillId="13" borderId="1" xfId="0" applyNumberFormat="1" applyFont="1" applyFill="1" applyBorder="1" applyAlignment="1">
      <alignment horizontal="center"/>
    </xf>
    <xf numFmtId="0" fontId="99" fillId="0" borderId="1" xfId="0" applyFont="1" applyBorder="1" applyAlignment="1">
      <alignment vertical="top" wrapText="1"/>
    </xf>
    <xf numFmtId="0" fontId="35" fillId="20" borderId="0" xfId="0" applyFont="1" applyFill="1"/>
    <xf numFmtId="0" fontId="125" fillId="20" borderId="16" xfId="0" applyFont="1" applyFill="1" applyBorder="1" applyAlignment="1">
      <alignment horizontal="center"/>
    </xf>
    <xf numFmtId="0" fontId="35" fillId="20" borderId="16" xfId="0" quotePrefix="1" applyFont="1" applyFill="1" applyBorder="1"/>
    <xf numFmtId="0" fontId="124" fillId="20" borderId="16" xfId="0" applyFont="1" applyFill="1" applyBorder="1"/>
    <xf numFmtId="0" fontId="35" fillId="20" borderId="31" xfId="0" applyFont="1" applyFill="1" applyBorder="1" applyAlignment="1">
      <alignment vertical="top" wrapText="1"/>
    </xf>
    <xf numFmtId="0" fontId="35" fillId="20" borderId="19" xfId="0" applyFont="1" applyFill="1" applyBorder="1" applyAlignment="1">
      <alignment vertical="top" wrapText="1"/>
    </xf>
    <xf numFmtId="14" fontId="0" fillId="0" borderId="0" xfId="0" applyNumberFormat="1" applyAlignment="1">
      <alignment horizontal="center"/>
    </xf>
    <xf numFmtId="0" fontId="12" fillId="0" borderId="0" xfId="4" applyFill="1" applyAlignment="1" applyProtection="1">
      <alignment vertical="top" wrapText="1"/>
    </xf>
    <xf numFmtId="0" fontId="12" fillId="0" borderId="0" xfId="4" applyAlignment="1" applyProtection="1">
      <alignment vertical="center"/>
    </xf>
    <xf numFmtId="0" fontId="12" fillId="0" borderId="0" xfId="4" applyFill="1" applyAlignment="1" applyProtection="1"/>
    <xf numFmtId="0" fontId="118" fillId="0" borderId="0" xfId="0" applyFont="1" applyAlignment="1">
      <alignment horizontal="left" vertical="top" wrapText="1"/>
    </xf>
    <xf numFmtId="0" fontId="14" fillId="0" borderId="0" xfId="0" quotePrefix="1" applyFont="1" applyAlignment="1">
      <alignment horizontal="left" vertical="top" wrapText="1" indent="2"/>
    </xf>
    <xf numFmtId="0" fontId="118" fillId="0" borderId="0" xfId="0" applyFont="1" applyAlignment="1">
      <alignment horizontal="left" vertical="center" wrapText="1"/>
    </xf>
    <xf numFmtId="0" fontId="118" fillId="0" borderId="0" xfId="0" applyFont="1" applyAlignment="1">
      <alignment vertical="top" wrapText="1"/>
    </xf>
    <xf numFmtId="0" fontId="14" fillId="0" borderId="0" xfId="0" applyFont="1" applyAlignment="1">
      <alignment wrapText="1"/>
    </xf>
    <xf numFmtId="0" fontId="130" fillId="0" borderId="0" xfId="0" applyFont="1" applyAlignment="1">
      <alignment vertical="top" wrapText="1"/>
    </xf>
    <xf numFmtId="177" fontId="45" fillId="0" borderId="0" xfId="0" quotePrefix="1" applyNumberFormat="1" applyFont="1"/>
    <xf numFmtId="0" fontId="99" fillId="0" borderId="0" xfId="0" applyFont="1"/>
    <xf numFmtId="4" fontId="15" fillId="0" borderId="0" xfId="0" applyNumberFormat="1" applyFont="1"/>
    <xf numFmtId="177" fontId="131" fillId="0" borderId="0" xfId="0" applyNumberFormat="1" applyFont="1"/>
    <xf numFmtId="0" fontId="99" fillId="0" borderId="0" xfId="0" applyFont="1" applyAlignment="1">
      <alignment horizontal="left" vertical="center" wrapText="1"/>
    </xf>
    <xf numFmtId="0" fontId="132" fillId="0" borderId="0" xfId="0" applyFont="1" applyAlignment="1">
      <alignment vertical="center"/>
    </xf>
    <xf numFmtId="0" fontId="3" fillId="4" borderId="11" xfId="9" applyFont="1" applyFill="1" applyBorder="1" applyAlignment="1">
      <alignment horizontal="left" vertical="center" wrapText="1"/>
    </xf>
    <xf numFmtId="0" fontId="0" fillId="2" borderId="1" xfId="0" applyFill="1" applyBorder="1" applyAlignment="1">
      <alignment horizontal="left" vertical="top" wrapText="1"/>
    </xf>
    <xf numFmtId="0" fontId="7" fillId="2" borderId="1" xfId="0" applyFont="1" applyFill="1" applyBorder="1" applyAlignment="1">
      <alignment horizontal="left" vertical="top" wrapText="1"/>
    </xf>
    <xf numFmtId="0" fontId="3" fillId="0" borderId="21" xfId="0" applyFont="1" applyBorder="1" applyAlignment="1">
      <alignment horizontal="left" vertical="top" wrapText="1"/>
    </xf>
    <xf numFmtId="0" fontId="3" fillId="0" borderId="20" xfId="0" applyFont="1" applyBorder="1" applyAlignment="1">
      <alignment horizontal="left" vertical="top" wrapText="1"/>
    </xf>
    <xf numFmtId="0" fontId="3" fillId="0" borderId="2" xfId="0" applyFont="1" applyBorder="1" applyAlignment="1">
      <alignment horizontal="left" vertical="top" wrapText="1"/>
    </xf>
    <xf numFmtId="0" fontId="8" fillId="0" borderId="0" xfId="0" applyFont="1" applyAlignment="1">
      <alignment horizontal="left"/>
    </xf>
    <xf numFmtId="0" fontId="0" fillId="2" borderId="1" xfId="0" applyFill="1" applyBorder="1" applyAlignment="1">
      <alignment horizontal="left" wrapText="1"/>
    </xf>
    <xf numFmtId="0" fontId="58" fillId="0" borderId="0" xfId="0" applyFont="1" applyAlignment="1">
      <alignment horizontal="left" vertical="top" wrapText="1"/>
    </xf>
    <xf numFmtId="0" fontId="9" fillId="2" borderId="1" xfId="0" applyFont="1" applyFill="1" applyBorder="1" applyAlignment="1">
      <alignment horizontal="left" wrapText="1"/>
    </xf>
    <xf numFmtId="0" fontId="47" fillId="2" borderId="21" xfId="0" applyFont="1" applyFill="1" applyBorder="1" applyAlignment="1">
      <alignment horizontal="center" wrapText="1"/>
    </xf>
    <xf numFmtId="0" fontId="47" fillId="2" borderId="20" xfId="0" applyFont="1" applyFill="1" applyBorder="1" applyAlignment="1">
      <alignment horizontal="center" wrapText="1"/>
    </xf>
    <xf numFmtId="0" fontId="47" fillId="2" borderId="2" xfId="0" applyFont="1" applyFill="1" applyBorder="1" applyAlignment="1">
      <alignment horizontal="center" wrapText="1"/>
    </xf>
    <xf numFmtId="0" fontId="17" fillId="0" borderId="21" xfId="0" applyFont="1" applyBorder="1" applyAlignment="1">
      <alignment horizontal="left" vertical="top" wrapText="1"/>
    </xf>
    <xf numFmtId="0" fontId="17" fillId="0" borderId="20" xfId="0" applyFont="1" applyBorder="1" applyAlignment="1">
      <alignment horizontal="left" vertical="top" wrapText="1"/>
    </xf>
    <xf numFmtId="0" fontId="17" fillId="0" borderId="2" xfId="0" applyFont="1" applyBorder="1" applyAlignment="1">
      <alignment horizontal="left" vertical="top" wrapText="1"/>
    </xf>
    <xf numFmtId="0" fontId="15" fillId="0" borderId="21" xfId="0" applyFont="1" applyBorder="1" applyAlignment="1">
      <alignment horizontal="left" vertical="top" wrapText="1"/>
    </xf>
    <xf numFmtId="0" fontId="58" fillId="4" borderId="0" xfId="0" applyFont="1" applyFill="1" applyAlignment="1">
      <alignment vertical="center" wrapText="1"/>
    </xf>
    <xf numFmtId="0" fontId="3" fillId="4" borderId="0" xfId="0" applyFont="1" applyFill="1" applyAlignment="1">
      <alignment vertical="center" wrapText="1"/>
    </xf>
    <xf numFmtId="0" fontId="3" fillId="4" borderId="0" xfId="9" applyFont="1" applyFill="1" applyAlignment="1">
      <alignment vertical="top" wrapText="1"/>
    </xf>
    <xf numFmtId="0" fontId="41" fillId="0" borderId="6" xfId="0" applyFont="1" applyBorder="1" applyAlignment="1">
      <alignment horizontal="center"/>
    </xf>
    <xf numFmtId="0" fontId="41" fillId="0" borderId="0" xfId="0" applyFont="1" applyAlignment="1">
      <alignment horizontal="center"/>
    </xf>
    <xf numFmtId="0" fontId="41" fillId="0" borderId="8" xfId="0" applyFont="1" applyBorder="1" applyAlignment="1">
      <alignment horizontal="center"/>
    </xf>
    <xf numFmtId="0" fontId="41" fillId="0" borderId="7" xfId="0" applyFont="1" applyBorder="1" applyAlignment="1">
      <alignment horizontal="center"/>
    </xf>
    <xf numFmtId="0" fontId="41" fillId="0" borderId="5" xfId="0" applyFont="1" applyBorder="1" applyAlignment="1">
      <alignment horizontal="center"/>
    </xf>
    <xf numFmtId="0" fontId="41" fillId="0" borderId="9" xfId="0" applyFont="1" applyBorder="1" applyAlignment="1">
      <alignment horizontal="center"/>
    </xf>
    <xf numFmtId="0" fontId="70" fillId="4" borderId="0" xfId="0" applyFont="1" applyFill="1" applyAlignment="1">
      <alignment vertical="top" wrapText="1"/>
    </xf>
    <xf numFmtId="0" fontId="13" fillId="4" borderId="0" xfId="0" applyFont="1" applyFill="1" applyAlignment="1">
      <alignment horizontal="left" vertical="center" wrapText="1"/>
    </xf>
    <xf numFmtId="0" fontId="58" fillId="4" borderId="0" xfId="0" applyFont="1" applyFill="1" applyAlignment="1">
      <alignment vertical="top" wrapText="1"/>
    </xf>
    <xf numFmtId="0" fontId="58" fillId="4" borderId="0" xfId="0" applyFont="1" applyFill="1" applyAlignment="1">
      <alignment horizontal="left" vertical="center" wrapText="1"/>
    </xf>
    <xf numFmtId="0" fontId="103" fillId="4" borderId="0" xfId="9" applyFont="1" applyFill="1" applyAlignment="1">
      <alignment vertical="top" wrapText="1"/>
    </xf>
    <xf numFmtId="0" fontId="70" fillId="4" borderId="0" xfId="0" applyFont="1" applyFill="1" applyAlignment="1">
      <alignment vertical="top"/>
    </xf>
    <xf numFmtId="0" fontId="3" fillId="4" borderId="0" xfId="0" applyFont="1" applyFill="1" applyAlignment="1">
      <alignment vertical="top" wrapText="1"/>
    </xf>
    <xf numFmtId="0" fontId="58" fillId="4" borderId="0" xfId="0" applyFont="1" applyFill="1" applyAlignment="1">
      <alignment horizontal="left" vertical="top" wrapText="1"/>
    </xf>
    <xf numFmtId="0" fontId="121" fillId="4" borderId="0" xfId="0" applyFont="1" applyFill="1" applyAlignment="1">
      <alignment vertical="top" wrapText="1"/>
    </xf>
    <xf numFmtId="0" fontId="3" fillId="4" borderId="0" xfId="9" applyFont="1" applyFill="1" applyAlignment="1">
      <alignment horizontal="left" vertical="center" wrapText="1"/>
    </xf>
    <xf numFmtId="0" fontId="3" fillId="4" borderId="0" xfId="9" applyFont="1" applyFill="1" applyAlignment="1">
      <alignment horizontal="left" vertical="top" wrapText="1"/>
    </xf>
    <xf numFmtId="4" fontId="19" fillId="0" borderId="7" xfId="9" applyNumberFormat="1" applyFont="1" applyBorder="1" applyAlignment="1">
      <alignment horizontal="center"/>
    </xf>
    <xf numFmtId="4" fontId="19" fillId="0" borderId="5" xfId="9" applyNumberFormat="1" applyFont="1" applyBorder="1" applyAlignment="1">
      <alignment horizontal="center"/>
    </xf>
    <xf numFmtId="4" fontId="19" fillId="0" borderId="9" xfId="9" applyNumberFormat="1" applyFont="1" applyBorder="1" applyAlignment="1">
      <alignment horizontal="center"/>
    </xf>
    <xf numFmtId="0" fontId="13" fillId="0" borderId="21" xfId="0" applyFont="1" applyBorder="1" applyAlignment="1">
      <alignment horizontal="center" vertical="top" wrapText="1"/>
    </xf>
    <xf numFmtId="0" fontId="13" fillId="0" borderId="20" xfId="0" applyFont="1" applyBorder="1" applyAlignment="1">
      <alignment horizontal="center" vertical="top" wrapText="1"/>
    </xf>
    <xf numFmtId="0" fontId="13" fillId="0" borderId="2" xfId="0" applyFont="1" applyBorder="1" applyAlignment="1">
      <alignment horizontal="center" vertical="top" wrapText="1"/>
    </xf>
    <xf numFmtId="4" fontId="6" fillId="0" borderId="21" xfId="9" applyNumberFormat="1" applyFont="1" applyBorder="1" applyAlignment="1">
      <alignment horizontal="center" vertical="top" wrapText="1"/>
    </xf>
    <xf numFmtId="4" fontId="6" fillId="0" borderId="20" xfId="9" applyNumberFormat="1" applyFont="1" applyBorder="1" applyAlignment="1">
      <alignment horizontal="center" vertical="top" wrapText="1"/>
    </xf>
    <xf numFmtId="4" fontId="6" fillId="0" borderId="2" xfId="9" applyNumberFormat="1" applyFont="1" applyBorder="1" applyAlignment="1">
      <alignment horizontal="center" vertical="top" wrapText="1"/>
    </xf>
    <xf numFmtId="4" fontId="19" fillId="0" borderId="6" xfId="9" applyNumberFormat="1" applyFont="1" applyBorder="1" applyAlignment="1">
      <alignment horizontal="center" wrapText="1"/>
    </xf>
    <xf numFmtId="4" fontId="19" fillId="0" borderId="0" xfId="9" applyNumberFormat="1" applyFont="1" applyAlignment="1">
      <alignment horizontal="center" wrapText="1"/>
    </xf>
    <xf numFmtId="4" fontId="19" fillId="0" borderId="8" xfId="9" applyNumberFormat="1" applyFont="1" applyBorder="1" applyAlignment="1">
      <alignment horizontal="center" wrapText="1"/>
    </xf>
    <xf numFmtId="4" fontId="2" fillId="0" borderId="21" xfId="9" applyNumberFormat="1" applyBorder="1" applyAlignment="1">
      <alignment horizontal="center" vertical="top" wrapText="1"/>
    </xf>
    <xf numFmtId="4" fontId="2" fillId="0" borderId="20" xfId="9" applyNumberFormat="1" applyBorder="1" applyAlignment="1">
      <alignment horizontal="center" vertical="top" wrapText="1"/>
    </xf>
    <xf numFmtId="4" fontId="2" fillId="0" borderId="2" xfId="9" applyNumberFormat="1" applyBorder="1" applyAlignment="1">
      <alignment horizontal="center" vertical="top" wrapText="1"/>
    </xf>
    <xf numFmtId="4" fontId="19" fillId="0" borderId="6" xfId="9" applyNumberFormat="1" applyFont="1" applyBorder="1" applyAlignment="1">
      <alignment horizontal="center" vertical="top" wrapText="1"/>
    </xf>
    <xf numFmtId="4" fontId="19" fillId="0" borderId="0" xfId="9" applyNumberFormat="1" applyFont="1" applyAlignment="1">
      <alignment horizontal="center" vertical="top" wrapText="1"/>
    </xf>
    <xf numFmtId="4" fontId="19" fillId="0" borderId="8" xfId="9" applyNumberFormat="1" applyFont="1" applyBorder="1" applyAlignment="1">
      <alignment horizontal="center" vertical="top" wrapText="1"/>
    </xf>
    <xf numFmtId="0" fontId="8" fillId="0" borderId="0" xfId="0" applyFont="1"/>
    <xf numFmtId="0" fontId="3" fillId="4" borderId="0" xfId="9" applyFont="1" applyFill="1"/>
    <xf numFmtId="0" fontId="34" fillId="4" borderId="20" xfId="0" applyFont="1" applyFill="1" applyBorder="1" applyAlignment="1">
      <alignment horizontal="left" vertical="top" wrapText="1"/>
    </xf>
    <xf numFmtId="0" fontId="3" fillId="4" borderId="0" xfId="9" applyFont="1" applyFill="1" applyAlignment="1">
      <alignment vertical="top"/>
    </xf>
    <xf numFmtId="0" fontId="34" fillId="4" borderId="0" xfId="0" applyFont="1" applyFill="1" applyAlignment="1">
      <alignment horizontal="left" vertical="center" wrapText="1"/>
    </xf>
    <xf numFmtId="0" fontId="70" fillId="4" borderId="0" xfId="0" applyFont="1" applyFill="1" applyAlignment="1">
      <alignment vertical="center" wrapText="1"/>
    </xf>
    <xf numFmtId="0" fontId="119" fillId="0" borderId="0" xfId="0" applyFont="1" applyAlignment="1">
      <alignment vertical="center" wrapText="1"/>
    </xf>
    <xf numFmtId="0" fontId="3" fillId="4" borderId="20" xfId="9" applyFont="1" applyFill="1" applyBorder="1" applyAlignment="1">
      <alignment vertical="top" wrapText="1"/>
    </xf>
    <xf numFmtId="0" fontId="51" fillId="0" borderId="20" xfId="9" applyFont="1" applyBorder="1"/>
    <xf numFmtId="0" fontId="51" fillId="0" borderId="2" xfId="9" applyFont="1" applyBorder="1"/>
    <xf numFmtId="0" fontId="34" fillId="4" borderId="0" xfId="0" applyFont="1" applyFill="1" applyAlignment="1">
      <alignment vertical="top" wrapText="1"/>
    </xf>
    <xf numFmtId="0" fontId="0" fillId="0" borderId="5" xfId="0" applyBorder="1"/>
    <xf numFmtId="0" fontId="58" fillId="4" borderId="8" xfId="0" applyFont="1" applyFill="1" applyBorder="1" applyAlignment="1">
      <alignment vertical="center" wrapText="1"/>
    </xf>
    <xf numFmtId="0" fontId="58" fillId="4" borderId="10" xfId="0" applyFont="1" applyFill="1" applyBorder="1" applyAlignment="1">
      <alignment vertical="center" wrapText="1"/>
    </xf>
    <xf numFmtId="0" fontId="58" fillId="4" borderId="15" xfId="0" applyFont="1" applyFill="1" applyBorder="1" applyAlignment="1">
      <alignment vertical="center" wrapText="1"/>
    </xf>
    <xf numFmtId="0" fontId="78" fillId="4" borderId="0" xfId="0" applyFont="1" applyFill="1" applyAlignment="1">
      <alignment vertical="center" wrapText="1"/>
    </xf>
    <xf numFmtId="0" fontId="35" fillId="0" borderId="0" xfId="0" applyFont="1" applyAlignment="1">
      <alignment vertical="center"/>
    </xf>
    <xf numFmtId="0" fontId="0" fillId="0" borderId="0" xfId="0"/>
    <xf numFmtId="0" fontId="3" fillId="4" borderId="0" xfId="9" applyFont="1" applyFill="1" applyAlignment="1">
      <alignment vertical="center" wrapText="1"/>
    </xf>
    <xf numFmtId="0" fontId="58" fillId="4" borderId="2" xfId="0" applyFont="1" applyFill="1" applyBorder="1" applyAlignment="1">
      <alignment vertical="center" wrapText="1"/>
    </xf>
    <xf numFmtId="0" fontId="58" fillId="4" borderId="1" xfId="0" applyFont="1" applyFill="1" applyBorder="1" applyAlignment="1">
      <alignment vertical="center" wrapText="1"/>
    </xf>
    <xf numFmtId="0" fontId="34" fillId="4" borderId="5" xfId="0" applyFont="1" applyFill="1" applyBorder="1" applyAlignment="1">
      <alignment horizontal="left" vertical="center" wrapText="1"/>
    </xf>
    <xf numFmtId="0" fontId="3" fillId="4" borderId="25" xfId="9" applyFont="1" applyFill="1" applyBorder="1" applyAlignment="1">
      <alignment horizontal="left" vertical="top" wrapText="1"/>
    </xf>
    <xf numFmtId="0" fontId="3" fillId="4" borderId="26" xfId="9" applyFont="1" applyFill="1" applyBorder="1" applyAlignment="1">
      <alignment horizontal="left" vertical="top" wrapText="1"/>
    </xf>
    <xf numFmtId="0" fontId="3" fillId="4" borderId="27" xfId="9" applyFont="1" applyFill="1" applyBorder="1" applyAlignment="1">
      <alignment horizontal="left" vertical="top" wrapText="1"/>
    </xf>
    <xf numFmtId="0" fontId="38" fillId="0" borderId="18" xfId="0" applyFont="1" applyBorder="1" applyAlignment="1">
      <alignment horizontal="left"/>
    </xf>
    <xf numFmtId="0" fontId="38" fillId="0" borderId="31" xfId="0" applyFont="1" applyBorder="1" applyAlignment="1">
      <alignment horizontal="left"/>
    </xf>
    <xf numFmtId="0" fontId="38" fillId="0" borderId="19" xfId="0" applyFont="1" applyBorder="1" applyAlignment="1">
      <alignment horizontal="left"/>
    </xf>
    <xf numFmtId="0" fontId="35" fillId="20" borderId="18" xfId="0" applyFont="1" applyFill="1" applyBorder="1" applyAlignment="1">
      <alignment horizontal="left" vertical="top" wrapText="1"/>
    </xf>
    <xf numFmtId="0" fontId="35" fillId="20" borderId="31" xfId="0" applyFont="1" applyFill="1" applyBorder="1" applyAlignment="1">
      <alignment horizontal="left" vertical="top" wrapText="1"/>
    </xf>
    <xf numFmtId="0" fontId="35" fillId="20" borderId="18" xfId="0" applyFont="1" applyFill="1" applyBorder="1" applyAlignment="1">
      <alignment vertical="top" wrapText="1"/>
    </xf>
    <xf numFmtId="0" fontId="35" fillId="20" borderId="31" xfId="0" applyFont="1" applyFill="1" applyBorder="1" applyAlignment="1">
      <alignment vertical="top" wrapText="1"/>
    </xf>
    <xf numFmtId="0" fontId="35" fillId="20" borderId="19" xfId="0" applyFont="1" applyFill="1" applyBorder="1" applyAlignment="1">
      <alignment vertical="top" wrapText="1"/>
    </xf>
    <xf numFmtId="178" fontId="103" fillId="21" borderId="57" xfId="3" quotePrefix="1" applyNumberFormat="1" applyFont="1" applyFill="1" applyBorder="1" applyAlignment="1" applyProtection="1">
      <alignment horizontal="center" vertical="center" wrapText="1"/>
    </xf>
    <xf numFmtId="178" fontId="103" fillId="21" borderId="58" xfId="3" applyNumberFormat="1" applyFont="1" applyFill="1" applyBorder="1" applyAlignment="1" applyProtection="1">
      <alignment horizontal="center" vertical="center" wrapText="1"/>
    </xf>
    <xf numFmtId="174" fontId="122" fillId="20" borderId="55" xfId="13" quotePrefix="1" applyNumberFormat="1" applyFont="1" applyFill="1" applyBorder="1" applyAlignment="1" applyProtection="1">
      <alignment horizontal="left" vertical="center"/>
    </xf>
    <xf numFmtId="174" fontId="122" fillId="20" borderId="0" xfId="13" quotePrefix="1" applyNumberFormat="1" applyFont="1" applyFill="1" applyBorder="1" applyAlignment="1" applyProtection="1">
      <alignment horizontal="left" vertical="center"/>
    </xf>
    <xf numFmtId="174" fontId="122" fillId="20" borderId="56" xfId="13" quotePrefix="1" applyNumberFormat="1" applyFont="1" applyFill="1" applyBorder="1" applyAlignment="1" applyProtection="1">
      <alignment horizontal="left" vertical="center"/>
    </xf>
    <xf numFmtId="0" fontId="35" fillId="20" borderId="18" xfId="0" applyFont="1" applyFill="1" applyBorder="1" applyAlignment="1">
      <alignment wrapText="1"/>
    </xf>
    <xf numFmtId="0" fontId="35" fillId="20" borderId="31" xfId="0" applyFont="1" applyFill="1" applyBorder="1" applyAlignment="1">
      <alignment wrapText="1"/>
    </xf>
    <xf numFmtId="0" fontId="35" fillId="20" borderId="19" xfId="0" applyFont="1" applyFill="1" applyBorder="1" applyAlignment="1">
      <alignment wrapText="1"/>
    </xf>
    <xf numFmtId="0" fontId="36" fillId="20" borderId="18" xfId="0" applyFont="1" applyFill="1" applyBorder="1" applyAlignment="1">
      <alignment wrapText="1"/>
    </xf>
    <xf numFmtId="0" fontId="36" fillId="20" borderId="31" xfId="0" applyFont="1" applyFill="1" applyBorder="1" applyAlignment="1">
      <alignment wrapText="1"/>
    </xf>
    <xf numFmtId="0" fontId="36" fillId="20" borderId="19" xfId="0" applyFont="1" applyFill="1" applyBorder="1" applyAlignment="1">
      <alignment wrapText="1"/>
    </xf>
    <xf numFmtId="174" fontId="2" fillId="22" borderId="59" xfId="13" quotePrefix="1" applyNumberFormat="1" applyFont="1" applyFill="1" applyBorder="1" applyAlignment="1" applyProtection="1">
      <alignment horizontal="center" vertical="center"/>
    </xf>
    <xf numFmtId="3" fontId="0" fillId="0" borderId="21" xfId="0" applyNumberFormat="1" applyBorder="1" applyAlignment="1">
      <alignment vertical="center"/>
    </xf>
    <xf numFmtId="3" fontId="0" fillId="0" borderId="20" xfId="0" applyNumberFormat="1" applyBorder="1" applyAlignment="1">
      <alignment vertical="center"/>
    </xf>
    <xf numFmtId="174" fontId="2" fillId="20" borderId="59" xfId="13" quotePrefix="1" applyNumberFormat="1" applyFont="1" applyFill="1" applyBorder="1" applyAlignment="1" applyProtection="1">
      <alignment horizontal="center" vertical="center"/>
    </xf>
    <xf numFmtId="3" fontId="0" fillId="0" borderId="47" xfId="0" applyNumberFormat="1" applyBorder="1" applyAlignment="1">
      <alignment vertical="center"/>
    </xf>
    <xf numFmtId="0" fontId="90" fillId="20" borderId="18" xfId="0" applyFont="1" applyFill="1" applyBorder="1" applyAlignment="1">
      <alignment horizontal="left"/>
    </xf>
    <xf numFmtId="0" fontId="90" fillId="20" borderId="31" xfId="0" applyFont="1" applyFill="1" applyBorder="1" applyAlignment="1">
      <alignment horizontal="left"/>
    </xf>
    <xf numFmtId="0" fontId="90" fillId="20" borderId="19" xfId="0" applyFont="1" applyFill="1" applyBorder="1" applyAlignment="1">
      <alignment horizontal="left"/>
    </xf>
    <xf numFmtId="0" fontId="35" fillId="0" borderId="36" xfId="0" applyFont="1" applyBorder="1" applyAlignment="1">
      <alignment horizontal="left" vertical="top" wrapText="1"/>
    </xf>
    <xf numFmtId="0" fontId="35" fillId="0" borderId="37" xfId="0" applyFont="1" applyBorder="1" applyAlignment="1">
      <alignment horizontal="left" vertical="top"/>
    </xf>
    <xf numFmtId="0" fontId="35" fillId="0" borderId="38" xfId="0" applyFont="1" applyBorder="1" applyAlignment="1">
      <alignment horizontal="left" vertical="top"/>
    </xf>
    <xf numFmtId="17" fontId="103" fillId="21" borderId="57" xfId="0" quotePrefix="1" applyNumberFormat="1" applyFont="1" applyFill="1" applyBorder="1" applyAlignment="1">
      <alignment horizontal="center" vertical="center" wrapText="1"/>
    </xf>
    <xf numFmtId="0" fontId="103" fillId="21" borderId="61" xfId="0" applyFont="1" applyFill="1" applyBorder="1" applyAlignment="1">
      <alignment horizontal="center" vertical="center" wrapText="1"/>
    </xf>
    <xf numFmtId="0" fontId="103" fillId="21" borderId="60" xfId="0" quotePrefix="1" applyFont="1" applyFill="1" applyBorder="1" applyAlignment="1">
      <alignment horizontal="center" vertical="center" wrapText="1"/>
    </xf>
    <xf numFmtId="178" fontId="103" fillId="21" borderId="60" xfId="3" quotePrefix="1" applyNumberFormat="1" applyFont="1" applyFill="1" applyBorder="1" applyAlignment="1" applyProtection="1">
      <alignment horizontal="center" vertical="center" wrapText="1"/>
    </xf>
    <xf numFmtId="0" fontId="35" fillId="20" borderId="19" xfId="0" applyFont="1" applyFill="1" applyBorder="1" applyAlignment="1">
      <alignment horizontal="left" vertical="top" wrapText="1"/>
    </xf>
    <xf numFmtId="0" fontId="90" fillId="20" borderId="18" xfId="0" applyFont="1" applyFill="1" applyBorder="1" applyAlignment="1">
      <alignment horizontal="left" vertical="top"/>
    </xf>
    <xf numFmtId="0" fontId="90" fillId="20" borderId="31" xfId="0" applyFont="1" applyFill="1" applyBorder="1" applyAlignment="1">
      <alignment horizontal="left" vertical="top"/>
    </xf>
    <xf numFmtId="0" fontId="90" fillId="20" borderId="19" xfId="0" applyFont="1" applyFill="1" applyBorder="1" applyAlignment="1">
      <alignment horizontal="left" vertical="top"/>
    </xf>
    <xf numFmtId="0" fontId="35" fillId="20" borderId="62" xfId="0" applyFont="1" applyFill="1" applyBorder="1" applyAlignment="1">
      <alignment horizontal="left" vertical="top" wrapText="1"/>
    </xf>
    <xf numFmtId="0" fontId="35" fillId="20" borderId="63" xfId="0" applyFont="1" applyFill="1" applyBorder="1" applyAlignment="1">
      <alignment horizontal="left" vertical="top" wrapText="1"/>
    </xf>
    <xf numFmtId="0" fontId="38" fillId="0" borderId="18" xfId="0" applyFont="1" applyBorder="1" applyAlignment="1">
      <alignment horizontal="left" wrapText="1"/>
    </xf>
    <xf numFmtId="0" fontId="35" fillId="0" borderId="18" xfId="0" applyFont="1" applyBorder="1" applyAlignment="1">
      <alignment horizontal="center"/>
    </xf>
    <xf numFmtId="0" fontId="35" fillId="0" borderId="31" xfId="0" applyFont="1" applyBorder="1" applyAlignment="1">
      <alignment horizontal="center"/>
    </xf>
    <xf numFmtId="0" fontId="35" fillId="0" borderId="19" xfId="0" applyFont="1" applyBorder="1" applyAlignment="1">
      <alignment horizontal="center"/>
    </xf>
    <xf numFmtId="0" fontId="0" fillId="0" borderId="0" xfId="0" applyAlignment="1">
      <alignment horizontal="center" vertical="center"/>
    </xf>
    <xf numFmtId="0" fontId="123" fillId="0" borderId="44" xfId="0" applyFont="1" applyBorder="1" applyAlignment="1">
      <alignment horizontal="left" vertical="center"/>
    </xf>
    <xf numFmtId="0" fontId="123" fillId="0" borderId="64" xfId="0" applyFont="1" applyBorder="1" applyAlignment="1">
      <alignment horizontal="left" vertical="center"/>
    </xf>
    <xf numFmtId="0" fontId="123" fillId="0" borderId="45" xfId="0" applyFont="1" applyBorder="1" applyAlignment="1">
      <alignment horizontal="left" vertical="center"/>
    </xf>
    <xf numFmtId="0" fontId="95" fillId="27" borderId="42" xfId="0" applyFont="1" applyFill="1" applyBorder="1" applyAlignment="1">
      <alignment horizontal="center"/>
    </xf>
    <xf numFmtId="0" fontId="35" fillId="20" borderId="42" xfId="0" applyFont="1" applyFill="1" applyBorder="1" applyAlignment="1">
      <alignment horizontal="left" vertical="top" wrapText="1"/>
    </xf>
    <xf numFmtId="4" fontId="35" fillId="20" borderId="16" xfId="0" applyNumberFormat="1" applyFont="1" applyFill="1" applyBorder="1" applyAlignment="1">
      <alignment horizontal="center"/>
    </xf>
    <xf numFmtId="0" fontId="35" fillId="20" borderId="16" xfId="0" applyFont="1" applyFill="1" applyBorder="1" applyAlignment="1">
      <alignment horizontal="center"/>
    </xf>
    <xf numFmtId="0" fontId="38" fillId="0" borderId="18" xfId="0" applyFont="1" applyBorder="1" applyAlignment="1">
      <alignment horizontal="left" vertical="center"/>
    </xf>
    <xf numFmtId="0" fontId="38" fillId="0" borderId="31" xfId="0" applyFont="1" applyBorder="1" applyAlignment="1">
      <alignment horizontal="left" vertical="center"/>
    </xf>
    <xf numFmtId="0" fontId="38" fillId="0" borderId="19" xfId="0" applyFont="1" applyBorder="1" applyAlignment="1">
      <alignment horizontal="left" vertical="center"/>
    </xf>
    <xf numFmtId="0" fontId="35" fillId="20" borderId="16" xfId="0" applyFont="1" applyFill="1" applyBorder="1" applyAlignment="1">
      <alignment horizontal="center" vertical="center" wrapText="1"/>
    </xf>
    <xf numFmtId="0" fontId="35" fillId="0" borderId="16" xfId="0" applyFont="1" applyBorder="1" applyAlignment="1">
      <alignment horizontal="center" vertical="center" wrapText="1"/>
    </xf>
    <xf numFmtId="4" fontId="35" fillId="0" borderId="16" xfId="0" applyNumberFormat="1" applyFont="1" applyBorder="1" applyAlignment="1">
      <alignment horizontal="center"/>
    </xf>
    <xf numFmtId="0" fontId="35" fillId="0" borderId="16" xfId="0" applyFont="1" applyBorder="1" applyAlignment="1">
      <alignment horizontal="center"/>
    </xf>
  </cellXfs>
  <cellStyles count="14">
    <cellStyle name="Dezimal 3" xfId="1" xr:uid="{00000000-0005-0000-0000-000000000000}"/>
    <cellStyle name="Komma" xfId="2" builtinId="3"/>
    <cellStyle name="Komma 2" xfId="3" xr:uid="{00000000-0005-0000-0000-000002000000}"/>
    <cellStyle name="Link" xfId="4" builtinId="8"/>
    <cellStyle name="Prozent" xfId="5" builtinId="5"/>
    <cellStyle name="Prozent 2" xfId="6" xr:uid="{00000000-0005-0000-0000-000005000000}"/>
    <cellStyle name="Prozent 2 2" xfId="7" xr:uid="{00000000-0005-0000-0000-000006000000}"/>
    <cellStyle name="Prozent 3" xfId="8" xr:uid="{00000000-0005-0000-0000-000007000000}"/>
    <cellStyle name="Standard" xfId="0" builtinId="0"/>
    <cellStyle name="Standard 2" xfId="9" xr:uid="{00000000-0005-0000-0000-000009000000}"/>
    <cellStyle name="Standard 2 2" xfId="10" xr:uid="{00000000-0005-0000-0000-00000A000000}"/>
    <cellStyle name="Standard 2 2 2" xfId="11" xr:uid="{00000000-0005-0000-0000-00000B000000}"/>
    <cellStyle name="Standard 2 2_EEG-Vergütungen und vNNE" xfId="12" xr:uid="{00000000-0005-0000-0000-00000C000000}"/>
    <cellStyle name="Währung 2" xfId="13" xr:uid="{00000000-0005-0000-0000-00000D000000}"/>
  </cellStyles>
  <dxfs count="16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lor rgb="FF9C0006"/>
      </font>
      <fill>
        <patternFill>
          <bgColor rgb="FFFFC7CE"/>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0.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6" Type="http://schemas.openxmlformats.org/officeDocument/2006/relationships/image" Target="../media/image4.emf"/><Relationship Id="rId5" Type="http://schemas.openxmlformats.org/officeDocument/2006/relationships/image" Target="../media/image6.emf"/><Relationship Id="rId4" Type="http://schemas.openxmlformats.org/officeDocument/2006/relationships/image" Target="../media/image3.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2.emf"/><Relationship Id="rId2" Type="http://schemas.openxmlformats.org/officeDocument/2006/relationships/image" Target="../media/image1.emf"/><Relationship Id="rId1" Type="http://schemas.openxmlformats.org/officeDocument/2006/relationships/image" Target="../media/image5.emf"/><Relationship Id="rId5" Type="http://schemas.openxmlformats.org/officeDocument/2006/relationships/image" Target="../media/image4.emf"/><Relationship Id="rId4"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61</xdr:row>
          <xdr:rowOff>0</xdr:rowOff>
        </xdr:from>
        <xdr:to>
          <xdr:col>2</xdr:col>
          <xdr:colOff>0</xdr:colOff>
          <xdr:row>61</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06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61</xdr:row>
          <xdr:rowOff>0</xdr:rowOff>
        </xdr:from>
        <xdr:to>
          <xdr:col>2</xdr:col>
          <xdr:colOff>0</xdr:colOff>
          <xdr:row>61</xdr:row>
          <xdr:rowOff>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06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61</xdr:row>
          <xdr:rowOff>0</xdr:rowOff>
        </xdr:from>
        <xdr:to>
          <xdr:col>2</xdr:col>
          <xdr:colOff>0</xdr:colOff>
          <xdr:row>61</xdr:row>
          <xdr:rowOff>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06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61</xdr:row>
          <xdr:rowOff>0</xdr:rowOff>
        </xdr:from>
        <xdr:to>
          <xdr:col>2</xdr:col>
          <xdr:colOff>0</xdr:colOff>
          <xdr:row>61</xdr:row>
          <xdr:rowOff>0</xdr:rowOff>
        </xdr:to>
        <xdr:sp macro="" textlink="">
          <xdr:nvSpPr>
            <xdr:cNvPr id="53253" name="Object 5" hidden="1">
              <a:extLst>
                <a:ext uri="{63B3BB69-23CF-44E3-9099-C40C66FF867C}">
                  <a14:compatExt spid="_x0000_s53253"/>
                </a:ext>
                <a:ext uri="{FF2B5EF4-FFF2-40B4-BE49-F238E27FC236}">
                  <a16:creationId xmlns:a16="http://schemas.microsoft.com/office/drawing/2014/main" id="{00000000-0008-0000-0600-000005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15</xdr:row>
          <xdr:rowOff>0</xdr:rowOff>
        </xdr:from>
        <xdr:to>
          <xdr:col>2</xdr:col>
          <xdr:colOff>0</xdr:colOff>
          <xdr:row>15</xdr:row>
          <xdr:rowOff>0</xdr:rowOff>
        </xdr:to>
        <xdr:sp macro="" textlink="">
          <xdr:nvSpPr>
            <xdr:cNvPr id="36865" name="Object 1" hidden="1">
              <a:extLst>
                <a:ext uri="{63B3BB69-23CF-44E3-9099-C40C66FF867C}">
                  <a14:compatExt spid="_x0000_s36865"/>
                </a:ext>
                <a:ext uri="{FF2B5EF4-FFF2-40B4-BE49-F238E27FC236}">
                  <a16:creationId xmlns:a16="http://schemas.microsoft.com/office/drawing/2014/main" id="{00000000-0008-0000-0700-000001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167</xdr:row>
          <xdr:rowOff>0</xdr:rowOff>
        </xdr:from>
        <xdr:to>
          <xdr:col>2</xdr:col>
          <xdr:colOff>0</xdr:colOff>
          <xdr:row>167</xdr:row>
          <xdr:rowOff>0</xdr:rowOff>
        </xdr:to>
        <xdr:sp macro="" textlink="">
          <xdr:nvSpPr>
            <xdr:cNvPr id="36866" name="Object 2" hidden="1">
              <a:extLst>
                <a:ext uri="{63B3BB69-23CF-44E3-9099-C40C66FF867C}">
                  <a14:compatExt spid="_x0000_s36866"/>
                </a:ext>
                <a:ext uri="{FF2B5EF4-FFF2-40B4-BE49-F238E27FC236}">
                  <a16:creationId xmlns:a16="http://schemas.microsoft.com/office/drawing/2014/main" id="{00000000-0008-0000-0700-000002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167</xdr:row>
          <xdr:rowOff>0</xdr:rowOff>
        </xdr:from>
        <xdr:to>
          <xdr:col>2</xdr:col>
          <xdr:colOff>0</xdr:colOff>
          <xdr:row>167</xdr:row>
          <xdr:rowOff>0</xdr:rowOff>
        </xdr:to>
        <xdr:sp macro="" textlink="">
          <xdr:nvSpPr>
            <xdr:cNvPr id="36867" name="Object 3" hidden="1">
              <a:extLst>
                <a:ext uri="{63B3BB69-23CF-44E3-9099-C40C66FF867C}">
                  <a14:compatExt spid="_x0000_s36867"/>
                </a:ext>
                <a:ext uri="{FF2B5EF4-FFF2-40B4-BE49-F238E27FC236}">
                  <a16:creationId xmlns:a16="http://schemas.microsoft.com/office/drawing/2014/main" id="{00000000-0008-0000-0700-000003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167</xdr:row>
          <xdr:rowOff>0</xdr:rowOff>
        </xdr:from>
        <xdr:to>
          <xdr:col>2</xdr:col>
          <xdr:colOff>0</xdr:colOff>
          <xdr:row>167</xdr:row>
          <xdr:rowOff>0</xdr:rowOff>
        </xdr:to>
        <xdr:sp macro="" textlink="">
          <xdr:nvSpPr>
            <xdr:cNvPr id="36868" name="Object 4" hidden="1">
              <a:extLst>
                <a:ext uri="{63B3BB69-23CF-44E3-9099-C40C66FF867C}">
                  <a14:compatExt spid="_x0000_s36868"/>
                </a:ext>
                <a:ext uri="{FF2B5EF4-FFF2-40B4-BE49-F238E27FC236}">
                  <a16:creationId xmlns:a16="http://schemas.microsoft.com/office/drawing/2014/main" id="{00000000-0008-0000-0700-000004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167</xdr:row>
          <xdr:rowOff>0</xdr:rowOff>
        </xdr:from>
        <xdr:to>
          <xdr:col>2</xdr:col>
          <xdr:colOff>0</xdr:colOff>
          <xdr:row>167</xdr:row>
          <xdr:rowOff>0</xdr:rowOff>
        </xdr:to>
        <xdr:sp macro="" textlink="">
          <xdr:nvSpPr>
            <xdr:cNvPr id="36869" name="Object 5" hidden="1">
              <a:extLst>
                <a:ext uri="{63B3BB69-23CF-44E3-9099-C40C66FF867C}">
                  <a14:compatExt spid="_x0000_s36869"/>
                </a:ext>
                <a:ext uri="{FF2B5EF4-FFF2-40B4-BE49-F238E27FC236}">
                  <a16:creationId xmlns:a16="http://schemas.microsoft.com/office/drawing/2014/main" id="{00000000-0008-0000-0700-000005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63</xdr:row>
          <xdr:rowOff>0</xdr:rowOff>
        </xdr:from>
        <xdr:to>
          <xdr:col>2</xdr:col>
          <xdr:colOff>0</xdr:colOff>
          <xdr:row>63</xdr:row>
          <xdr:rowOff>0</xdr:rowOff>
        </xdr:to>
        <xdr:sp macro="" textlink="">
          <xdr:nvSpPr>
            <xdr:cNvPr id="36873" name="Object 9" hidden="1">
              <a:extLst>
                <a:ext uri="{63B3BB69-23CF-44E3-9099-C40C66FF867C}">
                  <a14:compatExt spid="_x0000_s36873"/>
                </a:ext>
                <a:ext uri="{FF2B5EF4-FFF2-40B4-BE49-F238E27FC236}">
                  <a16:creationId xmlns:a16="http://schemas.microsoft.com/office/drawing/2014/main" id="{00000000-0008-0000-0700-000009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57150</xdr:colOff>
          <xdr:row>102</xdr:row>
          <xdr:rowOff>0</xdr:rowOff>
        </xdr:from>
        <xdr:to>
          <xdr:col>2</xdr:col>
          <xdr:colOff>0</xdr:colOff>
          <xdr:row>102</xdr:row>
          <xdr:rowOff>0</xdr:rowOff>
        </xdr:to>
        <xdr:sp macro="" textlink="">
          <xdr:nvSpPr>
            <xdr:cNvPr id="36874" name="Object 10" hidden="1">
              <a:extLst>
                <a:ext uri="{63B3BB69-23CF-44E3-9099-C40C66FF867C}">
                  <a14:compatExt spid="_x0000_s36874"/>
                </a:ext>
                <a:ext uri="{FF2B5EF4-FFF2-40B4-BE49-F238E27FC236}">
                  <a16:creationId xmlns:a16="http://schemas.microsoft.com/office/drawing/2014/main" id="{00000000-0008-0000-0700-00000A9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13</xdr:row>
          <xdr:rowOff>0</xdr:rowOff>
        </xdr:from>
        <xdr:to>
          <xdr:col>2</xdr:col>
          <xdr:colOff>0</xdr:colOff>
          <xdr:row>13</xdr:row>
          <xdr:rowOff>0</xdr:rowOff>
        </xdr:to>
        <xdr:sp macro="" textlink="">
          <xdr:nvSpPr>
            <xdr:cNvPr id="30721" name="Object 1" hidden="1">
              <a:extLst>
                <a:ext uri="{63B3BB69-23CF-44E3-9099-C40C66FF867C}">
                  <a14:compatExt spid="_x0000_s30721"/>
                </a:ext>
                <a:ext uri="{FF2B5EF4-FFF2-40B4-BE49-F238E27FC236}">
                  <a16:creationId xmlns:a16="http://schemas.microsoft.com/office/drawing/2014/main" id="{00000000-0008-0000-0800-000001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0</xdr:rowOff>
        </xdr:from>
        <xdr:to>
          <xdr:col>2</xdr:col>
          <xdr:colOff>0</xdr:colOff>
          <xdr:row>60</xdr:row>
          <xdr:rowOff>0</xdr:rowOff>
        </xdr:to>
        <xdr:sp macro="" textlink="">
          <xdr:nvSpPr>
            <xdr:cNvPr id="30722" name="Object 2" hidden="1">
              <a:extLst>
                <a:ext uri="{63B3BB69-23CF-44E3-9099-C40C66FF867C}">
                  <a14:compatExt spid="_x0000_s30722"/>
                </a:ext>
                <a:ext uri="{FF2B5EF4-FFF2-40B4-BE49-F238E27FC236}">
                  <a16:creationId xmlns:a16="http://schemas.microsoft.com/office/drawing/2014/main" id="{00000000-0008-0000-0800-000002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60</xdr:row>
          <xdr:rowOff>0</xdr:rowOff>
        </xdr:from>
        <xdr:to>
          <xdr:col>2</xdr:col>
          <xdr:colOff>0</xdr:colOff>
          <xdr:row>60</xdr:row>
          <xdr:rowOff>0</xdr:rowOff>
        </xdr:to>
        <xdr:sp macro="" textlink="">
          <xdr:nvSpPr>
            <xdr:cNvPr id="30723" name="Object 3" hidden="1">
              <a:extLst>
                <a:ext uri="{63B3BB69-23CF-44E3-9099-C40C66FF867C}">
                  <a14:compatExt spid="_x0000_s30723"/>
                </a:ext>
                <a:ext uri="{FF2B5EF4-FFF2-40B4-BE49-F238E27FC236}">
                  <a16:creationId xmlns:a16="http://schemas.microsoft.com/office/drawing/2014/main" id="{00000000-0008-0000-0800-000003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60</xdr:row>
          <xdr:rowOff>0</xdr:rowOff>
        </xdr:from>
        <xdr:to>
          <xdr:col>2</xdr:col>
          <xdr:colOff>0</xdr:colOff>
          <xdr:row>60</xdr:row>
          <xdr:rowOff>0</xdr:rowOff>
        </xdr:to>
        <xdr:sp macro="" textlink="">
          <xdr:nvSpPr>
            <xdr:cNvPr id="30724" name="Object 4" hidden="1">
              <a:extLst>
                <a:ext uri="{63B3BB69-23CF-44E3-9099-C40C66FF867C}">
                  <a14:compatExt spid="_x0000_s30724"/>
                </a:ext>
                <a:ext uri="{FF2B5EF4-FFF2-40B4-BE49-F238E27FC236}">
                  <a16:creationId xmlns:a16="http://schemas.microsoft.com/office/drawing/2014/main" id="{00000000-0008-0000-0800-000004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60</xdr:row>
          <xdr:rowOff>0</xdr:rowOff>
        </xdr:from>
        <xdr:to>
          <xdr:col>2</xdr:col>
          <xdr:colOff>0</xdr:colOff>
          <xdr:row>60</xdr:row>
          <xdr:rowOff>0</xdr:rowOff>
        </xdr:to>
        <xdr:sp macro="" textlink="">
          <xdr:nvSpPr>
            <xdr:cNvPr id="30725" name="Object 5" hidden="1">
              <a:extLst>
                <a:ext uri="{63B3BB69-23CF-44E3-9099-C40C66FF867C}">
                  <a14:compatExt spid="_x0000_s30725"/>
                </a:ext>
                <a:ext uri="{FF2B5EF4-FFF2-40B4-BE49-F238E27FC236}">
                  <a16:creationId xmlns:a16="http://schemas.microsoft.com/office/drawing/2014/main" id="{00000000-0008-0000-0800-0000057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3</xdr:col>
      <xdr:colOff>367030</xdr:colOff>
      <xdr:row>16</xdr:row>
      <xdr:rowOff>77470</xdr:rowOff>
    </xdr:from>
    <xdr:to>
      <xdr:col>12</xdr:col>
      <xdr:colOff>662340</xdr:colOff>
      <xdr:row>26</xdr:row>
      <xdr:rowOff>7663</xdr:rowOff>
    </xdr:to>
    <xdr:sp macro="" textlink="">
      <xdr:nvSpPr>
        <xdr:cNvPr id="2" name="Rechteck 1">
          <a:extLst>
            <a:ext uri="{FF2B5EF4-FFF2-40B4-BE49-F238E27FC236}">
              <a16:creationId xmlns:a16="http://schemas.microsoft.com/office/drawing/2014/main" id="{00000000-0008-0000-0900-000002000000}"/>
            </a:ext>
          </a:extLst>
        </xdr:cNvPr>
        <xdr:cNvSpPr/>
      </xdr:nvSpPr>
      <xdr:spPr>
        <a:xfrm rot="20518239">
          <a:off x="3314700" y="299466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92D050"/>
              </a:solidFill>
            </a:rPr>
            <a:t>Verfahrensweise nach § 23d EEG</a:t>
          </a:r>
        </a:p>
      </xdr:txBody>
    </xdr:sp>
    <xdr:clientData/>
  </xdr:twoCellAnchor>
  <xdr:twoCellAnchor>
    <xdr:from>
      <xdr:col>3</xdr:col>
      <xdr:colOff>711200</xdr:colOff>
      <xdr:row>37</xdr:row>
      <xdr:rowOff>122555</xdr:rowOff>
    </xdr:from>
    <xdr:to>
      <xdr:col>13</xdr:col>
      <xdr:colOff>234943</xdr:colOff>
      <xdr:row>47</xdr:row>
      <xdr:rowOff>38150</xdr:rowOff>
    </xdr:to>
    <xdr:sp macro="" textlink="">
      <xdr:nvSpPr>
        <xdr:cNvPr id="3" name="Rechteck 2">
          <a:extLst>
            <a:ext uri="{FF2B5EF4-FFF2-40B4-BE49-F238E27FC236}">
              <a16:creationId xmlns:a16="http://schemas.microsoft.com/office/drawing/2014/main" id="{00000000-0008-0000-0900-000003000000}"/>
            </a:ext>
          </a:extLst>
        </xdr:cNvPr>
        <xdr:cNvSpPr/>
      </xdr:nvSpPr>
      <xdr:spPr>
        <a:xfrm rot="20518239">
          <a:off x="3665220" y="6873240"/>
          <a:ext cx="7475220" cy="176022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3600">
              <a:solidFill>
                <a:srgbClr val="FF0000"/>
              </a:solidFill>
            </a:rPr>
            <a:t>Unzulässige Verfahrensweise</a:t>
          </a:r>
        </a:p>
      </xdr:txBody>
    </xdr: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57150</xdr:colOff>
          <xdr:row>19</xdr:row>
          <xdr:rowOff>0</xdr:rowOff>
        </xdr:from>
        <xdr:to>
          <xdr:col>3</xdr:col>
          <xdr:colOff>0</xdr:colOff>
          <xdr:row>19</xdr:row>
          <xdr:rowOff>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0A00-000001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58</xdr:row>
          <xdr:rowOff>0</xdr:rowOff>
        </xdr:from>
        <xdr:to>
          <xdr:col>3</xdr:col>
          <xdr:colOff>0</xdr:colOff>
          <xdr:row>58</xdr:row>
          <xdr:rowOff>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361950</xdr:colOff>
          <xdr:row>58</xdr:row>
          <xdr:rowOff>0</xdr:rowOff>
        </xdr:from>
        <xdr:to>
          <xdr:col>3</xdr:col>
          <xdr:colOff>0</xdr:colOff>
          <xdr:row>58</xdr:row>
          <xdr:rowOff>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323850</xdr:colOff>
          <xdr:row>58</xdr:row>
          <xdr:rowOff>0</xdr:rowOff>
        </xdr:from>
        <xdr:to>
          <xdr:col>3</xdr:col>
          <xdr:colOff>0</xdr:colOff>
          <xdr:row>58</xdr:row>
          <xdr:rowOff>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12700</xdr:colOff>
          <xdr:row>58</xdr:row>
          <xdr:rowOff>0</xdr:rowOff>
        </xdr:from>
        <xdr:to>
          <xdr:col>3</xdr:col>
          <xdr:colOff>0</xdr:colOff>
          <xdr:row>58</xdr:row>
          <xdr:rowOff>0</xdr:rowOff>
        </xdr:to>
        <xdr:sp macro="" textlink="">
          <xdr:nvSpPr>
            <xdr:cNvPr id="35845" name="Object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24</xdr:row>
          <xdr:rowOff>31750</xdr:rowOff>
        </xdr:from>
        <xdr:to>
          <xdr:col>3</xdr:col>
          <xdr:colOff>1028700</xdr:colOff>
          <xdr:row>27</xdr:row>
          <xdr:rowOff>165100</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B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60</xdr:row>
          <xdr:rowOff>50800</xdr:rowOff>
        </xdr:from>
        <xdr:to>
          <xdr:col>6</xdr:col>
          <xdr:colOff>1041400</xdr:colOff>
          <xdr:row>63</xdr:row>
          <xdr:rowOff>171450</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B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64</xdr:row>
          <xdr:rowOff>12700</xdr:rowOff>
        </xdr:from>
        <xdr:to>
          <xdr:col>5</xdr:col>
          <xdr:colOff>1409700</xdr:colOff>
          <xdr:row>66</xdr:row>
          <xdr:rowOff>133350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B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67</xdr:row>
          <xdr:rowOff>88900</xdr:rowOff>
        </xdr:from>
        <xdr:to>
          <xdr:col>5</xdr:col>
          <xdr:colOff>933450</xdr:colOff>
          <xdr:row>69</xdr:row>
          <xdr:rowOff>114300</xdr:rowOff>
        </xdr:to>
        <xdr:sp macro="" textlink="">
          <xdr:nvSpPr>
            <xdr:cNvPr id="2052" name="Object 4" hidden="1">
              <a:extLst>
                <a:ext uri="{63B3BB69-23CF-44E3-9099-C40C66FF867C}">
                  <a14:compatExt spid="_x0000_s2052"/>
                </a:ext>
                <a:ext uri="{FF2B5EF4-FFF2-40B4-BE49-F238E27FC236}">
                  <a16:creationId xmlns:a16="http://schemas.microsoft.com/office/drawing/2014/main" id="{00000000-0008-0000-0B00-000004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990600</xdr:colOff>
          <xdr:row>69</xdr:row>
          <xdr:rowOff>171450</xdr:rowOff>
        </xdr:from>
        <xdr:to>
          <xdr:col>6</xdr:col>
          <xdr:colOff>1041400</xdr:colOff>
          <xdr:row>72</xdr:row>
          <xdr:rowOff>127000</xdr:rowOff>
        </xdr:to>
        <xdr:sp macro="" textlink="">
          <xdr:nvSpPr>
            <xdr:cNvPr id="2054" name="Object 6" hidden="1">
              <a:extLst>
                <a:ext uri="{63B3BB69-23CF-44E3-9099-C40C66FF867C}">
                  <a14:compatExt spid="_x0000_s2054"/>
                </a:ext>
                <a:ext uri="{FF2B5EF4-FFF2-40B4-BE49-F238E27FC236}">
                  <a16:creationId xmlns:a16="http://schemas.microsoft.com/office/drawing/2014/main" id="{00000000-0008-0000-0B00-000006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70</xdr:row>
          <xdr:rowOff>38100</xdr:rowOff>
        </xdr:from>
        <xdr:to>
          <xdr:col>3</xdr:col>
          <xdr:colOff>971550</xdr:colOff>
          <xdr:row>72</xdr:row>
          <xdr:rowOff>95250</xdr:rowOff>
        </xdr:to>
        <xdr:sp macro="" textlink="">
          <xdr:nvSpPr>
            <xdr:cNvPr id="2055" name="Object 7" hidden="1">
              <a:extLst>
                <a:ext uri="{63B3BB69-23CF-44E3-9099-C40C66FF867C}">
                  <a14:compatExt spid="_x0000_s2055"/>
                </a:ext>
                <a:ext uri="{FF2B5EF4-FFF2-40B4-BE49-F238E27FC236}">
                  <a16:creationId xmlns:a16="http://schemas.microsoft.com/office/drawing/2014/main" id="{00000000-0008-0000-0B00-000007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38100</xdr:colOff>
          <xdr:row>9</xdr:row>
          <xdr:rowOff>0</xdr:rowOff>
        </xdr:from>
        <xdr:to>
          <xdr:col>3</xdr:col>
          <xdr:colOff>1009650</xdr:colOff>
          <xdr:row>9</xdr:row>
          <xdr:rowOff>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C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62</xdr:row>
          <xdr:rowOff>0</xdr:rowOff>
        </xdr:from>
        <xdr:to>
          <xdr:col>6</xdr:col>
          <xdr:colOff>1041400</xdr:colOff>
          <xdr:row>62</xdr:row>
          <xdr:rowOff>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C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342900</xdr:colOff>
          <xdr:row>62</xdr:row>
          <xdr:rowOff>0</xdr:rowOff>
        </xdr:from>
        <xdr:to>
          <xdr:col>5</xdr:col>
          <xdr:colOff>1409700</xdr:colOff>
          <xdr:row>62</xdr:row>
          <xdr:rowOff>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C00-000003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304800</xdr:colOff>
          <xdr:row>62</xdr:row>
          <xdr:rowOff>0</xdr:rowOff>
        </xdr:from>
        <xdr:to>
          <xdr:col>5</xdr:col>
          <xdr:colOff>933450</xdr:colOff>
          <xdr:row>62</xdr:row>
          <xdr:rowOff>0</xdr:rowOff>
        </xdr:to>
        <xdr:sp macro="" textlink="">
          <xdr:nvSpPr>
            <xdr:cNvPr id="4100" name="Object 4" hidden="1">
              <a:extLst>
                <a:ext uri="{63B3BB69-23CF-44E3-9099-C40C66FF867C}">
                  <a14:compatExt spid="_x0000_s4100"/>
                </a:ext>
                <a:ext uri="{FF2B5EF4-FFF2-40B4-BE49-F238E27FC236}">
                  <a16:creationId xmlns:a16="http://schemas.microsoft.com/office/drawing/2014/main" id="{00000000-0008-0000-0C00-000004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971550</xdr:colOff>
          <xdr:row>62</xdr:row>
          <xdr:rowOff>0</xdr:rowOff>
        </xdr:from>
        <xdr:to>
          <xdr:col>6</xdr:col>
          <xdr:colOff>1041400</xdr:colOff>
          <xdr:row>62</xdr:row>
          <xdr:rowOff>0</xdr:rowOff>
        </xdr:to>
        <xdr:sp macro="" textlink="">
          <xdr:nvSpPr>
            <xdr:cNvPr id="4101" name="Object 5" hidden="1">
              <a:extLst>
                <a:ext uri="{63B3BB69-23CF-44E3-9099-C40C66FF867C}">
                  <a14:compatExt spid="_x0000_s4101"/>
                </a:ext>
                <a:ext uri="{FF2B5EF4-FFF2-40B4-BE49-F238E27FC236}">
                  <a16:creationId xmlns:a16="http://schemas.microsoft.com/office/drawing/2014/main" id="{00000000-0008-0000-0C00-000005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19050</xdr:colOff>
          <xdr:row>62</xdr:row>
          <xdr:rowOff>0</xdr:rowOff>
        </xdr:from>
        <xdr:to>
          <xdr:col>3</xdr:col>
          <xdr:colOff>946150</xdr:colOff>
          <xdr:row>62</xdr:row>
          <xdr:rowOff>0</xdr:rowOff>
        </xdr:to>
        <xdr:sp macro="" textlink="">
          <xdr:nvSpPr>
            <xdr:cNvPr id="4102" name="Object 6" hidden="1">
              <a:extLst>
                <a:ext uri="{63B3BB69-23CF-44E3-9099-C40C66FF867C}">
                  <a14:compatExt spid="_x0000_s4102"/>
                </a:ext>
                <a:ext uri="{FF2B5EF4-FFF2-40B4-BE49-F238E27FC236}">
                  <a16:creationId xmlns:a16="http://schemas.microsoft.com/office/drawing/2014/main" id="{00000000-0008-0000-0C00-000006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bmwk.de/Redaktion/DE/FAQ/EEG-2021/faq-beihilferechtlichen-genehmigung-eu-kommission.html"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x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1.xml.rels><?xml version="1.0" encoding="UTF-8" standalone="yes"?>
<Relationships xmlns="http://schemas.openxmlformats.org/package/2006/relationships"><Relationship Id="rId8" Type="http://schemas.openxmlformats.org/officeDocument/2006/relationships/oleObject" Target="../embeddings/oleObject19.bin"/><Relationship Id="rId13" Type="http://schemas.openxmlformats.org/officeDocument/2006/relationships/image" Target="../media/image4.emf"/><Relationship Id="rId3" Type="http://schemas.openxmlformats.org/officeDocument/2006/relationships/vmlDrawing" Target="../drawings/vmlDrawing9.vml"/><Relationship Id="rId7" Type="http://schemas.openxmlformats.org/officeDocument/2006/relationships/image" Target="../media/image1.emf"/><Relationship Id="rId12" Type="http://schemas.openxmlformats.org/officeDocument/2006/relationships/oleObject" Target="../embeddings/oleObject21.bin"/><Relationship Id="rId2" Type="http://schemas.openxmlformats.org/officeDocument/2006/relationships/drawing" Target="../drawings/drawing5.xml"/><Relationship Id="rId1" Type="http://schemas.openxmlformats.org/officeDocument/2006/relationships/printerSettings" Target="../printerSettings/printerSettings11.bin"/><Relationship Id="rId6" Type="http://schemas.openxmlformats.org/officeDocument/2006/relationships/oleObject" Target="../embeddings/oleObject18.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20.bin"/><Relationship Id="rId4" Type="http://schemas.openxmlformats.org/officeDocument/2006/relationships/oleObject" Target="../embeddings/oleObject17.bin"/><Relationship Id="rId9" Type="http://schemas.openxmlformats.org/officeDocument/2006/relationships/image" Target="../media/image2.emf"/><Relationship Id="rId14"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24.bin"/><Relationship Id="rId13" Type="http://schemas.openxmlformats.org/officeDocument/2006/relationships/image" Target="../media/image6.emf"/><Relationship Id="rId3" Type="http://schemas.openxmlformats.org/officeDocument/2006/relationships/vmlDrawing" Target="../drawings/vmlDrawing10.vml"/><Relationship Id="rId7" Type="http://schemas.openxmlformats.org/officeDocument/2006/relationships/image" Target="../media/image1.emf"/><Relationship Id="rId12" Type="http://schemas.openxmlformats.org/officeDocument/2006/relationships/oleObject" Target="../embeddings/oleObject26.bin"/><Relationship Id="rId2" Type="http://schemas.openxmlformats.org/officeDocument/2006/relationships/drawing" Target="../drawings/drawing6.xml"/><Relationship Id="rId1" Type="http://schemas.openxmlformats.org/officeDocument/2006/relationships/printerSettings" Target="../printerSettings/printerSettings12.bin"/><Relationship Id="rId6" Type="http://schemas.openxmlformats.org/officeDocument/2006/relationships/oleObject" Target="../embeddings/oleObject23.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25.bin"/><Relationship Id="rId4" Type="http://schemas.openxmlformats.org/officeDocument/2006/relationships/oleObject" Target="../embeddings/oleObject22.bin"/><Relationship Id="rId9" Type="http://schemas.openxmlformats.org/officeDocument/2006/relationships/image" Target="../media/image2.emf"/><Relationship Id="rId14" Type="http://schemas.openxmlformats.org/officeDocument/2006/relationships/oleObject" Target="../embeddings/oleObject27.bin"/></Relationships>
</file>

<file path=xl/worksheets/_rels/sheet13.xml.rels><?xml version="1.0" encoding="UTF-8" standalone="yes"?>
<Relationships xmlns="http://schemas.openxmlformats.org/package/2006/relationships"><Relationship Id="rId8" Type="http://schemas.openxmlformats.org/officeDocument/2006/relationships/oleObject" Target="../embeddings/oleObject30.bin"/><Relationship Id="rId13" Type="http://schemas.openxmlformats.org/officeDocument/2006/relationships/image" Target="../media/image6.emf"/><Relationship Id="rId3" Type="http://schemas.openxmlformats.org/officeDocument/2006/relationships/vmlDrawing" Target="../drawings/vmlDrawing11.vml"/><Relationship Id="rId7" Type="http://schemas.openxmlformats.org/officeDocument/2006/relationships/image" Target="../media/image1.emf"/><Relationship Id="rId12" Type="http://schemas.openxmlformats.org/officeDocument/2006/relationships/oleObject" Target="../embeddings/oleObject32.bin"/><Relationship Id="rId2" Type="http://schemas.openxmlformats.org/officeDocument/2006/relationships/drawing" Target="../drawings/drawing7.xml"/><Relationship Id="rId1" Type="http://schemas.openxmlformats.org/officeDocument/2006/relationships/printerSettings" Target="../printerSettings/printerSettings13.bin"/><Relationship Id="rId6" Type="http://schemas.openxmlformats.org/officeDocument/2006/relationships/oleObject" Target="../embeddings/oleObject29.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image" Target="../media/image4.emf"/><Relationship Id="rId10" Type="http://schemas.openxmlformats.org/officeDocument/2006/relationships/oleObject" Target="../embeddings/oleObject31.bin"/><Relationship Id="rId4" Type="http://schemas.openxmlformats.org/officeDocument/2006/relationships/oleObject" Target="../embeddings/oleObject28.bin"/><Relationship Id="rId9" Type="http://schemas.openxmlformats.org/officeDocument/2006/relationships/image" Target="../media/image2.emf"/><Relationship Id="rId14" Type="http://schemas.openxmlformats.org/officeDocument/2006/relationships/oleObject" Target="../embeddings/oleObject3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bundesnetzagentur.de/DE/Fachthemen/ElektrizitaetundGas/ErneuerbareEnergien_neu/EEG_Foerderung/start.html" TargetMode="External"/><Relationship Id="rId7" Type="http://schemas.openxmlformats.org/officeDocument/2006/relationships/vmlDrawing" Target="../drawings/vmlDrawing2.vml"/><Relationship Id="rId2" Type="http://schemas.openxmlformats.org/officeDocument/2006/relationships/hyperlink" Target="https://www.bundesnetzagentur.de/DE/Fachthemen/ElektrizitaetundGas/ErneuerbareEnergien_neu/EEG_Foerderung/start.html" TargetMode="External"/><Relationship Id="rId1" Type="http://schemas.openxmlformats.org/officeDocument/2006/relationships/hyperlink" Target="https://www.bundesnetzagentur.de/DE/Fachthemen/ElektrizitaetundGas/ErneuerbareEnergien/EEG_Foerderung/start.html" TargetMode="External"/><Relationship Id="rId6" Type="http://schemas.openxmlformats.org/officeDocument/2006/relationships/printerSettings" Target="../printerSettings/printerSettings4.bin"/><Relationship Id="rId5" Type="http://schemas.openxmlformats.org/officeDocument/2006/relationships/hyperlink" Target="https://www.bundesnetzagentur.de/DE/Fachthemen/ElektrizitaetundGas/ErneuerbareEnergien/EEG_Foerderung/start.html" TargetMode="External"/><Relationship Id="rId4" Type="http://schemas.openxmlformats.org/officeDocument/2006/relationships/hyperlink" Target="https://www.bundesnetzagentur.de/DE/Fachthemen/ElektrizitaetundGas/ErneuerbareEnergien/EEG_Foerderung/start.html" TargetMode="Externa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comments" Target="../comments5.xml"/><Relationship Id="rId2" Type="http://schemas.openxmlformats.org/officeDocument/2006/relationships/drawing" Target="../drawings/drawing1.xml"/><Relationship Id="rId1" Type="http://schemas.openxmlformats.org/officeDocument/2006/relationships/printerSettings" Target="../printerSettings/printerSettings7.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7.bin"/><Relationship Id="rId13" Type="http://schemas.openxmlformats.org/officeDocument/2006/relationships/image" Target="../media/image4.emf"/><Relationship Id="rId3" Type="http://schemas.openxmlformats.org/officeDocument/2006/relationships/vmlDrawing" Target="../drawings/vmlDrawing6.vml"/><Relationship Id="rId7" Type="http://schemas.openxmlformats.org/officeDocument/2006/relationships/image" Target="../media/image1.emf"/><Relationship Id="rId12" Type="http://schemas.openxmlformats.org/officeDocument/2006/relationships/oleObject" Target="../embeddings/oleObject9.bin"/><Relationship Id="rId2" Type="http://schemas.openxmlformats.org/officeDocument/2006/relationships/drawing" Target="../drawings/drawing2.xml"/><Relationship Id="rId16" Type="http://schemas.openxmlformats.org/officeDocument/2006/relationships/comments" Target="../comments6.xml"/><Relationship Id="rId1" Type="http://schemas.openxmlformats.org/officeDocument/2006/relationships/printerSettings" Target="../printerSettings/printerSettings8.bin"/><Relationship Id="rId6" Type="http://schemas.openxmlformats.org/officeDocument/2006/relationships/oleObject" Target="../embeddings/oleObject6.bin"/><Relationship Id="rId11" Type="http://schemas.openxmlformats.org/officeDocument/2006/relationships/image" Target="../media/image3.emf"/><Relationship Id="rId5" Type="http://schemas.openxmlformats.org/officeDocument/2006/relationships/image" Target="../media/image5.emf"/><Relationship Id="rId15" Type="http://schemas.openxmlformats.org/officeDocument/2006/relationships/oleObject" Target="../embeddings/oleObject11.bin"/><Relationship Id="rId10" Type="http://schemas.openxmlformats.org/officeDocument/2006/relationships/oleObject" Target="../embeddings/oleObject8.bin"/><Relationship Id="rId4" Type="http://schemas.openxmlformats.org/officeDocument/2006/relationships/oleObject" Target="../embeddings/oleObject5.bin"/><Relationship Id="rId9" Type="http://schemas.openxmlformats.org/officeDocument/2006/relationships/image" Target="../media/image2.emf"/><Relationship Id="rId14" Type="http://schemas.openxmlformats.org/officeDocument/2006/relationships/oleObject" Target="../embeddings/oleObject10.bin"/></Relationships>
</file>

<file path=xl/worksheets/_rels/sheet9.xml.rels><?xml version="1.0" encoding="UTF-8" standalone="yes"?>
<Relationships xmlns="http://schemas.openxmlformats.org/package/2006/relationships"><Relationship Id="rId8" Type="http://schemas.openxmlformats.org/officeDocument/2006/relationships/oleObject" Target="../embeddings/oleObject14.bin"/><Relationship Id="rId13" Type="http://schemas.openxmlformats.org/officeDocument/2006/relationships/image" Target="../media/image4.emf"/><Relationship Id="rId3" Type="http://schemas.openxmlformats.org/officeDocument/2006/relationships/vmlDrawing" Target="../drawings/vmlDrawing7.vml"/><Relationship Id="rId7" Type="http://schemas.openxmlformats.org/officeDocument/2006/relationships/image" Target="../media/image1.emf"/><Relationship Id="rId12" Type="http://schemas.openxmlformats.org/officeDocument/2006/relationships/oleObject" Target="../embeddings/oleObject16.bin"/><Relationship Id="rId2" Type="http://schemas.openxmlformats.org/officeDocument/2006/relationships/drawing" Target="../drawings/drawing3.xml"/><Relationship Id="rId1" Type="http://schemas.openxmlformats.org/officeDocument/2006/relationships/printerSettings" Target="../printerSettings/printerSettings9.bin"/><Relationship Id="rId6" Type="http://schemas.openxmlformats.org/officeDocument/2006/relationships/oleObject" Target="../embeddings/oleObject13.bin"/><Relationship Id="rId11" Type="http://schemas.openxmlformats.org/officeDocument/2006/relationships/image" Target="../media/image3.emf"/><Relationship Id="rId5" Type="http://schemas.openxmlformats.org/officeDocument/2006/relationships/image" Target="../media/image5.emf"/><Relationship Id="rId10" Type="http://schemas.openxmlformats.org/officeDocument/2006/relationships/oleObject" Target="../embeddings/oleObject15.bin"/><Relationship Id="rId4" Type="http://schemas.openxmlformats.org/officeDocument/2006/relationships/oleObject" Target="../embeddings/oleObject12.bin"/><Relationship Id="rId9" Type="http://schemas.openxmlformats.org/officeDocument/2006/relationships/image" Target="../media/image2.emf"/><Relationship Id="rId1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5">
    <tabColor rgb="FFFF0000"/>
  </sheetPr>
  <dimension ref="B2:R51"/>
  <sheetViews>
    <sheetView tabSelected="1" zoomScaleNormal="100" workbookViewId="0">
      <selection activeCell="B8" sqref="B8"/>
    </sheetView>
  </sheetViews>
  <sheetFormatPr baseColWidth="10" defaultRowHeight="14.5" x14ac:dyDescent="0.35"/>
  <cols>
    <col min="1" max="1" width="4.54296875" customWidth="1"/>
    <col min="2" max="2" width="171.54296875" style="449" customWidth="1"/>
  </cols>
  <sheetData>
    <row r="2" spans="2:2" ht="26" x14ac:dyDescent="0.35">
      <c r="B2" s="450" t="s">
        <v>316</v>
      </c>
    </row>
    <row r="4" spans="2:2" x14ac:dyDescent="0.35">
      <c r="B4" s="449" t="s">
        <v>946</v>
      </c>
    </row>
    <row r="5" spans="2:2" ht="43.5" x14ac:dyDescent="0.35">
      <c r="B5" s="449" t="s">
        <v>947</v>
      </c>
    </row>
    <row r="8" spans="2:2" ht="26" x14ac:dyDescent="0.35">
      <c r="B8" s="450" t="s">
        <v>317</v>
      </c>
    </row>
    <row r="10" spans="2:2" ht="29" x14ac:dyDescent="0.35">
      <c r="B10" s="449" t="s">
        <v>330</v>
      </c>
    </row>
    <row r="11" spans="2:2" ht="77.25" customHeight="1" x14ac:dyDescent="0.35">
      <c r="B11" s="449" t="s">
        <v>334</v>
      </c>
    </row>
    <row r="12" spans="2:2" ht="29" x14ac:dyDescent="0.35">
      <c r="B12" s="449" t="s">
        <v>948</v>
      </c>
    </row>
    <row r="13" spans="2:2" ht="29" x14ac:dyDescent="0.35">
      <c r="B13" s="449" t="s">
        <v>318</v>
      </c>
    </row>
    <row r="15" spans="2:2" ht="26" x14ac:dyDescent="0.35">
      <c r="B15" s="821" t="s">
        <v>8082</v>
      </c>
    </row>
    <row r="16" spans="2:2" ht="15" customHeight="1" x14ac:dyDescent="0.35">
      <c r="B16" s="821"/>
    </row>
    <row r="17" spans="2:18" ht="57.75" customHeight="1" x14ac:dyDescent="0.35">
      <c r="B17" s="845" t="s">
        <v>8157</v>
      </c>
    </row>
    <row r="18" spans="2:18" x14ac:dyDescent="0.35">
      <c r="B18" s="877" t="s">
        <v>8264</v>
      </c>
    </row>
    <row r="20" spans="2:18" ht="26" x14ac:dyDescent="0.35">
      <c r="B20" s="821" t="s">
        <v>7877</v>
      </c>
    </row>
    <row r="21" spans="2:18" ht="15" customHeight="1" x14ac:dyDescent="0.35">
      <c r="B21" s="536"/>
    </row>
    <row r="22" spans="2:18" ht="43.5" x14ac:dyDescent="0.35">
      <c r="B22" s="826" t="s">
        <v>8213</v>
      </c>
    </row>
    <row r="23" spans="2:18" s="187" customFormat="1" ht="43.5" x14ac:dyDescent="0.35">
      <c r="B23" s="870" t="s">
        <v>8211</v>
      </c>
    </row>
    <row r="24" spans="2:18" x14ac:dyDescent="0.35">
      <c r="B24" s="864"/>
    </row>
    <row r="25" spans="2:18" x14ac:dyDescent="0.35">
      <c r="B25" s="829" t="s">
        <v>7878</v>
      </c>
    </row>
    <row r="26" spans="2:18" x14ac:dyDescent="0.35">
      <c r="B26" s="865" t="s">
        <v>7881</v>
      </c>
    </row>
    <row r="27" spans="2:18" x14ac:dyDescent="0.35">
      <c r="B27" s="866" t="s">
        <v>7879</v>
      </c>
    </row>
    <row r="28" spans="2:18" x14ac:dyDescent="0.35">
      <c r="B28" s="866"/>
    </row>
    <row r="29" spans="2:18" ht="17.25" customHeight="1" x14ac:dyDescent="0.35">
      <c r="B29" s="867" t="s">
        <v>7880</v>
      </c>
      <c r="R29" s="828"/>
    </row>
    <row r="30" spans="2:18" x14ac:dyDescent="0.35">
      <c r="B30" s="866"/>
    </row>
    <row r="31" spans="2:18" x14ac:dyDescent="0.35">
      <c r="B31" s="868" t="s">
        <v>7819</v>
      </c>
    </row>
    <row r="32" spans="2:18" x14ac:dyDescent="0.35">
      <c r="B32" s="868" t="s">
        <v>7802</v>
      </c>
    </row>
    <row r="33" spans="2:2" x14ac:dyDescent="0.35">
      <c r="B33" s="868" t="s">
        <v>7528</v>
      </c>
    </row>
    <row r="34" spans="2:2" x14ac:dyDescent="0.35">
      <c r="B34" s="868" t="s">
        <v>7732</v>
      </c>
    </row>
    <row r="35" spans="2:2" x14ac:dyDescent="0.35">
      <c r="B35" s="868" t="s">
        <v>7882</v>
      </c>
    </row>
    <row r="36" spans="2:2" x14ac:dyDescent="0.35">
      <c r="B36" s="868" t="s">
        <v>7883</v>
      </c>
    </row>
    <row r="37" spans="2:2" x14ac:dyDescent="0.35">
      <c r="B37" s="868" t="s">
        <v>7884</v>
      </c>
    </row>
    <row r="38" spans="2:2" x14ac:dyDescent="0.35">
      <c r="B38" s="868"/>
    </row>
    <row r="39" spans="2:2" x14ac:dyDescent="0.35">
      <c r="B39" s="869" t="s">
        <v>8165</v>
      </c>
    </row>
    <row r="40" spans="2:2" x14ac:dyDescent="0.35">
      <c r="B40" s="870"/>
    </row>
    <row r="41" spans="2:2" ht="33" customHeight="1" x14ac:dyDescent="0.35">
      <c r="B41" s="868" t="s">
        <v>7886</v>
      </c>
    </row>
    <row r="42" spans="2:2" ht="33" customHeight="1" x14ac:dyDescent="0.35">
      <c r="B42" s="868"/>
    </row>
    <row r="43" spans="2:2" x14ac:dyDescent="0.35">
      <c r="B43" s="870" t="s">
        <v>8212</v>
      </c>
    </row>
    <row r="44" spans="2:2" x14ac:dyDescent="0.35">
      <c r="B44" s="870"/>
    </row>
    <row r="45" spans="2:2" ht="33.75" customHeight="1" x14ac:dyDescent="0.35">
      <c r="B45" s="868" t="s">
        <v>7885</v>
      </c>
    </row>
    <row r="46" spans="2:2" x14ac:dyDescent="0.35">
      <c r="B46" s="868" t="s">
        <v>7449</v>
      </c>
    </row>
    <row r="47" spans="2:2" x14ac:dyDescent="0.35">
      <c r="B47" s="868" t="s">
        <v>7527</v>
      </c>
    </row>
    <row r="48" spans="2:2" x14ac:dyDescent="0.35">
      <c r="B48" s="868"/>
    </row>
    <row r="49" spans="2:2" x14ac:dyDescent="0.35">
      <c r="B49" s="870" t="s">
        <v>7803</v>
      </c>
    </row>
    <row r="50" spans="2:2" x14ac:dyDescent="0.35">
      <c r="B50" s="870"/>
    </row>
    <row r="51" spans="2:2" ht="29" x14ac:dyDescent="0.35">
      <c r="B51" s="871" t="s">
        <v>7530</v>
      </c>
    </row>
  </sheetData>
  <phoneticPr fontId="11" type="noConversion"/>
  <hyperlinks>
    <hyperlink ref="B26" r:id="rId1" xr:uid="{00000000-0004-0000-0000-000000000000}"/>
  </hyperlinks>
  <pageMargins left="0.7" right="0.7" top="0.78740157499999996" bottom="0.78740157499999996" header="0.3" footer="0.3"/>
  <pageSetup paperSize="9" orientation="portrait"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2"/>
  <dimension ref="A1:R52"/>
  <sheetViews>
    <sheetView workbookViewId="0">
      <selection sqref="A1:R1"/>
    </sheetView>
  </sheetViews>
  <sheetFormatPr baseColWidth="10" defaultColWidth="11.54296875" defaultRowHeight="14.5" x14ac:dyDescent="0.35"/>
  <cols>
    <col min="1" max="1" width="17.453125" style="726" customWidth="1"/>
    <col min="2" max="2" width="13.54296875" style="726" customWidth="1"/>
    <col min="3" max="5" width="11.54296875" style="726"/>
    <col min="6" max="6" width="12.453125" style="726" customWidth="1"/>
    <col min="7" max="14" width="11.54296875" style="726"/>
    <col min="15" max="15" width="3.453125" style="726" customWidth="1"/>
    <col min="16" max="16" width="13.54296875" style="726" customWidth="1"/>
    <col min="17" max="17" width="3.453125" style="726" customWidth="1"/>
    <col min="18" max="16384" width="11.54296875" style="726"/>
  </cols>
  <sheetData>
    <row r="1" spans="1:18" s="725" customFormat="1" ht="29.15" customHeight="1" x14ac:dyDescent="0.35">
      <c r="A1" s="1004" t="s">
        <v>7607</v>
      </c>
      <c r="B1" s="1005"/>
      <c r="C1" s="1005"/>
      <c r="D1" s="1005"/>
      <c r="E1" s="1005"/>
      <c r="F1" s="1005"/>
      <c r="G1" s="1005"/>
      <c r="H1" s="1005"/>
      <c r="I1" s="1005"/>
      <c r="J1" s="1005"/>
      <c r="K1" s="1005"/>
      <c r="L1" s="1005"/>
      <c r="M1" s="1005"/>
      <c r="N1" s="1005"/>
      <c r="O1" s="1005"/>
      <c r="P1" s="1005"/>
      <c r="Q1" s="1005"/>
      <c r="R1" s="1006"/>
    </row>
    <row r="2" spans="1:18" ht="128.15" customHeight="1" x14ac:dyDescent="0.35">
      <c r="A2" s="1008" t="s">
        <v>7695</v>
      </c>
      <c r="B2" s="1008"/>
      <c r="C2" s="1008"/>
      <c r="D2" s="1008"/>
      <c r="E2" s="1008"/>
      <c r="F2" s="1008"/>
      <c r="G2" s="1008"/>
      <c r="H2" s="1008"/>
      <c r="I2" s="1008"/>
      <c r="J2" s="1008"/>
      <c r="K2" s="1008"/>
      <c r="L2" s="1008"/>
      <c r="M2" s="1008"/>
      <c r="N2" s="1008"/>
      <c r="O2" s="1008"/>
      <c r="P2" s="1008"/>
      <c r="Q2" s="1008"/>
      <c r="R2" s="1008"/>
    </row>
    <row r="4" spans="1:18" x14ac:dyDescent="0.35">
      <c r="A4" s="726" t="s">
        <v>7608</v>
      </c>
    </row>
    <row r="5" spans="1:18" x14ac:dyDescent="0.35">
      <c r="A5" s="726" t="s">
        <v>7609</v>
      </c>
    </row>
    <row r="7" spans="1:18" x14ac:dyDescent="0.35">
      <c r="A7" s="726" t="s">
        <v>6633</v>
      </c>
      <c r="B7" s="726" t="s">
        <v>7610</v>
      </c>
      <c r="C7" s="727">
        <v>12.15</v>
      </c>
      <c r="D7" s="726" t="s">
        <v>5595</v>
      </c>
      <c r="E7" s="728" t="s">
        <v>7611</v>
      </c>
      <c r="F7" s="729">
        <f>8760*500</f>
        <v>4380000</v>
      </c>
      <c r="G7" s="726" t="s">
        <v>7612</v>
      </c>
    </row>
    <row r="8" spans="1:18" x14ac:dyDescent="0.35">
      <c r="A8" s="726" t="s">
        <v>6634</v>
      </c>
      <c r="B8" s="726" t="s">
        <v>7613</v>
      </c>
      <c r="C8" s="727">
        <v>8.01</v>
      </c>
      <c r="D8" s="726" t="s">
        <v>5595</v>
      </c>
      <c r="E8" s="728" t="s">
        <v>7611</v>
      </c>
      <c r="F8" s="729">
        <f>8760*1500</f>
        <v>13140000</v>
      </c>
      <c r="G8" s="726" t="s">
        <v>7612</v>
      </c>
    </row>
    <row r="9" spans="1:18" x14ac:dyDescent="0.35">
      <c r="A9" s="726" t="s">
        <v>6635</v>
      </c>
      <c r="B9" s="726" t="s">
        <v>7614</v>
      </c>
      <c r="C9" s="727">
        <v>6.13</v>
      </c>
      <c r="D9" s="726" t="s">
        <v>5595</v>
      </c>
      <c r="E9" s="728" t="s">
        <v>7611</v>
      </c>
      <c r="F9" s="729">
        <f>8760*3000</f>
        <v>26280000</v>
      </c>
      <c r="G9" s="726" t="s">
        <v>7612</v>
      </c>
    </row>
    <row r="10" spans="1:18" x14ac:dyDescent="0.35">
      <c r="C10" s="727"/>
      <c r="E10" s="738"/>
      <c r="F10" s="729"/>
    </row>
    <row r="11" spans="1:18" x14ac:dyDescent="0.35">
      <c r="A11" s="726" t="s">
        <v>7615</v>
      </c>
      <c r="C11" s="727"/>
      <c r="D11" s="739"/>
      <c r="E11" s="742">
        <v>7</v>
      </c>
      <c r="F11" s="740" t="s">
        <v>5595</v>
      </c>
      <c r="G11" s="726" t="s">
        <v>7616</v>
      </c>
    </row>
    <row r="12" spans="1:18" x14ac:dyDescent="0.35">
      <c r="C12" s="727"/>
      <c r="E12" s="741"/>
      <c r="F12" s="729"/>
    </row>
    <row r="14" spans="1:18" ht="15.5" x14ac:dyDescent="0.35">
      <c r="A14" s="730" t="s">
        <v>7617</v>
      </c>
    </row>
    <row r="16" spans="1:18" x14ac:dyDescent="0.35">
      <c r="C16" s="1007" t="s">
        <v>7618</v>
      </c>
      <c r="D16" s="1007"/>
      <c r="E16" s="1007"/>
      <c r="F16" s="1007"/>
      <c r="G16" s="1007"/>
      <c r="H16" s="1007"/>
      <c r="I16" s="1007"/>
      <c r="J16" s="1007"/>
      <c r="K16" s="1007"/>
      <c r="L16" s="1007"/>
      <c r="M16" s="1007"/>
      <c r="N16" s="1007"/>
      <c r="O16" s="1007"/>
      <c r="P16" s="1007"/>
      <c r="Q16" s="1007"/>
      <c r="R16" s="1007"/>
    </row>
    <row r="17" spans="1:18" x14ac:dyDescent="0.35">
      <c r="A17" s="731" t="s">
        <v>1764</v>
      </c>
      <c r="B17" s="732" t="s">
        <v>7619</v>
      </c>
      <c r="C17" s="733">
        <v>1</v>
      </c>
      <c r="D17" s="733">
        <f>C17+31</f>
        <v>32</v>
      </c>
      <c r="E17" s="733">
        <f t="shared" ref="E17:N17" si="0">D17+31</f>
        <v>63</v>
      </c>
      <c r="F17" s="733">
        <f t="shared" si="0"/>
        <v>94</v>
      </c>
      <c r="G17" s="733">
        <f t="shared" si="0"/>
        <v>125</v>
      </c>
      <c r="H17" s="733">
        <f t="shared" si="0"/>
        <v>156</v>
      </c>
      <c r="I17" s="733">
        <f t="shared" si="0"/>
        <v>187</v>
      </c>
      <c r="J17" s="733">
        <f t="shared" si="0"/>
        <v>218</v>
      </c>
      <c r="K17" s="733">
        <f t="shared" si="0"/>
        <v>249</v>
      </c>
      <c r="L17" s="733">
        <f t="shared" si="0"/>
        <v>280</v>
      </c>
      <c r="M17" s="733">
        <f t="shared" si="0"/>
        <v>311</v>
      </c>
      <c r="N17" s="733">
        <f t="shared" si="0"/>
        <v>342</v>
      </c>
      <c r="O17" s="732"/>
      <c r="P17" s="732" t="s">
        <v>7620</v>
      </c>
      <c r="Q17" s="732"/>
      <c r="R17" s="731" t="s">
        <v>7621</v>
      </c>
    </row>
    <row r="18" spans="1:18" x14ac:dyDescent="0.35">
      <c r="A18" s="726" t="s">
        <v>6633</v>
      </c>
      <c r="B18" s="727">
        <f>C7</f>
        <v>12.15</v>
      </c>
      <c r="C18" s="734">
        <f>2000000*500/(24000/8.76)</f>
        <v>365000</v>
      </c>
      <c r="D18" s="734">
        <f t="shared" ref="D18:N18" si="1">2000000*500/(24000/8.76)</f>
        <v>365000</v>
      </c>
      <c r="E18" s="734">
        <f t="shared" si="1"/>
        <v>365000</v>
      </c>
      <c r="F18" s="734">
        <f t="shared" si="1"/>
        <v>365000</v>
      </c>
      <c r="G18" s="734">
        <f t="shared" si="1"/>
        <v>365000</v>
      </c>
      <c r="H18" s="734">
        <f t="shared" si="1"/>
        <v>365000</v>
      </c>
      <c r="I18" s="734">
        <f t="shared" si="1"/>
        <v>365000</v>
      </c>
      <c r="J18" s="734">
        <f t="shared" si="1"/>
        <v>365000</v>
      </c>
      <c r="K18" s="734">
        <f t="shared" si="1"/>
        <v>365000</v>
      </c>
      <c r="L18" s="734">
        <f t="shared" si="1"/>
        <v>365000</v>
      </c>
      <c r="M18" s="734">
        <f t="shared" si="1"/>
        <v>365000</v>
      </c>
      <c r="N18" s="734">
        <f t="shared" si="1"/>
        <v>365000</v>
      </c>
      <c r="P18" s="734">
        <f>SUM(C18:N18)</f>
        <v>4380000</v>
      </c>
      <c r="R18" s="734">
        <f>SUM(C18:N18)</f>
        <v>4380000</v>
      </c>
    </row>
    <row r="19" spans="1:18" x14ac:dyDescent="0.35">
      <c r="A19" s="726" t="s">
        <v>6634</v>
      </c>
      <c r="B19" s="727">
        <f>C8</f>
        <v>8.01</v>
      </c>
      <c r="C19" s="734">
        <f>2000000*1500/(24000/8.76)</f>
        <v>1095000</v>
      </c>
      <c r="D19" s="734">
        <f t="shared" ref="D19:N19" si="2">2000000*1500/(24000/8.76)</f>
        <v>1095000</v>
      </c>
      <c r="E19" s="734">
        <f t="shared" si="2"/>
        <v>1095000</v>
      </c>
      <c r="F19" s="734">
        <f t="shared" si="2"/>
        <v>1095000</v>
      </c>
      <c r="G19" s="734">
        <f t="shared" si="2"/>
        <v>1095000</v>
      </c>
      <c r="H19" s="734">
        <f t="shared" si="2"/>
        <v>1095000</v>
      </c>
      <c r="I19" s="734">
        <f t="shared" si="2"/>
        <v>1095000</v>
      </c>
      <c r="J19" s="734">
        <f t="shared" si="2"/>
        <v>1095000</v>
      </c>
      <c r="K19" s="734">
        <f t="shared" si="2"/>
        <v>1095000</v>
      </c>
      <c r="L19" s="734">
        <f t="shared" si="2"/>
        <v>1095000</v>
      </c>
      <c r="M19" s="734">
        <f t="shared" si="2"/>
        <v>1095000</v>
      </c>
      <c r="N19" s="734">
        <f t="shared" si="2"/>
        <v>1095000</v>
      </c>
      <c r="P19" s="734">
        <f>SUM(C19:N19)</f>
        <v>13140000</v>
      </c>
      <c r="R19" s="734">
        <f>SUM(C19:N19)</f>
        <v>13140000</v>
      </c>
    </row>
    <row r="20" spans="1:18" x14ac:dyDescent="0.35">
      <c r="A20" s="726" t="s">
        <v>6635</v>
      </c>
      <c r="B20" s="727">
        <f>C9</f>
        <v>6.13</v>
      </c>
      <c r="C20" s="734">
        <f>2000000-C18-C19</f>
        <v>540000</v>
      </c>
      <c r="D20" s="734">
        <f t="shared" ref="D20:N20" si="3">2000000-D18-D19</f>
        <v>540000</v>
      </c>
      <c r="E20" s="734">
        <f t="shared" si="3"/>
        <v>540000</v>
      </c>
      <c r="F20" s="734">
        <f t="shared" si="3"/>
        <v>540000</v>
      </c>
      <c r="G20" s="734">
        <f t="shared" si="3"/>
        <v>540000</v>
      </c>
      <c r="H20" s="734">
        <f t="shared" si="3"/>
        <v>540000</v>
      </c>
      <c r="I20" s="734">
        <f t="shared" si="3"/>
        <v>540000</v>
      </c>
      <c r="J20" s="734">
        <f t="shared" si="3"/>
        <v>540000</v>
      </c>
      <c r="K20" s="734">
        <f t="shared" si="3"/>
        <v>540000</v>
      </c>
      <c r="L20" s="734">
        <f t="shared" si="3"/>
        <v>540000</v>
      </c>
      <c r="M20" s="734">
        <f t="shared" si="3"/>
        <v>540000</v>
      </c>
      <c r="N20" s="734">
        <f t="shared" si="3"/>
        <v>540000</v>
      </c>
      <c r="P20" s="734">
        <f>SUM(C20:N20)</f>
        <v>6480000</v>
      </c>
      <c r="R20" s="734">
        <f>SUM(C20:N20)</f>
        <v>6480000</v>
      </c>
    </row>
    <row r="21" spans="1:18" x14ac:dyDescent="0.35">
      <c r="B21" s="732" t="s">
        <v>7622</v>
      </c>
      <c r="C21" s="1007" t="s">
        <v>7623</v>
      </c>
      <c r="D21" s="1007"/>
      <c r="E21" s="1007"/>
      <c r="F21" s="1007"/>
      <c r="G21" s="1007"/>
      <c r="H21" s="1007"/>
      <c r="I21" s="1007"/>
      <c r="J21" s="1007"/>
      <c r="K21" s="1007"/>
      <c r="L21" s="1007"/>
      <c r="M21" s="1007"/>
      <c r="N21" s="1007"/>
      <c r="O21" s="1007"/>
      <c r="P21" s="1007"/>
      <c r="Q21" s="1007"/>
      <c r="R21" s="1007"/>
    </row>
    <row r="22" spans="1:18" x14ac:dyDescent="0.35">
      <c r="A22" s="726" t="s">
        <v>6633</v>
      </c>
      <c r="B22" s="727">
        <f>$B18-$E$11</f>
        <v>5.15</v>
      </c>
      <c r="C22" s="735">
        <f t="shared" ref="C22:N22" si="4">IF(C18&lt;&gt;"",$B22*C18/100,"")</f>
        <v>18797.500000000004</v>
      </c>
      <c r="D22" s="735">
        <f t="shared" si="4"/>
        <v>18797.500000000004</v>
      </c>
      <c r="E22" s="735">
        <f t="shared" si="4"/>
        <v>18797.500000000004</v>
      </c>
      <c r="F22" s="735">
        <f t="shared" si="4"/>
        <v>18797.500000000004</v>
      </c>
      <c r="G22" s="735">
        <f t="shared" si="4"/>
        <v>18797.500000000004</v>
      </c>
      <c r="H22" s="735">
        <f t="shared" si="4"/>
        <v>18797.500000000004</v>
      </c>
      <c r="I22" s="735">
        <f t="shared" si="4"/>
        <v>18797.500000000004</v>
      </c>
      <c r="J22" s="735">
        <f t="shared" si="4"/>
        <v>18797.500000000004</v>
      </c>
      <c r="K22" s="735">
        <f t="shared" si="4"/>
        <v>18797.500000000004</v>
      </c>
      <c r="L22" s="735">
        <f t="shared" si="4"/>
        <v>18797.500000000004</v>
      </c>
      <c r="M22" s="735">
        <f t="shared" si="4"/>
        <v>18797.500000000004</v>
      </c>
      <c r="N22" s="735">
        <f t="shared" si="4"/>
        <v>18797.500000000004</v>
      </c>
      <c r="P22" s="735">
        <f>SUM(C22:N22)</f>
        <v>225570.00000000003</v>
      </c>
      <c r="R22" s="735">
        <f>IF(R18&lt;&gt;"",$B22*R18/100,"")</f>
        <v>225570</v>
      </c>
    </row>
    <row r="23" spans="1:18" x14ac:dyDescent="0.35">
      <c r="A23" s="726" t="s">
        <v>6634</v>
      </c>
      <c r="B23" s="727">
        <f>$B19-$E$11</f>
        <v>1.0099999999999998</v>
      </c>
      <c r="C23" s="735">
        <f t="shared" ref="C23:N23" si="5">IF(C19&lt;&gt;"",$B23*C19/100,"")</f>
        <v>11059.499999999998</v>
      </c>
      <c r="D23" s="735">
        <f t="shared" si="5"/>
        <v>11059.499999999998</v>
      </c>
      <c r="E23" s="735">
        <f t="shared" si="5"/>
        <v>11059.499999999998</v>
      </c>
      <c r="F23" s="735">
        <f t="shared" si="5"/>
        <v>11059.499999999998</v>
      </c>
      <c r="G23" s="735">
        <f t="shared" si="5"/>
        <v>11059.499999999998</v>
      </c>
      <c r="H23" s="735">
        <f t="shared" si="5"/>
        <v>11059.499999999998</v>
      </c>
      <c r="I23" s="735">
        <f t="shared" si="5"/>
        <v>11059.499999999998</v>
      </c>
      <c r="J23" s="735">
        <f t="shared" si="5"/>
        <v>11059.499999999998</v>
      </c>
      <c r="K23" s="735">
        <f t="shared" si="5"/>
        <v>11059.499999999998</v>
      </c>
      <c r="L23" s="735">
        <f t="shared" si="5"/>
        <v>11059.499999999998</v>
      </c>
      <c r="M23" s="735">
        <f t="shared" si="5"/>
        <v>11059.499999999998</v>
      </c>
      <c r="N23" s="735">
        <f t="shared" si="5"/>
        <v>11059.499999999998</v>
      </c>
      <c r="P23" s="735">
        <f>SUM(C23:N23)</f>
        <v>132713.99999999997</v>
      </c>
      <c r="R23" s="735">
        <f>IF(R19&lt;&gt;"",$B23*R19/100,"")</f>
        <v>132713.99999999997</v>
      </c>
    </row>
    <row r="24" spans="1:18" x14ac:dyDescent="0.35">
      <c r="A24" s="726" t="s">
        <v>6635</v>
      </c>
      <c r="B24" s="727">
        <f>$B20-$E$11</f>
        <v>-0.87000000000000011</v>
      </c>
      <c r="C24" s="735">
        <f t="shared" ref="C24:N24" si="6">IF(C20&lt;&gt;"",$B24*C20/100,"")</f>
        <v>-4698.0000000000009</v>
      </c>
      <c r="D24" s="735">
        <f t="shared" si="6"/>
        <v>-4698.0000000000009</v>
      </c>
      <c r="E24" s="735">
        <f t="shared" si="6"/>
        <v>-4698.0000000000009</v>
      </c>
      <c r="F24" s="735">
        <f t="shared" si="6"/>
        <v>-4698.0000000000009</v>
      </c>
      <c r="G24" s="735">
        <f t="shared" si="6"/>
        <v>-4698.0000000000009</v>
      </c>
      <c r="H24" s="735">
        <f t="shared" si="6"/>
        <v>-4698.0000000000009</v>
      </c>
      <c r="I24" s="735">
        <f t="shared" si="6"/>
        <v>-4698.0000000000009</v>
      </c>
      <c r="J24" s="735">
        <f t="shared" si="6"/>
        <v>-4698.0000000000009</v>
      </c>
      <c r="K24" s="735">
        <f t="shared" si="6"/>
        <v>-4698.0000000000009</v>
      </c>
      <c r="L24" s="735">
        <f t="shared" si="6"/>
        <v>-4698.0000000000009</v>
      </c>
      <c r="M24" s="735">
        <f t="shared" si="6"/>
        <v>-4698.0000000000009</v>
      </c>
      <c r="N24" s="735">
        <f t="shared" si="6"/>
        <v>-4698.0000000000009</v>
      </c>
      <c r="P24" s="735">
        <f>SUM(C24:N24)</f>
        <v>-56376.000000000007</v>
      </c>
      <c r="R24" s="735">
        <f>IF(R20&lt;&gt;"",$B24*R20/100,"")</f>
        <v>-56376.000000000007</v>
      </c>
    </row>
    <row r="25" spans="1:18" x14ac:dyDescent="0.35">
      <c r="B25" s="727"/>
      <c r="C25" s="735"/>
      <c r="D25" s="735"/>
      <c r="E25" s="735"/>
      <c r="F25" s="735"/>
      <c r="G25" s="735"/>
      <c r="H25" s="735"/>
      <c r="I25" s="735"/>
      <c r="J25" s="735"/>
      <c r="K25" s="735"/>
      <c r="L25" s="735"/>
      <c r="M25" s="735"/>
      <c r="N25" s="735"/>
      <c r="R25" s="735"/>
    </row>
    <row r="26" spans="1:18" x14ac:dyDescent="0.35">
      <c r="A26" s="731" t="s">
        <v>7624</v>
      </c>
      <c r="B26" s="736"/>
      <c r="C26" s="735">
        <f>SUM(C22:C24)</f>
        <v>25159</v>
      </c>
      <c r="D26" s="735">
        <f t="shared" ref="D26:N26" si="7">SUM(D22:D24)</f>
        <v>25159</v>
      </c>
      <c r="E26" s="735">
        <f t="shared" si="7"/>
        <v>25159</v>
      </c>
      <c r="F26" s="735">
        <f t="shared" si="7"/>
        <v>25159</v>
      </c>
      <c r="G26" s="735">
        <f t="shared" si="7"/>
        <v>25159</v>
      </c>
      <c r="H26" s="735">
        <f t="shared" si="7"/>
        <v>25159</v>
      </c>
      <c r="I26" s="735">
        <f t="shared" si="7"/>
        <v>25159</v>
      </c>
      <c r="J26" s="735">
        <f t="shared" si="7"/>
        <v>25159</v>
      </c>
      <c r="K26" s="735">
        <f t="shared" si="7"/>
        <v>25159</v>
      </c>
      <c r="L26" s="735">
        <f t="shared" si="7"/>
        <v>25159</v>
      </c>
      <c r="M26" s="735">
        <f t="shared" si="7"/>
        <v>25159</v>
      </c>
      <c r="N26" s="735">
        <f t="shared" si="7"/>
        <v>25159</v>
      </c>
      <c r="O26" s="735"/>
      <c r="P26" s="735">
        <f>SUM(C26:N26)</f>
        <v>301908</v>
      </c>
      <c r="Q26" s="735"/>
      <c r="R26" s="735">
        <f>SUM(R22:R24)</f>
        <v>301908</v>
      </c>
    </row>
    <row r="28" spans="1:18" x14ac:dyDescent="0.35">
      <c r="A28" s="731" t="s">
        <v>7672</v>
      </c>
      <c r="B28" s="731"/>
      <c r="C28" s="735">
        <f t="shared" ref="C28:K28" si="8">MAX(SUM(C22:C24),0)</f>
        <v>25159</v>
      </c>
      <c r="D28" s="735">
        <f t="shared" si="8"/>
        <v>25159</v>
      </c>
      <c r="E28" s="735">
        <f t="shared" si="8"/>
        <v>25159</v>
      </c>
      <c r="F28" s="735">
        <f t="shared" si="8"/>
        <v>25159</v>
      </c>
      <c r="G28" s="735">
        <f t="shared" si="8"/>
        <v>25159</v>
      </c>
      <c r="H28" s="735">
        <f t="shared" si="8"/>
        <v>25159</v>
      </c>
      <c r="I28" s="735">
        <f t="shared" si="8"/>
        <v>25159</v>
      </c>
      <c r="J28" s="735">
        <f t="shared" si="8"/>
        <v>25159</v>
      </c>
      <c r="K28" s="735">
        <f t="shared" si="8"/>
        <v>25159</v>
      </c>
      <c r="L28" s="735">
        <f>MAX(SUM(L22:L24),0)</f>
        <v>25159</v>
      </c>
      <c r="M28" s="735">
        <f>MAX(SUM(M22:M24),0)</f>
        <v>25159</v>
      </c>
      <c r="N28" s="735">
        <f>MAX(SUM(N22:N24),0)</f>
        <v>25159</v>
      </c>
      <c r="O28" s="735"/>
      <c r="P28" s="735">
        <f>SUM(C28:N28)</f>
        <v>301908</v>
      </c>
      <c r="Q28" s="735"/>
      <c r="R28" s="735">
        <f>MAX(SUM(R22:R24),0)</f>
        <v>301908</v>
      </c>
    </row>
    <row r="33" spans="1:18" ht="15.5" x14ac:dyDescent="0.35">
      <c r="A33" s="730" t="s">
        <v>7673</v>
      </c>
    </row>
    <row r="35" spans="1:18" x14ac:dyDescent="0.35">
      <c r="C35" s="1007" t="s">
        <v>7618</v>
      </c>
      <c r="D35" s="1007"/>
      <c r="E35" s="1007"/>
      <c r="F35" s="1007"/>
      <c r="G35" s="1007"/>
      <c r="H35" s="1007"/>
      <c r="I35" s="1007"/>
      <c r="J35" s="1007"/>
      <c r="K35" s="1007"/>
      <c r="L35" s="1007"/>
      <c r="M35" s="1007"/>
      <c r="N35" s="1007"/>
      <c r="O35" s="1007"/>
      <c r="P35" s="1007"/>
      <c r="Q35" s="1007"/>
      <c r="R35" s="1007"/>
    </row>
    <row r="36" spans="1:18" x14ac:dyDescent="0.35">
      <c r="A36" s="731" t="s">
        <v>1764</v>
      </c>
      <c r="B36" s="732" t="s">
        <v>7619</v>
      </c>
      <c r="C36" s="733">
        <v>1</v>
      </c>
      <c r="D36" s="733">
        <f>C36+31</f>
        <v>32</v>
      </c>
      <c r="E36" s="733">
        <f t="shared" ref="E36:N36" si="9">D36+31</f>
        <v>63</v>
      </c>
      <c r="F36" s="733">
        <f t="shared" si="9"/>
        <v>94</v>
      </c>
      <c r="G36" s="733">
        <f t="shared" si="9"/>
        <v>125</v>
      </c>
      <c r="H36" s="733">
        <f t="shared" si="9"/>
        <v>156</v>
      </c>
      <c r="I36" s="733">
        <f t="shared" si="9"/>
        <v>187</v>
      </c>
      <c r="J36" s="733">
        <f t="shared" si="9"/>
        <v>218</v>
      </c>
      <c r="K36" s="733">
        <f t="shared" si="9"/>
        <v>249</v>
      </c>
      <c r="L36" s="733">
        <f t="shared" si="9"/>
        <v>280</v>
      </c>
      <c r="M36" s="733">
        <f t="shared" si="9"/>
        <v>311</v>
      </c>
      <c r="N36" s="733">
        <f t="shared" si="9"/>
        <v>342</v>
      </c>
      <c r="O36" s="732"/>
      <c r="P36" s="732" t="s">
        <v>7620</v>
      </c>
      <c r="Q36" s="732"/>
      <c r="R36" s="731" t="s">
        <v>7621</v>
      </c>
    </row>
    <row r="37" spans="1:18" x14ac:dyDescent="0.35">
      <c r="A37" s="726" t="s">
        <v>6633</v>
      </c>
      <c r="B37" s="727">
        <f>C7</f>
        <v>12.15</v>
      </c>
      <c r="C37" s="734">
        <v>2000000</v>
      </c>
      <c r="D37" s="734">
        <v>2000000</v>
      </c>
      <c r="E37" s="734">
        <v>380000</v>
      </c>
      <c r="F37" s="734"/>
      <c r="G37" s="734"/>
      <c r="H37" s="734"/>
      <c r="I37" s="734"/>
      <c r="J37" s="734"/>
      <c r="K37" s="734"/>
      <c r="L37" s="734"/>
      <c r="M37" s="734"/>
      <c r="N37" s="734"/>
      <c r="P37" s="734">
        <f>SUM(C37:N37)</f>
        <v>4380000</v>
      </c>
      <c r="R37" s="734">
        <f>SUM(C37:N37)</f>
        <v>4380000</v>
      </c>
    </row>
    <row r="38" spans="1:18" x14ac:dyDescent="0.35">
      <c r="A38" s="726" t="s">
        <v>6634</v>
      </c>
      <c r="B38" s="727">
        <f>C8</f>
        <v>8.01</v>
      </c>
      <c r="C38" s="734"/>
      <c r="D38" s="734"/>
      <c r="E38" s="734">
        <v>1620000</v>
      </c>
      <c r="F38" s="734">
        <v>2000000</v>
      </c>
      <c r="G38" s="734">
        <v>2000000</v>
      </c>
      <c r="H38" s="734">
        <v>2000000</v>
      </c>
      <c r="I38" s="734">
        <v>2000000</v>
      </c>
      <c r="J38" s="734">
        <v>2000000</v>
      </c>
      <c r="K38" s="734">
        <v>1520000</v>
      </c>
      <c r="L38" s="734"/>
      <c r="M38" s="734"/>
      <c r="N38" s="734"/>
      <c r="P38" s="734">
        <f>SUM(C38:N38)</f>
        <v>13140000</v>
      </c>
      <c r="R38" s="734">
        <f>SUM(C38:N38)</f>
        <v>13140000</v>
      </c>
    </row>
    <row r="39" spans="1:18" x14ac:dyDescent="0.35">
      <c r="A39" s="726" t="s">
        <v>6635</v>
      </c>
      <c r="B39" s="727">
        <f>C9</f>
        <v>6.13</v>
      </c>
      <c r="C39" s="734"/>
      <c r="D39" s="734"/>
      <c r="E39" s="734"/>
      <c r="F39" s="734"/>
      <c r="G39" s="734"/>
      <c r="H39" s="734"/>
      <c r="I39" s="734"/>
      <c r="J39" s="734"/>
      <c r="K39" s="734">
        <v>480000</v>
      </c>
      <c r="L39" s="734">
        <v>2000000</v>
      </c>
      <c r="M39" s="734">
        <v>2000000</v>
      </c>
      <c r="N39" s="734">
        <v>2000000</v>
      </c>
      <c r="P39" s="734">
        <f>SUM(C39:N39)</f>
        <v>6480000</v>
      </c>
      <c r="R39" s="734">
        <f>SUM(C39:N39)</f>
        <v>6480000</v>
      </c>
    </row>
    <row r="40" spans="1:18" x14ac:dyDescent="0.35">
      <c r="B40" s="732" t="s">
        <v>7622</v>
      </c>
      <c r="C40" s="1007" t="s">
        <v>7623</v>
      </c>
      <c r="D40" s="1007"/>
      <c r="E40" s="1007"/>
      <c r="F40" s="1007"/>
      <c r="G40" s="1007"/>
      <c r="H40" s="1007"/>
      <c r="I40" s="1007"/>
      <c r="J40" s="1007"/>
      <c r="K40" s="1007"/>
      <c r="L40" s="1007"/>
      <c r="M40" s="1007"/>
      <c r="N40" s="1007"/>
      <c r="O40" s="1007"/>
      <c r="P40" s="1007"/>
      <c r="Q40" s="1007"/>
      <c r="R40" s="1007"/>
    </row>
    <row r="41" spans="1:18" x14ac:dyDescent="0.35">
      <c r="A41" s="726" t="s">
        <v>6633</v>
      </c>
      <c r="B41" s="727">
        <f>$B37-$E$11</f>
        <v>5.15</v>
      </c>
      <c r="C41" s="735">
        <f>IF(C37&lt;&gt;"",$B41*C37/100,"")</f>
        <v>103000</v>
      </c>
      <c r="D41" s="735">
        <f t="shared" ref="D41:N41" si="10">IF(D37&lt;&gt;"",$B41*D37/100,"")</f>
        <v>103000</v>
      </c>
      <c r="E41" s="735">
        <f t="shared" si="10"/>
        <v>19570.000000000004</v>
      </c>
      <c r="F41" s="735" t="str">
        <f t="shared" si="10"/>
        <v/>
      </c>
      <c r="G41" s="735" t="str">
        <f t="shared" si="10"/>
        <v/>
      </c>
      <c r="H41" s="735" t="str">
        <f t="shared" si="10"/>
        <v/>
      </c>
      <c r="I41" s="735" t="str">
        <f t="shared" si="10"/>
        <v/>
      </c>
      <c r="J41" s="735" t="str">
        <f t="shared" si="10"/>
        <v/>
      </c>
      <c r="K41" s="735" t="str">
        <f t="shared" si="10"/>
        <v/>
      </c>
      <c r="L41" s="735" t="str">
        <f t="shared" si="10"/>
        <v/>
      </c>
      <c r="M41" s="735" t="str">
        <f t="shared" si="10"/>
        <v/>
      </c>
      <c r="N41" s="735" t="str">
        <f t="shared" si="10"/>
        <v/>
      </c>
      <c r="P41" s="735">
        <f>SUM(C41:N41)</f>
        <v>225570</v>
      </c>
      <c r="R41" s="735">
        <f>IF(R37&lt;&gt;"",$B41*R37/100,"")</f>
        <v>225570</v>
      </c>
    </row>
    <row r="42" spans="1:18" x14ac:dyDescent="0.35">
      <c r="A42" s="726" t="s">
        <v>6634</v>
      </c>
      <c r="B42" s="727">
        <f>$B38-$E$11</f>
        <v>1.0099999999999998</v>
      </c>
      <c r="C42" s="735" t="str">
        <f t="shared" ref="C42:N43" si="11">IF(C38&lt;&gt;"",$B42*C38/100,"")</f>
        <v/>
      </c>
      <c r="D42" s="735" t="str">
        <f t="shared" si="11"/>
        <v/>
      </c>
      <c r="E42" s="735">
        <f t="shared" si="11"/>
        <v>16361.999999999998</v>
      </c>
      <c r="F42" s="735">
        <f t="shared" si="11"/>
        <v>20199.999999999996</v>
      </c>
      <c r="G42" s="735">
        <f t="shared" si="11"/>
        <v>20199.999999999996</v>
      </c>
      <c r="H42" s="735">
        <f t="shared" si="11"/>
        <v>20199.999999999996</v>
      </c>
      <c r="I42" s="735">
        <f t="shared" si="11"/>
        <v>20199.999999999996</v>
      </c>
      <c r="J42" s="735">
        <f t="shared" si="11"/>
        <v>20199.999999999996</v>
      </c>
      <c r="K42" s="735">
        <f t="shared" si="11"/>
        <v>15351.999999999998</v>
      </c>
      <c r="L42" s="735" t="str">
        <f t="shared" si="11"/>
        <v/>
      </c>
      <c r="M42" s="735" t="str">
        <f t="shared" si="11"/>
        <v/>
      </c>
      <c r="N42" s="735" t="str">
        <f t="shared" si="11"/>
        <v/>
      </c>
      <c r="P42" s="735">
        <f>SUM(C42:N42)</f>
        <v>132713.99999999997</v>
      </c>
      <c r="R42" s="735">
        <f>IF(R38&lt;&gt;"",$B42*R38/100,"")</f>
        <v>132713.99999999997</v>
      </c>
    </row>
    <row r="43" spans="1:18" x14ac:dyDescent="0.35">
      <c r="A43" s="726" t="s">
        <v>6635</v>
      </c>
      <c r="B43" s="727">
        <f>$B39-$E$11</f>
        <v>-0.87000000000000011</v>
      </c>
      <c r="C43" s="735" t="str">
        <f t="shared" si="11"/>
        <v/>
      </c>
      <c r="D43" s="735" t="str">
        <f t="shared" si="11"/>
        <v/>
      </c>
      <c r="E43" s="735" t="str">
        <f t="shared" si="11"/>
        <v/>
      </c>
      <c r="F43" s="735" t="str">
        <f t="shared" si="11"/>
        <v/>
      </c>
      <c r="G43" s="735" t="str">
        <f t="shared" si="11"/>
        <v/>
      </c>
      <c r="H43" s="735" t="str">
        <f t="shared" si="11"/>
        <v/>
      </c>
      <c r="I43" s="735" t="str">
        <f t="shared" si="11"/>
        <v/>
      </c>
      <c r="J43" s="735" t="str">
        <f t="shared" si="11"/>
        <v/>
      </c>
      <c r="K43" s="735">
        <f t="shared" si="11"/>
        <v>-4176.0000000000009</v>
      </c>
      <c r="L43" s="735">
        <f t="shared" si="11"/>
        <v>-17400.000000000004</v>
      </c>
      <c r="M43" s="735">
        <f t="shared" si="11"/>
        <v>-17400.000000000004</v>
      </c>
      <c r="N43" s="735">
        <f t="shared" si="11"/>
        <v>-17400.000000000004</v>
      </c>
      <c r="P43" s="735">
        <f>SUM(C43:N43)</f>
        <v>-56376.000000000015</v>
      </c>
      <c r="R43" s="735">
        <f>IF(R39&lt;&gt;"",$B43*R39/100,"")</f>
        <v>-56376.000000000007</v>
      </c>
    </row>
    <row r="44" spans="1:18" x14ac:dyDescent="0.35">
      <c r="B44" s="727"/>
      <c r="C44" s="735"/>
      <c r="D44" s="735"/>
      <c r="E44" s="735"/>
      <c r="F44" s="735"/>
      <c r="G44" s="735"/>
      <c r="H44" s="735"/>
      <c r="I44" s="735"/>
      <c r="J44" s="735"/>
      <c r="K44" s="735"/>
      <c r="L44" s="735"/>
      <c r="M44" s="735"/>
      <c r="N44" s="735"/>
      <c r="R44" s="735"/>
    </row>
    <row r="45" spans="1:18" x14ac:dyDescent="0.35">
      <c r="A45" s="731" t="s">
        <v>7624</v>
      </c>
      <c r="B45" s="736"/>
      <c r="C45" s="735">
        <f>SUM(C41:C43)</f>
        <v>103000</v>
      </c>
      <c r="D45" s="735">
        <f t="shared" ref="D45:N45" si="12">SUM(D41:D43)</f>
        <v>103000</v>
      </c>
      <c r="E45" s="735">
        <f t="shared" si="12"/>
        <v>35932</v>
      </c>
      <c r="F45" s="735">
        <f t="shared" si="12"/>
        <v>20199.999999999996</v>
      </c>
      <c r="G45" s="735">
        <f t="shared" si="12"/>
        <v>20199.999999999996</v>
      </c>
      <c r="H45" s="735">
        <f t="shared" si="12"/>
        <v>20199.999999999996</v>
      </c>
      <c r="I45" s="735">
        <f t="shared" si="12"/>
        <v>20199.999999999996</v>
      </c>
      <c r="J45" s="735">
        <f t="shared" si="12"/>
        <v>20199.999999999996</v>
      </c>
      <c r="K45" s="735">
        <f t="shared" si="12"/>
        <v>11175.999999999996</v>
      </c>
      <c r="L45" s="735">
        <f t="shared" si="12"/>
        <v>-17400.000000000004</v>
      </c>
      <c r="M45" s="735">
        <f t="shared" si="12"/>
        <v>-17400.000000000004</v>
      </c>
      <c r="N45" s="735">
        <f t="shared" si="12"/>
        <v>-17400.000000000004</v>
      </c>
      <c r="O45" s="735"/>
      <c r="P45" s="735">
        <f>SUM(C45:N45)</f>
        <v>301908</v>
      </c>
      <c r="Q45" s="735"/>
      <c r="R45" s="735">
        <f>SUM(R41:R43)</f>
        <v>301908</v>
      </c>
    </row>
    <row r="47" spans="1:18" x14ac:dyDescent="0.35">
      <c r="A47" s="731" t="s">
        <v>7672</v>
      </c>
      <c r="B47" s="731"/>
      <c r="C47" s="735">
        <f t="shared" ref="C47:N47" si="13">MAX(SUM(C41:C43),0)</f>
        <v>103000</v>
      </c>
      <c r="D47" s="735">
        <f t="shared" si="13"/>
        <v>103000</v>
      </c>
      <c r="E47" s="735">
        <f t="shared" si="13"/>
        <v>35932</v>
      </c>
      <c r="F47" s="735">
        <f t="shared" si="13"/>
        <v>20199.999999999996</v>
      </c>
      <c r="G47" s="735">
        <f t="shared" si="13"/>
        <v>20199.999999999996</v>
      </c>
      <c r="H47" s="735">
        <f t="shared" si="13"/>
        <v>20199.999999999996</v>
      </c>
      <c r="I47" s="735">
        <f t="shared" si="13"/>
        <v>20199.999999999996</v>
      </c>
      <c r="J47" s="735">
        <f t="shared" si="13"/>
        <v>20199.999999999996</v>
      </c>
      <c r="K47" s="735">
        <f t="shared" si="13"/>
        <v>11175.999999999996</v>
      </c>
      <c r="L47" s="735">
        <f t="shared" si="13"/>
        <v>0</v>
      </c>
      <c r="M47" s="735">
        <f t="shared" si="13"/>
        <v>0</v>
      </c>
      <c r="N47" s="735">
        <f t="shared" si="13"/>
        <v>0</v>
      </c>
      <c r="O47" s="735"/>
      <c r="P47" s="735">
        <f>SUM(C47:N47)</f>
        <v>354108</v>
      </c>
      <c r="Q47" s="735"/>
      <c r="R47" s="735">
        <f>MAX(SUM(R41:R43),0)</f>
        <v>301908</v>
      </c>
    </row>
    <row r="52" spans="1:1" x14ac:dyDescent="0.35">
      <c r="A52" s="737" t="s">
        <v>7625</v>
      </c>
    </row>
  </sheetData>
  <mergeCells count="6">
    <mergeCell ref="A1:R1"/>
    <mergeCell ref="C16:R16"/>
    <mergeCell ref="C21:R21"/>
    <mergeCell ref="C35:R35"/>
    <mergeCell ref="C40:R40"/>
    <mergeCell ref="A2:R2"/>
  </mergeCells>
  <pageMargins left="0.7" right="0.7" top="0.78740157499999996" bottom="0.78740157499999996" header="0.3" footer="0.3"/>
  <pageSetup paperSize="9" orientation="portrait" verticalDpi="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3"/>
  <dimension ref="A1:AD73"/>
  <sheetViews>
    <sheetView zoomScale="115" zoomScaleNormal="115" workbookViewId="0">
      <selection activeCell="A2" sqref="A2:AA2"/>
    </sheetView>
  </sheetViews>
  <sheetFormatPr baseColWidth="10" defaultColWidth="11.453125" defaultRowHeight="14" outlineLevelCol="1" x14ac:dyDescent="0.3"/>
  <cols>
    <col min="1" max="1" width="35.453125" style="113" customWidth="1"/>
    <col min="2" max="2" width="18.54296875" style="113" customWidth="1"/>
    <col min="3" max="4" width="22.453125" style="113" hidden="1" customWidth="1"/>
    <col min="5" max="5" width="11.453125" style="113"/>
    <col min="6" max="11" width="11.453125" style="113" hidden="1" customWidth="1" outlineLevel="1"/>
    <col min="12" max="12" width="11.453125" style="113" collapsed="1"/>
    <col min="13" max="15" width="11.453125" style="113"/>
    <col min="16" max="16" width="11.54296875" style="113" bestFit="1" customWidth="1"/>
    <col min="17" max="18" width="11.453125" style="113"/>
    <col min="19" max="24" width="11.453125" style="113" hidden="1" customWidth="1" outlineLevel="1"/>
    <col min="25" max="25" width="11.453125" style="113" collapsed="1"/>
    <col min="26" max="16384" width="11.453125" style="113"/>
  </cols>
  <sheetData>
    <row r="1" spans="1:30" s="118" customFormat="1" ht="23.15" customHeight="1" x14ac:dyDescent="0.35">
      <c r="A1" s="1011" t="s">
        <v>7642</v>
      </c>
      <c r="B1" s="1012"/>
      <c r="C1" s="1012"/>
      <c r="D1" s="1012"/>
      <c r="E1" s="1012"/>
      <c r="F1" s="1012"/>
      <c r="G1" s="1012"/>
      <c r="H1" s="1012"/>
      <c r="I1" s="1012"/>
      <c r="J1" s="1012"/>
      <c r="K1" s="1012"/>
      <c r="L1" s="1012"/>
      <c r="M1" s="1012"/>
      <c r="N1" s="1012"/>
      <c r="O1" s="1012"/>
      <c r="P1" s="1012"/>
      <c r="Q1" s="1012"/>
      <c r="R1" s="1012"/>
      <c r="S1" s="1012"/>
      <c r="T1" s="1012"/>
      <c r="U1" s="1012"/>
      <c r="V1" s="1012"/>
      <c r="W1" s="1012"/>
      <c r="X1" s="1012"/>
      <c r="Y1" s="1012"/>
      <c r="Z1" s="1012"/>
      <c r="AA1" s="1012"/>
      <c r="AB1" s="1012"/>
      <c r="AC1" s="1013"/>
      <c r="AD1" s="687"/>
    </row>
    <row r="2" spans="1:30" ht="88.5" customHeight="1" x14ac:dyDescent="0.3">
      <c r="A2" s="962" t="s">
        <v>8171</v>
      </c>
      <c r="B2" s="963"/>
      <c r="C2" s="963"/>
      <c r="D2" s="963"/>
      <c r="E2" s="963"/>
      <c r="F2" s="963"/>
      <c r="G2" s="963"/>
      <c r="H2" s="963"/>
      <c r="I2" s="963"/>
      <c r="J2" s="963"/>
      <c r="K2" s="963"/>
      <c r="L2" s="963"/>
      <c r="M2" s="963"/>
      <c r="N2" s="963"/>
      <c r="O2" s="963"/>
      <c r="P2" s="963"/>
      <c r="Q2" s="963"/>
      <c r="R2" s="963"/>
      <c r="S2" s="963"/>
      <c r="T2" s="963"/>
      <c r="U2" s="963"/>
      <c r="V2" s="963"/>
      <c r="W2" s="963"/>
      <c r="X2" s="963"/>
      <c r="Y2" s="963"/>
      <c r="Z2" s="963"/>
      <c r="AA2" s="993"/>
    </row>
    <row r="3" spans="1:30" ht="60.75" customHeight="1" x14ac:dyDescent="0.3">
      <c r="A3" s="962" t="s">
        <v>7696</v>
      </c>
      <c r="B3" s="963"/>
      <c r="C3" s="963"/>
      <c r="D3" s="963"/>
      <c r="E3" s="963"/>
      <c r="F3" s="963"/>
      <c r="G3" s="963"/>
      <c r="H3" s="963"/>
      <c r="I3" s="963"/>
      <c r="J3" s="963"/>
      <c r="K3" s="963"/>
      <c r="L3" s="963"/>
      <c r="M3" s="963"/>
      <c r="N3" s="963"/>
      <c r="O3" s="963"/>
      <c r="P3" s="963"/>
      <c r="Q3" s="963"/>
      <c r="R3" s="963"/>
      <c r="S3" s="963"/>
      <c r="T3" s="963"/>
      <c r="U3" s="963"/>
      <c r="V3" s="963"/>
      <c r="W3" s="963"/>
      <c r="X3" s="963"/>
      <c r="Y3" s="963"/>
      <c r="Z3" s="963"/>
      <c r="AA3" s="993"/>
    </row>
    <row r="4" spans="1:30" ht="5.9" customHeight="1" x14ac:dyDescent="0.3">
      <c r="A4" s="667"/>
      <c r="B4" s="667"/>
      <c r="C4" s="667"/>
      <c r="D4" s="667"/>
      <c r="E4" s="667"/>
    </row>
    <row r="5" spans="1:30" x14ac:dyDescent="0.3">
      <c r="A5" s="667"/>
      <c r="B5" s="667"/>
      <c r="C5" s="667"/>
      <c r="D5" s="667"/>
      <c r="E5" s="667"/>
      <c r="Q5" s="722"/>
      <c r="R5" s="1000" t="s">
        <v>7686</v>
      </c>
      <c r="S5" s="1001"/>
      <c r="T5" s="1001"/>
      <c r="U5" s="1001"/>
      <c r="V5" s="1001"/>
      <c r="W5" s="1001"/>
      <c r="X5" s="1001"/>
      <c r="Y5" s="1001"/>
      <c r="Z5" s="1001"/>
      <c r="AA5" s="1001"/>
      <c r="AB5" s="1001"/>
      <c r="AC5" s="1002"/>
    </row>
    <row r="6" spans="1:30" ht="4.5" customHeight="1" x14ac:dyDescent="0.3">
      <c r="AD6" s="667"/>
    </row>
    <row r="7" spans="1:30" ht="39" x14ac:dyDescent="0.35">
      <c r="A7" s="668"/>
      <c r="B7" s="668"/>
      <c r="C7" s="668"/>
      <c r="D7" s="668"/>
      <c r="E7" s="668"/>
      <c r="F7" s="668"/>
      <c r="G7" s="668"/>
      <c r="H7" s="668"/>
      <c r="I7" s="668"/>
      <c r="J7" s="668"/>
      <c r="K7" s="668"/>
      <c r="L7" s="668"/>
      <c r="M7" s="668"/>
      <c r="N7" s="668"/>
      <c r="O7" s="668"/>
      <c r="P7" s="668"/>
      <c r="Q7" s="668"/>
      <c r="R7" s="669" t="s">
        <v>7568</v>
      </c>
      <c r="S7" s="669" t="s">
        <v>7569</v>
      </c>
      <c r="T7" s="669" t="s">
        <v>7570</v>
      </c>
      <c r="U7" s="669" t="s">
        <v>7571</v>
      </c>
      <c r="V7" s="669" t="s">
        <v>7572</v>
      </c>
      <c r="W7" s="669" t="s">
        <v>7573</v>
      </c>
      <c r="X7" s="669" t="s">
        <v>7574</v>
      </c>
      <c r="Y7" s="669" t="s">
        <v>7575</v>
      </c>
      <c r="Z7" s="669" t="s">
        <v>7576</v>
      </c>
      <c r="AA7" s="669" t="s">
        <v>7577</v>
      </c>
      <c r="AB7" s="669" t="s">
        <v>7578</v>
      </c>
      <c r="AC7" s="670" t="s">
        <v>7579</v>
      </c>
      <c r="AD7" s="668"/>
    </row>
    <row r="8" spans="1:30" ht="14.5" x14ac:dyDescent="0.35">
      <c r="A8" s="668"/>
      <c r="B8" s="668"/>
      <c r="C8" s="668"/>
      <c r="D8" s="668"/>
      <c r="E8" s="668"/>
      <c r="F8" s="668"/>
      <c r="G8" s="668"/>
      <c r="H8" s="668"/>
      <c r="I8" s="668"/>
      <c r="J8" s="668"/>
      <c r="K8" s="668"/>
      <c r="L8" s="668"/>
      <c r="M8" s="668"/>
      <c r="N8" s="668"/>
      <c r="O8" s="668"/>
      <c r="P8" s="668"/>
      <c r="Q8" s="668"/>
      <c r="R8" s="745">
        <v>5.5430000000000001</v>
      </c>
      <c r="S8" s="745">
        <v>4.4989999999999997</v>
      </c>
      <c r="T8" s="745">
        <v>4.1050000000000004</v>
      </c>
      <c r="U8" s="745">
        <v>4.5510000000000002</v>
      </c>
      <c r="V8" s="745">
        <v>4.1870000000000003</v>
      </c>
      <c r="W8" s="745">
        <v>6.8639999999999999</v>
      </c>
      <c r="X8" s="745">
        <v>7.4089999999999998</v>
      </c>
      <c r="Y8" s="745">
        <v>7.681</v>
      </c>
      <c r="Z8" s="746">
        <v>11.715</v>
      </c>
      <c r="AA8" s="745">
        <v>3.2690000000000001</v>
      </c>
      <c r="AB8" s="747">
        <v>8.7200000000000006</v>
      </c>
      <c r="AC8" s="746">
        <v>8.86</v>
      </c>
      <c r="AD8" s="668"/>
    </row>
    <row r="9" spans="1:30" ht="14.5" x14ac:dyDescent="0.35">
      <c r="A9" s="683"/>
      <c r="B9" s="667"/>
      <c r="C9" s="667"/>
      <c r="D9" s="667"/>
      <c r="E9" s="667"/>
      <c r="F9" s="667"/>
      <c r="G9" s="667"/>
      <c r="R9" s="745">
        <v>-0.4</v>
      </c>
      <c r="S9" s="745">
        <v>-0.4</v>
      </c>
      <c r="T9" s="745">
        <v>-0.4</v>
      </c>
      <c r="U9" s="745">
        <v>-0.4</v>
      </c>
      <c r="V9" s="745">
        <v>-0.4</v>
      </c>
      <c r="W9" s="745">
        <v>-0.4</v>
      </c>
      <c r="X9" s="745">
        <v>-0.4</v>
      </c>
      <c r="Y9" s="745">
        <v>-0.4</v>
      </c>
      <c r="Z9" s="745">
        <v>-0.4</v>
      </c>
      <c r="AA9" s="745">
        <v>-0.4</v>
      </c>
      <c r="AB9" s="745">
        <v>-0.4</v>
      </c>
      <c r="AC9" s="745">
        <v>-0.4</v>
      </c>
      <c r="AD9" s="718" t="s">
        <v>7677</v>
      </c>
    </row>
    <row r="10" spans="1:30" ht="15" thickBot="1" x14ac:dyDescent="0.4">
      <c r="A10" s="683"/>
      <c r="B10" s="667"/>
      <c r="C10" s="667"/>
      <c r="D10" s="667"/>
      <c r="E10" s="1000" t="s">
        <v>7691</v>
      </c>
      <c r="F10" s="1001"/>
      <c r="G10" s="1001"/>
      <c r="H10" s="1001"/>
      <c r="I10" s="1001"/>
      <c r="J10" s="1001"/>
      <c r="K10" s="1001"/>
      <c r="L10" s="1001"/>
      <c r="M10" s="1001"/>
      <c r="N10" s="1001"/>
      <c r="O10" s="1001"/>
      <c r="P10" s="1002"/>
      <c r="R10" s="745">
        <f>R8+R9</f>
        <v>5.1429999999999998</v>
      </c>
      <c r="S10" s="745">
        <f t="shared" ref="S10:X10" si="0">S8+S9</f>
        <v>4.0989999999999993</v>
      </c>
      <c r="T10" s="745">
        <f t="shared" si="0"/>
        <v>3.7050000000000005</v>
      </c>
      <c r="U10" s="745">
        <f t="shared" si="0"/>
        <v>4.1509999999999998</v>
      </c>
      <c r="V10" s="745">
        <f t="shared" si="0"/>
        <v>3.7870000000000004</v>
      </c>
      <c r="W10" s="745">
        <f t="shared" si="0"/>
        <v>6.4639999999999995</v>
      </c>
      <c r="X10" s="745">
        <f t="shared" si="0"/>
        <v>7.0089999999999995</v>
      </c>
      <c r="Y10" s="745">
        <f>Y8+Y9</f>
        <v>7.2809999999999997</v>
      </c>
      <c r="Z10" s="745">
        <f>Z8+Z9</f>
        <v>11.315</v>
      </c>
      <c r="AA10" s="745">
        <f>AA8+AA9</f>
        <v>2.8690000000000002</v>
      </c>
      <c r="AB10" s="745">
        <f>AB8+AB9</f>
        <v>8.32</v>
      </c>
      <c r="AC10" s="745">
        <f>AC8+AC9</f>
        <v>8.4599999999999991</v>
      </c>
      <c r="AD10" s="718" t="s">
        <v>7678</v>
      </c>
    </row>
    <row r="11" spans="1:30" ht="52.5" thickBot="1" x14ac:dyDescent="0.4">
      <c r="A11" s="668"/>
      <c r="B11" s="668"/>
      <c r="C11" s="675" t="s">
        <v>7580</v>
      </c>
      <c r="D11" s="675" t="s">
        <v>7640</v>
      </c>
      <c r="E11" s="675" t="s">
        <v>7581</v>
      </c>
      <c r="F11" s="676" t="s">
        <v>7582</v>
      </c>
      <c r="G11" s="676" t="s">
        <v>7583</v>
      </c>
      <c r="H11" s="676" t="s">
        <v>7584</v>
      </c>
      <c r="I11" s="676" t="s">
        <v>7585</v>
      </c>
      <c r="J11" s="676" t="s">
        <v>7586</v>
      </c>
      <c r="K11" s="676" t="s">
        <v>7587</v>
      </c>
      <c r="L11" s="676" t="s">
        <v>7588</v>
      </c>
      <c r="M11" s="676" t="s">
        <v>7589</v>
      </c>
      <c r="N11" s="676" t="s">
        <v>7590</v>
      </c>
      <c r="O11" s="676" t="s">
        <v>7591</v>
      </c>
      <c r="P11" s="677" t="s">
        <v>7592</v>
      </c>
      <c r="Q11" s="677" t="s">
        <v>7679</v>
      </c>
      <c r="R11" s="675" t="s">
        <v>7680</v>
      </c>
      <c r="S11" s="676" t="s">
        <v>7643</v>
      </c>
      <c r="T11" s="676" t="s">
        <v>7644</v>
      </c>
      <c r="U11" s="676" t="s">
        <v>7645</v>
      </c>
      <c r="V11" s="676" t="s">
        <v>7646</v>
      </c>
      <c r="W11" s="676" t="s">
        <v>7647</v>
      </c>
      <c r="X11" s="676" t="s">
        <v>7648</v>
      </c>
      <c r="Y11" s="676" t="s">
        <v>7681</v>
      </c>
      <c r="Z11" s="676" t="s">
        <v>7682</v>
      </c>
      <c r="AA11" s="676" t="s">
        <v>7683</v>
      </c>
      <c r="AB11" s="676" t="s">
        <v>7684</v>
      </c>
      <c r="AC11" s="677" t="s">
        <v>7685</v>
      </c>
      <c r="AD11" s="668"/>
    </row>
    <row r="12" spans="1:30" ht="14.5" x14ac:dyDescent="0.35">
      <c r="A12" s="678"/>
      <c r="B12" s="668"/>
      <c r="C12" s="668"/>
      <c r="D12" s="668"/>
      <c r="E12" s="668"/>
      <c r="F12" s="668"/>
      <c r="G12" s="668"/>
      <c r="H12" s="668"/>
      <c r="I12" s="668"/>
      <c r="J12" s="668"/>
      <c r="K12" s="668"/>
      <c r="L12" s="668"/>
      <c r="M12" s="668"/>
      <c r="N12" s="668"/>
      <c r="O12" s="668"/>
      <c r="P12" s="668"/>
      <c r="Q12" s="668"/>
      <c r="R12" s="668"/>
      <c r="S12" s="668"/>
      <c r="T12" s="668"/>
      <c r="U12" s="668"/>
      <c r="V12" s="668"/>
      <c r="W12" s="668"/>
      <c r="X12" s="668"/>
      <c r="Y12" s="668"/>
      <c r="Z12" s="668"/>
      <c r="AA12" s="668"/>
      <c r="AB12" s="668"/>
      <c r="AC12" s="668"/>
      <c r="AD12" s="668"/>
    </row>
    <row r="13" spans="1:30" ht="14.5" x14ac:dyDescent="0.35">
      <c r="A13" s="702" t="s">
        <v>7605</v>
      </c>
      <c r="B13" s="706" t="s">
        <v>6592</v>
      </c>
      <c r="C13" s="703">
        <f>SUM(E13:P13)</f>
        <v>3194</v>
      </c>
      <c r="D13" s="704">
        <f>SUM(R13:AC13)</f>
        <v>270.85120000000006</v>
      </c>
      <c r="E13" s="744">
        <f>ROUND(E18*10/25,0)</f>
        <v>38</v>
      </c>
      <c r="F13" s="744">
        <f t="shared" ref="F13:K13" si="1">ROUND(F18*10/25,0)</f>
        <v>150</v>
      </c>
      <c r="G13" s="744">
        <f t="shared" si="1"/>
        <v>210</v>
      </c>
      <c r="H13" s="744">
        <f t="shared" si="1"/>
        <v>448</v>
      </c>
      <c r="I13" s="744">
        <f t="shared" si="1"/>
        <v>545</v>
      </c>
      <c r="J13" s="744">
        <f t="shared" si="1"/>
        <v>684</v>
      </c>
      <c r="K13" s="744">
        <f t="shared" si="1"/>
        <v>391</v>
      </c>
      <c r="L13" s="744">
        <f>ROUND(L18*10/25,0)</f>
        <v>358</v>
      </c>
      <c r="M13" s="744">
        <f>ROUND(M18*10/25,0)</f>
        <v>234</v>
      </c>
      <c r="N13" s="744">
        <f>ROUND(N18*10/25,0)</f>
        <v>97</v>
      </c>
      <c r="O13" s="744">
        <f>ROUND(O18*10/25,0)</f>
        <v>21</v>
      </c>
      <c r="P13" s="744">
        <f>ROUND(P18*10/25,0)</f>
        <v>18</v>
      </c>
      <c r="Q13" s="679">
        <v>8.48</v>
      </c>
      <c r="R13" s="680">
        <f>E13*$Q13/100</f>
        <v>3.2223999999999999</v>
      </c>
      <c r="S13" s="680">
        <f t="shared" ref="S13:X14" si="2">F13*$Q13/100</f>
        <v>12.72</v>
      </c>
      <c r="T13" s="680">
        <f t="shared" si="2"/>
        <v>17.808000000000003</v>
      </c>
      <c r="U13" s="680">
        <f t="shared" si="2"/>
        <v>37.990400000000001</v>
      </c>
      <c r="V13" s="680">
        <f t="shared" si="2"/>
        <v>46.216000000000001</v>
      </c>
      <c r="W13" s="680">
        <f t="shared" si="2"/>
        <v>58.003200000000007</v>
      </c>
      <c r="X13" s="680">
        <f t="shared" si="2"/>
        <v>33.156800000000004</v>
      </c>
      <c r="Y13" s="680">
        <f t="shared" ref="Y13:AC14" si="3">L13*$Q13/100</f>
        <v>30.358400000000003</v>
      </c>
      <c r="Z13" s="685">
        <f t="shared" si="3"/>
        <v>19.843200000000003</v>
      </c>
      <c r="AA13" s="680">
        <f t="shared" si="3"/>
        <v>8.2256</v>
      </c>
      <c r="AB13" s="680">
        <f t="shared" si="3"/>
        <v>1.7808000000000002</v>
      </c>
      <c r="AC13" s="685">
        <f t="shared" si="3"/>
        <v>1.5264000000000002</v>
      </c>
      <c r="AD13" s="718" t="s">
        <v>7689</v>
      </c>
    </row>
    <row r="14" spans="1:30" ht="14.5" x14ac:dyDescent="0.35">
      <c r="A14" s="702" t="s">
        <v>7605</v>
      </c>
      <c r="B14" s="706" t="s">
        <v>7606</v>
      </c>
      <c r="C14" s="703">
        <f>SUM(E14:P14)</f>
        <v>4791</v>
      </c>
      <c r="D14" s="704">
        <f>SUM(R14:AC14)</f>
        <v>394.77839999999998</v>
      </c>
      <c r="E14" s="744">
        <f>E18-E13</f>
        <v>58</v>
      </c>
      <c r="F14" s="744">
        <f t="shared" ref="F14:K14" si="4">F18-F13</f>
        <v>226</v>
      </c>
      <c r="G14" s="744">
        <f t="shared" si="4"/>
        <v>314</v>
      </c>
      <c r="H14" s="744">
        <f t="shared" si="4"/>
        <v>673</v>
      </c>
      <c r="I14" s="744">
        <f t="shared" si="4"/>
        <v>817</v>
      </c>
      <c r="J14" s="744">
        <f t="shared" si="4"/>
        <v>1025</v>
      </c>
      <c r="K14" s="744">
        <f t="shared" si="4"/>
        <v>586</v>
      </c>
      <c r="L14" s="744">
        <f>L18-L13</f>
        <v>536</v>
      </c>
      <c r="M14" s="744">
        <f>M18-M13</f>
        <v>351</v>
      </c>
      <c r="N14" s="744">
        <f>N18-N13</f>
        <v>145</v>
      </c>
      <c r="O14" s="744">
        <f>O18-O13</f>
        <v>32</v>
      </c>
      <c r="P14" s="744">
        <f>P18-P13</f>
        <v>28</v>
      </c>
      <c r="Q14" s="679">
        <v>8.24</v>
      </c>
      <c r="R14" s="680">
        <f>E14*$Q14/100</f>
        <v>4.7792000000000003</v>
      </c>
      <c r="S14" s="680">
        <f t="shared" si="2"/>
        <v>18.622399999999999</v>
      </c>
      <c r="T14" s="680">
        <f t="shared" si="2"/>
        <v>25.8736</v>
      </c>
      <c r="U14" s="680">
        <f t="shared" si="2"/>
        <v>55.455200000000005</v>
      </c>
      <c r="V14" s="680">
        <f t="shared" si="2"/>
        <v>67.320800000000006</v>
      </c>
      <c r="W14" s="680">
        <f t="shared" si="2"/>
        <v>84.46</v>
      </c>
      <c r="X14" s="680">
        <f t="shared" si="2"/>
        <v>48.2864</v>
      </c>
      <c r="Y14" s="680">
        <f t="shared" si="3"/>
        <v>44.166400000000003</v>
      </c>
      <c r="Z14" s="685">
        <f t="shared" si="3"/>
        <v>28.922400000000003</v>
      </c>
      <c r="AA14" s="680">
        <f t="shared" si="3"/>
        <v>11.948</v>
      </c>
      <c r="AB14" s="680">
        <f t="shared" si="3"/>
        <v>2.6368</v>
      </c>
      <c r="AC14" s="685">
        <f t="shared" si="3"/>
        <v>2.3071999999999999</v>
      </c>
      <c r="AD14" s="718" t="s">
        <v>7690</v>
      </c>
    </row>
    <row r="15" spans="1:30" ht="7.4" customHeight="1" x14ac:dyDescent="0.35">
      <c r="A15" s="712"/>
      <c r="B15" s="714"/>
      <c r="C15" s="716"/>
      <c r="D15" s="713"/>
      <c r="E15" s="705"/>
      <c r="F15" s="705"/>
      <c r="G15" s="705"/>
      <c r="H15" s="705"/>
      <c r="I15" s="715"/>
      <c r="J15" s="716"/>
      <c r="K15" s="716"/>
      <c r="L15" s="716"/>
      <c r="M15" s="716"/>
      <c r="N15" s="716"/>
      <c r="O15" s="716"/>
      <c r="P15" s="716"/>
      <c r="Q15" s="716"/>
      <c r="R15" s="716"/>
      <c r="S15" s="716"/>
      <c r="T15" s="716"/>
      <c r="U15" s="716"/>
      <c r="V15" s="716"/>
      <c r="W15" s="716"/>
      <c r="X15" s="716"/>
      <c r="Y15" s="716"/>
      <c r="Z15" s="716"/>
      <c r="AA15" s="716"/>
      <c r="AB15" s="668"/>
    </row>
    <row r="16" spans="1:30" ht="16.399999999999999" customHeight="1" x14ac:dyDescent="0.35">
      <c r="A16" s="712" t="s">
        <v>7687</v>
      </c>
      <c r="B16" s="714"/>
      <c r="C16" s="716"/>
      <c r="D16" s="713"/>
      <c r="E16" s="716"/>
      <c r="F16" s="705"/>
      <c r="G16" s="705"/>
      <c r="H16" s="705"/>
      <c r="I16" s="715"/>
      <c r="J16" s="716"/>
      <c r="K16" s="716"/>
      <c r="L16" s="716"/>
      <c r="M16" s="716"/>
      <c r="N16" s="716"/>
      <c r="O16" s="716"/>
      <c r="P16" s="716"/>
      <c r="Q16" s="717"/>
      <c r="R16" s="680">
        <f>SUM(R13:R14)</f>
        <v>8.0015999999999998</v>
      </c>
      <c r="S16" s="680">
        <f t="shared" ref="S16:X16" si="5">SUM(S13:S14)</f>
        <v>31.342399999999998</v>
      </c>
      <c r="T16" s="680">
        <f t="shared" si="5"/>
        <v>43.681600000000003</v>
      </c>
      <c r="U16" s="680">
        <f t="shared" si="5"/>
        <v>93.445600000000013</v>
      </c>
      <c r="V16" s="680">
        <f t="shared" si="5"/>
        <v>113.5368</v>
      </c>
      <c r="W16" s="680">
        <f t="shared" si="5"/>
        <v>142.4632</v>
      </c>
      <c r="X16" s="680">
        <f t="shared" si="5"/>
        <v>81.443200000000004</v>
      </c>
      <c r="Y16" s="680">
        <f>SUM(Y13:Y14)</f>
        <v>74.524799999999999</v>
      </c>
      <c r="Z16" s="685">
        <f>SUM(Z13:Z14)</f>
        <v>48.765600000000006</v>
      </c>
      <c r="AA16" s="680">
        <f>SUM(AA13:AA14)</f>
        <v>20.1736</v>
      </c>
      <c r="AB16" s="680">
        <f>SUM(AB13:AB14)</f>
        <v>4.4176000000000002</v>
      </c>
      <c r="AC16" s="685">
        <f>SUM(AC13:AC14)</f>
        <v>3.8336000000000001</v>
      </c>
      <c r="AD16" s="668"/>
    </row>
    <row r="17" spans="1:30" ht="7.5" customHeight="1" x14ac:dyDescent="0.35">
      <c r="A17" s="712"/>
      <c r="B17" s="714"/>
      <c r="C17" s="716"/>
      <c r="D17" s="713"/>
      <c r="E17" s="705"/>
      <c r="F17" s="705"/>
      <c r="G17" s="705"/>
      <c r="H17" s="705"/>
      <c r="I17" s="715"/>
      <c r="J17" s="716"/>
      <c r="K17" s="716"/>
      <c r="L17" s="716"/>
      <c r="M17" s="716"/>
      <c r="N17" s="716"/>
      <c r="O17" s="716"/>
      <c r="P17" s="716"/>
      <c r="Q17" s="716"/>
      <c r="R17" s="716"/>
      <c r="S17" s="716"/>
      <c r="T17" s="716"/>
      <c r="U17" s="716"/>
      <c r="V17" s="716"/>
      <c r="W17" s="716"/>
      <c r="X17" s="716"/>
      <c r="Y17" s="716"/>
      <c r="Z17" s="716"/>
      <c r="AA17" s="716"/>
      <c r="AB17" s="668"/>
    </row>
    <row r="18" spans="1:30" ht="14.5" x14ac:dyDescent="0.35">
      <c r="A18" s="702" t="s">
        <v>7605</v>
      </c>
      <c r="B18" s="706" t="s">
        <v>196</v>
      </c>
      <c r="C18" s="703">
        <f>SUM(E18:P18)</f>
        <v>7985</v>
      </c>
      <c r="D18" s="704">
        <f>SUM(R18:AC18)</f>
        <v>487.62812999999994</v>
      </c>
      <c r="E18" s="705">
        <v>96</v>
      </c>
      <c r="F18" s="705">
        <v>376</v>
      </c>
      <c r="G18" s="705">
        <v>524</v>
      </c>
      <c r="H18" s="705">
        <v>1121</v>
      </c>
      <c r="I18" s="705">
        <v>1362</v>
      </c>
      <c r="J18" s="705">
        <v>1709</v>
      </c>
      <c r="K18" s="705">
        <v>977</v>
      </c>
      <c r="L18" s="705">
        <v>894</v>
      </c>
      <c r="M18" s="705">
        <v>585</v>
      </c>
      <c r="N18" s="705">
        <v>242</v>
      </c>
      <c r="O18" s="705">
        <v>53</v>
      </c>
      <c r="P18" s="705">
        <v>46</v>
      </c>
      <c r="Q18" s="679"/>
      <c r="R18" s="680">
        <f>E18*R$10/100</f>
        <v>4.9372799999999994</v>
      </c>
      <c r="S18" s="680">
        <f t="shared" ref="S18:X18" si="6">F18*S$8/100</f>
        <v>16.916239999999998</v>
      </c>
      <c r="T18" s="680">
        <f t="shared" si="6"/>
        <v>21.510200000000005</v>
      </c>
      <c r="U18" s="680">
        <f t="shared" si="6"/>
        <v>51.016710000000003</v>
      </c>
      <c r="V18" s="680">
        <f t="shared" si="6"/>
        <v>57.026940000000003</v>
      </c>
      <c r="W18" s="680">
        <f t="shared" si="6"/>
        <v>117.30575999999999</v>
      </c>
      <c r="X18" s="680">
        <f t="shared" si="6"/>
        <v>72.385930000000002</v>
      </c>
      <c r="Y18" s="680">
        <f>L18*Y$10/100</f>
        <v>65.092140000000001</v>
      </c>
      <c r="Z18" s="695">
        <f>M18*Z$10/100</f>
        <v>66.19274999999999</v>
      </c>
      <c r="AA18" s="680">
        <f>N18*AA$10/100</f>
        <v>6.9429800000000004</v>
      </c>
      <c r="AB18" s="680">
        <f>O18*AB$10/100</f>
        <v>4.4096000000000002</v>
      </c>
      <c r="AC18" s="695">
        <f>P18*AC$10/100</f>
        <v>3.8915999999999995</v>
      </c>
      <c r="AD18" s="718" t="s">
        <v>7692</v>
      </c>
    </row>
    <row r="19" spans="1:30" ht="7.4" customHeight="1" x14ac:dyDescent="0.35">
      <c r="A19" s="719"/>
      <c r="B19" s="719"/>
      <c r="C19" s="719"/>
      <c r="D19" s="719"/>
      <c r="E19" s="719"/>
      <c r="F19" s="719"/>
      <c r="G19" s="719"/>
      <c r="H19" s="719"/>
      <c r="I19" s="719"/>
      <c r="J19" s="719"/>
      <c r="K19" s="719"/>
      <c r="L19" s="719"/>
      <c r="M19" s="719"/>
      <c r="N19" s="719"/>
      <c r="O19" s="719"/>
      <c r="P19" s="719"/>
      <c r="Q19" s="719"/>
      <c r="R19" s="720"/>
      <c r="S19" s="720"/>
      <c r="T19" s="720"/>
      <c r="U19" s="720"/>
      <c r="V19" s="720"/>
      <c r="W19" s="720"/>
      <c r="X19" s="720"/>
      <c r="Y19" s="720"/>
      <c r="Z19" s="720"/>
      <c r="AA19" s="720"/>
      <c r="AB19" s="720"/>
      <c r="AC19" s="720"/>
      <c r="AD19" s="668"/>
    </row>
    <row r="20" spans="1:30" ht="14.5" x14ac:dyDescent="0.35">
      <c r="A20" s="702" t="s">
        <v>7605</v>
      </c>
      <c r="B20" s="707" t="s">
        <v>7626</v>
      </c>
      <c r="C20" s="703"/>
      <c r="D20" s="704">
        <f>SUM(R20:AC20)</f>
        <v>-17.485149999999983</v>
      </c>
      <c r="E20" s="705"/>
      <c r="F20" s="705"/>
      <c r="G20" s="705"/>
      <c r="H20" s="705"/>
      <c r="I20" s="705"/>
      <c r="J20" s="705"/>
      <c r="K20" s="705"/>
      <c r="L20" s="705"/>
      <c r="M20" s="705"/>
      <c r="N20" s="705"/>
      <c r="O20" s="705"/>
      <c r="P20" s="705"/>
      <c r="Q20" s="679"/>
      <c r="R20" s="680">
        <f>IF(R16&lt;R18,R16-R18,0)</f>
        <v>0</v>
      </c>
      <c r="S20" s="680">
        <f t="shared" ref="S20:X20" si="7">IF(S16&lt;S18,S16-S18,0)</f>
        <v>0</v>
      </c>
      <c r="T20" s="680">
        <f t="shared" si="7"/>
        <v>0</v>
      </c>
      <c r="U20" s="680">
        <f t="shared" si="7"/>
        <v>0</v>
      </c>
      <c r="V20" s="680">
        <f t="shared" si="7"/>
        <v>0</v>
      </c>
      <c r="W20" s="680">
        <f t="shared" si="7"/>
        <v>0</v>
      </c>
      <c r="X20" s="680">
        <f t="shared" si="7"/>
        <v>0</v>
      </c>
      <c r="Y20" s="680">
        <f>IF(Y16&lt;Y18,Y16-Y18,0)</f>
        <v>0</v>
      </c>
      <c r="Z20" s="685">
        <f>IF(Z16&lt;Z18,Z16-Z18,0)</f>
        <v>-17.427149999999983</v>
      </c>
      <c r="AA20" s="680">
        <f>IF(AA16&lt;AA18,AA16-AA18,0)</f>
        <v>0</v>
      </c>
      <c r="AB20" s="680">
        <f>IF(AB16&lt;AB18,AB16-AB18,0)</f>
        <v>0</v>
      </c>
      <c r="AC20" s="680">
        <f>IF(AC16&lt;AC18,AC16-AC18,0)</f>
        <v>-5.7999999999999385E-2</v>
      </c>
      <c r="AD20" s="668"/>
    </row>
    <row r="21" spans="1:30" ht="14.5" x14ac:dyDescent="0.35">
      <c r="A21" s="682"/>
      <c r="B21" s="667"/>
      <c r="C21" s="667"/>
      <c r="D21" s="667"/>
      <c r="E21" s="667"/>
      <c r="F21" s="667"/>
      <c r="G21" s="667"/>
    </row>
    <row r="22" spans="1:30" ht="14.5" x14ac:dyDescent="0.35">
      <c r="A22" s="712" t="s">
        <v>7688</v>
      </c>
      <c r="B22" s="714"/>
      <c r="C22" s="716"/>
      <c r="D22" s="713"/>
      <c r="E22" s="716"/>
      <c r="F22" s="705"/>
      <c r="G22" s="705"/>
      <c r="H22" s="705"/>
      <c r="I22" s="715"/>
      <c r="J22" s="716"/>
      <c r="K22" s="716"/>
      <c r="L22" s="716"/>
      <c r="M22" s="716"/>
      <c r="N22" s="716"/>
      <c r="O22" s="716"/>
      <c r="P22" s="716"/>
      <c r="Q22" s="717"/>
      <c r="R22" s="680">
        <f>R18+R20</f>
        <v>4.9372799999999994</v>
      </c>
      <c r="S22" s="680">
        <f t="shared" ref="S22:X22" si="8">S18+S20</f>
        <v>16.916239999999998</v>
      </c>
      <c r="T22" s="680">
        <f t="shared" si="8"/>
        <v>21.510200000000005</v>
      </c>
      <c r="U22" s="680">
        <f t="shared" si="8"/>
        <v>51.016710000000003</v>
      </c>
      <c r="V22" s="680">
        <f t="shared" si="8"/>
        <v>57.026940000000003</v>
      </c>
      <c r="W22" s="680">
        <f t="shared" si="8"/>
        <v>117.30575999999999</v>
      </c>
      <c r="X22" s="680">
        <f t="shared" si="8"/>
        <v>72.385930000000002</v>
      </c>
      <c r="Y22" s="680">
        <f>Y18+Y20</f>
        <v>65.092140000000001</v>
      </c>
      <c r="Z22" s="680">
        <f>Z18+Z20</f>
        <v>48.765600000000006</v>
      </c>
      <c r="AA22" s="680">
        <f>AA18+AA20</f>
        <v>6.9429800000000004</v>
      </c>
      <c r="AB22" s="680">
        <f>AB18+AB20</f>
        <v>4.4096000000000002</v>
      </c>
      <c r="AC22" s="680">
        <f>AC18+AC20</f>
        <v>3.8336000000000001</v>
      </c>
      <c r="AD22" s="718"/>
    </row>
    <row r="23" spans="1:30" x14ac:dyDescent="0.3">
      <c r="A23" s="667"/>
      <c r="B23" s="721"/>
      <c r="C23" s="667"/>
      <c r="D23" s="667"/>
      <c r="E23" s="667"/>
      <c r="F23" s="667"/>
      <c r="G23" s="667"/>
    </row>
    <row r="24" spans="1:30" x14ac:dyDescent="0.3">
      <c r="A24" s="667"/>
      <c r="B24" s="667"/>
      <c r="C24" s="667"/>
      <c r="D24" s="667"/>
      <c r="E24" s="667"/>
      <c r="F24" s="667"/>
      <c r="G24" s="667"/>
    </row>
    <row r="25" spans="1:30" x14ac:dyDescent="0.3">
      <c r="A25" s="683"/>
      <c r="B25" s="667"/>
      <c r="C25" s="667"/>
      <c r="D25" s="667"/>
      <c r="E25" s="667"/>
      <c r="F25" s="667"/>
      <c r="G25" s="667"/>
    </row>
    <row r="26" spans="1:30" x14ac:dyDescent="0.3">
      <c r="A26" s="683"/>
      <c r="B26" s="667"/>
      <c r="C26" s="667"/>
      <c r="D26" s="667"/>
      <c r="E26" s="667"/>
      <c r="F26" s="667"/>
      <c r="G26" s="667"/>
      <c r="AA26" s="113" t="s">
        <v>7674</v>
      </c>
    </row>
    <row r="27" spans="1:30" x14ac:dyDescent="0.3">
      <c r="A27" s="683"/>
      <c r="B27" s="667"/>
      <c r="C27" s="667"/>
      <c r="D27" s="667"/>
      <c r="E27" s="667"/>
      <c r="F27" s="667"/>
      <c r="G27" s="667"/>
    </row>
    <row r="28" spans="1:30" x14ac:dyDescent="0.3">
      <c r="A28" s="683"/>
      <c r="B28" s="667"/>
      <c r="C28" s="667"/>
      <c r="D28" s="667"/>
      <c r="E28" s="667"/>
      <c r="F28" s="667"/>
      <c r="G28" s="667"/>
    </row>
    <row r="29" spans="1:30" x14ac:dyDescent="0.3">
      <c r="A29" s="667"/>
      <c r="B29" s="667"/>
      <c r="C29" s="667"/>
      <c r="D29" s="667"/>
      <c r="E29" s="667"/>
      <c r="F29" s="667"/>
      <c r="G29" s="667"/>
    </row>
    <row r="30" spans="1:30" x14ac:dyDescent="0.3">
      <c r="A30" s="667"/>
      <c r="B30" s="667"/>
      <c r="C30" s="667"/>
      <c r="D30" s="667"/>
      <c r="E30" s="667"/>
      <c r="F30" s="667"/>
      <c r="G30" s="667"/>
    </row>
    <row r="31" spans="1:30" x14ac:dyDescent="0.3">
      <c r="A31" s="667"/>
      <c r="B31" s="667"/>
      <c r="C31" s="667"/>
      <c r="D31" s="667"/>
      <c r="E31" s="667"/>
      <c r="F31" s="667"/>
      <c r="G31" s="667"/>
    </row>
    <row r="32" spans="1:30" x14ac:dyDescent="0.3">
      <c r="A32" s="686"/>
      <c r="B32" s="667"/>
      <c r="C32" s="667"/>
      <c r="D32" s="667"/>
      <c r="E32" s="667"/>
      <c r="F32" s="667"/>
      <c r="G32" s="667"/>
    </row>
    <row r="33" spans="1:12" x14ac:dyDescent="0.3">
      <c r="A33" s="667"/>
      <c r="B33" s="667"/>
      <c r="C33" s="667"/>
      <c r="D33" s="667"/>
      <c r="E33" s="667"/>
      <c r="F33" s="667"/>
      <c r="G33" s="667"/>
    </row>
    <row r="34" spans="1:12" x14ac:dyDescent="0.3">
      <c r="A34" s="667"/>
      <c r="B34" s="667"/>
      <c r="C34" s="667"/>
      <c r="D34" s="667"/>
      <c r="E34" s="667"/>
      <c r="F34" s="667"/>
      <c r="G34" s="667"/>
    </row>
    <row r="35" spans="1:12" ht="9" customHeight="1" x14ac:dyDescent="0.3">
      <c r="A35" s="667"/>
      <c r="B35" s="667"/>
      <c r="C35" s="667"/>
      <c r="D35" s="667"/>
      <c r="E35" s="667"/>
      <c r="F35" s="667"/>
      <c r="G35" s="667"/>
    </row>
    <row r="36" spans="1:12" ht="43.5" customHeight="1" x14ac:dyDescent="0.3">
      <c r="A36" s="687"/>
      <c r="B36" s="1014"/>
      <c r="C36" s="1014"/>
      <c r="D36" s="724"/>
      <c r="E36" s="687"/>
      <c r="F36" s="667"/>
      <c r="G36" s="667"/>
    </row>
    <row r="37" spans="1:12" ht="15" customHeight="1" x14ac:dyDescent="0.3">
      <c r="A37" s="667"/>
      <c r="B37" s="1010"/>
      <c r="C37" s="1010"/>
      <c r="D37" s="693"/>
      <c r="E37" s="667"/>
      <c r="F37" s="667"/>
      <c r="G37" s="667"/>
    </row>
    <row r="38" spans="1:12" ht="6" customHeight="1" x14ac:dyDescent="0.3">
      <c r="A38" s="667"/>
      <c r="B38" s="667"/>
      <c r="C38" s="667"/>
      <c r="D38" s="667"/>
      <c r="E38" s="688"/>
      <c r="F38" s="688"/>
      <c r="G38" s="688"/>
      <c r="H38" s="136"/>
      <c r="I38" s="136"/>
      <c r="J38" s="136"/>
      <c r="K38" s="136"/>
    </row>
    <row r="39" spans="1:12" x14ac:dyDescent="0.3">
      <c r="A39" s="689"/>
      <c r="B39" s="1009"/>
      <c r="C39" s="1009"/>
      <c r="D39" s="723"/>
      <c r="E39" s="690"/>
      <c r="F39" s="667"/>
      <c r="G39" s="667"/>
      <c r="L39" s="139"/>
    </row>
    <row r="40" spans="1:12" ht="15" customHeight="1" x14ac:dyDescent="0.3">
      <c r="A40" s="689"/>
      <c r="B40" s="1009"/>
      <c r="C40" s="1009"/>
      <c r="D40" s="723"/>
      <c r="E40" s="690"/>
      <c r="F40" s="667"/>
      <c r="G40" s="667"/>
      <c r="L40" s="139"/>
    </row>
    <row r="41" spans="1:12" ht="15" customHeight="1" x14ac:dyDescent="0.3">
      <c r="A41" s="689"/>
      <c r="B41" s="1009"/>
      <c r="C41" s="1009"/>
      <c r="D41" s="723"/>
      <c r="E41" s="690"/>
      <c r="F41" s="667"/>
      <c r="G41" s="667"/>
      <c r="L41" s="139"/>
    </row>
    <row r="42" spans="1:12" ht="15" customHeight="1" x14ac:dyDescent="0.3">
      <c r="A42" s="689"/>
      <c r="B42" s="1009"/>
      <c r="C42" s="1009"/>
      <c r="D42" s="723"/>
      <c r="E42" s="690"/>
      <c r="F42" s="667"/>
      <c r="G42" s="667"/>
      <c r="L42" s="139"/>
    </row>
    <row r="43" spans="1:12" x14ac:dyDescent="0.3">
      <c r="A43" s="689"/>
      <c r="B43" s="1009"/>
      <c r="C43" s="1009"/>
      <c r="D43" s="723"/>
      <c r="E43" s="690"/>
      <c r="F43" s="667"/>
      <c r="G43" s="667"/>
      <c r="L43" s="139"/>
    </row>
    <row r="44" spans="1:12" ht="15" customHeight="1" x14ac:dyDescent="0.3">
      <c r="A44" s="689"/>
      <c r="B44" s="1009"/>
      <c r="C44" s="1009"/>
      <c r="D44" s="723"/>
      <c r="E44" s="690"/>
      <c r="F44" s="667"/>
      <c r="G44" s="667"/>
      <c r="L44" s="139"/>
    </row>
    <row r="45" spans="1:12" ht="15" customHeight="1" x14ac:dyDescent="0.3">
      <c r="A45" s="689"/>
      <c r="B45" s="1009"/>
      <c r="C45" s="1009"/>
      <c r="D45" s="723"/>
      <c r="E45" s="690"/>
      <c r="F45" s="667"/>
      <c r="G45" s="667"/>
      <c r="L45" s="139"/>
    </row>
    <row r="46" spans="1:12" ht="15" customHeight="1" x14ac:dyDescent="0.3">
      <c r="A46" s="689"/>
      <c r="B46" s="1009"/>
      <c r="C46" s="1009"/>
      <c r="D46" s="723"/>
      <c r="E46" s="690"/>
      <c r="F46" s="667"/>
      <c r="G46" s="667"/>
      <c r="L46" s="139"/>
    </row>
    <row r="47" spans="1:12" x14ac:dyDescent="0.3">
      <c r="A47" s="689"/>
      <c r="B47" s="1009"/>
      <c r="C47" s="1009"/>
      <c r="D47" s="723"/>
      <c r="E47" s="690"/>
      <c r="F47" s="667"/>
      <c r="G47" s="667"/>
      <c r="L47" s="139"/>
    </row>
    <row r="48" spans="1:12" ht="15" customHeight="1" x14ac:dyDescent="0.3">
      <c r="A48" s="689"/>
      <c r="B48" s="1009"/>
      <c r="C48" s="1009"/>
      <c r="D48" s="723"/>
      <c r="E48" s="690"/>
      <c r="F48" s="667"/>
      <c r="G48" s="667"/>
      <c r="L48" s="139"/>
    </row>
    <row r="49" spans="1:12" ht="15" customHeight="1" x14ac:dyDescent="0.3">
      <c r="A49" s="689"/>
      <c r="B49" s="1009"/>
      <c r="C49" s="1009"/>
      <c r="D49" s="723"/>
      <c r="E49" s="690"/>
      <c r="F49" s="667"/>
      <c r="G49" s="667"/>
      <c r="L49" s="139"/>
    </row>
    <row r="50" spans="1:12" ht="15" customHeight="1" x14ac:dyDescent="0.3">
      <c r="A50" s="689"/>
      <c r="B50" s="1009"/>
      <c r="C50" s="1009"/>
      <c r="D50" s="723"/>
      <c r="E50" s="690"/>
      <c r="F50" s="667"/>
      <c r="G50" s="667"/>
      <c r="L50" s="139"/>
    </row>
    <row r="51" spans="1:12" ht="6.75" customHeight="1" x14ac:dyDescent="0.3">
      <c r="A51" s="667"/>
      <c r="B51" s="667"/>
      <c r="C51" s="667"/>
      <c r="D51" s="667"/>
      <c r="E51" s="691"/>
      <c r="F51" s="691"/>
      <c r="G51" s="691"/>
      <c r="H51" s="137"/>
      <c r="I51" s="137"/>
      <c r="J51" s="137"/>
      <c r="K51" s="137"/>
    </row>
    <row r="52" spans="1:12" x14ac:dyDescent="0.3">
      <c r="A52" s="692"/>
      <c r="B52" s="667"/>
      <c r="C52" s="693"/>
      <c r="D52" s="693"/>
      <c r="E52" s="690"/>
      <c r="F52" s="667"/>
      <c r="G52" s="667"/>
    </row>
    <row r="53" spans="1:12" x14ac:dyDescent="0.3">
      <c r="A53" s="692"/>
      <c r="B53" s="667"/>
      <c r="C53" s="693"/>
      <c r="D53" s="693"/>
      <c r="E53" s="690"/>
      <c r="F53" s="667"/>
      <c r="G53" s="667"/>
    </row>
    <row r="54" spans="1:12" x14ac:dyDescent="0.3">
      <c r="A54" s="667"/>
      <c r="B54" s="667"/>
      <c r="C54" s="693"/>
      <c r="D54" s="693"/>
      <c r="E54" s="667"/>
      <c r="F54" s="667"/>
      <c r="G54" s="667"/>
    </row>
    <row r="55" spans="1:12" x14ac:dyDescent="0.3">
      <c r="A55" s="667"/>
      <c r="B55" s="667"/>
      <c r="C55" s="693"/>
      <c r="D55" s="693"/>
      <c r="E55" s="667"/>
      <c r="F55" s="667"/>
      <c r="G55" s="667"/>
    </row>
    <row r="56" spans="1:12" x14ac:dyDescent="0.3">
      <c r="A56" s="667"/>
      <c r="B56" s="667"/>
      <c r="C56" s="693"/>
      <c r="D56" s="693"/>
      <c r="E56" s="667"/>
      <c r="F56" s="667"/>
      <c r="G56" s="667"/>
    </row>
    <row r="57" spans="1:12" x14ac:dyDescent="0.3">
      <c r="A57" s="667"/>
      <c r="B57" s="667"/>
      <c r="C57" s="693"/>
      <c r="D57" s="693"/>
      <c r="E57" s="667"/>
      <c r="F57" s="667"/>
      <c r="G57" s="667"/>
    </row>
    <row r="58" spans="1:12" x14ac:dyDescent="0.3">
      <c r="A58" s="667"/>
      <c r="B58" s="667"/>
      <c r="C58" s="667"/>
      <c r="D58" s="667"/>
      <c r="E58" s="667"/>
      <c r="F58" s="667"/>
      <c r="G58" s="667"/>
    </row>
    <row r="59" spans="1:12" x14ac:dyDescent="0.3">
      <c r="A59" s="686"/>
      <c r="B59" s="667"/>
      <c r="C59" s="667"/>
      <c r="D59" s="667"/>
      <c r="E59" s="667"/>
      <c r="F59" s="667"/>
      <c r="G59" s="667"/>
    </row>
    <row r="60" spans="1:12" x14ac:dyDescent="0.3">
      <c r="A60" s="667"/>
      <c r="B60" s="667"/>
      <c r="C60" s="667"/>
      <c r="D60" s="667"/>
      <c r="E60" s="667"/>
      <c r="F60" s="667"/>
      <c r="G60" s="667"/>
    </row>
    <row r="61" spans="1:12" x14ac:dyDescent="0.3">
      <c r="A61" s="667"/>
      <c r="B61" s="667"/>
      <c r="C61" s="667"/>
      <c r="D61" s="667"/>
      <c r="E61" s="667"/>
      <c r="F61" s="667"/>
      <c r="G61" s="667"/>
    </row>
    <row r="62" spans="1:12" x14ac:dyDescent="0.3">
      <c r="A62" s="667"/>
      <c r="B62" s="667"/>
      <c r="C62" s="667"/>
      <c r="D62" s="667"/>
      <c r="E62" s="667"/>
      <c r="F62" s="667"/>
      <c r="G62" s="667"/>
    </row>
    <row r="63" spans="1:12" x14ac:dyDescent="0.3">
      <c r="A63" s="689"/>
      <c r="B63" s="667"/>
      <c r="C63" s="667"/>
      <c r="D63" s="667"/>
      <c r="E63" s="667"/>
      <c r="F63" s="667"/>
      <c r="G63" s="667"/>
    </row>
    <row r="64" spans="1:12" x14ac:dyDescent="0.3">
      <c r="A64" s="689"/>
      <c r="B64" s="667"/>
      <c r="C64" s="667"/>
      <c r="D64" s="667"/>
      <c r="E64" s="667"/>
      <c r="F64" s="667"/>
      <c r="G64" s="667"/>
    </row>
    <row r="65" spans="1:7" x14ac:dyDescent="0.3">
      <c r="A65" s="667"/>
      <c r="B65" s="667"/>
      <c r="C65" s="667"/>
      <c r="D65" s="667"/>
      <c r="E65" s="667"/>
      <c r="F65" s="667"/>
      <c r="G65" s="667"/>
    </row>
    <row r="66" spans="1:7" x14ac:dyDescent="0.3">
      <c r="A66" s="667"/>
      <c r="B66" s="667"/>
      <c r="C66" s="667"/>
      <c r="D66" s="667"/>
      <c r="E66" s="667"/>
      <c r="F66" s="667"/>
      <c r="G66" s="667"/>
    </row>
    <row r="67" spans="1:7" x14ac:dyDescent="0.3">
      <c r="A67" s="667"/>
      <c r="B67" s="667"/>
      <c r="C67" s="667"/>
      <c r="D67" s="667"/>
      <c r="E67" s="667"/>
      <c r="F67" s="667"/>
      <c r="G67" s="667"/>
    </row>
    <row r="68" spans="1:7" x14ac:dyDescent="0.3">
      <c r="A68" s="667"/>
      <c r="B68" s="667"/>
      <c r="C68" s="667"/>
      <c r="D68" s="667"/>
      <c r="E68" s="667"/>
      <c r="F68" s="667"/>
      <c r="G68" s="667"/>
    </row>
    <row r="69" spans="1:7" x14ac:dyDescent="0.3">
      <c r="A69" s="667"/>
      <c r="B69" s="667"/>
      <c r="C69" s="667"/>
      <c r="D69" s="667"/>
      <c r="E69" s="667"/>
      <c r="F69" s="667"/>
      <c r="G69" s="667"/>
    </row>
    <row r="70" spans="1:7" x14ac:dyDescent="0.3">
      <c r="A70" s="667"/>
      <c r="B70" s="667"/>
      <c r="C70" s="667"/>
      <c r="D70" s="667"/>
      <c r="E70" s="667"/>
      <c r="F70" s="667"/>
      <c r="G70" s="667"/>
    </row>
    <row r="73" spans="1:7" ht="14.5" x14ac:dyDescent="0.35">
      <c r="A73" s="132"/>
    </row>
  </sheetData>
  <mergeCells count="19">
    <mergeCell ref="A1:AC1"/>
    <mergeCell ref="A2:AA2"/>
    <mergeCell ref="A3:AA3"/>
    <mergeCell ref="R5:AC5"/>
    <mergeCell ref="B36:C36"/>
    <mergeCell ref="B37:C37"/>
    <mergeCell ref="E10:P10"/>
    <mergeCell ref="B39:C39"/>
    <mergeCell ref="B40:C40"/>
    <mergeCell ref="B41:C41"/>
    <mergeCell ref="B47:C47"/>
    <mergeCell ref="B48:C48"/>
    <mergeCell ref="B49:C49"/>
    <mergeCell ref="B50:C50"/>
    <mergeCell ref="B42:C42"/>
    <mergeCell ref="B43:C43"/>
    <mergeCell ref="B44:C44"/>
    <mergeCell ref="B45:C45"/>
    <mergeCell ref="B46:C46"/>
  </mergeCells>
  <conditionalFormatting sqref="R13:AC14">
    <cfRule type="cellIs" dxfId="2" priority="1" stopIfTrue="1" operator="lessThan">
      <formula>0</formula>
    </cfRule>
  </conditionalFormatting>
  <conditionalFormatting sqref="R18:AC18">
    <cfRule type="cellIs" dxfId="1" priority="7" stopIfTrue="1" operator="lessThan">
      <formula>0</formula>
    </cfRule>
  </conditionalFormatting>
  <conditionalFormatting sqref="R20:AC20">
    <cfRule type="cellIs" dxfId="0" priority="8"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20 B13:B18 B22" xr:uid="{00000000-0002-0000-0A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5841" r:id="rId4">
          <objectPr defaultSize="0" autoPict="0" r:id="rId5">
            <anchor moveWithCells="1" sizeWithCells="1">
              <from>
                <xdr:col>0</xdr:col>
                <xdr:colOff>57150</xdr:colOff>
                <xdr:row>19</xdr:row>
                <xdr:rowOff>0</xdr:rowOff>
              </from>
              <to>
                <xdr:col>3</xdr:col>
                <xdr:colOff>0</xdr:colOff>
                <xdr:row>19</xdr:row>
                <xdr:rowOff>0</xdr:rowOff>
              </to>
            </anchor>
          </objectPr>
        </oleObject>
      </mc:Choice>
      <mc:Fallback>
        <oleObject progId="Equation.3" shapeId="35841" r:id="rId4"/>
      </mc:Fallback>
    </mc:AlternateContent>
    <mc:AlternateContent xmlns:mc="http://schemas.openxmlformats.org/markup-compatibility/2006">
      <mc:Choice Requires="x14">
        <oleObject progId="Equation.3" shapeId="35842" r:id="rId6">
          <objectPr defaultSize="0" autoPict="0" r:id="rId7">
            <anchor moveWithCells="1" sizeWithCells="1">
              <from>
                <xdr:col>0</xdr:col>
                <xdr:colOff>0</xdr:colOff>
                <xdr:row>58</xdr:row>
                <xdr:rowOff>0</xdr:rowOff>
              </from>
              <to>
                <xdr:col>3</xdr:col>
                <xdr:colOff>0</xdr:colOff>
                <xdr:row>58</xdr:row>
                <xdr:rowOff>0</xdr:rowOff>
              </to>
            </anchor>
          </objectPr>
        </oleObject>
      </mc:Choice>
      <mc:Fallback>
        <oleObject progId="Equation.3" shapeId="35842" r:id="rId6"/>
      </mc:Fallback>
    </mc:AlternateContent>
    <mc:AlternateContent xmlns:mc="http://schemas.openxmlformats.org/markup-compatibility/2006">
      <mc:Choice Requires="x14">
        <oleObject progId="Equation.3" shapeId="35843" r:id="rId8">
          <objectPr defaultSize="0" autoPict="0" r:id="rId9">
            <anchor moveWithCells="1" sizeWithCells="1">
              <from>
                <xdr:col>0</xdr:col>
                <xdr:colOff>361950</xdr:colOff>
                <xdr:row>58</xdr:row>
                <xdr:rowOff>0</xdr:rowOff>
              </from>
              <to>
                <xdr:col>3</xdr:col>
                <xdr:colOff>0</xdr:colOff>
                <xdr:row>58</xdr:row>
                <xdr:rowOff>0</xdr:rowOff>
              </to>
            </anchor>
          </objectPr>
        </oleObject>
      </mc:Choice>
      <mc:Fallback>
        <oleObject progId="Equation.3" shapeId="35843" r:id="rId8"/>
      </mc:Fallback>
    </mc:AlternateContent>
    <mc:AlternateContent xmlns:mc="http://schemas.openxmlformats.org/markup-compatibility/2006">
      <mc:Choice Requires="x14">
        <oleObject progId="Equation.3" shapeId="35844" r:id="rId10">
          <objectPr defaultSize="0" autoPict="0" r:id="rId11">
            <anchor moveWithCells="1" sizeWithCells="1">
              <from>
                <xdr:col>0</xdr:col>
                <xdr:colOff>323850</xdr:colOff>
                <xdr:row>58</xdr:row>
                <xdr:rowOff>0</xdr:rowOff>
              </from>
              <to>
                <xdr:col>3</xdr:col>
                <xdr:colOff>0</xdr:colOff>
                <xdr:row>58</xdr:row>
                <xdr:rowOff>0</xdr:rowOff>
              </to>
            </anchor>
          </objectPr>
        </oleObject>
      </mc:Choice>
      <mc:Fallback>
        <oleObject progId="Equation.3" shapeId="35844" r:id="rId10"/>
      </mc:Fallback>
    </mc:AlternateContent>
    <mc:AlternateContent xmlns:mc="http://schemas.openxmlformats.org/markup-compatibility/2006">
      <mc:Choice Requires="x14">
        <oleObject progId="Equation.3" shapeId="35845" r:id="rId12">
          <objectPr defaultSize="0" autoPict="0" r:id="rId13">
            <anchor moveWithCells="1" sizeWithCells="1">
              <from>
                <xdr:col>0</xdr:col>
                <xdr:colOff>12700</xdr:colOff>
                <xdr:row>58</xdr:row>
                <xdr:rowOff>0</xdr:rowOff>
              </from>
              <to>
                <xdr:col>3</xdr:col>
                <xdr:colOff>0</xdr:colOff>
                <xdr:row>58</xdr:row>
                <xdr:rowOff>0</xdr:rowOff>
              </to>
            </anchor>
          </objectPr>
        </oleObject>
      </mc:Choice>
      <mc:Fallback>
        <oleObject progId="Equation.3" shapeId="35845" r:id="rId12"/>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3"/>
  <dimension ref="A1:H96"/>
  <sheetViews>
    <sheetView workbookViewId="0"/>
  </sheetViews>
  <sheetFormatPr baseColWidth="10" defaultColWidth="11.453125" defaultRowHeight="14" x14ac:dyDescent="0.3"/>
  <cols>
    <col min="1" max="1" width="21.453125" style="113" customWidth="1"/>
    <col min="2" max="3" width="14.453125" style="113" customWidth="1"/>
    <col min="4" max="4" width="23.453125" style="113" customWidth="1"/>
    <col min="5" max="5" width="13.453125" style="113" customWidth="1"/>
    <col min="6" max="6" width="22.54296875" style="113" customWidth="1"/>
    <col min="7" max="7" width="16" style="113" customWidth="1"/>
    <col min="8" max="16384" width="11.453125" style="113"/>
  </cols>
  <sheetData>
    <row r="1" spans="1:7" ht="18" x14ac:dyDescent="0.4">
      <c r="A1" s="112" t="s">
        <v>5435</v>
      </c>
    </row>
    <row r="2" spans="1:7" ht="9" customHeight="1" x14ac:dyDescent="0.3"/>
    <row r="3" spans="1:7" x14ac:dyDescent="0.3">
      <c r="A3" s="113" t="s">
        <v>5436</v>
      </c>
    </row>
    <row r="4" spans="1:7" x14ac:dyDescent="0.3">
      <c r="A4" s="113" t="s">
        <v>796</v>
      </c>
    </row>
    <row r="5" spans="1:7" x14ac:dyDescent="0.3">
      <c r="A5" s="113" t="s">
        <v>1196</v>
      </c>
    </row>
    <row r="6" spans="1:7" x14ac:dyDescent="0.3">
      <c r="A6" s="113" t="s">
        <v>5445</v>
      </c>
    </row>
    <row r="7" spans="1:7" ht="23.25" customHeight="1" x14ac:dyDescent="0.3"/>
    <row r="8" spans="1:7" x14ac:dyDescent="0.3">
      <c r="A8" s="114" t="s">
        <v>5437</v>
      </c>
    </row>
    <row r="10" spans="1:7" x14ac:dyDescent="0.3">
      <c r="A10" s="115" t="s">
        <v>5439</v>
      </c>
    </row>
    <row r="12" spans="1:7" ht="16" x14ac:dyDescent="0.4">
      <c r="A12" s="113" t="s">
        <v>5449</v>
      </c>
      <c r="D12" s="116" t="s">
        <v>793</v>
      </c>
      <c r="E12" s="117">
        <v>3285000</v>
      </c>
      <c r="F12" s="113" t="s">
        <v>5447</v>
      </c>
      <c r="G12" s="117"/>
    </row>
    <row r="13" spans="1:7" ht="6" customHeight="1" x14ac:dyDescent="0.3">
      <c r="E13" s="117"/>
      <c r="G13" s="117"/>
    </row>
    <row r="14" spans="1:7" ht="16" x14ac:dyDescent="0.4">
      <c r="A14" s="113" t="s">
        <v>4634</v>
      </c>
      <c r="D14" s="116" t="s">
        <v>792</v>
      </c>
      <c r="E14" s="113">
        <v>8760</v>
      </c>
      <c r="F14" s="113" t="s">
        <v>5448</v>
      </c>
    </row>
    <row r="15" spans="1:7" ht="6" customHeight="1" x14ac:dyDescent="0.3">
      <c r="E15" s="117"/>
      <c r="G15" s="117"/>
    </row>
    <row r="16" spans="1:7" x14ac:dyDescent="0.3">
      <c r="A16" s="113" t="s">
        <v>799</v>
      </c>
      <c r="D16" s="116"/>
    </row>
    <row r="17" spans="1:7" ht="15.75" customHeight="1" x14ac:dyDescent="0.4">
      <c r="A17" s="113" t="s">
        <v>800</v>
      </c>
      <c r="D17" s="116" t="s">
        <v>797</v>
      </c>
      <c r="E17" s="113">
        <v>0</v>
      </c>
      <c r="F17" s="113" t="s">
        <v>5448</v>
      </c>
    </row>
    <row r="18" spans="1:7" ht="6" customHeight="1" x14ac:dyDescent="0.3">
      <c r="E18" s="117"/>
      <c r="G18" s="117"/>
    </row>
    <row r="19" spans="1:7" x14ac:dyDescent="0.3">
      <c r="A19" s="113" t="s">
        <v>802</v>
      </c>
      <c r="D19" s="116"/>
    </row>
    <row r="20" spans="1:7" ht="15.75" customHeight="1" x14ac:dyDescent="0.4">
      <c r="A20" s="113" t="s">
        <v>801</v>
      </c>
      <c r="D20" s="116" t="s">
        <v>798</v>
      </c>
      <c r="E20" s="113">
        <v>0</v>
      </c>
      <c r="F20" s="113" t="s">
        <v>5448</v>
      </c>
    </row>
    <row r="21" spans="1:7" ht="6" customHeight="1" x14ac:dyDescent="0.3"/>
    <row r="22" spans="1:7" ht="17" x14ac:dyDescent="0.45">
      <c r="A22" s="114" t="s">
        <v>4571</v>
      </c>
      <c r="D22" s="116" t="s">
        <v>794</v>
      </c>
      <c r="E22" s="114">
        <f>E12/(E14-E17-E20)</f>
        <v>375</v>
      </c>
      <c r="F22" s="114" t="s">
        <v>5438</v>
      </c>
      <c r="G22" s="114"/>
    </row>
    <row r="23" spans="1:7" x14ac:dyDescent="0.3">
      <c r="D23" s="116"/>
      <c r="E23" s="114"/>
      <c r="F23" s="114"/>
      <c r="G23" s="114"/>
    </row>
    <row r="24" spans="1:7" ht="16" x14ac:dyDescent="0.4">
      <c r="A24" s="113" t="s">
        <v>803</v>
      </c>
      <c r="D24" s="116"/>
      <c r="E24" s="114"/>
      <c r="F24" s="114"/>
      <c r="G24" s="114"/>
    </row>
    <row r="25" spans="1:7" x14ac:dyDescent="0.3">
      <c r="D25" s="116"/>
      <c r="E25" s="114"/>
      <c r="F25" s="114"/>
      <c r="G25" s="114"/>
    </row>
    <row r="26" spans="1:7" x14ac:dyDescent="0.3">
      <c r="D26" s="116"/>
      <c r="E26" s="114"/>
      <c r="F26" s="114"/>
      <c r="G26" s="114"/>
    </row>
    <row r="27" spans="1:7" x14ac:dyDescent="0.3">
      <c r="D27" s="116"/>
      <c r="E27" s="114"/>
      <c r="F27" s="114"/>
      <c r="G27" s="114"/>
    </row>
    <row r="28" spans="1:7" x14ac:dyDescent="0.3">
      <c r="D28" s="116"/>
      <c r="E28" s="114"/>
      <c r="F28" s="114"/>
      <c r="G28" s="114"/>
    </row>
    <row r="31" spans="1:7" x14ac:dyDescent="0.3">
      <c r="A31" s="115" t="s">
        <v>5440</v>
      </c>
    </row>
    <row r="32" spans="1:7" ht="8.25" customHeight="1" x14ac:dyDescent="0.3"/>
    <row r="33" spans="1:2" x14ac:dyDescent="0.3">
      <c r="A33" s="113" t="s">
        <v>5441</v>
      </c>
      <c r="B33" s="113" t="s">
        <v>4574</v>
      </c>
    </row>
    <row r="34" spans="1:2" x14ac:dyDescent="0.3">
      <c r="B34" s="113" t="s">
        <v>4575</v>
      </c>
    </row>
    <row r="36" spans="1:2" x14ac:dyDescent="0.3">
      <c r="A36" s="113" t="s">
        <v>4568</v>
      </c>
    </row>
    <row r="37" spans="1:2" x14ac:dyDescent="0.3">
      <c r="A37" s="113" t="s">
        <v>795</v>
      </c>
    </row>
    <row r="38" spans="1:2" x14ac:dyDescent="0.3">
      <c r="A38" s="116" t="s">
        <v>5443</v>
      </c>
      <c r="B38" s="113" t="s">
        <v>4573</v>
      </c>
    </row>
    <row r="39" spans="1:2" x14ac:dyDescent="0.3">
      <c r="B39" s="113" t="s">
        <v>4572</v>
      </c>
    </row>
    <row r="41" spans="1:2" x14ac:dyDescent="0.3">
      <c r="A41" s="113" t="s">
        <v>4569</v>
      </c>
    </row>
    <row r="42" spans="1:2" x14ac:dyDescent="0.3">
      <c r="A42" s="113" t="s">
        <v>4570</v>
      </c>
    </row>
    <row r="43" spans="1:2" x14ac:dyDescent="0.3">
      <c r="A43" s="116" t="s">
        <v>5443</v>
      </c>
      <c r="B43" s="113" t="s">
        <v>4573</v>
      </c>
    </row>
    <row r="44" spans="1:2" x14ac:dyDescent="0.3">
      <c r="B44" s="113" t="s">
        <v>4572</v>
      </c>
    </row>
    <row r="47" spans="1:2" x14ac:dyDescent="0.3">
      <c r="A47" s="113" t="s">
        <v>608</v>
      </c>
    </row>
    <row r="48" spans="1:2" ht="9" customHeight="1" x14ac:dyDescent="0.3"/>
    <row r="49" spans="1:8" ht="43.5" customHeight="1" x14ac:dyDescent="0.3">
      <c r="A49" s="118" t="s">
        <v>5442</v>
      </c>
      <c r="B49" s="1015" t="s">
        <v>606</v>
      </c>
      <c r="C49" s="1015"/>
      <c r="D49" s="1015" t="s">
        <v>607</v>
      </c>
      <c r="E49" s="1015"/>
      <c r="F49" s="119" t="s">
        <v>5444</v>
      </c>
      <c r="G49" s="120" t="s">
        <v>603</v>
      </c>
      <c r="H49" s="118"/>
    </row>
    <row r="50" spans="1:8" x14ac:dyDescent="0.3">
      <c r="E50" s="121" t="s">
        <v>5450</v>
      </c>
      <c r="F50" s="121" t="s">
        <v>5446</v>
      </c>
      <c r="G50" s="113" t="s">
        <v>604</v>
      </c>
    </row>
    <row r="51" spans="1:8" ht="6" customHeight="1" x14ac:dyDescent="0.3"/>
    <row r="52" spans="1:8" x14ac:dyDescent="0.3">
      <c r="A52" s="122" t="s">
        <v>876</v>
      </c>
      <c r="B52" s="113" t="s">
        <v>804</v>
      </c>
      <c r="C52" s="123">
        <f>0.4*0.7</f>
        <v>0.27999999999999997</v>
      </c>
      <c r="D52" s="124" t="s">
        <v>808</v>
      </c>
      <c r="E52" s="125">
        <f>C52*E$12</f>
        <v>919799.99999999988</v>
      </c>
      <c r="F52" s="121">
        <v>17.670000000000002</v>
      </c>
      <c r="G52" s="126">
        <f>E52*F52/100</f>
        <v>162528.66</v>
      </c>
    </row>
    <row r="53" spans="1:8" x14ac:dyDescent="0.3">
      <c r="A53" s="122" t="s">
        <v>4350</v>
      </c>
      <c r="B53" s="113" t="s">
        <v>805</v>
      </c>
      <c r="C53" s="123">
        <f>0.4*0.3</f>
        <v>0.12</v>
      </c>
      <c r="D53" s="124" t="s">
        <v>809</v>
      </c>
      <c r="E53" s="125">
        <f>C53*E$12</f>
        <v>394200</v>
      </c>
      <c r="F53" s="121">
        <v>20.67</v>
      </c>
      <c r="G53" s="126">
        <f>E53*F53/100</f>
        <v>81481.140000000014</v>
      </c>
    </row>
    <row r="54" spans="1:8" x14ac:dyDescent="0.3">
      <c r="A54" s="127" t="s">
        <v>884</v>
      </c>
      <c r="B54" s="113" t="s">
        <v>806</v>
      </c>
      <c r="C54" s="123">
        <f>0.6*0.7</f>
        <v>0.42</v>
      </c>
      <c r="D54" s="124" t="s">
        <v>4566</v>
      </c>
      <c r="E54" s="125">
        <f>C54*E$12</f>
        <v>1379700</v>
      </c>
      <c r="F54" s="128">
        <v>15.6</v>
      </c>
      <c r="G54" s="126">
        <f>E54*F54/100</f>
        <v>215233.2</v>
      </c>
    </row>
    <row r="55" spans="1:8" x14ac:dyDescent="0.3">
      <c r="A55" s="127" t="s">
        <v>4354</v>
      </c>
      <c r="B55" s="113" t="s">
        <v>807</v>
      </c>
      <c r="C55" s="123">
        <f>0.6*0.3</f>
        <v>0.18</v>
      </c>
      <c r="D55" s="124" t="s">
        <v>4567</v>
      </c>
      <c r="E55" s="125">
        <f>C55*E$12</f>
        <v>591300</v>
      </c>
      <c r="F55" s="128">
        <v>18.600000000000001</v>
      </c>
      <c r="G55" s="126">
        <f>E55*F55/100</f>
        <v>109981.8</v>
      </c>
    </row>
    <row r="56" spans="1:8" ht="6.75" customHeight="1" x14ac:dyDescent="0.3"/>
    <row r="57" spans="1:8" x14ac:dyDescent="0.3">
      <c r="A57" s="114" t="s">
        <v>605</v>
      </c>
      <c r="C57" s="129">
        <f>SUM(C52:C55)</f>
        <v>1</v>
      </c>
      <c r="E57" s="117">
        <f>SUM(E52:E55)</f>
        <v>3285000</v>
      </c>
      <c r="G57" s="130">
        <f>SUM(G52:G55)</f>
        <v>569224.80000000005</v>
      </c>
    </row>
    <row r="60" spans="1:8" x14ac:dyDescent="0.3">
      <c r="A60" s="113" t="s">
        <v>4576</v>
      </c>
    </row>
    <row r="75" spans="1:1" x14ac:dyDescent="0.3">
      <c r="A75" s="124" t="s">
        <v>4533</v>
      </c>
    </row>
    <row r="76" spans="1:1" ht="14.25" customHeight="1" x14ac:dyDescent="0.3"/>
    <row r="77" spans="1:1" x14ac:dyDescent="0.3">
      <c r="A77" s="131" t="s">
        <v>4534</v>
      </c>
    </row>
    <row r="82" spans="1:1" x14ac:dyDescent="0.3">
      <c r="A82" s="115" t="s">
        <v>602</v>
      </c>
    </row>
    <row r="84" spans="1:1" x14ac:dyDescent="0.3">
      <c r="A84" s="113" t="s">
        <v>4291</v>
      </c>
    </row>
    <row r="85" spans="1:1" x14ac:dyDescent="0.3">
      <c r="A85" s="113" t="s">
        <v>4292</v>
      </c>
    </row>
    <row r="86" spans="1:1" x14ac:dyDescent="0.3">
      <c r="A86" s="127" t="s">
        <v>921</v>
      </c>
    </row>
    <row r="87" spans="1:1" x14ac:dyDescent="0.3">
      <c r="A87" s="127"/>
    </row>
    <row r="88" spans="1:1" x14ac:dyDescent="0.3">
      <c r="A88" s="113" t="s">
        <v>4290</v>
      </c>
    </row>
    <row r="89" spans="1:1" x14ac:dyDescent="0.3">
      <c r="A89" s="113" t="s">
        <v>637</v>
      </c>
    </row>
    <row r="90" spans="1:1" x14ac:dyDescent="0.3">
      <c r="A90" s="113" t="s">
        <v>2809</v>
      </c>
    </row>
    <row r="91" spans="1:1" x14ac:dyDescent="0.3">
      <c r="A91" s="113" t="s">
        <v>2810</v>
      </c>
    </row>
    <row r="96" spans="1:1" ht="14.5" x14ac:dyDescent="0.35">
      <c r="A96" s="132"/>
    </row>
  </sheetData>
  <mergeCells count="2">
    <mergeCell ref="B49:C49"/>
    <mergeCell ref="D49:E49"/>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rowBreaks count="2" manualBreakCount="2">
    <brk id="30" max="16383" man="1"/>
    <brk id="59" max="16383" man="1"/>
  </rowBreaks>
  <drawing r:id="rId2"/>
  <legacyDrawing r:id="rId3"/>
  <oleObjects>
    <mc:AlternateContent xmlns:mc="http://schemas.openxmlformats.org/markup-compatibility/2006">
      <mc:Choice Requires="x14">
        <oleObject progId="Equation.3" shapeId="2049" r:id="rId4">
          <objectPr defaultSize="0" autoPict="0" r:id="rId5">
            <anchor moveWithCells="1" sizeWithCells="1">
              <from>
                <xdr:col>0</xdr:col>
                <xdr:colOff>38100</xdr:colOff>
                <xdr:row>24</xdr:row>
                <xdr:rowOff>31750</xdr:rowOff>
              </from>
              <to>
                <xdr:col>3</xdr:col>
                <xdr:colOff>1028700</xdr:colOff>
                <xdr:row>27</xdr:row>
                <xdr:rowOff>165100</xdr:rowOff>
              </to>
            </anchor>
          </objectPr>
        </oleObject>
      </mc:Choice>
      <mc:Fallback>
        <oleObject progId="Equation.3" shapeId="2049" r:id="rId4"/>
      </mc:Fallback>
    </mc:AlternateContent>
    <mc:AlternateContent xmlns:mc="http://schemas.openxmlformats.org/markup-compatibility/2006">
      <mc:Choice Requires="x14">
        <oleObject progId="Equation.3" shapeId="2050" r:id="rId6">
          <objectPr defaultSize="0" autoPict="0" r:id="rId7">
            <anchor moveWithCells="1" sizeWithCells="1">
              <from>
                <xdr:col>0</xdr:col>
                <xdr:colOff>0</xdr:colOff>
                <xdr:row>60</xdr:row>
                <xdr:rowOff>50800</xdr:rowOff>
              </from>
              <to>
                <xdr:col>6</xdr:col>
                <xdr:colOff>1041400</xdr:colOff>
                <xdr:row>63</xdr:row>
                <xdr:rowOff>171450</xdr:rowOff>
              </to>
            </anchor>
          </objectPr>
        </oleObject>
      </mc:Choice>
      <mc:Fallback>
        <oleObject progId="Equation.3" shapeId="2050" r:id="rId6"/>
      </mc:Fallback>
    </mc:AlternateContent>
    <mc:AlternateContent xmlns:mc="http://schemas.openxmlformats.org/markup-compatibility/2006">
      <mc:Choice Requires="x14">
        <oleObject progId="Equation.3" shapeId="2051" r:id="rId8">
          <objectPr defaultSize="0" autoPict="0" r:id="rId9">
            <anchor moveWithCells="1" sizeWithCells="1">
              <from>
                <xdr:col>0</xdr:col>
                <xdr:colOff>342900</xdr:colOff>
                <xdr:row>64</xdr:row>
                <xdr:rowOff>12700</xdr:rowOff>
              </from>
              <to>
                <xdr:col>5</xdr:col>
                <xdr:colOff>1409700</xdr:colOff>
                <xdr:row>66</xdr:row>
                <xdr:rowOff>133350</xdr:rowOff>
              </to>
            </anchor>
          </objectPr>
        </oleObject>
      </mc:Choice>
      <mc:Fallback>
        <oleObject progId="Equation.3" shapeId="2051" r:id="rId8"/>
      </mc:Fallback>
    </mc:AlternateContent>
    <mc:AlternateContent xmlns:mc="http://schemas.openxmlformats.org/markup-compatibility/2006">
      <mc:Choice Requires="x14">
        <oleObject progId="Equation.3" shapeId="2052" r:id="rId10">
          <objectPr defaultSize="0" autoPict="0" r:id="rId11">
            <anchor moveWithCells="1" sizeWithCells="1">
              <from>
                <xdr:col>0</xdr:col>
                <xdr:colOff>304800</xdr:colOff>
                <xdr:row>67</xdr:row>
                <xdr:rowOff>88900</xdr:rowOff>
              </from>
              <to>
                <xdr:col>5</xdr:col>
                <xdr:colOff>933450</xdr:colOff>
                <xdr:row>69</xdr:row>
                <xdr:rowOff>114300</xdr:rowOff>
              </to>
            </anchor>
          </objectPr>
        </oleObject>
      </mc:Choice>
      <mc:Fallback>
        <oleObject progId="Equation.3" shapeId="2052" r:id="rId10"/>
      </mc:Fallback>
    </mc:AlternateContent>
    <mc:AlternateContent xmlns:mc="http://schemas.openxmlformats.org/markup-compatibility/2006">
      <mc:Choice Requires="x14">
        <oleObject progId="Equation.3" shapeId="2054" r:id="rId12">
          <objectPr defaultSize="0" autoPict="0" r:id="rId13">
            <anchor moveWithCells="1" sizeWithCells="1">
              <from>
                <xdr:col>3</xdr:col>
                <xdr:colOff>990600</xdr:colOff>
                <xdr:row>69</xdr:row>
                <xdr:rowOff>171450</xdr:rowOff>
              </from>
              <to>
                <xdr:col>6</xdr:col>
                <xdr:colOff>1041400</xdr:colOff>
                <xdr:row>72</xdr:row>
                <xdr:rowOff>127000</xdr:rowOff>
              </to>
            </anchor>
          </objectPr>
        </oleObject>
      </mc:Choice>
      <mc:Fallback>
        <oleObject progId="Equation.3" shapeId="2054" r:id="rId12"/>
      </mc:Fallback>
    </mc:AlternateContent>
    <mc:AlternateContent xmlns:mc="http://schemas.openxmlformats.org/markup-compatibility/2006">
      <mc:Choice Requires="x14">
        <oleObject progId="Equation.3" shapeId="2055" r:id="rId14">
          <objectPr defaultSize="0" autoPict="0" r:id="rId15">
            <anchor moveWithCells="1" sizeWithCells="1">
              <from>
                <xdr:col>0</xdr:col>
                <xdr:colOff>19050</xdr:colOff>
                <xdr:row>70</xdr:row>
                <xdr:rowOff>38100</xdr:rowOff>
              </from>
              <to>
                <xdr:col>3</xdr:col>
                <xdr:colOff>971550</xdr:colOff>
                <xdr:row>72</xdr:row>
                <xdr:rowOff>95250</xdr:rowOff>
              </to>
            </anchor>
          </objectPr>
        </oleObject>
      </mc:Choice>
      <mc:Fallback>
        <oleObject progId="Equation.3" shapeId="2055" r:id="rId1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4"/>
  <dimension ref="A1:O77"/>
  <sheetViews>
    <sheetView workbookViewId="0"/>
  </sheetViews>
  <sheetFormatPr baseColWidth="10" defaultColWidth="11.453125" defaultRowHeight="14" x14ac:dyDescent="0.3"/>
  <cols>
    <col min="1" max="1" width="21.453125" style="113" customWidth="1"/>
    <col min="2" max="2" width="7.453125" style="113" customWidth="1"/>
    <col min="3" max="3" width="29.453125" style="113" customWidth="1"/>
    <col min="4" max="4" width="15.54296875" style="113" customWidth="1"/>
    <col min="5" max="5" width="8" style="113" customWidth="1"/>
    <col min="6" max="6" width="22.54296875" style="113" customWidth="1"/>
    <col min="7" max="7" width="16" style="113" customWidth="1"/>
    <col min="8" max="16384" width="11.453125" style="113"/>
  </cols>
  <sheetData>
    <row r="1" spans="1:4" ht="18" x14ac:dyDescent="0.4">
      <c r="A1" s="112" t="s">
        <v>4452</v>
      </c>
    </row>
    <row r="2" spans="1:4" ht="9" customHeight="1" x14ac:dyDescent="0.3"/>
    <row r="3" spans="1:4" x14ac:dyDescent="0.3">
      <c r="A3" s="113" t="s">
        <v>1120</v>
      </c>
    </row>
    <row r="4" spans="1:4" x14ac:dyDescent="0.3">
      <c r="A4" s="113" t="s">
        <v>1121</v>
      </c>
    </row>
    <row r="5" spans="1:4" x14ac:dyDescent="0.3">
      <c r="A5" s="113" t="s">
        <v>2658</v>
      </c>
    </row>
    <row r="7" spans="1:4" ht="23.25" customHeight="1" x14ac:dyDescent="0.3">
      <c r="A7" s="133" t="s">
        <v>1145</v>
      </c>
    </row>
    <row r="9" spans="1:4" x14ac:dyDescent="0.3">
      <c r="A9" s="113" t="s">
        <v>1123</v>
      </c>
    </row>
    <row r="11" spans="1:4" x14ac:dyDescent="0.3">
      <c r="A11" s="113" t="s">
        <v>1122</v>
      </c>
    </row>
    <row r="12" spans="1:4" x14ac:dyDescent="0.3">
      <c r="A12" s="113" t="s">
        <v>1124</v>
      </c>
    </row>
    <row r="13" spans="1:4" x14ac:dyDescent="0.3">
      <c r="A13" s="116"/>
      <c r="B13" s="113" t="s">
        <v>1147</v>
      </c>
      <c r="D13" s="116" t="s">
        <v>1126</v>
      </c>
    </row>
    <row r="14" spans="1:4" x14ac:dyDescent="0.3">
      <c r="A14" s="116"/>
      <c r="B14" s="113" t="s">
        <v>1127</v>
      </c>
      <c r="D14" s="116" t="s">
        <v>1129</v>
      </c>
    </row>
    <row r="15" spans="1:4" x14ac:dyDescent="0.3">
      <c r="A15" s="116"/>
      <c r="B15" s="113" t="s">
        <v>1139</v>
      </c>
      <c r="C15" s="113" t="s">
        <v>1148</v>
      </c>
      <c r="D15" s="116" t="s">
        <v>1140</v>
      </c>
    </row>
    <row r="16" spans="1:4" x14ac:dyDescent="0.3">
      <c r="A16" s="116"/>
      <c r="C16" s="113" t="s">
        <v>1149</v>
      </c>
      <c r="D16" s="116" t="s">
        <v>1141</v>
      </c>
    </row>
    <row r="17" spans="1:4" x14ac:dyDescent="0.3">
      <c r="B17" s="113" t="s">
        <v>1125</v>
      </c>
      <c r="D17" s="116" t="s">
        <v>1128</v>
      </c>
    </row>
    <row r="18" spans="1:4" x14ac:dyDescent="0.3">
      <c r="D18" s="116"/>
    </row>
    <row r="19" spans="1:4" x14ac:dyDescent="0.3">
      <c r="A19" s="113" t="s">
        <v>1130</v>
      </c>
      <c r="D19" s="116"/>
    </row>
    <row r="20" spans="1:4" x14ac:dyDescent="0.3">
      <c r="A20" s="113" t="s">
        <v>1131</v>
      </c>
      <c r="D20" s="116"/>
    </row>
    <row r="21" spans="1:4" x14ac:dyDescent="0.3">
      <c r="A21" s="116"/>
      <c r="B21" s="113" t="s">
        <v>1147</v>
      </c>
      <c r="D21" s="116" t="s">
        <v>1132</v>
      </c>
    </row>
    <row r="22" spans="1:4" x14ac:dyDescent="0.3">
      <c r="A22" s="116"/>
      <c r="B22" s="113" t="s">
        <v>1127</v>
      </c>
      <c r="D22" s="116" t="s">
        <v>1134</v>
      </c>
    </row>
    <row r="23" spans="1:4" x14ac:dyDescent="0.3">
      <c r="A23" s="116"/>
      <c r="B23" s="113" t="s">
        <v>1139</v>
      </c>
      <c r="C23" s="113" t="s">
        <v>1148</v>
      </c>
      <c r="D23" s="116" t="s">
        <v>1142</v>
      </c>
    </row>
    <row r="24" spans="1:4" x14ac:dyDescent="0.3">
      <c r="A24" s="116"/>
      <c r="C24" s="113" t="s">
        <v>1149</v>
      </c>
      <c r="D24" s="116" t="s">
        <v>1143</v>
      </c>
    </row>
    <row r="25" spans="1:4" x14ac:dyDescent="0.3">
      <c r="B25" s="113" t="s">
        <v>1125</v>
      </c>
      <c r="D25" s="116" t="s">
        <v>1133</v>
      </c>
    </row>
    <row r="26" spans="1:4" x14ac:dyDescent="0.3">
      <c r="D26" s="116"/>
    </row>
    <row r="27" spans="1:4" x14ac:dyDescent="0.3">
      <c r="A27" s="113" t="s">
        <v>1135</v>
      </c>
      <c r="D27" s="116"/>
    </row>
    <row r="28" spans="1:4" x14ac:dyDescent="0.3">
      <c r="A28" s="113" t="s">
        <v>1150</v>
      </c>
      <c r="D28" s="116"/>
    </row>
    <row r="29" spans="1:4" x14ac:dyDescent="0.3">
      <c r="A29" s="116"/>
      <c r="B29" s="113" t="s">
        <v>1147</v>
      </c>
      <c r="D29" s="116" t="s">
        <v>1136</v>
      </c>
    </row>
    <row r="30" spans="1:4" x14ac:dyDescent="0.3">
      <c r="A30" s="116"/>
      <c r="B30" s="113" t="s">
        <v>1127</v>
      </c>
      <c r="D30" s="116" t="s">
        <v>1138</v>
      </c>
    </row>
    <row r="31" spans="1:4" x14ac:dyDescent="0.3">
      <c r="A31" s="116"/>
      <c r="B31" s="113" t="s">
        <v>1139</v>
      </c>
      <c r="C31" s="113" t="s">
        <v>1148</v>
      </c>
      <c r="D31" s="116" t="s">
        <v>1126</v>
      </c>
    </row>
    <row r="32" spans="1:4" x14ac:dyDescent="0.3">
      <c r="A32" s="116"/>
      <c r="C32" s="113" t="s">
        <v>1149</v>
      </c>
      <c r="D32" s="116" t="s">
        <v>1144</v>
      </c>
    </row>
    <row r="33" spans="1:15" x14ac:dyDescent="0.3">
      <c r="B33" s="113" t="s">
        <v>1125</v>
      </c>
      <c r="D33" s="116" t="s">
        <v>1137</v>
      </c>
    </row>
    <row r="34" spans="1:15" x14ac:dyDescent="0.3">
      <c r="D34" s="116"/>
    </row>
    <row r="36" spans="1:15" x14ac:dyDescent="0.3">
      <c r="A36" s="133" t="s">
        <v>1146</v>
      </c>
    </row>
    <row r="38" spans="1:15" x14ac:dyDescent="0.3">
      <c r="A38" s="113" t="s">
        <v>608</v>
      </c>
    </row>
    <row r="39" spans="1:15" ht="9" customHeight="1" x14ac:dyDescent="0.3"/>
    <row r="40" spans="1:15" ht="43.5" customHeight="1" x14ac:dyDescent="0.3">
      <c r="A40" s="118" t="s">
        <v>5442</v>
      </c>
      <c r="B40" s="1015" t="s">
        <v>5444</v>
      </c>
      <c r="C40" s="1015"/>
      <c r="D40" s="1015" t="s">
        <v>607</v>
      </c>
      <c r="E40" s="1015"/>
      <c r="F40" s="141" t="s">
        <v>603</v>
      </c>
      <c r="H40" s="118" t="s">
        <v>1151</v>
      </c>
    </row>
    <row r="41" spans="1:15" ht="15" customHeight="1" x14ac:dyDescent="0.3">
      <c r="B41" s="1017" t="s">
        <v>5446</v>
      </c>
      <c r="C41" s="1017"/>
      <c r="D41" s="1017" t="s">
        <v>5450</v>
      </c>
      <c r="E41" s="1017"/>
      <c r="F41" s="116" t="s">
        <v>604</v>
      </c>
    </row>
    <row r="42" spans="1:15" ht="6" customHeight="1" x14ac:dyDescent="0.3">
      <c r="H42" s="136"/>
      <c r="I42" s="136"/>
      <c r="J42" s="136"/>
      <c r="K42" s="136"/>
      <c r="L42" s="136"/>
      <c r="M42" s="136"/>
      <c r="N42" s="136"/>
    </row>
    <row r="43" spans="1:15" x14ac:dyDescent="0.3">
      <c r="A43" s="134" t="s">
        <v>4143</v>
      </c>
      <c r="B43" s="1016">
        <v>34.049999999999997</v>
      </c>
      <c r="C43" s="1016"/>
      <c r="D43" s="135">
        <v>18000</v>
      </c>
      <c r="E43" s="124"/>
      <c r="F43" s="126">
        <f t="shared" ref="F43:F54" si="0">D43*B43/100</f>
        <v>6129</v>
      </c>
      <c r="G43" s="138"/>
      <c r="H43" s="140" t="s">
        <v>744</v>
      </c>
      <c r="O43" s="139"/>
    </row>
    <row r="44" spans="1:15" ht="15" customHeight="1" x14ac:dyDescent="0.3">
      <c r="A44" s="134" t="s">
        <v>4151</v>
      </c>
      <c r="B44" s="1016">
        <v>34.049999999999997</v>
      </c>
      <c r="C44" s="1016"/>
      <c r="D44" s="135">
        <v>12000</v>
      </c>
      <c r="F44" s="126">
        <f t="shared" si="0"/>
        <v>4085.9999999999995</v>
      </c>
      <c r="G44" s="138"/>
      <c r="H44" s="140" t="s">
        <v>2891</v>
      </c>
      <c r="O44" s="139"/>
    </row>
    <row r="45" spans="1:15" ht="15" customHeight="1" x14ac:dyDescent="0.3">
      <c r="A45" s="134" t="s">
        <v>4153</v>
      </c>
      <c r="B45" s="1016">
        <v>16.38</v>
      </c>
      <c r="C45" s="1016"/>
      <c r="D45" s="135">
        <v>-9000</v>
      </c>
      <c r="F45" s="126">
        <f t="shared" si="0"/>
        <v>-1474.2</v>
      </c>
      <c r="G45" s="138"/>
      <c r="H45" s="140" t="s">
        <v>2892</v>
      </c>
      <c r="O45" s="139"/>
    </row>
    <row r="46" spans="1:15" ht="15" customHeight="1" x14ac:dyDescent="0.3">
      <c r="A46" s="134" t="s">
        <v>4538</v>
      </c>
      <c r="B46" s="1016">
        <v>12</v>
      </c>
      <c r="C46" s="1016"/>
      <c r="D46" s="135">
        <v>-3000</v>
      </c>
      <c r="F46" s="126">
        <f t="shared" si="0"/>
        <v>-360</v>
      </c>
      <c r="G46" s="138"/>
      <c r="H46" s="140" t="s">
        <v>1117</v>
      </c>
      <c r="O46" s="139"/>
    </row>
    <row r="47" spans="1:15" x14ac:dyDescent="0.3">
      <c r="A47" s="134" t="s">
        <v>4145</v>
      </c>
      <c r="B47" s="1016">
        <v>32.39</v>
      </c>
      <c r="C47" s="1016"/>
      <c r="D47" s="135">
        <v>42000</v>
      </c>
      <c r="E47" s="124"/>
      <c r="F47" s="126">
        <f t="shared" si="0"/>
        <v>13603.8</v>
      </c>
      <c r="G47" s="138"/>
      <c r="H47" s="140" t="s">
        <v>746</v>
      </c>
      <c r="O47" s="139"/>
    </row>
    <row r="48" spans="1:15" ht="15" customHeight="1" x14ac:dyDescent="0.3">
      <c r="A48" s="134" t="s">
        <v>4539</v>
      </c>
      <c r="B48" s="1016">
        <v>32.39</v>
      </c>
      <c r="C48" s="1016"/>
      <c r="D48" s="135">
        <v>28000</v>
      </c>
      <c r="F48" s="126">
        <f t="shared" si="0"/>
        <v>9069.2000000000007</v>
      </c>
      <c r="G48" s="138"/>
      <c r="H48" s="140" t="s">
        <v>2895</v>
      </c>
      <c r="O48" s="139"/>
    </row>
    <row r="49" spans="1:15" ht="15" customHeight="1" x14ac:dyDescent="0.3">
      <c r="A49" s="134" t="s">
        <v>4541</v>
      </c>
      <c r="B49" s="1016">
        <v>16.38</v>
      </c>
      <c r="C49" s="1016"/>
      <c r="D49" s="135">
        <v>-21000</v>
      </c>
      <c r="F49" s="126">
        <f t="shared" si="0"/>
        <v>-3439.8</v>
      </c>
      <c r="G49" s="138"/>
      <c r="H49" s="140" t="s">
        <v>2893</v>
      </c>
      <c r="O49" s="139"/>
    </row>
    <row r="50" spans="1:15" ht="15" customHeight="1" x14ac:dyDescent="0.3">
      <c r="A50" s="134" t="s">
        <v>4542</v>
      </c>
      <c r="B50" s="1016">
        <v>12</v>
      </c>
      <c r="C50" s="1016"/>
      <c r="D50" s="135">
        <v>-7000</v>
      </c>
      <c r="F50" s="126">
        <f t="shared" si="0"/>
        <v>-840</v>
      </c>
      <c r="G50" s="138"/>
      <c r="H50" s="140" t="s">
        <v>1118</v>
      </c>
      <c r="O50" s="139"/>
    </row>
    <row r="51" spans="1:15" x14ac:dyDescent="0.3">
      <c r="A51" s="134" t="s">
        <v>4147</v>
      </c>
      <c r="B51" s="1016">
        <v>30.65</v>
      </c>
      <c r="C51" s="1016"/>
      <c r="D51" s="135">
        <v>60000</v>
      </c>
      <c r="E51" s="124"/>
      <c r="F51" s="126">
        <f t="shared" si="0"/>
        <v>18390</v>
      </c>
      <c r="G51" s="138"/>
      <c r="H51" s="140" t="s">
        <v>853</v>
      </c>
      <c r="O51" s="139"/>
    </row>
    <row r="52" spans="1:15" ht="15" customHeight="1" x14ac:dyDescent="0.3">
      <c r="A52" s="134" t="s">
        <v>4543</v>
      </c>
      <c r="B52" s="1016">
        <v>30.65</v>
      </c>
      <c r="C52" s="1016"/>
      <c r="D52" s="135">
        <v>40000</v>
      </c>
      <c r="F52" s="126">
        <f t="shared" si="0"/>
        <v>12260</v>
      </c>
      <c r="G52" s="138"/>
      <c r="H52" s="140" t="s">
        <v>2896</v>
      </c>
      <c r="O52" s="139"/>
    </row>
    <row r="53" spans="1:15" ht="15" customHeight="1" x14ac:dyDescent="0.3">
      <c r="A53" s="134" t="s">
        <v>4545</v>
      </c>
      <c r="B53" s="1016">
        <v>16.38</v>
      </c>
      <c r="C53" s="1016"/>
      <c r="D53" s="135">
        <v>-30000</v>
      </c>
      <c r="F53" s="126">
        <f t="shared" si="0"/>
        <v>-4913.9999999999991</v>
      </c>
      <c r="G53" s="138"/>
      <c r="H53" s="140" t="s">
        <v>2894</v>
      </c>
      <c r="O53" s="139"/>
    </row>
    <row r="54" spans="1:15" ht="15" customHeight="1" x14ac:dyDescent="0.3">
      <c r="A54" s="134" t="s">
        <v>4546</v>
      </c>
      <c r="B54" s="1016">
        <v>12</v>
      </c>
      <c r="C54" s="1016"/>
      <c r="D54" s="135">
        <v>-10000</v>
      </c>
      <c r="F54" s="126">
        <f t="shared" si="0"/>
        <v>-1200</v>
      </c>
      <c r="G54" s="138"/>
      <c r="H54" s="140" t="s">
        <v>1119</v>
      </c>
      <c r="O54" s="139"/>
    </row>
    <row r="55" spans="1:15" ht="6.75" customHeight="1" x14ac:dyDescent="0.3">
      <c r="H55" s="137"/>
      <c r="I55" s="137"/>
      <c r="J55" s="137"/>
      <c r="K55" s="137"/>
      <c r="L55" s="137"/>
      <c r="M55" s="137"/>
      <c r="N55" s="137"/>
    </row>
    <row r="56" spans="1:15" x14ac:dyDescent="0.3">
      <c r="A56" s="114" t="s">
        <v>605</v>
      </c>
      <c r="C56" s="129"/>
      <c r="D56" s="142">
        <f>SUM(D43:D54)</f>
        <v>120000</v>
      </c>
      <c r="E56" s="117"/>
      <c r="F56" s="130">
        <f>SUM(F43:F54)</f>
        <v>51310</v>
      </c>
      <c r="H56" s="140"/>
    </row>
    <row r="57" spans="1:15" x14ac:dyDescent="0.3">
      <c r="A57" s="114"/>
      <c r="C57" s="129"/>
      <c r="E57" s="117"/>
      <c r="F57" s="130"/>
      <c r="H57" s="140"/>
    </row>
    <row r="58" spans="1:15" x14ac:dyDescent="0.3">
      <c r="A58" s="113" t="s">
        <v>957</v>
      </c>
      <c r="C58" s="129"/>
      <c r="E58" s="117"/>
      <c r="F58" s="130"/>
    </row>
    <row r="59" spans="1:15" x14ac:dyDescent="0.3">
      <c r="A59" s="113" t="s">
        <v>958</v>
      </c>
      <c r="C59" s="129"/>
      <c r="E59" s="117"/>
      <c r="F59" s="130"/>
    </row>
    <row r="60" spans="1:15" x14ac:dyDescent="0.3">
      <c r="A60" s="113" t="s">
        <v>2657</v>
      </c>
      <c r="C60" s="129"/>
      <c r="E60" s="117"/>
      <c r="F60" s="130"/>
    </row>
    <row r="61" spans="1:15" x14ac:dyDescent="0.3">
      <c r="C61" s="129"/>
      <c r="E61" s="117"/>
      <c r="F61" s="130"/>
    </row>
    <row r="63" spans="1:15" x14ac:dyDescent="0.3">
      <c r="A63" s="133" t="s">
        <v>602</v>
      </c>
    </row>
    <row r="65" spans="1:1" x14ac:dyDescent="0.3">
      <c r="A65" s="113" t="s">
        <v>4291</v>
      </c>
    </row>
    <row r="66" spans="1:1" x14ac:dyDescent="0.3">
      <c r="A66" s="113" t="s">
        <v>4292</v>
      </c>
    </row>
    <row r="67" spans="1:1" x14ac:dyDescent="0.3">
      <c r="A67" s="127" t="s">
        <v>665</v>
      </c>
    </row>
    <row r="68" spans="1:1" x14ac:dyDescent="0.3">
      <c r="A68" s="127"/>
    </row>
    <row r="69" spans="1:1" x14ac:dyDescent="0.3">
      <c r="A69" s="113" t="s">
        <v>4290</v>
      </c>
    </row>
    <row r="70" spans="1:1" x14ac:dyDescent="0.3">
      <c r="A70" s="113" t="s">
        <v>637</v>
      </c>
    </row>
    <row r="71" spans="1:1" x14ac:dyDescent="0.3">
      <c r="A71" s="113" t="s">
        <v>2809</v>
      </c>
    </row>
    <row r="72" spans="1:1" x14ac:dyDescent="0.3">
      <c r="A72" s="113" t="s">
        <v>2810</v>
      </c>
    </row>
    <row r="77" spans="1:1" ht="14.5" x14ac:dyDescent="0.35">
      <c r="A77" s="132"/>
    </row>
  </sheetData>
  <mergeCells count="16">
    <mergeCell ref="D41:E41"/>
    <mergeCell ref="B44:C44"/>
    <mergeCell ref="B45:C45"/>
    <mergeCell ref="B40:C40"/>
    <mergeCell ref="D40:E40"/>
    <mergeCell ref="B41:C41"/>
    <mergeCell ref="B43:C43"/>
    <mergeCell ref="B52:C52"/>
    <mergeCell ref="B53:C53"/>
    <mergeCell ref="B54:C54"/>
    <mergeCell ref="B46:C46"/>
    <mergeCell ref="B48:C48"/>
    <mergeCell ref="B49:C49"/>
    <mergeCell ref="B50:C50"/>
    <mergeCell ref="B47:C47"/>
    <mergeCell ref="B51:C51"/>
  </mergeCells>
  <phoneticPr fontId="11" type="noConversion"/>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4097" r:id="rId4">
          <objectPr defaultSize="0" autoPict="0" r:id="rId5">
            <anchor moveWithCells="1" sizeWithCells="1">
              <from>
                <xdr:col>0</xdr:col>
                <xdr:colOff>38100</xdr:colOff>
                <xdr:row>9</xdr:row>
                <xdr:rowOff>0</xdr:rowOff>
              </from>
              <to>
                <xdr:col>3</xdr:col>
                <xdr:colOff>1009650</xdr:colOff>
                <xdr:row>9</xdr:row>
                <xdr:rowOff>0</xdr:rowOff>
              </to>
            </anchor>
          </objectPr>
        </oleObject>
      </mc:Choice>
      <mc:Fallback>
        <oleObject progId="Equation.3" shapeId="4097" r:id="rId4"/>
      </mc:Fallback>
    </mc:AlternateContent>
    <mc:AlternateContent xmlns:mc="http://schemas.openxmlformats.org/markup-compatibility/2006">
      <mc:Choice Requires="x14">
        <oleObject progId="Equation.3" shapeId="4098" r:id="rId6">
          <objectPr defaultSize="0" autoPict="0" r:id="rId7">
            <anchor moveWithCells="1" sizeWithCells="1">
              <from>
                <xdr:col>0</xdr:col>
                <xdr:colOff>0</xdr:colOff>
                <xdr:row>62</xdr:row>
                <xdr:rowOff>0</xdr:rowOff>
              </from>
              <to>
                <xdr:col>6</xdr:col>
                <xdr:colOff>1041400</xdr:colOff>
                <xdr:row>62</xdr:row>
                <xdr:rowOff>0</xdr:rowOff>
              </to>
            </anchor>
          </objectPr>
        </oleObject>
      </mc:Choice>
      <mc:Fallback>
        <oleObject progId="Equation.3" shapeId="4098" r:id="rId6"/>
      </mc:Fallback>
    </mc:AlternateContent>
    <mc:AlternateContent xmlns:mc="http://schemas.openxmlformats.org/markup-compatibility/2006">
      <mc:Choice Requires="x14">
        <oleObject progId="Equation.3" shapeId="4099" r:id="rId8">
          <objectPr defaultSize="0" autoPict="0" r:id="rId9">
            <anchor moveWithCells="1" sizeWithCells="1">
              <from>
                <xdr:col>0</xdr:col>
                <xdr:colOff>342900</xdr:colOff>
                <xdr:row>62</xdr:row>
                <xdr:rowOff>0</xdr:rowOff>
              </from>
              <to>
                <xdr:col>5</xdr:col>
                <xdr:colOff>1409700</xdr:colOff>
                <xdr:row>62</xdr:row>
                <xdr:rowOff>0</xdr:rowOff>
              </to>
            </anchor>
          </objectPr>
        </oleObject>
      </mc:Choice>
      <mc:Fallback>
        <oleObject progId="Equation.3" shapeId="4099" r:id="rId8"/>
      </mc:Fallback>
    </mc:AlternateContent>
    <mc:AlternateContent xmlns:mc="http://schemas.openxmlformats.org/markup-compatibility/2006">
      <mc:Choice Requires="x14">
        <oleObject progId="Equation.3" shapeId="4100" r:id="rId10">
          <objectPr defaultSize="0" autoPict="0" r:id="rId11">
            <anchor moveWithCells="1" sizeWithCells="1">
              <from>
                <xdr:col>0</xdr:col>
                <xdr:colOff>304800</xdr:colOff>
                <xdr:row>62</xdr:row>
                <xdr:rowOff>0</xdr:rowOff>
              </from>
              <to>
                <xdr:col>5</xdr:col>
                <xdr:colOff>933450</xdr:colOff>
                <xdr:row>62</xdr:row>
                <xdr:rowOff>0</xdr:rowOff>
              </to>
            </anchor>
          </objectPr>
        </oleObject>
      </mc:Choice>
      <mc:Fallback>
        <oleObject progId="Equation.3" shapeId="4100" r:id="rId10"/>
      </mc:Fallback>
    </mc:AlternateContent>
    <mc:AlternateContent xmlns:mc="http://schemas.openxmlformats.org/markup-compatibility/2006">
      <mc:Choice Requires="x14">
        <oleObject progId="Equation.3" shapeId="4101" r:id="rId12">
          <objectPr defaultSize="0" autoPict="0" r:id="rId13">
            <anchor moveWithCells="1" sizeWithCells="1">
              <from>
                <xdr:col>3</xdr:col>
                <xdr:colOff>971550</xdr:colOff>
                <xdr:row>62</xdr:row>
                <xdr:rowOff>0</xdr:rowOff>
              </from>
              <to>
                <xdr:col>6</xdr:col>
                <xdr:colOff>1041400</xdr:colOff>
                <xdr:row>62</xdr:row>
                <xdr:rowOff>0</xdr:rowOff>
              </to>
            </anchor>
          </objectPr>
        </oleObject>
      </mc:Choice>
      <mc:Fallback>
        <oleObject progId="Equation.3" shapeId="4101" r:id="rId12"/>
      </mc:Fallback>
    </mc:AlternateContent>
    <mc:AlternateContent xmlns:mc="http://schemas.openxmlformats.org/markup-compatibility/2006">
      <mc:Choice Requires="x14">
        <oleObject progId="Equation.3" shapeId="4102" r:id="rId14">
          <objectPr defaultSize="0" autoPict="0" r:id="rId15">
            <anchor moveWithCells="1" sizeWithCells="1">
              <from>
                <xdr:col>0</xdr:col>
                <xdr:colOff>19050</xdr:colOff>
                <xdr:row>62</xdr:row>
                <xdr:rowOff>0</xdr:rowOff>
              </from>
              <to>
                <xdr:col>3</xdr:col>
                <xdr:colOff>946150</xdr:colOff>
                <xdr:row>62</xdr:row>
                <xdr:rowOff>0</xdr:rowOff>
              </to>
            </anchor>
          </objectPr>
        </oleObject>
      </mc:Choice>
      <mc:Fallback>
        <oleObject progId="Equation.3" shapeId="4102" r:id="rId1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6">
    <tabColor rgb="FFFFC000"/>
  </sheetPr>
  <dimension ref="A1:B114"/>
  <sheetViews>
    <sheetView zoomScaleNormal="100" workbookViewId="0">
      <pane ySplit="1" topLeftCell="A80" activePane="bottomLeft" state="frozen"/>
      <selection pane="bottomLeft" activeCell="A84" sqref="A84"/>
    </sheetView>
  </sheetViews>
  <sheetFormatPr baseColWidth="10" defaultRowHeight="14.5" x14ac:dyDescent="0.35"/>
  <cols>
    <col min="1" max="1" width="11.453125" style="455" customWidth="1"/>
    <col min="2" max="2" width="163.453125" style="449" customWidth="1"/>
  </cols>
  <sheetData>
    <row r="1" spans="1:2" x14ac:dyDescent="0.35">
      <c r="A1" s="453" t="s">
        <v>326</v>
      </c>
      <c r="B1" s="460" t="s">
        <v>36</v>
      </c>
    </row>
    <row r="2" spans="1:2" ht="43.5" x14ac:dyDescent="0.35">
      <c r="A2" s="454">
        <v>41627</v>
      </c>
      <c r="B2" s="452" t="s">
        <v>327</v>
      </c>
    </row>
    <row r="3" spans="1:2" x14ac:dyDescent="0.35">
      <c r="A3" s="454">
        <v>41656</v>
      </c>
      <c r="B3" s="452" t="s">
        <v>322</v>
      </c>
    </row>
    <row r="4" spans="1:2" x14ac:dyDescent="0.35">
      <c r="A4" s="454">
        <v>41670</v>
      </c>
      <c r="B4" s="452" t="s">
        <v>323</v>
      </c>
    </row>
    <row r="5" spans="1:2" x14ac:dyDescent="0.35">
      <c r="A5" s="454">
        <v>41751</v>
      </c>
      <c r="B5" s="452" t="s">
        <v>328</v>
      </c>
    </row>
    <row r="6" spans="1:2" x14ac:dyDescent="0.35">
      <c r="A6" s="454">
        <v>41759</v>
      </c>
      <c r="B6" s="452" t="s">
        <v>324</v>
      </c>
    </row>
    <row r="7" spans="1:2" x14ac:dyDescent="0.35">
      <c r="A7" s="454">
        <v>41773</v>
      </c>
      <c r="B7" s="452" t="s">
        <v>325</v>
      </c>
    </row>
    <row r="8" spans="1:2" ht="87" x14ac:dyDescent="0.35">
      <c r="A8" s="454">
        <v>41864</v>
      </c>
      <c r="B8" s="452" t="s">
        <v>29</v>
      </c>
    </row>
    <row r="9" spans="1:2" ht="29" x14ac:dyDescent="0.35">
      <c r="A9" s="454">
        <v>41871</v>
      </c>
      <c r="B9" s="452" t="s">
        <v>337</v>
      </c>
    </row>
    <row r="10" spans="1:2" ht="153.75" customHeight="1" x14ac:dyDescent="0.35">
      <c r="A10" s="454">
        <v>41988</v>
      </c>
      <c r="B10" s="452" t="s">
        <v>7828</v>
      </c>
    </row>
    <row r="11" spans="1:2" ht="17.25" customHeight="1" x14ac:dyDescent="0.35">
      <c r="A11" s="454">
        <v>42011</v>
      </c>
      <c r="B11" s="452" t="s">
        <v>5610</v>
      </c>
    </row>
    <row r="12" spans="1:2" ht="17.25" customHeight="1" x14ac:dyDescent="0.35">
      <c r="A12" s="454">
        <v>42048</v>
      </c>
      <c r="B12" s="452" t="s">
        <v>322</v>
      </c>
    </row>
    <row r="13" spans="1:2" s="517" customFormat="1" ht="35.25" customHeight="1" x14ac:dyDescent="0.35">
      <c r="A13" s="454">
        <v>42095</v>
      </c>
      <c r="B13" s="452" t="s">
        <v>5613</v>
      </c>
    </row>
    <row r="14" spans="1:2" ht="35.25" customHeight="1" x14ac:dyDescent="0.35">
      <c r="A14" s="454">
        <v>42121</v>
      </c>
      <c r="B14" s="452" t="s">
        <v>5618</v>
      </c>
    </row>
    <row r="15" spans="1:2" ht="66" customHeight="1" x14ac:dyDescent="0.35">
      <c r="A15" s="454">
        <v>42185</v>
      </c>
      <c r="B15" s="452" t="s">
        <v>5629</v>
      </c>
    </row>
    <row r="16" spans="1:2" ht="21.75" customHeight="1" x14ac:dyDescent="0.35">
      <c r="A16" s="454">
        <v>42186</v>
      </c>
      <c r="B16" s="452" t="s">
        <v>5628</v>
      </c>
    </row>
    <row r="17" spans="1:2" s="517" customFormat="1" ht="96.75" customHeight="1" x14ac:dyDescent="0.35">
      <c r="A17" s="454">
        <v>42285</v>
      </c>
      <c r="B17" s="452" t="s">
        <v>5644</v>
      </c>
    </row>
    <row r="18" spans="1:2" ht="35.25" customHeight="1" x14ac:dyDescent="0.35">
      <c r="A18" s="454">
        <v>42348</v>
      </c>
      <c r="B18" s="452" t="s">
        <v>5764</v>
      </c>
    </row>
    <row r="19" spans="1:2" ht="23.25" customHeight="1" x14ac:dyDescent="0.35">
      <c r="A19" s="454">
        <v>42373</v>
      </c>
      <c r="B19" s="452" t="s">
        <v>5781</v>
      </c>
    </row>
    <row r="20" spans="1:2" ht="23.25" customHeight="1" x14ac:dyDescent="0.35">
      <c r="A20" s="454">
        <v>42391</v>
      </c>
      <c r="B20" s="452" t="s">
        <v>5768</v>
      </c>
    </row>
    <row r="21" spans="1:2" ht="114" customHeight="1" x14ac:dyDescent="0.35">
      <c r="A21" s="454">
        <v>42460</v>
      </c>
      <c r="B21" s="452" t="s">
        <v>5793</v>
      </c>
    </row>
    <row r="22" spans="1:2" ht="66" customHeight="1" x14ac:dyDescent="0.35">
      <c r="A22" s="454">
        <v>42467</v>
      </c>
      <c r="B22" s="452" t="s">
        <v>5799</v>
      </c>
    </row>
    <row r="23" spans="1:2" ht="51.75" customHeight="1" x14ac:dyDescent="0.35">
      <c r="A23" s="454">
        <v>42552</v>
      </c>
      <c r="B23" s="452" t="s">
        <v>6114</v>
      </c>
    </row>
    <row r="24" spans="1:2" ht="98.25" customHeight="1" x14ac:dyDescent="0.35">
      <c r="A24" s="454">
        <v>42644</v>
      </c>
      <c r="B24" s="452" t="s">
        <v>5844</v>
      </c>
    </row>
    <row r="25" spans="1:2" ht="51.75" customHeight="1" x14ac:dyDescent="0.35">
      <c r="A25" s="454">
        <v>42705</v>
      </c>
      <c r="B25" s="452" t="s">
        <v>6093</v>
      </c>
    </row>
    <row r="26" spans="1:2" ht="69.75" customHeight="1" x14ac:dyDescent="0.35">
      <c r="A26" s="454">
        <v>42766</v>
      </c>
      <c r="B26" s="452" t="s">
        <v>6119</v>
      </c>
    </row>
    <row r="27" spans="1:2" ht="53.25" customHeight="1" x14ac:dyDescent="0.35">
      <c r="A27" s="555" t="s">
        <v>6148</v>
      </c>
      <c r="B27" s="452" t="s">
        <v>6149</v>
      </c>
    </row>
    <row r="28" spans="1:2" ht="39" customHeight="1" x14ac:dyDescent="0.35">
      <c r="A28" s="555">
        <v>42830</v>
      </c>
      <c r="B28" s="452" t="s">
        <v>6161</v>
      </c>
    </row>
    <row r="29" spans="1:2" ht="24.75" customHeight="1" x14ac:dyDescent="0.35">
      <c r="A29" s="555">
        <v>42858</v>
      </c>
      <c r="B29" s="452" t="s">
        <v>6165</v>
      </c>
    </row>
    <row r="30" spans="1:2" ht="24.75" customHeight="1" x14ac:dyDescent="0.35">
      <c r="A30" s="557">
        <v>42859</v>
      </c>
      <c r="B30" s="452" t="s">
        <v>6167</v>
      </c>
    </row>
    <row r="31" spans="1:2" ht="53.25" customHeight="1" x14ac:dyDescent="0.35">
      <c r="A31" s="555">
        <v>42877</v>
      </c>
      <c r="B31" s="452" t="s">
        <v>6169</v>
      </c>
    </row>
    <row r="32" spans="1:2" ht="66.75" customHeight="1" x14ac:dyDescent="0.35">
      <c r="A32" s="555">
        <v>42919</v>
      </c>
      <c r="B32" s="452" t="s">
        <v>6178</v>
      </c>
    </row>
    <row r="33" spans="1:2" ht="23.25" customHeight="1" x14ac:dyDescent="0.35">
      <c r="A33" s="555">
        <v>42947</v>
      </c>
      <c r="B33" s="452" t="s">
        <v>6179</v>
      </c>
    </row>
    <row r="34" spans="1:2" ht="29" x14ac:dyDescent="0.35">
      <c r="A34" s="555">
        <v>42993</v>
      </c>
      <c r="B34" s="452" t="s">
        <v>6180</v>
      </c>
    </row>
    <row r="35" spans="1:2" ht="29" x14ac:dyDescent="0.35">
      <c r="A35" s="555">
        <v>42993</v>
      </c>
      <c r="B35" s="452" t="s">
        <v>6185</v>
      </c>
    </row>
    <row r="36" spans="1:2" x14ac:dyDescent="0.35">
      <c r="A36" s="555">
        <v>43035</v>
      </c>
      <c r="B36" s="452" t="s">
        <v>6315</v>
      </c>
    </row>
    <row r="37" spans="1:2" x14ac:dyDescent="0.35">
      <c r="A37" s="555">
        <v>43045</v>
      </c>
      <c r="B37" s="452" t="s">
        <v>6316</v>
      </c>
    </row>
    <row r="38" spans="1:2" x14ac:dyDescent="0.35">
      <c r="A38" s="555">
        <v>43077</v>
      </c>
      <c r="B38" s="452" t="s">
        <v>6314</v>
      </c>
    </row>
    <row r="39" spans="1:2" x14ac:dyDescent="0.35">
      <c r="A39" s="555">
        <v>43077</v>
      </c>
      <c r="B39" s="452" t="s">
        <v>6318</v>
      </c>
    </row>
    <row r="40" spans="1:2" x14ac:dyDescent="0.35">
      <c r="A40" s="555">
        <v>43077</v>
      </c>
      <c r="B40" s="452" t="s">
        <v>6319</v>
      </c>
    </row>
    <row r="41" spans="1:2" x14ac:dyDescent="0.35">
      <c r="A41" s="555">
        <v>43077</v>
      </c>
      <c r="B41" s="452" t="s">
        <v>6320</v>
      </c>
    </row>
    <row r="42" spans="1:2" x14ac:dyDescent="0.35">
      <c r="A42" s="555">
        <v>43077</v>
      </c>
      <c r="B42" s="452" t="s">
        <v>6325</v>
      </c>
    </row>
    <row r="43" spans="1:2" x14ac:dyDescent="0.35">
      <c r="A43" s="555">
        <v>43077</v>
      </c>
      <c r="B43" s="452" t="s">
        <v>6326</v>
      </c>
    </row>
    <row r="44" spans="1:2" x14ac:dyDescent="0.35">
      <c r="A44" s="555">
        <v>43077</v>
      </c>
      <c r="B44" s="452" t="s">
        <v>7829</v>
      </c>
    </row>
    <row r="45" spans="1:2" x14ac:dyDescent="0.35">
      <c r="A45" s="555">
        <v>43077</v>
      </c>
      <c r="B45" s="452" t="s">
        <v>7830</v>
      </c>
    </row>
    <row r="46" spans="1:2" x14ac:dyDescent="0.35">
      <c r="A46" s="555">
        <v>43112</v>
      </c>
      <c r="B46" s="452" t="s">
        <v>7831</v>
      </c>
    </row>
    <row r="47" spans="1:2" x14ac:dyDescent="0.35">
      <c r="A47" s="555">
        <v>43131</v>
      </c>
      <c r="B47" s="452" t="s">
        <v>6330</v>
      </c>
    </row>
    <row r="48" spans="1:2" ht="125.25" customHeight="1" x14ac:dyDescent="0.35">
      <c r="A48" s="555">
        <v>43222</v>
      </c>
      <c r="B48" s="452" t="s">
        <v>6348</v>
      </c>
    </row>
    <row r="49" spans="1:2" ht="47.25" customHeight="1" x14ac:dyDescent="0.35">
      <c r="A49" s="555">
        <v>43318</v>
      </c>
      <c r="B49" s="452" t="s">
        <v>6356</v>
      </c>
    </row>
    <row r="50" spans="1:2" ht="43.5" x14ac:dyDescent="0.35">
      <c r="A50" s="454">
        <v>43404</v>
      </c>
      <c r="B50" s="452" t="s">
        <v>6472</v>
      </c>
    </row>
    <row r="51" spans="1:2" ht="15" customHeight="1" x14ac:dyDescent="0.35">
      <c r="A51" s="555">
        <v>43419</v>
      </c>
      <c r="B51" s="452" t="s">
        <v>6395</v>
      </c>
    </row>
    <row r="52" spans="1:2" ht="29" x14ac:dyDescent="0.35">
      <c r="A52" s="555">
        <v>43496</v>
      </c>
      <c r="B52" s="452" t="s">
        <v>6479</v>
      </c>
    </row>
    <row r="53" spans="1:2" x14ac:dyDescent="0.35">
      <c r="A53" s="454">
        <v>43531</v>
      </c>
      <c r="B53" s="452" t="s">
        <v>6480</v>
      </c>
    </row>
    <row r="54" spans="1:2" ht="29" x14ac:dyDescent="0.35">
      <c r="A54" s="555">
        <v>43585</v>
      </c>
      <c r="B54" s="452" t="s">
        <v>6484</v>
      </c>
    </row>
    <row r="55" spans="1:2" x14ac:dyDescent="0.35">
      <c r="A55" s="555">
        <v>43593</v>
      </c>
      <c r="B55" s="452" t="s">
        <v>6485</v>
      </c>
    </row>
    <row r="56" spans="1:2" ht="58" x14ac:dyDescent="0.35">
      <c r="A56" s="555">
        <v>43677</v>
      </c>
      <c r="B56" s="452" t="s">
        <v>6489</v>
      </c>
    </row>
    <row r="57" spans="1:2" x14ac:dyDescent="0.35">
      <c r="A57" s="555">
        <v>43769</v>
      </c>
      <c r="B57" s="452" t="s">
        <v>6601</v>
      </c>
    </row>
    <row r="58" spans="1:2" ht="43.5" x14ac:dyDescent="0.35">
      <c r="A58" s="555">
        <v>43796</v>
      </c>
      <c r="B58" s="452" t="s">
        <v>6596</v>
      </c>
    </row>
    <row r="59" spans="1:2" ht="29" x14ac:dyDescent="0.35">
      <c r="A59" s="454">
        <v>43873</v>
      </c>
      <c r="B59" s="452" t="s">
        <v>6602</v>
      </c>
    </row>
    <row r="60" spans="1:2" ht="87" x14ac:dyDescent="0.35">
      <c r="A60" s="555">
        <v>43951</v>
      </c>
      <c r="B60" s="452" t="s">
        <v>6620</v>
      </c>
    </row>
    <row r="61" spans="1:2" x14ac:dyDescent="0.35">
      <c r="A61" s="555">
        <v>44064</v>
      </c>
      <c r="B61" s="452" t="s">
        <v>6621</v>
      </c>
    </row>
    <row r="62" spans="1:2" x14ac:dyDescent="0.35">
      <c r="A62" s="555">
        <v>44140</v>
      </c>
      <c r="B62" s="452" t="s">
        <v>6622</v>
      </c>
    </row>
    <row r="63" spans="1:2" ht="145" x14ac:dyDescent="0.35">
      <c r="A63" s="555">
        <v>44196</v>
      </c>
      <c r="B63" s="452" t="s">
        <v>7832</v>
      </c>
    </row>
    <row r="64" spans="1:2" ht="130.5" x14ac:dyDescent="0.35">
      <c r="A64" s="555">
        <v>44260</v>
      </c>
      <c r="B64" s="452" t="s">
        <v>7519</v>
      </c>
    </row>
    <row r="65" spans="1:2" ht="43.5" x14ac:dyDescent="0.35">
      <c r="A65" s="555">
        <v>44351</v>
      </c>
      <c r="B65" s="452" t="s">
        <v>7526</v>
      </c>
    </row>
    <row r="66" spans="1:2" ht="101.5" x14ac:dyDescent="0.35">
      <c r="A66" s="555">
        <v>44424</v>
      </c>
      <c r="B66" s="452" t="s">
        <v>7531</v>
      </c>
    </row>
    <row r="67" spans="1:2" ht="78.75" customHeight="1" x14ac:dyDescent="0.35">
      <c r="A67" s="555">
        <v>44477</v>
      </c>
      <c r="B67" s="452" t="s">
        <v>7548</v>
      </c>
    </row>
    <row r="68" spans="1:2" ht="33" customHeight="1" x14ac:dyDescent="0.35">
      <c r="A68" s="555">
        <v>44511</v>
      </c>
      <c r="B68" s="452" t="s">
        <v>7554</v>
      </c>
    </row>
    <row r="69" spans="1:2" ht="143.15" customHeight="1" x14ac:dyDescent="0.35">
      <c r="A69" s="555">
        <v>44536</v>
      </c>
      <c r="B69" s="452" t="s">
        <v>7833</v>
      </c>
    </row>
    <row r="70" spans="1:2" ht="71.25" customHeight="1" x14ac:dyDescent="0.35">
      <c r="A70" s="809">
        <v>44545</v>
      </c>
      <c r="B70" s="810" t="s">
        <v>7810</v>
      </c>
    </row>
    <row r="71" spans="1:2" ht="81.75" customHeight="1" x14ac:dyDescent="0.35">
      <c r="A71" s="555">
        <v>44592</v>
      </c>
      <c r="B71" s="452" t="s">
        <v>7834</v>
      </c>
    </row>
    <row r="72" spans="1:2" x14ac:dyDescent="0.35">
      <c r="A72" s="555">
        <v>44616</v>
      </c>
      <c r="B72" s="452" t="s">
        <v>7839</v>
      </c>
    </row>
    <row r="73" spans="1:2" ht="29" x14ac:dyDescent="0.35">
      <c r="A73" s="555">
        <v>44681</v>
      </c>
      <c r="B73" s="452" t="s">
        <v>7845</v>
      </c>
    </row>
    <row r="74" spans="1:2" ht="29" x14ac:dyDescent="0.35">
      <c r="A74" s="555">
        <v>44774</v>
      </c>
      <c r="B74" s="452" t="s">
        <v>7853</v>
      </c>
    </row>
    <row r="75" spans="1:2" ht="72.5" x14ac:dyDescent="0.35">
      <c r="A75" s="555">
        <v>44848</v>
      </c>
      <c r="B75" s="452" t="s">
        <v>7876</v>
      </c>
    </row>
    <row r="76" spans="1:2" ht="32.25" customHeight="1" x14ac:dyDescent="0.35">
      <c r="A76" s="557">
        <v>44865</v>
      </c>
      <c r="B76" s="452" t="s">
        <v>7887</v>
      </c>
    </row>
    <row r="77" spans="1:2" ht="217.5" x14ac:dyDescent="0.35">
      <c r="A77" s="555">
        <f>'EEG-Vergütungen und vNNE'!J31</f>
        <v>44896</v>
      </c>
      <c r="B77" s="856" t="s">
        <v>8153</v>
      </c>
    </row>
    <row r="78" spans="1:2" ht="85.5" customHeight="1" x14ac:dyDescent="0.35">
      <c r="A78" s="555">
        <v>44938</v>
      </c>
      <c r="B78" s="856" t="s">
        <v>8156</v>
      </c>
    </row>
    <row r="79" spans="1:2" ht="99.65" customHeight="1" x14ac:dyDescent="0.35">
      <c r="A79" s="555">
        <v>44958</v>
      </c>
      <c r="B79" s="452" t="s">
        <v>8263</v>
      </c>
    </row>
    <row r="80" spans="1:2" ht="58" x14ac:dyDescent="0.35">
      <c r="A80" s="555">
        <v>45001</v>
      </c>
      <c r="B80" s="856" t="s">
        <v>8210</v>
      </c>
    </row>
    <row r="81" spans="1:2" x14ac:dyDescent="0.35">
      <c r="A81" s="555">
        <v>45183</v>
      </c>
      <c r="B81" s="856" t="s">
        <v>8222</v>
      </c>
    </row>
    <row r="82" spans="1:2" ht="130.5" x14ac:dyDescent="0.35">
      <c r="A82" s="555">
        <v>45268</v>
      </c>
      <c r="B82" s="856" t="s">
        <v>8253</v>
      </c>
    </row>
    <row r="83" spans="1:2" x14ac:dyDescent="0.35">
      <c r="A83" s="555">
        <v>45272</v>
      </c>
      <c r="B83" s="856" t="s">
        <v>8257</v>
      </c>
    </row>
    <row r="84" spans="1:2" ht="58" x14ac:dyDescent="0.35">
      <c r="A84" s="555">
        <v>45281</v>
      </c>
      <c r="B84" s="856" t="s">
        <v>8266</v>
      </c>
    </row>
    <row r="85" spans="1:2" ht="45.65" customHeight="1" x14ac:dyDescent="0.35">
      <c r="A85" s="636"/>
      <c r="B85" s="872"/>
    </row>
    <row r="86" spans="1:2" ht="26" x14ac:dyDescent="0.35">
      <c r="A86" s="636"/>
      <c r="B86" s="536" t="s">
        <v>8246</v>
      </c>
    </row>
    <row r="87" spans="1:2" ht="18.5" x14ac:dyDescent="0.35">
      <c r="A87" s="636"/>
      <c r="B87" s="451" t="s">
        <v>8247</v>
      </c>
    </row>
    <row r="88" spans="1:2" ht="45.65" customHeight="1" x14ac:dyDescent="0.35">
      <c r="A88" s="636"/>
      <c r="B88" s="449" t="s">
        <v>8254</v>
      </c>
    </row>
    <row r="89" spans="1:2" ht="26.25" customHeight="1" x14ac:dyDescent="0.35">
      <c r="A89" s="636"/>
      <c r="B89" s="878"/>
    </row>
    <row r="90" spans="1:2" ht="26.25" customHeight="1" x14ac:dyDescent="0.35">
      <c r="A90" s="636"/>
      <c r="B90" s="536" t="s">
        <v>8158</v>
      </c>
    </row>
    <row r="91" spans="1:2" ht="18.75" customHeight="1" x14ac:dyDescent="0.35">
      <c r="A91" s="636"/>
      <c r="B91" s="451" t="s">
        <v>7446</v>
      </c>
    </row>
    <row r="92" spans="1:2" ht="72.5" x14ac:dyDescent="0.35">
      <c r="A92" s="636"/>
      <c r="B92" s="449" t="s">
        <v>8248</v>
      </c>
    </row>
    <row r="93" spans="1:2" ht="26.25" customHeight="1" x14ac:dyDescent="0.35">
      <c r="A93" s="636"/>
    </row>
    <row r="94" spans="1:2" ht="26" x14ac:dyDescent="0.35">
      <c r="A94" s="535"/>
      <c r="B94" s="536" t="s">
        <v>5845</v>
      </c>
    </row>
    <row r="95" spans="1:2" ht="18.5" x14ac:dyDescent="0.35">
      <c r="A95" s="535"/>
      <c r="B95" s="451" t="s">
        <v>321</v>
      </c>
    </row>
    <row r="96" spans="1:2" ht="43.5" x14ac:dyDescent="0.35">
      <c r="A96" s="535"/>
      <c r="B96" s="449" t="s">
        <v>6094</v>
      </c>
    </row>
    <row r="97" spans="1:2" x14ac:dyDescent="0.35">
      <c r="A97" s="535"/>
      <c r="B97" s="449" t="s">
        <v>5847</v>
      </c>
    </row>
    <row r="98" spans="1:2" ht="22.5" customHeight="1" x14ac:dyDescent="0.35">
      <c r="B98" s="451" t="s">
        <v>319</v>
      </c>
    </row>
    <row r="99" spans="1:2" ht="43.5" x14ac:dyDescent="0.35">
      <c r="B99" s="449" t="s">
        <v>6095</v>
      </c>
    </row>
    <row r="100" spans="1:2" ht="18.5" x14ac:dyDescent="0.35">
      <c r="A100" s="535"/>
      <c r="B100" s="451" t="s">
        <v>320</v>
      </c>
    </row>
    <row r="101" spans="1:2" ht="53.25" customHeight="1" x14ac:dyDescent="0.35">
      <c r="A101" s="535"/>
      <c r="B101" s="449" t="s">
        <v>6096</v>
      </c>
    </row>
    <row r="102" spans="1:2" x14ac:dyDescent="0.35">
      <c r="A102" s="535"/>
    </row>
    <row r="103" spans="1:2" ht="21" customHeight="1" x14ac:dyDescent="0.35">
      <c r="A103" s="535"/>
    </row>
    <row r="104" spans="1:2" ht="26" x14ac:dyDescent="0.35">
      <c r="B104" s="536" t="s">
        <v>5846</v>
      </c>
    </row>
    <row r="105" spans="1:2" ht="18.5" x14ac:dyDescent="0.35">
      <c r="B105" s="451" t="s">
        <v>321</v>
      </c>
    </row>
    <row r="106" spans="1:2" ht="89.25" customHeight="1" x14ac:dyDescent="0.35">
      <c r="B106" s="449" t="s">
        <v>950</v>
      </c>
    </row>
    <row r="107" spans="1:2" ht="43.5" x14ac:dyDescent="0.35">
      <c r="B107" s="449" t="s">
        <v>951</v>
      </c>
    </row>
    <row r="108" spans="1:2" ht="58" x14ac:dyDescent="0.35">
      <c r="B108" s="449" t="s">
        <v>7827</v>
      </c>
    </row>
    <row r="109" spans="1:2" ht="18.5" x14ac:dyDescent="0.35">
      <c r="B109" s="451" t="s">
        <v>319</v>
      </c>
    </row>
    <row r="110" spans="1:2" ht="71.25" customHeight="1" x14ac:dyDescent="0.35">
      <c r="B110" s="449" t="s">
        <v>949</v>
      </c>
    </row>
    <row r="111" spans="1:2" ht="18.5" x14ac:dyDescent="0.35">
      <c r="B111" s="451" t="s">
        <v>320</v>
      </c>
    </row>
    <row r="112" spans="1:2" ht="53.25" customHeight="1" x14ac:dyDescent="0.35">
      <c r="A112"/>
      <c r="B112" s="449" t="s">
        <v>952</v>
      </c>
    </row>
    <row r="113" spans="1:2" ht="87" x14ac:dyDescent="0.35">
      <c r="A113"/>
      <c r="B113" s="449" t="s">
        <v>329</v>
      </c>
    </row>
    <row r="114" spans="1:2" ht="32.25" customHeight="1" x14ac:dyDescent="0.35">
      <c r="A114"/>
    </row>
  </sheetData>
  <phoneticPr fontId="11" type="noConversion"/>
  <pageMargins left="0.7" right="0.7" top="0.78740157499999996" bottom="0.78740157499999996"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tabColor rgb="FFFFFF00"/>
  </sheetPr>
  <dimension ref="A1:I397"/>
  <sheetViews>
    <sheetView workbookViewId="0">
      <selection activeCell="A2" sqref="A2"/>
    </sheetView>
  </sheetViews>
  <sheetFormatPr baseColWidth="10" defaultRowHeight="14.5" x14ac:dyDescent="0.35"/>
  <cols>
    <col min="1" max="1" width="24" customWidth="1"/>
    <col min="2" max="2" width="23.453125" customWidth="1"/>
    <col min="3" max="3" width="24.54296875" customWidth="1"/>
    <col min="4" max="4" width="26.453125" customWidth="1"/>
    <col min="5" max="5" width="18.54296875" customWidth="1"/>
    <col min="6" max="6" width="13.54296875" customWidth="1"/>
  </cols>
  <sheetData>
    <row r="1" spans="1:6" ht="26" x14ac:dyDescent="0.6">
      <c r="A1" s="885" t="s">
        <v>8256</v>
      </c>
      <c r="B1" s="885"/>
      <c r="C1" s="885"/>
      <c r="D1" s="885"/>
      <c r="E1" s="885"/>
      <c r="F1" s="885"/>
    </row>
    <row r="3" spans="1:6" x14ac:dyDescent="0.35">
      <c r="A3" s="309" t="s">
        <v>4578</v>
      </c>
      <c r="B3" s="57"/>
      <c r="C3" s="57"/>
      <c r="D3" s="57"/>
      <c r="E3" s="57"/>
      <c r="F3" s="57"/>
    </row>
    <row r="4" spans="1:6" x14ac:dyDescent="0.35">
      <c r="A4" s="57" t="s">
        <v>4579</v>
      </c>
      <c r="B4" s="57" t="s">
        <v>4580</v>
      </c>
      <c r="C4" s="57"/>
      <c r="D4" s="57"/>
      <c r="E4" s="57"/>
      <c r="F4" s="57"/>
    </row>
    <row r="5" spans="1:6" x14ac:dyDescent="0.35">
      <c r="A5" s="78" t="s">
        <v>4581</v>
      </c>
      <c r="B5" s="57" t="s">
        <v>4582</v>
      </c>
      <c r="C5" s="57"/>
      <c r="D5" s="57"/>
      <c r="E5" s="57"/>
      <c r="F5" s="57"/>
    </row>
    <row r="6" spans="1:6" x14ac:dyDescent="0.35">
      <c r="A6" s="79" t="s">
        <v>4583</v>
      </c>
      <c r="B6" s="57" t="s">
        <v>4584</v>
      </c>
      <c r="C6" s="57"/>
      <c r="D6" s="57"/>
      <c r="E6" s="57"/>
      <c r="F6" s="57"/>
    </row>
    <row r="7" spans="1:6" x14ac:dyDescent="0.35">
      <c r="A7" s="172" t="s">
        <v>1981</v>
      </c>
      <c r="B7" s="57" t="s">
        <v>2130</v>
      </c>
      <c r="C7" s="57"/>
      <c r="D7" s="57"/>
      <c r="E7" s="57"/>
      <c r="F7" s="57"/>
    </row>
    <row r="8" spans="1:6" x14ac:dyDescent="0.35">
      <c r="A8" s="231" t="s">
        <v>4159</v>
      </c>
      <c r="B8" s="57" t="s">
        <v>3129</v>
      </c>
      <c r="C8" s="57"/>
      <c r="D8" s="57"/>
      <c r="E8" s="57"/>
      <c r="F8" s="57"/>
    </row>
    <row r="9" spans="1:6" x14ac:dyDescent="0.35">
      <c r="A9" s="238" t="s">
        <v>3127</v>
      </c>
      <c r="B9" s="57" t="s">
        <v>3128</v>
      </c>
      <c r="C9" s="57"/>
      <c r="D9" s="57"/>
      <c r="E9" s="57"/>
      <c r="F9" s="57"/>
    </row>
    <row r="10" spans="1:6" x14ac:dyDescent="0.35">
      <c r="A10" s="274" t="s">
        <v>3130</v>
      </c>
      <c r="B10" s="57" t="s">
        <v>3131</v>
      </c>
      <c r="C10" s="57"/>
      <c r="D10" s="57"/>
      <c r="E10" s="57"/>
      <c r="F10" s="57"/>
    </row>
    <row r="11" spans="1:6" x14ac:dyDescent="0.35">
      <c r="A11" s="275" t="s">
        <v>4638</v>
      </c>
      <c r="B11" s="57" t="s">
        <v>4639</v>
      </c>
      <c r="C11" s="57"/>
      <c r="D11" s="57"/>
      <c r="E11" s="57"/>
      <c r="F11" s="57"/>
    </row>
    <row r="12" spans="1:6" x14ac:dyDescent="0.35">
      <c r="A12" s="298" t="s">
        <v>2836</v>
      </c>
      <c r="B12" s="57" t="s">
        <v>1707</v>
      </c>
      <c r="C12" s="57"/>
      <c r="D12" s="57"/>
      <c r="E12" s="57"/>
      <c r="F12" s="57"/>
    </row>
    <row r="13" spans="1:6" x14ac:dyDescent="0.35">
      <c r="A13" s="310" t="s">
        <v>2299</v>
      </c>
      <c r="B13" s="57" t="s">
        <v>315</v>
      </c>
      <c r="C13" s="57"/>
      <c r="D13" s="57"/>
      <c r="E13" s="57"/>
      <c r="F13" s="57"/>
    </row>
    <row r="14" spans="1:6" x14ac:dyDescent="0.35">
      <c r="A14" s="355" t="s">
        <v>4635</v>
      </c>
      <c r="B14" s="57" t="s">
        <v>5757</v>
      </c>
      <c r="C14" s="57"/>
      <c r="D14" s="57"/>
      <c r="E14" s="57"/>
      <c r="F14" s="57"/>
    </row>
    <row r="15" spans="1:6" x14ac:dyDescent="0.35">
      <c r="A15" s="525" t="s">
        <v>5802</v>
      </c>
      <c r="B15" s="57" t="s">
        <v>5803</v>
      </c>
      <c r="C15" s="57"/>
      <c r="D15" s="57"/>
      <c r="E15" s="57"/>
      <c r="F15" s="57"/>
    </row>
    <row r="16" spans="1:6" x14ac:dyDescent="0.35">
      <c r="A16" s="57"/>
      <c r="B16" s="57"/>
      <c r="C16" s="57"/>
      <c r="D16" s="57"/>
      <c r="E16" s="57"/>
      <c r="F16" s="57"/>
    </row>
    <row r="17" spans="1:6" s="187" customFormat="1" ht="74.900000000000006" customHeight="1" x14ac:dyDescent="0.35">
      <c r="A17" s="308" t="s">
        <v>2944</v>
      </c>
      <c r="B17" s="887" t="s">
        <v>7700</v>
      </c>
      <c r="C17" s="887"/>
      <c r="D17" s="887"/>
      <c r="E17" s="887"/>
      <c r="F17" s="887"/>
    </row>
    <row r="18" spans="1:6" x14ac:dyDescent="0.35">
      <c r="A18" s="57"/>
      <c r="B18" s="57"/>
      <c r="C18" s="57"/>
      <c r="D18" s="57"/>
      <c r="E18" s="57"/>
      <c r="F18" s="57"/>
    </row>
    <row r="19" spans="1:6" ht="26" x14ac:dyDescent="0.6">
      <c r="A19" s="15" t="s">
        <v>4062</v>
      </c>
    </row>
    <row r="20" spans="1:6" ht="21" customHeight="1" x14ac:dyDescent="0.5">
      <c r="A20" s="26" t="s">
        <v>4063</v>
      </c>
    </row>
    <row r="21" spans="1:6" ht="16.5" customHeight="1" x14ac:dyDescent="0.35">
      <c r="A21" s="895" t="s">
        <v>2850</v>
      </c>
      <c r="B21" s="883"/>
      <c r="C21" s="883"/>
      <c r="D21" s="883"/>
      <c r="E21" s="883"/>
      <c r="F21" s="884"/>
    </row>
    <row r="22" spans="1:6" ht="12" customHeight="1" x14ac:dyDescent="0.35">
      <c r="A22" s="3"/>
      <c r="B22" s="4"/>
      <c r="C22" s="3"/>
      <c r="D22" s="3"/>
      <c r="E22" s="3"/>
      <c r="F22" s="5"/>
    </row>
    <row r="23" spans="1:6" ht="30.75" customHeight="1" x14ac:dyDescent="0.35">
      <c r="A23" s="895" t="s">
        <v>2849</v>
      </c>
      <c r="B23" s="883"/>
      <c r="C23" s="883"/>
      <c r="D23" s="883"/>
      <c r="E23" s="883"/>
      <c r="F23" s="884"/>
    </row>
    <row r="24" spans="1:6" ht="12" customHeight="1" x14ac:dyDescent="0.35">
      <c r="A24" s="3"/>
      <c r="B24" s="4"/>
      <c r="C24" s="3"/>
      <c r="D24" s="3"/>
      <c r="E24" s="3"/>
      <c r="F24" s="5"/>
    </row>
    <row r="25" spans="1:6" ht="87.75" customHeight="1" x14ac:dyDescent="0.35">
      <c r="A25" s="892" t="s">
        <v>4577</v>
      </c>
      <c r="B25" s="893"/>
      <c r="C25" s="893"/>
      <c r="D25" s="893"/>
      <c r="E25" s="893"/>
      <c r="F25" s="894"/>
    </row>
    <row r="26" spans="1:6" ht="12" customHeight="1" x14ac:dyDescent="0.35">
      <c r="A26" s="6"/>
      <c r="B26" s="7"/>
      <c r="C26" s="6"/>
      <c r="D26" s="6"/>
      <c r="E26" s="6"/>
      <c r="F26" s="8"/>
    </row>
    <row r="27" spans="1:6" ht="30.75" customHeight="1" x14ac:dyDescent="0.35">
      <c r="A27" s="882" t="s">
        <v>4061</v>
      </c>
      <c r="B27" s="883"/>
      <c r="C27" s="883"/>
      <c r="D27" s="883"/>
      <c r="E27" s="883"/>
      <c r="F27" s="884"/>
    </row>
    <row r="28" spans="1:6" x14ac:dyDescent="0.35">
      <c r="A28" s="16"/>
      <c r="B28" s="16"/>
      <c r="C28" s="16"/>
      <c r="D28" s="16"/>
      <c r="E28" s="16"/>
      <c r="F28" s="16"/>
    </row>
    <row r="29" spans="1:6" x14ac:dyDescent="0.35">
      <c r="A29" s="882" t="s">
        <v>779</v>
      </c>
      <c r="B29" s="883"/>
      <c r="C29" s="883"/>
      <c r="D29" s="883"/>
      <c r="E29" s="883"/>
      <c r="F29" s="884"/>
    </row>
    <row r="30" spans="1:6" ht="12" customHeight="1" x14ac:dyDescent="0.35">
      <c r="A30" s="3"/>
      <c r="B30" s="4"/>
      <c r="C30" s="3"/>
      <c r="D30" s="3"/>
      <c r="E30" s="3"/>
      <c r="F30" s="5"/>
    </row>
    <row r="31" spans="1:6" ht="75" customHeight="1" x14ac:dyDescent="0.35">
      <c r="A31" s="892" t="s">
        <v>2910</v>
      </c>
      <c r="B31" s="893"/>
      <c r="C31" s="893"/>
      <c r="D31" s="893"/>
      <c r="E31" s="893"/>
      <c r="F31" s="894"/>
    </row>
    <row r="32" spans="1:6" ht="12" customHeight="1" x14ac:dyDescent="0.35">
      <c r="A32" s="3"/>
      <c r="B32" s="4"/>
      <c r="C32" s="3"/>
      <c r="D32" s="3"/>
      <c r="E32" s="3"/>
      <c r="F32" s="5"/>
    </row>
    <row r="33" spans="1:9" s="25" customFormat="1" ht="132" customHeight="1" x14ac:dyDescent="0.35">
      <c r="A33" s="892" t="s">
        <v>2686</v>
      </c>
      <c r="B33" s="893"/>
      <c r="C33" s="893"/>
      <c r="D33" s="893"/>
      <c r="E33" s="893"/>
      <c r="F33" s="894"/>
    </row>
    <row r="34" spans="1:9" s="25" customFormat="1" ht="12" customHeight="1" x14ac:dyDescent="0.35">
      <c r="A34" s="16"/>
      <c r="B34" s="16"/>
      <c r="C34" s="16"/>
      <c r="D34" s="16"/>
      <c r="E34" s="16"/>
      <c r="F34" s="16"/>
    </row>
    <row r="35" spans="1:9" s="25" customFormat="1" ht="39.75" customHeight="1" x14ac:dyDescent="0.35">
      <c r="A35" s="882" t="s">
        <v>4589</v>
      </c>
      <c r="B35" s="883"/>
      <c r="C35" s="883"/>
      <c r="D35" s="883"/>
      <c r="E35" s="883"/>
      <c r="F35" s="884"/>
    </row>
    <row r="36" spans="1:9" s="25" customFormat="1" ht="12" customHeight="1" x14ac:dyDescent="0.35">
      <c r="A36" s="16"/>
      <c r="B36" s="16"/>
      <c r="C36" s="16"/>
      <c r="D36" s="16"/>
      <c r="E36" s="16"/>
      <c r="F36" s="16"/>
    </row>
    <row r="37" spans="1:9" s="25" customFormat="1" ht="42" customHeight="1" x14ac:dyDescent="0.35">
      <c r="A37" s="882" t="s">
        <v>4850</v>
      </c>
      <c r="B37" s="883"/>
      <c r="C37" s="883"/>
      <c r="D37" s="883"/>
      <c r="E37" s="883"/>
      <c r="F37" s="884"/>
    </row>
    <row r="38" spans="1:9" x14ac:dyDescent="0.35">
      <c r="F38" s="11"/>
    </row>
    <row r="39" spans="1:9" x14ac:dyDescent="0.35">
      <c r="F39" s="11"/>
    </row>
    <row r="40" spans="1:9" ht="26" x14ac:dyDescent="0.6">
      <c r="A40" s="15" t="s">
        <v>2682</v>
      </c>
    </row>
    <row r="41" spans="1:9" ht="21" customHeight="1" x14ac:dyDescent="0.5">
      <c r="A41" s="26" t="s">
        <v>4064</v>
      </c>
      <c r="F41" s="11"/>
    </row>
    <row r="42" spans="1:9" ht="18.75" customHeight="1" x14ac:dyDescent="0.45">
      <c r="F42" s="889" t="s">
        <v>670</v>
      </c>
      <c r="G42" s="890"/>
      <c r="H42" s="890"/>
      <c r="I42" s="891"/>
    </row>
    <row r="43" spans="1:9" x14ac:dyDescent="0.35">
      <c r="A43" s="19" t="s">
        <v>668</v>
      </c>
      <c r="B43" s="19" t="s">
        <v>669</v>
      </c>
      <c r="C43" s="19" t="s">
        <v>672</v>
      </c>
      <c r="D43" s="888" t="s">
        <v>671</v>
      </c>
      <c r="E43" s="888"/>
      <c r="F43" s="19" t="s">
        <v>5499</v>
      </c>
      <c r="G43" s="19" t="s">
        <v>5500</v>
      </c>
      <c r="H43" s="19" t="s">
        <v>5501</v>
      </c>
      <c r="I43" s="19" t="s">
        <v>2683</v>
      </c>
    </row>
    <row r="44" spans="1:9" x14ac:dyDescent="0.35">
      <c r="A44" s="20" t="s">
        <v>5417</v>
      </c>
      <c r="B44" s="21"/>
      <c r="C44" s="20" t="s">
        <v>5547</v>
      </c>
      <c r="D44" s="886"/>
      <c r="E44" s="886"/>
      <c r="F44" s="21"/>
      <c r="G44" s="21"/>
      <c r="H44" s="21"/>
    </row>
    <row r="45" spans="1:9" ht="48.75" customHeight="1" x14ac:dyDescent="0.35">
      <c r="A45" s="80" t="s">
        <v>5415</v>
      </c>
      <c r="B45" s="80" t="s">
        <v>4387</v>
      </c>
      <c r="C45" s="80" t="s">
        <v>5416</v>
      </c>
      <c r="D45" s="880" t="s">
        <v>1923</v>
      </c>
      <c r="E45" s="880"/>
      <c r="F45" s="157">
        <v>1</v>
      </c>
      <c r="G45" s="157">
        <v>0.99</v>
      </c>
      <c r="H45" s="157">
        <v>0.98</v>
      </c>
    </row>
    <row r="46" spans="1:9" x14ac:dyDescent="0.35">
      <c r="A46" s="80"/>
      <c r="B46" s="80"/>
      <c r="C46" s="80"/>
      <c r="D46" s="880"/>
      <c r="E46" s="880"/>
      <c r="F46" s="157"/>
      <c r="G46" s="157"/>
      <c r="H46" s="157"/>
    </row>
    <row r="47" spans="1:9" ht="43.5" x14ac:dyDescent="0.35">
      <c r="A47" s="81" t="s">
        <v>5418</v>
      </c>
      <c r="B47" s="81"/>
      <c r="C47" s="82" t="s">
        <v>922</v>
      </c>
      <c r="D47" s="880"/>
      <c r="E47" s="880"/>
      <c r="F47" s="80"/>
      <c r="G47" s="80"/>
      <c r="H47" s="80"/>
    </row>
    <row r="48" spans="1:9" ht="29" x14ac:dyDescent="0.35">
      <c r="A48" s="80" t="s">
        <v>2361</v>
      </c>
      <c r="B48" s="80" t="s">
        <v>5408</v>
      </c>
      <c r="C48" s="83" t="s">
        <v>923</v>
      </c>
      <c r="D48" s="880" t="s">
        <v>1924</v>
      </c>
      <c r="E48" s="880"/>
      <c r="F48" s="157">
        <v>2</v>
      </c>
      <c r="G48" s="157" t="s">
        <v>5502</v>
      </c>
      <c r="H48" s="157" t="s">
        <v>5503</v>
      </c>
    </row>
    <row r="49" spans="1:9" ht="29" x14ac:dyDescent="0.35">
      <c r="A49" s="80" t="s">
        <v>2362</v>
      </c>
      <c r="B49" s="80" t="s">
        <v>5408</v>
      </c>
      <c r="C49" s="83" t="s">
        <v>924</v>
      </c>
      <c r="D49" s="880" t="s">
        <v>3284</v>
      </c>
      <c r="E49" s="880"/>
      <c r="F49" s="157">
        <v>1</v>
      </c>
      <c r="G49" s="157">
        <v>0.99</v>
      </c>
      <c r="H49" s="157" t="s">
        <v>5504</v>
      </c>
    </row>
    <row r="50" spans="1:9" ht="29" x14ac:dyDescent="0.35">
      <c r="A50" s="80" t="s">
        <v>2363</v>
      </c>
      <c r="B50" s="80" t="s">
        <v>5409</v>
      </c>
      <c r="C50" s="80" t="s">
        <v>2364</v>
      </c>
      <c r="D50" s="880" t="s">
        <v>3285</v>
      </c>
      <c r="E50" s="880"/>
      <c r="F50" s="157">
        <v>2</v>
      </c>
      <c r="G50" s="157" t="s">
        <v>5502</v>
      </c>
      <c r="H50" s="157" t="s">
        <v>5503</v>
      </c>
      <c r="I50" s="232" t="s">
        <v>2684</v>
      </c>
    </row>
    <row r="51" spans="1:9" x14ac:dyDescent="0.35">
      <c r="A51" s="80"/>
      <c r="B51" s="80"/>
      <c r="C51" s="80"/>
      <c r="D51" s="880"/>
      <c r="E51" s="880"/>
      <c r="F51" s="80"/>
      <c r="G51" s="80"/>
      <c r="H51" s="80"/>
    </row>
    <row r="52" spans="1:9" x14ac:dyDescent="0.35">
      <c r="A52" s="81" t="s">
        <v>5419</v>
      </c>
      <c r="B52" s="81"/>
      <c r="C52" s="81" t="s">
        <v>5547</v>
      </c>
      <c r="D52" s="880"/>
      <c r="E52" s="880"/>
      <c r="F52" s="80"/>
      <c r="G52" s="80"/>
      <c r="H52" s="80"/>
    </row>
    <row r="53" spans="1:9" x14ac:dyDescent="0.35">
      <c r="A53" s="80" t="s">
        <v>5420</v>
      </c>
      <c r="B53" s="80" t="s">
        <v>854</v>
      </c>
      <c r="C53" s="80" t="s">
        <v>5421</v>
      </c>
      <c r="D53" s="880" t="s">
        <v>2597</v>
      </c>
      <c r="E53" s="880"/>
      <c r="F53" s="157">
        <v>6</v>
      </c>
      <c r="G53" s="157">
        <v>5.94</v>
      </c>
      <c r="H53" s="157">
        <v>5.88</v>
      </c>
      <c r="I53" s="233">
        <v>5.82</v>
      </c>
    </row>
    <row r="54" spans="1:9" x14ac:dyDescent="0.35">
      <c r="A54" s="80" t="s">
        <v>5422</v>
      </c>
      <c r="B54" s="80" t="s">
        <v>854</v>
      </c>
      <c r="C54" s="80" t="s">
        <v>5407</v>
      </c>
      <c r="D54" s="880" t="s">
        <v>2598</v>
      </c>
      <c r="E54" s="880"/>
      <c r="F54" s="157">
        <v>4</v>
      </c>
      <c r="G54" s="157">
        <v>3.96</v>
      </c>
      <c r="H54" s="157">
        <v>3.92</v>
      </c>
      <c r="I54" s="232">
        <v>3.88</v>
      </c>
    </row>
    <row r="55" spans="1:9" ht="29" x14ac:dyDescent="0.35">
      <c r="A55" s="80" t="s">
        <v>2365</v>
      </c>
      <c r="B55" s="80" t="s">
        <v>854</v>
      </c>
      <c r="C55" s="80" t="s">
        <v>5423</v>
      </c>
      <c r="D55" s="880" t="s">
        <v>2599</v>
      </c>
      <c r="E55" s="880"/>
      <c r="F55" s="157">
        <v>2.5</v>
      </c>
      <c r="G55" s="157">
        <v>2.48</v>
      </c>
      <c r="H55" s="157">
        <v>2.4500000000000002</v>
      </c>
      <c r="I55" s="234">
        <v>2.4300000000000002</v>
      </c>
    </row>
    <row r="56" spans="1:9" x14ac:dyDescent="0.35">
      <c r="A56" s="80"/>
      <c r="B56" s="80"/>
      <c r="C56" s="80"/>
      <c r="D56" s="880"/>
      <c r="E56" s="880"/>
      <c r="F56" s="80"/>
      <c r="G56" s="80"/>
      <c r="H56" s="80"/>
    </row>
    <row r="57" spans="1:9" x14ac:dyDescent="0.35">
      <c r="A57" s="80" t="s">
        <v>5424</v>
      </c>
      <c r="B57" s="80" t="s">
        <v>5425</v>
      </c>
      <c r="C57" s="80" t="s">
        <v>5427</v>
      </c>
      <c r="D57" s="880" t="s">
        <v>2600</v>
      </c>
      <c r="E57" s="880"/>
      <c r="F57" s="157">
        <v>7</v>
      </c>
      <c r="G57" s="157">
        <v>6.93</v>
      </c>
      <c r="H57" s="157">
        <v>6.86</v>
      </c>
    </row>
    <row r="58" spans="1:9" ht="29" x14ac:dyDescent="0.35">
      <c r="A58" s="80" t="s">
        <v>2369</v>
      </c>
      <c r="B58" s="80" t="s">
        <v>5425</v>
      </c>
      <c r="C58" s="80" t="s">
        <v>855</v>
      </c>
      <c r="D58" s="880" t="s">
        <v>2601</v>
      </c>
      <c r="E58" s="880"/>
      <c r="F58" s="157">
        <v>11</v>
      </c>
      <c r="G58" s="157">
        <v>10.89</v>
      </c>
      <c r="H58" s="157">
        <v>10.78</v>
      </c>
    </row>
    <row r="59" spans="1:9" ht="29" x14ac:dyDescent="0.35">
      <c r="A59" s="80" t="s">
        <v>2370</v>
      </c>
      <c r="B59" s="80" t="s">
        <v>5425</v>
      </c>
      <c r="C59" s="80" t="s">
        <v>856</v>
      </c>
      <c r="D59" s="880" t="s">
        <v>2602</v>
      </c>
      <c r="E59" s="880"/>
      <c r="F59" s="157">
        <v>8</v>
      </c>
      <c r="G59" s="157">
        <v>7.92</v>
      </c>
      <c r="H59" s="157">
        <v>7.84</v>
      </c>
    </row>
    <row r="60" spans="1:9" x14ac:dyDescent="0.35">
      <c r="A60" s="80"/>
      <c r="B60" s="80"/>
      <c r="C60" s="80"/>
      <c r="D60" s="880"/>
      <c r="E60" s="880"/>
      <c r="F60" s="80"/>
      <c r="G60" s="80"/>
      <c r="H60" s="80"/>
    </row>
    <row r="61" spans="1:9" ht="29" x14ac:dyDescent="0.35">
      <c r="A61" s="80" t="s">
        <v>791</v>
      </c>
      <c r="B61" s="80" t="s">
        <v>5425</v>
      </c>
      <c r="C61" s="80" t="s">
        <v>5426</v>
      </c>
      <c r="D61" s="880" t="s">
        <v>2603</v>
      </c>
      <c r="E61" s="880"/>
      <c r="F61" s="157">
        <v>9</v>
      </c>
      <c r="G61" s="157">
        <v>8.91</v>
      </c>
      <c r="H61" s="157">
        <v>8.82</v>
      </c>
    </row>
    <row r="62" spans="1:9" ht="43.5" x14ac:dyDescent="0.35">
      <c r="A62" s="80" t="s">
        <v>2118</v>
      </c>
      <c r="B62" s="80" t="s">
        <v>5425</v>
      </c>
      <c r="C62" s="80" t="s">
        <v>857</v>
      </c>
      <c r="D62" s="880" t="s">
        <v>5060</v>
      </c>
      <c r="E62" s="880"/>
      <c r="F62" s="157">
        <v>13</v>
      </c>
      <c r="G62" s="157">
        <v>12.87</v>
      </c>
      <c r="H62" s="157">
        <v>12.74</v>
      </c>
    </row>
    <row r="63" spans="1:9" ht="43.5" x14ac:dyDescent="0.35">
      <c r="A63" s="80" t="s">
        <v>2119</v>
      </c>
      <c r="B63" s="80" t="s">
        <v>5425</v>
      </c>
      <c r="C63" s="80" t="s">
        <v>1922</v>
      </c>
      <c r="D63" s="880" t="s">
        <v>5059</v>
      </c>
      <c r="E63" s="880"/>
      <c r="F63" s="157">
        <v>10</v>
      </c>
      <c r="G63" s="157">
        <v>9.9</v>
      </c>
      <c r="H63" s="157">
        <v>9.8000000000000007</v>
      </c>
    </row>
    <row r="64" spans="1:9" x14ac:dyDescent="0.35">
      <c r="A64" s="80"/>
      <c r="B64" s="80"/>
      <c r="C64" s="80"/>
      <c r="D64" s="880"/>
      <c r="E64" s="880"/>
      <c r="F64" s="80"/>
      <c r="G64" s="80"/>
      <c r="H64" s="80"/>
    </row>
    <row r="65" spans="1:9" x14ac:dyDescent="0.35">
      <c r="A65" s="81" t="s">
        <v>5428</v>
      </c>
      <c r="B65" s="81"/>
      <c r="C65" s="81" t="s">
        <v>5547</v>
      </c>
      <c r="D65" s="881"/>
      <c r="E65" s="881"/>
      <c r="F65" s="80"/>
      <c r="G65" s="80"/>
      <c r="H65" s="80"/>
    </row>
    <row r="66" spans="1:9" x14ac:dyDescent="0.35">
      <c r="A66" s="80" t="s">
        <v>3193</v>
      </c>
      <c r="B66" s="80" t="s">
        <v>5428</v>
      </c>
      <c r="C66" s="80" t="s">
        <v>2604</v>
      </c>
      <c r="D66" s="880" t="s">
        <v>3286</v>
      </c>
      <c r="E66" s="880"/>
      <c r="F66" s="157">
        <v>3</v>
      </c>
      <c r="G66" s="157">
        <v>2.97</v>
      </c>
      <c r="H66" s="157">
        <v>2.94</v>
      </c>
      <c r="I66" s="157">
        <v>2.91</v>
      </c>
    </row>
    <row r="67" spans="1:9" x14ac:dyDescent="0.35">
      <c r="A67" s="80"/>
      <c r="B67" s="80"/>
      <c r="C67" s="80"/>
      <c r="D67" s="880"/>
      <c r="E67" s="880"/>
      <c r="F67" s="157"/>
      <c r="G67" s="157"/>
      <c r="H67" s="157"/>
    </row>
    <row r="68" spans="1:9" ht="30" customHeight="1" x14ac:dyDescent="0.35">
      <c r="A68" s="81" t="s">
        <v>673</v>
      </c>
      <c r="B68" s="81"/>
      <c r="C68" s="81" t="s">
        <v>2034</v>
      </c>
      <c r="D68" s="880"/>
      <c r="E68" s="880"/>
      <c r="F68" s="157"/>
      <c r="G68" s="157"/>
      <c r="H68" s="157"/>
    </row>
    <row r="69" spans="1:9" x14ac:dyDescent="0.35">
      <c r="A69" s="80" t="s">
        <v>5515</v>
      </c>
      <c r="B69" s="80" t="s">
        <v>5514</v>
      </c>
      <c r="C69" s="80"/>
      <c r="D69" s="880" t="s">
        <v>3720</v>
      </c>
      <c r="E69" s="880"/>
      <c r="F69" s="157">
        <v>3</v>
      </c>
      <c r="G69" s="157">
        <v>2.97</v>
      </c>
      <c r="H69" s="157">
        <v>2.94</v>
      </c>
    </row>
    <row r="70" spans="1:9" x14ac:dyDescent="0.35">
      <c r="A70" s="80"/>
      <c r="B70" s="80"/>
      <c r="C70" s="80"/>
      <c r="D70" s="880"/>
      <c r="E70" s="880"/>
      <c r="F70" s="157"/>
      <c r="G70" s="157"/>
      <c r="H70" s="157"/>
    </row>
    <row r="71" spans="1:9" ht="47.25" customHeight="1" x14ac:dyDescent="0.35">
      <c r="A71" s="81" t="s">
        <v>3718</v>
      </c>
      <c r="B71" s="81"/>
      <c r="C71" s="81" t="s">
        <v>2034</v>
      </c>
      <c r="D71" s="84"/>
      <c r="E71" s="84"/>
      <c r="F71" s="157"/>
      <c r="G71" s="157"/>
      <c r="H71" s="157"/>
    </row>
    <row r="72" spans="1:9" ht="30" customHeight="1" x14ac:dyDescent="0.35">
      <c r="A72" s="80" t="s">
        <v>3721</v>
      </c>
      <c r="B72" s="80" t="s">
        <v>2680</v>
      </c>
      <c r="C72" s="80"/>
      <c r="D72" s="880" t="s">
        <v>3719</v>
      </c>
      <c r="E72" s="880"/>
      <c r="F72" s="157">
        <v>4</v>
      </c>
      <c r="G72" s="157">
        <v>3.96</v>
      </c>
      <c r="H72" s="157">
        <v>3.92</v>
      </c>
    </row>
    <row r="73" spans="1:9" x14ac:dyDescent="0.35">
      <c r="A73" s="80"/>
      <c r="B73" s="80"/>
      <c r="C73" s="80"/>
      <c r="D73" s="880"/>
      <c r="E73" s="880"/>
      <c r="F73" s="157"/>
      <c r="G73" s="157"/>
      <c r="H73" s="157"/>
    </row>
    <row r="74" spans="1:9" ht="36" customHeight="1" x14ac:dyDescent="0.35">
      <c r="A74" s="81" t="s">
        <v>2685</v>
      </c>
      <c r="B74" s="81"/>
      <c r="C74" s="81" t="s">
        <v>2067</v>
      </c>
      <c r="D74" s="880"/>
      <c r="E74" s="880"/>
      <c r="F74" s="157"/>
      <c r="G74" s="157"/>
      <c r="H74" s="157"/>
    </row>
    <row r="75" spans="1:9" ht="29" x14ac:dyDescent="0.35">
      <c r="A75" s="80" t="s">
        <v>5429</v>
      </c>
      <c r="B75" s="80" t="s">
        <v>2681</v>
      </c>
      <c r="C75" s="80"/>
      <c r="D75" s="880" t="s">
        <v>3287</v>
      </c>
      <c r="E75" s="880"/>
      <c r="F75" s="80">
        <v>0.5</v>
      </c>
      <c r="G75" s="80">
        <v>0.5</v>
      </c>
      <c r="H75" s="80">
        <v>0.49</v>
      </c>
    </row>
    <row r="80" spans="1:9" ht="26" x14ac:dyDescent="0.6">
      <c r="A80" s="15" t="s">
        <v>1925</v>
      </c>
    </row>
    <row r="81" spans="1:6" ht="15" customHeight="1" x14ac:dyDescent="0.35">
      <c r="A81" t="s">
        <v>4552</v>
      </c>
    </row>
    <row r="82" spans="1:6" ht="15" customHeight="1" x14ac:dyDescent="0.6">
      <c r="A82" s="15"/>
    </row>
    <row r="83" spans="1:6" ht="21" customHeight="1" x14ac:dyDescent="0.5">
      <c r="A83" s="26" t="s">
        <v>1171</v>
      </c>
      <c r="F83" s="11"/>
    </row>
    <row r="84" spans="1:6" ht="21" customHeight="1" x14ac:dyDescent="0.5">
      <c r="A84" s="26" t="s">
        <v>1172</v>
      </c>
      <c r="F84" s="11"/>
    </row>
    <row r="85" spans="1:6" x14ac:dyDescent="0.35">
      <c r="A85" t="s">
        <v>1926</v>
      </c>
      <c r="B85" t="s">
        <v>1951</v>
      </c>
    </row>
    <row r="86" spans="1:6" x14ac:dyDescent="0.35">
      <c r="B86" t="s">
        <v>1931</v>
      </c>
    </row>
    <row r="87" spans="1:6" x14ac:dyDescent="0.35">
      <c r="B87" t="s">
        <v>1932</v>
      </c>
    </row>
    <row r="88" spans="1:6" x14ac:dyDescent="0.35">
      <c r="B88" t="s">
        <v>1927</v>
      </c>
    </row>
    <row r="89" spans="1:6" x14ac:dyDescent="0.35">
      <c r="B89" t="s">
        <v>1928</v>
      </c>
    </row>
    <row r="90" spans="1:6" x14ac:dyDescent="0.35">
      <c r="B90" t="s">
        <v>1933</v>
      </c>
    </row>
    <row r="91" spans="1:6" x14ac:dyDescent="0.35">
      <c r="B91" t="s">
        <v>1929</v>
      </c>
    </row>
    <row r="92" spans="1:6" x14ac:dyDescent="0.35">
      <c r="A92" t="s">
        <v>1930</v>
      </c>
      <c r="B92" t="s">
        <v>1952</v>
      </c>
    </row>
    <row r="93" spans="1:6" x14ac:dyDescent="0.35">
      <c r="A93" t="s">
        <v>1934</v>
      </c>
      <c r="B93" t="s">
        <v>1953</v>
      </c>
    </row>
    <row r="94" spans="1:6" x14ac:dyDescent="0.35">
      <c r="B94" t="s">
        <v>1935</v>
      </c>
    </row>
    <row r="95" spans="1:6" x14ac:dyDescent="0.35">
      <c r="B95" t="s">
        <v>1936</v>
      </c>
    </row>
    <row r="96" spans="1:6" x14ac:dyDescent="0.35">
      <c r="B96" t="s">
        <v>1937</v>
      </c>
    </row>
    <row r="97" spans="1:2" x14ac:dyDescent="0.35">
      <c r="B97" t="s">
        <v>1938</v>
      </c>
    </row>
    <row r="98" spans="1:2" x14ac:dyDescent="0.35">
      <c r="B98" t="s">
        <v>1939</v>
      </c>
    </row>
    <row r="99" spans="1:2" x14ac:dyDescent="0.35">
      <c r="A99" t="s">
        <v>1940</v>
      </c>
      <c r="B99" t="s">
        <v>2872</v>
      </c>
    </row>
    <row r="100" spans="1:2" x14ac:dyDescent="0.35">
      <c r="A100" t="s">
        <v>1941</v>
      </c>
      <c r="B100" t="s">
        <v>2873</v>
      </c>
    </row>
    <row r="101" spans="1:2" x14ac:dyDescent="0.35">
      <c r="B101" t="s">
        <v>2874</v>
      </c>
    </row>
    <row r="102" spans="1:2" x14ac:dyDescent="0.35">
      <c r="A102" t="s">
        <v>2875</v>
      </c>
      <c r="B102" t="s">
        <v>2876</v>
      </c>
    </row>
    <row r="103" spans="1:2" x14ac:dyDescent="0.35">
      <c r="B103" t="s">
        <v>1944</v>
      </c>
    </row>
    <row r="104" spans="1:2" x14ac:dyDescent="0.35">
      <c r="B104" t="s">
        <v>1945</v>
      </c>
    </row>
    <row r="105" spans="1:2" x14ac:dyDescent="0.35">
      <c r="B105" t="s">
        <v>1946</v>
      </c>
    </row>
    <row r="106" spans="1:2" x14ac:dyDescent="0.35">
      <c r="B106" t="s">
        <v>1947</v>
      </c>
    </row>
    <row r="107" spans="1:2" x14ac:dyDescent="0.35">
      <c r="B107" t="s">
        <v>1948</v>
      </c>
    </row>
    <row r="108" spans="1:2" x14ac:dyDescent="0.35">
      <c r="B108" t="s">
        <v>1949</v>
      </c>
    </row>
    <row r="109" spans="1:2" x14ac:dyDescent="0.35">
      <c r="A109" t="s">
        <v>1942</v>
      </c>
      <c r="B109" t="s">
        <v>1943</v>
      </c>
    </row>
    <row r="110" spans="1:2" x14ac:dyDescent="0.35">
      <c r="A110" t="s">
        <v>1950</v>
      </c>
      <c r="B110" t="s">
        <v>2877</v>
      </c>
    </row>
    <row r="113" spans="1:6" ht="21" customHeight="1" x14ac:dyDescent="0.5">
      <c r="A113" s="26" t="s">
        <v>1174</v>
      </c>
      <c r="F113" s="11"/>
    </row>
    <row r="114" spans="1:6" ht="21" customHeight="1" x14ac:dyDescent="0.5">
      <c r="A114" s="26" t="s">
        <v>1173</v>
      </c>
      <c r="F114" s="11"/>
    </row>
    <row r="115" spans="1:6" x14ac:dyDescent="0.35">
      <c r="A115" t="s">
        <v>1926</v>
      </c>
      <c r="B115" t="s">
        <v>3688</v>
      </c>
    </row>
    <row r="116" spans="1:6" x14ac:dyDescent="0.35">
      <c r="A116" t="s">
        <v>1930</v>
      </c>
      <c r="B116" t="s">
        <v>1952</v>
      </c>
    </row>
    <row r="117" spans="1:6" x14ac:dyDescent="0.35">
      <c r="A117" t="s">
        <v>3689</v>
      </c>
      <c r="B117" t="s">
        <v>3690</v>
      </c>
    </row>
    <row r="118" spans="1:6" x14ac:dyDescent="0.35">
      <c r="B118" t="s">
        <v>3691</v>
      </c>
    </row>
    <row r="119" spans="1:6" x14ac:dyDescent="0.35">
      <c r="B119" t="s">
        <v>2878</v>
      </c>
    </row>
    <row r="120" spans="1:6" x14ac:dyDescent="0.35">
      <c r="B120" t="s">
        <v>2879</v>
      </c>
    </row>
    <row r="121" spans="1:6" x14ac:dyDescent="0.35">
      <c r="B121" t="s">
        <v>2880</v>
      </c>
    </row>
    <row r="122" spans="1:6" x14ac:dyDescent="0.35">
      <c r="B122" t="s">
        <v>2881</v>
      </c>
    </row>
    <row r="123" spans="1:6" x14ac:dyDescent="0.35">
      <c r="B123" t="s">
        <v>2882</v>
      </c>
    </row>
    <row r="124" spans="1:6" x14ac:dyDescent="0.35">
      <c r="A124" t="s">
        <v>1163</v>
      </c>
      <c r="B124" t="s">
        <v>1180</v>
      </c>
    </row>
    <row r="125" spans="1:6" x14ac:dyDescent="0.35">
      <c r="B125" t="s">
        <v>1181</v>
      </c>
    </row>
    <row r="126" spans="1:6" x14ac:dyDescent="0.35">
      <c r="A126" t="s">
        <v>2883</v>
      </c>
      <c r="B126" t="s">
        <v>2884</v>
      </c>
    </row>
    <row r="127" spans="1:6" x14ac:dyDescent="0.35">
      <c r="A127" t="s">
        <v>2883</v>
      </c>
      <c r="B127" t="s">
        <v>2885</v>
      </c>
    </row>
    <row r="128" spans="1:6" x14ac:dyDescent="0.35">
      <c r="A128" t="s">
        <v>2883</v>
      </c>
      <c r="B128" t="s">
        <v>2886</v>
      </c>
    </row>
    <row r="129" spans="1:2" x14ac:dyDescent="0.35">
      <c r="A129" t="s">
        <v>1164</v>
      </c>
      <c r="B129" t="s">
        <v>1165</v>
      </c>
    </row>
    <row r="130" spans="1:2" x14ac:dyDescent="0.35">
      <c r="B130" t="s">
        <v>2887</v>
      </c>
    </row>
    <row r="131" spans="1:2" x14ac:dyDescent="0.35">
      <c r="B131" t="s">
        <v>1945</v>
      </c>
    </row>
    <row r="132" spans="1:2" x14ac:dyDescent="0.35">
      <c r="B132" t="s">
        <v>2888</v>
      </c>
    </row>
    <row r="133" spans="1:2" x14ac:dyDescent="0.35">
      <c r="B133" t="s">
        <v>1947</v>
      </c>
    </row>
    <row r="134" spans="1:2" x14ac:dyDescent="0.35">
      <c r="B134" t="s">
        <v>2923</v>
      </c>
    </row>
    <row r="135" spans="1:2" x14ac:dyDescent="0.35">
      <c r="B135" t="s">
        <v>2889</v>
      </c>
    </row>
    <row r="136" spans="1:2" x14ac:dyDescent="0.35">
      <c r="B136" t="s">
        <v>2890</v>
      </c>
    </row>
    <row r="137" spans="1:2" x14ac:dyDescent="0.35">
      <c r="A137" t="s">
        <v>1166</v>
      </c>
      <c r="B137" t="s">
        <v>1167</v>
      </c>
    </row>
    <row r="138" spans="1:2" x14ac:dyDescent="0.35">
      <c r="B138" t="s">
        <v>1971</v>
      </c>
    </row>
    <row r="139" spans="1:2" x14ac:dyDescent="0.35">
      <c r="B139" t="s">
        <v>1972</v>
      </c>
    </row>
    <row r="140" spans="1:2" x14ac:dyDescent="0.35">
      <c r="B140" t="s">
        <v>1973</v>
      </c>
    </row>
    <row r="141" spans="1:2" x14ac:dyDescent="0.35">
      <c r="B141" t="s">
        <v>1168</v>
      </c>
    </row>
    <row r="142" spans="1:2" x14ac:dyDescent="0.35">
      <c r="B142" t="s">
        <v>2890</v>
      </c>
    </row>
    <row r="143" spans="1:2" x14ac:dyDescent="0.35">
      <c r="A143" t="s">
        <v>1187</v>
      </c>
      <c r="B143" t="s">
        <v>1169</v>
      </c>
    </row>
    <row r="144" spans="1:2" x14ac:dyDescent="0.35">
      <c r="B144" t="s">
        <v>1170</v>
      </c>
    </row>
    <row r="145" spans="1:6" x14ac:dyDescent="0.35">
      <c r="B145" t="s">
        <v>1975</v>
      </c>
    </row>
    <row r="146" spans="1:6" x14ac:dyDescent="0.35">
      <c r="A146" t="s">
        <v>1950</v>
      </c>
      <c r="B146" t="s">
        <v>2877</v>
      </c>
    </row>
    <row r="149" spans="1:6" ht="21" customHeight="1" x14ac:dyDescent="0.5">
      <c r="A149" s="26" t="s">
        <v>1175</v>
      </c>
      <c r="F149" s="11"/>
    </row>
    <row r="150" spans="1:6" x14ac:dyDescent="0.35">
      <c r="A150" t="s">
        <v>1926</v>
      </c>
      <c r="B150" t="s">
        <v>1176</v>
      </c>
    </row>
    <row r="151" spans="1:6" x14ac:dyDescent="0.35">
      <c r="B151" t="s">
        <v>1931</v>
      </c>
    </row>
    <row r="152" spans="1:6" x14ac:dyDescent="0.35">
      <c r="B152" t="s">
        <v>1932</v>
      </c>
    </row>
    <row r="153" spans="1:6" x14ac:dyDescent="0.35">
      <c r="B153" t="s">
        <v>2300</v>
      </c>
    </row>
    <row r="154" spans="1:6" x14ac:dyDescent="0.35">
      <c r="B154" t="s">
        <v>2301</v>
      </c>
    </row>
    <row r="155" spans="1:6" x14ac:dyDescent="0.35">
      <c r="B155" t="s">
        <v>2302</v>
      </c>
    </row>
    <row r="156" spans="1:6" x14ac:dyDescent="0.35">
      <c r="B156" t="s">
        <v>1928</v>
      </c>
    </row>
    <row r="157" spans="1:6" x14ac:dyDescent="0.35">
      <c r="B157" t="s">
        <v>2303</v>
      </c>
    </row>
    <row r="158" spans="1:6" x14ac:dyDescent="0.35">
      <c r="B158" t="s">
        <v>2304</v>
      </c>
    </row>
    <row r="159" spans="1:6" x14ac:dyDescent="0.35">
      <c r="B159" t="s">
        <v>2924</v>
      </c>
    </row>
    <row r="160" spans="1:6" x14ac:dyDescent="0.35">
      <c r="B160" t="s">
        <v>2305</v>
      </c>
    </row>
    <row r="161" spans="1:2" x14ac:dyDescent="0.35">
      <c r="B161" t="s">
        <v>2925</v>
      </c>
    </row>
    <row r="162" spans="1:2" x14ac:dyDescent="0.35">
      <c r="A162" t="s">
        <v>1930</v>
      </c>
      <c r="B162" t="s">
        <v>1952</v>
      </c>
    </row>
    <row r="163" spans="1:2" x14ac:dyDescent="0.35">
      <c r="A163" t="s">
        <v>2306</v>
      </c>
      <c r="B163" t="s">
        <v>1177</v>
      </c>
    </row>
    <row r="164" spans="1:2" x14ac:dyDescent="0.35">
      <c r="B164" t="s">
        <v>1178</v>
      </c>
    </row>
    <row r="165" spans="1:2" x14ac:dyDescent="0.35">
      <c r="B165" t="s">
        <v>2307</v>
      </c>
    </row>
    <row r="166" spans="1:2" x14ac:dyDescent="0.35">
      <c r="B166" t="s">
        <v>2308</v>
      </c>
    </row>
    <row r="167" spans="1:2" x14ac:dyDescent="0.35">
      <c r="B167" t="s">
        <v>2309</v>
      </c>
    </row>
    <row r="168" spans="1:2" x14ac:dyDescent="0.35">
      <c r="B168" t="s">
        <v>2310</v>
      </c>
    </row>
    <row r="169" spans="1:2" x14ac:dyDescent="0.35">
      <c r="B169" t="s">
        <v>2311</v>
      </c>
    </row>
    <row r="170" spans="1:2" x14ac:dyDescent="0.35">
      <c r="B170" t="s">
        <v>2312</v>
      </c>
    </row>
    <row r="171" spans="1:2" x14ac:dyDescent="0.35">
      <c r="B171" t="s">
        <v>2313</v>
      </c>
    </row>
    <row r="172" spans="1:2" x14ac:dyDescent="0.35">
      <c r="B172" t="s">
        <v>2314</v>
      </c>
    </row>
    <row r="173" spans="1:2" x14ac:dyDescent="0.35">
      <c r="B173" t="s">
        <v>2315</v>
      </c>
    </row>
    <row r="174" spans="1:2" x14ac:dyDescent="0.35">
      <c r="B174" t="s">
        <v>2316</v>
      </c>
    </row>
    <row r="175" spans="1:2" x14ac:dyDescent="0.35">
      <c r="A175" t="s">
        <v>1941</v>
      </c>
      <c r="B175" t="s">
        <v>1183</v>
      </c>
    </row>
    <row r="176" spans="1:2" x14ac:dyDescent="0.35">
      <c r="B176" t="s">
        <v>1182</v>
      </c>
    </row>
    <row r="177" spans="1:2" x14ac:dyDescent="0.35">
      <c r="B177" t="s">
        <v>2317</v>
      </c>
    </row>
    <row r="178" spans="1:2" x14ac:dyDescent="0.35">
      <c r="B178" t="s">
        <v>2318</v>
      </c>
    </row>
    <row r="179" spans="1:2" x14ac:dyDescent="0.35">
      <c r="B179" t="s">
        <v>2319</v>
      </c>
    </row>
    <row r="180" spans="1:2" x14ac:dyDescent="0.35">
      <c r="A180" t="s">
        <v>1184</v>
      </c>
      <c r="B180" t="s">
        <v>1179</v>
      </c>
    </row>
    <row r="181" spans="1:2" x14ac:dyDescent="0.35">
      <c r="B181" t="s">
        <v>1944</v>
      </c>
    </row>
    <row r="182" spans="1:2" x14ac:dyDescent="0.35">
      <c r="B182" t="s">
        <v>2320</v>
      </c>
    </row>
    <row r="183" spans="1:2" x14ac:dyDescent="0.35">
      <c r="B183" t="s">
        <v>4126</v>
      </c>
    </row>
    <row r="184" spans="1:2" x14ac:dyDescent="0.35">
      <c r="B184" t="s">
        <v>4127</v>
      </c>
    </row>
    <row r="185" spans="1:2" x14ac:dyDescent="0.35">
      <c r="B185" t="s">
        <v>4128</v>
      </c>
    </row>
    <row r="186" spans="1:2" x14ac:dyDescent="0.35">
      <c r="B186" t="s">
        <v>2889</v>
      </c>
    </row>
    <row r="187" spans="1:2" x14ac:dyDescent="0.35">
      <c r="A187" t="s">
        <v>1185</v>
      </c>
      <c r="B187" t="s">
        <v>1179</v>
      </c>
    </row>
    <row r="188" spans="1:2" x14ac:dyDescent="0.35">
      <c r="B188" t="s">
        <v>2914</v>
      </c>
    </row>
    <row r="189" spans="1:2" x14ac:dyDescent="0.35">
      <c r="B189" t="s">
        <v>1972</v>
      </c>
    </row>
    <row r="190" spans="1:2" x14ac:dyDescent="0.35">
      <c r="B190" t="s">
        <v>1973</v>
      </c>
    </row>
    <row r="191" spans="1:2" x14ac:dyDescent="0.35">
      <c r="B191" t="s">
        <v>1974</v>
      </c>
    </row>
    <row r="192" spans="1:2" x14ac:dyDescent="0.35">
      <c r="A192" t="s">
        <v>1186</v>
      </c>
      <c r="B192" t="s">
        <v>1169</v>
      </c>
    </row>
    <row r="193" spans="1:6" x14ac:dyDescent="0.35">
      <c r="B193" t="s">
        <v>1170</v>
      </c>
    </row>
    <row r="194" spans="1:6" x14ac:dyDescent="0.35">
      <c r="A194" t="s">
        <v>3106</v>
      </c>
      <c r="B194" t="s">
        <v>3108</v>
      </c>
    </row>
    <row r="195" spans="1:6" x14ac:dyDescent="0.35">
      <c r="B195" t="s">
        <v>3107</v>
      </c>
    </row>
    <row r="196" spans="1:6" x14ac:dyDescent="0.35">
      <c r="B196" t="s">
        <v>3262</v>
      </c>
    </row>
    <row r="197" spans="1:6" x14ac:dyDescent="0.35">
      <c r="B197" t="s">
        <v>3261</v>
      </c>
    </row>
    <row r="198" spans="1:6" x14ac:dyDescent="0.35">
      <c r="B198" t="s">
        <v>3109</v>
      </c>
    </row>
    <row r="199" spans="1:6" x14ac:dyDescent="0.35">
      <c r="A199" t="s">
        <v>3113</v>
      </c>
      <c r="B199" t="s">
        <v>3114</v>
      </c>
    </row>
    <row r="200" spans="1:6" x14ac:dyDescent="0.35">
      <c r="A200" t="s">
        <v>3110</v>
      </c>
    </row>
    <row r="201" spans="1:6" x14ac:dyDescent="0.35">
      <c r="B201" s="101" t="s">
        <v>3111</v>
      </c>
    </row>
    <row r="202" spans="1:6" x14ac:dyDescent="0.35">
      <c r="B202" s="101" t="s">
        <v>3125</v>
      </c>
    </row>
    <row r="203" spans="1:6" x14ac:dyDescent="0.35">
      <c r="A203" t="s">
        <v>1950</v>
      </c>
      <c r="B203" t="s">
        <v>2877</v>
      </c>
    </row>
    <row r="206" spans="1:6" ht="21" customHeight="1" x14ac:dyDescent="0.5">
      <c r="A206" s="26" t="s">
        <v>2936</v>
      </c>
      <c r="F206" s="11"/>
    </row>
    <row r="207" spans="1:6" x14ac:dyDescent="0.35">
      <c r="A207" t="s">
        <v>1926</v>
      </c>
      <c r="B207" t="s">
        <v>1176</v>
      </c>
    </row>
    <row r="208" spans="1:6" x14ac:dyDescent="0.35">
      <c r="B208" t="s">
        <v>1931</v>
      </c>
    </row>
    <row r="209" spans="1:2" x14ac:dyDescent="0.35">
      <c r="B209" t="s">
        <v>1932</v>
      </c>
    </row>
    <row r="210" spans="1:2" x14ac:dyDescent="0.35">
      <c r="B210" t="s">
        <v>2937</v>
      </c>
    </row>
    <row r="211" spans="1:2" x14ac:dyDescent="0.35">
      <c r="B211" t="s">
        <v>2300</v>
      </c>
    </row>
    <row r="212" spans="1:2" x14ac:dyDescent="0.35">
      <c r="B212" t="s">
        <v>2301</v>
      </c>
    </row>
    <row r="213" spans="1:2" x14ac:dyDescent="0.35">
      <c r="B213" t="s">
        <v>2302</v>
      </c>
    </row>
    <row r="214" spans="1:2" x14ac:dyDescent="0.35">
      <c r="B214" t="s">
        <v>1928</v>
      </c>
    </row>
    <row r="215" spans="1:2" x14ac:dyDescent="0.35">
      <c r="B215" t="s">
        <v>2938</v>
      </c>
    </row>
    <row r="216" spans="1:2" x14ac:dyDescent="0.35">
      <c r="B216" t="s">
        <v>2303</v>
      </c>
    </row>
    <row r="217" spans="1:2" x14ac:dyDescent="0.35">
      <c r="B217" t="s">
        <v>2304</v>
      </c>
    </row>
    <row r="218" spans="1:2" x14ac:dyDescent="0.35">
      <c r="B218" t="s">
        <v>2924</v>
      </c>
    </row>
    <row r="219" spans="1:2" x14ac:dyDescent="0.35">
      <c r="B219" t="s">
        <v>2939</v>
      </c>
    </row>
    <row r="220" spans="1:2" x14ac:dyDescent="0.35">
      <c r="B220" t="s">
        <v>2925</v>
      </c>
    </row>
    <row r="221" spans="1:2" x14ac:dyDescent="0.35">
      <c r="A221" t="s">
        <v>1930</v>
      </c>
      <c r="B221" t="s">
        <v>1952</v>
      </c>
    </row>
    <row r="222" spans="1:2" x14ac:dyDescent="0.35">
      <c r="A222" t="s">
        <v>1159</v>
      </c>
      <c r="B222" t="s">
        <v>1156</v>
      </c>
    </row>
    <row r="223" spans="1:2" x14ac:dyDescent="0.35">
      <c r="B223" t="s">
        <v>1160</v>
      </c>
    </row>
    <row r="224" spans="1:2" x14ac:dyDescent="0.35">
      <c r="B224" t="s">
        <v>1178</v>
      </c>
    </row>
    <row r="225" spans="2:2" x14ac:dyDescent="0.35">
      <c r="B225" t="s">
        <v>2307</v>
      </c>
    </row>
    <row r="226" spans="2:2" x14ac:dyDescent="0.35">
      <c r="B226" t="s">
        <v>2308</v>
      </c>
    </row>
    <row r="227" spans="2:2" x14ac:dyDescent="0.35">
      <c r="B227" t="s">
        <v>2309</v>
      </c>
    </row>
    <row r="228" spans="2:2" x14ac:dyDescent="0.35">
      <c r="B228" t="s">
        <v>2310</v>
      </c>
    </row>
    <row r="229" spans="2:2" x14ac:dyDescent="0.35">
      <c r="B229" t="s">
        <v>1157</v>
      </c>
    </row>
    <row r="230" spans="2:2" x14ac:dyDescent="0.35">
      <c r="B230" t="s">
        <v>1158</v>
      </c>
    </row>
    <row r="231" spans="2:2" x14ac:dyDescent="0.35">
      <c r="B231" t="s">
        <v>2311</v>
      </c>
    </row>
    <row r="232" spans="2:2" x14ac:dyDescent="0.35">
      <c r="B232" t="s">
        <v>2312</v>
      </c>
    </row>
    <row r="233" spans="2:2" x14ac:dyDescent="0.35">
      <c r="B233" t="s">
        <v>2313</v>
      </c>
    </row>
    <row r="234" spans="2:2" x14ac:dyDescent="0.35">
      <c r="B234" t="s">
        <v>2314</v>
      </c>
    </row>
    <row r="235" spans="2:2" x14ac:dyDescent="0.35">
      <c r="B235" t="s">
        <v>3006</v>
      </c>
    </row>
    <row r="236" spans="2:2" x14ac:dyDescent="0.35">
      <c r="B236" t="s">
        <v>2316</v>
      </c>
    </row>
    <row r="237" spans="2:2" x14ac:dyDescent="0.35">
      <c r="B237" t="s">
        <v>3132</v>
      </c>
    </row>
    <row r="238" spans="2:2" x14ac:dyDescent="0.35">
      <c r="B238" t="s">
        <v>1161</v>
      </c>
    </row>
    <row r="239" spans="2:2" x14ac:dyDescent="0.35">
      <c r="B239" t="s">
        <v>3085</v>
      </c>
    </row>
    <row r="240" spans="2:2" x14ac:dyDescent="0.35">
      <c r="B240" t="s">
        <v>3086</v>
      </c>
    </row>
    <row r="241" spans="1:2" x14ac:dyDescent="0.35">
      <c r="B241" t="s">
        <v>1162</v>
      </c>
    </row>
    <row r="242" spans="1:2" x14ac:dyDescent="0.35">
      <c r="B242" t="s">
        <v>4640</v>
      </c>
    </row>
    <row r="243" spans="1:2" x14ac:dyDescent="0.35">
      <c r="B243" t="s">
        <v>4641</v>
      </c>
    </row>
    <row r="244" spans="1:2" x14ac:dyDescent="0.35">
      <c r="B244" t="s">
        <v>3087</v>
      </c>
    </row>
    <row r="245" spans="1:2" x14ac:dyDescent="0.35">
      <c r="B245" t="s">
        <v>3717</v>
      </c>
    </row>
    <row r="246" spans="1:2" x14ac:dyDescent="0.35">
      <c r="B246" t="s">
        <v>4642</v>
      </c>
    </row>
    <row r="247" spans="1:2" x14ac:dyDescent="0.35">
      <c r="A247" t="s">
        <v>3088</v>
      </c>
      <c r="B247" t="s">
        <v>3089</v>
      </c>
    </row>
    <row r="248" spans="1:2" x14ac:dyDescent="0.35">
      <c r="B248" t="s">
        <v>1182</v>
      </c>
    </row>
    <row r="249" spans="1:2" x14ac:dyDescent="0.35">
      <c r="B249" t="s">
        <v>3090</v>
      </c>
    </row>
    <row r="250" spans="1:2" x14ac:dyDescent="0.35">
      <c r="B250" t="s">
        <v>3091</v>
      </c>
    </row>
    <row r="251" spans="1:2" x14ac:dyDescent="0.35">
      <c r="A251" t="s">
        <v>3100</v>
      </c>
      <c r="B251" t="s">
        <v>3101</v>
      </c>
    </row>
    <row r="252" spans="1:2" x14ac:dyDescent="0.35">
      <c r="B252" t="s">
        <v>3102</v>
      </c>
    </row>
    <row r="253" spans="1:2" x14ac:dyDescent="0.35">
      <c r="A253" t="s">
        <v>3098</v>
      </c>
      <c r="B253" t="s">
        <v>1179</v>
      </c>
    </row>
    <row r="254" spans="1:2" x14ac:dyDescent="0.35">
      <c r="B254" t="s">
        <v>3099</v>
      </c>
    </row>
    <row r="255" spans="1:2" x14ac:dyDescent="0.35">
      <c r="B255" t="s">
        <v>3093</v>
      </c>
    </row>
    <row r="256" spans="1:2" x14ac:dyDescent="0.35">
      <c r="B256" t="s">
        <v>3092</v>
      </c>
    </row>
    <row r="257" spans="1:2" x14ac:dyDescent="0.35">
      <c r="B257" t="s">
        <v>3094</v>
      </c>
    </row>
    <row r="258" spans="1:2" x14ac:dyDescent="0.35">
      <c r="A258" t="s">
        <v>3095</v>
      </c>
      <c r="B258" t="s">
        <v>3097</v>
      </c>
    </row>
    <row r="259" spans="1:2" x14ac:dyDescent="0.35">
      <c r="B259" t="s">
        <v>3096</v>
      </c>
    </row>
    <row r="260" spans="1:2" x14ac:dyDescent="0.35">
      <c r="A260" t="s">
        <v>3103</v>
      </c>
      <c r="B260" t="s">
        <v>3104</v>
      </c>
    </row>
    <row r="261" spans="1:2" x14ac:dyDescent="0.35">
      <c r="B261" t="s">
        <v>3105</v>
      </c>
    </row>
    <row r="262" spans="1:2" x14ac:dyDescent="0.35">
      <c r="A262" t="s">
        <v>1186</v>
      </c>
      <c r="B262" t="s">
        <v>1169</v>
      </c>
    </row>
    <row r="263" spans="1:2" x14ac:dyDescent="0.35">
      <c r="B263" t="s">
        <v>1170</v>
      </c>
    </row>
    <row r="264" spans="1:2" x14ac:dyDescent="0.35">
      <c r="A264" t="s">
        <v>3106</v>
      </c>
      <c r="B264" t="s">
        <v>3108</v>
      </c>
    </row>
    <row r="265" spans="1:2" x14ac:dyDescent="0.35">
      <c r="B265" t="s">
        <v>3107</v>
      </c>
    </row>
    <row r="266" spans="1:2" x14ac:dyDescent="0.35">
      <c r="B266" t="s">
        <v>3260</v>
      </c>
    </row>
    <row r="267" spans="1:2" x14ac:dyDescent="0.35">
      <c r="B267" t="s">
        <v>3261</v>
      </c>
    </row>
    <row r="268" spans="1:2" x14ac:dyDescent="0.35">
      <c r="B268" t="s">
        <v>3109</v>
      </c>
    </row>
    <row r="269" spans="1:2" x14ac:dyDescent="0.35">
      <c r="A269" t="s">
        <v>3116</v>
      </c>
      <c r="B269" t="s">
        <v>3117</v>
      </c>
    </row>
    <row r="270" spans="1:2" x14ac:dyDescent="0.35">
      <c r="B270" s="101" t="s">
        <v>3115</v>
      </c>
    </row>
    <row r="271" spans="1:2" x14ac:dyDescent="0.35">
      <c r="A271" t="s">
        <v>3118</v>
      </c>
      <c r="B271" s="101" t="s">
        <v>3133</v>
      </c>
    </row>
    <row r="272" spans="1:2" x14ac:dyDescent="0.35">
      <c r="A272" t="s">
        <v>3120</v>
      </c>
      <c r="B272" s="101" t="s">
        <v>3123</v>
      </c>
    </row>
    <row r="273" spans="1:6" x14ac:dyDescent="0.35">
      <c r="A273" t="s">
        <v>3121</v>
      </c>
      <c r="B273" t="s">
        <v>3122</v>
      </c>
    </row>
    <row r="274" spans="1:6" x14ac:dyDescent="0.35">
      <c r="A274" t="s">
        <v>3119</v>
      </c>
    </row>
    <row r="276" spans="1:6" ht="21" customHeight="1" x14ac:dyDescent="0.5">
      <c r="A276" s="26" t="s">
        <v>425</v>
      </c>
      <c r="F276" s="11"/>
    </row>
    <row r="277" spans="1:6" x14ac:dyDescent="0.35">
      <c r="A277" t="s">
        <v>1926</v>
      </c>
      <c r="B277" t="s">
        <v>1176</v>
      </c>
    </row>
    <row r="278" spans="1:6" x14ac:dyDescent="0.35">
      <c r="B278" t="s">
        <v>1931</v>
      </c>
    </row>
    <row r="279" spans="1:6" x14ac:dyDescent="0.35">
      <c r="B279" t="s">
        <v>1932</v>
      </c>
    </row>
    <row r="280" spans="1:6" x14ac:dyDescent="0.35">
      <c r="B280" t="s">
        <v>426</v>
      </c>
    </row>
    <row r="281" spans="1:6" x14ac:dyDescent="0.35">
      <c r="B281" t="s">
        <v>427</v>
      </c>
    </row>
    <row r="282" spans="1:6" x14ac:dyDescent="0.35">
      <c r="B282" t="s">
        <v>428</v>
      </c>
    </row>
    <row r="283" spans="1:6" x14ac:dyDescent="0.35">
      <c r="B283" t="s">
        <v>1928</v>
      </c>
    </row>
    <row r="284" spans="1:6" x14ac:dyDescent="0.35">
      <c r="B284" t="s">
        <v>430</v>
      </c>
    </row>
    <row r="285" spans="1:6" x14ac:dyDescent="0.35">
      <c r="B285" t="s">
        <v>429</v>
      </c>
    </row>
    <row r="286" spans="1:6" x14ac:dyDescent="0.35">
      <c r="B286" t="s">
        <v>2939</v>
      </c>
    </row>
    <row r="287" spans="1:6" x14ac:dyDescent="0.35">
      <c r="B287" t="s">
        <v>2925</v>
      </c>
    </row>
    <row r="288" spans="1:6" x14ac:dyDescent="0.35">
      <c r="A288" t="s">
        <v>1930</v>
      </c>
      <c r="B288" t="s">
        <v>1952</v>
      </c>
    </row>
    <row r="289" spans="1:2" x14ac:dyDescent="0.35">
      <c r="A289" t="s">
        <v>1159</v>
      </c>
      <c r="B289" t="s">
        <v>431</v>
      </c>
    </row>
    <row r="290" spans="1:2" x14ac:dyDescent="0.35">
      <c r="B290" t="s">
        <v>443</v>
      </c>
    </row>
    <row r="291" spans="1:2" x14ac:dyDescent="0.35">
      <c r="B291" t="s">
        <v>444</v>
      </c>
    </row>
    <row r="292" spans="1:2" x14ac:dyDescent="0.35">
      <c r="B292" t="s">
        <v>432</v>
      </c>
    </row>
    <row r="293" spans="1:2" x14ac:dyDescent="0.35">
      <c r="B293" t="s">
        <v>433</v>
      </c>
    </row>
    <row r="294" spans="1:2" x14ac:dyDescent="0.35">
      <c r="B294" t="s">
        <v>434</v>
      </c>
    </row>
    <row r="295" spans="1:2" x14ac:dyDescent="0.35">
      <c r="B295" t="s">
        <v>435</v>
      </c>
    </row>
    <row r="296" spans="1:2" x14ac:dyDescent="0.35">
      <c r="B296" t="s">
        <v>436</v>
      </c>
    </row>
    <row r="297" spans="1:2" x14ac:dyDescent="0.35">
      <c r="B297" t="s">
        <v>437</v>
      </c>
    </row>
    <row r="298" spans="1:2" x14ac:dyDescent="0.35">
      <c r="B298" t="s">
        <v>438</v>
      </c>
    </row>
    <row r="299" spans="1:2" x14ac:dyDescent="0.35">
      <c r="B299" t="s">
        <v>445</v>
      </c>
    </row>
    <row r="300" spans="1:2" x14ac:dyDescent="0.35">
      <c r="B300" t="s">
        <v>439</v>
      </c>
    </row>
    <row r="301" spans="1:2" x14ac:dyDescent="0.35">
      <c r="B301" t="s">
        <v>440</v>
      </c>
    </row>
    <row r="302" spans="1:2" x14ac:dyDescent="0.35">
      <c r="B302" t="s">
        <v>441</v>
      </c>
    </row>
    <row r="303" spans="1:2" x14ac:dyDescent="0.35">
      <c r="B303" t="s">
        <v>442</v>
      </c>
    </row>
    <row r="304" spans="1:2" x14ac:dyDescent="0.35">
      <c r="B304" t="s">
        <v>456</v>
      </c>
    </row>
    <row r="305" spans="1:2" x14ac:dyDescent="0.35">
      <c r="B305" t="s">
        <v>457</v>
      </c>
    </row>
    <row r="306" spans="1:2" x14ac:dyDescent="0.35">
      <c r="B306" t="s">
        <v>5643</v>
      </c>
    </row>
    <row r="307" spans="1:2" x14ac:dyDescent="0.35">
      <c r="B307" t="s">
        <v>446</v>
      </c>
    </row>
    <row r="308" spans="1:2" x14ac:dyDescent="0.35">
      <c r="B308" t="s">
        <v>447</v>
      </c>
    </row>
    <row r="309" spans="1:2" x14ac:dyDescent="0.35">
      <c r="A309" t="s">
        <v>3088</v>
      </c>
      <c r="B309" t="s">
        <v>3089</v>
      </c>
    </row>
    <row r="310" spans="1:2" x14ac:dyDescent="0.35">
      <c r="B310" t="s">
        <v>1182</v>
      </c>
    </row>
    <row r="311" spans="1:2" x14ac:dyDescent="0.35">
      <c r="B311" t="s">
        <v>3090</v>
      </c>
    </row>
    <row r="312" spans="1:2" x14ac:dyDescent="0.35">
      <c r="B312" t="s">
        <v>3091</v>
      </c>
    </row>
    <row r="313" spans="1:2" x14ac:dyDescent="0.35">
      <c r="A313" t="s">
        <v>3100</v>
      </c>
      <c r="B313" t="s">
        <v>3101</v>
      </c>
    </row>
    <row r="314" spans="1:2" x14ac:dyDescent="0.35">
      <c r="B314" t="s">
        <v>3102</v>
      </c>
    </row>
    <row r="315" spans="1:2" x14ac:dyDescent="0.35">
      <c r="A315" t="s">
        <v>3116</v>
      </c>
      <c r="B315" t="s">
        <v>3117</v>
      </c>
    </row>
    <row r="316" spans="1:2" x14ac:dyDescent="0.35">
      <c r="B316" s="101" t="s">
        <v>3115</v>
      </c>
    </row>
    <row r="317" spans="1:2" x14ac:dyDescent="0.35">
      <c r="A317" t="s">
        <v>3118</v>
      </c>
      <c r="B317" s="101" t="s">
        <v>449</v>
      </c>
    </row>
    <row r="318" spans="1:2" x14ac:dyDescent="0.35">
      <c r="A318" t="s">
        <v>3120</v>
      </c>
      <c r="B318" s="101" t="s">
        <v>7821</v>
      </c>
    </row>
    <row r="319" spans="1:2" x14ac:dyDescent="0.35">
      <c r="A319" t="s">
        <v>3121</v>
      </c>
      <c r="B319" t="s">
        <v>448</v>
      </c>
    </row>
    <row r="320" spans="1:2" x14ac:dyDescent="0.35">
      <c r="A320" t="s">
        <v>3119</v>
      </c>
    </row>
    <row r="322" spans="1:6" ht="21" customHeight="1" x14ac:dyDescent="0.5">
      <c r="A322" s="26" t="s">
        <v>7929</v>
      </c>
      <c r="F322" s="11"/>
    </row>
    <row r="323" spans="1:6" x14ac:dyDescent="0.35">
      <c r="A323" t="s">
        <v>1926</v>
      </c>
      <c r="B323" t="s">
        <v>1176</v>
      </c>
    </row>
    <row r="324" spans="1:6" x14ac:dyDescent="0.35">
      <c r="B324" t="s">
        <v>1931</v>
      </c>
    </row>
    <row r="325" spans="1:6" x14ac:dyDescent="0.35">
      <c r="B325" t="s">
        <v>1932</v>
      </c>
    </row>
    <row r="326" spans="1:6" x14ac:dyDescent="0.35">
      <c r="B326" t="s">
        <v>426</v>
      </c>
    </row>
    <row r="327" spans="1:6" x14ac:dyDescent="0.35">
      <c r="B327" t="s">
        <v>427</v>
      </c>
    </row>
    <row r="328" spans="1:6" x14ac:dyDescent="0.35">
      <c r="B328" t="s">
        <v>428</v>
      </c>
    </row>
    <row r="329" spans="1:6" x14ac:dyDescent="0.35">
      <c r="B329" t="s">
        <v>1928</v>
      </c>
    </row>
    <row r="330" spans="1:6" x14ac:dyDescent="0.35">
      <c r="B330" t="s">
        <v>430</v>
      </c>
    </row>
    <row r="331" spans="1:6" x14ac:dyDescent="0.35">
      <c r="B331" t="s">
        <v>429</v>
      </c>
    </row>
    <row r="332" spans="1:6" x14ac:dyDescent="0.35">
      <c r="B332" t="s">
        <v>2939</v>
      </c>
    </row>
    <row r="333" spans="1:6" x14ac:dyDescent="0.35">
      <c r="B333" t="s">
        <v>8242</v>
      </c>
    </row>
    <row r="334" spans="1:6" x14ac:dyDescent="0.35">
      <c r="A334" t="s">
        <v>1930</v>
      </c>
      <c r="B334" t="s">
        <v>1952</v>
      </c>
    </row>
    <row r="335" spans="1:6" x14ac:dyDescent="0.35">
      <c r="A335" t="s">
        <v>1159</v>
      </c>
      <c r="B335" t="s">
        <v>8145</v>
      </c>
    </row>
    <row r="336" spans="1:6" x14ac:dyDescent="0.35">
      <c r="B336" t="s">
        <v>6091</v>
      </c>
    </row>
    <row r="337" spans="1:2" x14ac:dyDescent="0.35">
      <c r="B337" t="s">
        <v>6328</v>
      </c>
    </row>
    <row r="338" spans="1:2" x14ac:dyDescent="0.35">
      <c r="B338" t="s">
        <v>7477</v>
      </c>
    </row>
    <row r="339" spans="1:2" x14ac:dyDescent="0.35">
      <c r="B339" t="s">
        <v>432</v>
      </c>
    </row>
    <row r="340" spans="1:2" x14ac:dyDescent="0.35">
      <c r="B340" t="s">
        <v>6081</v>
      </c>
    </row>
    <row r="341" spans="1:2" x14ac:dyDescent="0.35">
      <c r="B341" t="s">
        <v>6079</v>
      </c>
    </row>
    <row r="342" spans="1:2" x14ac:dyDescent="0.35">
      <c r="B342" t="s">
        <v>6080</v>
      </c>
    </row>
    <row r="343" spans="1:2" x14ac:dyDescent="0.35">
      <c r="B343" t="s">
        <v>6082</v>
      </c>
    </row>
    <row r="344" spans="1:2" x14ac:dyDescent="0.35">
      <c r="B344" t="s">
        <v>6083</v>
      </c>
    </row>
    <row r="345" spans="1:2" x14ac:dyDescent="0.35">
      <c r="B345" t="s">
        <v>6084</v>
      </c>
    </row>
    <row r="346" spans="1:2" x14ac:dyDescent="0.35">
      <c r="B346" t="s">
        <v>6085</v>
      </c>
    </row>
    <row r="347" spans="1:2" x14ac:dyDescent="0.35">
      <c r="B347" t="s">
        <v>6086</v>
      </c>
    </row>
    <row r="348" spans="1:2" x14ac:dyDescent="0.35">
      <c r="B348" t="s">
        <v>7447</v>
      </c>
    </row>
    <row r="349" spans="1:2" x14ac:dyDescent="0.35">
      <c r="B349" t="s">
        <v>8146</v>
      </c>
    </row>
    <row r="350" spans="1:2" x14ac:dyDescent="0.35">
      <c r="B350" t="s">
        <v>6090</v>
      </c>
    </row>
    <row r="351" spans="1:2" x14ac:dyDescent="0.35">
      <c r="B351" t="s">
        <v>8147</v>
      </c>
    </row>
    <row r="352" spans="1:2" x14ac:dyDescent="0.35">
      <c r="A352" t="s">
        <v>3088</v>
      </c>
      <c r="B352" t="s">
        <v>3089</v>
      </c>
    </row>
    <row r="353" spans="1:6" x14ac:dyDescent="0.35">
      <c r="B353" t="s">
        <v>1182</v>
      </c>
    </row>
    <row r="354" spans="1:6" x14ac:dyDescent="0.35">
      <c r="B354" t="s">
        <v>3090</v>
      </c>
    </row>
    <row r="355" spans="1:6" x14ac:dyDescent="0.35">
      <c r="A355" t="s">
        <v>3100</v>
      </c>
      <c r="B355" t="s">
        <v>3101</v>
      </c>
    </row>
    <row r="356" spans="1:6" x14ac:dyDescent="0.35">
      <c r="B356" t="s">
        <v>3102</v>
      </c>
    </row>
    <row r="357" spans="1:6" x14ac:dyDescent="0.35">
      <c r="A357" t="s">
        <v>3116</v>
      </c>
      <c r="B357" t="s">
        <v>3117</v>
      </c>
    </row>
    <row r="358" spans="1:6" x14ac:dyDescent="0.35">
      <c r="B358" s="101" t="s">
        <v>7671</v>
      </c>
    </row>
    <row r="359" spans="1:6" x14ac:dyDescent="0.35">
      <c r="A359" t="s">
        <v>6092</v>
      </c>
      <c r="B359" s="101" t="s">
        <v>8255</v>
      </c>
    </row>
    <row r="360" spans="1:6" x14ac:dyDescent="0.35">
      <c r="A360" t="s">
        <v>3121</v>
      </c>
      <c r="B360" t="s">
        <v>7448</v>
      </c>
    </row>
    <row r="362" spans="1:6" x14ac:dyDescent="0.35">
      <c r="A362" t="s">
        <v>3119</v>
      </c>
    </row>
    <row r="363" spans="1:6" ht="21" customHeight="1" x14ac:dyDescent="0.5">
      <c r="A363" s="26" t="s">
        <v>5813</v>
      </c>
      <c r="F363" s="11"/>
    </row>
    <row r="364" spans="1:6" x14ac:dyDescent="0.35">
      <c r="A364" t="s">
        <v>1926</v>
      </c>
      <c r="B364" t="s">
        <v>1188</v>
      </c>
    </row>
    <row r="365" spans="1:6" x14ac:dyDescent="0.35">
      <c r="A365" t="s">
        <v>1930</v>
      </c>
      <c r="B365" t="s">
        <v>1943</v>
      </c>
    </row>
    <row r="366" spans="1:6" x14ac:dyDescent="0.35">
      <c r="A366" t="s">
        <v>2915</v>
      </c>
      <c r="B366" t="s">
        <v>3112</v>
      </c>
    </row>
    <row r="367" spans="1:6" x14ac:dyDescent="0.35">
      <c r="A367" t="s">
        <v>2916</v>
      </c>
      <c r="B367" t="s">
        <v>1943</v>
      </c>
    </row>
    <row r="368" spans="1:6" x14ac:dyDescent="0.35">
      <c r="A368" t="s">
        <v>2917</v>
      </c>
      <c r="B368" t="s">
        <v>2918</v>
      </c>
    </row>
    <row r="371" spans="1:6" ht="21" customHeight="1" x14ac:dyDescent="0.5">
      <c r="A371" s="26" t="s">
        <v>6683</v>
      </c>
      <c r="F371" s="11"/>
    </row>
    <row r="372" spans="1:6" x14ac:dyDescent="0.35">
      <c r="A372" t="s">
        <v>1189</v>
      </c>
    </row>
    <row r="373" spans="1:6" x14ac:dyDescent="0.35">
      <c r="A373" t="s">
        <v>1190</v>
      </c>
    </row>
    <row r="374" spans="1:6" x14ac:dyDescent="0.35">
      <c r="A374" t="s">
        <v>4451</v>
      </c>
    </row>
    <row r="375" spans="1:6" x14ac:dyDescent="0.35">
      <c r="A375" t="s">
        <v>1191</v>
      </c>
    </row>
    <row r="376" spans="1:6" x14ac:dyDescent="0.35">
      <c r="A376" t="s">
        <v>2926</v>
      </c>
    </row>
    <row r="377" spans="1:6" x14ac:dyDescent="0.35">
      <c r="A377" t="s">
        <v>2927</v>
      </c>
    </row>
    <row r="378" spans="1:6" x14ac:dyDescent="0.35">
      <c r="A378" t="s">
        <v>2928</v>
      </c>
    </row>
    <row r="379" spans="1:6" x14ac:dyDescent="0.35">
      <c r="A379" t="s">
        <v>2930</v>
      </c>
    </row>
    <row r="380" spans="1:6" x14ac:dyDescent="0.35">
      <c r="A380" t="s">
        <v>2929</v>
      </c>
    </row>
    <row r="381" spans="1:6" x14ac:dyDescent="0.35">
      <c r="A381" t="s">
        <v>2941</v>
      </c>
    </row>
    <row r="382" spans="1:6" x14ac:dyDescent="0.35">
      <c r="A382" t="s">
        <v>1154</v>
      </c>
    </row>
    <row r="383" spans="1:6" x14ac:dyDescent="0.35">
      <c r="A383" t="s">
        <v>2942</v>
      </c>
    </row>
    <row r="384" spans="1:6" x14ac:dyDescent="0.35">
      <c r="A384" t="s">
        <v>1153</v>
      </c>
    </row>
    <row r="385" spans="1:2" x14ac:dyDescent="0.35">
      <c r="A385" t="s">
        <v>1152</v>
      </c>
    </row>
    <row r="386" spans="1:2" x14ac:dyDescent="0.35">
      <c r="A386" t="s">
        <v>1155</v>
      </c>
    </row>
    <row r="387" spans="1:2" x14ac:dyDescent="0.35">
      <c r="A387" t="s">
        <v>2940</v>
      </c>
    </row>
    <row r="388" spans="1:2" x14ac:dyDescent="0.35">
      <c r="A388" t="s">
        <v>2932</v>
      </c>
    </row>
    <row r="389" spans="1:2" x14ac:dyDescent="0.35">
      <c r="B389" s="101" t="s">
        <v>1192</v>
      </c>
    </row>
    <row r="390" spans="1:2" x14ac:dyDescent="0.35">
      <c r="B390" s="101" t="s">
        <v>2933</v>
      </c>
    </row>
    <row r="391" spans="1:2" x14ac:dyDescent="0.35">
      <c r="B391" t="s">
        <v>1193</v>
      </c>
    </row>
    <row r="392" spans="1:2" x14ac:dyDescent="0.35">
      <c r="B392" t="s">
        <v>1194</v>
      </c>
    </row>
    <row r="393" spans="1:2" x14ac:dyDescent="0.35">
      <c r="B393" s="101" t="s">
        <v>1195</v>
      </c>
    </row>
    <row r="394" spans="1:2" x14ac:dyDescent="0.35">
      <c r="B394" s="101" t="s">
        <v>2934</v>
      </c>
    </row>
    <row r="395" spans="1:2" x14ac:dyDescent="0.35">
      <c r="B395" s="101" t="s">
        <v>3124</v>
      </c>
    </row>
    <row r="396" spans="1:2" x14ac:dyDescent="0.35">
      <c r="B396" s="101" t="s">
        <v>2935</v>
      </c>
    </row>
    <row r="397" spans="1:2" x14ac:dyDescent="0.35">
      <c r="A397" t="s">
        <v>2931</v>
      </c>
    </row>
  </sheetData>
  <mergeCells count="44">
    <mergeCell ref="A1:F1"/>
    <mergeCell ref="D44:E44"/>
    <mergeCell ref="B17:F17"/>
    <mergeCell ref="D68:E68"/>
    <mergeCell ref="D67:E67"/>
    <mergeCell ref="A35:F35"/>
    <mergeCell ref="A37:F37"/>
    <mergeCell ref="D43:E43"/>
    <mergeCell ref="D49:E49"/>
    <mergeCell ref="F42:I42"/>
    <mergeCell ref="A31:F31"/>
    <mergeCell ref="A33:F33"/>
    <mergeCell ref="A29:F29"/>
    <mergeCell ref="A21:F21"/>
    <mergeCell ref="A23:F23"/>
    <mergeCell ref="A25:F25"/>
    <mergeCell ref="A27:F27"/>
    <mergeCell ref="D58:E58"/>
    <mergeCell ref="D59:E59"/>
    <mergeCell ref="D56:E56"/>
    <mergeCell ref="D48:E48"/>
    <mergeCell ref="D55:E55"/>
    <mergeCell ref="D50:E50"/>
    <mergeCell ref="D57:E57"/>
    <mergeCell ref="D46:E46"/>
    <mergeCell ref="D47:E47"/>
    <mergeCell ref="D45:E45"/>
    <mergeCell ref="D65:E65"/>
    <mergeCell ref="D66:E66"/>
    <mergeCell ref="D51:E51"/>
    <mergeCell ref="D52:E52"/>
    <mergeCell ref="D53:E53"/>
    <mergeCell ref="D54:E54"/>
    <mergeCell ref="D60:E60"/>
    <mergeCell ref="D64:E64"/>
    <mergeCell ref="D61:E61"/>
    <mergeCell ref="D63:E63"/>
    <mergeCell ref="D62:E62"/>
    <mergeCell ref="D69:E69"/>
    <mergeCell ref="D75:E75"/>
    <mergeCell ref="D70:E70"/>
    <mergeCell ref="D72:E72"/>
    <mergeCell ref="D73:E73"/>
    <mergeCell ref="D74:E74"/>
  </mergeCells>
  <phoneticPr fontId="11"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tabColor rgb="FF00B050"/>
    <pageSetUpPr fitToPage="1"/>
  </sheetPr>
  <dimension ref="A1:IU6197"/>
  <sheetViews>
    <sheetView zoomScale="90" zoomScaleNormal="90" workbookViewId="0">
      <pane ySplit="2" topLeftCell="A3" activePane="bottomLeft" state="frozen"/>
      <selection pane="bottomLeft" sqref="A1:D1"/>
    </sheetView>
  </sheetViews>
  <sheetFormatPr baseColWidth="10" defaultRowHeight="14.5" x14ac:dyDescent="0.35"/>
  <cols>
    <col min="1" max="1" width="22.453125" customWidth="1"/>
    <col min="2" max="2" width="17.453125" customWidth="1"/>
    <col min="3" max="3" width="27.453125" customWidth="1"/>
    <col min="4" max="4" width="73.453125" customWidth="1"/>
    <col min="5" max="5" width="28.54296875" customWidth="1"/>
    <col min="6" max="6" width="14.453125" style="387" customWidth="1"/>
    <col min="7" max="7" width="33" style="11" customWidth="1"/>
    <col min="8" max="8" width="14.453125" style="11" customWidth="1"/>
    <col min="9" max="9" width="15.54296875" style="565" customWidth="1"/>
    <col min="10" max="10" width="20.453125" style="548" bestFit="1" customWidth="1"/>
    <col min="11" max="12" width="1.453125" customWidth="1"/>
    <col min="13" max="13" width="14.453125" customWidth="1"/>
    <col min="14" max="14" width="11" customWidth="1"/>
    <col min="15" max="15" width="8.453125" customWidth="1"/>
    <col min="16" max="21" width="7.54296875" customWidth="1"/>
    <col min="22" max="24" width="8.54296875" customWidth="1"/>
    <col min="25" max="25" width="7.54296875" customWidth="1"/>
    <col min="26" max="30" width="6.54296875" customWidth="1"/>
    <col min="33" max="33" width="12.54296875" customWidth="1"/>
    <col min="34" max="38" width="11.453125" hidden="1" customWidth="1"/>
    <col min="39" max="39" width="20.54296875" hidden="1" customWidth="1"/>
    <col min="40" max="40" width="7.453125" hidden="1" customWidth="1"/>
    <col min="41" max="41" width="32.453125" hidden="1" customWidth="1"/>
    <col min="42" max="43" width="11.453125" hidden="1" customWidth="1"/>
    <col min="44" max="44" width="19.54296875" hidden="1" customWidth="1"/>
    <col min="45" max="46" width="11.453125" hidden="1" customWidth="1"/>
    <col min="47" max="47" width="55.453125" hidden="1" customWidth="1"/>
    <col min="48" max="48" width="22.54296875" hidden="1" customWidth="1"/>
    <col min="49" max="49" width="37.54296875" hidden="1" customWidth="1"/>
    <col min="50" max="50" width="16.54296875" hidden="1" customWidth="1"/>
    <col min="51" max="52" width="11.453125" hidden="1" customWidth="1"/>
    <col min="53" max="53" width="0" hidden="1" customWidth="1"/>
  </cols>
  <sheetData>
    <row r="1" spans="1:50" ht="26" x14ac:dyDescent="0.6">
      <c r="A1" s="934" t="s">
        <v>8226</v>
      </c>
      <c r="B1" s="934"/>
      <c r="C1" s="934"/>
      <c r="D1" s="934"/>
      <c r="F1" s="361"/>
      <c r="G1"/>
      <c r="AH1" t="s">
        <v>4162</v>
      </c>
      <c r="AI1" t="s">
        <v>4163</v>
      </c>
      <c r="AJ1" t="s">
        <v>4164</v>
      </c>
      <c r="AK1" t="s">
        <v>4165</v>
      </c>
      <c r="AL1" t="s">
        <v>4166</v>
      </c>
      <c r="AM1" t="s">
        <v>4167</v>
      </c>
      <c r="AN1" t="s">
        <v>4168</v>
      </c>
      <c r="AO1" t="s">
        <v>4169</v>
      </c>
      <c r="AP1" t="s">
        <v>4170</v>
      </c>
      <c r="AQ1" t="s">
        <v>4171</v>
      </c>
      <c r="AR1" t="s">
        <v>4172</v>
      </c>
      <c r="AS1" t="s">
        <v>4175</v>
      </c>
      <c r="AU1" t="s">
        <v>4173</v>
      </c>
      <c r="AV1" t="s">
        <v>4174</v>
      </c>
      <c r="AW1" t="s">
        <v>4176</v>
      </c>
      <c r="AX1" t="s">
        <v>4177</v>
      </c>
    </row>
    <row r="2" spans="1:50" s="360" customFormat="1" ht="120" customHeight="1" x14ac:dyDescent="0.35">
      <c r="A2" s="358" t="s">
        <v>2263</v>
      </c>
      <c r="B2" s="359" t="s">
        <v>2264</v>
      </c>
      <c r="C2" s="359" t="s">
        <v>2265</v>
      </c>
      <c r="D2" s="879" t="s">
        <v>8261</v>
      </c>
      <c r="E2" s="359" t="s">
        <v>2267</v>
      </c>
      <c r="F2" s="306" t="s">
        <v>41</v>
      </c>
      <c r="G2" s="448" t="s">
        <v>332</v>
      </c>
      <c r="H2" s="306" t="s">
        <v>42</v>
      </c>
      <c r="I2" s="448" t="s">
        <v>6324</v>
      </c>
      <c r="J2" s="306" t="s">
        <v>5827</v>
      </c>
    </row>
    <row r="3" spans="1:50" ht="168.75" customHeight="1" x14ac:dyDescent="0.35">
      <c r="A3" s="2"/>
      <c r="B3" s="1"/>
      <c r="C3" s="1"/>
      <c r="D3" s="1"/>
      <c r="E3" s="1"/>
      <c r="F3" s="362"/>
      <c r="G3" s="447" t="s">
        <v>333</v>
      </c>
      <c r="H3" s="10"/>
      <c r="I3" s="566"/>
      <c r="J3" s="549"/>
    </row>
    <row r="4" spans="1:50" ht="23.5" x14ac:dyDescent="0.55000000000000004">
      <c r="A4" s="89" t="s">
        <v>2847</v>
      </c>
      <c r="B4" s="50"/>
      <c r="C4" s="50"/>
      <c r="D4" s="50"/>
      <c r="E4" s="50"/>
      <c r="F4" s="363"/>
      <c r="G4" s="50"/>
      <c r="H4" s="59"/>
      <c r="I4" s="567"/>
      <c r="J4" s="550" t="s">
        <v>5804</v>
      </c>
    </row>
    <row r="5" spans="1:50" x14ac:dyDescent="0.35">
      <c r="A5" s="496" t="s">
        <v>2268</v>
      </c>
      <c r="B5" s="1" t="s">
        <v>2269</v>
      </c>
      <c r="C5" s="1" t="s">
        <v>2270</v>
      </c>
      <c r="D5" s="1" t="s">
        <v>5406</v>
      </c>
      <c r="E5" s="1"/>
      <c r="F5" s="362">
        <v>7.67</v>
      </c>
      <c r="G5" s="425">
        <v>7.67</v>
      </c>
      <c r="H5" s="10">
        <f t="shared" ref="H5:H15" si="0">IF(ISNUMBER(G5),ROUND(0.8*G5,2),"")</f>
        <v>6.14</v>
      </c>
      <c r="I5" s="566"/>
      <c r="J5" s="549" t="s">
        <v>5804</v>
      </c>
    </row>
    <row r="6" spans="1:50" x14ac:dyDescent="0.35">
      <c r="A6" s="496" t="s">
        <v>2271</v>
      </c>
      <c r="B6" s="1" t="s">
        <v>2269</v>
      </c>
      <c r="C6" s="1" t="s">
        <v>2270</v>
      </c>
      <c r="D6" s="1" t="s">
        <v>5407</v>
      </c>
      <c r="E6" s="1"/>
      <c r="F6" s="362">
        <v>6.65</v>
      </c>
      <c r="G6" s="425">
        <v>6.65</v>
      </c>
      <c r="H6" s="10">
        <f t="shared" si="0"/>
        <v>5.32</v>
      </c>
      <c r="I6" s="566"/>
      <c r="J6" s="549" t="s">
        <v>5804</v>
      </c>
    </row>
    <row r="7" spans="1:50" x14ac:dyDescent="0.35">
      <c r="A7" s="496"/>
      <c r="B7" s="1"/>
      <c r="C7" s="1"/>
      <c r="D7" s="1"/>
      <c r="E7" s="1"/>
      <c r="F7" s="362"/>
      <c r="G7" s="425"/>
      <c r="H7" s="10" t="str">
        <f t="shared" si="0"/>
        <v/>
      </c>
      <c r="I7" s="566"/>
      <c r="J7" s="549" t="s">
        <v>4179</v>
      </c>
    </row>
    <row r="8" spans="1:50" x14ac:dyDescent="0.35">
      <c r="A8" s="496" t="s">
        <v>2221</v>
      </c>
      <c r="B8" s="1" t="s">
        <v>2269</v>
      </c>
      <c r="C8" s="1" t="s">
        <v>3723</v>
      </c>
      <c r="D8" s="1" t="s">
        <v>5406</v>
      </c>
      <c r="E8" s="1"/>
      <c r="F8" s="362">
        <v>7.67</v>
      </c>
      <c r="G8" s="425">
        <v>7.67</v>
      </c>
      <c r="H8" s="10">
        <f t="shared" si="0"/>
        <v>6.14</v>
      </c>
      <c r="I8" s="566"/>
      <c r="J8" s="549" t="s">
        <v>5804</v>
      </c>
    </row>
    <row r="9" spans="1:50" x14ac:dyDescent="0.35">
      <c r="A9" s="496" t="s">
        <v>3724</v>
      </c>
      <c r="B9" s="1" t="s">
        <v>2269</v>
      </c>
      <c r="C9" s="1" t="s">
        <v>3723</v>
      </c>
      <c r="D9" s="1" t="s">
        <v>5407</v>
      </c>
      <c r="E9" s="1"/>
      <c r="F9" s="362">
        <v>6.65</v>
      </c>
      <c r="G9" s="425">
        <v>6.65</v>
      </c>
      <c r="H9" s="10">
        <f t="shared" si="0"/>
        <v>5.32</v>
      </c>
      <c r="I9" s="566"/>
      <c r="J9" s="549" t="s">
        <v>5804</v>
      </c>
    </row>
    <row r="10" spans="1:50" x14ac:dyDescent="0.35">
      <c r="A10" s="496"/>
      <c r="B10" s="1"/>
      <c r="C10" s="1"/>
      <c r="D10" s="1"/>
      <c r="E10" s="1"/>
      <c r="F10" s="362"/>
      <c r="G10" s="425"/>
      <c r="H10" s="10" t="str">
        <f t="shared" si="0"/>
        <v/>
      </c>
      <c r="I10" s="566"/>
      <c r="J10" s="549" t="s">
        <v>4179</v>
      </c>
    </row>
    <row r="11" spans="1:50" x14ac:dyDescent="0.35">
      <c r="A11" s="496" t="s">
        <v>3725</v>
      </c>
      <c r="B11" s="1" t="s">
        <v>2269</v>
      </c>
      <c r="C11" s="1" t="s">
        <v>3726</v>
      </c>
      <c r="D11" s="1" t="s">
        <v>5406</v>
      </c>
      <c r="E11" s="1"/>
      <c r="F11" s="362">
        <v>7.67</v>
      </c>
      <c r="G11" s="425">
        <v>7.67</v>
      </c>
      <c r="H11" s="10">
        <f t="shared" si="0"/>
        <v>6.14</v>
      </c>
      <c r="I11" s="566"/>
      <c r="J11" s="549" t="s">
        <v>5804</v>
      </c>
    </row>
    <row r="12" spans="1:50" x14ac:dyDescent="0.35">
      <c r="A12" s="496" t="s">
        <v>3727</v>
      </c>
      <c r="B12" s="1" t="s">
        <v>2269</v>
      </c>
      <c r="C12" s="1" t="s">
        <v>3726</v>
      </c>
      <c r="D12" s="1" t="s">
        <v>5407</v>
      </c>
      <c r="E12" s="1"/>
      <c r="F12" s="362">
        <v>6.65</v>
      </c>
      <c r="G12" s="425">
        <v>6.65</v>
      </c>
      <c r="H12" s="10">
        <f t="shared" si="0"/>
        <v>5.32</v>
      </c>
      <c r="I12" s="566"/>
      <c r="J12" s="549" t="s">
        <v>5804</v>
      </c>
    </row>
    <row r="13" spans="1:50" x14ac:dyDescent="0.35">
      <c r="A13" s="496"/>
      <c r="B13" s="1"/>
      <c r="C13" s="1"/>
      <c r="D13" s="1"/>
      <c r="E13" s="1"/>
      <c r="F13" s="362"/>
      <c r="G13" s="425"/>
      <c r="H13" s="10" t="str">
        <f t="shared" si="0"/>
        <v/>
      </c>
      <c r="I13" s="566"/>
      <c r="J13" s="549" t="s">
        <v>4179</v>
      </c>
    </row>
    <row r="14" spans="1:50" x14ac:dyDescent="0.35">
      <c r="A14" s="496" t="s">
        <v>3728</v>
      </c>
      <c r="B14" s="1" t="s">
        <v>2269</v>
      </c>
      <c r="C14" s="1" t="s">
        <v>1272</v>
      </c>
      <c r="D14" s="1" t="s">
        <v>5406</v>
      </c>
      <c r="E14" s="1"/>
      <c r="F14" s="362">
        <v>7.67</v>
      </c>
      <c r="G14" s="425">
        <v>7.67</v>
      </c>
      <c r="H14" s="10">
        <f t="shared" si="0"/>
        <v>6.14</v>
      </c>
      <c r="I14" s="566"/>
      <c r="J14" s="549" t="s">
        <v>5804</v>
      </c>
    </row>
    <row r="15" spans="1:50" x14ac:dyDescent="0.35">
      <c r="A15" s="496" t="s">
        <v>1273</v>
      </c>
      <c r="B15" s="1" t="s">
        <v>2269</v>
      </c>
      <c r="C15" s="1" t="s">
        <v>1272</v>
      </c>
      <c r="D15" s="1" t="s">
        <v>5407</v>
      </c>
      <c r="E15" s="1"/>
      <c r="F15" s="362">
        <v>6.65</v>
      </c>
      <c r="G15" s="425">
        <v>6.65</v>
      </c>
      <c r="H15" s="10">
        <f t="shared" si="0"/>
        <v>5.32</v>
      </c>
      <c r="I15" s="566"/>
      <c r="J15" s="549" t="s">
        <v>5804</v>
      </c>
    </row>
    <row r="16" spans="1:50" x14ac:dyDescent="0.35">
      <c r="A16" s="496"/>
      <c r="B16" s="1"/>
      <c r="C16" s="1"/>
      <c r="D16" s="1"/>
      <c r="E16" s="1"/>
      <c r="F16" s="362"/>
      <c r="G16" s="425"/>
      <c r="H16" s="10"/>
      <c r="I16" s="566"/>
      <c r="J16" s="549"/>
    </row>
    <row r="17" spans="1:21" x14ac:dyDescent="0.35">
      <c r="A17" s="496" t="s">
        <v>1274</v>
      </c>
      <c r="B17" s="1" t="s">
        <v>2269</v>
      </c>
      <c r="C17" s="1" t="s">
        <v>1275</v>
      </c>
      <c r="D17" s="1" t="s">
        <v>5406</v>
      </c>
      <c r="E17" s="1"/>
      <c r="F17" s="362">
        <v>9.67</v>
      </c>
      <c r="G17" s="425">
        <v>9.67</v>
      </c>
      <c r="H17" s="10">
        <f>IF(ISNUMBER(G17),ROUND(0.8*G17,2),"")</f>
        <v>7.74</v>
      </c>
      <c r="I17" s="566"/>
      <c r="J17" s="549" t="s">
        <v>5804</v>
      </c>
    </row>
    <row r="18" spans="1:21" x14ac:dyDescent="0.35">
      <c r="A18" s="496" t="s">
        <v>1276</v>
      </c>
      <c r="B18" s="1" t="s">
        <v>2269</v>
      </c>
      <c r="C18" s="1" t="s">
        <v>1275</v>
      </c>
      <c r="D18" s="1" t="s">
        <v>5407</v>
      </c>
      <c r="E18" s="1"/>
      <c r="F18" s="362">
        <v>6.65</v>
      </c>
      <c r="G18" s="425">
        <v>6.65</v>
      </c>
      <c r="H18" s="10">
        <f>IF(ISNUMBER(G18),ROUND(0.8*G18,2),"")</f>
        <v>5.32</v>
      </c>
      <c r="I18" s="566"/>
      <c r="J18" s="549" t="s">
        <v>5804</v>
      </c>
    </row>
    <row r="19" spans="1:21" x14ac:dyDescent="0.35">
      <c r="A19" s="527"/>
      <c r="B19" s="526" t="s">
        <v>2269</v>
      </c>
      <c r="C19" s="526" t="s">
        <v>1275</v>
      </c>
      <c r="D19" s="526" t="s">
        <v>6681</v>
      </c>
      <c r="E19" s="526"/>
      <c r="F19" s="538"/>
      <c r="G19" s="537"/>
      <c r="H19" s="537"/>
      <c r="I19" s="574"/>
      <c r="J19" s="549">
        <v>43796</v>
      </c>
      <c r="N19" s="322"/>
      <c r="O19" s="261"/>
      <c r="P19" s="261"/>
      <c r="Q19" s="261"/>
      <c r="R19" s="261"/>
      <c r="S19" s="261"/>
      <c r="T19" s="261"/>
      <c r="U19" s="261"/>
    </row>
    <row r="20" spans="1:21" x14ac:dyDescent="0.35">
      <c r="A20" s="496"/>
      <c r="B20" s="1"/>
      <c r="C20" s="1"/>
      <c r="D20" s="1"/>
      <c r="E20" s="1"/>
      <c r="F20" s="362"/>
      <c r="G20" s="425"/>
      <c r="H20" s="10" t="str">
        <f>IF(ISNUMBER(G20),ROUND(0.8*G20,2),"")</f>
        <v/>
      </c>
      <c r="I20" s="566"/>
      <c r="J20" s="549" t="s">
        <v>4179</v>
      </c>
    </row>
    <row r="21" spans="1:21" x14ac:dyDescent="0.35">
      <c r="A21" s="496" t="s">
        <v>1287</v>
      </c>
      <c r="B21" s="1" t="s">
        <v>2269</v>
      </c>
      <c r="C21" s="1" t="s">
        <v>1288</v>
      </c>
      <c r="D21" s="1" t="s">
        <v>5406</v>
      </c>
      <c r="E21" s="1"/>
      <c r="F21" s="362">
        <v>9.67</v>
      </c>
      <c r="G21" s="425">
        <v>9.67</v>
      </c>
      <c r="H21" s="10">
        <f>IF(ISNUMBER(G21),ROUND(0.8*G21,2),"")</f>
        <v>7.74</v>
      </c>
      <c r="I21" s="566"/>
      <c r="J21" s="549" t="s">
        <v>5804</v>
      </c>
    </row>
    <row r="22" spans="1:21" x14ac:dyDescent="0.35">
      <c r="A22" s="496" t="s">
        <v>1289</v>
      </c>
      <c r="B22" s="1" t="s">
        <v>2269</v>
      </c>
      <c r="C22" s="1" t="s">
        <v>1288</v>
      </c>
      <c r="D22" s="1" t="s">
        <v>5407</v>
      </c>
      <c r="E22" s="1"/>
      <c r="F22" s="362">
        <v>6.65</v>
      </c>
      <c r="G22" s="425">
        <v>6.65</v>
      </c>
      <c r="H22" s="10">
        <f>IF(ISNUMBER(G22),ROUND(0.8*G22,2),"")</f>
        <v>5.32</v>
      </c>
      <c r="I22" s="566"/>
      <c r="J22" s="549" t="s">
        <v>5804</v>
      </c>
    </row>
    <row r="23" spans="1:21" x14ac:dyDescent="0.35">
      <c r="A23" s="527"/>
      <c r="B23" s="526" t="s">
        <v>2269</v>
      </c>
      <c r="C23" s="526" t="s">
        <v>1288</v>
      </c>
      <c r="D23" s="526" t="s">
        <v>6680</v>
      </c>
      <c r="E23" s="526"/>
      <c r="F23" s="538"/>
      <c r="G23" s="537"/>
      <c r="H23" s="537"/>
      <c r="I23" s="574"/>
      <c r="J23" s="549">
        <v>44196</v>
      </c>
      <c r="N23" s="322"/>
      <c r="O23" s="261"/>
      <c r="P23" s="261"/>
      <c r="Q23" s="261"/>
      <c r="R23" s="261"/>
      <c r="S23" s="261"/>
      <c r="T23" s="261"/>
      <c r="U23" s="261"/>
    </row>
    <row r="24" spans="1:21" x14ac:dyDescent="0.35">
      <c r="A24" s="496"/>
      <c r="B24" s="1"/>
      <c r="C24" s="1"/>
      <c r="D24" s="1"/>
      <c r="E24" s="1"/>
      <c r="F24" s="362"/>
      <c r="G24" s="425"/>
      <c r="H24" s="10" t="str">
        <f>IF(ISNUMBER(G24),ROUND(0.8*G24,2),"")</f>
        <v/>
      </c>
      <c r="I24" s="566"/>
      <c r="J24" s="549" t="s">
        <v>4179</v>
      </c>
    </row>
    <row r="25" spans="1:21" x14ac:dyDescent="0.35">
      <c r="A25" s="496" t="s">
        <v>1295</v>
      </c>
      <c r="B25" s="1" t="s">
        <v>2269</v>
      </c>
      <c r="C25" s="1" t="s">
        <v>1296</v>
      </c>
      <c r="D25" s="1" t="s">
        <v>5406</v>
      </c>
      <c r="E25" s="1"/>
      <c r="F25" s="362">
        <v>9.67</v>
      </c>
      <c r="G25" s="425">
        <v>9.67</v>
      </c>
      <c r="H25" s="10">
        <f>IF(ISNUMBER(G25),ROUND(0.8*G25,2),"")</f>
        <v>7.74</v>
      </c>
      <c r="I25" s="566"/>
      <c r="J25" s="549" t="s">
        <v>5804</v>
      </c>
    </row>
    <row r="26" spans="1:21" x14ac:dyDescent="0.35">
      <c r="A26" s="496" t="s">
        <v>1297</v>
      </c>
      <c r="B26" s="1" t="s">
        <v>2269</v>
      </c>
      <c r="C26" s="1" t="s">
        <v>1296</v>
      </c>
      <c r="D26" s="1" t="s">
        <v>5407</v>
      </c>
      <c r="E26" s="1"/>
      <c r="F26" s="362">
        <v>6.65</v>
      </c>
      <c r="G26" s="425">
        <v>6.65</v>
      </c>
      <c r="H26" s="10">
        <f>IF(ISNUMBER(G26),ROUND(0.8*G26,2),"")</f>
        <v>5.32</v>
      </c>
      <c r="I26" s="566"/>
      <c r="J26" s="549" t="s">
        <v>5804</v>
      </c>
    </row>
    <row r="27" spans="1:21" x14ac:dyDescent="0.35">
      <c r="A27" s="527"/>
      <c r="B27" s="526" t="s">
        <v>2269</v>
      </c>
      <c r="C27" s="526" t="s">
        <v>1296</v>
      </c>
      <c r="D27" s="526" t="s">
        <v>7661</v>
      </c>
      <c r="E27" s="526"/>
      <c r="F27" s="538"/>
      <c r="G27" s="537"/>
      <c r="H27" s="537"/>
      <c r="I27" s="574"/>
      <c r="J27" s="549">
        <v>44536</v>
      </c>
      <c r="N27" s="322"/>
      <c r="O27" s="261"/>
      <c r="P27" s="261"/>
      <c r="Q27" s="261"/>
      <c r="R27" s="261"/>
      <c r="S27" s="261"/>
      <c r="T27" s="261"/>
      <c r="U27" s="261"/>
    </row>
    <row r="28" spans="1:21" x14ac:dyDescent="0.35">
      <c r="A28" s="496"/>
      <c r="B28" s="1"/>
      <c r="C28" s="1"/>
      <c r="D28" s="1"/>
      <c r="E28" s="1"/>
      <c r="F28" s="362"/>
      <c r="G28" s="425"/>
      <c r="H28" s="10" t="str">
        <f>IF(ISNUMBER(G28),ROUND(0.8*G28,2),"")</f>
        <v/>
      </c>
      <c r="I28" s="566"/>
      <c r="J28" s="549" t="s">
        <v>4179</v>
      </c>
    </row>
    <row r="29" spans="1:21" x14ac:dyDescent="0.35">
      <c r="A29" s="496" t="s">
        <v>1303</v>
      </c>
      <c r="B29" s="1" t="s">
        <v>2269</v>
      </c>
      <c r="C29" s="1" t="s">
        <v>1304</v>
      </c>
      <c r="D29" s="1" t="s">
        <v>5406</v>
      </c>
      <c r="E29" s="1"/>
      <c r="F29" s="362">
        <v>9.67</v>
      </c>
      <c r="G29" s="425">
        <v>9.67</v>
      </c>
      <c r="H29" s="10">
        <f>IF(ISNUMBER(G29),ROUND(0.8*G29,2),"")</f>
        <v>7.74</v>
      </c>
      <c r="I29" s="566"/>
      <c r="J29" s="549" t="s">
        <v>5804</v>
      </c>
    </row>
    <row r="30" spans="1:21" x14ac:dyDescent="0.35">
      <c r="A30" s="496" t="s">
        <v>1305</v>
      </c>
      <c r="B30" s="1" t="s">
        <v>2269</v>
      </c>
      <c r="C30" s="1" t="s">
        <v>1304</v>
      </c>
      <c r="D30" s="1" t="s">
        <v>5407</v>
      </c>
      <c r="E30" s="1"/>
      <c r="F30" s="362">
        <v>6.65</v>
      </c>
      <c r="G30" s="425">
        <v>6.65</v>
      </c>
      <c r="H30" s="10">
        <f>IF(ISNUMBER(G30),ROUND(0.8*G30,2),"")</f>
        <v>5.32</v>
      </c>
      <c r="I30" s="566"/>
      <c r="J30" s="549" t="s">
        <v>5804</v>
      </c>
    </row>
    <row r="31" spans="1:21" x14ac:dyDescent="0.35">
      <c r="A31" s="526"/>
      <c r="B31" s="526" t="s">
        <v>2269</v>
      </c>
      <c r="C31" s="526" t="s">
        <v>1304</v>
      </c>
      <c r="D31" s="526" t="s">
        <v>7888</v>
      </c>
      <c r="E31" s="526"/>
      <c r="F31" s="538"/>
      <c r="G31" s="537"/>
      <c r="H31" s="537"/>
      <c r="I31" s="574"/>
      <c r="J31" s="549">
        <v>44896</v>
      </c>
    </row>
    <row r="32" spans="1:21" x14ac:dyDescent="0.35">
      <c r="A32" s="496"/>
      <c r="B32" s="1"/>
      <c r="C32" s="1"/>
      <c r="D32" s="1"/>
      <c r="E32" s="1"/>
      <c r="F32" s="362"/>
      <c r="G32" s="425"/>
      <c r="H32" s="10" t="str">
        <f>IF(ISNUMBER(G32),ROUND(0.8*G32,2),"")</f>
        <v/>
      </c>
      <c r="I32" s="566"/>
      <c r="J32" s="549" t="s">
        <v>4179</v>
      </c>
    </row>
    <row r="33" spans="1:10" x14ac:dyDescent="0.35">
      <c r="A33" s="496" t="s">
        <v>1311</v>
      </c>
      <c r="B33" s="1" t="s">
        <v>2269</v>
      </c>
      <c r="C33" s="1" t="s">
        <v>5539</v>
      </c>
      <c r="D33" s="1" t="s">
        <v>5406</v>
      </c>
      <c r="E33" s="1"/>
      <c r="F33" s="362">
        <v>9.67</v>
      </c>
      <c r="G33" s="425">
        <v>9.67</v>
      </c>
      <c r="H33" s="10">
        <f>IF(ISNUMBER(G33),ROUND(0.8*G33,2),"")</f>
        <v>7.74</v>
      </c>
      <c r="I33" s="566"/>
      <c r="J33" s="549" t="s">
        <v>5804</v>
      </c>
    </row>
    <row r="34" spans="1:10" x14ac:dyDescent="0.35">
      <c r="A34" s="496" t="s">
        <v>5540</v>
      </c>
      <c r="B34" s="1" t="s">
        <v>2269</v>
      </c>
      <c r="C34" s="1" t="s">
        <v>5539</v>
      </c>
      <c r="D34" s="1" t="s">
        <v>5407</v>
      </c>
      <c r="E34" s="1"/>
      <c r="F34" s="362">
        <v>6.65</v>
      </c>
      <c r="G34" s="425">
        <v>6.65</v>
      </c>
      <c r="H34" s="10">
        <f>IF(ISNUMBER(G34),ROUND(0.8*G34,2),"")</f>
        <v>5.32</v>
      </c>
      <c r="I34" s="566"/>
      <c r="J34" s="549" t="s">
        <v>5804</v>
      </c>
    </row>
    <row r="35" spans="1:10" x14ac:dyDescent="0.35">
      <c r="A35" s="526"/>
      <c r="B35" s="526" t="s">
        <v>2269</v>
      </c>
      <c r="C35" s="526" t="s">
        <v>5539</v>
      </c>
      <c r="D35" s="526" t="s">
        <v>8227</v>
      </c>
      <c r="E35" s="526"/>
      <c r="F35" s="538"/>
      <c r="G35" s="537"/>
      <c r="H35" s="537"/>
      <c r="I35" s="574"/>
      <c r="J35" s="549">
        <v>44896</v>
      </c>
    </row>
    <row r="36" spans="1:10" x14ac:dyDescent="0.35">
      <c r="A36" s="496"/>
      <c r="B36" s="1"/>
      <c r="C36" s="1"/>
      <c r="D36" s="1"/>
      <c r="E36" s="1"/>
      <c r="F36" s="362"/>
      <c r="G36" s="425"/>
      <c r="H36" s="10" t="str">
        <f t="shared" ref="H36:H99" si="1">IF(ISNUMBER(G36),ROUND(0.8*G36,2),"")</f>
        <v/>
      </c>
      <c r="I36" s="566"/>
      <c r="J36" s="549" t="s">
        <v>4179</v>
      </c>
    </row>
    <row r="37" spans="1:10" x14ac:dyDescent="0.35">
      <c r="A37" s="497" t="s">
        <v>5582</v>
      </c>
      <c r="B37" s="13" t="s">
        <v>2269</v>
      </c>
      <c r="C37" s="13" t="s">
        <v>5404</v>
      </c>
      <c r="D37" s="13" t="s">
        <v>6741</v>
      </c>
      <c r="E37" s="13"/>
      <c r="F37" s="364">
        <v>12.67</v>
      </c>
      <c r="G37" s="424">
        <v>12.67</v>
      </c>
      <c r="H37" s="14">
        <f t="shared" si="1"/>
        <v>10.14</v>
      </c>
      <c r="I37" s="568"/>
      <c r="J37" s="549" t="s">
        <v>5804</v>
      </c>
    </row>
    <row r="38" spans="1:10" x14ac:dyDescent="0.35">
      <c r="A38" s="497" t="s">
        <v>5573</v>
      </c>
      <c r="B38" s="13" t="s">
        <v>2269</v>
      </c>
      <c r="C38" s="13" t="s">
        <v>5404</v>
      </c>
      <c r="D38" s="13" t="s">
        <v>6740</v>
      </c>
      <c r="E38" s="13"/>
      <c r="F38" s="364">
        <v>11.67</v>
      </c>
      <c r="G38" s="424">
        <v>11.67</v>
      </c>
      <c r="H38" s="14">
        <f t="shared" si="1"/>
        <v>9.34</v>
      </c>
      <c r="I38" s="568"/>
      <c r="J38" s="549" t="s">
        <v>5804</v>
      </c>
    </row>
    <row r="39" spans="1:10" x14ac:dyDescent="0.35">
      <c r="A39" s="497" t="s">
        <v>5574</v>
      </c>
      <c r="B39" s="13" t="s">
        <v>2269</v>
      </c>
      <c r="C39" s="13" t="s">
        <v>5404</v>
      </c>
      <c r="D39" s="13" t="s">
        <v>6746</v>
      </c>
      <c r="E39" s="13"/>
      <c r="F39" s="364">
        <v>8.65</v>
      </c>
      <c r="G39" s="424">
        <v>8.65</v>
      </c>
      <c r="H39" s="14">
        <f t="shared" si="1"/>
        <v>6.92</v>
      </c>
      <c r="I39" s="568"/>
      <c r="J39" s="549" t="s">
        <v>5804</v>
      </c>
    </row>
    <row r="40" spans="1:10" x14ac:dyDescent="0.35">
      <c r="A40" s="497" t="s">
        <v>5575</v>
      </c>
      <c r="B40" s="13" t="s">
        <v>2269</v>
      </c>
      <c r="C40" s="13" t="s">
        <v>5404</v>
      </c>
      <c r="D40" s="13" t="s">
        <v>7241</v>
      </c>
      <c r="E40" s="13"/>
      <c r="F40" s="364">
        <v>7.65</v>
      </c>
      <c r="G40" s="424">
        <v>7.65</v>
      </c>
      <c r="H40" s="14">
        <f t="shared" si="1"/>
        <v>6.12</v>
      </c>
      <c r="I40" s="568"/>
      <c r="J40" s="549" t="s">
        <v>5804</v>
      </c>
    </row>
    <row r="41" spans="1:10" x14ac:dyDescent="0.35">
      <c r="A41" s="497" t="s">
        <v>5576</v>
      </c>
      <c r="B41" s="13" t="s">
        <v>2269</v>
      </c>
      <c r="C41" s="13" t="s">
        <v>5404</v>
      </c>
      <c r="D41" s="13" t="s">
        <v>6747</v>
      </c>
      <c r="E41" s="13"/>
      <c r="F41" s="364">
        <v>8.65</v>
      </c>
      <c r="G41" s="424">
        <v>8.65</v>
      </c>
      <c r="H41" s="14">
        <f t="shared" si="1"/>
        <v>6.92</v>
      </c>
      <c r="I41" s="568"/>
      <c r="J41" s="549" t="s">
        <v>5804</v>
      </c>
    </row>
    <row r="42" spans="1:10" x14ac:dyDescent="0.35">
      <c r="A42" s="497" t="s">
        <v>5577</v>
      </c>
      <c r="B42" s="13" t="s">
        <v>2269</v>
      </c>
      <c r="C42" s="13" t="s">
        <v>5404</v>
      </c>
      <c r="D42" s="17" t="s">
        <v>7376</v>
      </c>
      <c r="E42" s="13"/>
      <c r="F42" s="364">
        <v>7.29</v>
      </c>
      <c r="G42" s="424">
        <v>7.29</v>
      </c>
      <c r="H42" s="14">
        <f t="shared" si="1"/>
        <v>5.83</v>
      </c>
      <c r="I42" s="568"/>
      <c r="J42" s="549" t="s">
        <v>5804</v>
      </c>
    </row>
    <row r="43" spans="1:10" x14ac:dyDescent="0.35">
      <c r="A43" s="497" t="s">
        <v>5578</v>
      </c>
      <c r="B43" s="13" t="s">
        <v>2269</v>
      </c>
      <c r="C43" s="13" t="s">
        <v>5404</v>
      </c>
      <c r="D43" s="17" t="s">
        <v>7368</v>
      </c>
      <c r="E43" s="13"/>
      <c r="F43" s="364">
        <v>6.32</v>
      </c>
      <c r="G43" s="424">
        <v>6.32</v>
      </c>
      <c r="H43" s="14">
        <f t="shared" si="1"/>
        <v>5.0599999999999996</v>
      </c>
      <c r="I43" s="568"/>
      <c r="J43" s="549" t="s">
        <v>5804</v>
      </c>
    </row>
    <row r="44" spans="1:10" x14ac:dyDescent="0.35">
      <c r="A44" s="497" t="s">
        <v>5579</v>
      </c>
      <c r="B44" s="13" t="s">
        <v>2269</v>
      </c>
      <c r="C44" s="13" t="s">
        <v>5404</v>
      </c>
      <c r="D44" s="17" t="s">
        <v>7372</v>
      </c>
      <c r="E44" s="13"/>
      <c r="F44" s="364">
        <v>5.8</v>
      </c>
      <c r="G44" s="424">
        <v>5.8</v>
      </c>
      <c r="H44" s="14">
        <f t="shared" si="1"/>
        <v>4.6399999999999997</v>
      </c>
      <c r="I44" s="568"/>
      <c r="J44" s="549" t="s">
        <v>5804</v>
      </c>
    </row>
    <row r="45" spans="1:10" x14ac:dyDescent="0.35">
      <c r="A45" s="497" t="s">
        <v>5580</v>
      </c>
      <c r="B45" s="13" t="s">
        <v>2269</v>
      </c>
      <c r="C45" s="13" t="s">
        <v>5404</v>
      </c>
      <c r="D45" s="17" t="s">
        <v>7373</v>
      </c>
      <c r="E45" s="13"/>
      <c r="F45" s="364">
        <v>4.34</v>
      </c>
      <c r="G45" s="424">
        <v>4.34</v>
      </c>
      <c r="H45" s="14">
        <f t="shared" si="1"/>
        <v>3.47</v>
      </c>
      <c r="I45" s="568"/>
      <c r="J45" s="549" t="s">
        <v>5804</v>
      </c>
    </row>
    <row r="46" spans="1:10" x14ac:dyDescent="0.35">
      <c r="A46" s="497" t="s">
        <v>5581</v>
      </c>
      <c r="B46" s="13" t="s">
        <v>2269</v>
      </c>
      <c r="C46" s="13" t="s">
        <v>5404</v>
      </c>
      <c r="D46" s="17" t="s">
        <v>7398</v>
      </c>
      <c r="E46" s="13"/>
      <c r="F46" s="364">
        <v>3.5</v>
      </c>
      <c r="G46" s="424">
        <v>3.5</v>
      </c>
      <c r="H46" s="14">
        <f t="shared" si="1"/>
        <v>2.8</v>
      </c>
      <c r="I46" s="568"/>
      <c r="J46" s="549" t="s">
        <v>5804</v>
      </c>
    </row>
    <row r="47" spans="1:10" x14ac:dyDescent="0.35">
      <c r="A47" s="496"/>
      <c r="B47" s="1"/>
      <c r="C47" s="1"/>
      <c r="D47" s="1"/>
      <c r="E47" s="1"/>
      <c r="F47" s="362"/>
      <c r="G47" s="425"/>
      <c r="H47" s="10" t="str">
        <f t="shared" si="1"/>
        <v/>
      </c>
      <c r="I47" s="566"/>
      <c r="J47" s="549" t="s">
        <v>4179</v>
      </c>
    </row>
    <row r="48" spans="1:10" x14ac:dyDescent="0.35">
      <c r="A48" s="497" t="s">
        <v>5451</v>
      </c>
      <c r="B48" s="13" t="s">
        <v>2269</v>
      </c>
      <c r="C48" s="13" t="s">
        <v>2385</v>
      </c>
      <c r="D48" s="13" t="s">
        <v>6741</v>
      </c>
      <c r="E48" s="13"/>
      <c r="F48" s="364">
        <v>12.67</v>
      </c>
      <c r="G48" s="424">
        <v>12.67</v>
      </c>
      <c r="H48" s="14">
        <f t="shared" si="1"/>
        <v>10.14</v>
      </c>
      <c r="I48" s="568"/>
      <c r="J48" s="549" t="s">
        <v>5804</v>
      </c>
    </row>
    <row r="49" spans="1:10" x14ac:dyDescent="0.35">
      <c r="A49" s="497" t="s">
        <v>5452</v>
      </c>
      <c r="B49" s="13" t="s">
        <v>2269</v>
      </c>
      <c r="C49" s="13" t="s">
        <v>2385</v>
      </c>
      <c r="D49" s="13" t="s">
        <v>6740</v>
      </c>
      <c r="E49" s="13"/>
      <c r="F49" s="364">
        <v>11.67</v>
      </c>
      <c r="G49" s="424">
        <v>11.67</v>
      </c>
      <c r="H49" s="14">
        <f t="shared" si="1"/>
        <v>9.34</v>
      </c>
      <c r="I49" s="568"/>
      <c r="J49" s="549" t="s">
        <v>5804</v>
      </c>
    </row>
    <row r="50" spans="1:10" x14ac:dyDescent="0.35">
      <c r="A50" s="497" t="s">
        <v>5453</v>
      </c>
      <c r="B50" s="13" t="s">
        <v>2269</v>
      </c>
      <c r="C50" s="13" t="s">
        <v>2385</v>
      </c>
      <c r="D50" s="13" t="s">
        <v>6746</v>
      </c>
      <c r="E50" s="13"/>
      <c r="F50" s="364">
        <v>8.65</v>
      </c>
      <c r="G50" s="424">
        <v>8.65</v>
      </c>
      <c r="H50" s="14">
        <f t="shared" si="1"/>
        <v>6.92</v>
      </c>
      <c r="I50" s="568"/>
      <c r="J50" s="549" t="s">
        <v>5804</v>
      </c>
    </row>
    <row r="51" spans="1:10" x14ac:dyDescent="0.35">
      <c r="A51" s="497" t="s">
        <v>5454</v>
      </c>
      <c r="B51" s="13" t="s">
        <v>2269</v>
      </c>
      <c r="C51" s="13" t="s">
        <v>2385</v>
      </c>
      <c r="D51" s="13" t="s">
        <v>7241</v>
      </c>
      <c r="E51" s="13"/>
      <c r="F51" s="364">
        <v>7.65</v>
      </c>
      <c r="G51" s="424">
        <v>7.65</v>
      </c>
      <c r="H51" s="14">
        <f t="shared" si="1"/>
        <v>6.12</v>
      </c>
      <c r="I51" s="568"/>
      <c r="J51" s="549" t="s">
        <v>5804</v>
      </c>
    </row>
    <row r="52" spans="1:10" x14ac:dyDescent="0.35">
      <c r="A52" s="497" t="s">
        <v>5455</v>
      </c>
      <c r="B52" s="13" t="s">
        <v>2269</v>
      </c>
      <c r="C52" s="13" t="s">
        <v>2385</v>
      </c>
      <c r="D52" s="13" t="s">
        <v>6747</v>
      </c>
      <c r="E52" s="13"/>
      <c r="F52" s="364">
        <v>8.65</v>
      </c>
      <c r="G52" s="424">
        <v>8.65</v>
      </c>
      <c r="H52" s="14">
        <f t="shared" si="1"/>
        <v>6.92</v>
      </c>
      <c r="I52" s="568"/>
      <c r="J52" s="549" t="s">
        <v>5804</v>
      </c>
    </row>
    <row r="53" spans="1:10" x14ac:dyDescent="0.35">
      <c r="A53" s="497" t="s">
        <v>5456</v>
      </c>
      <c r="B53" s="13" t="s">
        <v>2269</v>
      </c>
      <c r="C53" s="13" t="s">
        <v>2385</v>
      </c>
      <c r="D53" s="17" t="s">
        <v>7376</v>
      </c>
      <c r="E53" s="13"/>
      <c r="F53" s="364">
        <f>ROUND(F42*0.99,2)</f>
        <v>7.22</v>
      </c>
      <c r="G53" s="424">
        <v>7.22</v>
      </c>
      <c r="H53" s="14">
        <f t="shared" si="1"/>
        <v>5.78</v>
      </c>
      <c r="I53" s="568"/>
      <c r="J53" s="549" t="s">
        <v>5804</v>
      </c>
    </row>
    <row r="54" spans="1:10" x14ac:dyDescent="0.35">
      <c r="A54" s="497" t="s">
        <v>5457</v>
      </c>
      <c r="B54" s="13" t="s">
        <v>2269</v>
      </c>
      <c r="C54" s="13" t="s">
        <v>2385</v>
      </c>
      <c r="D54" s="17" t="s">
        <v>7368</v>
      </c>
      <c r="E54" s="13"/>
      <c r="F54" s="364">
        <f>ROUND(F43*0.99,2)</f>
        <v>6.26</v>
      </c>
      <c r="G54" s="424">
        <v>6.26</v>
      </c>
      <c r="H54" s="14">
        <f t="shared" si="1"/>
        <v>5.01</v>
      </c>
      <c r="I54" s="568"/>
      <c r="J54" s="549" t="s">
        <v>5804</v>
      </c>
    </row>
    <row r="55" spans="1:10" x14ac:dyDescent="0.35">
      <c r="A55" s="497" t="s">
        <v>5458</v>
      </c>
      <c r="B55" s="13" t="s">
        <v>2269</v>
      </c>
      <c r="C55" s="13" t="s">
        <v>2385</v>
      </c>
      <c r="D55" s="17" t="s">
        <v>7372</v>
      </c>
      <c r="E55" s="13"/>
      <c r="F55" s="364">
        <f>ROUND(F44*0.99,2)</f>
        <v>5.74</v>
      </c>
      <c r="G55" s="424">
        <v>5.74</v>
      </c>
      <c r="H55" s="14">
        <f t="shared" si="1"/>
        <v>4.59</v>
      </c>
      <c r="I55" s="568"/>
      <c r="J55" s="549" t="s">
        <v>5804</v>
      </c>
    </row>
    <row r="56" spans="1:10" x14ac:dyDescent="0.35">
      <c r="A56" s="497" t="s">
        <v>5459</v>
      </c>
      <c r="B56" s="13" t="s">
        <v>2269</v>
      </c>
      <c r="C56" s="13" t="s">
        <v>2385</v>
      </c>
      <c r="D56" s="17" t="s">
        <v>7373</v>
      </c>
      <c r="E56" s="13"/>
      <c r="F56" s="364">
        <f>ROUND(F45*0.99,2)</f>
        <v>4.3</v>
      </c>
      <c r="G56" s="424">
        <v>4.3</v>
      </c>
      <c r="H56" s="14">
        <f t="shared" si="1"/>
        <v>3.44</v>
      </c>
      <c r="I56" s="568"/>
      <c r="J56" s="549" t="s">
        <v>5804</v>
      </c>
    </row>
    <row r="57" spans="1:10" x14ac:dyDescent="0.35">
      <c r="A57" s="497" t="s">
        <v>5460</v>
      </c>
      <c r="B57" s="13" t="s">
        <v>2269</v>
      </c>
      <c r="C57" s="13" t="s">
        <v>2385</v>
      </c>
      <c r="D57" s="17" t="s">
        <v>7398</v>
      </c>
      <c r="E57" s="13"/>
      <c r="F57" s="364">
        <f>ROUND(F46*0.99,2)</f>
        <v>3.47</v>
      </c>
      <c r="G57" s="424">
        <v>3.47</v>
      </c>
      <c r="H57" s="14">
        <f t="shared" si="1"/>
        <v>2.78</v>
      </c>
      <c r="I57" s="568"/>
      <c r="J57" s="549" t="s">
        <v>5804</v>
      </c>
    </row>
    <row r="58" spans="1:10" x14ac:dyDescent="0.35">
      <c r="A58" s="496"/>
      <c r="B58" s="1"/>
      <c r="C58" s="1"/>
      <c r="D58" s="18"/>
      <c r="E58" s="1"/>
      <c r="F58" s="362"/>
      <c r="G58" s="425"/>
      <c r="H58" s="10" t="str">
        <f t="shared" si="1"/>
        <v/>
      </c>
      <c r="I58" s="566"/>
      <c r="J58" s="549" t="s">
        <v>4179</v>
      </c>
    </row>
    <row r="59" spans="1:10" x14ac:dyDescent="0.35">
      <c r="A59" s="497" t="s">
        <v>1466</v>
      </c>
      <c r="B59" s="13" t="s">
        <v>2269</v>
      </c>
      <c r="C59" s="13" t="s">
        <v>1467</v>
      </c>
      <c r="D59" s="13" t="s">
        <v>6741</v>
      </c>
      <c r="E59" s="13"/>
      <c r="F59" s="364">
        <v>12.67</v>
      </c>
      <c r="G59" s="424">
        <v>12.67</v>
      </c>
      <c r="H59" s="14">
        <f t="shared" si="1"/>
        <v>10.14</v>
      </c>
      <c r="I59" s="568"/>
      <c r="J59" s="549" t="s">
        <v>5804</v>
      </c>
    </row>
    <row r="60" spans="1:10" x14ac:dyDescent="0.35">
      <c r="A60" s="497" t="s">
        <v>1468</v>
      </c>
      <c r="B60" s="13" t="s">
        <v>2269</v>
      </c>
      <c r="C60" s="13" t="s">
        <v>1467</v>
      </c>
      <c r="D60" s="13" t="s">
        <v>6740</v>
      </c>
      <c r="E60" s="13"/>
      <c r="F60" s="364">
        <v>11.67</v>
      </c>
      <c r="G60" s="424">
        <v>11.67</v>
      </c>
      <c r="H60" s="14">
        <f t="shared" si="1"/>
        <v>9.34</v>
      </c>
      <c r="I60" s="568"/>
      <c r="J60" s="549" t="s">
        <v>5804</v>
      </c>
    </row>
    <row r="61" spans="1:10" x14ac:dyDescent="0.35">
      <c r="A61" s="497" t="s">
        <v>1469</v>
      </c>
      <c r="B61" s="13" t="s">
        <v>2269</v>
      </c>
      <c r="C61" s="13" t="s">
        <v>1467</v>
      </c>
      <c r="D61" s="13" t="s">
        <v>6746</v>
      </c>
      <c r="E61" s="13"/>
      <c r="F61" s="364">
        <v>8.65</v>
      </c>
      <c r="G61" s="424">
        <v>8.65</v>
      </c>
      <c r="H61" s="14">
        <f t="shared" si="1"/>
        <v>6.92</v>
      </c>
      <c r="I61" s="568"/>
      <c r="J61" s="549" t="s">
        <v>5804</v>
      </c>
    </row>
    <row r="62" spans="1:10" x14ac:dyDescent="0.35">
      <c r="A62" s="497" t="s">
        <v>1470</v>
      </c>
      <c r="B62" s="13" t="s">
        <v>2269</v>
      </c>
      <c r="C62" s="13" t="s">
        <v>1467</v>
      </c>
      <c r="D62" s="13" t="s">
        <v>7241</v>
      </c>
      <c r="E62" s="13"/>
      <c r="F62" s="364">
        <v>7.65</v>
      </c>
      <c r="G62" s="424">
        <v>7.65</v>
      </c>
      <c r="H62" s="14">
        <f t="shared" si="1"/>
        <v>6.12</v>
      </c>
      <c r="I62" s="568"/>
      <c r="J62" s="549" t="s">
        <v>5804</v>
      </c>
    </row>
    <row r="63" spans="1:10" x14ac:dyDescent="0.35">
      <c r="A63" s="497" t="s">
        <v>1471</v>
      </c>
      <c r="B63" s="13" t="s">
        <v>2269</v>
      </c>
      <c r="C63" s="13" t="s">
        <v>1467</v>
      </c>
      <c r="D63" s="13" t="s">
        <v>6747</v>
      </c>
      <c r="E63" s="13"/>
      <c r="F63" s="364">
        <v>8.65</v>
      </c>
      <c r="G63" s="424">
        <v>8.65</v>
      </c>
      <c r="H63" s="14">
        <f t="shared" si="1"/>
        <v>6.92</v>
      </c>
      <c r="I63" s="568"/>
      <c r="J63" s="549" t="s">
        <v>5804</v>
      </c>
    </row>
    <row r="64" spans="1:10" x14ac:dyDescent="0.35">
      <c r="A64" s="497" t="s">
        <v>1472</v>
      </c>
      <c r="B64" s="13" t="s">
        <v>2269</v>
      </c>
      <c r="C64" s="13" t="s">
        <v>1467</v>
      </c>
      <c r="D64" s="17" t="s">
        <v>7376</v>
      </c>
      <c r="E64" s="13"/>
      <c r="F64" s="364">
        <f>ROUND(F42*0.99*0.99,2)</f>
        <v>7.14</v>
      </c>
      <c r="G64" s="424">
        <v>7.14</v>
      </c>
      <c r="H64" s="14">
        <f t="shared" si="1"/>
        <v>5.71</v>
      </c>
      <c r="I64" s="568"/>
      <c r="J64" s="549" t="s">
        <v>5804</v>
      </c>
    </row>
    <row r="65" spans="1:15" x14ac:dyDescent="0.35">
      <c r="A65" s="497" t="s">
        <v>1473</v>
      </c>
      <c r="B65" s="13" t="s">
        <v>2269</v>
      </c>
      <c r="C65" s="13" t="s">
        <v>1467</v>
      </c>
      <c r="D65" s="17" t="s">
        <v>7368</v>
      </c>
      <c r="E65" s="13"/>
      <c r="F65" s="364">
        <f>ROUND(F43*0.99*0.99,2)</f>
        <v>6.19</v>
      </c>
      <c r="G65" s="424">
        <v>6.19</v>
      </c>
      <c r="H65" s="14">
        <f t="shared" si="1"/>
        <v>4.95</v>
      </c>
      <c r="I65" s="568"/>
      <c r="J65" s="549" t="s">
        <v>5804</v>
      </c>
    </row>
    <row r="66" spans="1:15" x14ac:dyDescent="0.35">
      <c r="A66" s="497" t="s">
        <v>1474</v>
      </c>
      <c r="B66" s="13" t="s">
        <v>2269</v>
      </c>
      <c r="C66" s="13" t="s">
        <v>1467</v>
      </c>
      <c r="D66" s="17" t="s">
        <v>7372</v>
      </c>
      <c r="E66" s="13"/>
      <c r="F66" s="364">
        <f>ROUND(F44*0.99*0.99,2)</f>
        <v>5.68</v>
      </c>
      <c r="G66" s="424">
        <v>5.68</v>
      </c>
      <c r="H66" s="14">
        <f t="shared" si="1"/>
        <v>4.54</v>
      </c>
      <c r="I66" s="568"/>
      <c r="J66" s="549" t="s">
        <v>5804</v>
      </c>
    </row>
    <row r="67" spans="1:15" x14ac:dyDescent="0.35">
      <c r="A67" s="497" t="s">
        <v>1475</v>
      </c>
      <c r="B67" s="13" t="s">
        <v>2269</v>
      </c>
      <c r="C67" s="13" t="s">
        <v>1467</v>
      </c>
      <c r="D67" s="17" t="s">
        <v>7373</v>
      </c>
      <c r="E67" s="13"/>
      <c r="F67" s="364">
        <f>ROUND(F45*0.99*0.99,2)</f>
        <v>4.25</v>
      </c>
      <c r="G67" s="424">
        <v>4.25</v>
      </c>
      <c r="H67" s="14">
        <f t="shared" si="1"/>
        <v>3.4</v>
      </c>
      <c r="I67" s="568"/>
      <c r="J67" s="549" t="s">
        <v>5804</v>
      </c>
    </row>
    <row r="68" spans="1:15" x14ac:dyDescent="0.35">
      <c r="A68" s="497" t="s">
        <v>1476</v>
      </c>
      <c r="B68" s="13" t="s">
        <v>2269</v>
      </c>
      <c r="C68" s="13" t="s">
        <v>1467</v>
      </c>
      <c r="D68" s="17" t="s">
        <v>7398</v>
      </c>
      <c r="E68" s="13"/>
      <c r="F68" s="364">
        <f>ROUND(F46*0.99*0.99,2)</f>
        <v>3.43</v>
      </c>
      <c r="G68" s="424">
        <v>3.43</v>
      </c>
      <c r="H68" s="14">
        <f t="shared" si="1"/>
        <v>2.74</v>
      </c>
      <c r="I68" s="568"/>
      <c r="J68" s="549" t="s">
        <v>5804</v>
      </c>
    </row>
    <row r="69" spans="1:15" x14ac:dyDescent="0.35">
      <c r="A69" s="496"/>
      <c r="B69" s="1"/>
      <c r="C69" s="1"/>
      <c r="D69" s="18"/>
      <c r="E69" s="1"/>
      <c r="F69" s="362"/>
      <c r="G69" s="425"/>
      <c r="H69" s="10" t="str">
        <f t="shared" si="1"/>
        <v/>
      </c>
      <c r="I69" s="566"/>
      <c r="J69" s="549" t="s">
        <v>4179</v>
      </c>
    </row>
    <row r="70" spans="1:15" x14ac:dyDescent="0.35">
      <c r="A70" s="511" t="s">
        <v>1978</v>
      </c>
      <c r="B70" s="173" t="s">
        <v>2269</v>
      </c>
      <c r="C70" s="173" t="s">
        <v>1984</v>
      </c>
      <c r="D70" s="174" t="s">
        <v>6743</v>
      </c>
      <c r="E70" s="173"/>
      <c r="F70" s="365">
        <v>12.67</v>
      </c>
      <c r="G70" s="426">
        <v>12.67</v>
      </c>
      <c r="H70" s="175">
        <f t="shared" si="1"/>
        <v>10.14</v>
      </c>
      <c r="I70" s="569"/>
      <c r="J70" s="549" t="s">
        <v>5804</v>
      </c>
    </row>
    <row r="71" spans="1:15" x14ac:dyDescent="0.35">
      <c r="A71" s="511" t="s">
        <v>1985</v>
      </c>
      <c r="B71" s="173" t="s">
        <v>2269</v>
      </c>
      <c r="C71" s="173" t="s">
        <v>3126</v>
      </c>
      <c r="D71" s="174" t="s">
        <v>6744</v>
      </c>
      <c r="E71" s="173"/>
      <c r="F71" s="365">
        <v>11.67</v>
      </c>
      <c r="G71" s="426">
        <v>11.67</v>
      </c>
      <c r="H71" s="175">
        <f t="shared" si="1"/>
        <v>9.34</v>
      </c>
      <c r="I71" s="569"/>
      <c r="J71" s="549" t="s">
        <v>5804</v>
      </c>
    </row>
    <row r="72" spans="1:15" x14ac:dyDescent="0.35">
      <c r="A72" s="511" t="s">
        <v>1979</v>
      </c>
      <c r="B72" s="173" t="s">
        <v>2269</v>
      </c>
      <c r="C72" s="173" t="s">
        <v>1984</v>
      </c>
      <c r="D72" s="174" t="s">
        <v>7392</v>
      </c>
      <c r="E72" s="173"/>
      <c r="F72" s="365">
        <v>8.65</v>
      </c>
      <c r="G72" s="426">
        <v>8.65</v>
      </c>
      <c r="H72" s="175">
        <f t="shared" si="1"/>
        <v>6.92</v>
      </c>
      <c r="I72" s="569"/>
      <c r="J72" s="549" t="s">
        <v>5804</v>
      </c>
    </row>
    <row r="73" spans="1:15" x14ac:dyDescent="0.35">
      <c r="A73" s="511" t="s">
        <v>1977</v>
      </c>
      <c r="B73" s="173" t="s">
        <v>2269</v>
      </c>
      <c r="C73" s="173" t="s">
        <v>1984</v>
      </c>
      <c r="D73" s="174" t="s">
        <v>7393</v>
      </c>
      <c r="E73" s="173"/>
      <c r="F73" s="365">
        <v>7.65</v>
      </c>
      <c r="G73" s="426">
        <v>7.65</v>
      </c>
      <c r="H73" s="175">
        <f t="shared" si="1"/>
        <v>6.12</v>
      </c>
      <c r="I73" s="569"/>
      <c r="J73" s="549" t="s">
        <v>5804</v>
      </c>
    </row>
    <row r="74" spans="1:15" x14ac:dyDescent="0.35">
      <c r="A74" s="511" t="s">
        <v>1986</v>
      </c>
      <c r="B74" s="173" t="s">
        <v>2269</v>
      </c>
      <c r="C74" s="173" t="s">
        <v>3126</v>
      </c>
      <c r="D74" s="174" t="s">
        <v>6748</v>
      </c>
      <c r="E74" s="173"/>
      <c r="F74" s="365">
        <v>8.65</v>
      </c>
      <c r="G74" s="426">
        <v>8.65</v>
      </c>
      <c r="H74" s="175">
        <f t="shared" si="1"/>
        <v>6.92</v>
      </c>
      <c r="I74" s="569"/>
      <c r="J74" s="549" t="s">
        <v>5804</v>
      </c>
    </row>
    <row r="75" spans="1:15" x14ac:dyDescent="0.35">
      <c r="A75" s="500" t="s">
        <v>1987</v>
      </c>
      <c r="B75" s="225" t="s">
        <v>2269</v>
      </c>
      <c r="C75" s="225" t="s">
        <v>1984</v>
      </c>
      <c r="D75" s="226" t="s">
        <v>5406</v>
      </c>
      <c r="E75" s="225"/>
      <c r="F75" s="366">
        <v>12.7</v>
      </c>
      <c r="G75" s="427">
        <v>12.7</v>
      </c>
      <c r="H75" s="227">
        <f t="shared" si="1"/>
        <v>10.16</v>
      </c>
      <c r="I75" s="570"/>
      <c r="J75" s="549" t="s">
        <v>5804</v>
      </c>
      <c r="N75" s="219"/>
      <c r="O75" s="221"/>
    </row>
    <row r="76" spans="1:15" x14ac:dyDescent="0.35">
      <c r="A76" s="500" t="s">
        <v>1982</v>
      </c>
      <c r="B76" s="225" t="s">
        <v>2269</v>
      </c>
      <c r="C76" s="225" t="s">
        <v>1984</v>
      </c>
      <c r="D76" s="226" t="s">
        <v>2000</v>
      </c>
      <c r="E76" s="225"/>
      <c r="F76" s="366">
        <v>8.3000000000000007</v>
      </c>
      <c r="G76" s="427">
        <v>8.3000000000000007</v>
      </c>
      <c r="H76" s="227">
        <f t="shared" si="1"/>
        <v>6.64</v>
      </c>
      <c r="I76" s="570"/>
      <c r="J76" s="549" t="s">
        <v>5804</v>
      </c>
    </row>
    <row r="77" spans="1:15" x14ac:dyDescent="0.35">
      <c r="A77" s="500" t="s">
        <v>1988</v>
      </c>
      <c r="B77" s="225" t="s">
        <v>2269</v>
      </c>
      <c r="C77" s="225" t="s">
        <v>1984</v>
      </c>
      <c r="D77" s="226" t="s">
        <v>2001</v>
      </c>
      <c r="E77" s="225"/>
      <c r="F77" s="366">
        <v>6.3</v>
      </c>
      <c r="G77" s="427">
        <v>6.3</v>
      </c>
      <c r="H77" s="227">
        <f t="shared" si="1"/>
        <v>5.04</v>
      </c>
      <c r="I77" s="570"/>
      <c r="J77" s="549" t="s">
        <v>5804</v>
      </c>
    </row>
    <row r="78" spans="1:15" x14ac:dyDescent="0.35">
      <c r="A78" s="500" t="s">
        <v>1989</v>
      </c>
      <c r="B78" s="225" t="s">
        <v>2269</v>
      </c>
      <c r="C78" s="225" t="s">
        <v>1984</v>
      </c>
      <c r="D78" s="226" t="s">
        <v>2002</v>
      </c>
      <c r="E78" s="225"/>
      <c r="F78" s="366">
        <v>5.5</v>
      </c>
      <c r="G78" s="427">
        <v>5.5</v>
      </c>
      <c r="H78" s="227">
        <f t="shared" si="1"/>
        <v>4.4000000000000004</v>
      </c>
      <c r="I78" s="570"/>
      <c r="J78" s="549" t="s">
        <v>5804</v>
      </c>
    </row>
    <row r="79" spans="1:15" x14ac:dyDescent="0.35">
      <c r="A79" s="500" t="s">
        <v>1983</v>
      </c>
      <c r="B79" s="225" t="s">
        <v>2269</v>
      </c>
      <c r="C79" s="225" t="s">
        <v>1984</v>
      </c>
      <c r="D79" s="226" t="s">
        <v>2003</v>
      </c>
      <c r="E79" s="225"/>
      <c r="F79" s="366">
        <v>5.3</v>
      </c>
      <c r="G79" s="427">
        <v>5.3</v>
      </c>
      <c r="H79" s="227">
        <f t="shared" si="1"/>
        <v>4.24</v>
      </c>
      <c r="I79" s="570"/>
      <c r="J79" s="549" t="s">
        <v>5804</v>
      </c>
    </row>
    <row r="80" spans="1:15" x14ac:dyDescent="0.35">
      <c r="A80" s="500" t="s">
        <v>1990</v>
      </c>
      <c r="B80" s="225" t="s">
        <v>2269</v>
      </c>
      <c r="C80" s="225" t="s">
        <v>1984</v>
      </c>
      <c r="D80" s="226" t="s">
        <v>2004</v>
      </c>
      <c r="E80" s="225"/>
      <c r="F80" s="366">
        <v>4.2</v>
      </c>
      <c r="G80" s="427">
        <v>4.2</v>
      </c>
      <c r="H80" s="227">
        <f t="shared" si="1"/>
        <v>3.36</v>
      </c>
      <c r="I80" s="570"/>
      <c r="J80" s="549" t="s">
        <v>5804</v>
      </c>
    </row>
    <row r="81" spans="1:21" x14ac:dyDescent="0.35">
      <c r="A81" s="500" t="s">
        <v>1991</v>
      </c>
      <c r="B81" s="225" t="s">
        <v>2269</v>
      </c>
      <c r="C81" s="225" t="s">
        <v>1984</v>
      </c>
      <c r="D81" s="225" t="s">
        <v>1992</v>
      </c>
      <c r="E81" s="225"/>
      <c r="F81" s="366">
        <v>3.4</v>
      </c>
      <c r="G81" s="427">
        <v>3.4</v>
      </c>
      <c r="H81" s="227">
        <f t="shared" si="1"/>
        <v>2.72</v>
      </c>
      <c r="I81" s="570"/>
      <c r="J81" s="549" t="s">
        <v>5804</v>
      </c>
    </row>
    <row r="82" spans="1:21" x14ac:dyDescent="0.35">
      <c r="A82" s="510" t="s">
        <v>1994</v>
      </c>
      <c r="B82" s="235" t="s">
        <v>2269</v>
      </c>
      <c r="C82" s="235" t="s">
        <v>3126</v>
      </c>
      <c r="D82" s="236" t="s">
        <v>2005</v>
      </c>
      <c r="E82" s="235" t="s">
        <v>5765</v>
      </c>
      <c r="F82" s="367">
        <v>12.7</v>
      </c>
      <c r="G82" s="428">
        <v>12.7</v>
      </c>
      <c r="H82" s="237">
        <f t="shared" si="1"/>
        <v>10.16</v>
      </c>
      <c r="I82" s="571"/>
      <c r="J82" s="549" t="s">
        <v>5804</v>
      </c>
    </row>
    <row r="83" spans="1:21" x14ac:dyDescent="0.35">
      <c r="A83" s="510" t="s">
        <v>1993</v>
      </c>
      <c r="B83" s="235" t="s">
        <v>2269</v>
      </c>
      <c r="C83" s="235" t="s">
        <v>3126</v>
      </c>
      <c r="D83" s="236" t="s">
        <v>2006</v>
      </c>
      <c r="E83" s="235" t="s">
        <v>5765</v>
      </c>
      <c r="F83" s="367">
        <v>8.3000000000000007</v>
      </c>
      <c r="G83" s="428">
        <v>8.3000000000000007</v>
      </c>
      <c r="H83" s="237">
        <f t="shared" si="1"/>
        <v>6.64</v>
      </c>
      <c r="I83" s="571"/>
      <c r="J83" s="549" t="s">
        <v>5804</v>
      </c>
    </row>
    <row r="84" spans="1:21" x14ac:dyDescent="0.35">
      <c r="A84" s="510" t="s">
        <v>1995</v>
      </c>
      <c r="B84" s="235" t="s">
        <v>2269</v>
      </c>
      <c r="C84" s="235" t="s">
        <v>3126</v>
      </c>
      <c r="D84" s="236" t="s">
        <v>2007</v>
      </c>
      <c r="E84" s="235" t="s">
        <v>5765</v>
      </c>
      <c r="F84" s="367">
        <v>6.3</v>
      </c>
      <c r="G84" s="428">
        <v>6.3</v>
      </c>
      <c r="H84" s="237">
        <f t="shared" si="1"/>
        <v>5.04</v>
      </c>
      <c r="I84" s="571"/>
      <c r="J84" s="549" t="s">
        <v>5804</v>
      </c>
    </row>
    <row r="85" spans="1:21" x14ac:dyDescent="0.35">
      <c r="A85" s="510" t="s">
        <v>1996</v>
      </c>
      <c r="B85" s="235" t="s">
        <v>2269</v>
      </c>
      <c r="C85" s="235" t="s">
        <v>3126</v>
      </c>
      <c r="D85" s="236" t="s">
        <v>2008</v>
      </c>
      <c r="E85" s="235" t="s">
        <v>5765</v>
      </c>
      <c r="F85" s="367">
        <v>5.5</v>
      </c>
      <c r="G85" s="428">
        <v>5.5</v>
      </c>
      <c r="H85" s="237">
        <f t="shared" si="1"/>
        <v>4.4000000000000004</v>
      </c>
      <c r="I85" s="571"/>
      <c r="J85" s="549" t="s">
        <v>5804</v>
      </c>
    </row>
    <row r="86" spans="1:21" x14ac:dyDescent="0.35">
      <c r="A86" s="510" t="s">
        <v>1997</v>
      </c>
      <c r="B86" s="235" t="s">
        <v>2269</v>
      </c>
      <c r="C86" s="235" t="s">
        <v>3126</v>
      </c>
      <c r="D86" s="236" t="s">
        <v>2009</v>
      </c>
      <c r="E86" s="235" t="s">
        <v>5765</v>
      </c>
      <c r="F86" s="367">
        <v>5.3</v>
      </c>
      <c r="G86" s="428">
        <v>5.3</v>
      </c>
      <c r="H86" s="237">
        <f t="shared" si="1"/>
        <v>4.24</v>
      </c>
      <c r="I86" s="571"/>
      <c r="J86" s="549" t="s">
        <v>5804</v>
      </c>
    </row>
    <row r="87" spans="1:21" x14ac:dyDescent="0.35">
      <c r="A87" s="510" t="s">
        <v>1998</v>
      </c>
      <c r="B87" s="235" t="s">
        <v>2269</v>
      </c>
      <c r="C87" s="235" t="s">
        <v>3126</v>
      </c>
      <c r="D87" s="236" t="s">
        <v>2010</v>
      </c>
      <c r="E87" s="235" t="s">
        <v>5765</v>
      </c>
      <c r="F87" s="367">
        <v>4.2</v>
      </c>
      <c r="G87" s="428">
        <v>4.2</v>
      </c>
      <c r="H87" s="237">
        <f t="shared" si="1"/>
        <v>3.36</v>
      </c>
      <c r="I87" s="571"/>
      <c r="J87" s="549" t="s">
        <v>5804</v>
      </c>
    </row>
    <row r="88" spans="1:21" x14ac:dyDescent="0.35">
      <c r="A88" s="510" t="s">
        <v>1999</v>
      </c>
      <c r="B88" s="235" t="s">
        <v>2269</v>
      </c>
      <c r="C88" s="235" t="s">
        <v>3126</v>
      </c>
      <c r="D88" s="236" t="s">
        <v>2011</v>
      </c>
      <c r="E88" s="235" t="s">
        <v>5765</v>
      </c>
      <c r="F88" s="367">
        <v>3.4</v>
      </c>
      <c r="G88" s="428">
        <v>3.4</v>
      </c>
      <c r="H88" s="237">
        <f t="shared" si="1"/>
        <v>2.72</v>
      </c>
      <c r="I88" s="571"/>
      <c r="J88" s="549" t="s">
        <v>5804</v>
      </c>
    </row>
    <row r="89" spans="1:21" x14ac:dyDescent="0.35">
      <c r="A89" s="496"/>
      <c r="B89" s="1"/>
      <c r="C89" s="1"/>
      <c r="D89" s="18"/>
      <c r="E89" s="1"/>
      <c r="F89" s="362"/>
      <c r="G89" s="425"/>
      <c r="H89" s="10" t="str">
        <f t="shared" si="1"/>
        <v/>
      </c>
      <c r="I89" s="566"/>
      <c r="J89" s="549" t="s">
        <v>4179</v>
      </c>
      <c r="N89" s="221"/>
    </row>
    <row r="90" spans="1:21" x14ac:dyDescent="0.35">
      <c r="A90" s="511" t="s">
        <v>2125</v>
      </c>
      <c r="B90" s="173" t="s">
        <v>2269</v>
      </c>
      <c r="C90" s="173" t="s">
        <v>4675</v>
      </c>
      <c r="D90" s="173" t="s">
        <v>6743</v>
      </c>
      <c r="E90" s="173"/>
      <c r="F90" s="365">
        <v>12.67</v>
      </c>
      <c r="G90" s="426">
        <v>12.67</v>
      </c>
      <c r="H90" s="175">
        <f t="shared" si="1"/>
        <v>10.14</v>
      </c>
      <c r="I90" s="569"/>
      <c r="J90" s="549" t="s">
        <v>5804</v>
      </c>
    </row>
    <row r="91" spans="1:21" x14ac:dyDescent="0.35">
      <c r="A91" s="511" t="s">
        <v>2126</v>
      </c>
      <c r="B91" s="173" t="s">
        <v>2269</v>
      </c>
      <c r="C91" s="173" t="s">
        <v>4683</v>
      </c>
      <c r="D91" s="173" t="s">
        <v>6744</v>
      </c>
      <c r="E91" s="173"/>
      <c r="F91" s="365">
        <v>11.67</v>
      </c>
      <c r="G91" s="426">
        <v>11.67</v>
      </c>
      <c r="H91" s="175">
        <f t="shared" si="1"/>
        <v>9.34</v>
      </c>
      <c r="I91" s="569"/>
      <c r="J91" s="549" t="s">
        <v>5804</v>
      </c>
    </row>
    <row r="92" spans="1:21" x14ac:dyDescent="0.35">
      <c r="A92" s="511" t="s">
        <v>2127</v>
      </c>
      <c r="B92" s="173" t="s">
        <v>2269</v>
      </c>
      <c r="C92" s="173" t="s">
        <v>4675</v>
      </c>
      <c r="D92" s="173" t="s">
        <v>7392</v>
      </c>
      <c r="E92" s="173"/>
      <c r="F92" s="365">
        <v>8.65</v>
      </c>
      <c r="G92" s="426">
        <v>8.65</v>
      </c>
      <c r="H92" s="175">
        <f t="shared" si="1"/>
        <v>6.92</v>
      </c>
      <c r="I92" s="569"/>
      <c r="J92" s="549" t="s">
        <v>5804</v>
      </c>
    </row>
    <row r="93" spans="1:21" x14ac:dyDescent="0.35">
      <c r="A93" s="511" t="s">
        <v>2128</v>
      </c>
      <c r="B93" s="173" t="s">
        <v>2269</v>
      </c>
      <c r="C93" s="173" t="s">
        <v>4675</v>
      </c>
      <c r="D93" s="173" t="s">
        <v>7393</v>
      </c>
      <c r="E93" s="173"/>
      <c r="F93" s="365">
        <v>7.65</v>
      </c>
      <c r="G93" s="426">
        <v>7.65</v>
      </c>
      <c r="H93" s="175">
        <f t="shared" si="1"/>
        <v>6.12</v>
      </c>
      <c r="I93" s="569"/>
      <c r="J93" s="549" t="s">
        <v>5804</v>
      </c>
    </row>
    <row r="94" spans="1:21" x14ac:dyDescent="0.35">
      <c r="A94" s="511" t="s">
        <v>2129</v>
      </c>
      <c r="B94" s="173" t="s">
        <v>2269</v>
      </c>
      <c r="C94" s="173" t="s">
        <v>4683</v>
      </c>
      <c r="D94" s="173" t="s">
        <v>6748</v>
      </c>
      <c r="E94" s="173"/>
      <c r="F94" s="365">
        <v>8.65</v>
      </c>
      <c r="G94" s="426">
        <v>8.65</v>
      </c>
      <c r="H94" s="175">
        <f t="shared" si="1"/>
        <v>6.92</v>
      </c>
      <c r="I94" s="569"/>
      <c r="J94" s="549" t="s">
        <v>5804</v>
      </c>
      <c r="N94" s="29" t="s">
        <v>5489</v>
      </c>
      <c r="O94" t="s">
        <v>5406</v>
      </c>
      <c r="P94" t="s">
        <v>2000</v>
      </c>
      <c r="Q94" t="s">
        <v>2001</v>
      </c>
      <c r="R94" t="s">
        <v>2002</v>
      </c>
      <c r="S94" t="s">
        <v>2003</v>
      </c>
      <c r="T94" t="s">
        <v>2004</v>
      </c>
      <c r="U94" t="s">
        <v>1992</v>
      </c>
    </row>
    <row r="95" spans="1:21" x14ac:dyDescent="0.35">
      <c r="A95" s="502" t="s">
        <v>4674</v>
      </c>
      <c r="B95" s="301" t="s">
        <v>2269</v>
      </c>
      <c r="C95" s="301" t="s">
        <v>4675</v>
      </c>
      <c r="D95" s="302" t="s">
        <v>5406</v>
      </c>
      <c r="E95" s="301"/>
      <c r="F95" s="368">
        <f t="shared" ref="F95:F101" si="2">ROUND(HLOOKUP(D95,$O$94:$U$95,2,FALSE),2)</f>
        <v>12.57</v>
      </c>
      <c r="G95" s="429">
        <v>12.57</v>
      </c>
      <c r="H95" s="303">
        <f t="shared" si="1"/>
        <v>10.06</v>
      </c>
      <c r="I95" s="572"/>
      <c r="J95" s="549" t="s">
        <v>5804</v>
      </c>
      <c r="N95" s="219">
        <v>0.01</v>
      </c>
      <c r="O95" s="261">
        <f>IF($N95&lt;&gt;"",F75*(100%-$N95),"")</f>
        <v>12.572999999999999</v>
      </c>
      <c r="P95" s="261">
        <f>IF($N95&lt;&gt;"",F76*(100%-$N95),"")</f>
        <v>8.2170000000000005</v>
      </c>
      <c r="Q95" s="261">
        <f>IF($N95&lt;&gt;"",F77*(100%-$N95),"")</f>
        <v>6.2370000000000001</v>
      </c>
      <c r="R95" s="261">
        <f>IF($N95&lt;&gt;"",F78*(100%-$N95),"")</f>
        <v>5.4450000000000003</v>
      </c>
      <c r="S95" s="261">
        <f>IF($N95&lt;&gt;"",F79*(100%-$N95),"")</f>
        <v>5.2469999999999999</v>
      </c>
      <c r="T95" s="261">
        <f>IF($N95&lt;&gt;"",F80*(100%-$N95),"")</f>
        <v>4.1580000000000004</v>
      </c>
      <c r="U95" s="261">
        <f>IF($N95&lt;&gt;"",F81*(100%-$N95),"")</f>
        <v>3.3660000000000001</v>
      </c>
    </row>
    <row r="96" spans="1:21" x14ac:dyDescent="0.35">
      <c r="A96" s="502" t="s">
        <v>4676</v>
      </c>
      <c r="B96" s="301" t="s">
        <v>2269</v>
      </c>
      <c r="C96" s="301" t="s">
        <v>4675</v>
      </c>
      <c r="D96" s="302" t="s">
        <v>2000</v>
      </c>
      <c r="E96" s="301"/>
      <c r="F96" s="368">
        <f t="shared" si="2"/>
        <v>8.2200000000000006</v>
      </c>
      <c r="G96" s="429">
        <v>8.2200000000000006</v>
      </c>
      <c r="H96" s="303">
        <f t="shared" si="1"/>
        <v>6.58</v>
      </c>
      <c r="I96" s="572"/>
      <c r="J96" s="549" t="s">
        <v>5804</v>
      </c>
    </row>
    <row r="97" spans="1:21" x14ac:dyDescent="0.35">
      <c r="A97" s="502" t="s">
        <v>4677</v>
      </c>
      <c r="B97" s="301" t="s">
        <v>2269</v>
      </c>
      <c r="C97" s="301" t="s">
        <v>4675</v>
      </c>
      <c r="D97" s="302" t="s">
        <v>2001</v>
      </c>
      <c r="E97" s="301"/>
      <c r="F97" s="368">
        <f t="shared" si="2"/>
        <v>6.24</v>
      </c>
      <c r="G97" s="429">
        <v>6.24</v>
      </c>
      <c r="H97" s="303">
        <f t="shared" si="1"/>
        <v>4.99</v>
      </c>
      <c r="I97" s="572"/>
      <c r="J97" s="549" t="s">
        <v>5804</v>
      </c>
    </row>
    <row r="98" spans="1:21" x14ac:dyDescent="0.35">
      <c r="A98" s="502" t="s">
        <v>4678</v>
      </c>
      <c r="B98" s="301" t="s">
        <v>2269</v>
      </c>
      <c r="C98" s="301" t="s">
        <v>4675</v>
      </c>
      <c r="D98" s="302" t="s">
        <v>2002</v>
      </c>
      <c r="E98" s="301"/>
      <c r="F98" s="368">
        <f t="shared" si="2"/>
        <v>5.45</v>
      </c>
      <c r="G98" s="429">
        <v>5.45</v>
      </c>
      <c r="H98" s="303">
        <f t="shared" si="1"/>
        <v>4.3600000000000003</v>
      </c>
      <c r="I98" s="572"/>
      <c r="J98" s="549" t="s">
        <v>5804</v>
      </c>
    </row>
    <row r="99" spans="1:21" x14ac:dyDescent="0.35">
      <c r="A99" s="502" t="s">
        <v>4679</v>
      </c>
      <c r="B99" s="301" t="s">
        <v>2269</v>
      </c>
      <c r="C99" s="301" t="s">
        <v>4675</v>
      </c>
      <c r="D99" s="302" t="s">
        <v>2003</v>
      </c>
      <c r="E99" s="301"/>
      <c r="F99" s="368">
        <f t="shared" si="2"/>
        <v>5.25</v>
      </c>
      <c r="G99" s="429">
        <v>5.25</v>
      </c>
      <c r="H99" s="303">
        <f t="shared" si="1"/>
        <v>4.2</v>
      </c>
      <c r="I99" s="572"/>
      <c r="J99" s="549" t="s">
        <v>5804</v>
      </c>
    </row>
    <row r="100" spans="1:21" x14ac:dyDescent="0.35">
      <c r="A100" s="502" t="s">
        <v>4680</v>
      </c>
      <c r="B100" s="301" t="s">
        <v>2269</v>
      </c>
      <c r="C100" s="301" t="s">
        <v>4675</v>
      </c>
      <c r="D100" s="302" t="s">
        <v>2004</v>
      </c>
      <c r="E100" s="301"/>
      <c r="F100" s="368">
        <f t="shared" si="2"/>
        <v>4.16</v>
      </c>
      <c r="G100" s="429">
        <v>4.16</v>
      </c>
      <c r="H100" s="303">
        <f t="shared" ref="H100:H163" si="3">IF(ISNUMBER(G100),ROUND(0.8*G100,2),"")</f>
        <v>3.33</v>
      </c>
      <c r="I100" s="572"/>
      <c r="J100" s="549" t="s">
        <v>5804</v>
      </c>
    </row>
    <row r="101" spans="1:21" x14ac:dyDescent="0.35">
      <c r="A101" s="502" t="s">
        <v>4681</v>
      </c>
      <c r="B101" s="301" t="s">
        <v>2269</v>
      </c>
      <c r="C101" s="301" t="s">
        <v>4675</v>
      </c>
      <c r="D101" s="302" t="s">
        <v>1992</v>
      </c>
      <c r="E101" s="301"/>
      <c r="F101" s="368">
        <f t="shared" si="2"/>
        <v>3.37</v>
      </c>
      <c r="G101" s="429">
        <v>3.37</v>
      </c>
      <c r="H101" s="303">
        <f t="shared" si="3"/>
        <v>2.7</v>
      </c>
      <c r="I101" s="572"/>
      <c r="J101" s="549" t="s">
        <v>5804</v>
      </c>
      <c r="N101" s="221" t="s">
        <v>5489</v>
      </c>
      <c r="O101" t="s">
        <v>4684</v>
      </c>
      <c r="P101" t="s">
        <v>4686</v>
      </c>
      <c r="Q101" t="s">
        <v>4688</v>
      </c>
      <c r="R101" t="s">
        <v>4690</v>
      </c>
      <c r="S101" t="s">
        <v>4692</v>
      </c>
      <c r="T101" t="s">
        <v>4694</v>
      </c>
      <c r="U101" t="s">
        <v>4696</v>
      </c>
    </row>
    <row r="102" spans="1:21" x14ac:dyDescent="0.35">
      <c r="A102" s="502" t="s">
        <v>4682</v>
      </c>
      <c r="B102" s="301" t="s">
        <v>2269</v>
      </c>
      <c r="C102" s="301" t="s">
        <v>4683</v>
      </c>
      <c r="D102" s="301" t="s">
        <v>4684</v>
      </c>
      <c r="E102" s="301" t="s">
        <v>5765</v>
      </c>
      <c r="F102" s="368">
        <f t="shared" ref="F102:F108" si="4">ROUND(HLOOKUP(D102,$O$101:$U$102,2,FALSE),2)</f>
        <v>12.57</v>
      </c>
      <c r="G102" s="429">
        <v>12.57</v>
      </c>
      <c r="H102" s="303">
        <f t="shared" si="3"/>
        <v>10.06</v>
      </c>
      <c r="I102" s="572"/>
      <c r="J102" s="549" t="s">
        <v>5804</v>
      </c>
      <c r="N102" s="219">
        <v>0.01</v>
      </c>
      <c r="O102" s="261">
        <f>IF($N102&lt;&gt;"",F82*(100%-$N102),"")</f>
        <v>12.572999999999999</v>
      </c>
      <c r="P102" s="261">
        <f>IF($N102&lt;&gt;"",F83*(100%-$N102),"")</f>
        <v>8.2170000000000005</v>
      </c>
      <c r="Q102" s="261">
        <f>IF($N102&lt;&gt;"",F84*(100%-$N102),"")</f>
        <v>6.2370000000000001</v>
      </c>
      <c r="R102" s="261">
        <f>IF($N102&lt;&gt;"",F85*(100%-$N102),"")</f>
        <v>5.4450000000000003</v>
      </c>
      <c r="S102" s="261">
        <f>IF($N102&lt;&gt;"",F86*(100%-$N102),"")</f>
        <v>5.2469999999999999</v>
      </c>
      <c r="T102" s="261">
        <f>IF($N102&lt;&gt;"",F87*(100%-$N102),"")</f>
        <v>4.1580000000000004</v>
      </c>
      <c r="U102" s="261">
        <f>IF($N102&lt;&gt;"",F88*(100%-$N102),"")</f>
        <v>3.3660000000000001</v>
      </c>
    </row>
    <row r="103" spans="1:21" x14ac:dyDescent="0.35">
      <c r="A103" s="502" t="s">
        <v>4685</v>
      </c>
      <c r="B103" s="301" t="s">
        <v>2269</v>
      </c>
      <c r="C103" s="301" t="s">
        <v>4683</v>
      </c>
      <c r="D103" s="302" t="s">
        <v>4686</v>
      </c>
      <c r="E103" s="301" t="s">
        <v>5765</v>
      </c>
      <c r="F103" s="368">
        <f t="shared" si="4"/>
        <v>8.2200000000000006</v>
      </c>
      <c r="G103" s="429">
        <v>8.2200000000000006</v>
      </c>
      <c r="H103" s="303">
        <f t="shared" si="3"/>
        <v>6.58</v>
      </c>
      <c r="I103" s="572"/>
      <c r="J103" s="549" t="s">
        <v>5804</v>
      </c>
    </row>
    <row r="104" spans="1:21" x14ac:dyDescent="0.35">
      <c r="A104" s="502" t="s">
        <v>4687</v>
      </c>
      <c r="B104" s="301" t="s">
        <v>2269</v>
      </c>
      <c r="C104" s="301" t="s">
        <v>4683</v>
      </c>
      <c r="D104" s="302" t="s">
        <v>4688</v>
      </c>
      <c r="E104" s="301" t="s">
        <v>5765</v>
      </c>
      <c r="F104" s="368">
        <f t="shared" si="4"/>
        <v>6.24</v>
      </c>
      <c r="G104" s="429">
        <v>6.24</v>
      </c>
      <c r="H104" s="303">
        <f t="shared" si="3"/>
        <v>4.99</v>
      </c>
      <c r="I104" s="572"/>
      <c r="J104" s="549" t="s">
        <v>5804</v>
      </c>
    </row>
    <row r="105" spans="1:21" x14ac:dyDescent="0.35">
      <c r="A105" s="502" t="s">
        <v>4689</v>
      </c>
      <c r="B105" s="301" t="s">
        <v>2269</v>
      </c>
      <c r="C105" s="301" t="s">
        <v>4683</v>
      </c>
      <c r="D105" s="302" t="s">
        <v>4690</v>
      </c>
      <c r="E105" s="301" t="s">
        <v>5765</v>
      </c>
      <c r="F105" s="368">
        <f t="shared" si="4"/>
        <v>5.45</v>
      </c>
      <c r="G105" s="429">
        <v>5.45</v>
      </c>
      <c r="H105" s="303">
        <f t="shared" si="3"/>
        <v>4.3600000000000003</v>
      </c>
      <c r="I105" s="572"/>
      <c r="J105" s="549" t="s">
        <v>5804</v>
      </c>
    </row>
    <row r="106" spans="1:21" x14ac:dyDescent="0.35">
      <c r="A106" s="502" t="s">
        <v>4691</v>
      </c>
      <c r="B106" s="301" t="s">
        <v>2269</v>
      </c>
      <c r="C106" s="301" t="s">
        <v>4683</v>
      </c>
      <c r="D106" s="302" t="s">
        <v>4692</v>
      </c>
      <c r="E106" s="301" t="s">
        <v>5765</v>
      </c>
      <c r="F106" s="368">
        <f t="shared" si="4"/>
        <v>5.25</v>
      </c>
      <c r="G106" s="429">
        <v>5.25</v>
      </c>
      <c r="H106" s="303">
        <f t="shared" si="3"/>
        <v>4.2</v>
      </c>
      <c r="I106" s="572"/>
      <c r="J106" s="549" t="s">
        <v>5804</v>
      </c>
    </row>
    <row r="107" spans="1:21" x14ac:dyDescent="0.35">
      <c r="A107" s="502" t="s">
        <v>4693</v>
      </c>
      <c r="B107" s="301" t="s">
        <v>2269</v>
      </c>
      <c r="C107" s="301" t="s">
        <v>4683</v>
      </c>
      <c r="D107" s="302" t="s">
        <v>4694</v>
      </c>
      <c r="E107" s="301" t="s">
        <v>5765</v>
      </c>
      <c r="F107" s="368">
        <f t="shared" si="4"/>
        <v>4.16</v>
      </c>
      <c r="G107" s="429">
        <v>4.16</v>
      </c>
      <c r="H107" s="303">
        <f t="shared" si="3"/>
        <v>3.33</v>
      </c>
      <c r="I107" s="572"/>
      <c r="J107" s="549" t="s">
        <v>5804</v>
      </c>
    </row>
    <row r="108" spans="1:21" x14ac:dyDescent="0.35">
      <c r="A108" s="502" t="s">
        <v>4695</v>
      </c>
      <c r="B108" s="301" t="s">
        <v>2269</v>
      </c>
      <c r="C108" s="301" t="s">
        <v>4683</v>
      </c>
      <c r="D108" s="302" t="s">
        <v>4696</v>
      </c>
      <c r="E108" s="301" t="s">
        <v>5765</v>
      </c>
      <c r="F108" s="368">
        <f t="shared" si="4"/>
        <v>3.37</v>
      </c>
      <c r="G108" s="429">
        <v>3.37</v>
      </c>
      <c r="H108" s="303">
        <f t="shared" si="3"/>
        <v>2.7</v>
      </c>
      <c r="I108" s="572"/>
      <c r="J108" s="549" t="s">
        <v>5804</v>
      </c>
    </row>
    <row r="109" spans="1:21" x14ac:dyDescent="0.35">
      <c r="A109" s="496"/>
      <c r="B109" s="1"/>
      <c r="C109" s="1"/>
      <c r="D109" s="1"/>
      <c r="E109" s="1"/>
      <c r="F109" s="362"/>
      <c r="G109" s="425"/>
      <c r="H109" s="10" t="str">
        <f t="shared" si="3"/>
        <v/>
      </c>
      <c r="I109" s="566"/>
      <c r="J109" s="549" t="s">
        <v>4179</v>
      </c>
      <c r="N109" s="29" t="s">
        <v>5489</v>
      </c>
      <c r="O109" t="s">
        <v>5406</v>
      </c>
      <c r="P109" t="s">
        <v>2000</v>
      </c>
      <c r="Q109" t="s">
        <v>2001</v>
      </c>
      <c r="R109" t="s">
        <v>2002</v>
      </c>
      <c r="S109" t="s">
        <v>2003</v>
      </c>
      <c r="T109" t="s">
        <v>2004</v>
      </c>
      <c r="U109" t="s">
        <v>1992</v>
      </c>
    </row>
    <row r="110" spans="1:21" x14ac:dyDescent="0.35">
      <c r="A110" s="502" t="s">
        <v>1646</v>
      </c>
      <c r="B110" s="301" t="s">
        <v>2269</v>
      </c>
      <c r="C110" s="301" t="s">
        <v>1647</v>
      </c>
      <c r="D110" s="301" t="s">
        <v>5406</v>
      </c>
      <c r="E110" s="301"/>
      <c r="F110" s="368">
        <f t="shared" ref="F110:F116" si="5">ROUND(HLOOKUP(D110,$O$109:$U$110,2,FALSE),2)</f>
        <v>12.45</v>
      </c>
      <c r="G110" s="429">
        <v>12.45</v>
      </c>
      <c r="H110" s="303">
        <f t="shared" si="3"/>
        <v>9.9600000000000009</v>
      </c>
      <c r="I110" s="572"/>
      <c r="J110" s="549" t="s">
        <v>5804</v>
      </c>
      <c r="N110" s="322">
        <v>0.01</v>
      </c>
      <c r="O110" s="261">
        <f t="shared" ref="O110:U110" si="6">IF($N110&lt;&gt;"",O95*(100%-$N110),"")</f>
        <v>12.447269999999998</v>
      </c>
      <c r="P110" s="261">
        <f t="shared" si="6"/>
        <v>8.1348300000000009</v>
      </c>
      <c r="Q110" s="261">
        <f t="shared" si="6"/>
        <v>6.1746299999999996</v>
      </c>
      <c r="R110" s="261">
        <f t="shared" si="6"/>
        <v>5.3905500000000002</v>
      </c>
      <c r="S110" s="261">
        <f t="shared" si="6"/>
        <v>5.1945299999999994</v>
      </c>
      <c r="T110" s="261">
        <f t="shared" si="6"/>
        <v>4.1164200000000006</v>
      </c>
      <c r="U110" s="261">
        <f t="shared" si="6"/>
        <v>3.3323399999999999</v>
      </c>
    </row>
    <row r="111" spans="1:21" x14ac:dyDescent="0.35">
      <c r="A111" s="502" t="s">
        <v>1648</v>
      </c>
      <c r="B111" s="301" t="s">
        <v>2269</v>
      </c>
      <c r="C111" s="301" t="s">
        <v>1647</v>
      </c>
      <c r="D111" s="301" t="s">
        <v>2000</v>
      </c>
      <c r="E111" s="301"/>
      <c r="F111" s="368">
        <f t="shared" si="5"/>
        <v>8.1300000000000008</v>
      </c>
      <c r="G111" s="429">
        <v>8.1300000000000008</v>
      </c>
      <c r="H111" s="303">
        <f t="shared" si="3"/>
        <v>6.5</v>
      </c>
      <c r="I111" s="572"/>
      <c r="J111" s="549" t="s">
        <v>5804</v>
      </c>
      <c r="O111" s="261"/>
      <c r="P111" s="261"/>
      <c r="Q111" s="261"/>
      <c r="R111" s="261"/>
      <c r="S111" s="261"/>
      <c r="T111" s="261"/>
      <c r="U111" s="261"/>
    </row>
    <row r="112" spans="1:21" x14ac:dyDescent="0.35">
      <c r="A112" s="502" t="s">
        <v>1649</v>
      </c>
      <c r="B112" s="301" t="s">
        <v>2269</v>
      </c>
      <c r="C112" s="301" t="s">
        <v>1647</v>
      </c>
      <c r="D112" s="301" t="s">
        <v>2001</v>
      </c>
      <c r="E112" s="301"/>
      <c r="F112" s="368">
        <f t="shared" si="5"/>
        <v>6.17</v>
      </c>
      <c r="G112" s="429">
        <v>6.17</v>
      </c>
      <c r="H112" s="303">
        <f t="shared" si="3"/>
        <v>4.9400000000000004</v>
      </c>
      <c r="I112" s="572"/>
      <c r="J112" s="549" t="s">
        <v>5804</v>
      </c>
      <c r="O112" s="261"/>
    </row>
    <row r="113" spans="1:23" x14ac:dyDescent="0.35">
      <c r="A113" s="502" t="s">
        <v>1650</v>
      </c>
      <c r="B113" s="301" t="s">
        <v>2269</v>
      </c>
      <c r="C113" s="301" t="s">
        <v>1647</v>
      </c>
      <c r="D113" s="301" t="s">
        <v>2002</v>
      </c>
      <c r="E113" s="301"/>
      <c r="F113" s="368">
        <f t="shared" si="5"/>
        <v>5.39</v>
      </c>
      <c r="G113" s="429">
        <v>5.39</v>
      </c>
      <c r="H113" s="303">
        <f t="shared" si="3"/>
        <v>4.3099999999999996</v>
      </c>
      <c r="I113" s="572"/>
      <c r="J113" s="549" t="s">
        <v>5804</v>
      </c>
      <c r="O113" s="261"/>
    </row>
    <row r="114" spans="1:23" x14ac:dyDescent="0.35">
      <c r="A114" s="502" t="s">
        <v>1651</v>
      </c>
      <c r="B114" s="301" t="s">
        <v>2269</v>
      </c>
      <c r="C114" s="301" t="s">
        <v>1647</v>
      </c>
      <c r="D114" s="301" t="s">
        <v>2003</v>
      </c>
      <c r="E114" s="301"/>
      <c r="F114" s="368">
        <f t="shared" si="5"/>
        <v>5.19</v>
      </c>
      <c r="G114" s="429">
        <v>5.19</v>
      </c>
      <c r="H114" s="303">
        <f t="shared" si="3"/>
        <v>4.1500000000000004</v>
      </c>
      <c r="I114" s="572"/>
      <c r="J114" s="549" t="s">
        <v>5804</v>
      </c>
      <c r="O114" s="261"/>
    </row>
    <row r="115" spans="1:23" x14ac:dyDescent="0.35">
      <c r="A115" s="502" t="s">
        <v>1652</v>
      </c>
      <c r="B115" s="301" t="s">
        <v>2269</v>
      </c>
      <c r="C115" s="301" t="s">
        <v>1647</v>
      </c>
      <c r="D115" s="301" t="s">
        <v>2004</v>
      </c>
      <c r="E115" s="301"/>
      <c r="F115" s="368">
        <f t="shared" si="5"/>
        <v>4.12</v>
      </c>
      <c r="G115" s="429">
        <v>4.12</v>
      </c>
      <c r="H115" s="303">
        <f t="shared" si="3"/>
        <v>3.3</v>
      </c>
      <c r="I115" s="572"/>
      <c r="J115" s="549" t="s">
        <v>5804</v>
      </c>
      <c r="O115" s="261"/>
    </row>
    <row r="116" spans="1:23" x14ac:dyDescent="0.35">
      <c r="A116" s="502" t="s">
        <v>1653</v>
      </c>
      <c r="B116" s="301" t="s">
        <v>2269</v>
      </c>
      <c r="C116" s="301" t="s">
        <v>1647</v>
      </c>
      <c r="D116" s="301" t="s">
        <v>1992</v>
      </c>
      <c r="E116" s="301"/>
      <c r="F116" s="368">
        <f t="shared" si="5"/>
        <v>3.33</v>
      </c>
      <c r="G116" s="429">
        <v>3.33</v>
      </c>
      <c r="H116" s="303">
        <f t="shared" si="3"/>
        <v>2.66</v>
      </c>
      <c r="I116" s="572"/>
      <c r="J116" s="549" t="s">
        <v>5804</v>
      </c>
      <c r="N116" s="29" t="s">
        <v>5489</v>
      </c>
      <c r="O116" t="s">
        <v>1654</v>
      </c>
      <c r="P116" t="s">
        <v>1655</v>
      </c>
      <c r="Q116" t="s">
        <v>1656</v>
      </c>
      <c r="R116" t="s">
        <v>1657</v>
      </c>
      <c r="S116" t="s">
        <v>1658</v>
      </c>
      <c r="T116" t="s">
        <v>1659</v>
      </c>
      <c r="U116" t="s">
        <v>1660</v>
      </c>
    </row>
    <row r="117" spans="1:23" x14ac:dyDescent="0.35">
      <c r="A117" s="502" t="s">
        <v>1661</v>
      </c>
      <c r="B117" s="301" t="s">
        <v>2269</v>
      </c>
      <c r="C117" s="301" t="s">
        <v>7459</v>
      </c>
      <c r="D117" s="301" t="s">
        <v>1654</v>
      </c>
      <c r="E117" s="301" t="s">
        <v>5765</v>
      </c>
      <c r="F117" s="368">
        <f t="shared" ref="F117:F123" si="7">ROUND(HLOOKUP(D117,$O$116:$U$117,2,FALSE),2)</f>
        <v>12.45</v>
      </c>
      <c r="G117" s="429">
        <v>12.45</v>
      </c>
      <c r="H117" s="303">
        <f t="shared" si="3"/>
        <v>9.9600000000000009</v>
      </c>
      <c r="I117" s="572"/>
      <c r="J117" s="549" t="s">
        <v>5804</v>
      </c>
      <c r="N117" s="322">
        <v>0.01</v>
      </c>
      <c r="O117" s="261">
        <f t="shared" ref="O117:U117" si="8">IF($N117&lt;&gt;"",O102*(100%-$N117),"")</f>
        <v>12.447269999999998</v>
      </c>
      <c r="P117" s="261">
        <f t="shared" si="8"/>
        <v>8.1348300000000009</v>
      </c>
      <c r="Q117" s="261">
        <f t="shared" si="8"/>
        <v>6.1746299999999996</v>
      </c>
      <c r="R117" s="261">
        <f t="shared" si="8"/>
        <v>5.3905500000000002</v>
      </c>
      <c r="S117" s="261">
        <f t="shared" si="8"/>
        <v>5.1945299999999994</v>
      </c>
      <c r="T117" s="261">
        <f t="shared" si="8"/>
        <v>4.1164200000000006</v>
      </c>
      <c r="U117" s="261">
        <f t="shared" si="8"/>
        <v>3.3323399999999999</v>
      </c>
    </row>
    <row r="118" spans="1:23" x14ac:dyDescent="0.35">
      <c r="A118" s="502" t="s">
        <v>1662</v>
      </c>
      <c r="B118" s="301" t="s">
        <v>2269</v>
      </c>
      <c r="C118" s="301" t="s">
        <v>7459</v>
      </c>
      <c r="D118" s="301" t="s">
        <v>1655</v>
      </c>
      <c r="E118" s="301" t="s">
        <v>5765</v>
      </c>
      <c r="F118" s="368">
        <f t="shared" si="7"/>
        <v>8.1300000000000008</v>
      </c>
      <c r="G118" s="429">
        <v>8.1300000000000008</v>
      </c>
      <c r="H118" s="303">
        <f t="shared" si="3"/>
        <v>6.5</v>
      </c>
      <c r="I118" s="572"/>
      <c r="J118" s="549" t="s">
        <v>5804</v>
      </c>
    </row>
    <row r="119" spans="1:23" x14ac:dyDescent="0.35">
      <c r="A119" s="502" t="s">
        <v>1663</v>
      </c>
      <c r="B119" s="301" t="s">
        <v>2269</v>
      </c>
      <c r="C119" s="301" t="s">
        <v>7459</v>
      </c>
      <c r="D119" s="301" t="s">
        <v>1656</v>
      </c>
      <c r="E119" s="301" t="s">
        <v>5765</v>
      </c>
      <c r="F119" s="368">
        <f t="shared" si="7"/>
        <v>6.17</v>
      </c>
      <c r="G119" s="429">
        <v>6.17</v>
      </c>
      <c r="H119" s="303">
        <f t="shared" si="3"/>
        <v>4.9400000000000004</v>
      </c>
      <c r="I119" s="572"/>
      <c r="J119" s="549" t="s">
        <v>5804</v>
      </c>
    </row>
    <row r="120" spans="1:23" x14ac:dyDescent="0.35">
      <c r="A120" s="502" t="s">
        <v>1664</v>
      </c>
      <c r="B120" s="301" t="s">
        <v>2269</v>
      </c>
      <c r="C120" s="301" t="s">
        <v>7459</v>
      </c>
      <c r="D120" s="301" t="s">
        <v>1657</v>
      </c>
      <c r="E120" s="301" t="s">
        <v>5765</v>
      </c>
      <c r="F120" s="368">
        <f t="shared" si="7"/>
        <v>5.39</v>
      </c>
      <c r="G120" s="429">
        <v>5.39</v>
      </c>
      <c r="H120" s="303">
        <f t="shared" si="3"/>
        <v>4.3099999999999996</v>
      </c>
      <c r="I120" s="572"/>
      <c r="J120" s="549" t="s">
        <v>5804</v>
      </c>
    </row>
    <row r="121" spans="1:23" x14ac:dyDescent="0.35">
      <c r="A121" s="502" t="s">
        <v>1665</v>
      </c>
      <c r="B121" s="301" t="s">
        <v>2269</v>
      </c>
      <c r="C121" s="301" t="s">
        <v>7459</v>
      </c>
      <c r="D121" s="301" t="s">
        <v>1658</v>
      </c>
      <c r="E121" s="301" t="s">
        <v>5765</v>
      </c>
      <c r="F121" s="368">
        <f t="shared" si="7"/>
        <v>5.19</v>
      </c>
      <c r="G121" s="429">
        <v>5.19</v>
      </c>
      <c r="H121" s="303">
        <f t="shared" si="3"/>
        <v>4.1500000000000004</v>
      </c>
      <c r="I121" s="572"/>
      <c r="J121" s="549" t="s">
        <v>5804</v>
      </c>
    </row>
    <row r="122" spans="1:23" x14ac:dyDescent="0.35">
      <c r="A122" s="502" t="s">
        <v>1666</v>
      </c>
      <c r="B122" s="301" t="s">
        <v>2269</v>
      </c>
      <c r="C122" s="301" t="s">
        <v>7459</v>
      </c>
      <c r="D122" s="301" t="s">
        <v>1659</v>
      </c>
      <c r="E122" s="301" t="s">
        <v>5765</v>
      </c>
      <c r="F122" s="368">
        <f t="shared" si="7"/>
        <v>4.12</v>
      </c>
      <c r="G122" s="429">
        <v>4.12</v>
      </c>
      <c r="H122" s="303">
        <f t="shared" si="3"/>
        <v>3.3</v>
      </c>
      <c r="I122" s="572"/>
      <c r="J122" s="549" t="s">
        <v>5804</v>
      </c>
    </row>
    <row r="123" spans="1:23" x14ac:dyDescent="0.35">
      <c r="A123" s="502" t="s">
        <v>1667</v>
      </c>
      <c r="B123" s="301" t="s">
        <v>2269</v>
      </c>
      <c r="C123" s="301" t="s">
        <v>7459</v>
      </c>
      <c r="D123" s="301" t="s">
        <v>1660</v>
      </c>
      <c r="E123" s="301" t="s">
        <v>5765</v>
      </c>
      <c r="F123" s="368">
        <f t="shared" si="7"/>
        <v>3.33</v>
      </c>
      <c r="G123" s="429">
        <v>3.33</v>
      </c>
      <c r="H123" s="303">
        <f t="shared" si="3"/>
        <v>2.66</v>
      </c>
      <c r="I123" s="572"/>
      <c r="J123" s="549" t="s">
        <v>5804</v>
      </c>
    </row>
    <row r="124" spans="1:23" ht="15.5" x14ac:dyDescent="0.35">
      <c r="A124" s="496"/>
      <c r="B124" s="1"/>
      <c r="C124" s="1"/>
      <c r="D124" s="1"/>
      <c r="E124" s="1"/>
      <c r="F124" s="362"/>
      <c r="G124" s="10"/>
      <c r="H124" s="10" t="str">
        <f t="shared" si="3"/>
        <v/>
      </c>
      <c r="I124" s="566"/>
      <c r="J124" s="549" t="s">
        <v>4179</v>
      </c>
      <c r="M124" s="208" t="s">
        <v>87</v>
      </c>
    </row>
    <row r="125" spans="1:23" x14ac:dyDescent="0.35">
      <c r="A125" s="496"/>
      <c r="B125" s="1"/>
      <c r="C125" s="1"/>
      <c r="D125" s="1"/>
      <c r="E125" s="1"/>
      <c r="F125" s="362"/>
      <c r="G125" s="10"/>
      <c r="H125" s="10" t="str">
        <f t="shared" si="3"/>
        <v/>
      </c>
      <c r="I125" s="566"/>
      <c r="J125" s="549" t="s">
        <v>4179</v>
      </c>
      <c r="N125" s="29" t="s">
        <v>5489</v>
      </c>
      <c r="O125" t="s">
        <v>5406</v>
      </c>
      <c r="P125" t="s">
        <v>2000</v>
      </c>
      <c r="Q125" t="s">
        <v>2001</v>
      </c>
      <c r="R125" t="s">
        <v>2002</v>
      </c>
      <c r="S125" t="s">
        <v>2003</v>
      </c>
      <c r="T125" t="s">
        <v>2004</v>
      </c>
      <c r="U125" t="s">
        <v>1992</v>
      </c>
    </row>
    <row r="126" spans="1:23" x14ac:dyDescent="0.35">
      <c r="A126" s="495" t="s">
        <v>38</v>
      </c>
      <c r="B126" s="356" t="s">
        <v>2269</v>
      </c>
      <c r="C126" s="356" t="s">
        <v>39</v>
      </c>
      <c r="D126" s="356" t="s">
        <v>5406</v>
      </c>
      <c r="E126" s="356"/>
      <c r="F126" s="369">
        <f t="shared" ref="F126:F132" si="9">ROUND(HLOOKUP(D126,$O$125:$U$127,3,FALSE),2)</f>
        <v>12.32</v>
      </c>
      <c r="G126" s="357">
        <f t="shared" ref="G126:G132" si="10">ROUND(HLOOKUP(D126,$O$125:$U$127,2,FALSE),2)</f>
        <v>12.52</v>
      </c>
      <c r="H126" s="357">
        <f t="shared" si="3"/>
        <v>10.02</v>
      </c>
      <c r="I126" s="573"/>
      <c r="J126" s="549" t="s">
        <v>5804</v>
      </c>
      <c r="M126" s="101">
        <v>2014</v>
      </c>
      <c r="N126" s="322" t="s">
        <v>84</v>
      </c>
      <c r="O126" s="261">
        <v>12.52</v>
      </c>
      <c r="P126" s="261">
        <v>8.25</v>
      </c>
      <c r="Q126" s="261">
        <v>6.31</v>
      </c>
      <c r="R126" s="261">
        <v>5.54</v>
      </c>
      <c r="S126" s="261">
        <v>5.34</v>
      </c>
      <c r="T126" s="261">
        <v>4.28</v>
      </c>
      <c r="U126" s="261">
        <v>3.5</v>
      </c>
      <c r="W126" t="s">
        <v>49</v>
      </c>
    </row>
    <row r="127" spans="1:23" x14ac:dyDescent="0.35">
      <c r="A127" s="495" t="s">
        <v>43</v>
      </c>
      <c r="B127" s="356" t="s">
        <v>2269</v>
      </c>
      <c r="C127" s="356" t="s">
        <v>39</v>
      </c>
      <c r="D127" s="356" t="s">
        <v>2000</v>
      </c>
      <c r="E127" s="356"/>
      <c r="F127" s="369">
        <f t="shared" si="9"/>
        <v>8.0500000000000007</v>
      </c>
      <c r="G127" s="357">
        <f t="shared" si="10"/>
        <v>8.25</v>
      </c>
      <c r="H127" s="357">
        <f t="shared" si="3"/>
        <v>6.6</v>
      </c>
      <c r="I127" s="573"/>
      <c r="J127" s="549" t="s">
        <v>5804</v>
      </c>
      <c r="N127" s="322" t="s">
        <v>85</v>
      </c>
      <c r="O127" s="261">
        <f t="shared" ref="O127:U127" si="11">O126-0.2</f>
        <v>12.32</v>
      </c>
      <c r="P127" s="261">
        <f t="shared" si="11"/>
        <v>8.0500000000000007</v>
      </c>
      <c r="Q127" s="261">
        <f t="shared" si="11"/>
        <v>6.1099999999999994</v>
      </c>
      <c r="R127" s="261">
        <f t="shared" si="11"/>
        <v>5.34</v>
      </c>
      <c r="S127" s="261">
        <f t="shared" si="11"/>
        <v>5.14</v>
      </c>
      <c r="T127" s="261">
        <f t="shared" si="11"/>
        <v>4.08</v>
      </c>
      <c r="U127" s="261">
        <f t="shared" si="11"/>
        <v>3.3</v>
      </c>
      <c r="W127" t="s">
        <v>50</v>
      </c>
    </row>
    <row r="128" spans="1:23" x14ac:dyDescent="0.35">
      <c r="A128" s="495" t="s">
        <v>44</v>
      </c>
      <c r="B128" s="356" t="s">
        <v>2269</v>
      </c>
      <c r="C128" s="356" t="s">
        <v>39</v>
      </c>
      <c r="D128" s="356" t="s">
        <v>2001</v>
      </c>
      <c r="E128" s="356"/>
      <c r="F128" s="369">
        <f t="shared" si="9"/>
        <v>6.11</v>
      </c>
      <c r="G128" s="357">
        <f t="shared" si="10"/>
        <v>6.31</v>
      </c>
      <c r="H128" s="357">
        <f t="shared" si="3"/>
        <v>5.05</v>
      </c>
      <c r="I128" s="573"/>
      <c r="J128" s="549" t="s">
        <v>5804</v>
      </c>
      <c r="O128" s="261"/>
    </row>
    <row r="129" spans="1:23" x14ac:dyDescent="0.35">
      <c r="A129" s="495" t="s">
        <v>45</v>
      </c>
      <c r="B129" s="356" t="s">
        <v>2269</v>
      </c>
      <c r="C129" s="356" t="s">
        <v>39</v>
      </c>
      <c r="D129" s="356" t="s">
        <v>2002</v>
      </c>
      <c r="E129" s="356"/>
      <c r="F129" s="369">
        <f t="shared" si="9"/>
        <v>5.34</v>
      </c>
      <c r="G129" s="357">
        <f t="shared" si="10"/>
        <v>5.54</v>
      </c>
      <c r="H129" s="357">
        <f t="shared" si="3"/>
        <v>4.43</v>
      </c>
      <c r="I129" s="573"/>
      <c r="J129" s="549" t="s">
        <v>5804</v>
      </c>
      <c r="O129" s="261"/>
    </row>
    <row r="130" spans="1:23" x14ac:dyDescent="0.35">
      <c r="A130" s="495" t="s">
        <v>46</v>
      </c>
      <c r="B130" s="356" t="s">
        <v>2269</v>
      </c>
      <c r="C130" s="356" t="s">
        <v>39</v>
      </c>
      <c r="D130" s="356" t="s">
        <v>2003</v>
      </c>
      <c r="E130" s="356"/>
      <c r="F130" s="369">
        <f t="shared" si="9"/>
        <v>5.14</v>
      </c>
      <c r="G130" s="357">
        <f t="shared" si="10"/>
        <v>5.34</v>
      </c>
      <c r="H130" s="357">
        <f t="shared" si="3"/>
        <v>4.2699999999999996</v>
      </c>
      <c r="I130" s="573"/>
      <c r="J130" s="549" t="s">
        <v>5804</v>
      </c>
      <c r="O130" s="261"/>
    </row>
    <row r="131" spans="1:23" x14ac:dyDescent="0.35">
      <c r="A131" s="495" t="s">
        <v>47</v>
      </c>
      <c r="B131" s="356" t="s">
        <v>2269</v>
      </c>
      <c r="C131" s="356" t="s">
        <v>39</v>
      </c>
      <c r="D131" s="356" t="s">
        <v>2004</v>
      </c>
      <c r="E131" s="356"/>
      <c r="F131" s="369">
        <f t="shared" si="9"/>
        <v>4.08</v>
      </c>
      <c r="G131" s="357">
        <f t="shared" si="10"/>
        <v>4.28</v>
      </c>
      <c r="H131" s="357">
        <f t="shared" si="3"/>
        <v>3.42</v>
      </c>
      <c r="I131" s="573"/>
      <c r="J131" s="549" t="s">
        <v>5804</v>
      </c>
      <c r="O131" s="261"/>
    </row>
    <row r="132" spans="1:23" x14ac:dyDescent="0.35">
      <c r="A132" s="495" t="s">
        <v>48</v>
      </c>
      <c r="B132" s="356" t="s">
        <v>2269</v>
      </c>
      <c r="C132" s="356" t="s">
        <v>39</v>
      </c>
      <c r="D132" s="356" t="s">
        <v>1992</v>
      </c>
      <c r="E132" s="356"/>
      <c r="F132" s="369">
        <f t="shared" si="9"/>
        <v>3.3</v>
      </c>
      <c r="G132" s="357">
        <f t="shared" si="10"/>
        <v>3.5</v>
      </c>
      <c r="H132" s="357">
        <f t="shared" si="3"/>
        <v>2.8</v>
      </c>
      <c r="I132" s="573"/>
      <c r="J132" s="549" t="s">
        <v>5804</v>
      </c>
      <c r="N132" s="29" t="s">
        <v>5489</v>
      </c>
      <c r="O132" t="s">
        <v>1654</v>
      </c>
      <c r="P132" t="s">
        <v>1655</v>
      </c>
      <c r="Q132" t="s">
        <v>1656</v>
      </c>
      <c r="R132" t="s">
        <v>1657</v>
      </c>
      <c r="S132" t="s">
        <v>1658</v>
      </c>
      <c r="T132" t="s">
        <v>1659</v>
      </c>
      <c r="U132" t="s">
        <v>1660</v>
      </c>
    </row>
    <row r="133" spans="1:23" x14ac:dyDescent="0.35">
      <c r="A133" s="495" t="s">
        <v>51</v>
      </c>
      <c r="B133" s="356" t="s">
        <v>2269</v>
      </c>
      <c r="C133" s="356" t="s">
        <v>40</v>
      </c>
      <c r="D133" s="356" t="s">
        <v>1654</v>
      </c>
      <c r="E133" s="356" t="s">
        <v>5765</v>
      </c>
      <c r="F133" s="369">
        <f t="shared" ref="F133:F139" si="12">ROUND(HLOOKUP($D133,$O$132:$U$134,3,FALSE),2)</f>
        <v>12.52</v>
      </c>
      <c r="G133" s="514">
        <v>12.52</v>
      </c>
      <c r="H133" s="357">
        <f t="shared" si="3"/>
        <v>10.02</v>
      </c>
      <c r="I133" s="573"/>
      <c r="J133" s="549" t="s">
        <v>5804</v>
      </c>
      <c r="M133" s="101">
        <v>2014</v>
      </c>
      <c r="N133" s="322" t="s">
        <v>86</v>
      </c>
      <c r="O133" s="261">
        <v>12.52</v>
      </c>
      <c r="P133" s="261">
        <v>8.25</v>
      </c>
      <c r="Q133" s="261">
        <v>6.31</v>
      </c>
      <c r="R133" s="261">
        <v>5.54</v>
      </c>
      <c r="S133" s="261">
        <v>5.34</v>
      </c>
      <c r="T133" s="261">
        <v>4.28</v>
      </c>
      <c r="U133" s="261">
        <v>3.5</v>
      </c>
      <c r="W133" t="s">
        <v>49</v>
      </c>
    </row>
    <row r="134" spans="1:23" x14ac:dyDescent="0.35">
      <c r="A134" s="495" t="s">
        <v>52</v>
      </c>
      <c r="B134" s="356" t="s">
        <v>2269</v>
      </c>
      <c r="C134" s="356" t="s">
        <v>40</v>
      </c>
      <c r="D134" s="356" t="s">
        <v>1655</v>
      </c>
      <c r="E134" s="356" t="s">
        <v>5765</v>
      </c>
      <c r="F134" s="369">
        <f t="shared" si="12"/>
        <v>8.25</v>
      </c>
      <c r="G134" s="514">
        <v>8.25</v>
      </c>
      <c r="H134" s="357">
        <f t="shared" si="3"/>
        <v>6.6</v>
      </c>
      <c r="I134" s="573"/>
      <c r="J134" s="549" t="s">
        <v>5804</v>
      </c>
      <c r="N134" s="322" t="s">
        <v>85</v>
      </c>
      <c r="O134" s="261">
        <f t="shared" ref="O134:U134" si="13">O133</f>
        <v>12.52</v>
      </c>
      <c r="P134" s="261">
        <f t="shared" si="13"/>
        <v>8.25</v>
      </c>
      <c r="Q134" s="261">
        <f t="shared" si="13"/>
        <v>6.31</v>
      </c>
      <c r="R134" s="261">
        <f t="shared" si="13"/>
        <v>5.54</v>
      </c>
      <c r="S134" s="261">
        <f t="shared" si="13"/>
        <v>5.34</v>
      </c>
      <c r="T134" s="261">
        <f t="shared" si="13"/>
        <v>4.28</v>
      </c>
      <c r="U134" s="261">
        <f t="shared" si="13"/>
        <v>3.5</v>
      </c>
      <c r="W134" t="s">
        <v>50</v>
      </c>
    </row>
    <row r="135" spans="1:23" x14ac:dyDescent="0.35">
      <c r="A135" s="495" t="s">
        <v>53</v>
      </c>
      <c r="B135" s="356" t="s">
        <v>2269</v>
      </c>
      <c r="C135" s="356" t="s">
        <v>40</v>
      </c>
      <c r="D135" s="356" t="s">
        <v>1656</v>
      </c>
      <c r="E135" s="356" t="s">
        <v>5765</v>
      </c>
      <c r="F135" s="369">
        <f t="shared" si="12"/>
        <v>6.31</v>
      </c>
      <c r="G135" s="514">
        <v>6.31</v>
      </c>
      <c r="H135" s="357">
        <f t="shared" si="3"/>
        <v>5.05</v>
      </c>
      <c r="I135" s="573"/>
      <c r="J135" s="549" t="s">
        <v>5804</v>
      </c>
    </row>
    <row r="136" spans="1:23" x14ac:dyDescent="0.35">
      <c r="A136" s="495" t="s">
        <v>54</v>
      </c>
      <c r="B136" s="356" t="s">
        <v>2269</v>
      </c>
      <c r="C136" s="356" t="s">
        <v>40</v>
      </c>
      <c r="D136" s="356" t="s">
        <v>1657</v>
      </c>
      <c r="E136" s="356" t="s">
        <v>5765</v>
      </c>
      <c r="F136" s="369">
        <f t="shared" si="12"/>
        <v>5.54</v>
      </c>
      <c r="G136" s="514">
        <v>5.54</v>
      </c>
      <c r="H136" s="357">
        <f t="shared" si="3"/>
        <v>4.43</v>
      </c>
      <c r="I136" s="573"/>
      <c r="J136" s="549" t="s">
        <v>5804</v>
      </c>
    </row>
    <row r="137" spans="1:23" x14ac:dyDescent="0.35">
      <c r="A137" s="495" t="s">
        <v>55</v>
      </c>
      <c r="B137" s="356" t="s">
        <v>2269</v>
      </c>
      <c r="C137" s="356" t="s">
        <v>40</v>
      </c>
      <c r="D137" s="356" t="s">
        <v>1658</v>
      </c>
      <c r="E137" s="356" t="s">
        <v>5765</v>
      </c>
      <c r="F137" s="369">
        <f t="shared" si="12"/>
        <v>5.34</v>
      </c>
      <c r="G137" s="514">
        <v>5.34</v>
      </c>
      <c r="H137" s="357">
        <f t="shared" si="3"/>
        <v>4.2699999999999996</v>
      </c>
      <c r="I137" s="573"/>
      <c r="J137" s="549" t="s">
        <v>5804</v>
      </c>
    </row>
    <row r="138" spans="1:23" x14ac:dyDescent="0.35">
      <c r="A138" s="495" t="s">
        <v>56</v>
      </c>
      <c r="B138" s="356" t="s">
        <v>2269</v>
      </c>
      <c r="C138" s="356" t="s">
        <v>40</v>
      </c>
      <c r="D138" s="356" t="s">
        <v>1659</v>
      </c>
      <c r="E138" s="356" t="s">
        <v>5765</v>
      </c>
      <c r="F138" s="369">
        <f t="shared" si="12"/>
        <v>4.28</v>
      </c>
      <c r="G138" s="514">
        <v>4.28</v>
      </c>
      <c r="H138" s="357">
        <f t="shared" si="3"/>
        <v>3.42</v>
      </c>
      <c r="I138" s="573"/>
      <c r="J138" s="549" t="s">
        <v>5804</v>
      </c>
    </row>
    <row r="139" spans="1:23" x14ac:dyDescent="0.35">
      <c r="A139" s="495" t="s">
        <v>57</v>
      </c>
      <c r="B139" s="356" t="s">
        <v>2269</v>
      </c>
      <c r="C139" s="356" t="s">
        <v>40</v>
      </c>
      <c r="D139" s="356" t="s">
        <v>1660</v>
      </c>
      <c r="E139" s="356" t="s">
        <v>5765</v>
      </c>
      <c r="F139" s="369">
        <f t="shared" si="12"/>
        <v>3.5</v>
      </c>
      <c r="G139" s="514">
        <v>3.5</v>
      </c>
      <c r="H139" s="357">
        <f t="shared" si="3"/>
        <v>2.8</v>
      </c>
      <c r="I139" s="573"/>
      <c r="J139" s="549" t="s">
        <v>5804</v>
      </c>
    </row>
    <row r="140" spans="1:23" x14ac:dyDescent="0.35">
      <c r="A140" s="496"/>
      <c r="B140" s="1"/>
      <c r="C140" s="1"/>
      <c r="D140" s="1"/>
      <c r="E140" s="1"/>
      <c r="F140" s="362"/>
      <c r="G140" s="10"/>
      <c r="H140" s="10" t="str">
        <f t="shared" si="3"/>
        <v/>
      </c>
      <c r="I140" s="566"/>
      <c r="J140" s="549" t="s">
        <v>4179</v>
      </c>
      <c r="N140" s="29" t="s">
        <v>5489</v>
      </c>
      <c r="O140" t="s">
        <v>5406</v>
      </c>
      <c r="P140" t="s">
        <v>2000</v>
      </c>
      <c r="Q140" t="s">
        <v>2001</v>
      </c>
      <c r="R140" t="s">
        <v>2002</v>
      </c>
      <c r="S140" t="s">
        <v>2003</v>
      </c>
      <c r="T140" t="s">
        <v>2004</v>
      </c>
      <c r="U140" t="s">
        <v>1992</v>
      </c>
    </row>
    <row r="141" spans="1:23" x14ac:dyDescent="0.35">
      <c r="A141" s="495" t="s">
        <v>402</v>
      </c>
      <c r="B141" s="356" t="s">
        <v>2269</v>
      </c>
      <c r="C141" s="356" t="s">
        <v>380</v>
      </c>
      <c r="D141" s="356" t="s">
        <v>5406</v>
      </c>
      <c r="E141" s="356"/>
      <c r="F141" s="369">
        <f t="shared" ref="F141:F147" si="14">ROUND(HLOOKUP(D141,$O$140:$U$142,3,FALSE),2)</f>
        <v>12.32</v>
      </c>
      <c r="G141" s="357">
        <f t="shared" ref="G141:G147" si="15">ROUND(HLOOKUP(D141,$O$140:$U$142,2,FALSE),2)</f>
        <v>12.52</v>
      </c>
      <c r="H141" s="357">
        <f t="shared" si="3"/>
        <v>10.02</v>
      </c>
      <c r="I141" s="573"/>
      <c r="J141" s="549" t="s">
        <v>5804</v>
      </c>
      <c r="M141" s="101">
        <v>2015</v>
      </c>
      <c r="N141" s="322" t="s">
        <v>84</v>
      </c>
      <c r="O141" s="261">
        <v>12.52</v>
      </c>
      <c r="P141" s="261">
        <v>8.25</v>
      </c>
      <c r="Q141" s="261">
        <v>6.31</v>
      </c>
      <c r="R141" s="261">
        <v>5.54</v>
      </c>
      <c r="S141" s="261">
        <v>5.34</v>
      </c>
      <c r="T141" s="261">
        <v>4.28</v>
      </c>
      <c r="U141" s="261">
        <v>3.5</v>
      </c>
      <c r="W141" t="s">
        <v>49</v>
      </c>
    </row>
    <row r="142" spans="1:23" x14ac:dyDescent="0.35">
      <c r="A142" s="495" t="s">
        <v>403</v>
      </c>
      <c r="B142" s="356" t="s">
        <v>2269</v>
      </c>
      <c r="C142" s="356" t="s">
        <v>380</v>
      </c>
      <c r="D142" s="356" t="s">
        <v>2000</v>
      </c>
      <c r="E142" s="356"/>
      <c r="F142" s="369">
        <f t="shared" si="14"/>
        <v>8.0500000000000007</v>
      </c>
      <c r="G142" s="357">
        <f t="shared" si="15"/>
        <v>8.25</v>
      </c>
      <c r="H142" s="357">
        <f t="shared" si="3"/>
        <v>6.6</v>
      </c>
      <c r="I142" s="573"/>
      <c r="J142" s="549" t="s">
        <v>5804</v>
      </c>
      <c r="N142" s="322" t="s">
        <v>85</v>
      </c>
      <c r="O142" s="261">
        <f t="shared" ref="O142:U142" si="16">O141-0.2</f>
        <v>12.32</v>
      </c>
      <c r="P142" s="261">
        <f t="shared" si="16"/>
        <v>8.0500000000000007</v>
      </c>
      <c r="Q142" s="261">
        <f t="shared" si="16"/>
        <v>6.1099999999999994</v>
      </c>
      <c r="R142" s="261">
        <f t="shared" si="16"/>
        <v>5.34</v>
      </c>
      <c r="S142" s="261">
        <f t="shared" si="16"/>
        <v>5.14</v>
      </c>
      <c r="T142" s="261">
        <f t="shared" si="16"/>
        <v>4.08</v>
      </c>
      <c r="U142" s="261">
        <f t="shared" si="16"/>
        <v>3.3</v>
      </c>
      <c r="W142" t="s">
        <v>50</v>
      </c>
    </row>
    <row r="143" spans="1:23" x14ac:dyDescent="0.35">
      <c r="A143" s="495" t="s">
        <v>404</v>
      </c>
      <c r="B143" s="356" t="s">
        <v>2269</v>
      </c>
      <c r="C143" s="356" t="s">
        <v>380</v>
      </c>
      <c r="D143" s="356" t="s">
        <v>2001</v>
      </c>
      <c r="E143" s="356"/>
      <c r="F143" s="369">
        <f t="shared" si="14"/>
        <v>6.11</v>
      </c>
      <c r="G143" s="357">
        <f t="shared" si="15"/>
        <v>6.31</v>
      </c>
      <c r="H143" s="357">
        <f t="shared" si="3"/>
        <v>5.05</v>
      </c>
      <c r="I143" s="573"/>
      <c r="J143" s="549" t="s">
        <v>5804</v>
      </c>
      <c r="O143" s="261"/>
    </row>
    <row r="144" spans="1:23" x14ac:dyDescent="0.35">
      <c r="A144" s="495" t="s">
        <v>405</v>
      </c>
      <c r="B144" s="356" t="s">
        <v>2269</v>
      </c>
      <c r="C144" s="356" t="s">
        <v>380</v>
      </c>
      <c r="D144" s="356" t="s">
        <v>2002</v>
      </c>
      <c r="E144" s="356"/>
      <c r="F144" s="369">
        <f t="shared" si="14"/>
        <v>5.34</v>
      </c>
      <c r="G144" s="357">
        <f t="shared" si="15"/>
        <v>5.54</v>
      </c>
      <c r="H144" s="357">
        <f t="shared" si="3"/>
        <v>4.43</v>
      </c>
      <c r="I144" s="573"/>
      <c r="J144" s="549" t="s">
        <v>5804</v>
      </c>
      <c r="O144" s="261"/>
    </row>
    <row r="145" spans="1:23" x14ac:dyDescent="0.35">
      <c r="A145" s="495" t="s">
        <v>406</v>
      </c>
      <c r="B145" s="356" t="s">
        <v>2269</v>
      </c>
      <c r="C145" s="356" t="s">
        <v>380</v>
      </c>
      <c r="D145" s="356" t="s">
        <v>2003</v>
      </c>
      <c r="E145" s="356"/>
      <c r="F145" s="369">
        <f t="shared" si="14"/>
        <v>5.14</v>
      </c>
      <c r="G145" s="357">
        <f t="shared" si="15"/>
        <v>5.34</v>
      </c>
      <c r="H145" s="357">
        <f t="shared" si="3"/>
        <v>4.2699999999999996</v>
      </c>
      <c r="I145" s="573"/>
      <c r="J145" s="549" t="s">
        <v>5804</v>
      </c>
      <c r="O145" s="261"/>
    </row>
    <row r="146" spans="1:23" x14ac:dyDescent="0.35">
      <c r="A146" s="495" t="s">
        <v>407</v>
      </c>
      <c r="B146" s="356" t="s">
        <v>2269</v>
      </c>
      <c r="C146" s="356" t="s">
        <v>380</v>
      </c>
      <c r="D146" s="356" t="s">
        <v>2004</v>
      </c>
      <c r="E146" s="356"/>
      <c r="F146" s="369">
        <f t="shared" si="14"/>
        <v>4.08</v>
      </c>
      <c r="G146" s="357">
        <f t="shared" si="15"/>
        <v>4.28</v>
      </c>
      <c r="H146" s="357">
        <f t="shared" si="3"/>
        <v>3.42</v>
      </c>
      <c r="I146" s="573"/>
      <c r="J146" s="549" t="s">
        <v>5804</v>
      </c>
      <c r="O146" s="261"/>
    </row>
    <row r="147" spans="1:23" x14ac:dyDescent="0.35">
      <c r="A147" s="495" t="s">
        <v>408</v>
      </c>
      <c r="B147" s="356" t="s">
        <v>2269</v>
      </c>
      <c r="C147" s="356" t="s">
        <v>380</v>
      </c>
      <c r="D147" s="356" t="s">
        <v>1992</v>
      </c>
      <c r="E147" s="356"/>
      <c r="F147" s="369">
        <f t="shared" si="14"/>
        <v>3.3</v>
      </c>
      <c r="G147" s="357">
        <f t="shared" si="15"/>
        <v>3.5</v>
      </c>
      <c r="H147" s="357">
        <f t="shared" si="3"/>
        <v>2.8</v>
      </c>
      <c r="I147" s="573"/>
      <c r="J147" s="549" t="s">
        <v>5804</v>
      </c>
      <c r="N147" s="29" t="s">
        <v>5489</v>
      </c>
      <c r="O147" t="s">
        <v>416</v>
      </c>
      <c r="P147" t="s">
        <v>417</v>
      </c>
      <c r="Q147" t="s">
        <v>418</v>
      </c>
      <c r="R147" t="s">
        <v>419</v>
      </c>
      <c r="S147" t="s">
        <v>420</v>
      </c>
      <c r="T147" t="s">
        <v>421</v>
      </c>
      <c r="U147" t="s">
        <v>422</v>
      </c>
    </row>
    <row r="148" spans="1:23" x14ac:dyDescent="0.35">
      <c r="A148" s="495" t="s">
        <v>409</v>
      </c>
      <c r="B148" s="356" t="s">
        <v>2269</v>
      </c>
      <c r="C148" s="356" t="s">
        <v>5766</v>
      </c>
      <c r="D148" s="356" t="s">
        <v>416</v>
      </c>
      <c r="E148" s="356" t="s">
        <v>5765</v>
      </c>
      <c r="F148" s="369">
        <f t="shared" ref="F148:F154" si="17">ROUND(HLOOKUP($D148,$O$147:$U$149,3,FALSE),2)</f>
        <v>12.52</v>
      </c>
      <c r="G148" s="514">
        <v>12.52</v>
      </c>
      <c r="H148" s="357">
        <f t="shared" si="3"/>
        <v>10.02</v>
      </c>
      <c r="I148" s="573"/>
      <c r="J148" s="549" t="s">
        <v>5804</v>
      </c>
      <c r="M148" s="101">
        <v>2015</v>
      </c>
      <c r="N148" s="322" t="s">
        <v>86</v>
      </c>
      <c r="O148" s="261">
        <v>12.52</v>
      </c>
      <c r="P148" s="261">
        <v>8.25</v>
      </c>
      <c r="Q148" s="261">
        <v>6.31</v>
      </c>
      <c r="R148" s="261">
        <v>5.54</v>
      </c>
      <c r="S148" s="261">
        <v>5.34</v>
      </c>
      <c r="T148" s="261">
        <v>4.28</v>
      </c>
      <c r="U148" s="261">
        <v>3.5</v>
      </c>
      <c r="W148" t="s">
        <v>49</v>
      </c>
    </row>
    <row r="149" spans="1:23" x14ac:dyDescent="0.35">
      <c r="A149" s="495" t="s">
        <v>410</v>
      </c>
      <c r="B149" s="356" t="s">
        <v>2269</v>
      </c>
      <c r="C149" s="356" t="s">
        <v>5766</v>
      </c>
      <c r="D149" s="356" t="s">
        <v>417</v>
      </c>
      <c r="E149" s="356" t="s">
        <v>5765</v>
      </c>
      <c r="F149" s="369">
        <f t="shared" si="17"/>
        <v>8.25</v>
      </c>
      <c r="G149" s="514">
        <v>8.25</v>
      </c>
      <c r="H149" s="357">
        <f t="shared" si="3"/>
        <v>6.6</v>
      </c>
      <c r="I149" s="573"/>
      <c r="J149" s="549" t="s">
        <v>5804</v>
      </c>
      <c r="N149" s="322" t="s">
        <v>85</v>
      </c>
      <c r="O149" s="261">
        <f t="shared" ref="O149:U149" si="18">O148</f>
        <v>12.52</v>
      </c>
      <c r="P149" s="261">
        <f t="shared" si="18"/>
        <v>8.25</v>
      </c>
      <c r="Q149" s="261">
        <f t="shared" si="18"/>
        <v>6.31</v>
      </c>
      <c r="R149" s="261">
        <f t="shared" si="18"/>
        <v>5.54</v>
      </c>
      <c r="S149" s="261">
        <f t="shared" si="18"/>
        <v>5.34</v>
      </c>
      <c r="T149" s="261">
        <f t="shared" si="18"/>
        <v>4.28</v>
      </c>
      <c r="U149" s="261">
        <f t="shared" si="18"/>
        <v>3.5</v>
      </c>
      <c r="W149" t="s">
        <v>50</v>
      </c>
    </row>
    <row r="150" spans="1:23" x14ac:dyDescent="0.35">
      <c r="A150" s="495" t="s">
        <v>411</v>
      </c>
      <c r="B150" s="356" t="s">
        <v>2269</v>
      </c>
      <c r="C150" s="356" t="s">
        <v>5766</v>
      </c>
      <c r="D150" s="356" t="s">
        <v>418</v>
      </c>
      <c r="E150" s="356" t="s">
        <v>5765</v>
      </c>
      <c r="F150" s="369">
        <f t="shared" si="17"/>
        <v>6.31</v>
      </c>
      <c r="G150" s="514">
        <v>6.31</v>
      </c>
      <c r="H150" s="357">
        <f t="shared" si="3"/>
        <v>5.05</v>
      </c>
      <c r="I150" s="573"/>
      <c r="J150" s="549" t="s">
        <v>5804</v>
      </c>
    </row>
    <row r="151" spans="1:23" x14ac:dyDescent="0.35">
      <c r="A151" s="495" t="s">
        <v>412</v>
      </c>
      <c r="B151" s="356" t="s">
        <v>2269</v>
      </c>
      <c r="C151" s="356" t="s">
        <v>5766</v>
      </c>
      <c r="D151" s="356" t="s">
        <v>419</v>
      </c>
      <c r="E151" s="356" t="s">
        <v>5765</v>
      </c>
      <c r="F151" s="369">
        <f t="shared" si="17"/>
        <v>5.54</v>
      </c>
      <c r="G151" s="514">
        <v>5.54</v>
      </c>
      <c r="H151" s="357">
        <f t="shared" si="3"/>
        <v>4.43</v>
      </c>
      <c r="I151" s="573"/>
      <c r="J151" s="549" t="s">
        <v>5804</v>
      </c>
    </row>
    <row r="152" spans="1:23" x14ac:dyDescent="0.35">
      <c r="A152" s="495" t="s">
        <v>413</v>
      </c>
      <c r="B152" s="356" t="s">
        <v>2269</v>
      </c>
      <c r="C152" s="356" t="s">
        <v>5766</v>
      </c>
      <c r="D152" s="356" t="s">
        <v>420</v>
      </c>
      <c r="E152" s="356" t="s">
        <v>5765</v>
      </c>
      <c r="F152" s="369">
        <f t="shared" si="17"/>
        <v>5.34</v>
      </c>
      <c r="G152" s="514">
        <v>5.34</v>
      </c>
      <c r="H152" s="357">
        <f t="shared" si="3"/>
        <v>4.2699999999999996</v>
      </c>
      <c r="I152" s="573"/>
      <c r="J152" s="549" t="s">
        <v>5804</v>
      </c>
    </row>
    <row r="153" spans="1:23" x14ac:dyDescent="0.35">
      <c r="A153" s="495" t="s">
        <v>414</v>
      </c>
      <c r="B153" s="356" t="s">
        <v>2269</v>
      </c>
      <c r="C153" s="356" t="s">
        <v>5766</v>
      </c>
      <c r="D153" s="356" t="s">
        <v>421</v>
      </c>
      <c r="E153" s="356" t="s">
        <v>5765</v>
      </c>
      <c r="F153" s="369">
        <f t="shared" si="17"/>
        <v>4.28</v>
      </c>
      <c r="G153" s="514">
        <v>4.28</v>
      </c>
      <c r="H153" s="357">
        <f t="shared" si="3"/>
        <v>3.42</v>
      </c>
      <c r="I153" s="573"/>
      <c r="J153" s="549" t="s">
        <v>5804</v>
      </c>
    </row>
    <row r="154" spans="1:23" x14ac:dyDescent="0.35">
      <c r="A154" s="495" t="s">
        <v>415</v>
      </c>
      <c r="B154" s="356" t="s">
        <v>2269</v>
      </c>
      <c r="C154" s="356" t="s">
        <v>5766</v>
      </c>
      <c r="D154" s="356" t="s">
        <v>422</v>
      </c>
      <c r="E154" s="356" t="s">
        <v>5765</v>
      </c>
      <c r="F154" s="369">
        <f t="shared" si="17"/>
        <v>3.5</v>
      </c>
      <c r="G154" s="514">
        <v>3.5</v>
      </c>
      <c r="H154" s="357">
        <f t="shared" si="3"/>
        <v>2.8</v>
      </c>
      <c r="I154" s="573"/>
      <c r="J154" s="549" t="s">
        <v>5804</v>
      </c>
    </row>
    <row r="155" spans="1:23" x14ac:dyDescent="0.35">
      <c r="A155" s="496"/>
      <c r="B155" s="1"/>
      <c r="C155" s="1"/>
      <c r="D155" s="1"/>
      <c r="E155" s="1"/>
      <c r="F155" s="362"/>
      <c r="G155" s="10"/>
      <c r="H155" s="10" t="str">
        <f t="shared" si="3"/>
        <v/>
      </c>
      <c r="I155" s="566"/>
      <c r="J155" s="549" t="s">
        <v>4179</v>
      </c>
      <c r="N155" s="29" t="s">
        <v>5489</v>
      </c>
      <c r="O155" t="s">
        <v>5406</v>
      </c>
      <c r="P155" t="s">
        <v>2000</v>
      </c>
      <c r="Q155" t="s">
        <v>2001</v>
      </c>
      <c r="R155" t="s">
        <v>2002</v>
      </c>
      <c r="S155" t="s">
        <v>2003</v>
      </c>
      <c r="T155" t="s">
        <v>2004</v>
      </c>
      <c r="U155" t="s">
        <v>1992</v>
      </c>
    </row>
    <row r="156" spans="1:23" x14ac:dyDescent="0.35">
      <c r="A156" s="495" t="s">
        <v>5646</v>
      </c>
      <c r="B156" s="356" t="s">
        <v>2269</v>
      </c>
      <c r="C156" s="356" t="s">
        <v>5647</v>
      </c>
      <c r="D156" s="356" t="s">
        <v>5406</v>
      </c>
      <c r="E156" s="356"/>
      <c r="F156" s="369">
        <f t="shared" ref="F156:F162" si="19">ROUND(HLOOKUP($D156,$O$155:$U$157,3,FALSE),2)</f>
        <v>12.26</v>
      </c>
      <c r="G156" s="357">
        <f t="shared" ref="G156:G162" si="20">ROUND(HLOOKUP($D156,$O$155:$U$157,2,FALSE),2)</f>
        <v>12.46</v>
      </c>
      <c r="H156" s="357">
        <f t="shared" si="3"/>
        <v>9.9700000000000006</v>
      </c>
      <c r="I156" s="573"/>
      <c r="J156" s="549" t="s">
        <v>5804</v>
      </c>
      <c r="M156" s="101">
        <v>2016</v>
      </c>
      <c r="N156" s="322">
        <v>5.0000000000000001E-3</v>
      </c>
      <c r="O156" s="261">
        <f t="shared" ref="O156:U156" si="21">IF($N156&lt;&gt;"",O141*(100%-$N156),"")</f>
        <v>12.4574</v>
      </c>
      <c r="P156" s="261">
        <f t="shared" si="21"/>
        <v>8.2087500000000002</v>
      </c>
      <c r="Q156" s="261">
        <f t="shared" si="21"/>
        <v>6.2784499999999994</v>
      </c>
      <c r="R156" s="261">
        <f t="shared" si="21"/>
        <v>5.5122999999999998</v>
      </c>
      <c r="S156" s="261">
        <f t="shared" si="21"/>
        <v>5.3132999999999999</v>
      </c>
      <c r="T156" s="261">
        <f t="shared" si="21"/>
        <v>4.2586000000000004</v>
      </c>
      <c r="U156" s="261">
        <f t="shared" si="21"/>
        <v>3.4824999999999999</v>
      </c>
      <c r="W156" t="s">
        <v>49</v>
      </c>
    </row>
    <row r="157" spans="1:23" x14ac:dyDescent="0.35">
      <c r="A157" s="495" t="s">
        <v>5648</v>
      </c>
      <c r="B157" s="356" t="s">
        <v>2269</v>
      </c>
      <c r="C157" s="356" t="s">
        <v>5647</v>
      </c>
      <c r="D157" s="356" t="s">
        <v>2000</v>
      </c>
      <c r="E157" s="356"/>
      <c r="F157" s="369">
        <f t="shared" si="19"/>
        <v>8.01</v>
      </c>
      <c r="G157" s="357">
        <f t="shared" si="20"/>
        <v>8.2100000000000009</v>
      </c>
      <c r="H157" s="357">
        <f t="shared" si="3"/>
        <v>6.57</v>
      </c>
      <c r="I157" s="573"/>
      <c r="J157" s="549" t="s">
        <v>5804</v>
      </c>
      <c r="N157" s="322"/>
      <c r="O157" s="261">
        <f t="shared" ref="O157:U157" si="22">IF($N156&lt;&gt;"",O142*(100%-$N156),"")</f>
        <v>12.2584</v>
      </c>
      <c r="P157" s="261">
        <f t="shared" si="22"/>
        <v>8.0097500000000004</v>
      </c>
      <c r="Q157" s="261">
        <f t="shared" si="22"/>
        <v>6.0794499999999996</v>
      </c>
      <c r="R157" s="261">
        <f t="shared" si="22"/>
        <v>5.3132999999999999</v>
      </c>
      <c r="S157" s="261">
        <f t="shared" si="22"/>
        <v>5.1143000000000001</v>
      </c>
      <c r="T157" s="261">
        <f t="shared" si="22"/>
        <v>4.0595999999999997</v>
      </c>
      <c r="U157" s="261">
        <f t="shared" si="22"/>
        <v>3.2834999999999996</v>
      </c>
      <c r="W157" t="s">
        <v>50</v>
      </c>
    </row>
    <row r="158" spans="1:23" x14ac:dyDescent="0.35">
      <c r="A158" s="495" t="s">
        <v>5649</v>
      </c>
      <c r="B158" s="356" t="s">
        <v>2269</v>
      </c>
      <c r="C158" s="356" t="s">
        <v>5647</v>
      </c>
      <c r="D158" s="356" t="s">
        <v>2001</v>
      </c>
      <c r="E158" s="356"/>
      <c r="F158" s="369">
        <f t="shared" si="19"/>
        <v>6.08</v>
      </c>
      <c r="G158" s="357">
        <f t="shared" si="20"/>
        <v>6.28</v>
      </c>
      <c r="H158" s="357">
        <f t="shared" si="3"/>
        <v>5.0199999999999996</v>
      </c>
      <c r="I158" s="573"/>
      <c r="J158" s="549" t="s">
        <v>5804</v>
      </c>
      <c r="O158" s="261"/>
    </row>
    <row r="159" spans="1:23" x14ac:dyDescent="0.35">
      <c r="A159" s="495" t="s">
        <v>5650</v>
      </c>
      <c r="B159" s="356" t="s">
        <v>2269</v>
      </c>
      <c r="C159" s="356" t="s">
        <v>5647</v>
      </c>
      <c r="D159" s="356" t="s">
        <v>2002</v>
      </c>
      <c r="E159" s="356"/>
      <c r="F159" s="369">
        <f t="shared" si="19"/>
        <v>5.31</v>
      </c>
      <c r="G159" s="357">
        <f t="shared" si="20"/>
        <v>5.51</v>
      </c>
      <c r="H159" s="357">
        <f t="shared" si="3"/>
        <v>4.41</v>
      </c>
      <c r="I159" s="573"/>
      <c r="J159" s="549" t="s">
        <v>5804</v>
      </c>
      <c r="O159" s="261"/>
    </row>
    <row r="160" spans="1:23" x14ac:dyDescent="0.35">
      <c r="A160" s="495" t="s">
        <v>5651</v>
      </c>
      <c r="B160" s="356" t="s">
        <v>2269</v>
      </c>
      <c r="C160" s="356" t="s">
        <v>5647</v>
      </c>
      <c r="D160" s="356" t="s">
        <v>2003</v>
      </c>
      <c r="E160" s="356"/>
      <c r="F160" s="369">
        <f t="shared" si="19"/>
        <v>5.1100000000000003</v>
      </c>
      <c r="G160" s="357">
        <f t="shared" si="20"/>
        <v>5.31</v>
      </c>
      <c r="H160" s="357">
        <f t="shared" si="3"/>
        <v>4.25</v>
      </c>
      <c r="I160" s="573"/>
      <c r="J160" s="549" t="s">
        <v>5804</v>
      </c>
      <c r="O160" s="261"/>
    </row>
    <row r="161" spans="1:23" x14ac:dyDescent="0.35">
      <c r="A161" s="495" t="s">
        <v>5652</v>
      </c>
      <c r="B161" s="356" t="s">
        <v>2269</v>
      </c>
      <c r="C161" s="356" t="s">
        <v>5647</v>
      </c>
      <c r="D161" s="356" t="s">
        <v>2004</v>
      </c>
      <c r="E161" s="356"/>
      <c r="F161" s="369">
        <f t="shared" si="19"/>
        <v>4.0599999999999996</v>
      </c>
      <c r="G161" s="357">
        <f t="shared" si="20"/>
        <v>4.26</v>
      </c>
      <c r="H161" s="357">
        <f t="shared" si="3"/>
        <v>3.41</v>
      </c>
      <c r="I161" s="573"/>
      <c r="J161" s="549" t="s">
        <v>5804</v>
      </c>
      <c r="O161" s="261"/>
    </row>
    <row r="162" spans="1:23" x14ac:dyDescent="0.35">
      <c r="A162" s="495" t="s">
        <v>5653</v>
      </c>
      <c r="B162" s="356" t="s">
        <v>2269</v>
      </c>
      <c r="C162" s="356" t="s">
        <v>5647</v>
      </c>
      <c r="D162" s="356" t="s">
        <v>1992</v>
      </c>
      <c r="E162" s="356"/>
      <c r="F162" s="369">
        <f t="shared" si="19"/>
        <v>3.28</v>
      </c>
      <c r="G162" s="357">
        <f t="shared" si="20"/>
        <v>3.48</v>
      </c>
      <c r="H162" s="357">
        <f t="shared" si="3"/>
        <v>2.78</v>
      </c>
      <c r="I162" s="573"/>
      <c r="J162" s="549" t="s">
        <v>5804</v>
      </c>
      <c r="N162" s="29" t="s">
        <v>5489</v>
      </c>
      <c r="O162" t="s">
        <v>5661</v>
      </c>
      <c r="P162" t="s">
        <v>5662</v>
      </c>
      <c r="Q162" t="s">
        <v>5663</v>
      </c>
      <c r="R162" t="s">
        <v>5664</v>
      </c>
      <c r="S162" t="s">
        <v>5665</v>
      </c>
      <c r="T162" t="s">
        <v>5666</v>
      </c>
      <c r="U162" t="s">
        <v>5667</v>
      </c>
    </row>
    <row r="163" spans="1:23" x14ac:dyDescent="0.35">
      <c r="A163" s="495" t="s">
        <v>5654</v>
      </c>
      <c r="B163" s="356" t="s">
        <v>2269</v>
      </c>
      <c r="C163" s="356" t="s">
        <v>5767</v>
      </c>
      <c r="D163" s="356" t="s">
        <v>5661</v>
      </c>
      <c r="E163" s="356" t="s">
        <v>5765</v>
      </c>
      <c r="F163" s="369">
        <f t="shared" ref="F163:F169" si="23">ROUND(HLOOKUP($D163,$O$162:$U$164,3,FALSE),2)</f>
        <v>12.46</v>
      </c>
      <c r="G163" s="514">
        <v>12.46</v>
      </c>
      <c r="H163" s="357">
        <f t="shared" si="3"/>
        <v>9.9700000000000006</v>
      </c>
      <c r="I163" s="573"/>
      <c r="J163" s="549" t="s">
        <v>5804</v>
      </c>
      <c r="M163" s="101">
        <v>2016</v>
      </c>
      <c r="N163" s="322">
        <f>N156</f>
        <v>5.0000000000000001E-3</v>
      </c>
      <c r="O163" s="261">
        <f t="shared" ref="O163:U163" si="24">IF($N163&lt;&gt;"",O148*(100%-$N163),"")</f>
        <v>12.4574</v>
      </c>
      <c r="P163" s="261">
        <f t="shared" si="24"/>
        <v>8.2087500000000002</v>
      </c>
      <c r="Q163" s="261">
        <f t="shared" si="24"/>
        <v>6.2784499999999994</v>
      </c>
      <c r="R163" s="261">
        <f t="shared" si="24"/>
        <v>5.5122999999999998</v>
      </c>
      <c r="S163" s="261">
        <f t="shared" si="24"/>
        <v>5.3132999999999999</v>
      </c>
      <c r="T163" s="261">
        <f t="shared" si="24"/>
        <v>4.2586000000000004</v>
      </c>
      <c r="U163" s="261">
        <f t="shared" si="24"/>
        <v>3.4824999999999999</v>
      </c>
      <c r="W163" t="s">
        <v>49</v>
      </c>
    </row>
    <row r="164" spans="1:23" x14ac:dyDescent="0.35">
      <c r="A164" s="495" t="s">
        <v>5655</v>
      </c>
      <c r="B164" s="356" t="s">
        <v>2269</v>
      </c>
      <c r="C164" s="356" t="s">
        <v>5767</v>
      </c>
      <c r="D164" s="356" t="s">
        <v>5662</v>
      </c>
      <c r="E164" s="356" t="s">
        <v>5765</v>
      </c>
      <c r="F164" s="369">
        <f t="shared" si="23"/>
        <v>8.2100000000000009</v>
      </c>
      <c r="G164" s="514">
        <v>8.2100000000000009</v>
      </c>
      <c r="H164" s="357">
        <f t="shared" ref="H164:H227" si="25">IF(ISNUMBER(G164),ROUND(0.8*G164,2),"")</f>
        <v>6.57</v>
      </c>
      <c r="I164" s="573"/>
      <c r="J164" s="549" t="s">
        <v>5804</v>
      </c>
      <c r="N164" s="322" t="s">
        <v>85</v>
      </c>
      <c r="O164" s="261">
        <f t="shared" ref="O164:U164" si="26">IF($N163&lt;&gt;"",O149*(100%-$N163),"")</f>
        <v>12.4574</v>
      </c>
      <c r="P164" s="261">
        <f t="shared" si="26"/>
        <v>8.2087500000000002</v>
      </c>
      <c r="Q164" s="261">
        <f t="shared" si="26"/>
        <v>6.2784499999999994</v>
      </c>
      <c r="R164" s="261">
        <f t="shared" si="26"/>
        <v>5.5122999999999998</v>
      </c>
      <c r="S164" s="261">
        <f t="shared" si="26"/>
        <v>5.3132999999999999</v>
      </c>
      <c r="T164" s="261">
        <f t="shared" si="26"/>
        <v>4.2586000000000004</v>
      </c>
      <c r="U164" s="261">
        <f t="shared" si="26"/>
        <v>3.4824999999999999</v>
      </c>
      <c r="W164" t="s">
        <v>50</v>
      </c>
    </row>
    <row r="165" spans="1:23" x14ac:dyDescent="0.35">
      <c r="A165" s="495" t="s">
        <v>5656</v>
      </c>
      <c r="B165" s="356" t="s">
        <v>2269</v>
      </c>
      <c r="C165" s="356" t="s">
        <v>5767</v>
      </c>
      <c r="D165" s="356" t="s">
        <v>5663</v>
      </c>
      <c r="E165" s="356" t="s">
        <v>5765</v>
      </c>
      <c r="F165" s="369">
        <f t="shared" si="23"/>
        <v>6.28</v>
      </c>
      <c r="G165" s="514">
        <v>6.28</v>
      </c>
      <c r="H165" s="357">
        <f t="shared" si="25"/>
        <v>5.0199999999999996</v>
      </c>
      <c r="I165" s="573"/>
      <c r="J165" s="549" t="s">
        <v>5804</v>
      </c>
    </row>
    <row r="166" spans="1:23" x14ac:dyDescent="0.35">
      <c r="A166" s="495" t="s">
        <v>5657</v>
      </c>
      <c r="B166" s="356" t="s">
        <v>2269</v>
      </c>
      <c r="C166" s="356" t="s">
        <v>5767</v>
      </c>
      <c r="D166" s="356" t="s">
        <v>5664</v>
      </c>
      <c r="E166" s="356" t="s">
        <v>5765</v>
      </c>
      <c r="F166" s="369">
        <f t="shared" si="23"/>
        <v>5.51</v>
      </c>
      <c r="G166" s="514">
        <v>5.51</v>
      </c>
      <c r="H166" s="357">
        <f t="shared" si="25"/>
        <v>4.41</v>
      </c>
      <c r="I166" s="573"/>
      <c r="J166" s="549" t="s">
        <v>5804</v>
      </c>
    </row>
    <row r="167" spans="1:23" x14ac:dyDescent="0.35">
      <c r="A167" s="495" t="s">
        <v>5658</v>
      </c>
      <c r="B167" s="356" t="s">
        <v>2269</v>
      </c>
      <c r="C167" s="356" t="s">
        <v>5767</v>
      </c>
      <c r="D167" s="356" t="s">
        <v>5665</v>
      </c>
      <c r="E167" s="356" t="s">
        <v>5765</v>
      </c>
      <c r="F167" s="369">
        <f t="shared" si="23"/>
        <v>5.31</v>
      </c>
      <c r="G167" s="514">
        <v>5.31</v>
      </c>
      <c r="H167" s="357">
        <f t="shared" si="25"/>
        <v>4.25</v>
      </c>
      <c r="I167" s="573"/>
      <c r="J167" s="549" t="s">
        <v>5804</v>
      </c>
    </row>
    <row r="168" spans="1:23" x14ac:dyDescent="0.35">
      <c r="A168" s="495" t="s">
        <v>5659</v>
      </c>
      <c r="B168" s="356" t="s">
        <v>2269</v>
      </c>
      <c r="C168" s="356" t="s">
        <v>5767</v>
      </c>
      <c r="D168" s="356" t="s">
        <v>5666</v>
      </c>
      <c r="E168" s="356" t="s">
        <v>5765</v>
      </c>
      <c r="F168" s="369">
        <f t="shared" si="23"/>
        <v>4.26</v>
      </c>
      <c r="G168" s="514">
        <v>4.26</v>
      </c>
      <c r="H168" s="357">
        <f t="shared" si="25"/>
        <v>3.41</v>
      </c>
      <c r="I168" s="573"/>
      <c r="J168" s="549" t="s">
        <v>5804</v>
      </c>
    </row>
    <row r="169" spans="1:23" x14ac:dyDescent="0.35">
      <c r="A169" s="495" t="s">
        <v>5660</v>
      </c>
      <c r="B169" s="356" t="s">
        <v>2269</v>
      </c>
      <c r="C169" s="356" t="s">
        <v>5767</v>
      </c>
      <c r="D169" s="356" t="s">
        <v>5667</v>
      </c>
      <c r="E169" s="356" t="s">
        <v>5765</v>
      </c>
      <c r="F169" s="369">
        <f t="shared" si="23"/>
        <v>3.48</v>
      </c>
      <c r="G169" s="514">
        <v>3.48</v>
      </c>
      <c r="H169" s="357">
        <f t="shared" si="25"/>
        <v>2.78</v>
      </c>
      <c r="I169" s="573"/>
      <c r="J169" s="549" t="s">
        <v>5804</v>
      </c>
    </row>
    <row r="170" spans="1:23" x14ac:dyDescent="0.35">
      <c r="A170" s="496"/>
      <c r="B170" s="1"/>
      <c r="C170" s="1"/>
      <c r="D170" s="1"/>
      <c r="E170" s="1"/>
      <c r="F170" s="362"/>
      <c r="G170" s="10"/>
      <c r="H170" s="10" t="str">
        <f t="shared" si="25"/>
        <v/>
      </c>
      <c r="I170" s="566"/>
      <c r="J170" s="549" t="s">
        <v>4179</v>
      </c>
      <c r="N170" s="29" t="s">
        <v>5489</v>
      </c>
      <c r="O170" t="s">
        <v>5406</v>
      </c>
      <c r="P170" t="s">
        <v>2000</v>
      </c>
      <c r="Q170" t="s">
        <v>2001</v>
      </c>
      <c r="R170" t="s">
        <v>2002</v>
      </c>
      <c r="S170" t="s">
        <v>2003</v>
      </c>
      <c r="T170" t="s">
        <v>2004</v>
      </c>
      <c r="U170" t="s">
        <v>1992</v>
      </c>
    </row>
    <row r="171" spans="1:23" x14ac:dyDescent="0.35">
      <c r="A171" s="527" t="s">
        <v>5867</v>
      </c>
      <c r="B171" s="526" t="s">
        <v>2269</v>
      </c>
      <c r="C171" s="526" t="s">
        <v>5866</v>
      </c>
      <c r="D171" s="526" t="s">
        <v>5406</v>
      </c>
      <c r="E171" s="526"/>
      <c r="F171" s="538">
        <f t="shared" ref="F171:F177" si="27">ROUND(HLOOKUP($D171,$O$170:$U$172,3,FALSE),2)</f>
        <v>12.2</v>
      </c>
      <c r="G171" s="537">
        <f t="shared" ref="G171:G177" si="28">ROUND(HLOOKUP($D171,$O$170:$U$172,2,FALSE),2)</f>
        <v>12.4</v>
      </c>
      <c r="H171" s="537">
        <f t="shared" si="25"/>
        <v>9.92</v>
      </c>
      <c r="I171" s="574"/>
      <c r="J171" s="549">
        <v>42705</v>
      </c>
      <c r="M171" s="101">
        <v>2017</v>
      </c>
      <c r="N171" s="322" t="s">
        <v>5855</v>
      </c>
      <c r="O171" s="261">
        <v>12.4</v>
      </c>
      <c r="P171" s="261">
        <v>8.17</v>
      </c>
      <c r="Q171" s="261">
        <v>6.25</v>
      </c>
      <c r="R171" s="261">
        <v>5.48</v>
      </c>
      <c r="S171" s="261">
        <v>5.29</v>
      </c>
      <c r="T171" s="261">
        <v>4.24</v>
      </c>
      <c r="U171" s="261">
        <v>3.47</v>
      </c>
      <c r="W171" t="s">
        <v>49</v>
      </c>
    </row>
    <row r="172" spans="1:23" x14ac:dyDescent="0.35">
      <c r="A172" s="527" t="s">
        <v>5868</v>
      </c>
      <c r="B172" s="526" t="s">
        <v>2269</v>
      </c>
      <c r="C172" s="526" t="s">
        <v>5866</v>
      </c>
      <c r="D172" s="526" t="s">
        <v>2000</v>
      </c>
      <c r="E172" s="526"/>
      <c r="F172" s="538">
        <f t="shared" si="27"/>
        <v>7.97</v>
      </c>
      <c r="G172" s="537">
        <f t="shared" si="28"/>
        <v>8.17</v>
      </c>
      <c r="H172" s="537">
        <f t="shared" si="25"/>
        <v>6.54</v>
      </c>
      <c r="I172" s="574"/>
      <c r="J172" s="549">
        <v>42705</v>
      </c>
      <c r="N172" s="322" t="s">
        <v>5857</v>
      </c>
      <c r="O172" s="261">
        <f t="shared" ref="O172:U172" si="29">O171-0.2</f>
        <v>12.200000000000001</v>
      </c>
      <c r="P172" s="261">
        <f t="shared" si="29"/>
        <v>7.97</v>
      </c>
      <c r="Q172" s="261">
        <f t="shared" si="29"/>
        <v>6.05</v>
      </c>
      <c r="R172" s="261">
        <f t="shared" si="29"/>
        <v>5.28</v>
      </c>
      <c r="S172" s="261">
        <f t="shared" si="29"/>
        <v>5.09</v>
      </c>
      <c r="T172" s="261">
        <f t="shared" si="29"/>
        <v>4.04</v>
      </c>
      <c r="U172" s="261">
        <f t="shared" si="29"/>
        <v>3.27</v>
      </c>
      <c r="W172" t="s">
        <v>50</v>
      </c>
    </row>
    <row r="173" spans="1:23" x14ac:dyDescent="0.35">
      <c r="A173" s="527" t="s">
        <v>5869</v>
      </c>
      <c r="B173" s="526" t="s">
        <v>2269</v>
      </c>
      <c r="C173" s="526" t="s">
        <v>5866</v>
      </c>
      <c r="D173" s="526" t="s">
        <v>2001</v>
      </c>
      <c r="E173" s="526"/>
      <c r="F173" s="538">
        <f t="shared" si="27"/>
        <v>6.05</v>
      </c>
      <c r="G173" s="537">
        <f t="shared" si="28"/>
        <v>6.25</v>
      </c>
      <c r="H173" s="537">
        <f t="shared" si="25"/>
        <v>5</v>
      </c>
      <c r="I173" s="574"/>
      <c r="J173" s="549">
        <v>42705</v>
      </c>
      <c r="O173" s="261"/>
    </row>
    <row r="174" spans="1:23" x14ac:dyDescent="0.35">
      <c r="A174" s="527" t="s">
        <v>5870</v>
      </c>
      <c r="B174" s="526" t="s">
        <v>2269</v>
      </c>
      <c r="C174" s="526" t="s">
        <v>5866</v>
      </c>
      <c r="D174" s="526" t="s">
        <v>2002</v>
      </c>
      <c r="E174" s="526"/>
      <c r="F174" s="538">
        <f t="shared" si="27"/>
        <v>5.28</v>
      </c>
      <c r="G174" s="537">
        <f t="shared" si="28"/>
        <v>5.48</v>
      </c>
      <c r="H174" s="537">
        <f t="shared" si="25"/>
        <v>4.38</v>
      </c>
      <c r="I174" s="574"/>
      <c r="J174" s="549">
        <v>42705</v>
      </c>
      <c r="O174" s="261"/>
    </row>
    <row r="175" spans="1:23" x14ac:dyDescent="0.35">
      <c r="A175" s="527" t="s">
        <v>5871</v>
      </c>
      <c r="B175" s="526" t="s">
        <v>2269</v>
      </c>
      <c r="C175" s="526" t="s">
        <v>5866</v>
      </c>
      <c r="D175" s="526" t="s">
        <v>2003</v>
      </c>
      <c r="E175" s="526"/>
      <c r="F175" s="538">
        <f t="shared" si="27"/>
        <v>5.09</v>
      </c>
      <c r="G175" s="537">
        <f t="shared" si="28"/>
        <v>5.29</v>
      </c>
      <c r="H175" s="537">
        <f t="shared" si="25"/>
        <v>4.2300000000000004</v>
      </c>
      <c r="I175" s="574"/>
      <c r="J175" s="549">
        <v>42705</v>
      </c>
      <c r="O175" s="261"/>
    </row>
    <row r="176" spans="1:23" x14ac:dyDescent="0.35">
      <c r="A176" s="527" t="s">
        <v>5872</v>
      </c>
      <c r="B176" s="526" t="s">
        <v>2269</v>
      </c>
      <c r="C176" s="526" t="s">
        <v>5866</v>
      </c>
      <c r="D176" s="526" t="s">
        <v>2004</v>
      </c>
      <c r="E176" s="526"/>
      <c r="F176" s="538">
        <f t="shared" si="27"/>
        <v>4.04</v>
      </c>
      <c r="G176" s="537">
        <f t="shared" si="28"/>
        <v>4.24</v>
      </c>
      <c r="H176" s="537">
        <f t="shared" si="25"/>
        <v>3.39</v>
      </c>
      <c r="I176" s="574"/>
      <c r="J176" s="549">
        <v>42705</v>
      </c>
      <c r="O176" s="261"/>
    </row>
    <row r="177" spans="1:23" x14ac:dyDescent="0.35">
      <c r="A177" s="527" t="s">
        <v>5873</v>
      </c>
      <c r="B177" s="526" t="s">
        <v>2269</v>
      </c>
      <c r="C177" s="526" t="s">
        <v>5866</v>
      </c>
      <c r="D177" s="526" t="s">
        <v>1992</v>
      </c>
      <c r="E177" s="526"/>
      <c r="F177" s="538">
        <f t="shared" si="27"/>
        <v>3.27</v>
      </c>
      <c r="G177" s="537">
        <f t="shared" si="28"/>
        <v>3.47</v>
      </c>
      <c r="H177" s="537">
        <f t="shared" si="25"/>
        <v>2.78</v>
      </c>
      <c r="I177" s="574"/>
      <c r="J177" s="549">
        <v>42705</v>
      </c>
      <c r="N177" s="29" t="s">
        <v>5489</v>
      </c>
      <c r="O177" t="s">
        <v>5858</v>
      </c>
      <c r="P177" t="s">
        <v>5859</v>
      </c>
      <c r="Q177" t="s">
        <v>5860</v>
      </c>
      <c r="R177" t="s">
        <v>5861</v>
      </c>
      <c r="S177" t="s">
        <v>5862</v>
      </c>
      <c r="T177" t="s">
        <v>5863</v>
      </c>
      <c r="U177" t="s">
        <v>5864</v>
      </c>
    </row>
    <row r="178" spans="1:23" x14ac:dyDescent="0.35">
      <c r="A178" s="527" t="s">
        <v>5874</v>
      </c>
      <c r="B178" s="526" t="s">
        <v>2269</v>
      </c>
      <c r="C178" s="526" t="s">
        <v>5865</v>
      </c>
      <c r="D178" s="526" t="s">
        <v>5858</v>
      </c>
      <c r="E178" s="526" t="s">
        <v>5765</v>
      </c>
      <c r="F178" s="538">
        <f t="shared" ref="F178:F184" si="30">ROUND(HLOOKUP($D178,$O$177:$U$179,3,FALSE),2)</f>
        <v>12.2</v>
      </c>
      <c r="G178" s="537">
        <f t="shared" ref="G178:G184" si="31">ROUND(HLOOKUP($D178,$O$177:$U$179,2,FALSE),2)</f>
        <v>12.4</v>
      </c>
      <c r="H178" s="537">
        <f t="shared" si="25"/>
        <v>9.92</v>
      </c>
      <c r="I178" s="574"/>
      <c r="J178" s="549">
        <v>42705</v>
      </c>
      <c r="M178" s="101">
        <v>2017</v>
      </c>
      <c r="N178" s="322" t="s">
        <v>5856</v>
      </c>
      <c r="O178" s="616">
        <v>12.4</v>
      </c>
      <c r="P178" s="616">
        <v>8.17</v>
      </c>
      <c r="Q178" s="616">
        <v>6.25</v>
      </c>
      <c r="R178" s="616">
        <v>5.48</v>
      </c>
      <c r="S178" s="616">
        <v>5.29</v>
      </c>
      <c r="T178" s="616">
        <v>4.24</v>
      </c>
      <c r="U178" s="616">
        <v>3.47</v>
      </c>
      <c r="V178" s="564"/>
      <c r="W178" t="s">
        <v>49</v>
      </c>
    </row>
    <row r="179" spans="1:23" x14ac:dyDescent="0.35">
      <c r="A179" s="527" t="s">
        <v>5875</v>
      </c>
      <c r="B179" s="526" t="s">
        <v>2269</v>
      </c>
      <c r="C179" s="526" t="s">
        <v>5865</v>
      </c>
      <c r="D179" s="526" t="s">
        <v>5859</v>
      </c>
      <c r="E179" s="526" t="s">
        <v>5765</v>
      </c>
      <c r="F179" s="538">
        <f t="shared" si="30"/>
        <v>7.97</v>
      </c>
      <c r="G179" s="537">
        <f t="shared" si="31"/>
        <v>8.17</v>
      </c>
      <c r="H179" s="537">
        <f t="shared" si="25"/>
        <v>6.54</v>
      </c>
      <c r="I179" s="574"/>
      <c r="J179" s="549">
        <v>42705</v>
      </c>
      <c r="N179" s="322" t="s">
        <v>5857</v>
      </c>
      <c r="O179" s="261">
        <f t="shared" ref="O179:U179" si="32">O178-0.2</f>
        <v>12.200000000000001</v>
      </c>
      <c r="P179" s="261">
        <f t="shared" si="32"/>
        <v>7.97</v>
      </c>
      <c r="Q179" s="261">
        <f t="shared" si="32"/>
        <v>6.05</v>
      </c>
      <c r="R179" s="261">
        <f t="shared" si="32"/>
        <v>5.28</v>
      </c>
      <c r="S179" s="261">
        <f t="shared" si="32"/>
        <v>5.09</v>
      </c>
      <c r="T179" s="261">
        <f t="shared" si="32"/>
        <v>4.04</v>
      </c>
      <c r="U179" s="261">
        <f t="shared" si="32"/>
        <v>3.27</v>
      </c>
      <c r="W179" t="s">
        <v>50</v>
      </c>
    </row>
    <row r="180" spans="1:23" x14ac:dyDescent="0.35">
      <c r="A180" s="527" t="s">
        <v>5876</v>
      </c>
      <c r="B180" s="526" t="s">
        <v>2269</v>
      </c>
      <c r="C180" s="526" t="s">
        <v>5865</v>
      </c>
      <c r="D180" s="526" t="s">
        <v>5860</v>
      </c>
      <c r="E180" s="526" t="s">
        <v>5765</v>
      </c>
      <c r="F180" s="538">
        <f t="shared" si="30"/>
        <v>6.05</v>
      </c>
      <c r="G180" s="537">
        <f t="shared" si="31"/>
        <v>6.25</v>
      </c>
      <c r="H180" s="537">
        <f t="shared" si="25"/>
        <v>5</v>
      </c>
      <c r="I180" s="574"/>
      <c r="J180" s="549">
        <v>42705</v>
      </c>
    </row>
    <row r="181" spans="1:23" x14ac:dyDescent="0.35">
      <c r="A181" s="527" t="s">
        <v>5877</v>
      </c>
      <c r="B181" s="526" t="s">
        <v>2269</v>
      </c>
      <c r="C181" s="526" t="s">
        <v>5865</v>
      </c>
      <c r="D181" s="526" t="s">
        <v>5861</v>
      </c>
      <c r="E181" s="526" t="s">
        <v>5765</v>
      </c>
      <c r="F181" s="538">
        <f t="shared" si="30"/>
        <v>5.28</v>
      </c>
      <c r="G181" s="537">
        <f t="shared" si="31"/>
        <v>5.48</v>
      </c>
      <c r="H181" s="537">
        <f t="shared" si="25"/>
        <v>4.38</v>
      </c>
      <c r="I181" s="574"/>
      <c r="J181" s="549">
        <v>42705</v>
      </c>
    </row>
    <row r="182" spans="1:23" x14ac:dyDescent="0.35">
      <c r="A182" s="527" t="s">
        <v>5878</v>
      </c>
      <c r="B182" s="526" t="s">
        <v>2269</v>
      </c>
      <c r="C182" s="526" t="s">
        <v>5865</v>
      </c>
      <c r="D182" s="526" t="s">
        <v>5862</v>
      </c>
      <c r="E182" s="526" t="s">
        <v>5765</v>
      </c>
      <c r="F182" s="538">
        <f t="shared" si="30"/>
        <v>5.09</v>
      </c>
      <c r="G182" s="537">
        <f t="shared" si="31"/>
        <v>5.29</v>
      </c>
      <c r="H182" s="537">
        <f t="shared" si="25"/>
        <v>4.2300000000000004</v>
      </c>
      <c r="I182" s="574"/>
      <c r="J182" s="549">
        <v>42705</v>
      </c>
    </row>
    <row r="183" spans="1:23" x14ac:dyDescent="0.35">
      <c r="A183" s="527" t="s">
        <v>5879</v>
      </c>
      <c r="B183" s="526" t="s">
        <v>2269</v>
      </c>
      <c r="C183" s="526" t="s">
        <v>5865</v>
      </c>
      <c r="D183" s="526" t="s">
        <v>5863</v>
      </c>
      <c r="E183" s="526" t="s">
        <v>5765</v>
      </c>
      <c r="F183" s="538">
        <f t="shared" si="30"/>
        <v>4.04</v>
      </c>
      <c r="G183" s="537">
        <f t="shared" si="31"/>
        <v>4.24</v>
      </c>
      <c r="H183" s="537">
        <f t="shared" si="25"/>
        <v>3.39</v>
      </c>
      <c r="I183" s="574"/>
      <c r="J183" s="549">
        <v>42705</v>
      </c>
    </row>
    <row r="184" spans="1:23" x14ac:dyDescent="0.35">
      <c r="A184" s="527" t="s">
        <v>5880</v>
      </c>
      <c r="B184" s="526" t="s">
        <v>2269</v>
      </c>
      <c r="C184" s="526" t="s">
        <v>5865</v>
      </c>
      <c r="D184" s="526" t="s">
        <v>5864</v>
      </c>
      <c r="E184" s="526" t="s">
        <v>5765</v>
      </c>
      <c r="F184" s="538">
        <f t="shared" si="30"/>
        <v>3.27</v>
      </c>
      <c r="G184" s="537">
        <f t="shared" si="31"/>
        <v>3.47</v>
      </c>
      <c r="H184" s="537">
        <f t="shared" si="25"/>
        <v>2.78</v>
      </c>
      <c r="I184" s="574"/>
      <c r="J184" s="549">
        <v>42705</v>
      </c>
    </row>
    <row r="185" spans="1:23" x14ac:dyDescent="0.35">
      <c r="A185" s="496"/>
      <c r="B185" s="1"/>
      <c r="C185" s="1"/>
      <c r="D185" s="1"/>
      <c r="E185" s="1"/>
      <c r="F185" s="362"/>
      <c r="G185" s="10"/>
      <c r="H185" s="10" t="str">
        <f t="shared" si="25"/>
        <v/>
      </c>
      <c r="I185" s="566"/>
      <c r="J185" s="549" t="s">
        <v>4179</v>
      </c>
      <c r="N185" s="29" t="s">
        <v>5489</v>
      </c>
      <c r="O185" t="s">
        <v>5406</v>
      </c>
      <c r="P185" t="s">
        <v>2000</v>
      </c>
      <c r="Q185" t="s">
        <v>2001</v>
      </c>
      <c r="R185" t="s">
        <v>2002</v>
      </c>
      <c r="S185" t="s">
        <v>2003</v>
      </c>
      <c r="T185" t="s">
        <v>2004</v>
      </c>
      <c r="U185" t="s">
        <v>1992</v>
      </c>
    </row>
    <row r="186" spans="1:23" x14ac:dyDescent="0.35">
      <c r="A186" s="527" t="s">
        <v>6304</v>
      </c>
      <c r="B186" s="526" t="s">
        <v>2269</v>
      </c>
      <c r="C186" s="526" t="s">
        <v>6186</v>
      </c>
      <c r="D186" s="526" t="s">
        <v>5406</v>
      </c>
      <c r="E186" s="526"/>
      <c r="F186" s="538">
        <f t="shared" ref="F186:F192" si="33">ROUND(HLOOKUP($D186,$O$185:$U$187,3,FALSE),2)</f>
        <v>12.14</v>
      </c>
      <c r="G186" s="537">
        <f t="shared" ref="G186:G192" si="34">ROUND(HLOOKUP($D186,$O$185:$U$187,2,FALSE),2)</f>
        <v>12.34</v>
      </c>
      <c r="H186" s="537">
        <f t="shared" si="25"/>
        <v>9.8699999999999992</v>
      </c>
      <c r="I186" s="574"/>
      <c r="J186" s="549">
        <v>43077</v>
      </c>
      <c r="M186" s="101">
        <v>2018</v>
      </c>
      <c r="N186" s="322">
        <v>5.0000000000000001E-3</v>
      </c>
      <c r="O186" s="261">
        <f t="shared" ref="O186:U186" si="35">IF($N186&lt;&gt;"",O171*(100%-$N186),"")</f>
        <v>12.338000000000001</v>
      </c>
      <c r="P186" s="261">
        <f t="shared" si="35"/>
        <v>8.1291499999999992</v>
      </c>
      <c r="Q186" s="261">
        <f t="shared" si="35"/>
        <v>6.21875</v>
      </c>
      <c r="R186" s="261">
        <f t="shared" si="35"/>
        <v>5.4526000000000003</v>
      </c>
      <c r="S186" s="261">
        <f t="shared" si="35"/>
        <v>5.2635500000000004</v>
      </c>
      <c r="T186" s="261">
        <f t="shared" si="35"/>
        <v>4.2187999999999999</v>
      </c>
      <c r="U186" s="261">
        <f t="shared" si="35"/>
        <v>3.4526500000000002</v>
      </c>
      <c r="W186" t="s">
        <v>49</v>
      </c>
    </row>
    <row r="187" spans="1:23" x14ac:dyDescent="0.35">
      <c r="A187" s="527" t="s">
        <v>6291</v>
      </c>
      <c r="B187" s="526" t="s">
        <v>2269</v>
      </c>
      <c r="C187" s="526" t="s">
        <v>6186</v>
      </c>
      <c r="D187" s="526" t="s">
        <v>2000</v>
      </c>
      <c r="E187" s="526"/>
      <c r="F187" s="538">
        <f t="shared" si="33"/>
        <v>7.93</v>
      </c>
      <c r="G187" s="537">
        <f t="shared" si="34"/>
        <v>8.1300000000000008</v>
      </c>
      <c r="H187" s="537">
        <f t="shared" si="25"/>
        <v>6.5</v>
      </c>
      <c r="I187" s="574"/>
      <c r="J187" s="549">
        <v>43077</v>
      </c>
      <c r="N187" s="322" t="s">
        <v>5857</v>
      </c>
      <c r="O187" s="261">
        <f t="shared" ref="O187:U187" si="36">O186-0.2</f>
        <v>12.138000000000002</v>
      </c>
      <c r="P187" s="261">
        <f t="shared" si="36"/>
        <v>7.929149999999999</v>
      </c>
      <c r="Q187" s="261">
        <f t="shared" si="36"/>
        <v>6.0187499999999998</v>
      </c>
      <c r="R187" s="261">
        <f t="shared" si="36"/>
        <v>5.2526000000000002</v>
      </c>
      <c r="S187" s="261">
        <f t="shared" si="36"/>
        <v>5.0635500000000002</v>
      </c>
      <c r="T187" s="261">
        <f t="shared" si="36"/>
        <v>4.0187999999999997</v>
      </c>
      <c r="U187" s="261">
        <f t="shared" si="36"/>
        <v>3.25265</v>
      </c>
      <c r="W187" t="s">
        <v>50</v>
      </c>
    </row>
    <row r="188" spans="1:23" x14ac:dyDescent="0.35">
      <c r="A188" s="527" t="s">
        <v>6292</v>
      </c>
      <c r="B188" s="526" t="s">
        <v>2269</v>
      </c>
      <c r="C188" s="526" t="s">
        <v>6186</v>
      </c>
      <c r="D188" s="526" t="s">
        <v>2001</v>
      </c>
      <c r="E188" s="526"/>
      <c r="F188" s="538">
        <f t="shared" si="33"/>
        <v>6.02</v>
      </c>
      <c r="G188" s="537">
        <f t="shared" si="34"/>
        <v>6.22</v>
      </c>
      <c r="H188" s="537">
        <f t="shared" si="25"/>
        <v>4.9800000000000004</v>
      </c>
      <c r="I188" s="574"/>
      <c r="J188" s="549">
        <v>43077</v>
      </c>
      <c r="O188" s="261"/>
    </row>
    <row r="189" spans="1:23" x14ac:dyDescent="0.35">
      <c r="A189" s="527" t="s">
        <v>6293</v>
      </c>
      <c r="B189" s="526" t="s">
        <v>2269</v>
      </c>
      <c r="C189" s="526" t="s">
        <v>6186</v>
      </c>
      <c r="D189" s="526" t="s">
        <v>2002</v>
      </c>
      <c r="E189" s="526"/>
      <c r="F189" s="538">
        <f t="shared" si="33"/>
        <v>5.25</v>
      </c>
      <c r="G189" s="537">
        <f t="shared" si="34"/>
        <v>5.45</v>
      </c>
      <c r="H189" s="537">
        <f t="shared" si="25"/>
        <v>4.3600000000000003</v>
      </c>
      <c r="I189" s="574"/>
      <c r="J189" s="549">
        <v>43077</v>
      </c>
      <c r="O189" s="261"/>
    </row>
    <row r="190" spans="1:23" x14ac:dyDescent="0.35">
      <c r="A190" s="527" t="s">
        <v>6294</v>
      </c>
      <c r="B190" s="526" t="s">
        <v>2269</v>
      </c>
      <c r="C190" s="526" t="s">
        <v>6186</v>
      </c>
      <c r="D190" s="526" t="s">
        <v>2003</v>
      </c>
      <c r="E190" s="526"/>
      <c r="F190" s="538">
        <f t="shared" si="33"/>
        <v>5.0599999999999996</v>
      </c>
      <c r="G190" s="537">
        <f t="shared" si="34"/>
        <v>5.26</v>
      </c>
      <c r="H190" s="537">
        <f t="shared" si="25"/>
        <v>4.21</v>
      </c>
      <c r="I190" s="574"/>
      <c r="J190" s="549">
        <v>43077</v>
      </c>
      <c r="O190" s="261"/>
    </row>
    <row r="191" spans="1:23" x14ac:dyDescent="0.35">
      <c r="A191" s="527" t="s">
        <v>6295</v>
      </c>
      <c r="B191" s="526" t="s">
        <v>2269</v>
      </c>
      <c r="C191" s="526" t="s">
        <v>6186</v>
      </c>
      <c r="D191" s="526" t="s">
        <v>2004</v>
      </c>
      <c r="E191" s="526"/>
      <c r="F191" s="538">
        <f t="shared" si="33"/>
        <v>4.0199999999999996</v>
      </c>
      <c r="G191" s="537">
        <f t="shared" si="34"/>
        <v>4.22</v>
      </c>
      <c r="H191" s="537">
        <f t="shared" si="25"/>
        <v>3.38</v>
      </c>
      <c r="I191" s="574"/>
      <c r="J191" s="549">
        <v>43077</v>
      </c>
      <c r="O191" s="261"/>
    </row>
    <row r="192" spans="1:23" x14ac:dyDescent="0.35">
      <c r="A192" s="527" t="s">
        <v>6296</v>
      </c>
      <c r="B192" s="526" t="s">
        <v>2269</v>
      </c>
      <c r="C192" s="526" t="s">
        <v>6186</v>
      </c>
      <c r="D192" s="526" t="s">
        <v>1992</v>
      </c>
      <c r="E192" s="526"/>
      <c r="F192" s="538">
        <f t="shared" si="33"/>
        <v>3.25</v>
      </c>
      <c r="G192" s="537">
        <f t="shared" si="34"/>
        <v>3.45</v>
      </c>
      <c r="H192" s="537">
        <f t="shared" si="25"/>
        <v>2.76</v>
      </c>
      <c r="I192" s="574"/>
      <c r="J192" s="549">
        <v>43077</v>
      </c>
      <c r="N192" s="29" t="s">
        <v>5489</v>
      </c>
      <c r="O192" t="s">
        <v>6188</v>
      </c>
      <c r="P192" t="s">
        <v>6189</v>
      </c>
      <c r="Q192" t="s">
        <v>6190</v>
      </c>
      <c r="R192" t="s">
        <v>6191</v>
      </c>
      <c r="S192" t="s">
        <v>6192</v>
      </c>
      <c r="T192" t="s">
        <v>6193</v>
      </c>
      <c r="U192" t="s">
        <v>6194</v>
      </c>
    </row>
    <row r="193" spans="1:23" x14ac:dyDescent="0.35">
      <c r="A193" s="527" t="s">
        <v>6297</v>
      </c>
      <c r="B193" s="526" t="s">
        <v>2269</v>
      </c>
      <c r="C193" s="526" t="s">
        <v>6187</v>
      </c>
      <c r="D193" s="526" t="s">
        <v>6188</v>
      </c>
      <c r="E193" s="526" t="s">
        <v>5765</v>
      </c>
      <c r="F193" s="538">
        <f t="shared" ref="F193:F199" si="37">ROUND(HLOOKUP($D193,$O$192:$U$194,3,FALSE),2)</f>
        <v>12.14</v>
      </c>
      <c r="G193" s="537">
        <f t="shared" ref="G193:G199" si="38">ROUND(HLOOKUP($D193,$O$192:$U$194,2,FALSE),2)</f>
        <v>12.34</v>
      </c>
      <c r="H193" s="537">
        <f t="shared" si="25"/>
        <v>9.8699999999999992</v>
      </c>
      <c r="I193" s="574"/>
      <c r="J193" s="549">
        <v>43077</v>
      </c>
      <c r="M193" s="101">
        <v>2018</v>
      </c>
      <c r="N193" s="322">
        <f>N186</f>
        <v>5.0000000000000001E-3</v>
      </c>
      <c r="O193" s="616">
        <f t="shared" ref="O193:U193" si="39">IF($N193&lt;&gt;"",O178*(100%-$N193),"")</f>
        <v>12.338000000000001</v>
      </c>
      <c r="P193" s="616">
        <f t="shared" si="39"/>
        <v>8.1291499999999992</v>
      </c>
      <c r="Q193" s="616">
        <f t="shared" si="39"/>
        <v>6.21875</v>
      </c>
      <c r="R193" s="616">
        <f t="shared" si="39"/>
        <v>5.4526000000000003</v>
      </c>
      <c r="S193" s="616">
        <f t="shared" si="39"/>
        <v>5.2635500000000004</v>
      </c>
      <c r="T193" s="616">
        <f t="shared" si="39"/>
        <v>4.2187999999999999</v>
      </c>
      <c r="U193" s="616">
        <f t="shared" si="39"/>
        <v>3.4526500000000002</v>
      </c>
      <c r="W193" t="s">
        <v>49</v>
      </c>
    </row>
    <row r="194" spans="1:23" x14ac:dyDescent="0.35">
      <c r="A194" s="527" t="s">
        <v>6298</v>
      </c>
      <c r="B194" s="526" t="s">
        <v>2269</v>
      </c>
      <c r="C194" s="526" t="s">
        <v>6187</v>
      </c>
      <c r="D194" s="526" t="s">
        <v>6189</v>
      </c>
      <c r="E194" s="526" t="s">
        <v>5765</v>
      </c>
      <c r="F194" s="538">
        <f t="shared" si="37"/>
        <v>7.93</v>
      </c>
      <c r="G194" s="537">
        <f t="shared" si="38"/>
        <v>8.1300000000000008</v>
      </c>
      <c r="H194" s="537">
        <f t="shared" si="25"/>
        <v>6.5</v>
      </c>
      <c r="I194" s="574"/>
      <c r="J194" s="549">
        <v>43077</v>
      </c>
      <c r="N194" s="322" t="s">
        <v>5857</v>
      </c>
      <c r="O194" s="261">
        <f t="shared" ref="O194:U194" si="40">O193-0.2</f>
        <v>12.138000000000002</v>
      </c>
      <c r="P194" s="261">
        <f t="shared" si="40"/>
        <v>7.929149999999999</v>
      </c>
      <c r="Q194" s="261">
        <f t="shared" si="40"/>
        <v>6.0187499999999998</v>
      </c>
      <c r="R194" s="261">
        <f t="shared" si="40"/>
        <v>5.2526000000000002</v>
      </c>
      <c r="S194" s="261">
        <f t="shared" si="40"/>
        <v>5.0635500000000002</v>
      </c>
      <c r="T194" s="261">
        <f t="shared" si="40"/>
        <v>4.0187999999999997</v>
      </c>
      <c r="U194" s="261">
        <f t="shared" si="40"/>
        <v>3.25265</v>
      </c>
      <c r="W194" t="s">
        <v>50</v>
      </c>
    </row>
    <row r="195" spans="1:23" x14ac:dyDescent="0.35">
      <c r="A195" s="527" t="s">
        <v>6299</v>
      </c>
      <c r="B195" s="526" t="s">
        <v>2269</v>
      </c>
      <c r="C195" s="526" t="s">
        <v>6187</v>
      </c>
      <c r="D195" s="526" t="s">
        <v>6190</v>
      </c>
      <c r="E195" s="526" t="s">
        <v>5765</v>
      </c>
      <c r="F195" s="538">
        <f t="shared" si="37"/>
        <v>6.02</v>
      </c>
      <c r="G195" s="537">
        <f t="shared" si="38"/>
        <v>6.22</v>
      </c>
      <c r="H195" s="537">
        <f t="shared" si="25"/>
        <v>4.9800000000000004</v>
      </c>
      <c r="I195" s="574"/>
      <c r="J195" s="549">
        <v>43077</v>
      </c>
    </row>
    <row r="196" spans="1:23" x14ac:dyDescent="0.35">
      <c r="A196" s="527" t="s">
        <v>6300</v>
      </c>
      <c r="B196" s="526" t="s">
        <v>2269</v>
      </c>
      <c r="C196" s="526" t="s">
        <v>6187</v>
      </c>
      <c r="D196" s="526" t="s">
        <v>6191</v>
      </c>
      <c r="E196" s="526" t="s">
        <v>5765</v>
      </c>
      <c r="F196" s="538">
        <f t="shared" si="37"/>
        <v>5.25</v>
      </c>
      <c r="G196" s="537">
        <f t="shared" si="38"/>
        <v>5.45</v>
      </c>
      <c r="H196" s="537">
        <f t="shared" si="25"/>
        <v>4.3600000000000003</v>
      </c>
      <c r="I196" s="574"/>
      <c r="J196" s="549">
        <v>43077</v>
      </c>
    </row>
    <row r="197" spans="1:23" x14ac:dyDescent="0.35">
      <c r="A197" s="527" t="s">
        <v>6301</v>
      </c>
      <c r="B197" s="526" t="s">
        <v>2269</v>
      </c>
      <c r="C197" s="526" t="s">
        <v>6187</v>
      </c>
      <c r="D197" s="526" t="s">
        <v>6192</v>
      </c>
      <c r="E197" s="526" t="s">
        <v>5765</v>
      </c>
      <c r="F197" s="538">
        <f t="shared" si="37"/>
        <v>5.0599999999999996</v>
      </c>
      <c r="G197" s="537">
        <f t="shared" si="38"/>
        <v>5.26</v>
      </c>
      <c r="H197" s="537">
        <f t="shared" si="25"/>
        <v>4.21</v>
      </c>
      <c r="I197" s="574"/>
      <c r="J197" s="549">
        <v>43077</v>
      </c>
    </row>
    <row r="198" spans="1:23" x14ac:dyDescent="0.35">
      <c r="A198" s="527" t="s">
        <v>6302</v>
      </c>
      <c r="B198" s="526" t="s">
        <v>2269</v>
      </c>
      <c r="C198" s="526" t="s">
        <v>6187</v>
      </c>
      <c r="D198" s="526" t="s">
        <v>6193</v>
      </c>
      <c r="E198" s="526" t="s">
        <v>5765</v>
      </c>
      <c r="F198" s="538">
        <f t="shared" si="37"/>
        <v>4.0199999999999996</v>
      </c>
      <c r="G198" s="537">
        <f t="shared" si="38"/>
        <v>4.22</v>
      </c>
      <c r="H198" s="537">
        <f t="shared" si="25"/>
        <v>3.38</v>
      </c>
      <c r="I198" s="574"/>
      <c r="J198" s="549">
        <v>43077</v>
      </c>
    </row>
    <row r="199" spans="1:23" x14ac:dyDescent="0.35">
      <c r="A199" s="527" t="s">
        <v>6303</v>
      </c>
      <c r="B199" s="526" t="s">
        <v>2269</v>
      </c>
      <c r="C199" s="526" t="s">
        <v>6187</v>
      </c>
      <c r="D199" s="526" t="s">
        <v>6194</v>
      </c>
      <c r="E199" s="526" t="s">
        <v>5765</v>
      </c>
      <c r="F199" s="538">
        <f t="shared" si="37"/>
        <v>3.25</v>
      </c>
      <c r="G199" s="537">
        <f t="shared" si="38"/>
        <v>3.45</v>
      </c>
      <c r="H199" s="537">
        <f t="shared" si="25"/>
        <v>2.76</v>
      </c>
      <c r="I199" s="574"/>
      <c r="J199" s="549">
        <v>43077</v>
      </c>
    </row>
    <row r="200" spans="1:23" x14ac:dyDescent="0.35">
      <c r="A200" s="496"/>
      <c r="B200" s="1"/>
      <c r="C200" s="1"/>
      <c r="D200" s="1"/>
      <c r="E200" s="1"/>
      <c r="F200" s="362"/>
      <c r="G200" s="10"/>
      <c r="H200" s="10" t="str">
        <f t="shared" si="25"/>
        <v/>
      </c>
      <c r="I200" s="566"/>
      <c r="J200" s="549" t="s">
        <v>4179</v>
      </c>
      <c r="N200" s="29" t="s">
        <v>5489</v>
      </c>
      <c r="O200" t="s">
        <v>5406</v>
      </c>
      <c r="P200" t="s">
        <v>2000</v>
      </c>
      <c r="Q200" t="s">
        <v>2001</v>
      </c>
      <c r="R200" t="s">
        <v>2002</v>
      </c>
      <c r="S200" t="s">
        <v>2003</v>
      </c>
      <c r="T200" t="s">
        <v>2004</v>
      </c>
      <c r="U200" t="s">
        <v>1992</v>
      </c>
    </row>
    <row r="201" spans="1:23" x14ac:dyDescent="0.35">
      <c r="A201" s="527" t="s">
        <v>6357</v>
      </c>
      <c r="B201" s="526" t="s">
        <v>2269</v>
      </c>
      <c r="C201" s="526" t="s">
        <v>6404</v>
      </c>
      <c r="D201" s="526" t="s">
        <v>5406</v>
      </c>
      <c r="E201" s="526"/>
      <c r="F201" s="538">
        <f t="shared" ref="F201:F207" si="41">ROUND(HLOOKUP($D201,$O$200:$U$202,3,FALSE),2)</f>
        <v>12.08</v>
      </c>
      <c r="G201" s="537">
        <f t="shared" ref="G201:G207" si="42">ROUND(HLOOKUP($D201,$O$200:$U$202,2,FALSE),2)</f>
        <v>12.28</v>
      </c>
      <c r="H201" s="537">
        <f t="shared" si="25"/>
        <v>9.82</v>
      </c>
      <c r="I201" s="574"/>
      <c r="J201" s="549">
        <v>43419</v>
      </c>
      <c r="M201" s="101">
        <v>2019</v>
      </c>
      <c r="N201" s="322">
        <v>5.0000000000000001E-3</v>
      </c>
      <c r="O201" s="261">
        <f t="shared" ref="O201:U201" si="43">IF($N201&lt;&gt;"",O186*(100%-$N201),"")</f>
        <v>12.27631</v>
      </c>
      <c r="P201" s="261">
        <f t="shared" si="43"/>
        <v>8.0885042499999997</v>
      </c>
      <c r="Q201" s="261">
        <f t="shared" si="43"/>
        <v>6.1876562499999999</v>
      </c>
      <c r="R201" s="261">
        <f t="shared" si="43"/>
        <v>5.4253370000000007</v>
      </c>
      <c r="S201" s="261">
        <f t="shared" si="43"/>
        <v>5.2372322500000008</v>
      </c>
      <c r="T201" s="261">
        <f t="shared" si="43"/>
        <v>4.1977060000000002</v>
      </c>
      <c r="U201" s="261">
        <f t="shared" si="43"/>
        <v>3.4353867500000002</v>
      </c>
      <c r="W201" t="s">
        <v>49</v>
      </c>
    </row>
    <row r="202" spans="1:23" x14ac:dyDescent="0.35">
      <c r="A202" s="527" t="s">
        <v>6358</v>
      </c>
      <c r="B202" s="526" t="s">
        <v>2269</v>
      </c>
      <c r="C202" s="526" t="s">
        <v>6404</v>
      </c>
      <c r="D202" s="526" t="s">
        <v>2000</v>
      </c>
      <c r="E202" s="526"/>
      <c r="F202" s="538">
        <f t="shared" si="41"/>
        <v>7.89</v>
      </c>
      <c r="G202" s="537">
        <f t="shared" si="42"/>
        <v>8.09</v>
      </c>
      <c r="H202" s="537">
        <f t="shared" si="25"/>
        <v>6.47</v>
      </c>
      <c r="I202" s="574"/>
      <c r="J202" s="549">
        <v>43419</v>
      </c>
      <c r="N202" s="322" t="s">
        <v>5857</v>
      </c>
      <c r="O202" s="261">
        <f t="shared" ref="O202:U202" si="44">O201-0.2</f>
        <v>12.076310000000001</v>
      </c>
      <c r="P202" s="261">
        <f t="shared" si="44"/>
        <v>7.8885042499999996</v>
      </c>
      <c r="Q202" s="261">
        <f t="shared" si="44"/>
        <v>5.9876562499999997</v>
      </c>
      <c r="R202" s="261">
        <f t="shared" si="44"/>
        <v>5.2253370000000006</v>
      </c>
      <c r="S202" s="261">
        <f t="shared" si="44"/>
        <v>5.0372322500000006</v>
      </c>
      <c r="T202" s="261">
        <f t="shared" si="44"/>
        <v>3.997706</v>
      </c>
      <c r="U202" s="261">
        <f t="shared" si="44"/>
        <v>3.23538675</v>
      </c>
      <c r="W202" t="s">
        <v>50</v>
      </c>
    </row>
    <row r="203" spans="1:23" x14ac:dyDescent="0.35">
      <c r="A203" s="527" t="s">
        <v>6359</v>
      </c>
      <c r="B203" s="526" t="s">
        <v>2269</v>
      </c>
      <c r="C203" s="526" t="s">
        <v>6404</v>
      </c>
      <c r="D203" s="526" t="s">
        <v>2001</v>
      </c>
      <c r="E203" s="526"/>
      <c r="F203" s="538">
        <f t="shared" si="41"/>
        <v>5.99</v>
      </c>
      <c r="G203" s="537">
        <f t="shared" si="42"/>
        <v>6.19</v>
      </c>
      <c r="H203" s="537">
        <f t="shared" si="25"/>
        <v>4.95</v>
      </c>
      <c r="I203" s="574"/>
      <c r="J203" s="549">
        <v>43419</v>
      </c>
      <c r="O203" s="261"/>
    </row>
    <row r="204" spans="1:23" x14ac:dyDescent="0.35">
      <c r="A204" s="527" t="s">
        <v>6360</v>
      </c>
      <c r="B204" s="526" t="s">
        <v>2269</v>
      </c>
      <c r="C204" s="526" t="s">
        <v>6404</v>
      </c>
      <c r="D204" s="526" t="s">
        <v>2002</v>
      </c>
      <c r="E204" s="526"/>
      <c r="F204" s="538">
        <f t="shared" si="41"/>
        <v>5.23</v>
      </c>
      <c r="G204" s="537">
        <f t="shared" si="42"/>
        <v>5.43</v>
      </c>
      <c r="H204" s="537">
        <f t="shared" si="25"/>
        <v>4.34</v>
      </c>
      <c r="I204" s="574"/>
      <c r="J204" s="549">
        <v>43419</v>
      </c>
      <c r="O204" s="261"/>
    </row>
    <row r="205" spans="1:23" x14ac:dyDescent="0.35">
      <c r="A205" s="527" t="s">
        <v>6361</v>
      </c>
      <c r="B205" s="526" t="s">
        <v>2269</v>
      </c>
      <c r="C205" s="526" t="s">
        <v>6404</v>
      </c>
      <c r="D205" s="526" t="s">
        <v>2003</v>
      </c>
      <c r="E205" s="526"/>
      <c r="F205" s="538">
        <f t="shared" si="41"/>
        <v>5.04</v>
      </c>
      <c r="G205" s="537">
        <f t="shared" si="42"/>
        <v>5.24</v>
      </c>
      <c r="H205" s="537">
        <f t="shared" si="25"/>
        <v>4.1900000000000004</v>
      </c>
      <c r="I205" s="574"/>
      <c r="J205" s="549">
        <v>43419</v>
      </c>
      <c r="O205" s="261"/>
    </row>
    <row r="206" spans="1:23" x14ac:dyDescent="0.35">
      <c r="A206" s="527" t="s">
        <v>6362</v>
      </c>
      <c r="B206" s="526" t="s">
        <v>2269</v>
      </c>
      <c r="C206" s="526" t="s">
        <v>6404</v>
      </c>
      <c r="D206" s="526" t="s">
        <v>2004</v>
      </c>
      <c r="E206" s="526"/>
      <c r="F206" s="538">
        <f t="shared" si="41"/>
        <v>4</v>
      </c>
      <c r="G206" s="537">
        <f t="shared" si="42"/>
        <v>4.2</v>
      </c>
      <c r="H206" s="537">
        <f t="shared" si="25"/>
        <v>3.36</v>
      </c>
      <c r="I206" s="574"/>
      <c r="J206" s="549">
        <v>43419</v>
      </c>
      <c r="O206" s="261"/>
    </row>
    <row r="207" spans="1:23" x14ac:dyDescent="0.35">
      <c r="A207" s="527" t="s">
        <v>6363</v>
      </c>
      <c r="B207" s="526" t="s">
        <v>2269</v>
      </c>
      <c r="C207" s="526" t="s">
        <v>6404</v>
      </c>
      <c r="D207" s="526" t="s">
        <v>1992</v>
      </c>
      <c r="E207" s="526"/>
      <c r="F207" s="538">
        <f t="shared" si="41"/>
        <v>3.24</v>
      </c>
      <c r="G207" s="537">
        <f t="shared" si="42"/>
        <v>3.44</v>
      </c>
      <c r="H207" s="537">
        <f t="shared" si="25"/>
        <v>2.75</v>
      </c>
      <c r="I207" s="574"/>
      <c r="J207" s="549">
        <v>43419</v>
      </c>
      <c r="N207" s="29" t="s">
        <v>5489</v>
      </c>
      <c r="O207" t="s">
        <v>6456</v>
      </c>
      <c r="P207" t="s">
        <v>6457</v>
      </c>
      <c r="Q207" t="s">
        <v>6458</v>
      </c>
      <c r="R207" t="s">
        <v>6459</v>
      </c>
      <c r="S207" t="s">
        <v>6460</v>
      </c>
      <c r="T207" t="s">
        <v>6455</v>
      </c>
      <c r="U207" t="s">
        <v>6461</v>
      </c>
    </row>
    <row r="208" spans="1:23" x14ac:dyDescent="0.35">
      <c r="A208" s="527" t="s">
        <v>6364</v>
      </c>
      <c r="B208" s="526" t="s">
        <v>2269</v>
      </c>
      <c r="C208" s="526" t="s">
        <v>6462</v>
      </c>
      <c r="D208" s="526" t="s">
        <v>6456</v>
      </c>
      <c r="E208" s="526" t="s">
        <v>5765</v>
      </c>
      <c r="F208" s="538">
        <f t="shared" ref="F208:F214" si="45">ROUND(HLOOKUP($D208,$O$207:$U$209,3,FALSE),2)</f>
        <v>12.08</v>
      </c>
      <c r="G208" s="537">
        <f t="shared" ref="G208:G214" si="46">ROUND(HLOOKUP($D208,$O$207:$U$209,2,FALSE),2)</f>
        <v>12.28</v>
      </c>
      <c r="H208" s="537">
        <f t="shared" si="25"/>
        <v>9.82</v>
      </c>
      <c r="I208" s="574"/>
      <c r="J208" s="549">
        <v>43419</v>
      </c>
      <c r="M208" s="101">
        <v>2019</v>
      </c>
      <c r="N208" s="322">
        <f>N201</f>
        <v>5.0000000000000001E-3</v>
      </c>
      <c r="O208" s="616">
        <f t="shared" ref="O208:U208" si="47">IF($N208&lt;&gt;"",O193*(100%-$N208),"")</f>
        <v>12.27631</v>
      </c>
      <c r="P208" s="616">
        <f t="shared" si="47"/>
        <v>8.0885042499999997</v>
      </c>
      <c r="Q208" s="616">
        <f t="shared" si="47"/>
        <v>6.1876562499999999</v>
      </c>
      <c r="R208" s="616">
        <f t="shared" si="47"/>
        <v>5.4253370000000007</v>
      </c>
      <c r="S208" s="616">
        <f t="shared" si="47"/>
        <v>5.2372322500000008</v>
      </c>
      <c r="T208" s="616">
        <f t="shared" si="47"/>
        <v>4.1977060000000002</v>
      </c>
      <c r="U208" s="616">
        <f t="shared" si="47"/>
        <v>3.4353867500000002</v>
      </c>
      <c r="W208" t="s">
        <v>49</v>
      </c>
    </row>
    <row r="209" spans="1:23" x14ac:dyDescent="0.35">
      <c r="A209" s="527" t="s">
        <v>6365</v>
      </c>
      <c r="B209" s="526" t="s">
        <v>2269</v>
      </c>
      <c r="C209" s="526" t="s">
        <v>6462</v>
      </c>
      <c r="D209" s="526" t="s">
        <v>6457</v>
      </c>
      <c r="E209" s="526" t="s">
        <v>5765</v>
      </c>
      <c r="F209" s="538">
        <f t="shared" si="45"/>
        <v>7.89</v>
      </c>
      <c r="G209" s="537">
        <f t="shared" si="46"/>
        <v>8.09</v>
      </c>
      <c r="H209" s="537">
        <f t="shared" si="25"/>
        <v>6.47</v>
      </c>
      <c r="I209" s="574"/>
      <c r="J209" s="549">
        <v>43419</v>
      </c>
      <c r="N209" s="322" t="s">
        <v>5857</v>
      </c>
      <c r="O209" s="261">
        <f t="shared" ref="O209:U209" si="48">O208-0.2</f>
        <v>12.076310000000001</v>
      </c>
      <c r="P209" s="261">
        <f t="shared" si="48"/>
        <v>7.8885042499999996</v>
      </c>
      <c r="Q209" s="261">
        <f t="shared" si="48"/>
        <v>5.9876562499999997</v>
      </c>
      <c r="R209" s="261">
        <f t="shared" si="48"/>
        <v>5.2253370000000006</v>
      </c>
      <c r="S209" s="261">
        <f t="shared" si="48"/>
        <v>5.0372322500000006</v>
      </c>
      <c r="T209" s="261">
        <f t="shared" si="48"/>
        <v>3.997706</v>
      </c>
      <c r="U209" s="261">
        <f t="shared" si="48"/>
        <v>3.23538675</v>
      </c>
      <c r="W209" t="s">
        <v>50</v>
      </c>
    </row>
    <row r="210" spans="1:23" x14ac:dyDescent="0.35">
      <c r="A210" s="527" t="s">
        <v>6366</v>
      </c>
      <c r="B210" s="526" t="s">
        <v>2269</v>
      </c>
      <c r="C210" s="526" t="s">
        <v>6462</v>
      </c>
      <c r="D210" s="526" t="s">
        <v>6458</v>
      </c>
      <c r="E210" s="526" t="s">
        <v>5765</v>
      </c>
      <c r="F210" s="538">
        <f t="shared" si="45"/>
        <v>5.99</v>
      </c>
      <c r="G210" s="537">
        <f t="shared" si="46"/>
        <v>6.19</v>
      </c>
      <c r="H210" s="537">
        <f t="shared" si="25"/>
        <v>4.95</v>
      </c>
      <c r="I210" s="574"/>
      <c r="J210" s="549">
        <v>43419</v>
      </c>
    </row>
    <row r="211" spans="1:23" x14ac:dyDescent="0.35">
      <c r="A211" s="527" t="s">
        <v>6367</v>
      </c>
      <c r="B211" s="526" t="s">
        <v>2269</v>
      </c>
      <c r="C211" s="526" t="s">
        <v>6462</v>
      </c>
      <c r="D211" s="526" t="s">
        <v>6459</v>
      </c>
      <c r="E211" s="526" t="s">
        <v>5765</v>
      </c>
      <c r="F211" s="538">
        <f t="shared" si="45"/>
        <v>5.23</v>
      </c>
      <c r="G211" s="537">
        <f t="shared" si="46"/>
        <v>5.43</v>
      </c>
      <c r="H211" s="537">
        <f t="shared" si="25"/>
        <v>4.34</v>
      </c>
      <c r="I211" s="574"/>
      <c r="J211" s="549">
        <v>43419</v>
      </c>
    </row>
    <row r="212" spans="1:23" x14ac:dyDescent="0.35">
      <c r="A212" s="527" t="s">
        <v>6368</v>
      </c>
      <c r="B212" s="526" t="s">
        <v>2269</v>
      </c>
      <c r="C212" s="526" t="s">
        <v>6462</v>
      </c>
      <c r="D212" s="526" t="s">
        <v>6460</v>
      </c>
      <c r="E212" s="526" t="s">
        <v>5765</v>
      </c>
      <c r="F212" s="538">
        <f t="shared" si="45"/>
        <v>5.04</v>
      </c>
      <c r="G212" s="537">
        <f t="shared" si="46"/>
        <v>5.24</v>
      </c>
      <c r="H212" s="537">
        <f t="shared" si="25"/>
        <v>4.1900000000000004</v>
      </c>
      <c r="I212" s="574"/>
      <c r="J212" s="549">
        <v>43419</v>
      </c>
    </row>
    <row r="213" spans="1:23" x14ac:dyDescent="0.35">
      <c r="A213" s="527" t="s">
        <v>6369</v>
      </c>
      <c r="B213" s="526" t="s">
        <v>2269</v>
      </c>
      <c r="C213" s="526" t="s">
        <v>6462</v>
      </c>
      <c r="D213" s="526" t="s">
        <v>6455</v>
      </c>
      <c r="E213" s="526" t="s">
        <v>5765</v>
      </c>
      <c r="F213" s="538">
        <f t="shared" si="45"/>
        <v>4</v>
      </c>
      <c r="G213" s="537">
        <f t="shared" si="46"/>
        <v>4.2</v>
      </c>
      <c r="H213" s="537">
        <f t="shared" si="25"/>
        <v>3.36</v>
      </c>
      <c r="I213" s="574"/>
      <c r="J213" s="549">
        <v>43419</v>
      </c>
    </row>
    <row r="214" spans="1:23" x14ac:dyDescent="0.35">
      <c r="A214" s="527" t="s">
        <v>6370</v>
      </c>
      <c r="B214" s="526" t="s">
        <v>2269</v>
      </c>
      <c r="C214" s="526" t="s">
        <v>6462</v>
      </c>
      <c r="D214" s="526" t="s">
        <v>6461</v>
      </c>
      <c r="E214" s="526" t="s">
        <v>5765</v>
      </c>
      <c r="F214" s="538">
        <f t="shared" si="45"/>
        <v>3.24</v>
      </c>
      <c r="G214" s="537">
        <f t="shared" si="46"/>
        <v>3.44</v>
      </c>
      <c r="H214" s="537">
        <f t="shared" si="25"/>
        <v>2.75</v>
      </c>
      <c r="I214" s="574"/>
      <c r="J214" s="549">
        <v>43419</v>
      </c>
    </row>
    <row r="215" spans="1:23" x14ac:dyDescent="0.35">
      <c r="A215" s="496"/>
      <c r="B215" s="1"/>
      <c r="C215" s="1"/>
      <c r="D215" s="1"/>
      <c r="E215" s="1"/>
      <c r="F215" s="362"/>
      <c r="G215" s="10"/>
      <c r="H215" s="10" t="str">
        <f t="shared" si="25"/>
        <v/>
      </c>
      <c r="I215" s="566"/>
      <c r="J215" s="549" t="s">
        <v>4179</v>
      </c>
      <c r="N215" s="29" t="s">
        <v>5489</v>
      </c>
      <c r="O215" t="s">
        <v>5406</v>
      </c>
      <c r="P215" t="s">
        <v>2000</v>
      </c>
      <c r="Q215" t="s">
        <v>2001</v>
      </c>
      <c r="R215" t="s">
        <v>2002</v>
      </c>
      <c r="S215" t="s">
        <v>2003</v>
      </c>
      <c r="T215" t="s">
        <v>2004</v>
      </c>
      <c r="U215" t="s">
        <v>1992</v>
      </c>
    </row>
    <row r="216" spans="1:23" x14ac:dyDescent="0.35">
      <c r="A216" s="527" t="s">
        <v>6491</v>
      </c>
      <c r="B216" s="526" t="s">
        <v>2269</v>
      </c>
      <c r="C216" s="526" t="s">
        <v>6505</v>
      </c>
      <c r="D216" s="526" t="s">
        <v>5406</v>
      </c>
      <c r="E216" s="526"/>
      <c r="F216" s="538">
        <f t="shared" ref="F216:F222" si="49">ROUND(HLOOKUP($D216,$O$215:$U$217,3,FALSE),2)</f>
        <v>12.01</v>
      </c>
      <c r="G216" s="537">
        <f t="shared" ref="G216:G222" si="50">ROUND(HLOOKUP($D216,$O$215:$U$217,2,FALSE),2)</f>
        <v>12.21</v>
      </c>
      <c r="H216" s="537">
        <f t="shared" si="25"/>
        <v>9.77</v>
      </c>
      <c r="I216" s="574"/>
      <c r="J216" s="549">
        <v>43796</v>
      </c>
      <c r="M216" s="101">
        <v>2020</v>
      </c>
      <c r="N216" s="322">
        <v>5.0000000000000001E-3</v>
      </c>
      <c r="O216" s="261">
        <f t="shared" ref="O216:U216" si="51">IF($N216&lt;&gt;"",O201*(100%-$N216),"")</f>
        <v>12.21492845</v>
      </c>
      <c r="P216" s="261">
        <f t="shared" si="51"/>
        <v>8.0480617287499996</v>
      </c>
      <c r="Q216" s="261">
        <f t="shared" si="51"/>
        <v>6.1567179687499998</v>
      </c>
      <c r="R216" s="261">
        <f t="shared" si="51"/>
        <v>5.3982103150000009</v>
      </c>
      <c r="S216" s="261">
        <f t="shared" si="51"/>
        <v>5.2110460887500007</v>
      </c>
      <c r="T216" s="261">
        <f t="shared" si="51"/>
        <v>4.1767174699999998</v>
      </c>
      <c r="U216" s="261">
        <f t="shared" si="51"/>
        <v>3.4182098162500001</v>
      </c>
      <c r="W216" t="s">
        <v>49</v>
      </c>
    </row>
    <row r="217" spans="1:23" x14ac:dyDescent="0.35">
      <c r="A217" s="527" t="s">
        <v>6492</v>
      </c>
      <c r="B217" s="526" t="s">
        <v>2269</v>
      </c>
      <c r="C217" s="526" t="s">
        <v>6505</v>
      </c>
      <c r="D217" s="526" t="s">
        <v>2000</v>
      </c>
      <c r="E217" s="526"/>
      <c r="F217" s="538">
        <f t="shared" si="49"/>
        <v>7.85</v>
      </c>
      <c r="G217" s="537">
        <f t="shared" si="50"/>
        <v>8.0500000000000007</v>
      </c>
      <c r="H217" s="537">
        <f t="shared" si="25"/>
        <v>6.44</v>
      </c>
      <c r="I217" s="574"/>
      <c r="J217" s="549">
        <v>43796</v>
      </c>
      <c r="N217" s="322" t="s">
        <v>5857</v>
      </c>
      <c r="O217" s="261">
        <f t="shared" ref="O217:U217" si="52">O216-0.2</f>
        <v>12.014928450000001</v>
      </c>
      <c r="P217" s="261">
        <f t="shared" si="52"/>
        <v>7.8480617287499994</v>
      </c>
      <c r="Q217" s="261">
        <f t="shared" si="52"/>
        <v>5.9567179687499996</v>
      </c>
      <c r="R217" s="261">
        <f t="shared" si="52"/>
        <v>5.1982103150000007</v>
      </c>
      <c r="S217" s="261">
        <f t="shared" si="52"/>
        <v>5.0110460887500006</v>
      </c>
      <c r="T217" s="261">
        <f t="shared" si="52"/>
        <v>3.9767174699999996</v>
      </c>
      <c r="U217" s="261">
        <f t="shared" si="52"/>
        <v>3.2182098162499999</v>
      </c>
      <c r="W217" t="s">
        <v>50</v>
      </c>
    </row>
    <row r="218" spans="1:23" x14ac:dyDescent="0.35">
      <c r="A218" s="527" t="s">
        <v>6493</v>
      </c>
      <c r="B218" s="526" t="s">
        <v>2269</v>
      </c>
      <c r="C218" s="526" t="s">
        <v>6505</v>
      </c>
      <c r="D218" s="526" t="s">
        <v>2001</v>
      </c>
      <c r="E218" s="526"/>
      <c r="F218" s="538">
        <f t="shared" si="49"/>
        <v>5.96</v>
      </c>
      <c r="G218" s="537">
        <f t="shared" si="50"/>
        <v>6.16</v>
      </c>
      <c r="H218" s="537">
        <f t="shared" si="25"/>
        <v>4.93</v>
      </c>
      <c r="I218" s="574"/>
      <c r="J218" s="549">
        <v>43796</v>
      </c>
      <c r="O218" s="261"/>
    </row>
    <row r="219" spans="1:23" x14ac:dyDescent="0.35">
      <c r="A219" s="527" t="s">
        <v>6494</v>
      </c>
      <c r="B219" s="526" t="s">
        <v>2269</v>
      </c>
      <c r="C219" s="526" t="s">
        <v>6505</v>
      </c>
      <c r="D219" s="526" t="s">
        <v>2002</v>
      </c>
      <c r="E219" s="526"/>
      <c r="F219" s="538">
        <f t="shared" si="49"/>
        <v>5.2</v>
      </c>
      <c r="G219" s="537">
        <f t="shared" si="50"/>
        <v>5.4</v>
      </c>
      <c r="H219" s="537">
        <f t="shared" si="25"/>
        <v>4.32</v>
      </c>
      <c r="I219" s="574"/>
      <c r="J219" s="549">
        <v>43796</v>
      </c>
      <c r="O219" s="261"/>
    </row>
    <row r="220" spans="1:23" x14ac:dyDescent="0.35">
      <c r="A220" s="527" t="s">
        <v>6495</v>
      </c>
      <c r="B220" s="526" t="s">
        <v>2269</v>
      </c>
      <c r="C220" s="526" t="s">
        <v>6505</v>
      </c>
      <c r="D220" s="526" t="s">
        <v>2003</v>
      </c>
      <c r="E220" s="526"/>
      <c r="F220" s="538">
        <f t="shared" si="49"/>
        <v>5.01</v>
      </c>
      <c r="G220" s="537">
        <f t="shared" si="50"/>
        <v>5.21</v>
      </c>
      <c r="H220" s="537">
        <f t="shared" si="25"/>
        <v>4.17</v>
      </c>
      <c r="I220" s="574"/>
      <c r="J220" s="549">
        <v>43796</v>
      </c>
      <c r="O220" s="261"/>
    </row>
    <row r="221" spans="1:23" x14ac:dyDescent="0.35">
      <c r="A221" s="527" t="s">
        <v>6496</v>
      </c>
      <c r="B221" s="526" t="s">
        <v>2269</v>
      </c>
      <c r="C221" s="526" t="s">
        <v>6505</v>
      </c>
      <c r="D221" s="526" t="s">
        <v>2004</v>
      </c>
      <c r="E221" s="526"/>
      <c r="F221" s="538">
        <f t="shared" si="49"/>
        <v>3.98</v>
      </c>
      <c r="G221" s="537">
        <f t="shared" si="50"/>
        <v>4.18</v>
      </c>
      <c r="H221" s="537">
        <f t="shared" si="25"/>
        <v>3.34</v>
      </c>
      <c r="I221" s="574"/>
      <c r="J221" s="549">
        <v>43796</v>
      </c>
      <c r="O221" s="261"/>
    </row>
    <row r="222" spans="1:23" x14ac:dyDescent="0.35">
      <c r="A222" s="527" t="s">
        <v>6497</v>
      </c>
      <c r="B222" s="526" t="s">
        <v>2269</v>
      </c>
      <c r="C222" s="526" t="s">
        <v>6505</v>
      </c>
      <c r="D222" s="526" t="s">
        <v>1992</v>
      </c>
      <c r="E222" s="526"/>
      <c r="F222" s="538">
        <f t="shared" si="49"/>
        <v>3.22</v>
      </c>
      <c r="G222" s="537">
        <f t="shared" si="50"/>
        <v>3.42</v>
      </c>
      <c r="H222" s="537">
        <f t="shared" si="25"/>
        <v>2.74</v>
      </c>
      <c r="I222" s="574"/>
      <c r="J222" s="549">
        <v>43796</v>
      </c>
      <c r="N222" s="29" t="s">
        <v>5489</v>
      </c>
      <c r="O222" t="s">
        <v>6507</v>
      </c>
      <c r="P222" t="s">
        <v>6508</v>
      </c>
      <c r="Q222" t="s">
        <v>6509</v>
      </c>
      <c r="R222" t="s">
        <v>6510</v>
      </c>
      <c r="S222" t="s">
        <v>6511</v>
      </c>
      <c r="T222" t="s">
        <v>6512</v>
      </c>
      <c r="U222" t="s">
        <v>6513</v>
      </c>
    </row>
    <row r="223" spans="1:23" x14ac:dyDescent="0.35">
      <c r="A223" s="527" t="s">
        <v>6498</v>
      </c>
      <c r="B223" s="526" t="s">
        <v>2269</v>
      </c>
      <c r="C223" s="526" t="s">
        <v>6506</v>
      </c>
      <c r="D223" s="526" t="s">
        <v>6507</v>
      </c>
      <c r="E223" s="526" t="s">
        <v>5765</v>
      </c>
      <c r="F223" s="538">
        <f t="shared" ref="F223:F229" si="53">ROUND(HLOOKUP($D223,$O$222:$U$224,3,FALSE),2)</f>
        <v>12.01</v>
      </c>
      <c r="G223" s="537">
        <f t="shared" ref="G223:G229" si="54">ROUND(HLOOKUP($D223,$O$222:$U$224,2,FALSE),2)</f>
        <v>12.21</v>
      </c>
      <c r="H223" s="537">
        <f t="shared" si="25"/>
        <v>9.77</v>
      </c>
      <c r="I223" s="574"/>
      <c r="J223" s="549">
        <v>43796</v>
      </c>
      <c r="M223" s="101">
        <f>M216</f>
        <v>2020</v>
      </c>
      <c r="N223" s="322">
        <f>N216</f>
        <v>5.0000000000000001E-3</v>
      </c>
      <c r="O223" s="616">
        <f t="shared" ref="O223:U223" si="55">IF($N223&lt;&gt;"",O208*(100%-$N223),"")</f>
        <v>12.21492845</v>
      </c>
      <c r="P223" s="616">
        <f t="shared" si="55"/>
        <v>8.0480617287499996</v>
      </c>
      <c r="Q223" s="616">
        <f t="shared" si="55"/>
        <v>6.1567179687499998</v>
      </c>
      <c r="R223" s="616">
        <f t="shared" si="55"/>
        <v>5.3982103150000009</v>
      </c>
      <c r="S223" s="616">
        <f t="shared" si="55"/>
        <v>5.2110460887500007</v>
      </c>
      <c r="T223" s="616">
        <f t="shared" si="55"/>
        <v>4.1767174699999998</v>
      </c>
      <c r="U223" s="616">
        <f t="shared" si="55"/>
        <v>3.4182098162500001</v>
      </c>
      <c r="W223" t="s">
        <v>49</v>
      </c>
    </row>
    <row r="224" spans="1:23" x14ac:dyDescent="0.35">
      <c r="A224" s="527" t="s">
        <v>6499</v>
      </c>
      <c r="B224" s="526" t="s">
        <v>2269</v>
      </c>
      <c r="C224" s="526" t="s">
        <v>6506</v>
      </c>
      <c r="D224" s="526" t="s">
        <v>6508</v>
      </c>
      <c r="E224" s="526" t="s">
        <v>5765</v>
      </c>
      <c r="F224" s="538">
        <f t="shared" si="53"/>
        <v>7.85</v>
      </c>
      <c r="G224" s="537">
        <f t="shared" si="54"/>
        <v>8.0500000000000007</v>
      </c>
      <c r="H224" s="537">
        <f t="shared" si="25"/>
        <v>6.44</v>
      </c>
      <c r="I224" s="574"/>
      <c r="J224" s="549">
        <v>43796</v>
      </c>
      <c r="N224" s="322" t="s">
        <v>5857</v>
      </c>
      <c r="O224" s="261">
        <f t="shared" ref="O224:U224" si="56">O223-0.2</f>
        <v>12.014928450000001</v>
      </c>
      <c r="P224" s="261">
        <f t="shared" si="56"/>
        <v>7.8480617287499994</v>
      </c>
      <c r="Q224" s="261">
        <f t="shared" si="56"/>
        <v>5.9567179687499996</v>
      </c>
      <c r="R224" s="261">
        <f t="shared" si="56"/>
        <v>5.1982103150000007</v>
      </c>
      <c r="S224" s="261">
        <f t="shared" si="56"/>
        <v>5.0110460887500006</v>
      </c>
      <c r="T224" s="261">
        <f t="shared" si="56"/>
        <v>3.9767174699999996</v>
      </c>
      <c r="U224" s="261">
        <f t="shared" si="56"/>
        <v>3.2182098162499999</v>
      </c>
      <c r="W224" t="s">
        <v>50</v>
      </c>
    </row>
    <row r="225" spans="1:23" x14ac:dyDescent="0.35">
      <c r="A225" s="527" t="s">
        <v>6500</v>
      </c>
      <c r="B225" s="526" t="s">
        <v>2269</v>
      </c>
      <c r="C225" s="526" t="s">
        <v>6506</v>
      </c>
      <c r="D225" s="526" t="s">
        <v>6509</v>
      </c>
      <c r="E225" s="526" t="s">
        <v>5765</v>
      </c>
      <c r="F225" s="538">
        <f t="shared" si="53"/>
        <v>5.96</v>
      </c>
      <c r="G225" s="537">
        <f t="shared" si="54"/>
        <v>6.16</v>
      </c>
      <c r="H225" s="537">
        <f t="shared" si="25"/>
        <v>4.93</v>
      </c>
      <c r="I225" s="574"/>
      <c r="J225" s="549">
        <v>43796</v>
      </c>
    </row>
    <row r="226" spans="1:23" x14ac:dyDescent="0.35">
      <c r="A226" s="527" t="s">
        <v>6501</v>
      </c>
      <c r="B226" s="526" t="s">
        <v>2269</v>
      </c>
      <c r="C226" s="526" t="s">
        <v>6506</v>
      </c>
      <c r="D226" s="526" t="s">
        <v>6510</v>
      </c>
      <c r="E226" s="526" t="s">
        <v>5765</v>
      </c>
      <c r="F226" s="538">
        <f t="shared" si="53"/>
        <v>5.2</v>
      </c>
      <c r="G226" s="537">
        <f t="shared" si="54"/>
        <v>5.4</v>
      </c>
      <c r="H226" s="537">
        <f t="shared" si="25"/>
        <v>4.32</v>
      </c>
      <c r="I226" s="574"/>
      <c r="J226" s="549">
        <v>43796</v>
      </c>
    </row>
    <row r="227" spans="1:23" x14ac:dyDescent="0.35">
      <c r="A227" s="527" t="s">
        <v>6502</v>
      </c>
      <c r="B227" s="526" t="s">
        <v>2269</v>
      </c>
      <c r="C227" s="526" t="s">
        <v>6506</v>
      </c>
      <c r="D227" s="526" t="s">
        <v>6511</v>
      </c>
      <c r="E227" s="526" t="s">
        <v>5765</v>
      </c>
      <c r="F227" s="538">
        <f t="shared" si="53"/>
        <v>5.01</v>
      </c>
      <c r="G227" s="537">
        <f t="shared" si="54"/>
        <v>5.21</v>
      </c>
      <c r="H227" s="537">
        <f t="shared" si="25"/>
        <v>4.17</v>
      </c>
      <c r="I227" s="574"/>
      <c r="J227" s="549">
        <v>43796</v>
      </c>
    </row>
    <row r="228" spans="1:23" x14ac:dyDescent="0.35">
      <c r="A228" s="527" t="s">
        <v>6503</v>
      </c>
      <c r="B228" s="526" t="s">
        <v>2269</v>
      </c>
      <c r="C228" s="526" t="s">
        <v>6506</v>
      </c>
      <c r="D228" s="526" t="s">
        <v>6512</v>
      </c>
      <c r="E228" s="526" t="s">
        <v>5765</v>
      </c>
      <c r="F228" s="538">
        <f t="shared" si="53"/>
        <v>3.98</v>
      </c>
      <c r="G228" s="537">
        <f t="shared" si="54"/>
        <v>4.18</v>
      </c>
      <c r="H228" s="537">
        <f t="shared" ref="H228:H290" si="57">IF(ISNUMBER(G228),ROUND(0.8*G228,2),"")</f>
        <v>3.34</v>
      </c>
      <c r="I228" s="574"/>
      <c r="J228" s="549">
        <v>43796</v>
      </c>
    </row>
    <row r="229" spans="1:23" x14ac:dyDescent="0.35">
      <c r="A229" s="527" t="s">
        <v>6504</v>
      </c>
      <c r="B229" s="526" t="s">
        <v>2269</v>
      </c>
      <c r="C229" s="526" t="s">
        <v>6506</v>
      </c>
      <c r="D229" s="526" t="s">
        <v>6513</v>
      </c>
      <c r="E229" s="526" t="s">
        <v>5765</v>
      </c>
      <c r="F229" s="538">
        <f t="shared" si="53"/>
        <v>3.22</v>
      </c>
      <c r="G229" s="537">
        <f t="shared" si="54"/>
        <v>3.42</v>
      </c>
      <c r="H229" s="537">
        <f t="shared" si="57"/>
        <v>2.74</v>
      </c>
      <c r="I229" s="574"/>
      <c r="J229" s="549">
        <v>43796</v>
      </c>
    </row>
    <row r="230" spans="1:23" x14ac:dyDescent="0.35">
      <c r="A230" s="496"/>
      <c r="B230" s="1"/>
      <c r="C230" s="362"/>
      <c r="D230" s="1"/>
      <c r="E230" s="1"/>
      <c r="F230" s="362"/>
      <c r="G230" s="10"/>
      <c r="H230" s="10" t="str">
        <f t="shared" si="57"/>
        <v/>
      </c>
      <c r="I230" s="566"/>
      <c r="J230" s="549" t="s">
        <v>4179</v>
      </c>
      <c r="N230" s="29" t="s">
        <v>5489</v>
      </c>
      <c r="O230" t="s">
        <v>5406</v>
      </c>
      <c r="P230" t="s">
        <v>2000</v>
      </c>
      <c r="Q230" t="s">
        <v>2001</v>
      </c>
      <c r="R230" t="s">
        <v>2002</v>
      </c>
      <c r="S230" t="s">
        <v>2003</v>
      </c>
      <c r="T230" t="s">
        <v>2004</v>
      </c>
      <c r="U230" t="s">
        <v>1992</v>
      </c>
    </row>
    <row r="231" spans="1:23" x14ac:dyDescent="0.35">
      <c r="A231" s="527" t="s">
        <v>6633</v>
      </c>
      <c r="B231" s="526" t="s">
        <v>2269</v>
      </c>
      <c r="C231" s="526" t="s">
        <v>6624</v>
      </c>
      <c r="D231" s="526" t="s">
        <v>5406</v>
      </c>
      <c r="E231" s="526"/>
      <c r="F231" s="639">
        <f t="shared" ref="F231:F237" si="58">ROUND(HLOOKUP($D231,$O$230:$U$232,3,FALSE),2)</f>
        <v>11.95</v>
      </c>
      <c r="G231" s="641">
        <f t="shared" ref="G231:G237" si="59">ROUND(HLOOKUP($D231,$O$230:$U$232,2,FALSE),2)</f>
        <v>12.15</v>
      </c>
      <c r="H231" s="641">
        <f t="shared" si="57"/>
        <v>9.7200000000000006</v>
      </c>
      <c r="I231" s="637"/>
      <c r="J231" s="549">
        <v>44196</v>
      </c>
      <c r="M231" s="101">
        <v>2021</v>
      </c>
      <c r="N231" s="322" t="s">
        <v>7890</v>
      </c>
      <c r="O231" s="261">
        <v>12.15</v>
      </c>
      <c r="P231" s="261">
        <v>8.01</v>
      </c>
      <c r="Q231" s="261">
        <v>6.13</v>
      </c>
      <c r="R231" s="261">
        <v>5.37</v>
      </c>
      <c r="S231" s="261">
        <v>5.18</v>
      </c>
      <c r="T231" s="261">
        <v>4.16</v>
      </c>
      <c r="U231" s="261">
        <v>3.4</v>
      </c>
      <c r="W231" t="s">
        <v>49</v>
      </c>
    </row>
    <row r="232" spans="1:23" x14ac:dyDescent="0.35">
      <c r="A232" s="527" t="s">
        <v>6634</v>
      </c>
      <c r="B232" s="526" t="s">
        <v>2269</v>
      </c>
      <c r="C232" s="526" t="s">
        <v>6624</v>
      </c>
      <c r="D232" s="526" t="s">
        <v>2000</v>
      </c>
      <c r="E232" s="526"/>
      <c r="F232" s="639">
        <f t="shared" si="58"/>
        <v>7.81</v>
      </c>
      <c r="G232" s="641">
        <f t="shared" si="59"/>
        <v>8.01</v>
      </c>
      <c r="H232" s="641">
        <f t="shared" si="57"/>
        <v>6.41</v>
      </c>
      <c r="I232" s="637"/>
      <c r="J232" s="549">
        <v>44196</v>
      </c>
      <c r="N232" s="322" t="s">
        <v>5857</v>
      </c>
      <c r="O232" s="261">
        <f t="shared" ref="O232:U232" si="60">O231-0.2</f>
        <v>11.950000000000001</v>
      </c>
      <c r="P232" s="261">
        <f t="shared" si="60"/>
        <v>7.81</v>
      </c>
      <c r="Q232" s="261">
        <f t="shared" si="60"/>
        <v>5.93</v>
      </c>
      <c r="R232" s="261">
        <f t="shared" si="60"/>
        <v>5.17</v>
      </c>
      <c r="S232" s="261">
        <f t="shared" si="60"/>
        <v>4.9799999999999995</v>
      </c>
      <c r="T232" s="261">
        <f t="shared" si="60"/>
        <v>3.96</v>
      </c>
      <c r="U232" s="261">
        <f t="shared" si="60"/>
        <v>3.1999999999999997</v>
      </c>
      <c r="W232" t="s">
        <v>50</v>
      </c>
    </row>
    <row r="233" spans="1:23" x14ac:dyDescent="0.35">
      <c r="A233" s="527" t="s">
        <v>6635</v>
      </c>
      <c r="B233" s="526" t="s">
        <v>2269</v>
      </c>
      <c r="C233" s="526" t="s">
        <v>6624</v>
      </c>
      <c r="D233" s="526" t="s">
        <v>2001</v>
      </c>
      <c r="E233" s="526"/>
      <c r="F233" s="639">
        <f t="shared" si="58"/>
        <v>5.93</v>
      </c>
      <c r="G233" s="641">
        <f t="shared" si="59"/>
        <v>6.13</v>
      </c>
      <c r="H233" s="641">
        <f t="shared" si="57"/>
        <v>4.9000000000000004</v>
      </c>
      <c r="I233" s="637"/>
      <c r="J233" s="549">
        <v>44196</v>
      </c>
      <c r="O233" s="261"/>
    </row>
    <row r="234" spans="1:23" x14ac:dyDescent="0.35">
      <c r="A234" s="527" t="s">
        <v>6636</v>
      </c>
      <c r="B234" s="526" t="s">
        <v>2269</v>
      </c>
      <c r="C234" s="526" t="s">
        <v>6624</v>
      </c>
      <c r="D234" s="526" t="s">
        <v>2002</v>
      </c>
      <c r="E234" s="526"/>
      <c r="F234" s="639">
        <f t="shared" si="58"/>
        <v>5.17</v>
      </c>
      <c r="G234" s="641">
        <f t="shared" si="59"/>
        <v>5.37</v>
      </c>
      <c r="H234" s="641">
        <f t="shared" si="57"/>
        <v>4.3</v>
      </c>
      <c r="I234" s="637"/>
      <c r="J234" s="549">
        <v>44196</v>
      </c>
      <c r="O234" s="261"/>
    </row>
    <row r="235" spans="1:23" x14ac:dyDescent="0.35">
      <c r="A235" s="527" t="s">
        <v>6637</v>
      </c>
      <c r="B235" s="526" t="s">
        <v>2269</v>
      </c>
      <c r="C235" s="526" t="s">
        <v>6624</v>
      </c>
      <c r="D235" s="526" t="s">
        <v>2003</v>
      </c>
      <c r="E235" s="526"/>
      <c r="F235" s="639">
        <f t="shared" si="58"/>
        <v>4.9800000000000004</v>
      </c>
      <c r="G235" s="641">
        <f t="shared" si="59"/>
        <v>5.18</v>
      </c>
      <c r="H235" s="641">
        <f t="shared" si="57"/>
        <v>4.1399999999999997</v>
      </c>
      <c r="I235" s="637"/>
      <c r="J235" s="549">
        <v>44196</v>
      </c>
      <c r="O235" s="261"/>
    </row>
    <row r="236" spans="1:23" x14ac:dyDescent="0.35">
      <c r="A236" s="527" t="s">
        <v>6638</v>
      </c>
      <c r="B236" s="526" t="s">
        <v>2269</v>
      </c>
      <c r="C236" s="526" t="s">
        <v>6624</v>
      </c>
      <c r="D236" s="526" t="s">
        <v>2004</v>
      </c>
      <c r="E236" s="526"/>
      <c r="F236" s="639">
        <f t="shared" si="58"/>
        <v>3.96</v>
      </c>
      <c r="G236" s="641">
        <f t="shared" si="59"/>
        <v>4.16</v>
      </c>
      <c r="H236" s="641">
        <f t="shared" si="57"/>
        <v>3.33</v>
      </c>
      <c r="I236" s="637"/>
      <c r="J236" s="549">
        <v>44196</v>
      </c>
      <c r="O236" s="261"/>
    </row>
    <row r="237" spans="1:23" x14ac:dyDescent="0.35">
      <c r="A237" s="527" t="s">
        <v>6639</v>
      </c>
      <c r="B237" s="526" t="s">
        <v>2269</v>
      </c>
      <c r="C237" s="526" t="s">
        <v>6624</v>
      </c>
      <c r="D237" s="526" t="s">
        <v>1992</v>
      </c>
      <c r="E237" s="526"/>
      <c r="F237" s="639">
        <f t="shared" si="58"/>
        <v>3.2</v>
      </c>
      <c r="G237" s="641">
        <f t="shared" si="59"/>
        <v>3.4</v>
      </c>
      <c r="H237" s="641">
        <f t="shared" si="57"/>
        <v>2.72</v>
      </c>
      <c r="I237" s="637"/>
      <c r="J237" s="549">
        <v>44196</v>
      </c>
      <c r="N237" s="29" t="s">
        <v>5489</v>
      </c>
      <c r="O237" t="s">
        <v>6626</v>
      </c>
      <c r="P237" t="s">
        <v>6627</v>
      </c>
      <c r="Q237" t="s">
        <v>6628</v>
      </c>
      <c r="R237" t="s">
        <v>6629</v>
      </c>
      <c r="S237" t="s">
        <v>6630</v>
      </c>
      <c r="T237" t="s">
        <v>6631</v>
      </c>
      <c r="U237" t="s">
        <v>6632</v>
      </c>
    </row>
    <row r="238" spans="1:23" x14ac:dyDescent="0.35">
      <c r="A238" s="527" t="s">
        <v>6640</v>
      </c>
      <c r="B238" s="526" t="s">
        <v>2269</v>
      </c>
      <c r="C238" s="526" t="s">
        <v>6625</v>
      </c>
      <c r="D238" s="526" t="s">
        <v>6626</v>
      </c>
      <c r="E238" s="526" t="s">
        <v>5765</v>
      </c>
      <c r="F238" s="639">
        <f t="shared" ref="F238:F244" si="61">ROUND(HLOOKUP($D238,$O$237:$U$239,3,FALSE),2)</f>
        <v>11.95</v>
      </c>
      <c r="G238" s="641">
        <f t="shared" ref="G238:G244" si="62">ROUND(HLOOKUP($D238,$O$237:$U$239,2,FALSE),2)</f>
        <v>12.15</v>
      </c>
      <c r="H238" s="641">
        <f t="shared" si="57"/>
        <v>9.7200000000000006</v>
      </c>
      <c r="I238" s="637"/>
      <c r="J238" s="549">
        <v>44196</v>
      </c>
      <c r="M238" s="101">
        <f>M231</f>
        <v>2021</v>
      </c>
      <c r="N238" s="322" t="s">
        <v>6623</v>
      </c>
      <c r="O238" s="616">
        <v>12.15</v>
      </c>
      <c r="P238" s="616">
        <v>8.01</v>
      </c>
      <c r="Q238" s="616">
        <v>6.13</v>
      </c>
      <c r="R238" s="616">
        <v>5.37</v>
      </c>
      <c r="S238" s="616">
        <v>5.18</v>
      </c>
      <c r="T238" s="616">
        <v>4.16</v>
      </c>
      <c r="U238" s="616">
        <v>3.4</v>
      </c>
      <c r="W238" t="s">
        <v>49</v>
      </c>
    </row>
    <row r="239" spans="1:23" x14ac:dyDescent="0.35">
      <c r="A239" s="527" t="s">
        <v>6641</v>
      </c>
      <c r="B239" s="526" t="s">
        <v>2269</v>
      </c>
      <c r="C239" s="526" t="s">
        <v>6625</v>
      </c>
      <c r="D239" s="526" t="s">
        <v>6627</v>
      </c>
      <c r="E239" s="526" t="s">
        <v>5765</v>
      </c>
      <c r="F239" s="639">
        <f t="shared" si="61"/>
        <v>7.81</v>
      </c>
      <c r="G239" s="641">
        <f t="shared" si="62"/>
        <v>8.01</v>
      </c>
      <c r="H239" s="641">
        <f t="shared" si="57"/>
        <v>6.41</v>
      </c>
      <c r="I239" s="637"/>
      <c r="J239" s="549">
        <v>44196</v>
      </c>
      <c r="N239" s="322" t="s">
        <v>5857</v>
      </c>
      <c r="O239" s="261">
        <f t="shared" ref="O239:U239" si="63">O238-0.2</f>
        <v>11.950000000000001</v>
      </c>
      <c r="P239" s="261">
        <f t="shared" si="63"/>
        <v>7.81</v>
      </c>
      <c r="Q239" s="261">
        <f t="shared" si="63"/>
        <v>5.93</v>
      </c>
      <c r="R239" s="261">
        <f t="shared" si="63"/>
        <v>5.17</v>
      </c>
      <c r="S239" s="261">
        <f t="shared" si="63"/>
        <v>4.9799999999999995</v>
      </c>
      <c r="T239" s="261">
        <f t="shared" si="63"/>
        <v>3.96</v>
      </c>
      <c r="U239" s="261">
        <f t="shared" si="63"/>
        <v>3.1999999999999997</v>
      </c>
      <c r="W239" t="s">
        <v>50</v>
      </c>
    </row>
    <row r="240" spans="1:23" x14ac:dyDescent="0.35">
      <c r="A240" s="527" t="s">
        <v>6642</v>
      </c>
      <c r="B240" s="526" t="s">
        <v>2269</v>
      </c>
      <c r="C240" s="526" t="s">
        <v>6625</v>
      </c>
      <c r="D240" s="526" t="s">
        <v>6628</v>
      </c>
      <c r="E240" s="526" t="s">
        <v>5765</v>
      </c>
      <c r="F240" s="639">
        <f t="shared" si="61"/>
        <v>5.93</v>
      </c>
      <c r="G240" s="641">
        <f t="shared" si="62"/>
        <v>6.13</v>
      </c>
      <c r="H240" s="641">
        <f t="shared" si="57"/>
        <v>4.9000000000000004</v>
      </c>
      <c r="I240" s="637"/>
      <c r="J240" s="549">
        <v>44196</v>
      </c>
    </row>
    <row r="241" spans="1:23" x14ac:dyDescent="0.35">
      <c r="A241" s="527" t="s">
        <v>6643</v>
      </c>
      <c r="B241" s="526" t="s">
        <v>2269</v>
      </c>
      <c r="C241" s="526" t="s">
        <v>6625</v>
      </c>
      <c r="D241" s="526" t="s">
        <v>6629</v>
      </c>
      <c r="E241" s="526" t="s">
        <v>5765</v>
      </c>
      <c r="F241" s="639">
        <f t="shared" si="61"/>
        <v>5.17</v>
      </c>
      <c r="G241" s="641">
        <f t="shared" si="62"/>
        <v>5.37</v>
      </c>
      <c r="H241" s="641">
        <f t="shared" si="57"/>
        <v>4.3</v>
      </c>
      <c r="I241" s="637"/>
      <c r="J241" s="549">
        <v>44196</v>
      </c>
    </row>
    <row r="242" spans="1:23" x14ac:dyDescent="0.35">
      <c r="A242" s="527" t="s">
        <v>6644</v>
      </c>
      <c r="B242" s="526" t="s">
        <v>2269</v>
      </c>
      <c r="C242" s="526" t="s">
        <v>6625</v>
      </c>
      <c r="D242" s="526" t="s">
        <v>6630</v>
      </c>
      <c r="E242" s="526" t="s">
        <v>5765</v>
      </c>
      <c r="F242" s="639">
        <f t="shared" si="61"/>
        <v>4.9800000000000004</v>
      </c>
      <c r="G242" s="641">
        <f t="shared" si="62"/>
        <v>5.18</v>
      </c>
      <c r="H242" s="641">
        <f t="shared" si="57"/>
        <v>4.1399999999999997</v>
      </c>
      <c r="I242" s="637"/>
      <c r="J242" s="549">
        <v>44196</v>
      </c>
    </row>
    <row r="243" spans="1:23" x14ac:dyDescent="0.35">
      <c r="A243" s="527" t="s">
        <v>6645</v>
      </c>
      <c r="B243" s="526" t="s">
        <v>2269</v>
      </c>
      <c r="C243" s="526" t="s">
        <v>6625</v>
      </c>
      <c r="D243" s="526" t="s">
        <v>6631</v>
      </c>
      <c r="E243" s="526" t="s">
        <v>5765</v>
      </c>
      <c r="F243" s="639">
        <f t="shared" si="61"/>
        <v>3.96</v>
      </c>
      <c r="G243" s="641">
        <f t="shared" si="62"/>
        <v>4.16</v>
      </c>
      <c r="H243" s="641">
        <f t="shared" si="57"/>
        <v>3.33</v>
      </c>
      <c r="I243" s="637"/>
      <c r="J243" s="549">
        <v>44196</v>
      </c>
    </row>
    <row r="244" spans="1:23" x14ac:dyDescent="0.35">
      <c r="A244" s="527" t="s">
        <v>6646</v>
      </c>
      <c r="B244" s="526" t="s">
        <v>2269</v>
      </c>
      <c r="C244" s="526" t="s">
        <v>6625</v>
      </c>
      <c r="D244" s="526" t="s">
        <v>6632</v>
      </c>
      <c r="E244" s="526" t="s">
        <v>5765</v>
      </c>
      <c r="F244" s="639">
        <f t="shared" si="61"/>
        <v>3.2</v>
      </c>
      <c r="G244" s="641">
        <f t="shared" si="62"/>
        <v>3.4</v>
      </c>
      <c r="H244" s="641">
        <f t="shared" si="57"/>
        <v>2.72</v>
      </c>
      <c r="I244" s="637"/>
      <c r="J244" s="549">
        <v>44196</v>
      </c>
    </row>
    <row r="245" spans="1:23" x14ac:dyDescent="0.35">
      <c r="A245" s="496"/>
      <c r="B245" s="1"/>
      <c r="C245" s="362"/>
      <c r="D245" s="1"/>
      <c r="E245" s="1"/>
      <c r="F245" s="362"/>
      <c r="G245" s="10"/>
      <c r="H245" s="10" t="str">
        <f t="shared" si="57"/>
        <v/>
      </c>
      <c r="I245" s="566"/>
      <c r="J245" s="549" t="s">
        <v>4179</v>
      </c>
      <c r="N245" s="29" t="s">
        <v>5489</v>
      </c>
      <c r="O245" t="str">
        <f>D246</f>
        <v>0-0,5 MW</v>
      </c>
      <c r="P245" t="str">
        <f>D247</f>
        <v>0,5-2 MW</v>
      </c>
      <c r="Q245" t="str">
        <f>D248</f>
        <v>2-5 MW</v>
      </c>
      <c r="R245" t="str">
        <f>D249</f>
        <v>5-10 MW</v>
      </c>
      <c r="S245" t="str">
        <f>D250</f>
        <v>10-20 MW</v>
      </c>
      <c r="T245" t="str">
        <f>D251</f>
        <v>20-50 MW</v>
      </c>
      <c r="U245" t="str">
        <f>D252</f>
        <v>&gt; 50 MW</v>
      </c>
    </row>
    <row r="246" spans="1:23" x14ac:dyDescent="0.35">
      <c r="A246" s="527" t="str">
        <f>LEFT(A216,12)&amp;RIGHT(M246,2)</f>
        <v>WaK400------22</v>
      </c>
      <c r="B246" s="526" t="s">
        <v>2269</v>
      </c>
      <c r="C246" s="526" t="str">
        <f>LEFT(C216,17)&amp;RIGHT(M246,2)</f>
        <v>Inbetriebnahme 2022</v>
      </c>
      <c r="D246" s="526" t="s">
        <v>5406</v>
      </c>
      <c r="E246" s="526"/>
      <c r="F246" s="639">
        <f t="shared" ref="F246:F252" si="64">ROUND(HLOOKUP($D246,$O$245:$U$247,3,FALSE),2)</f>
        <v>11.89</v>
      </c>
      <c r="G246" s="641">
        <f t="shared" ref="G246:G252" si="65">ROUND(HLOOKUP($D246,$O$245:$U$247,2,FALSE),2)</f>
        <v>12.09</v>
      </c>
      <c r="H246" s="641">
        <f t="shared" si="57"/>
        <v>9.67</v>
      </c>
      <c r="I246" s="637"/>
      <c r="J246" s="549">
        <v>44536</v>
      </c>
      <c r="M246" s="101">
        <v>2022</v>
      </c>
      <c r="N246" s="322">
        <v>5.0000000000000001E-3</v>
      </c>
      <c r="O246" s="261">
        <f t="shared" ref="O246:U246" si="66">IF($N246&lt;&gt;"",O231*(100%-$N246),"")</f>
        <v>12.08925</v>
      </c>
      <c r="P246" s="261">
        <f t="shared" si="66"/>
        <v>7.9699499999999999</v>
      </c>
      <c r="Q246" s="261">
        <f t="shared" si="66"/>
        <v>6.0993500000000003</v>
      </c>
      <c r="R246" s="261">
        <f t="shared" si="66"/>
        <v>5.3431500000000005</v>
      </c>
      <c r="S246" s="261">
        <f t="shared" si="66"/>
        <v>5.1540999999999997</v>
      </c>
      <c r="T246" s="261">
        <f t="shared" si="66"/>
        <v>4.1391999999999998</v>
      </c>
      <c r="U246" s="261">
        <f t="shared" si="66"/>
        <v>3.383</v>
      </c>
      <c r="W246" t="s">
        <v>49</v>
      </c>
    </row>
    <row r="247" spans="1:23" x14ac:dyDescent="0.35">
      <c r="A247" s="527" t="str">
        <f>LEFT(A217,12)&amp;RIGHT(M246,2)</f>
        <v>WaK401------22</v>
      </c>
      <c r="B247" s="526" t="s">
        <v>2269</v>
      </c>
      <c r="C247" s="526" t="str">
        <f>LEFT(C217,17)&amp;RIGHT(M246,2)</f>
        <v>Inbetriebnahme 2022</v>
      </c>
      <c r="D247" s="526" t="s">
        <v>2000</v>
      </c>
      <c r="E247" s="526"/>
      <c r="F247" s="639">
        <f t="shared" si="64"/>
        <v>7.77</v>
      </c>
      <c r="G247" s="641">
        <f t="shared" si="65"/>
        <v>7.97</v>
      </c>
      <c r="H247" s="641">
        <f t="shared" si="57"/>
        <v>6.38</v>
      </c>
      <c r="I247" s="637"/>
      <c r="J247" s="549">
        <v>44536</v>
      </c>
      <c r="N247" s="322" t="s">
        <v>5857</v>
      </c>
      <c r="O247" s="261">
        <f t="shared" ref="O247:U247" si="67">O246-0.2</f>
        <v>11.889250000000001</v>
      </c>
      <c r="P247" s="261">
        <f t="shared" si="67"/>
        <v>7.7699499999999997</v>
      </c>
      <c r="Q247" s="261">
        <f t="shared" si="67"/>
        <v>5.8993500000000001</v>
      </c>
      <c r="R247" s="261">
        <f t="shared" si="67"/>
        <v>5.1431500000000003</v>
      </c>
      <c r="S247" s="261">
        <f t="shared" si="67"/>
        <v>4.9540999999999995</v>
      </c>
      <c r="T247" s="261">
        <f t="shared" si="67"/>
        <v>3.9391999999999996</v>
      </c>
      <c r="U247" s="261">
        <f t="shared" si="67"/>
        <v>3.1829999999999998</v>
      </c>
      <c r="W247" t="s">
        <v>50</v>
      </c>
    </row>
    <row r="248" spans="1:23" x14ac:dyDescent="0.35">
      <c r="A248" s="527" t="str">
        <f>LEFT(A218,12)&amp;RIGHT(M246,2)</f>
        <v>WaK402------22</v>
      </c>
      <c r="B248" s="526" t="s">
        <v>2269</v>
      </c>
      <c r="C248" s="526" t="str">
        <f>LEFT(C218,17)&amp;RIGHT(M246,2)</f>
        <v>Inbetriebnahme 2022</v>
      </c>
      <c r="D248" s="526" t="s">
        <v>2001</v>
      </c>
      <c r="E248" s="526"/>
      <c r="F248" s="639">
        <f t="shared" si="64"/>
        <v>5.9</v>
      </c>
      <c r="G248" s="641">
        <f t="shared" si="65"/>
        <v>6.1</v>
      </c>
      <c r="H248" s="641">
        <f t="shared" si="57"/>
        <v>4.88</v>
      </c>
      <c r="I248" s="637"/>
      <c r="J248" s="549">
        <v>44536</v>
      </c>
      <c r="O248" s="261"/>
    </row>
    <row r="249" spans="1:23" x14ac:dyDescent="0.35">
      <c r="A249" s="527" t="str">
        <f>LEFT(A219,12)&amp;RIGHT(M246,2)</f>
        <v>WaK403------22</v>
      </c>
      <c r="B249" s="526" t="s">
        <v>2269</v>
      </c>
      <c r="C249" s="526" t="str">
        <f>LEFT(C219,17)&amp;RIGHT(M246,2)</f>
        <v>Inbetriebnahme 2022</v>
      </c>
      <c r="D249" s="526" t="s">
        <v>2002</v>
      </c>
      <c r="E249" s="526"/>
      <c r="F249" s="639">
        <f t="shared" si="64"/>
        <v>5.14</v>
      </c>
      <c r="G249" s="641">
        <f t="shared" si="65"/>
        <v>5.34</v>
      </c>
      <c r="H249" s="641">
        <f t="shared" si="57"/>
        <v>4.2699999999999996</v>
      </c>
      <c r="I249" s="637"/>
      <c r="J249" s="549">
        <v>44536</v>
      </c>
      <c r="O249" s="261"/>
    </row>
    <row r="250" spans="1:23" x14ac:dyDescent="0.35">
      <c r="A250" s="527" t="str">
        <f>LEFT(A220,12)&amp;RIGHT(M246,2)</f>
        <v>WaK404------22</v>
      </c>
      <c r="B250" s="526" t="s">
        <v>2269</v>
      </c>
      <c r="C250" s="526" t="str">
        <f>LEFT(C220,17)&amp;RIGHT(M246,2)</f>
        <v>Inbetriebnahme 2022</v>
      </c>
      <c r="D250" s="526" t="s">
        <v>2003</v>
      </c>
      <c r="E250" s="526"/>
      <c r="F250" s="639">
        <f t="shared" si="64"/>
        <v>4.95</v>
      </c>
      <c r="G250" s="641">
        <f t="shared" si="65"/>
        <v>5.15</v>
      </c>
      <c r="H250" s="641">
        <f t="shared" si="57"/>
        <v>4.12</v>
      </c>
      <c r="I250" s="637"/>
      <c r="J250" s="549">
        <v>44536</v>
      </c>
      <c r="O250" s="261"/>
    </row>
    <row r="251" spans="1:23" x14ac:dyDescent="0.35">
      <c r="A251" s="527" t="str">
        <f>LEFT(A221,12)&amp;RIGHT(M246,2)</f>
        <v>WaK405------22</v>
      </c>
      <c r="B251" s="526" t="s">
        <v>2269</v>
      </c>
      <c r="C251" s="526" t="str">
        <f>LEFT(C221,17)&amp;RIGHT(M246,2)</f>
        <v>Inbetriebnahme 2022</v>
      </c>
      <c r="D251" s="526" t="s">
        <v>2004</v>
      </c>
      <c r="E251" s="526"/>
      <c r="F251" s="639">
        <f t="shared" si="64"/>
        <v>3.94</v>
      </c>
      <c r="G251" s="641">
        <f t="shared" si="65"/>
        <v>4.1399999999999997</v>
      </c>
      <c r="H251" s="641">
        <f t="shared" si="57"/>
        <v>3.31</v>
      </c>
      <c r="I251" s="637"/>
      <c r="J251" s="549">
        <v>44536</v>
      </c>
      <c r="O251" s="261"/>
    </row>
    <row r="252" spans="1:23" x14ac:dyDescent="0.35">
      <c r="A252" s="527" t="str">
        <f>LEFT(A222,12)&amp;RIGHT(M246,2)</f>
        <v>WaK406------22</v>
      </c>
      <c r="B252" s="526" t="s">
        <v>2269</v>
      </c>
      <c r="C252" s="526" t="str">
        <f>LEFT(C222,17)&amp;RIGHT(M246,2)</f>
        <v>Inbetriebnahme 2022</v>
      </c>
      <c r="D252" s="526" t="s">
        <v>1992</v>
      </c>
      <c r="E252" s="526"/>
      <c r="F252" s="639">
        <f t="shared" si="64"/>
        <v>3.18</v>
      </c>
      <c r="G252" s="641">
        <f t="shared" si="65"/>
        <v>3.38</v>
      </c>
      <c r="H252" s="641">
        <f t="shared" si="57"/>
        <v>2.7</v>
      </c>
      <c r="I252" s="637"/>
      <c r="J252" s="549">
        <v>44536</v>
      </c>
      <c r="N252" s="29" t="s">
        <v>5489</v>
      </c>
      <c r="O252" t="str">
        <f>D253</f>
        <v>0-0,5 MW, IB vor 01.01.2009, Modernisierung 2022</v>
      </c>
      <c r="P252" t="str">
        <f>D254</f>
        <v>0,5-2 MW, IB vor 01.01.2009, Modernisierung 2022</v>
      </c>
      <c r="Q252" t="str">
        <f>D255</f>
        <v>2-5 MW, IB vor 01.01.2009, Modernisierung 2022</v>
      </c>
      <c r="R252" t="str">
        <f>D256</f>
        <v>5-10 MW, IB vor 01.01.2009, Modernisierung 2022</v>
      </c>
      <c r="S252" t="str">
        <f>D257</f>
        <v>10-20 MW, IB vor 01.01.2009, Modernisierung 2022</v>
      </c>
      <c r="T252" t="str">
        <f>D258</f>
        <v>20-50 MW, IB vor 01.01.2009, Modernisierung 2022</v>
      </c>
      <c r="U252" t="str">
        <f>D259</f>
        <v>&gt; 50 MW, IB vor 01.01.2009, Modernisierung 2022</v>
      </c>
    </row>
    <row r="253" spans="1:23" x14ac:dyDescent="0.35">
      <c r="A253" s="527" t="str">
        <f>LEFT(A223,12)&amp;RIGHT(M246,2)</f>
        <v>WaK400M-----22</v>
      </c>
      <c r="B253" s="526" t="s">
        <v>2269</v>
      </c>
      <c r="C253" s="526" t="str">
        <f>LEFT(C223,17)&amp;RIGHT(M246,2)</f>
        <v>Modernisierung 2022</v>
      </c>
      <c r="D253" s="526" t="str">
        <f>LEFT(D223,LEN(D223)-2)&amp;RIGHT(M246,2)</f>
        <v>0-0,5 MW, IB vor 01.01.2009, Modernisierung 2022</v>
      </c>
      <c r="E253" s="526" t="s">
        <v>5765</v>
      </c>
      <c r="F253" s="639">
        <f t="shared" ref="F253:F259" si="68">ROUND(HLOOKUP($D253,$O$252:$U$254,3,FALSE),2)</f>
        <v>11.89</v>
      </c>
      <c r="G253" s="641">
        <f t="shared" ref="G253:G259" si="69">ROUND(HLOOKUP($D253,$O$252:$U$254,2,FALSE),2)</f>
        <v>12.09</v>
      </c>
      <c r="H253" s="641">
        <f t="shared" si="57"/>
        <v>9.67</v>
      </c>
      <c r="I253" s="637"/>
      <c r="J253" s="549">
        <v>44536</v>
      </c>
      <c r="M253" s="101">
        <f>M246</f>
        <v>2022</v>
      </c>
      <c r="N253" s="322">
        <v>5.0000000000000001E-3</v>
      </c>
      <c r="O253" s="261">
        <f t="shared" ref="O253:U253" si="70">IF($N253&lt;&gt;"",O238*(100%-$N253),"")</f>
        <v>12.08925</v>
      </c>
      <c r="P253" s="261">
        <f t="shared" si="70"/>
        <v>7.9699499999999999</v>
      </c>
      <c r="Q253" s="261">
        <f t="shared" si="70"/>
        <v>6.0993500000000003</v>
      </c>
      <c r="R253" s="261">
        <f t="shared" si="70"/>
        <v>5.3431500000000005</v>
      </c>
      <c r="S253" s="261">
        <f t="shared" si="70"/>
        <v>5.1540999999999997</v>
      </c>
      <c r="T253" s="261">
        <f t="shared" si="70"/>
        <v>4.1391999999999998</v>
      </c>
      <c r="U253" s="261">
        <f t="shared" si="70"/>
        <v>3.383</v>
      </c>
      <c r="W253" t="s">
        <v>49</v>
      </c>
    </row>
    <row r="254" spans="1:23" x14ac:dyDescent="0.35">
      <c r="A254" s="527" t="str">
        <f>LEFT(A224,12)&amp;RIGHT(M246,2)</f>
        <v>WaK401M-----22</v>
      </c>
      <c r="B254" s="526" t="s">
        <v>2269</v>
      </c>
      <c r="C254" s="526" t="str">
        <f>LEFT(C224,17)&amp;RIGHT(M246,2)</f>
        <v>Modernisierung 2022</v>
      </c>
      <c r="D254" s="526" t="str">
        <f>LEFT(D224,LEN(D224)-2)&amp;RIGHT(M246,2)</f>
        <v>0,5-2 MW, IB vor 01.01.2009, Modernisierung 2022</v>
      </c>
      <c r="E254" s="526" t="s">
        <v>5765</v>
      </c>
      <c r="F254" s="639">
        <f t="shared" si="68"/>
        <v>7.77</v>
      </c>
      <c r="G254" s="641">
        <f t="shared" si="69"/>
        <v>7.97</v>
      </c>
      <c r="H254" s="641">
        <f t="shared" si="57"/>
        <v>6.38</v>
      </c>
      <c r="I254" s="637"/>
      <c r="J254" s="549">
        <v>44536</v>
      </c>
      <c r="N254" s="322" t="s">
        <v>5857</v>
      </c>
      <c r="O254" s="261">
        <f t="shared" ref="O254:U254" si="71">O253-0.2</f>
        <v>11.889250000000001</v>
      </c>
      <c r="P254" s="261">
        <f t="shared" si="71"/>
        <v>7.7699499999999997</v>
      </c>
      <c r="Q254" s="261">
        <f t="shared" si="71"/>
        <v>5.8993500000000001</v>
      </c>
      <c r="R254" s="261">
        <f t="shared" si="71"/>
        <v>5.1431500000000003</v>
      </c>
      <c r="S254" s="261">
        <f t="shared" si="71"/>
        <v>4.9540999999999995</v>
      </c>
      <c r="T254" s="261">
        <f t="shared" si="71"/>
        <v>3.9391999999999996</v>
      </c>
      <c r="U254" s="261">
        <f t="shared" si="71"/>
        <v>3.1829999999999998</v>
      </c>
      <c r="W254" t="s">
        <v>50</v>
      </c>
    </row>
    <row r="255" spans="1:23" x14ac:dyDescent="0.35">
      <c r="A255" s="527" t="str">
        <f>LEFT(A225,12)&amp;RIGHT(M246,2)</f>
        <v>WaK402M-----22</v>
      </c>
      <c r="B255" s="526" t="s">
        <v>2269</v>
      </c>
      <c r="C255" s="526" t="str">
        <f>LEFT(C225,17)&amp;RIGHT(M246,2)</f>
        <v>Modernisierung 2022</v>
      </c>
      <c r="D255" s="526" t="str">
        <f>LEFT(D225,LEN(D225)-2)&amp;RIGHT(M246,2)</f>
        <v>2-5 MW, IB vor 01.01.2009, Modernisierung 2022</v>
      </c>
      <c r="E255" s="526" t="s">
        <v>5765</v>
      </c>
      <c r="F255" s="639">
        <f t="shared" si="68"/>
        <v>5.9</v>
      </c>
      <c r="G255" s="641">
        <f t="shared" si="69"/>
        <v>6.1</v>
      </c>
      <c r="H255" s="641">
        <f t="shared" si="57"/>
        <v>4.88</v>
      </c>
      <c r="I255" s="637"/>
      <c r="J255" s="549">
        <v>44536</v>
      </c>
    </row>
    <row r="256" spans="1:23" x14ac:dyDescent="0.35">
      <c r="A256" s="527" t="str">
        <f>LEFT(A226,12)&amp;RIGHT(M246,2)</f>
        <v>WaK403M-----22</v>
      </c>
      <c r="B256" s="526" t="s">
        <v>2269</v>
      </c>
      <c r="C256" s="526" t="str">
        <f>LEFT(C226,17)&amp;RIGHT(M246,2)</f>
        <v>Modernisierung 2022</v>
      </c>
      <c r="D256" s="526" t="str">
        <f>LEFT(D226,LEN(D226)-2)&amp;RIGHT(M246,2)</f>
        <v>5-10 MW, IB vor 01.01.2009, Modernisierung 2022</v>
      </c>
      <c r="E256" s="526" t="s">
        <v>5765</v>
      </c>
      <c r="F256" s="639">
        <f t="shared" si="68"/>
        <v>5.14</v>
      </c>
      <c r="G256" s="641">
        <f t="shared" si="69"/>
        <v>5.34</v>
      </c>
      <c r="H256" s="641">
        <f t="shared" si="57"/>
        <v>4.2699999999999996</v>
      </c>
      <c r="I256" s="637"/>
      <c r="J256" s="549">
        <v>44536</v>
      </c>
    </row>
    <row r="257" spans="1:23" x14ac:dyDescent="0.35">
      <c r="A257" s="527" t="str">
        <f>LEFT(A227,12)&amp;RIGHT(M246,2)</f>
        <v>WaK404M-----22</v>
      </c>
      <c r="B257" s="526" t="s">
        <v>2269</v>
      </c>
      <c r="C257" s="526" t="str">
        <f>LEFT(C227,17)&amp;RIGHT(M246,2)</f>
        <v>Modernisierung 2022</v>
      </c>
      <c r="D257" s="526" t="str">
        <f>LEFT(D227,LEN(D227)-2)&amp;RIGHT(M246,2)</f>
        <v>10-20 MW, IB vor 01.01.2009, Modernisierung 2022</v>
      </c>
      <c r="E257" s="526" t="s">
        <v>5765</v>
      </c>
      <c r="F257" s="639">
        <f t="shared" si="68"/>
        <v>4.95</v>
      </c>
      <c r="G257" s="641">
        <f t="shared" si="69"/>
        <v>5.15</v>
      </c>
      <c r="H257" s="641">
        <f t="shared" si="57"/>
        <v>4.12</v>
      </c>
      <c r="I257" s="637"/>
      <c r="J257" s="549">
        <v>44536</v>
      </c>
    </row>
    <row r="258" spans="1:23" x14ac:dyDescent="0.35">
      <c r="A258" s="527" t="str">
        <f>LEFT(A228,12)&amp;RIGHT(M246,2)</f>
        <v>WaK405M-----22</v>
      </c>
      <c r="B258" s="526" t="s">
        <v>2269</v>
      </c>
      <c r="C258" s="526" t="str">
        <f>LEFT(C228,17)&amp;RIGHT(M246,2)</f>
        <v>Modernisierung 2022</v>
      </c>
      <c r="D258" s="526" t="str">
        <f>LEFT(D228,LEN(D228)-2)&amp;RIGHT(M246,2)</f>
        <v>20-50 MW, IB vor 01.01.2009, Modernisierung 2022</v>
      </c>
      <c r="E258" s="526" t="s">
        <v>5765</v>
      </c>
      <c r="F258" s="639">
        <f t="shared" si="68"/>
        <v>3.94</v>
      </c>
      <c r="G258" s="641">
        <f t="shared" si="69"/>
        <v>4.1399999999999997</v>
      </c>
      <c r="H258" s="641">
        <f t="shared" si="57"/>
        <v>3.31</v>
      </c>
      <c r="I258" s="637"/>
      <c r="J258" s="549">
        <v>44536</v>
      </c>
    </row>
    <row r="259" spans="1:23" x14ac:dyDescent="0.35">
      <c r="A259" s="527" t="str">
        <f>LEFT(A229,12)&amp;RIGHT(M246,2)</f>
        <v>WaK406M-----22</v>
      </c>
      <c r="B259" s="526" t="s">
        <v>2269</v>
      </c>
      <c r="C259" s="526" t="str">
        <f>LEFT(C229,17)&amp;RIGHT(M246,2)</f>
        <v>Modernisierung 2022</v>
      </c>
      <c r="D259" s="526" t="str">
        <f>LEFT(D229,LEN(D229)-2)&amp;RIGHT(M246,2)</f>
        <v>&gt; 50 MW, IB vor 01.01.2009, Modernisierung 2022</v>
      </c>
      <c r="E259" s="526" t="s">
        <v>5765</v>
      </c>
      <c r="F259" s="639">
        <f t="shared" si="68"/>
        <v>3.18</v>
      </c>
      <c r="G259" s="641">
        <f t="shared" si="69"/>
        <v>3.38</v>
      </c>
      <c r="H259" s="641">
        <f t="shared" si="57"/>
        <v>2.7</v>
      </c>
      <c r="I259" s="637"/>
      <c r="J259" s="549">
        <v>44536</v>
      </c>
    </row>
    <row r="260" spans="1:23" x14ac:dyDescent="0.35">
      <c r="A260" s="496"/>
      <c r="B260" s="1"/>
      <c r="C260" s="362"/>
      <c r="D260" s="1"/>
      <c r="E260" s="1"/>
      <c r="F260" s="362"/>
      <c r="G260" s="10"/>
      <c r="H260" s="10" t="str">
        <f t="shared" si="57"/>
        <v/>
      </c>
      <c r="I260" s="566"/>
      <c r="J260" s="549" t="s">
        <v>4179</v>
      </c>
      <c r="N260" s="29" t="s">
        <v>5489</v>
      </c>
      <c r="O260" t="str">
        <f>D261</f>
        <v>0-0,5 MW</v>
      </c>
      <c r="P260" t="str">
        <f>D262</f>
        <v>0,5-2 MW</v>
      </c>
      <c r="Q260" t="str">
        <f>D263</f>
        <v>2-5 MW</v>
      </c>
      <c r="R260" t="str">
        <f>D264</f>
        <v>5-10 MW</v>
      </c>
      <c r="S260" t="str">
        <f>D265</f>
        <v>10-20 MW</v>
      </c>
      <c r="T260" t="str">
        <f>D266</f>
        <v>20-50 MW</v>
      </c>
      <c r="U260" t="str">
        <f>D267</f>
        <v>&gt; 50 MW</v>
      </c>
    </row>
    <row r="261" spans="1:23" x14ac:dyDescent="0.35">
      <c r="A261" s="527" t="str">
        <f>LEFT(A231,12)&amp;RIGHT(M261,2)</f>
        <v>WaK400------23</v>
      </c>
      <c r="B261" s="526" t="s">
        <v>2269</v>
      </c>
      <c r="C261" s="526" t="str">
        <f>LEFT(C231,17)&amp;RIGHT(M261,2)</f>
        <v>Inbetriebnahme 2023</v>
      </c>
      <c r="D261" s="526" t="s">
        <v>5406</v>
      </c>
      <c r="E261" s="526"/>
      <c r="F261" s="639">
        <f t="shared" ref="F261:F267" si="72">ROUND(HLOOKUP($D261,$O$260:$U$262,3,FALSE),2)</f>
        <v>11.83</v>
      </c>
      <c r="G261" s="641">
        <f t="shared" ref="G261:G267" si="73">ROUND(HLOOKUP($D261,$O$260:$U$262,2,FALSE),2)</f>
        <v>12.03</v>
      </c>
      <c r="H261" s="641">
        <f t="shared" si="57"/>
        <v>9.6199999999999992</v>
      </c>
      <c r="I261" s="637"/>
      <c r="J261" s="549">
        <v>44896</v>
      </c>
      <c r="M261" s="101">
        <v>2023</v>
      </c>
      <c r="N261" s="322" t="s">
        <v>7889</v>
      </c>
      <c r="O261" s="261">
        <v>12.03</v>
      </c>
      <c r="P261" s="261">
        <v>7.93</v>
      </c>
      <c r="Q261" s="261">
        <v>6.07</v>
      </c>
      <c r="R261" s="261">
        <v>5.32</v>
      </c>
      <c r="S261" s="261">
        <v>5.13</v>
      </c>
      <c r="T261" s="261">
        <v>4.12</v>
      </c>
      <c r="U261" s="261">
        <v>3.37</v>
      </c>
      <c r="W261" t="s">
        <v>49</v>
      </c>
    </row>
    <row r="262" spans="1:23" x14ac:dyDescent="0.35">
      <c r="A262" s="527" t="str">
        <f>LEFT(A232,12)&amp;RIGHT(M261,2)</f>
        <v>WaK401------23</v>
      </c>
      <c r="B262" s="526" t="s">
        <v>2269</v>
      </c>
      <c r="C262" s="526" t="str">
        <f>LEFT(C232,17)&amp;RIGHT(M261,2)</f>
        <v>Inbetriebnahme 2023</v>
      </c>
      <c r="D262" s="526" t="s">
        <v>2000</v>
      </c>
      <c r="E262" s="526"/>
      <c r="F262" s="639">
        <f t="shared" si="72"/>
        <v>7.73</v>
      </c>
      <c r="G262" s="641">
        <f t="shared" si="73"/>
        <v>7.93</v>
      </c>
      <c r="H262" s="641">
        <f t="shared" si="57"/>
        <v>6.34</v>
      </c>
      <c r="I262" s="637"/>
      <c r="J262" s="549">
        <v>44896</v>
      </c>
      <c r="N262" s="322" t="s">
        <v>5857</v>
      </c>
      <c r="O262" s="261">
        <f t="shared" ref="O262:U262" si="74">O261-0.2</f>
        <v>11.83</v>
      </c>
      <c r="P262" s="261">
        <f t="shared" si="74"/>
        <v>7.7299999999999995</v>
      </c>
      <c r="Q262" s="261">
        <f t="shared" si="74"/>
        <v>5.87</v>
      </c>
      <c r="R262" s="261">
        <f t="shared" si="74"/>
        <v>5.12</v>
      </c>
      <c r="S262" s="261">
        <f t="shared" si="74"/>
        <v>4.93</v>
      </c>
      <c r="T262" s="261">
        <f t="shared" si="74"/>
        <v>3.92</v>
      </c>
      <c r="U262" s="261">
        <f t="shared" si="74"/>
        <v>3.17</v>
      </c>
      <c r="W262" t="s">
        <v>50</v>
      </c>
    </row>
    <row r="263" spans="1:23" x14ac:dyDescent="0.35">
      <c r="A263" s="527" t="str">
        <f>LEFT(A233,12)&amp;RIGHT(M261,2)</f>
        <v>WaK402------23</v>
      </c>
      <c r="B263" s="526" t="s">
        <v>2269</v>
      </c>
      <c r="C263" s="526" t="str">
        <f>LEFT(C233,17)&amp;RIGHT(M261,2)</f>
        <v>Inbetriebnahme 2023</v>
      </c>
      <c r="D263" s="526" t="s">
        <v>2001</v>
      </c>
      <c r="E263" s="526"/>
      <c r="F263" s="639">
        <f t="shared" si="72"/>
        <v>5.87</v>
      </c>
      <c r="G263" s="641">
        <f t="shared" si="73"/>
        <v>6.07</v>
      </c>
      <c r="H263" s="641">
        <f t="shared" si="57"/>
        <v>4.8600000000000003</v>
      </c>
      <c r="I263" s="637"/>
      <c r="J263" s="549">
        <v>44896</v>
      </c>
      <c r="O263" s="261"/>
    </row>
    <row r="264" spans="1:23" x14ac:dyDescent="0.35">
      <c r="A264" s="527" t="str">
        <f>LEFT(A234,12)&amp;RIGHT(M261,2)</f>
        <v>WaK403------23</v>
      </c>
      <c r="B264" s="526" t="s">
        <v>2269</v>
      </c>
      <c r="C264" s="526" t="str">
        <f>LEFT(C234,17)&amp;RIGHT(M261,2)</f>
        <v>Inbetriebnahme 2023</v>
      </c>
      <c r="D264" s="526" t="s">
        <v>2002</v>
      </c>
      <c r="E264" s="526"/>
      <c r="F264" s="639">
        <f t="shared" si="72"/>
        <v>5.12</v>
      </c>
      <c r="G264" s="641">
        <f t="shared" si="73"/>
        <v>5.32</v>
      </c>
      <c r="H264" s="641">
        <f t="shared" si="57"/>
        <v>4.26</v>
      </c>
      <c r="I264" s="637"/>
      <c r="J264" s="549">
        <v>44896</v>
      </c>
      <c r="O264" s="261"/>
    </row>
    <row r="265" spans="1:23" x14ac:dyDescent="0.35">
      <c r="A265" s="527" t="str">
        <f>LEFT(A235,12)&amp;RIGHT(M261,2)</f>
        <v>WaK404------23</v>
      </c>
      <c r="B265" s="526" t="s">
        <v>2269</v>
      </c>
      <c r="C265" s="526" t="str">
        <f>LEFT(C235,17)&amp;RIGHT(M261,2)</f>
        <v>Inbetriebnahme 2023</v>
      </c>
      <c r="D265" s="526" t="s">
        <v>2003</v>
      </c>
      <c r="E265" s="526"/>
      <c r="F265" s="639">
        <f t="shared" si="72"/>
        <v>4.93</v>
      </c>
      <c r="G265" s="641">
        <f t="shared" si="73"/>
        <v>5.13</v>
      </c>
      <c r="H265" s="641">
        <f t="shared" si="57"/>
        <v>4.0999999999999996</v>
      </c>
      <c r="I265" s="637"/>
      <c r="J265" s="549">
        <v>44896</v>
      </c>
      <c r="O265" s="261"/>
    </row>
    <row r="266" spans="1:23" x14ac:dyDescent="0.35">
      <c r="A266" s="527" t="str">
        <f>LEFT(A236,12)&amp;RIGHT(M261,2)</f>
        <v>WaK405------23</v>
      </c>
      <c r="B266" s="526" t="s">
        <v>2269</v>
      </c>
      <c r="C266" s="526" t="str">
        <f>LEFT(C236,17)&amp;RIGHT(M261,2)</f>
        <v>Inbetriebnahme 2023</v>
      </c>
      <c r="D266" s="526" t="s">
        <v>2004</v>
      </c>
      <c r="E266" s="526"/>
      <c r="F266" s="639">
        <f t="shared" si="72"/>
        <v>3.92</v>
      </c>
      <c r="G266" s="641">
        <f t="shared" si="73"/>
        <v>4.12</v>
      </c>
      <c r="H266" s="641">
        <f t="shared" si="57"/>
        <v>3.3</v>
      </c>
      <c r="I266" s="637"/>
      <c r="J266" s="549">
        <v>44896</v>
      </c>
      <c r="O266" s="261"/>
    </row>
    <row r="267" spans="1:23" x14ac:dyDescent="0.35">
      <c r="A267" s="527" t="str">
        <f>LEFT(A237,12)&amp;RIGHT(M261,2)</f>
        <v>WaK406------23</v>
      </c>
      <c r="B267" s="526" t="s">
        <v>2269</v>
      </c>
      <c r="C267" s="526" t="str">
        <f>LEFT(C237,17)&amp;RIGHT(M261,2)</f>
        <v>Inbetriebnahme 2023</v>
      </c>
      <c r="D267" s="526" t="s">
        <v>1992</v>
      </c>
      <c r="E267" s="526"/>
      <c r="F267" s="639">
        <f t="shared" si="72"/>
        <v>3.17</v>
      </c>
      <c r="G267" s="641">
        <f t="shared" si="73"/>
        <v>3.37</v>
      </c>
      <c r="H267" s="641">
        <f t="shared" si="57"/>
        <v>2.7</v>
      </c>
      <c r="I267" s="637"/>
      <c r="J267" s="549">
        <v>44896</v>
      </c>
      <c r="N267" s="29" t="s">
        <v>5489</v>
      </c>
      <c r="O267" t="str">
        <f>D268</f>
        <v>0-0,5 MW, IB vor 01.01.2009, Modernisierung 2023</v>
      </c>
      <c r="P267" t="str">
        <f>D269</f>
        <v>0,5-2 MW, IB vor 01.01.2009, Modernisierung 2023</v>
      </c>
      <c r="Q267" t="str">
        <f>D270</f>
        <v>2-5 MW, IB vor 01.01.2009, Modernisierung 2023</v>
      </c>
      <c r="R267" t="str">
        <f>D271</f>
        <v>5-10 MW, IB vor 01.01.2009, Modernisierung 2023</v>
      </c>
      <c r="S267" t="str">
        <f>D272</f>
        <v>10-20 MW, IB vor 01.01.2009, Modernisierung 2023</v>
      </c>
      <c r="T267" t="str">
        <f>D273</f>
        <v>20-50 MW, IB vor 01.01.2009, Modernisierung 2023</v>
      </c>
      <c r="U267" t="str">
        <f>D274</f>
        <v>&gt; 50 MW, IB vor 01.01.2009, Modernisierung 2023</v>
      </c>
    </row>
    <row r="268" spans="1:23" x14ac:dyDescent="0.35">
      <c r="A268" s="527" t="str">
        <f>LEFT(A238,12)&amp;RIGHT(M261,2)</f>
        <v>WaK400M-----23</v>
      </c>
      <c r="B268" s="526" t="s">
        <v>2269</v>
      </c>
      <c r="C268" s="526" t="str">
        <f>LEFT(C238,17)&amp;RIGHT(M261,2)</f>
        <v>Modernisierung 2023</v>
      </c>
      <c r="D268" s="526" t="str">
        <f>LEFT(D238,LEN(D238)-2)&amp;RIGHT(M261,2)</f>
        <v>0-0,5 MW, IB vor 01.01.2009, Modernisierung 2023</v>
      </c>
      <c r="E268" s="526" t="s">
        <v>5765</v>
      </c>
      <c r="F268" s="639">
        <f t="shared" ref="F268:F274" si="75">ROUND(HLOOKUP($D268,$O$267:$U$269,3,FALSE),2)</f>
        <v>11.83</v>
      </c>
      <c r="G268" s="641">
        <f t="shared" ref="G268:G274" si="76">ROUND(HLOOKUP($D268,$O$267:$U$269,2,FALSE),2)</f>
        <v>12.03</v>
      </c>
      <c r="H268" s="641">
        <f t="shared" si="57"/>
        <v>9.6199999999999992</v>
      </c>
      <c r="I268" s="637"/>
      <c r="J268" s="549">
        <v>44896</v>
      </c>
      <c r="M268" s="101">
        <f>M261</f>
        <v>2023</v>
      </c>
      <c r="N268" s="322" t="s">
        <v>7901</v>
      </c>
      <c r="O268" s="261">
        <v>12.03</v>
      </c>
      <c r="P268" s="261">
        <v>7.93</v>
      </c>
      <c r="Q268" s="261">
        <v>6.07</v>
      </c>
      <c r="R268" s="261">
        <v>5.32</v>
      </c>
      <c r="S268" s="261">
        <v>5.13</v>
      </c>
      <c r="T268" s="261">
        <v>4.12</v>
      </c>
      <c r="U268" s="261">
        <v>3.37</v>
      </c>
      <c r="W268" t="s">
        <v>49</v>
      </c>
    </row>
    <row r="269" spans="1:23" x14ac:dyDescent="0.35">
      <c r="A269" s="527" t="str">
        <f>LEFT(A239,12)&amp;RIGHT(M261,2)</f>
        <v>WaK401M-----23</v>
      </c>
      <c r="B269" s="526" t="s">
        <v>2269</v>
      </c>
      <c r="C269" s="526" t="str">
        <f>LEFT(C239,17)&amp;RIGHT(M261,2)</f>
        <v>Modernisierung 2023</v>
      </c>
      <c r="D269" s="526" t="str">
        <f>LEFT(D239,LEN(D239)-2)&amp;RIGHT(M261,2)</f>
        <v>0,5-2 MW, IB vor 01.01.2009, Modernisierung 2023</v>
      </c>
      <c r="E269" s="526" t="s">
        <v>5765</v>
      </c>
      <c r="F269" s="639">
        <f t="shared" si="75"/>
        <v>7.73</v>
      </c>
      <c r="G269" s="641">
        <f t="shared" si="76"/>
        <v>7.93</v>
      </c>
      <c r="H269" s="641">
        <f t="shared" si="57"/>
        <v>6.34</v>
      </c>
      <c r="I269" s="637"/>
      <c r="J269" s="549">
        <v>44896</v>
      </c>
      <c r="N269" s="322" t="s">
        <v>5857</v>
      </c>
      <c r="O269" s="261">
        <f t="shared" ref="O269:U269" si="77">O268-0.2</f>
        <v>11.83</v>
      </c>
      <c r="P269" s="261">
        <f t="shared" si="77"/>
        <v>7.7299999999999995</v>
      </c>
      <c r="Q269" s="261">
        <f t="shared" si="77"/>
        <v>5.87</v>
      </c>
      <c r="R269" s="261">
        <f t="shared" si="77"/>
        <v>5.12</v>
      </c>
      <c r="S269" s="261">
        <f t="shared" si="77"/>
        <v>4.93</v>
      </c>
      <c r="T269" s="261">
        <f t="shared" si="77"/>
        <v>3.92</v>
      </c>
      <c r="U269" s="261">
        <f t="shared" si="77"/>
        <v>3.17</v>
      </c>
      <c r="W269" t="s">
        <v>50</v>
      </c>
    </row>
    <row r="270" spans="1:23" x14ac:dyDescent="0.35">
      <c r="A270" s="527" t="str">
        <f>LEFT(A240,12)&amp;RIGHT(M261,2)</f>
        <v>WaK402M-----23</v>
      </c>
      <c r="B270" s="526" t="s">
        <v>2269</v>
      </c>
      <c r="C270" s="526" t="str">
        <f>LEFT(C240,17)&amp;RIGHT(M261,2)</f>
        <v>Modernisierung 2023</v>
      </c>
      <c r="D270" s="526" t="str">
        <f>LEFT(D240,LEN(D240)-2)&amp;RIGHT(M261,2)</f>
        <v>2-5 MW, IB vor 01.01.2009, Modernisierung 2023</v>
      </c>
      <c r="E270" s="526" t="s">
        <v>5765</v>
      </c>
      <c r="F270" s="639">
        <f t="shared" si="75"/>
        <v>5.87</v>
      </c>
      <c r="G270" s="641">
        <f t="shared" si="76"/>
        <v>6.07</v>
      </c>
      <c r="H270" s="641">
        <f t="shared" si="57"/>
        <v>4.8600000000000003</v>
      </c>
      <c r="I270" s="637"/>
      <c r="J270" s="549">
        <v>44896</v>
      </c>
    </row>
    <row r="271" spans="1:23" x14ac:dyDescent="0.35">
      <c r="A271" s="527" t="str">
        <f>LEFT(A241,12)&amp;RIGHT(M261,2)</f>
        <v>WaK403M-----23</v>
      </c>
      <c r="B271" s="526" t="s">
        <v>2269</v>
      </c>
      <c r="C271" s="526" t="str">
        <f>LEFT(C241,17)&amp;RIGHT(M261,2)</f>
        <v>Modernisierung 2023</v>
      </c>
      <c r="D271" s="526" t="str">
        <f>LEFT(D241,LEN(D241)-2)&amp;RIGHT(M261,2)</f>
        <v>5-10 MW, IB vor 01.01.2009, Modernisierung 2023</v>
      </c>
      <c r="E271" s="526" t="s">
        <v>5765</v>
      </c>
      <c r="F271" s="639">
        <f t="shared" si="75"/>
        <v>5.12</v>
      </c>
      <c r="G271" s="641">
        <f t="shared" si="76"/>
        <v>5.32</v>
      </c>
      <c r="H271" s="641">
        <f t="shared" si="57"/>
        <v>4.26</v>
      </c>
      <c r="I271" s="637"/>
      <c r="J271" s="549">
        <v>44896</v>
      </c>
    </row>
    <row r="272" spans="1:23" x14ac:dyDescent="0.35">
      <c r="A272" s="527" t="str">
        <f>LEFT(A242,12)&amp;RIGHT(M261,2)</f>
        <v>WaK404M-----23</v>
      </c>
      <c r="B272" s="526" t="s">
        <v>2269</v>
      </c>
      <c r="C272" s="526" t="str">
        <f>LEFT(C242,17)&amp;RIGHT(M261,2)</f>
        <v>Modernisierung 2023</v>
      </c>
      <c r="D272" s="526" t="str">
        <f>LEFT(D242,LEN(D242)-2)&amp;RIGHT(M261,2)</f>
        <v>10-20 MW, IB vor 01.01.2009, Modernisierung 2023</v>
      </c>
      <c r="E272" s="526" t="s">
        <v>5765</v>
      </c>
      <c r="F272" s="639">
        <f t="shared" si="75"/>
        <v>4.93</v>
      </c>
      <c r="G272" s="641">
        <f t="shared" si="76"/>
        <v>5.13</v>
      </c>
      <c r="H272" s="641">
        <f t="shared" si="57"/>
        <v>4.0999999999999996</v>
      </c>
      <c r="I272" s="637"/>
      <c r="J272" s="549">
        <v>44896</v>
      </c>
    </row>
    <row r="273" spans="1:23" x14ac:dyDescent="0.35">
      <c r="A273" s="527" t="str">
        <f>LEFT(A243,12)&amp;RIGHT(M261,2)</f>
        <v>WaK405M-----23</v>
      </c>
      <c r="B273" s="526" t="s">
        <v>2269</v>
      </c>
      <c r="C273" s="526" t="str">
        <f>LEFT(C243,17)&amp;RIGHT(M261,2)</f>
        <v>Modernisierung 2023</v>
      </c>
      <c r="D273" s="526" t="str">
        <f>LEFT(D243,LEN(D243)-2)&amp;RIGHT(M261,2)</f>
        <v>20-50 MW, IB vor 01.01.2009, Modernisierung 2023</v>
      </c>
      <c r="E273" s="526" t="s">
        <v>5765</v>
      </c>
      <c r="F273" s="639">
        <f t="shared" si="75"/>
        <v>3.92</v>
      </c>
      <c r="G273" s="641">
        <f t="shared" si="76"/>
        <v>4.12</v>
      </c>
      <c r="H273" s="641">
        <f t="shared" si="57"/>
        <v>3.3</v>
      </c>
      <c r="I273" s="637"/>
      <c r="J273" s="549">
        <v>44896</v>
      </c>
    </row>
    <row r="274" spans="1:23" x14ac:dyDescent="0.35">
      <c r="A274" s="527" t="str">
        <f>LEFT(A244,12)&amp;RIGHT(M261,2)</f>
        <v>WaK406M-----23</v>
      </c>
      <c r="B274" s="526" t="s">
        <v>2269</v>
      </c>
      <c r="C274" s="526" t="str">
        <f>LEFT(C244,17)&amp;RIGHT(M261,2)</f>
        <v>Modernisierung 2023</v>
      </c>
      <c r="D274" s="526" t="str">
        <f>LEFT(D244,LEN(D244)-2)&amp;RIGHT(M261,2)</f>
        <v>&gt; 50 MW, IB vor 01.01.2009, Modernisierung 2023</v>
      </c>
      <c r="E274" s="526" t="s">
        <v>5765</v>
      </c>
      <c r="F274" s="639">
        <f t="shared" si="75"/>
        <v>3.17</v>
      </c>
      <c r="G274" s="641">
        <f t="shared" si="76"/>
        <v>3.37</v>
      </c>
      <c r="H274" s="641">
        <f t="shared" si="57"/>
        <v>2.7</v>
      </c>
      <c r="I274" s="637"/>
      <c r="J274" s="549">
        <v>44896</v>
      </c>
    </row>
    <row r="275" spans="1:23" x14ac:dyDescent="0.35">
      <c r="A275" s="496"/>
      <c r="B275" s="1"/>
      <c r="C275" s="362"/>
      <c r="D275" s="1"/>
      <c r="E275" s="1"/>
      <c r="F275" s="362"/>
      <c r="G275" s="10"/>
      <c r="H275" s="10" t="str">
        <f t="shared" si="57"/>
        <v/>
      </c>
      <c r="I275" s="566"/>
      <c r="J275" s="549" t="s">
        <v>4179</v>
      </c>
      <c r="N275" s="29" t="s">
        <v>5489</v>
      </c>
      <c r="O275" t="str">
        <f>D276</f>
        <v>0-0,5 MW</v>
      </c>
      <c r="P275" t="str">
        <f>D277</f>
        <v>0,5-2 MW</v>
      </c>
      <c r="Q275" t="str">
        <f>D278</f>
        <v>2-5 MW</v>
      </c>
      <c r="R275" t="str">
        <f>D279</f>
        <v>5-10 MW</v>
      </c>
      <c r="S275" t="str">
        <f>D280</f>
        <v>10-20 MW</v>
      </c>
      <c r="T275" t="str">
        <f>D281</f>
        <v>20-50 MW</v>
      </c>
      <c r="U275" t="str">
        <f>D282</f>
        <v>&gt; 50 MW</v>
      </c>
    </row>
    <row r="276" spans="1:23" x14ac:dyDescent="0.35">
      <c r="A276" s="527" t="str">
        <f>LEFT(A246,12)&amp;RIGHT(M276,2)</f>
        <v>WaK400------24</v>
      </c>
      <c r="B276" s="526" t="s">
        <v>2269</v>
      </c>
      <c r="C276" s="526" t="str">
        <f>LEFT(C246,17)&amp;RIGHT(M276,2)</f>
        <v>Inbetriebnahme 2024</v>
      </c>
      <c r="D276" s="526" t="s">
        <v>5406</v>
      </c>
      <c r="E276" s="526"/>
      <c r="F276" s="639">
        <f>ROUND(HLOOKUP($D276,$O275:$U277,3,FALSE),2)</f>
        <v>11.77</v>
      </c>
      <c r="G276" s="641">
        <f>ROUND(HLOOKUP($D276,$O275:$U277,2,FALSE),2)</f>
        <v>11.97</v>
      </c>
      <c r="H276" s="641">
        <f t="shared" si="57"/>
        <v>9.58</v>
      </c>
      <c r="I276" s="637"/>
      <c r="J276" s="549">
        <v>45268</v>
      </c>
      <c r="M276" s="101">
        <v>2024</v>
      </c>
      <c r="N276" s="322">
        <v>5.0000000000000001E-3</v>
      </c>
      <c r="O276" s="261">
        <f t="shared" ref="O276:U276" si="78">IF($N276&lt;&gt;"",O261*(100%-$N276),"")</f>
        <v>11.969849999999999</v>
      </c>
      <c r="P276" s="261">
        <f t="shared" si="78"/>
        <v>7.8903499999999998</v>
      </c>
      <c r="Q276" s="261">
        <f t="shared" si="78"/>
        <v>6.03965</v>
      </c>
      <c r="R276" s="261">
        <f t="shared" si="78"/>
        <v>5.2934000000000001</v>
      </c>
      <c r="S276" s="261">
        <f t="shared" si="78"/>
        <v>5.1043500000000002</v>
      </c>
      <c r="T276" s="261">
        <f t="shared" si="78"/>
        <v>4.0994000000000002</v>
      </c>
      <c r="U276" s="261">
        <f t="shared" si="78"/>
        <v>3.3531500000000003</v>
      </c>
      <c r="W276" t="s">
        <v>49</v>
      </c>
    </row>
    <row r="277" spans="1:23" x14ac:dyDescent="0.35">
      <c r="A277" s="527" t="str">
        <f>LEFT(A247,12)&amp;RIGHT(M276,2)</f>
        <v>WaK401------24</v>
      </c>
      <c r="B277" s="526" t="s">
        <v>2269</v>
      </c>
      <c r="C277" s="526" t="str">
        <f>LEFT(C247,17)&amp;RIGHT(M276,2)</f>
        <v>Inbetriebnahme 2024</v>
      </c>
      <c r="D277" s="526" t="s">
        <v>2000</v>
      </c>
      <c r="E277" s="526"/>
      <c r="F277" s="639">
        <f>ROUND(HLOOKUP($D277,$O275:$U277,3,FALSE),2)</f>
        <v>7.69</v>
      </c>
      <c r="G277" s="641">
        <f>ROUND(HLOOKUP($D277,$O275:$U277,2,FALSE),2)</f>
        <v>7.89</v>
      </c>
      <c r="H277" s="641">
        <f t="shared" si="57"/>
        <v>6.31</v>
      </c>
      <c r="I277" s="637"/>
      <c r="J277" s="549">
        <v>45268</v>
      </c>
      <c r="N277" s="322" t="s">
        <v>5857</v>
      </c>
      <c r="O277" s="261">
        <f t="shared" ref="O277:U277" si="79">O276-0.2</f>
        <v>11.76985</v>
      </c>
      <c r="P277" s="261">
        <f t="shared" si="79"/>
        <v>7.6903499999999996</v>
      </c>
      <c r="Q277" s="261">
        <f t="shared" si="79"/>
        <v>5.8396499999999998</v>
      </c>
      <c r="R277" s="261">
        <f t="shared" si="79"/>
        <v>5.0933999999999999</v>
      </c>
      <c r="S277" s="261">
        <f t="shared" si="79"/>
        <v>4.90435</v>
      </c>
      <c r="T277" s="261">
        <f t="shared" si="79"/>
        <v>3.8994</v>
      </c>
      <c r="U277" s="261">
        <f t="shared" si="79"/>
        <v>3.1531500000000001</v>
      </c>
      <c r="W277" t="s">
        <v>50</v>
      </c>
    </row>
    <row r="278" spans="1:23" x14ac:dyDescent="0.35">
      <c r="A278" s="527" t="str">
        <f>LEFT(A248,12)&amp;RIGHT(M276,2)</f>
        <v>WaK402------24</v>
      </c>
      <c r="B278" s="526" t="s">
        <v>2269</v>
      </c>
      <c r="C278" s="526" t="str">
        <f>LEFT(C248,17)&amp;RIGHT(M276,2)</f>
        <v>Inbetriebnahme 2024</v>
      </c>
      <c r="D278" s="526" t="s">
        <v>2001</v>
      </c>
      <c r="E278" s="526"/>
      <c r="F278" s="639">
        <f>ROUND(HLOOKUP($D278,$O275:$U277,3,FALSE),2)</f>
        <v>5.84</v>
      </c>
      <c r="G278" s="641">
        <f>ROUND(HLOOKUP($D278,$O275:$U277,2,FALSE),2)</f>
        <v>6.04</v>
      </c>
      <c r="H278" s="641">
        <f t="shared" si="57"/>
        <v>4.83</v>
      </c>
      <c r="I278" s="637"/>
      <c r="J278" s="549">
        <v>45268</v>
      </c>
      <c r="O278" s="261"/>
    </row>
    <row r="279" spans="1:23" x14ac:dyDescent="0.35">
      <c r="A279" s="527" t="str">
        <f>LEFT(A249,12)&amp;RIGHT(M276,2)</f>
        <v>WaK403------24</v>
      </c>
      <c r="B279" s="526" t="s">
        <v>2269</v>
      </c>
      <c r="C279" s="526" t="str">
        <f>LEFT(C249,17)&amp;RIGHT(M276,2)</f>
        <v>Inbetriebnahme 2024</v>
      </c>
      <c r="D279" s="526" t="s">
        <v>2002</v>
      </c>
      <c r="E279" s="526"/>
      <c r="F279" s="639">
        <f>ROUND(HLOOKUP($D279,$O275:$U277,3,FALSE),2)</f>
        <v>5.09</v>
      </c>
      <c r="G279" s="641">
        <f>ROUND(HLOOKUP($D279,$O275:$U277,2,FALSE),2)</f>
        <v>5.29</v>
      </c>
      <c r="H279" s="641">
        <f t="shared" si="57"/>
        <v>4.2300000000000004</v>
      </c>
      <c r="I279" s="637"/>
      <c r="J279" s="549">
        <v>45268</v>
      </c>
      <c r="O279" s="261"/>
    </row>
    <row r="280" spans="1:23" x14ac:dyDescent="0.35">
      <c r="A280" s="527" t="str">
        <f>LEFT(A250,12)&amp;RIGHT(M276,2)</f>
        <v>WaK404------24</v>
      </c>
      <c r="B280" s="526" t="s">
        <v>2269</v>
      </c>
      <c r="C280" s="526" t="str">
        <f>LEFT(C250,17)&amp;RIGHT(M276,2)</f>
        <v>Inbetriebnahme 2024</v>
      </c>
      <c r="D280" s="526" t="s">
        <v>2003</v>
      </c>
      <c r="E280" s="526"/>
      <c r="F280" s="639">
        <f>ROUND(HLOOKUP($D280,$O275:$U277,3,FALSE),2)</f>
        <v>4.9000000000000004</v>
      </c>
      <c r="G280" s="641">
        <f>ROUND(HLOOKUP($D280,$O275:$U277,2,FALSE),2)</f>
        <v>5.0999999999999996</v>
      </c>
      <c r="H280" s="641">
        <f t="shared" si="57"/>
        <v>4.08</v>
      </c>
      <c r="I280" s="637"/>
      <c r="J280" s="549">
        <v>45268</v>
      </c>
      <c r="O280" s="261"/>
    </row>
    <row r="281" spans="1:23" x14ac:dyDescent="0.35">
      <c r="A281" s="527" t="str">
        <f>LEFT(A251,12)&amp;RIGHT(M276,2)</f>
        <v>WaK405------24</v>
      </c>
      <c r="B281" s="526" t="s">
        <v>2269</v>
      </c>
      <c r="C281" s="526" t="str">
        <f>LEFT(C251,17)&amp;RIGHT(M276,2)</f>
        <v>Inbetriebnahme 2024</v>
      </c>
      <c r="D281" s="526" t="s">
        <v>2004</v>
      </c>
      <c r="E281" s="526"/>
      <c r="F281" s="639">
        <f>ROUND(HLOOKUP($D281,$O275:$U277,3,FALSE),2)</f>
        <v>3.9</v>
      </c>
      <c r="G281" s="641">
        <f>ROUND(HLOOKUP($D281,$O275:$U277,2,FALSE),2)</f>
        <v>4.0999999999999996</v>
      </c>
      <c r="H281" s="641">
        <f t="shared" si="57"/>
        <v>3.28</v>
      </c>
      <c r="I281" s="637"/>
      <c r="J281" s="549">
        <v>45268</v>
      </c>
      <c r="O281" s="261"/>
    </row>
    <row r="282" spans="1:23" x14ac:dyDescent="0.35">
      <c r="A282" s="527" t="str">
        <f>LEFT(A252,12)&amp;RIGHT(M276,2)</f>
        <v>WaK406------24</v>
      </c>
      <c r="B282" s="526" t="s">
        <v>2269</v>
      </c>
      <c r="C282" s="526" t="str">
        <f>LEFT(C252,17)&amp;RIGHT(M276,2)</f>
        <v>Inbetriebnahme 2024</v>
      </c>
      <c r="D282" s="526" t="s">
        <v>1992</v>
      </c>
      <c r="E282" s="526"/>
      <c r="F282" s="639">
        <f>ROUND(HLOOKUP($D282,$O275:$U277,3,FALSE),2)</f>
        <v>3.15</v>
      </c>
      <c r="G282" s="641">
        <f>ROUND(HLOOKUP($D282,$O275:$U277,2,FALSE),2)</f>
        <v>3.35</v>
      </c>
      <c r="H282" s="641">
        <f t="shared" si="57"/>
        <v>2.68</v>
      </c>
      <c r="I282" s="637"/>
      <c r="J282" s="549">
        <v>45268</v>
      </c>
      <c r="N282" s="29" t="s">
        <v>5489</v>
      </c>
      <c r="O282" t="str">
        <f>D283</f>
        <v>0-0,5 MW, IB vor 01.01.2009, Modernisierung 2024</v>
      </c>
      <c r="P282" t="str">
        <f>D284</f>
        <v>0,5-2 MW, IB vor 01.01.2009, Modernisierung 2024</v>
      </c>
      <c r="Q282" t="str">
        <f>D285</f>
        <v>2-5 MW, IB vor 01.01.2009, Modernisierung 2024</v>
      </c>
      <c r="R282" t="str">
        <f>D286</f>
        <v>5-10 MW, IB vor 01.01.2009, Modernisierung 2024</v>
      </c>
      <c r="S282" t="str">
        <f>D287</f>
        <v>10-20 MW, IB vor 01.01.2009, Modernisierung 2024</v>
      </c>
      <c r="T282" t="str">
        <f>D288</f>
        <v>20-50 MW, IB vor 01.01.2009, Modernisierung 2024</v>
      </c>
      <c r="U282" t="str">
        <f>D289</f>
        <v>&gt; 50 MW, IB vor 01.01.2009, Modernisierung 2024</v>
      </c>
    </row>
    <row r="283" spans="1:23" x14ac:dyDescent="0.35">
      <c r="A283" s="527" t="str">
        <f>LEFT(A253,12)&amp;RIGHT(M276,2)</f>
        <v>WaK400M-----24</v>
      </c>
      <c r="B283" s="526" t="s">
        <v>2269</v>
      </c>
      <c r="C283" s="526" t="str">
        <f>LEFT(C253,17)&amp;RIGHT(M276,2)</f>
        <v>Modernisierung 2024</v>
      </c>
      <c r="D283" s="526" t="str">
        <f>LEFT(D253,LEN(D253)-2)&amp;RIGHT(M276,2)</f>
        <v>0-0,5 MW, IB vor 01.01.2009, Modernisierung 2024</v>
      </c>
      <c r="E283" s="526" t="s">
        <v>5765</v>
      </c>
      <c r="F283" s="639">
        <f>ROUND(HLOOKUP($D283,$O282:$U284,3,FALSE),2)</f>
        <v>11.77</v>
      </c>
      <c r="G283" s="641">
        <f>ROUND(HLOOKUP($D283,$O282:$U284,2,FALSE),2)</f>
        <v>11.97</v>
      </c>
      <c r="H283" s="641">
        <f t="shared" si="57"/>
        <v>9.58</v>
      </c>
      <c r="I283" s="637"/>
      <c r="J283" s="549">
        <v>45268</v>
      </c>
      <c r="M283" s="101">
        <f>M276</f>
        <v>2024</v>
      </c>
      <c r="N283" s="322">
        <v>5.0000000000000001E-3</v>
      </c>
      <c r="O283" s="261">
        <f t="shared" ref="O283:U283" si="80">IF($N283&lt;&gt;"",O268*(100%-$N283),"")</f>
        <v>11.969849999999999</v>
      </c>
      <c r="P283" s="261">
        <f t="shared" si="80"/>
        <v>7.8903499999999998</v>
      </c>
      <c r="Q283" s="261">
        <f t="shared" si="80"/>
        <v>6.03965</v>
      </c>
      <c r="R283" s="261">
        <f t="shared" si="80"/>
        <v>5.2934000000000001</v>
      </c>
      <c r="S283" s="261">
        <f t="shared" si="80"/>
        <v>5.1043500000000002</v>
      </c>
      <c r="T283" s="261">
        <f t="shared" si="80"/>
        <v>4.0994000000000002</v>
      </c>
      <c r="U283" s="261">
        <f t="shared" si="80"/>
        <v>3.3531500000000003</v>
      </c>
      <c r="W283" t="s">
        <v>49</v>
      </c>
    </row>
    <row r="284" spans="1:23" x14ac:dyDescent="0.35">
      <c r="A284" s="527" t="str">
        <f>LEFT(A254,12)&amp;RIGHT(M276,2)</f>
        <v>WaK401M-----24</v>
      </c>
      <c r="B284" s="526" t="s">
        <v>2269</v>
      </c>
      <c r="C284" s="526" t="str">
        <f>LEFT(C254,17)&amp;RIGHT(M276,2)</f>
        <v>Modernisierung 2024</v>
      </c>
      <c r="D284" s="526" t="str">
        <f>LEFT(D254,LEN(D254)-2)&amp;RIGHT(M276,2)</f>
        <v>0,5-2 MW, IB vor 01.01.2009, Modernisierung 2024</v>
      </c>
      <c r="E284" s="526" t="s">
        <v>5765</v>
      </c>
      <c r="F284" s="639">
        <f>ROUND(HLOOKUP($D284,$O282:$U284,3,FALSE),2)</f>
        <v>7.69</v>
      </c>
      <c r="G284" s="641">
        <f>ROUND(HLOOKUP($D284,$O282:$U284,2,FALSE),2)</f>
        <v>7.89</v>
      </c>
      <c r="H284" s="641">
        <f t="shared" si="57"/>
        <v>6.31</v>
      </c>
      <c r="I284" s="637"/>
      <c r="J284" s="549">
        <v>45268</v>
      </c>
      <c r="N284" s="322" t="s">
        <v>5857</v>
      </c>
      <c r="O284" s="261">
        <f t="shared" ref="O284:U284" si="81">O283-0.2</f>
        <v>11.76985</v>
      </c>
      <c r="P284" s="261">
        <f t="shared" si="81"/>
        <v>7.6903499999999996</v>
      </c>
      <c r="Q284" s="261">
        <f t="shared" si="81"/>
        <v>5.8396499999999998</v>
      </c>
      <c r="R284" s="261">
        <f t="shared" si="81"/>
        <v>5.0933999999999999</v>
      </c>
      <c r="S284" s="261">
        <f t="shared" si="81"/>
        <v>4.90435</v>
      </c>
      <c r="T284" s="261">
        <f t="shared" si="81"/>
        <v>3.8994</v>
      </c>
      <c r="U284" s="261">
        <f t="shared" si="81"/>
        <v>3.1531500000000001</v>
      </c>
      <c r="W284" t="s">
        <v>50</v>
      </c>
    </row>
    <row r="285" spans="1:23" x14ac:dyDescent="0.35">
      <c r="A285" s="527" t="str">
        <f>LEFT(A255,12)&amp;RIGHT(M276,2)</f>
        <v>WaK402M-----24</v>
      </c>
      <c r="B285" s="526" t="s">
        <v>2269</v>
      </c>
      <c r="C285" s="526" t="str">
        <f>LEFT(C255,17)&amp;RIGHT(M276,2)</f>
        <v>Modernisierung 2024</v>
      </c>
      <c r="D285" s="526" t="str">
        <f>LEFT(D255,LEN(D255)-2)&amp;RIGHT(M276,2)</f>
        <v>2-5 MW, IB vor 01.01.2009, Modernisierung 2024</v>
      </c>
      <c r="E285" s="526" t="s">
        <v>5765</v>
      </c>
      <c r="F285" s="639">
        <f>ROUND(HLOOKUP($D285,$O282:$U284,3,FALSE),2)</f>
        <v>5.84</v>
      </c>
      <c r="G285" s="641">
        <f>ROUND(HLOOKUP($D285,$O282:$U284,2,FALSE),2)</f>
        <v>6.04</v>
      </c>
      <c r="H285" s="641">
        <f t="shared" si="57"/>
        <v>4.83</v>
      </c>
      <c r="I285" s="637"/>
      <c r="J285" s="549">
        <v>45268</v>
      </c>
    </row>
    <row r="286" spans="1:23" x14ac:dyDescent="0.35">
      <c r="A286" s="527" t="str">
        <f>LEFT(A256,12)&amp;RIGHT(M276,2)</f>
        <v>WaK403M-----24</v>
      </c>
      <c r="B286" s="526" t="s">
        <v>2269</v>
      </c>
      <c r="C286" s="526" t="str">
        <f>LEFT(C256,17)&amp;RIGHT(M276,2)</f>
        <v>Modernisierung 2024</v>
      </c>
      <c r="D286" s="526" t="str">
        <f>LEFT(D256,LEN(D256)-2)&amp;RIGHT(M276,2)</f>
        <v>5-10 MW, IB vor 01.01.2009, Modernisierung 2024</v>
      </c>
      <c r="E286" s="526" t="s">
        <v>5765</v>
      </c>
      <c r="F286" s="639">
        <f>ROUND(HLOOKUP($D286,$O282:$U284,3,FALSE),2)</f>
        <v>5.09</v>
      </c>
      <c r="G286" s="641">
        <f>ROUND(HLOOKUP($D286,$O282:$U284,2,FALSE),2)</f>
        <v>5.29</v>
      </c>
      <c r="H286" s="641">
        <f t="shared" si="57"/>
        <v>4.2300000000000004</v>
      </c>
      <c r="I286" s="637"/>
      <c r="J286" s="549">
        <v>45268</v>
      </c>
    </row>
    <row r="287" spans="1:23" x14ac:dyDescent="0.35">
      <c r="A287" s="527" t="str">
        <f>LEFT(A257,12)&amp;RIGHT(M276,2)</f>
        <v>WaK404M-----24</v>
      </c>
      <c r="B287" s="526" t="s">
        <v>2269</v>
      </c>
      <c r="C287" s="526" t="str">
        <f>LEFT(C257,17)&amp;RIGHT(M276,2)</f>
        <v>Modernisierung 2024</v>
      </c>
      <c r="D287" s="526" t="str">
        <f>LEFT(D257,LEN(D257)-2)&amp;RIGHT(M276,2)</f>
        <v>10-20 MW, IB vor 01.01.2009, Modernisierung 2024</v>
      </c>
      <c r="E287" s="526" t="s">
        <v>5765</v>
      </c>
      <c r="F287" s="639">
        <f>ROUND(HLOOKUP($D287,$O282:$U284,3,FALSE),2)</f>
        <v>4.9000000000000004</v>
      </c>
      <c r="G287" s="641">
        <f>ROUND(HLOOKUP($D287,$O282:$U284,2,FALSE),2)</f>
        <v>5.0999999999999996</v>
      </c>
      <c r="H287" s="641">
        <f t="shared" si="57"/>
        <v>4.08</v>
      </c>
      <c r="I287" s="637"/>
      <c r="J287" s="549">
        <v>45268</v>
      </c>
    </row>
    <row r="288" spans="1:23" x14ac:dyDescent="0.35">
      <c r="A288" s="527" t="str">
        <f>LEFT(A258,12)&amp;RIGHT(M276,2)</f>
        <v>WaK405M-----24</v>
      </c>
      <c r="B288" s="526" t="s">
        <v>2269</v>
      </c>
      <c r="C288" s="526" t="str">
        <f>LEFT(C258,17)&amp;RIGHT(M276,2)</f>
        <v>Modernisierung 2024</v>
      </c>
      <c r="D288" s="526" t="str">
        <f>LEFT(D258,LEN(D258)-2)&amp;RIGHT(M276,2)</f>
        <v>20-50 MW, IB vor 01.01.2009, Modernisierung 2024</v>
      </c>
      <c r="E288" s="526" t="s">
        <v>5765</v>
      </c>
      <c r="F288" s="639">
        <f>ROUND(HLOOKUP($D288,$O282:$U284,3,FALSE),2)</f>
        <v>3.9</v>
      </c>
      <c r="G288" s="641">
        <f>ROUND(HLOOKUP($D288,$O282:$U284,2,FALSE),2)</f>
        <v>4.0999999999999996</v>
      </c>
      <c r="H288" s="641">
        <f t="shared" si="57"/>
        <v>3.28</v>
      </c>
      <c r="I288" s="637"/>
      <c r="J288" s="549">
        <v>45268</v>
      </c>
    </row>
    <row r="289" spans="1:52" x14ac:dyDescent="0.35">
      <c r="A289" s="527" t="str">
        <f>LEFT(A259,12)&amp;RIGHT(M276,2)</f>
        <v>WaK406M-----24</v>
      </c>
      <c r="B289" s="526" t="s">
        <v>2269</v>
      </c>
      <c r="C289" s="526" t="str">
        <f>LEFT(C259,17)&amp;RIGHT(M276,2)</f>
        <v>Modernisierung 2024</v>
      </c>
      <c r="D289" s="526" t="str">
        <f>LEFT(D259,LEN(D259)-2)&amp;RIGHT(M276,2)</f>
        <v>&gt; 50 MW, IB vor 01.01.2009, Modernisierung 2024</v>
      </c>
      <c r="E289" s="526" t="s">
        <v>5765</v>
      </c>
      <c r="F289" s="639">
        <f>ROUND(HLOOKUP($D289,$O282:$U284,3,FALSE),2)</f>
        <v>3.15</v>
      </c>
      <c r="G289" s="641">
        <f>ROUND(HLOOKUP($D289,$O282:$U284,2,FALSE),2)</f>
        <v>3.35</v>
      </c>
      <c r="H289" s="641">
        <f t="shared" si="57"/>
        <v>2.68</v>
      </c>
      <c r="I289" s="637"/>
      <c r="J289" s="549">
        <v>45268</v>
      </c>
    </row>
    <row r="290" spans="1:52" x14ac:dyDescent="0.35">
      <c r="A290" s="2"/>
      <c r="B290" s="1"/>
      <c r="C290" s="1"/>
      <c r="D290" s="1"/>
      <c r="E290" s="1"/>
      <c r="F290" s="362"/>
      <c r="G290" s="10"/>
      <c r="H290" s="10" t="str">
        <f t="shared" si="57"/>
        <v/>
      </c>
      <c r="I290" s="566"/>
      <c r="J290" s="549" t="s">
        <v>4179</v>
      </c>
    </row>
    <row r="291" spans="1:52" s="145" customFormat="1" ht="171" customHeight="1" x14ac:dyDescent="0.35">
      <c r="A291" s="936" t="s">
        <v>7701</v>
      </c>
      <c r="B291" s="936"/>
      <c r="C291" s="936"/>
      <c r="D291" s="936"/>
      <c r="E291" s="936"/>
      <c r="F291" s="936"/>
      <c r="G291" s="417"/>
      <c r="H291" s="418"/>
      <c r="I291" s="575"/>
      <c r="J291" s="549">
        <v>44536</v>
      </c>
      <c r="K291" s="11"/>
      <c r="L291"/>
      <c r="M291"/>
      <c r="N291"/>
      <c r="O291"/>
      <c r="P291"/>
      <c r="Q291"/>
      <c r="R291"/>
      <c r="S291"/>
      <c r="T291"/>
      <c r="U291"/>
      <c r="V291"/>
      <c r="W291"/>
      <c r="X291"/>
      <c r="Y291"/>
      <c r="Z291"/>
      <c r="AA291"/>
      <c r="AB291"/>
      <c r="AC291"/>
      <c r="AD291"/>
      <c r="AE291" s="75"/>
      <c r="AF291"/>
      <c r="AG291"/>
      <c r="AH291"/>
    </row>
    <row r="292" spans="1:52" ht="15.5" x14ac:dyDescent="0.35">
      <c r="A292" s="496" t="s">
        <v>4179</v>
      </c>
      <c r="B292" s="1"/>
      <c r="C292" s="1"/>
      <c r="D292" s="1" t="s">
        <v>4179</v>
      </c>
      <c r="E292" s="1" t="s">
        <v>4179</v>
      </c>
      <c r="F292" s="375"/>
      <c r="G292" s="432"/>
      <c r="H292" s="401"/>
      <c r="I292" s="578"/>
      <c r="J292" s="549" t="s">
        <v>4179</v>
      </c>
      <c r="K292" s="11"/>
      <c r="M292" s="53" t="s">
        <v>2243</v>
      </c>
      <c r="N292" s="27"/>
      <c r="O292" s="31"/>
      <c r="P292" s="22"/>
      <c r="U292" s="42"/>
      <c r="AE292" s="75"/>
      <c r="AH292" s="166" t="str">
        <f t="shared" ref="AH292:AH302" si="82">IF(ISERROR(SEARCH("K erstmals 201",D292)),"",RIGHT(D292,4))</f>
        <v/>
      </c>
      <c r="AI292" s="168" t="e">
        <f>IF(AND($AH292&lt;&gt;"",AH292 =#REF!),"Gleich","")</f>
        <v>#REF!</v>
      </c>
      <c r="AJ292" s="168" t="e">
        <f>IF(AND($AH292&lt;&gt;"",A292 =#REF!),"Gleich","")</f>
        <v>#REF!</v>
      </c>
      <c r="AK292" s="168" t="e">
        <f>IF(AND($AH292&lt;&gt;"",D292 =#REF!),"Gleich","")</f>
        <v>#REF!</v>
      </c>
      <c r="AL292" s="168" t="e">
        <f>IF(AND($AH292&lt;&gt;"",E292 =#REF!),"Gleich","")</f>
        <v>#REF!</v>
      </c>
      <c r="AM292" s="168" t="e">
        <f>IF(AND($AH292&lt;&gt;"",F292 =#REF!),"Gleich","")</f>
        <v>#REF!</v>
      </c>
      <c r="AN292" s="167" t="str">
        <f t="shared" ref="AN292:AN355" si="83">IF(ISERROR(SEARCH("K1",A292)),"","20"&amp;MID(A292,SEARCH("K1",A292)+1,2))</f>
        <v/>
      </c>
      <c r="AO292" s="167" t="str">
        <f t="shared" ref="AO292:AO355" si="84">IF(ISERROR(SEARCH("erstmals 201",E292)),"",MID(E292,SEARCH("erstmals ",E292)+9,4))</f>
        <v/>
      </c>
      <c r="AP292" s="167" t="str">
        <f t="shared" ref="AP292:AP355" si="85">IF(R292="x","2010",IF(S292="x","2011",IF(T292="x","2012","")))</f>
        <v/>
      </c>
      <c r="AQ292" s="169" t="str">
        <f t="shared" ref="AQ292:AQ355" si="86">IF(OR(AH292&lt;&gt;AN292,AH292&lt;&gt;AO292,AH292&lt;&gt;AP292),"DIFF","")</f>
        <v/>
      </c>
      <c r="AR292" s="170" t="str">
        <f t="shared" ref="AR292:AR355" si="87">IF(A292="","",IF(ISERROR(SEARCH("K1",A292)),A292,LEFT(A292,SEARCH("K1",A292)+1)&amp;RIGHT(AH292,1)&amp;MID(A292,SEARCH("K1",A292)+3,14)))</f>
        <v/>
      </c>
      <c r="AS292" s="169" t="str">
        <f t="shared" ref="AS292:AS355" si="88">IF(OR(A292&lt;&gt;AR292),"DIFF","")</f>
        <v/>
      </c>
      <c r="AT292">
        <f t="shared" ref="AT292:AT355" si="89">LEN(AR292)</f>
        <v>0</v>
      </c>
      <c r="AU292" s="170" t="str">
        <f t="shared" ref="AU292:AU355" si="90">IF(D292="","",IF(OR(A292="",ISERROR(SEARCH("erstmals 201",D292))),D292,LEFT(D292,SEARCH("erstmals 201",D292)+8) &amp; AH292 &amp; MID(D292,SEARCH("erstmals 201",D292)+13,255)))</f>
        <v/>
      </c>
      <c r="AV292" s="169" t="str">
        <f t="shared" ref="AV292:AV355" si="91">IF(OR(D292&lt;&gt;AU292),"DIFF","")</f>
        <v/>
      </c>
      <c r="AW292" s="170" t="str">
        <f t="shared" ref="AW292:AW355" si="92">IF(E292="","",IF(OR(E292="",ISERROR(SEARCH("erstmals 201",E292))),E292,LEFT(E292,SEARCH("erstmals 201",E292)+8) &amp; AH292 &amp; MID(E292,SEARCH("erstmals 201",E292)+13,255)))</f>
        <v/>
      </c>
      <c r="AX292" s="169" t="str">
        <f t="shared" ref="AX292:AX355" si="93">IF(OR(E292&lt;&gt;AW292),"DIFF","")</f>
        <v/>
      </c>
      <c r="AY292" t="str">
        <f t="shared" ref="AY292:AY355" si="94">IF(AH292="2011","x",IF(AH292="2012","","" &amp; S292))</f>
        <v/>
      </c>
      <c r="AZ292" t="str">
        <f t="shared" ref="AZ292:AZ355" si="95">IF(AH292="2012","x",IF(AH292="2011","","" &amp; T292))</f>
        <v/>
      </c>
    </row>
    <row r="293" spans="1:52" x14ac:dyDescent="0.35">
      <c r="A293" s="496" t="s">
        <v>4179</v>
      </c>
      <c r="B293" s="1"/>
      <c r="C293" s="1"/>
      <c r="D293" s="1" t="s">
        <v>4179</v>
      </c>
      <c r="E293" s="1" t="s">
        <v>4179</v>
      </c>
      <c r="F293" s="375"/>
      <c r="G293" s="432"/>
      <c r="H293" s="401"/>
      <c r="I293" s="578"/>
      <c r="J293" s="549" t="s">
        <v>4179</v>
      </c>
      <c r="K293" s="11"/>
      <c r="N293" s="22"/>
      <c r="O293" s="31" t="s">
        <v>2659</v>
      </c>
      <c r="P293" s="22"/>
      <c r="Q293">
        <v>2009</v>
      </c>
      <c r="R293">
        <v>2010</v>
      </c>
      <c r="S293">
        <v>2011</v>
      </c>
      <c r="T293">
        <v>2012</v>
      </c>
      <c r="U293" s="42"/>
      <c r="V293" s="22" t="s">
        <v>778</v>
      </c>
      <c r="AE293" s="31" t="s">
        <v>827</v>
      </c>
      <c r="AH293" s="166" t="str">
        <f t="shared" si="82"/>
        <v/>
      </c>
      <c r="AI293" s="168" t="str">
        <f t="shared" ref="AI293:AI356" si="96">IF(AND($AH293&lt;&gt;"",AH293 =AH292),"Gleich","")</f>
        <v/>
      </c>
      <c r="AJ293" s="168" t="str">
        <f t="shared" ref="AJ293:AJ356" si="97">IF(AND($AH293&lt;&gt;"",A293 =A292),"Gleich","")</f>
        <v/>
      </c>
      <c r="AK293" s="168" t="str">
        <f t="shared" ref="AK293:AK356" si="98">IF(AND($AH293&lt;&gt;"",D293 =D292),"Gleich","")</f>
        <v/>
      </c>
      <c r="AL293" s="168" t="str">
        <f t="shared" ref="AL293:AL356" si="99">IF(AND($AH293&lt;&gt;"",E293 =E292),"Gleich","")</f>
        <v/>
      </c>
      <c r="AM293" s="168" t="str">
        <f t="shared" ref="AM293:AM356" si="100">IF(AND($AH293&lt;&gt;"",F293 =F292),"Gleich","")</f>
        <v/>
      </c>
      <c r="AN293" s="167" t="str">
        <f t="shared" si="83"/>
        <v/>
      </c>
      <c r="AO293" s="167" t="str">
        <f t="shared" si="84"/>
        <v/>
      </c>
      <c r="AP293" s="167" t="str">
        <f t="shared" si="85"/>
        <v/>
      </c>
      <c r="AQ293" s="169" t="str">
        <f t="shared" si="86"/>
        <v/>
      </c>
      <c r="AR293" s="170" t="str">
        <f t="shared" si="87"/>
        <v/>
      </c>
      <c r="AS293" s="169" t="str">
        <f t="shared" si="88"/>
        <v/>
      </c>
      <c r="AT293">
        <f t="shared" si="89"/>
        <v>0</v>
      </c>
      <c r="AU293" s="170" t="str">
        <f t="shared" si="90"/>
        <v/>
      </c>
      <c r="AV293" s="169" t="str">
        <f t="shared" si="91"/>
        <v/>
      </c>
      <c r="AW293" s="170" t="str">
        <f t="shared" si="92"/>
        <v/>
      </c>
      <c r="AX293" s="169" t="str">
        <f t="shared" si="93"/>
        <v/>
      </c>
      <c r="AY293" t="str">
        <f t="shared" si="94"/>
        <v>2011</v>
      </c>
      <c r="AZ293" t="str">
        <f t="shared" si="95"/>
        <v>2012</v>
      </c>
    </row>
    <row r="294" spans="1:52" ht="72" x14ac:dyDescent="0.35">
      <c r="A294" s="496" t="s">
        <v>4179</v>
      </c>
      <c r="B294" s="1"/>
      <c r="C294" s="1"/>
      <c r="D294" s="1" t="s">
        <v>4179</v>
      </c>
      <c r="E294" s="1" t="s">
        <v>4179</v>
      </c>
      <c r="F294" s="375"/>
      <c r="G294" s="432"/>
      <c r="H294" s="401"/>
      <c r="I294" s="578"/>
      <c r="J294" s="549" t="s">
        <v>4179</v>
      </c>
      <c r="K294" s="11"/>
      <c r="M294" s="36" t="s">
        <v>2913</v>
      </c>
      <c r="N294" s="30" t="s">
        <v>2912</v>
      </c>
      <c r="O294" s="32" t="s">
        <v>825</v>
      </c>
      <c r="P294" s="30" t="s">
        <v>3007</v>
      </c>
      <c r="Q294" s="30" t="s">
        <v>1013</v>
      </c>
      <c r="R294" s="30" t="s">
        <v>1264</v>
      </c>
      <c r="S294" s="30" t="s">
        <v>1482</v>
      </c>
      <c r="T294" s="30" t="s">
        <v>4160</v>
      </c>
      <c r="U294" s="65" t="s">
        <v>771</v>
      </c>
      <c r="V294" s="30" t="s">
        <v>1021</v>
      </c>
      <c r="W294" s="30" t="s">
        <v>1029</v>
      </c>
      <c r="X294" s="30" t="s">
        <v>786</v>
      </c>
      <c r="Y294" s="64" t="s">
        <v>4883</v>
      </c>
      <c r="Z294" s="64" t="s">
        <v>5519</v>
      </c>
      <c r="AA294" s="64" t="s">
        <v>5520</v>
      </c>
      <c r="AB294" s="64" t="s">
        <v>5521</v>
      </c>
      <c r="AC294" s="64" t="s">
        <v>4852</v>
      </c>
      <c r="AD294" s="64" t="s">
        <v>770</v>
      </c>
      <c r="AE294" s="32" t="s">
        <v>824</v>
      </c>
      <c r="AF294" s="48"/>
      <c r="AG294" s="48"/>
      <c r="AH294" s="166" t="str">
        <f t="shared" si="82"/>
        <v/>
      </c>
      <c r="AI294" s="168" t="str">
        <f t="shared" si="96"/>
        <v/>
      </c>
      <c r="AJ294" s="168" t="str">
        <f t="shared" si="97"/>
        <v/>
      </c>
      <c r="AK294" s="168" t="str">
        <f t="shared" si="98"/>
        <v/>
      </c>
      <c r="AL294" s="168" t="str">
        <f t="shared" si="99"/>
        <v/>
      </c>
      <c r="AM294" s="168" t="str">
        <f t="shared" si="100"/>
        <v/>
      </c>
      <c r="AN294" s="167" t="str">
        <f t="shared" si="83"/>
        <v/>
      </c>
      <c r="AO294" s="167" t="str">
        <f t="shared" si="84"/>
        <v/>
      </c>
      <c r="AP294" s="167" t="str">
        <f t="shared" si="85"/>
        <v/>
      </c>
      <c r="AQ294" s="169" t="str">
        <f t="shared" si="86"/>
        <v/>
      </c>
      <c r="AR294" s="170" t="str">
        <f t="shared" si="87"/>
        <v/>
      </c>
      <c r="AS294" s="169" t="str">
        <f t="shared" si="88"/>
        <v/>
      </c>
      <c r="AT294">
        <f t="shared" si="89"/>
        <v>0</v>
      </c>
      <c r="AU294" s="170" t="str">
        <f t="shared" si="90"/>
        <v/>
      </c>
      <c r="AV294" s="169" t="str">
        <f t="shared" si="91"/>
        <v/>
      </c>
      <c r="AW294" s="170" t="str">
        <f t="shared" si="92"/>
        <v/>
      </c>
      <c r="AX294" s="169" t="str">
        <f t="shared" si="93"/>
        <v/>
      </c>
      <c r="AY294" t="str">
        <f t="shared" si="94"/>
        <v>erstmals KWK in 2011</v>
      </c>
      <c r="AZ294" t="str">
        <f t="shared" si="95"/>
        <v>erstmals KWK in 2012</v>
      </c>
    </row>
    <row r="295" spans="1:52" ht="31.5" x14ac:dyDescent="0.35">
      <c r="A295" s="496" t="s">
        <v>4179</v>
      </c>
      <c r="B295" s="1"/>
      <c r="C295" s="1"/>
      <c r="D295" s="1" t="s">
        <v>4179</v>
      </c>
      <c r="E295" s="1" t="s">
        <v>4179</v>
      </c>
      <c r="F295" s="375"/>
      <c r="G295" s="432"/>
      <c r="H295" s="401"/>
      <c r="I295" s="578"/>
      <c r="J295" s="549" t="s">
        <v>4179</v>
      </c>
      <c r="K295" s="11"/>
      <c r="M295" s="34"/>
      <c r="N295" s="30"/>
      <c r="O295" s="32" t="s">
        <v>1014</v>
      </c>
      <c r="P295" s="30" t="s">
        <v>1015</v>
      </c>
      <c r="Q295" s="30" t="s">
        <v>1016</v>
      </c>
      <c r="R295" s="30" t="s">
        <v>1265</v>
      </c>
      <c r="S295" s="30" t="s">
        <v>3489</v>
      </c>
      <c r="T295" s="95" t="s">
        <v>4161</v>
      </c>
      <c r="U295" s="43" t="s">
        <v>1018</v>
      </c>
      <c r="V295" s="30" t="s">
        <v>1019</v>
      </c>
      <c r="W295" s="30" t="s">
        <v>1020</v>
      </c>
      <c r="X295" s="30" t="s">
        <v>4068</v>
      </c>
      <c r="Y295" s="30" t="s">
        <v>1023</v>
      </c>
      <c r="Z295" s="30" t="s">
        <v>1024</v>
      </c>
      <c r="AA295" s="30" t="s">
        <v>1025</v>
      </c>
      <c r="AB295" s="30" t="s">
        <v>1026</v>
      </c>
      <c r="AC295" s="30" t="s">
        <v>1028</v>
      </c>
      <c r="AD295" s="30" t="s">
        <v>1027</v>
      </c>
      <c r="AE295" s="32" t="s">
        <v>826</v>
      </c>
      <c r="AF295" s="48"/>
      <c r="AG295" s="48"/>
      <c r="AH295" s="166" t="str">
        <f t="shared" si="82"/>
        <v/>
      </c>
      <c r="AI295" s="168" t="str">
        <f t="shared" si="96"/>
        <v/>
      </c>
      <c r="AJ295" s="168" t="str">
        <f t="shared" si="97"/>
        <v/>
      </c>
      <c r="AK295" s="168" t="str">
        <f t="shared" si="98"/>
        <v/>
      </c>
      <c r="AL295" s="168" t="str">
        <f t="shared" si="99"/>
        <v/>
      </c>
      <c r="AM295" s="168" t="str">
        <f t="shared" si="100"/>
        <v/>
      </c>
      <c r="AN295" s="167" t="str">
        <f t="shared" si="83"/>
        <v/>
      </c>
      <c r="AO295" s="167" t="str">
        <f t="shared" si="84"/>
        <v/>
      </c>
      <c r="AP295" s="167" t="str">
        <f t="shared" si="85"/>
        <v/>
      </c>
      <c r="AQ295" s="169" t="str">
        <f t="shared" si="86"/>
        <v/>
      </c>
      <c r="AR295" s="170" t="str">
        <f t="shared" si="87"/>
        <v/>
      </c>
      <c r="AS295" s="169" t="str">
        <f t="shared" si="88"/>
        <v/>
      </c>
      <c r="AT295">
        <f t="shared" si="89"/>
        <v>0</v>
      </c>
      <c r="AU295" s="170" t="str">
        <f t="shared" si="90"/>
        <v/>
      </c>
      <c r="AV295" s="169" t="str">
        <f t="shared" si="91"/>
        <v/>
      </c>
      <c r="AW295" s="170" t="str">
        <f t="shared" si="92"/>
        <v/>
      </c>
      <c r="AX295" s="169" t="str">
        <f t="shared" si="93"/>
        <v/>
      </c>
      <c r="AY295" t="str">
        <f t="shared" si="94"/>
        <v>"K11"</v>
      </c>
      <c r="AZ295" t="str">
        <f t="shared" si="95"/>
        <v>"K12"</v>
      </c>
    </row>
    <row r="296" spans="1:52" x14ac:dyDescent="0.35">
      <c r="A296" s="496" t="s">
        <v>4179</v>
      </c>
      <c r="B296" s="1"/>
      <c r="C296" s="1"/>
      <c r="D296" s="1" t="s">
        <v>4179</v>
      </c>
      <c r="E296" s="1" t="s">
        <v>4179</v>
      </c>
      <c r="F296" s="375"/>
      <c r="G296" s="432"/>
      <c r="H296" s="401"/>
      <c r="I296" s="578"/>
      <c r="J296" s="549" t="s">
        <v>4179</v>
      </c>
      <c r="K296" s="11"/>
      <c r="N296" s="29"/>
      <c r="O296" s="74">
        <v>2</v>
      </c>
      <c r="P296" s="29">
        <v>3</v>
      </c>
      <c r="Q296" s="29">
        <v>3</v>
      </c>
      <c r="R296" s="29">
        <f>ROUND($Q296*0.99^(R293-$Q293),2)</f>
        <v>2.97</v>
      </c>
      <c r="S296" s="29">
        <f>ROUND($Q296*0.99^(S293-$Q293),2)</f>
        <v>2.94</v>
      </c>
      <c r="T296" s="29">
        <f>ROUND($Q296*0.99^(T293-$Q293),2)</f>
        <v>2.91</v>
      </c>
      <c r="U296" s="155">
        <v>1</v>
      </c>
      <c r="V296" s="29">
        <v>6</v>
      </c>
      <c r="W296" s="29">
        <v>4</v>
      </c>
      <c r="X296" s="29">
        <v>2.5</v>
      </c>
      <c r="Y296" s="29">
        <v>7</v>
      </c>
      <c r="Z296" s="29">
        <v>11</v>
      </c>
      <c r="AA296" s="29">
        <v>8</v>
      </c>
      <c r="AB296" s="29">
        <v>9</v>
      </c>
      <c r="AC296" s="29">
        <v>13</v>
      </c>
      <c r="AD296" s="29">
        <v>10</v>
      </c>
      <c r="AE296" s="74">
        <v>2</v>
      </c>
      <c r="AF296" s="156"/>
      <c r="AG296" s="156"/>
      <c r="AH296" s="166" t="str">
        <f t="shared" si="82"/>
        <v/>
      </c>
      <c r="AI296" s="168" t="str">
        <f t="shared" si="96"/>
        <v/>
      </c>
      <c r="AJ296" s="168" t="str">
        <f t="shared" si="97"/>
        <v/>
      </c>
      <c r="AK296" s="168" t="str">
        <f t="shared" si="98"/>
        <v/>
      </c>
      <c r="AL296" s="168" t="str">
        <f t="shared" si="99"/>
        <v/>
      </c>
      <c r="AM296" s="168" t="str">
        <f t="shared" si="100"/>
        <v/>
      </c>
      <c r="AN296" s="167" t="str">
        <f t="shared" si="83"/>
        <v/>
      </c>
      <c r="AO296" s="167" t="str">
        <f t="shared" si="84"/>
        <v/>
      </c>
      <c r="AP296" s="167" t="str">
        <f t="shared" si="85"/>
        <v/>
      </c>
      <c r="AQ296" s="169" t="str">
        <f t="shared" si="86"/>
        <v/>
      </c>
      <c r="AR296" s="170" t="str">
        <f t="shared" si="87"/>
        <v/>
      </c>
      <c r="AS296" s="169" t="str">
        <f t="shared" si="88"/>
        <v/>
      </c>
      <c r="AT296">
        <f t="shared" si="89"/>
        <v>0</v>
      </c>
      <c r="AU296" s="170" t="str">
        <f t="shared" si="90"/>
        <v/>
      </c>
      <c r="AV296" s="169" t="str">
        <f t="shared" si="91"/>
        <v/>
      </c>
      <c r="AW296" s="170" t="str">
        <f t="shared" si="92"/>
        <v/>
      </c>
      <c r="AX296" s="169" t="str">
        <f t="shared" si="93"/>
        <v/>
      </c>
      <c r="AY296" t="str">
        <f t="shared" si="94"/>
        <v>2,94</v>
      </c>
      <c r="AZ296" t="str">
        <f t="shared" si="95"/>
        <v>2,91</v>
      </c>
    </row>
    <row r="297" spans="1:52" s="145" customFormat="1" x14ac:dyDescent="0.35">
      <c r="A297" s="505" t="s">
        <v>4807</v>
      </c>
      <c r="B297" s="23" t="s">
        <v>5547</v>
      </c>
      <c r="C297" s="23" t="s">
        <v>4808</v>
      </c>
      <c r="D297" s="23" t="s">
        <v>1780</v>
      </c>
      <c r="E297" s="23" t="s">
        <v>4809</v>
      </c>
      <c r="F297" s="378">
        <f t="shared" ref="F297:F360" si="101">M297</f>
        <v>11.67</v>
      </c>
      <c r="G297" s="434">
        <v>11.67</v>
      </c>
      <c r="H297" s="403">
        <f t="shared" ref="H297:H360" si="102">IF(ISNUMBER(G297),ROUND(0.8*G297,2),"")</f>
        <v>9.34</v>
      </c>
      <c r="I297" s="581"/>
      <c r="J297" s="549" t="s">
        <v>5804</v>
      </c>
      <c r="K297" s="11"/>
      <c r="L297"/>
      <c r="M297" s="37">
        <f t="shared" ref="M297:M360" si="103">N297+SUMIF(O297:AG297,"x",O$296:AG$296)</f>
        <v>11.67</v>
      </c>
      <c r="N297" s="29">
        <v>11.67</v>
      </c>
      <c r="O297" s="41"/>
      <c r="P297" s="11"/>
      <c r="Q297"/>
      <c r="R297"/>
      <c r="S297" t="s">
        <v>4179</v>
      </c>
      <c r="T297" s="145" t="s">
        <v>4179</v>
      </c>
      <c r="U297" s="42"/>
      <c r="V297"/>
      <c r="W297" s="50"/>
      <c r="X297" s="50"/>
      <c r="Y297"/>
      <c r="Z297"/>
      <c r="AA297" s="50"/>
      <c r="AB297"/>
      <c r="AC297"/>
      <c r="AD297" s="50"/>
      <c r="AE297" s="75"/>
      <c r="AF297" s="50"/>
      <c r="AG297" s="50"/>
      <c r="AH297" s="166" t="str">
        <f t="shared" si="82"/>
        <v/>
      </c>
      <c r="AI297" s="168" t="str">
        <f t="shared" si="96"/>
        <v/>
      </c>
      <c r="AJ297" s="168" t="str">
        <f t="shared" si="97"/>
        <v/>
      </c>
      <c r="AK297" s="168" t="str">
        <f t="shared" si="98"/>
        <v/>
      </c>
      <c r="AL297" s="168" t="str">
        <f t="shared" si="99"/>
        <v/>
      </c>
      <c r="AM297" s="168" t="str">
        <f t="shared" si="100"/>
        <v/>
      </c>
      <c r="AN297" s="167" t="str">
        <f t="shared" si="83"/>
        <v/>
      </c>
      <c r="AO297" s="167" t="str">
        <f t="shared" si="84"/>
        <v/>
      </c>
      <c r="AP297" s="167" t="str">
        <f t="shared" si="85"/>
        <v/>
      </c>
      <c r="AQ297" s="169" t="str">
        <f t="shared" si="86"/>
        <v/>
      </c>
      <c r="AR297" s="170" t="str">
        <f t="shared" si="87"/>
        <v>BiK81-------04</v>
      </c>
      <c r="AS297" s="169" t="str">
        <f t="shared" si="88"/>
        <v/>
      </c>
      <c r="AT297">
        <f t="shared" si="89"/>
        <v>14</v>
      </c>
      <c r="AU297" s="170" t="str">
        <f t="shared" si="90"/>
        <v>0-0,15 MW</v>
      </c>
      <c r="AV297" s="169" t="str">
        <f t="shared" si="91"/>
        <v/>
      </c>
      <c r="AW297" s="170" t="str">
        <f t="shared" si="92"/>
        <v>Anteil Nicht-KWK</v>
      </c>
      <c r="AX297" s="169" t="str">
        <f t="shared" si="93"/>
        <v/>
      </c>
      <c r="AY297" t="str">
        <f t="shared" si="94"/>
        <v/>
      </c>
      <c r="AZ297" t="str">
        <f t="shared" si="95"/>
        <v/>
      </c>
    </row>
    <row r="298" spans="1:52" s="145" customFormat="1" x14ac:dyDescent="0.35">
      <c r="A298" s="505" t="s">
        <v>4810</v>
      </c>
      <c r="B298" s="23" t="s">
        <v>5547</v>
      </c>
      <c r="C298" s="23" t="s">
        <v>4808</v>
      </c>
      <c r="D298" s="24" t="s">
        <v>6863</v>
      </c>
      <c r="E298" s="23" t="s">
        <v>4811</v>
      </c>
      <c r="F298" s="378">
        <f t="shared" si="101"/>
        <v>13.67</v>
      </c>
      <c r="G298" s="434">
        <v>13.67</v>
      </c>
      <c r="H298" s="403">
        <f t="shared" si="102"/>
        <v>10.94</v>
      </c>
      <c r="I298" s="581"/>
      <c r="J298" s="549" t="s">
        <v>5804</v>
      </c>
      <c r="K298" s="11"/>
      <c r="L298"/>
      <c r="M298" s="37">
        <f t="shared" si="103"/>
        <v>13.67</v>
      </c>
      <c r="N298" s="29">
        <v>11.67</v>
      </c>
      <c r="O298" s="41" t="s">
        <v>1017</v>
      </c>
      <c r="P298" s="11"/>
      <c r="Q298"/>
      <c r="R298"/>
      <c r="S298" t="s">
        <v>4179</v>
      </c>
      <c r="T298" s="145" t="s">
        <v>4179</v>
      </c>
      <c r="U298" s="42"/>
      <c r="V298"/>
      <c r="W298" s="50"/>
      <c r="X298" s="50"/>
      <c r="Y298"/>
      <c r="Z298"/>
      <c r="AA298" s="50"/>
      <c r="AB298"/>
      <c r="AC298"/>
      <c r="AD298" s="50"/>
      <c r="AE298" s="75"/>
      <c r="AF298" s="50"/>
      <c r="AG298" s="50"/>
      <c r="AH298" s="166" t="str">
        <f t="shared" si="82"/>
        <v/>
      </c>
      <c r="AI298" s="168" t="str">
        <f t="shared" si="96"/>
        <v/>
      </c>
      <c r="AJ298" s="168" t="str">
        <f t="shared" si="97"/>
        <v/>
      </c>
      <c r="AK298" s="168" t="str">
        <f t="shared" si="98"/>
        <v/>
      </c>
      <c r="AL298" s="168" t="str">
        <f t="shared" si="99"/>
        <v/>
      </c>
      <c r="AM298" s="168" t="str">
        <f t="shared" si="100"/>
        <v/>
      </c>
      <c r="AN298" s="167" t="str">
        <f t="shared" si="83"/>
        <v/>
      </c>
      <c r="AO298" s="167" t="str">
        <f t="shared" si="84"/>
        <v/>
      </c>
      <c r="AP298" s="167" t="str">
        <f t="shared" si="85"/>
        <v/>
      </c>
      <c r="AQ298" s="169" t="str">
        <f t="shared" si="86"/>
        <v/>
      </c>
      <c r="AR298" s="170" t="str">
        <f t="shared" si="87"/>
        <v>BiK81KWK----04</v>
      </c>
      <c r="AS298" s="169" t="str">
        <f t="shared" si="88"/>
        <v/>
      </c>
      <c r="AT298">
        <f t="shared" si="89"/>
        <v>14</v>
      </c>
      <c r="AU298" s="170" t="str">
        <f t="shared" si="90"/>
        <v>0-0,15 MW, Bonusregel KWK</v>
      </c>
      <c r="AV298" s="169" t="str">
        <f t="shared" si="91"/>
        <v/>
      </c>
      <c r="AW298" s="170" t="str">
        <f t="shared" si="92"/>
        <v>Anteil KWK</v>
      </c>
      <c r="AX298" s="169" t="str">
        <f t="shared" si="93"/>
        <v/>
      </c>
      <c r="AY298" t="str">
        <f t="shared" si="94"/>
        <v/>
      </c>
      <c r="AZ298" t="str">
        <f t="shared" si="95"/>
        <v/>
      </c>
    </row>
    <row r="299" spans="1:52" s="145" customFormat="1" x14ac:dyDescent="0.35">
      <c r="A299" s="497" t="s">
        <v>4333</v>
      </c>
      <c r="B299" s="13" t="s">
        <v>5547</v>
      </c>
      <c r="C299" s="13" t="s">
        <v>4808</v>
      </c>
      <c r="D299" s="13" t="s">
        <v>6864</v>
      </c>
      <c r="E299" s="13" t="s">
        <v>4330</v>
      </c>
      <c r="F299" s="373">
        <f t="shared" si="101"/>
        <v>14.67</v>
      </c>
      <c r="G299" s="430">
        <v>14.67</v>
      </c>
      <c r="H299" s="399">
        <f t="shared" si="102"/>
        <v>11.74</v>
      </c>
      <c r="I299" s="576"/>
      <c r="J299" s="549" t="s">
        <v>5804</v>
      </c>
      <c r="K299" s="11"/>
      <c r="L299"/>
      <c r="M299" s="37">
        <f t="shared" si="103"/>
        <v>14.67</v>
      </c>
      <c r="N299" s="29">
        <v>11.67</v>
      </c>
      <c r="O299" s="41"/>
      <c r="P299" t="s">
        <v>1017</v>
      </c>
      <c r="Q299"/>
      <c r="R299"/>
      <c r="S299" t="s">
        <v>4179</v>
      </c>
      <c r="T299" s="145" t="s">
        <v>4179</v>
      </c>
      <c r="U299" s="42"/>
      <c r="V299"/>
      <c r="W299" s="50"/>
      <c r="X299" s="50"/>
      <c r="Y299"/>
      <c r="Z299"/>
      <c r="AA299" s="50"/>
      <c r="AB299"/>
      <c r="AC299"/>
      <c r="AD299" s="50"/>
      <c r="AE299" s="75"/>
      <c r="AF299" s="50"/>
      <c r="AG299" s="50"/>
      <c r="AH299" s="166" t="str">
        <f t="shared" si="82"/>
        <v/>
      </c>
      <c r="AI299" s="168" t="str">
        <f t="shared" si="96"/>
        <v/>
      </c>
      <c r="AJ299" s="168" t="str">
        <f t="shared" si="97"/>
        <v/>
      </c>
      <c r="AK299" s="168" t="str">
        <f t="shared" si="98"/>
        <v/>
      </c>
      <c r="AL299" s="168" t="str">
        <f t="shared" si="99"/>
        <v/>
      </c>
      <c r="AM299" s="168" t="str">
        <f t="shared" si="100"/>
        <v/>
      </c>
      <c r="AN299" s="167" t="str">
        <f t="shared" si="83"/>
        <v/>
      </c>
      <c r="AO299" s="167" t="str">
        <f t="shared" si="84"/>
        <v/>
      </c>
      <c r="AP299" s="167" t="str">
        <f t="shared" si="85"/>
        <v/>
      </c>
      <c r="AQ299" s="169" t="str">
        <f t="shared" si="86"/>
        <v/>
      </c>
      <c r="AR299" s="170" t="str">
        <f t="shared" si="87"/>
        <v>BiK81KA3----04</v>
      </c>
      <c r="AS299" s="169" t="str">
        <f t="shared" si="88"/>
        <v/>
      </c>
      <c r="AT299">
        <f t="shared" si="89"/>
        <v>14</v>
      </c>
      <c r="AU299" s="170" t="str">
        <f t="shared" si="90"/>
        <v>0-0,15 MW, Bonusregel K wenn Anlage 3 erfüllt</v>
      </c>
      <c r="AV299" s="169" t="str">
        <f t="shared" si="91"/>
        <v/>
      </c>
      <c r="AW299" s="170" t="str">
        <f t="shared" si="92"/>
        <v>Anteil KWK gemäß Anlage 3</v>
      </c>
      <c r="AX299" s="169" t="str">
        <f t="shared" si="93"/>
        <v/>
      </c>
      <c r="AY299" t="str">
        <f t="shared" si="94"/>
        <v/>
      </c>
      <c r="AZ299" t="str">
        <f t="shared" si="95"/>
        <v/>
      </c>
    </row>
    <row r="300" spans="1:52" s="145" customFormat="1" x14ac:dyDescent="0.35">
      <c r="A300" s="497" t="s">
        <v>3663</v>
      </c>
      <c r="B300" s="13" t="s">
        <v>5547</v>
      </c>
      <c r="C300" s="13" t="s">
        <v>4808</v>
      </c>
      <c r="D300" s="13" t="s">
        <v>6865</v>
      </c>
      <c r="E300" s="13" t="s">
        <v>674</v>
      </c>
      <c r="F300" s="373">
        <f t="shared" si="101"/>
        <v>14.67</v>
      </c>
      <c r="G300" s="430">
        <v>14.67</v>
      </c>
      <c r="H300" s="399">
        <f t="shared" si="102"/>
        <v>11.74</v>
      </c>
      <c r="I300" s="576"/>
      <c r="J300" s="549" t="s">
        <v>5804</v>
      </c>
      <c r="K300" s="11"/>
      <c r="L300"/>
      <c r="M300" s="37">
        <f t="shared" si="103"/>
        <v>14.67</v>
      </c>
      <c r="N300" s="29">
        <v>11.67</v>
      </c>
      <c r="O300" s="41"/>
      <c r="P300" s="11"/>
      <c r="Q300" t="s">
        <v>1017</v>
      </c>
      <c r="R300"/>
      <c r="S300" t="s">
        <v>4179</v>
      </c>
      <c r="T300" s="145" t="s">
        <v>4179</v>
      </c>
      <c r="U300" s="42"/>
      <c r="V300"/>
      <c r="W300" s="50"/>
      <c r="X300" s="50"/>
      <c r="Y300"/>
      <c r="Z300"/>
      <c r="AA300" s="50"/>
      <c r="AB300"/>
      <c r="AC300"/>
      <c r="AD300" s="50"/>
      <c r="AE300" s="75"/>
      <c r="AF300" s="50"/>
      <c r="AG300" s="50"/>
      <c r="AH300" s="166" t="str">
        <f t="shared" si="82"/>
        <v/>
      </c>
      <c r="AI300" s="168" t="str">
        <f t="shared" si="96"/>
        <v/>
      </c>
      <c r="AJ300" s="168" t="str">
        <f t="shared" si="97"/>
        <v/>
      </c>
      <c r="AK300" s="168" t="str">
        <f t="shared" si="98"/>
        <v/>
      </c>
      <c r="AL300" s="168" t="str">
        <f t="shared" si="99"/>
        <v/>
      </c>
      <c r="AM300" s="168" t="str">
        <f t="shared" si="100"/>
        <v/>
      </c>
      <c r="AN300" s="167" t="str">
        <f t="shared" si="83"/>
        <v/>
      </c>
      <c r="AO300" s="167" t="str">
        <f t="shared" si="84"/>
        <v/>
      </c>
      <c r="AP300" s="167" t="str">
        <f t="shared" si="85"/>
        <v/>
      </c>
      <c r="AQ300" s="169" t="str">
        <f t="shared" si="86"/>
        <v/>
      </c>
      <c r="AR300" s="170" t="str">
        <f t="shared" si="87"/>
        <v>BiK81K09----04</v>
      </c>
      <c r="AS300" s="169" t="str">
        <f t="shared" si="88"/>
        <v/>
      </c>
      <c r="AT300">
        <f t="shared" si="89"/>
        <v>14</v>
      </c>
      <c r="AU300" s="170" t="str">
        <f t="shared" si="90"/>
        <v>0-0,15 MW, Bonusregel K erstmals 2009</v>
      </c>
      <c r="AV300" s="169" t="str">
        <f t="shared" si="91"/>
        <v/>
      </c>
      <c r="AW300" s="170" t="str">
        <f t="shared" si="92"/>
        <v>Anteil KWK, erstmals 2009</v>
      </c>
      <c r="AX300" s="169" t="str">
        <f t="shared" si="93"/>
        <v/>
      </c>
      <c r="AY300" t="str">
        <f t="shared" si="94"/>
        <v/>
      </c>
      <c r="AZ300" t="str">
        <f t="shared" si="95"/>
        <v/>
      </c>
    </row>
    <row r="301" spans="1:52" s="145" customFormat="1" x14ac:dyDescent="0.35">
      <c r="A301" s="497" t="s">
        <v>1628</v>
      </c>
      <c r="B301" s="13" t="s">
        <v>5547</v>
      </c>
      <c r="C301" s="13" t="s">
        <v>4808</v>
      </c>
      <c r="D301" s="13" t="s">
        <v>6866</v>
      </c>
      <c r="E301" s="13" t="s">
        <v>3566</v>
      </c>
      <c r="F301" s="373">
        <f t="shared" si="101"/>
        <v>14.64</v>
      </c>
      <c r="G301" s="430">
        <v>14.64</v>
      </c>
      <c r="H301" s="399">
        <f t="shared" si="102"/>
        <v>11.71</v>
      </c>
      <c r="I301" s="576"/>
      <c r="J301" s="549" t="s">
        <v>5804</v>
      </c>
      <c r="K301" s="11"/>
      <c r="L301"/>
      <c r="M301" s="37">
        <f t="shared" si="103"/>
        <v>14.64</v>
      </c>
      <c r="N301" s="29">
        <v>11.67</v>
      </c>
      <c r="O301" s="41"/>
      <c r="P301" s="11"/>
      <c r="Q301"/>
      <c r="R301" t="s">
        <v>1017</v>
      </c>
      <c r="S301" t="s">
        <v>4179</v>
      </c>
      <c r="T301" s="145" t="s">
        <v>4179</v>
      </c>
      <c r="U301" s="42"/>
      <c r="V301"/>
      <c r="W301" s="50"/>
      <c r="X301" s="50"/>
      <c r="Y301"/>
      <c r="Z301"/>
      <c r="AA301" s="50"/>
      <c r="AB301"/>
      <c r="AC301"/>
      <c r="AD301" s="50"/>
      <c r="AE301" s="75"/>
      <c r="AF301" s="50"/>
      <c r="AG301" s="50"/>
      <c r="AH301" s="166" t="str">
        <f t="shared" si="82"/>
        <v>2010</v>
      </c>
      <c r="AI301" s="168" t="str">
        <f t="shared" si="96"/>
        <v/>
      </c>
      <c r="AJ301" s="168" t="str">
        <f t="shared" si="97"/>
        <v/>
      </c>
      <c r="AK301" s="168" t="str">
        <f t="shared" si="98"/>
        <v/>
      </c>
      <c r="AL301" s="168" t="str">
        <f t="shared" si="99"/>
        <v/>
      </c>
      <c r="AM301" s="168" t="str">
        <f t="shared" si="100"/>
        <v/>
      </c>
      <c r="AN301" s="167" t="str">
        <f t="shared" si="83"/>
        <v>2010</v>
      </c>
      <c r="AO301" s="167" t="str">
        <f t="shared" si="84"/>
        <v>2010</v>
      </c>
      <c r="AP301" s="167" t="str">
        <f t="shared" si="85"/>
        <v>2010</v>
      </c>
      <c r="AQ301" s="169" t="str">
        <f t="shared" si="86"/>
        <v/>
      </c>
      <c r="AR301" s="170" t="str">
        <f t="shared" si="87"/>
        <v>BiK81K10----04</v>
      </c>
      <c r="AS301" s="169" t="str">
        <f t="shared" si="88"/>
        <v/>
      </c>
      <c r="AT301">
        <f t="shared" si="89"/>
        <v>14</v>
      </c>
      <c r="AU301" s="170" t="str">
        <f t="shared" si="90"/>
        <v>0-0,15 MW, Bonusregel K erstmals 2010</v>
      </c>
      <c r="AV301" s="169" t="str">
        <f t="shared" si="91"/>
        <v/>
      </c>
      <c r="AW301" s="170" t="str">
        <f t="shared" si="92"/>
        <v>Anteil KWK, erstmals 2010</v>
      </c>
      <c r="AX301" s="169" t="str">
        <f t="shared" si="93"/>
        <v/>
      </c>
      <c r="AY301" t="str">
        <f t="shared" si="94"/>
        <v/>
      </c>
      <c r="AZ301" t="str">
        <f t="shared" si="95"/>
        <v/>
      </c>
    </row>
    <row r="302" spans="1:52" s="145" customFormat="1" x14ac:dyDescent="0.35">
      <c r="A302" s="497" t="s">
        <v>5242</v>
      </c>
      <c r="B302" s="13" t="s">
        <v>5547</v>
      </c>
      <c r="C302" s="13" t="s">
        <v>4808</v>
      </c>
      <c r="D302" s="13" t="s">
        <v>6867</v>
      </c>
      <c r="E302" s="13" t="s">
        <v>3054</v>
      </c>
      <c r="F302" s="373">
        <f t="shared" si="101"/>
        <v>14.61</v>
      </c>
      <c r="G302" s="430">
        <v>14.61</v>
      </c>
      <c r="H302" s="399">
        <f t="shared" si="102"/>
        <v>11.69</v>
      </c>
      <c r="I302" s="576"/>
      <c r="J302" s="549" t="s">
        <v>5804</v>
      </c>
      <c r="K302" s="11"/>
      <c r="L302"/>
      <c r="M302" s="37">
        <f t="shared" si="103"/>
        <v>14.61</v>
      </c>
      <c r="N302" s="29">
        <v>11.67</v>
      </c>
      <c r="O302" s="41"/>
      <c r="P302" s="11"/>
      <c r="Q302"/>
      <c r="R302"/>
      <c r="S302" t="s">
        <v>1017</v>
      </c>
      <c r="T302" s="145" t="s">
        <v>4179</v>
      </c>
      <c r="U302" s="42"/>
      <c r="V302"/>
      <c r="W302" s="50"/>
      <c r="X302" s="50"/>
      <c r="Y302"/>
      <c r="Z302"/>
      <c r="AA302" s="50"/>
      <c r="AB302"/>
      <c r="AC302"/>
      <c r="AD302" s="50"/>
      <c r="AE302" s="75"/>
      <c r="AF302" s="50"/>
      <c r="AG302" s="50"/>
      <c r="AH302" s="166" t="str">
        <f t="shared" si="82"/>
        <v>2011</v>
      </c>
      <c r="AI302" s="168" t="str">
        <f t="shared" si="96"/>
        <v/>
      </c>
      <c r="AJ302" s="168" t="str">
        <f t="shared" si="97"/>
        <v/>
      </c>
      <c r="AK302" s="168" t="str">
        <f t="shared" si="98"/>
        <v/>
      </c>
      <c r="AL302" s="168" t="str">
        <f t="shared" si="99"/>
        <v/>
      </c>
      <c r="AM302" s="168" t="str">
        <f t="shared" si="100"/>
        <v/>
      </c>
      <c r="AN302" s="167" t="str">
        <f t="shared" si="83"/>
        <v>2011</v>
      </c>
      <c r="AO302" s="167" t="str">
        <f t="shared" si="84"/>
        <v>2011</v>
      </c>
      <c r="AP302" s="167" t="str">
        <f t="shared" si="85"/>
        <v>2011</v>
      </c>
      <c r="AQ302" s="169" t="str">
        <f t="shared" si="86"/>
        <v/>
      </c>
      <c r="AR302" s="170" t="str">
        <f t="shared" si="87"/>
        <v>BiK81K11----04</v>
      </c>
      <c r="AS302" s="169" t="str">
        <f t="shared" si="88"/>
        <v/>
      </c>
      <c r="AT302">
        <f t="shared" si="89"/>
        <v>14</v>
      </c>
      <c r="AU302" s="170" t="str">
        <f t="shared" si="90"/>
        <v>0-0,15 MW, Bonusregel K erstmals 2011</v>
      </c>
      <c r="AV302" s="169" t="str">
        <f t="shared" si="91"/>
        <v/>
      </c>
      <c r="AW302" s="170" t="str">
        <f t="shared" si="92"/>
        <v>Anteil KWK, erstmals 2011</v>
      </c>
      <c r="AX302" s="169" t="str">
        <f t="shared" si="93"/>
        <v/>
      </c>
      <c r="AY302" t="str">
        <f t="shared" si="94"/>
        <v>x</v>
      </c>
      <c r="AZ302" t="str">
        <f t="shared" si="95"/>
        <v/>
      </c>
    </row>
    <row r="303" spans="1:52" s="145" customFormat="1" x14ac:dyDescent="0.35">
      <c r="A303" s="511" t="s">
        <v>3549</v>
      </c>
      <c r="B303" s="173" t="s">
        <v>5547</v>
      </c>
      <c r="C303" s="173" t="s">
        <v>4808</v>
      </c>
      <c r="D303" s="173" t="s">
        <v>6868</v>
      </c>
      <c r="E303" s="173" t="s">
        <v>1980</v>
      </c>
      <c r="F303" s="374">
        <f t="shared" si="101"/>
        <v>14.58</v>
      </c>
      <c r="G303" s="431">
        <v>14.58</v>
      </c>
      <c r="H303" s="400">
        <f t="shared" si="102"/>
        <v>11.66</v>
      </c>
      <c r="I303" s="577"/>
      <c r="J303" s="549" t="s">
        <v>5804</v>
      </c>
      <c r="K303" s="11"/>
      <c r="L303"/>
      <c r="M303" s="37">
        <f t="shared" si="103"/>
        <v>14.58</v>
      </c>
      <c r="N303" s="29">
        <v>11.67</v>
      </c>
      <c r="O303" s="41"/>
      <c r="P303" s="11"/>
      <c r="Q303"/>
      <c r="R303"/>
      <c r="S303" t="s">
        <v>4179</v>
      </c>
      <c r="T303" s="145" t="s">
        <v>1017</v>
      </c>
      <c r="U303" s="42"/>
      <c r="V303"/>
      <c r="W303" s="50"/>
      <c r="X303" s="50"/>
      <c r="Y303"/>
      <c r="Z303"/>
      <c r="AA303" s="50"/>
      <c r="AB303"/>
      <c r="AC303"/>
      <c r="AD303" s="50"/>
      <c r="AE303" s="75"/>
      <c r="AF303" s="50"/>
      <c r="AG303" s="50"/>
      <c r="AH303" s="171" t="s">
        <v>4178</v>
      </c>
      <c r="AI303" s="168" t="str">
        <f t="shared" si="96"/>
        <v/>
      </c>
      <c r="AJ303" s="168" t="str">
        <f t="shared" si="97"/>
        <v/>
      </c>
      <c r="AK303" s="168" t="str">
        <f t="shared" si="98"/>
        <v/>
      </c>
      <c r="AL303" s="168" t="str">
        <f t="shared" si="99"/>
        <v/>
      </c>
      <c r="AM303" s="168" t="str">
        <f t="shared" si="100"/>
        <v/>
      </c>
      <c r="AN303" s="167" t="str">
        <f t="shared" si="83"/>
        <v>2012</v>
      </c>
      <c r="AO303" s="167" t="str">
        <f t="shared" si="84"/>
        <v>2012</v>
      </c>
      <c r="AP303" s="167" t="str">
        <f t="shared" si="85"/>
        <v>2012</v>
      </c>
      <c r="AQ303" s="169" t="str">
        <f t="shared" si="86"/>
        <v/>
      </c>
      <c r="AR303" s="170" t="str">
        <f t="shared" si="87"/>
        <v>BiK81K12----04</v>
      </c>
      <c r="AS303" s="169" t="str">
        <f t="shared" si="88"/>
        <v/>
      </c>
      <c r="AT303">
        <f t="shared" si="89"/>
        <v>14</v>
      </c>
      <c r="AU303" s="170" t="str">
        <f t="shared" si="90"/>
        <v>0-0,15 MW, Bonusregel K erstmals 2012</v>
      </c>
      <c r="AV303" s="169" t="str">
        <f t="shared" si="91"/>
        <v/>
      </c>
      <c r="AW303" s="170" t="str">
        <f t="shared" si="92"/>
        <v>Anteil KWK, erstmals 2012</v>
      </c>
      <c r="AX303" s="169" t="str">
        <f t="shared" si="93"/>
        <v/>
      </c>
      <c r="AY303" t="str">
        <f t="shared" si="94"/>
        <v/>
      </c>
      <c r="AZ303" t="str">
        <f t="shared" si="95"/>
        <v>x</v>
      </c>
    </row>
    <row r="304" spans="1:52" s="145" customFormat="1" x14ac:dyDescent="0.35">
      <c r="A304" s="497" t="s">
        <v>1341</v>
      </c>
      <c r="B304" s="13" t="s">
        <v>5547</v>
      </c>
      <c r="C304" s="13" t="s">
        <v>4808</v>
      </c>
      <c r="D304" s="17" t="s">
        <v>6869</v>
      </c>
      <c r="E304" s="13" t="s">
        <v>4809</v>
      </c>
      <c r="F304" s="373">
        <f t="shared" si="101"/>
        <v>12.67</v>
      </c>
      <c r="G304" s="430">
        <v>12.67</v>
      </c>
      <c r="H304" s="399">
        <f t="shared" si="102"/>
        <v>10.14</v>
      </c>
      <c r="I304" s="576"/>
      <c r="J304" s="549" t="s">
        <v>5804</v>
      </c>
      <c r="K304" s="11"/>
      <c r="L304"/>
      <c r="M304" s="37">
        <f t="shared" si="103"/>
        <v>12.67</v>
      </c>
      <c r="N304" s="29">
        <v>11.67</v>
      </c>
      <c r="O304" s="41"/>
      <c r="P304" s="11"/>
      <c r="Q304"/>
      <c r="R304"/>
      <c r="S304" t="s">
        <v>4179</v>
      </c>
      <c r="T304" s="145" t="s">
        <v>4179</v>
      </c>
      <c r="U304" s="42" t="s">
        <v>1017</v>
      </c>
      <c r="V304"/>
      <c r="W304" s="50"/>
      <c r="X304" s="50"/>
      <c r="Y304"/>
      <c r="Z304"/>
      <c r="AA304" s="50"/>
      <c r="AB304"/>
      <c r="AC304"/>
      <c r="AD304" s="50"/>
      <c r="AE304" s="75"/>
      <c r="AF304" s="50"/>
      <c r="AG304" s="50"/>
      <c r="AH304" s="166" t="str">
        <f t="shared" ref="AH304:AH309" si="104">IF(ISERROR(SEARCH("K erstmals 201",D304)),"",RIGHT(D304,4))</f>
        <v/>
      </c>
      <c r="AI304" s="168" t="str">
        <f t="shared" si="96"/>
        <v/>
      </c>
      <c r="AJ304" s="168" t="str">
        <f t="shared" si="97"/>
        <v/>
      </c>
      <c r="AK304" s="168" t="str">
        <f t="shared" si="98"/>
        <v/>
      </c>
      <c r="AL304" s="168" t="str">
        <f t="shared" si="99"/>
        <v/>
      </c>
      <c r="AM304" s="168" t="str">
        <f t="shared" si="100"/>
        <v/>
      </c>
      <c r="AN304" s="167" t="str">
        <f t="shared" si="83"/>
        <v/>
      </c>
      <c r="AO304" s="167" t="str">
        <f t="shared" si="84"/>
        <v/>
      </c>
      <c r="AP304" s="167" t="str">
        <f t="shared" si="85"/>
        <v/>
      </c>
      <c r="AQ304" s="169" t="str">
        <f t="shared" si="86"/>
        <v/>
      </c>
      <c r="AR304" s="170" t="str">
        <f t="shared" si="87"/>
        <v>BiK81y------04</v>
      </c>
      <c r="AS304" s="169" t="str">
        <f t="shared" si="88"/>
        <v/>
      </c>
      <c r="AT304">
        <f t="shared" si="89"/>
        <v>14</v>
      </c>
      <c r="AU304" s="170" t="str">
        <f t="shared" si="90"/>
        <v>0-0,15 MW, Bonusregel y</v>
      </c>
      <c r="AV304" s="169" t="str">
        <f t="shared" si="91"/>
        <v/>
      </c>
      <c r="AW304" s="170" t="str">
        <f t="shared" si="92"/>
        <v>Anteil Nicht-KWK</v>
      </c>
      <c r="AX304" s="169" t="str">
        <f t="shared" si="93"/>
        <v/>
      </c>
      <c r="AY304" t="str">
        <f t="shared" si="94"/>
        <v/>
      </c>
      <c r="AZ304" t="str">
        <f t="shared" si="95"/>
        <v/>
      </c>
    </row>
    <row r="305" spans="1:52" s="145" customFormat="1" x14ac:dyDescent="0.35">
      <c r="A305" s="497" t="s">
        <v>1342</v>
      </c>
      <c r="B305" s="13" t="s">
        <v>5547</v>
      </c>
      <c r="C305" s="13" t="s">
        <v>4808</v>
      </c>
      <c r="D305" s="17" t="s">
        <v>6870</v>
      </c>
      <c r="E305" s="13" t="s">
        <v>4811</v>
      </c>
      <c r="F305" s="373">
        <f t="shared" si="101"/>
        <v>14.67</v>
      </c>
      <c r="G305" s="430">
        <v>14.67</v>
      </c>
      <c r="H305" s="399">
        <f t="shared" si="102"/>
        <v>11.74</v>
      </c>
      <c r="I305" s="576"/>
      <c r="J305" s="549" t="s">
        <v>5804</v>
      </c>
      <c r="K305" s="11"/>
      <c r="L305"/>
      <c r="M305" s="37">
        <f t="shared" si="103"/>
        <v>14.67</v>
      </c>
      <c r="N305" s="29">
        <v>11.67</v>
      </c>
      <c r="O305" s="41" t="s">
        <v>1017</v>
      </c>
      <c r="P305" s="11"/>
      <c r="Q305"/>
      <c r="R305"/>
      <c r="S305" t="s">
        <v>4179</v>
      </c>
      <c r="T305" s="145" t="s">
        <v>4179</v>
      </c>
      <c r="U305" s="42" t="s">
        <v>1017</v>
      </c>
      <c r="V305"/>
      <c r="W305" s="50"/>
      <c r="X305" s="50"/>
      <c r="Y305"/>
      <c r="Z305"/>
      <c r="AA305" s="50"/>
      <c r="AB305"/>
      <c r="AC305"/>
      <c r="AD305" s="50"/>
      <c r="AE305" s="75"/>
      <c r="AF305" s="50"/>
      <c r="AG305" s="50"/>
      <c r="AH305" s="166" t="str">
        <f t="shared" si="104"/>
        <v/>
      </c>
      <c r="AI305" s="168" t="str">
        <f t="shared" si="96"/>
        <v/>
      </c>
      <c r="AJ305" s="168" t="str">
        <f t="shared" si="97"/>
        <v/>
      </c>
      <c r="AK305" s="168" t="str">
        <f t="shared" si="98"/>
        <v/>
      </c>
      <c r="AL305" s="168" t="str">
        <f t="shared" si="99"/>
        <v/>
      </c>
      <c r="AM305" s="168" t="str">
        <f t="shared" si="100"/>
        <v/>
      </c>
      <c r="AN305" s="167" t="str">
        <f t="shared" si="83"/>
        <v/>
      </c>
      <c r="AO305" s="167" t="str">
        <f t="shared" si="84"/>
        <v/>
      </c>
      <c r="AP305" s="167" t="str">
        <f t="shared" si="85"/>
        <v/>
      </c>
      <c r="AQ305" s="169" t="str">
        <f t="shared" si="86"/>
        <v/>
      </c>
      <c r="AR305" s="170" t="str">
        <f t="shared" si="87"/>
        <v>BiK81KWKy---04</v>
      </c>
      <c r="AS305" s="169" t="str">
        <f t="shared" si="88"/>
        <v/>
      </c>
      <c r="AT305">
        <f t="shared" si="89"/>
        <v>14</v>
      </c>
      <c r="AU305" s="170" t="str">
        <f t="shared" si="90"/>
        <v>0-0,15 MW, Bonusregeln y und KWK</v>
      </c>
      <c r="AV305" s="169" t="str">
        <f t="shared" si="91"/>
        <v/>
      </c>
      <c r="AW305" s="170" t="str">
        <f t="shared" si="92"/>
        <v>Anteil KWK</v>
      </c>
      <c r="AX305" s="169" t="str">
        <f t="shared" si="93"/>
        <v/>
      </c>
      <c r="AY305" t="str">
        <f t="shared" si="94"/>
        <v/>
      </c>
      <c r="AZ305" t="str">
        <f t="shared" si="95"/>
        <v/>
      </c>
    </row>
    <row r="306" spans="1:52" s="145" customFormat="1" x14ac:dyDescent="0.35">
      <c r="A306" s="497" t="s">
        <v>1343</v>
      </c>
      <c r="B306" s="13" t="s">
        <v>5547</v>
      </c>
      <c r="C306" s="13" t="s">
        <v>4808</v>
      </c>
      <c r="D306" s="13" t="s">
        <v>6871</v>
      </c>
      <c r="E306" s="13" t="s">
        <v>4330</v>
      </c>
      <c r="F306" s="373">
        <f t="shared" si="101"/>
        <v>15.67</v>
      </c>
      <c r="G306" s="430">
        <v>15.67</v>
      </c>
      <c r="H306" s="399">
        <f t="shared" si="102"/>
        <v>12.54</v>
      </c>
      <c r="I306" s="576"/>
      <c r="J306" s="549" t="s">
        <v>5804</v>
      </c>
      <c r="K306" s="11"/>
      <c r="L306"/>
      <c r="M306" s="37">
        <f t="shared" si="103"/>
        <v>15.67</v>
      </c>
      <c r="N306" s="29">
        <v>11.67</v>
      </c>
      <c r="O306" s="41"/>
      <c r="P306" t="s">
        <v>1017</v>
      </c>
      <c r="Q306"/>
      <c r="R306"/>
      <c r="S306" t="s">
        <v>4179</v>
      </c>
      <c r="T306" s="145" t="s">
        <v>4179</v>
      </c>
      <c r="U306" s="42" t="s">
        <v>1017</v>
      </c>
      <c r="V306"/>
      <c r="W306" s="50"/>
      <c r="X306" s="50"/>
      <c r="Y306"/>
      <c r="Z306"/>
      <c r="AA306" s="50"/>
      <c r="AB306"/>
      <c r="AC306"/>
      <c r="AD306" s="50"/>
      <c r="AE306" s="75"/>
      <c r="AF306" s="50"/>
      <c r="AG306" s="50"/>
      <c r="AH306" s="166" t="str">
        <f t="shared" si="104"/>
        <v/>
      </c>
      <c r="AI306" s="168" t="str">
        <f t="shared" si="96"/>
        <v/>
      </c>
      <c r="AJ306" s="168" t="str">
        <f t="shared" si="97"/>
        <v/>
      </c>
      <c r="AK306" s="168" t="str">
        <f t="shared" si="98"/>
        <v/>
      </c>
      <c r="AL306" s="168" t="str">
        <f t="shared" si="99"/>
        <v/>
      </c>
      <c r="AM306" s="168" t="str">
        <f t="shared" si="100"/>
        <v/>
      </c>
      <c r="AN306" s="167" t="str">
        <f t="shared" si="83"/>
        <v/>
      </c>
      <c r="AO306" s="167" t="str">
        <f t="shared" si="84"/>
        <v/>
      </c>
      <c r="AP306" s="167" t="str">
        <f t="shared" si="85"/>
        <v/>
      </c>
      <c r="AQ306" s="169" t="str">
        <f t="shared" si="86"/>
        <v/>
      </c>
      <c r="AR306" s="170" t="str">
        <f t="shared" si="87"/>
        <v>BiK81KA3y---04</v>
      </c>
      <c r="AS306" s="169" t="str">
        <f t="shared" si="88"/>
        <v/>
      </c>
      <c r="AT306">
        <f t="shared" si="89"/>
        <v>14</v>
      </c>
      <c r="AU306" s="170" t="str">
        <f t="shared" si="90"/>
        <v>0-0,15 MW, Bonusregeln y und K wenn Anlage 3 erfüllt</v>
      </c>
      <c r="AV306" s="169" t="str">
        <f t="shared" si="91"/>
        <v/>
      </c>
      <c r="AW306" s="170" t="str">
        <f t="shared" si="92"/>
        <v>Anteil KWK gemäß Anlage 3</v>
      </c>
      <c r="AX306" s="169" t="str">
        <f t="shared" si="93"/>
        <v/>
      </c>
      <c r="AY306" t="str">
        <f t="shared" si="94"/>
        <v/>
      </c>
      <c r="AZ306" t="str">
        <f t="shared" si="95"/>
        <v/>
      </c>
    </row>
    <row r="307" spans="1:52" s="145" customFormat="1" x14ac:dyDescent="0.35">
      <c r="A307" s="497" t="s">
        <v>1344</v>
      </c>
      <c r="B307" s="13" t="s">
        <v>5547</v>
      </c>
      <c r="C307" s="13" t="s">
        <v>4808</v>
      </c>
      <c r="D307" s="13" t="s">
        <v>6872</v>
      </c>
      <c r="E307" s="13" t="s">
        <v>674</v>
      </c>
      <c r="F307" s="373">
        <f t="shared" si="101"/>
        <v>15.67</v>
      </c>
      <c r="G307" s="430">
        <v>15.67</v>
      </c>
      <c r="H307" s="399">
        <f t="shared" si="102"/>
        <v>12.54</v>
      </c>
      <c r="I307" s="576"/>
      <c r="J307" s="549" t="s">
        <v>5804</v>
      </c>
      <c r="K307" s="11"/>
      <c r="L307"/>
      <c r="M307" s="37">
        <f t="shared" si="103"/>
        <v>15.67</v>
      </c>
      <c r="N307" s="29">
        <v>11.67</v>
      </c>
      <c r="O307" s="41"/>
      <c r="P307" s="11"/>
      <c r="Q307" t="s">
        <v>1017</v>
      </c>
      <c r="R307"/>
      <c r="S307" t="s">
        <v>4179</v>
      </c>
      <c r="T307" s="145" t="s">
        <v>4179</v>
      </c>
      <c r="U307" s="42" t="s">
        <v>1017</v>
      </c>
      <c r="V307"/>
      <c r="W307" s="50"/>
      <c r="X307" s="50"/>
      <c r="Y307"/>
      <c r="Z307"/>
      <c r="AA307" s="50"/>
      <c r="AB307"/>
      <c r="AC307"/>
      <c r="AD307" s="50"/>
      <c r="AE307" s="75"/>
      <c r="AF307" s="50"/>
      <c r="AG307" s="50"/>
      <c r="AH307" s="166" t="str">
        <f t="shared" si="104"/>
        <v/>
      </c>
      <c r="AI307" s="168" t="str">
        <f t="shared" si="96"/>
        <v/>
      </c>
      <c r="AJ307" s="168" t="str">
        <f t="shared" si="97"/>
        <v/>
      </c>
      <c r="AK307" s="168" t="str">
        <f t="shared" si="98"/>
        <v/>
      </c>
      <c r="AL307" s="168" t="str">
        <f t="shared" si="99"/>
        <v/>
      </c>
      <c r="AM307" s="168" t="str">
        <f t="shared" si="100"/>
        <v/>
      </c>
      <c r="AN307" s="167" t="str">
        <f t="shared" si="83"/>
        <v/>
      </c>
      <c r="AO307" s="167" t="str">
        <f t="shared" si="84"/>
        <v/>
      </c>
      <c r="AP307" s="167" t="str">
        <f t="shared" si="85"/>
        <v/>
      </c>
      <c r="AQ307" s="169" t="str">
        <f t="shared" si="86"/>
        <v/>
      </c>
      <c r="AR307" s="170" t="str">
        <f t="shared" si="87"/>
        <v>BiK81K09y---04</v>
      </c>
      <c r="AS307" s="169" t="str">
        <f t="shared" si="88"/>
        <v/>
      </c>
      <c r="AT307">
        <f t="shared" si="89"/>
        <v>14</v>
      </c>
      <c r="AU307" s="170" t="str">
        <f t="shared" si="90"/>
        <v>0-0,15 MW, Bonusregeln y und K erstmals 2009</v>
      </c>
      <c r="AV307" s="169" t="str">
        <f t="shared" si="91"/>
        <v/>
      </c>
      <c r="AW307" s="170" t="str">
        <f t="shared" si="92"/>
        <v>Anteil KWK, erstmals 2009</v>
      </c>
      <c r="AX307" s="169" t="str">
        <f t="shared" si="93"/>
        <v/>
      </c>
      <c r="AY307" t="str">
        <f t="shared" si="94"/>
        <v/>
      </c>
      <c r="AZ307" t="str">
        <f t="shared" si="95"/>
        <v/>
      </c>
    </row>
    <row r="308" spans="1:52" s="145" customFormat="1" x14ac:dyDescent="0.35">
      <c r="A308" s="497" t="s">
        <v>1629</v>
      </c>
      <c r="B308" s="13" t="s">
        <v>5547</v>
      </c>
      <c r="C308" s="13" t="s">
        <v>4808</v>
      </c>
      <c r="D308" s="13" t="s">
        <v>6873</v>
      </c>
      <c r="E308" s="13" t="s">
        <v>3566</v>
      </c>
      <c r="F308" s="373">
        <f t="shared" si="101"/>
        <v>15.64</v>
      </c>
      <c r="G308" s="430">
        <v>15.64</v>
      </c>
      <c r="H308" s="399">
        <f t="shared" si="102"/>
        <v>12.51</v>
      </c>
      <c r="I308" s="576"/>
      <c r="J308" s="549" t="s">
        <v>5804</v>
      </c>
      <c r="K308" s="11"/>
      <c r="L308"/>
      <c r="M308" s="37">
        <f t="shared" si="103"/>
        <v>15.64</v>
      </c>
      <c r="N308" s="29">
        <v>11.67</v>
      </c>
      <c r="O308" s="41"/>
      <c r="P308" s="11"/>
      <c r="Q308"/>
      <c r="R308" t="s">
        <v>1017</v>
      </c>
      <c r="S308" t="s">
        <v>4179</v>
      </c>
      <c r="T308" s="145" t="s">
        <v>4179</v>
      </c>
      <c r="U308" s="42" t="s">
        <v>1017</v>
      </c>
      <c r="V308"/>
      <c r="W308" s="50"/>
      <c r="X308" s="50"/>
      <c r="Y308"/>
      <c r="Z308"/>
      <c r="AA308" s="50"/>
      <c r="AB308"/>
      <c r="AC308"/>
      <c r="AD308" s="50"/>
      <c r="AE308" s="75"/>
      <c r="AF308" s="50"/>
      <c r="AG308" s="50"/>
      <c r="AH308" s="166" t="str">
        <f t="shared" si="104"/>
        <v>2010</v>
      </c>
      <c r="AI308" s="168" t="str">
        <f t="shared" si="96"/>
        <v/>
      </c>
      <c r="AJ308" s="168" t="str">
        <f t="shared" si="97"/>
        <v/>
      </c>
      <c r="AK308" s="168" t="str">
        <f t="shared" si="98"/>
        <v/>
      </c>
      <c r="AL308" s="168" t="str">
        <f t="shared" si="99"/>
        <v/>
      </c>
      <c r="AM308" s="168" t="str">
        <f t="shared" si="100"/>
        <v/>
      </c>
      <c r="AN308" s="167" t="str">
        <f t="shared" si="83"/>
        <v>2010</v>
      </c>
      <c r="AO308" s="167" t="str">
        <f t="shared" si="84"/>
        <v>2010</v>
      </c>
      <c r="AP308" s="167" t="str">
        <f t="shared" si="85"/>
        <v>2010</v>
      </c>
      <c r="AQ308" s="169" t="str">
        <f t="shared" si="86"/>
        <v/>
      </c>
      <c r="AR308" s="170" t="str">
        <f t="shared" si="87"/>
        <v>BiK81K10y---04</v>
      </c>
      <c r="AS308" s="169" t="str">
        <f t="shared" si="88"/>
        <v/>
      </c>
      <c r="AT308">
        <f t="shared" si="89"/>
        <v>14</v>
      </c>
      <c r="AU308" s="170" t="str">
        <f t="shared" si="90"/>
        <v>0-0,15 MW, Bonusregeln y und K erstmals 2010</v>
      </c>
      <c r="AV308" s="169" t="str">
        <f t="shared" si="91"/>
        <v/>
      </c>
      <c r="AW308" s="170" t="str">
        <f t="shared" si="92"/>
        <v>Anteil KWK, erstmals 2010</v>
      </c>
      <c r="AX308" s="169" t="str">
        <f t="shared" si="93"/>
        <v/>
      </c>
      <c r="AY308" t="str">
        <f t="shared" si="94"/>
        <v/>
      </c>
      <c r="AZ308" t="str">
        <f t="shared" si="95"/>
        <v/>
      </c>
    </row>
    <row r="309" spans="1:52" s="145" customFormat="1" x14ac:dyDescent="0.35">
      <c r="A309" s="497" t="s">
        <v>5243</v>
      </c>
      <c r="B309" s="13" t="s">
        <v>5547</v>
      </c>
      <c r="C309" s="13" t="s">
        <v>4808</v>
      </c>
      <c r="D309" s="13" t="s">
        <v>6874</v>
      </c>
      <c r="E309" s="13" t="s">
        <v>3054</v>
      </c>
      <c r="F309" s="373">
        <f t="shared" si="101"/>
        <v>15.61</v>
      </c>
      <c r="G309" s="430">
        <v>15.61</v>
      </c>
      <c r="H309" s="399">
        <f t="shared" si="102"/>
        <v>12.49</v>
      </c>
      <c r="I309" s="576"/>
      <c r="J309" s="549" t="s">
        <v>5804</v>
      </c>
      <c r="K309" s="11"/>
      <c r="L309"/>
      <c r="M309" s="37">
        <f t="shared" si="103"/>
        <v>15.61</v>
      </c>
      <c r="N309" s="29">
        <v>11.67</v>
      </c>
      <c r="O309" s="41"/>
      <c r="P309" s="11"/>
      <c r="Q309"/>
      <c r="R309"/>
      <c r="S309" t="s">
        <v>1017</v>
      </c>
      <c r="T309" s="145" t="s">
        <v>4179</v>
      </c>
      <c r="U309" s="42" t="s">
        <v>1017</v>
      </c>
      <c r="V309"/>
      <c r="W309" s="50"/>
      <c r="X309" s="50"/>
      <c r="Y309"/>
      <c r="Z309"/>
      <c r="AA309" s="50"/>
      <c r="AB309"/>
      <c r="AC309"/>
      <c r="AD309" s="50"/>
      <c r="AE309" s="75"/>
      <c r="AF309" s="50"/>
      <c r="AG309" s="50"/>
      <c r="AH309" s="166" t="str">
        <f t="shared" si="104"/>
        <v>2011</v>
      </c>
      <c r="AI309" s="168" t="str">
        <f t="shared" si="96"/>
        <v/>
      </c>
      <c r="AJ309" s="168" t="str">
        <f t="shared" si="97"/>
        <v/>
      </c>
      <c r="AK309" s="168" t="str">
        <f t="shared" si="98"/>
        <v/>
      </c>
      <c r="AL309" s="168" t="str">
        <f t="shared" si="99"/>
        <v/>
      </c>
      <c r="AM309" s="168" t="str">
        <f t="shared" si="100"/>
        <v/>
      </c>
      <c r="AN309" s="167" t="str">
        <f t="shared" si="83"/>
        <v>2011</v>
      </c>
      <c r="AO309" s="167" t="str">
        <f t="shared" si="84"/>
        <v>2011</v>
      </c>
      <c r="AP309" s="167" t="str">
        <f t="shared" si="85"/>
        <v>2011</v>
      </c>
      <c r="AQ309" s="169" t="str">
        <f t="shared" si="86"/>
        <v/>
      </c>
      <c r="AR309" s="170" t="str">
        <f t="shared" si="87"/>
        <v>BiK81K11y---04</v>
      </c>
      <c r="AS309" s="169" t="str">
        <f t="shared" si="88"/>
        <v/>
      </c>
      <c r="AT309">
        <f t="shared" si="89"/>
        <v>14</v>
      </c>
      <c r="AU309" s="170" t="str">
        <f t="shared" si="90"/>
        <v>0-0,15 MW, Bonusregeln y und K erstmals 2011</v>
      </c>
      <c r="AV309" s="169" t="str">
        <f t="shared" si="91"/>
        <v/>
      </c>
      <c r="AW309" s="170" t="str">
        <f t="shared" si="92"/>
        <v>Anteil KWK, erstmals 2011</v>
      </c>
      <c r="AX309" s="169" t="str">
        <f t="shared" si="93"/>
        <v/>
      </c>
      <c r="AY309" t="str">
        <f t="shared" si="94"/>
        <v>x</v>
      </c>
      <c r="AZ309" t="str">
        <f t="shared" si="95"/>
        <v/>
      </c>
    </row>
    <row r="310" spans="1:52" s="145" customFormat="1" x14ac:dyDescent="0.35">
      <c r="A310" s="511" t="s">
        <v>3550</v>
      </c>
      <c r="B310" s="173" t="s">
        <v>5547</v>
      </c>
      <c r="C310" s="173" t="s">
        <v>4808</v>
      </c>
      <c r="D310" s="173" t="s">
        <v>6875</v>
      </c>
      <c r="E310" s="173" t="s">
        <v>1980</v>
      </c>
      <c r="F310" s="374">
        <f t="shared" si="101"/>
        <v>15.58</v>
      </c>
      <c r="G310" s="431">
        <v>15.58</v>
      </c>
      <c r="H310" s="400">
        <f t="shared" si="102"/>
        <v>12.46</v>
      </c>
      <c r="I310" s="577"/>
      <c r="J310" s="549" t="s">
        <v>5804</v>
      </c>
      <c r="K310" s="11"/>
      <c r="L310"/>
      <c r="M310" s="37">
        <f t="shared" si="103"/>
        <v>15.58</v>
      </c>
      <c r="N310" s="29">
        <v>11.67</v>
      </c>
      <c r="O310" s="41"/>
      <c r="P310" s="11"/>
      <c r="Q310"/>
      <c r="R310"/>
      <c r="S310" t="s">
        <v>4179</v>
      </c>
      <c r="T310" s="145" t="s">
        <v>1017</v>
      </c>
      <c r="U310" s="42" t="s">
        <v>1017</v>
      </c>
      <c r="V310"/>
      <c r="W310" s="50"/>
      <c r="X310" s="50"/>
      <c r="Y310"/>
      <c r="Z310"/>
      <c r="AA310" s="50"/>
      <c r="AB310"/>
      <c r="AC310"/>
      <c r="AD310" s="50"/>
      <c r="AE310" s="75"/>
      <c r="AF310" s="50"/>
      <c r="AG310" s="50"/>
      <c r="AH310" s="171" t="s">
        <v>4178</v>
      </c>
      <c r="AI310" s="168" t="str">
        <f t="shared" si="96"/>
        <v/>
      </c>
      <c r="AJ310" s="168" t="str">
        <f t="shared" si="97"/>
        <v/>
      </c>
      <c r="AK310" s="168" t="str">
        <f t="shared" si="98"/>
        <v/>
      </c>
      <c r="AL310" s="168" t="str">
        <f t="shared" si="99"/>
        <v/>
      </c>
      <c r="AM310" s="168" t="str">
        <f t="shared" si="100"/>
        <v/>
      </c>
      <c r="AN310" s="167" t="str">
        <f t="shared" si="83"/>
        <v>2012</v>
      </c>
      <c r="AO310" s="167" t="str">
        <f t="shared" si="84"/>
        <v>2012</v>
      </c>
      <c r="AP310" s="167" t="str">
        <f t="shared" si="85"/>
        <v>2012</v>
      </c>
      <c r="AQ310" s="169" t="str">
        <f t="shared" si="86"/>
        <v/>
      </c>
      <c r="AR310" s="170" t="str">
        <f t="shared" si="87"/>
        <v>BiK81K12y---04</v>
      </c>
      <c r="AS310" s="169" t="str">
        <f t="shared" si="88"/>
        <v/>
      </c>
      <c r="AT310">
        <f t="shared" si="89"/>
        <v>14</v>
      </c>
      <c r="AU310" s="170" t="str">
        <f t="shared" si="90"/>
        <v>0-0,15 MW, Bonusregeln y und K erstmals 2012</v>
      </c>
      <c r="AV310" s="169" t="str">
        <f t="shared" si="91"/>
        <v/>
      </c>
      <c r="AW310" s="170" t="str">
        <f t="shared" si="92"/>
        <v>Anteil KWK, erstmals 2012</v>
      </c>
      <c r="AX310" s="169" t="str">
        <f t="shared" si="93"/>
        <v/>
      </c>
      <c r="AY310" t="str">
        <f t="shared" si="94"/>
        <v/>
      </c>
      <c r="AZ310" t="str">
        <f t="shared" si="95"/>
        <v>x</v>
      </c>
    </row>
    <row r="311" spans="1:52" s="145" customFormat="1" x14ac:dyDescent="0.35">
      <c r="A311" s="505" t="s">
        <v>4812</v>
      </c>
      <c r="B311" s="23" t="s">
        <v>5547</v>
      </c>
      <c r="C311" s="23" t="s">
        <v>4808</v>
      </c>
      <c r="D311" s="23" t="s">
        <v>6876</v>
      </c>
      <c r="E311" s="23" t="s">
        <v>4809</v>
      </c>
      <c r="F311" s="378">
        <f t="shared" si="101"/>
        <v>17.670000000000002</v>
      </c>
      <c r="G311" s="434">
        <v>17.670000000000002</v>
      </c>
      <c r="H311" s="403">
        <f t="shared" si="102"/>
        <v>14.14</v>
      </c>
      <c r="I311" s="581"/>
      <c r="J311" s="549" t="s">
        <v>5804</v>
      </c>
      <c r="K311" s="11"/>
      <c r="L311"/>
      <c r="M311" s="37">
        <f t="shared" si="103"/>
        <v>17.670000000000002</v>
      </c>
      <c r="N311" s="29">
        <v>11.67</v>
      </c>
      <c r="O311" s="41"/>
      <c r="P311" s="11"/>
      <c r="Q311"/>
      <c r="R311"/>
      <c r="S311" t="s">
        <v>4179</v>
      </c>
      <c r="T311" s="145" t="s">
        <v>4179</v>
      </c>
      <c r="U311" s="42"/>
      <c r="V311" t="s">
        <v>1017</v>
      </c>
      <c r="W311" s="50"/>
      <c r="X311" s="50"/>
      <c r="Y311"/>
      <c r="Z311"/>
      <c r="AA311" s="50"/>
      <c r="AB311"/>
      <c r="AC311"/>
      <c r="AD311" s="50"/>
      <c r="AE311" s="75"/>
      <c r="AF311" s="50"/>
      <c r="AG311" s="50"/>
      <c r="AH311" s="166" t="str">
        <f t="shared" ref="AH311:AH316" si="105">IF(ISERROR(SEARCH("K erstmals 201",D311)),"",RIGHT(D311,4))</f>
        <v/>
      </c>
      <c r="AI311" s="168" t="str">
        <f t="shared" si="96"/>
        <v/>
      </c>
      <c r="AJ311" s="168" t="str">
        <f t="shared" si="97"/>
        <v/>
      </c>
      <c r="AK311" s="168" t="str">
        <f t="shared" si="98"/>
        <v/>
      </c>
      <c r="AL311" s="168" t="str">
        <f t="shared" si="99"/>
        <v/>
      </c>
      <c r="AM311" s="168" t="str">
        <f t="shared" si="100"/>
        <v/>
      </c>
      <c r="AN311" s="167" t="str">
        <f t="shared" si="83"/>
        <v/>
      </c>
      <c r="AO311" s="167" t="str">
        <f t="shared" si="84"/>
        <v/>
      </c>
      <c r="AP311" s="167" t="str">
        <f t="shared" si="85"/>
        <v/>
      </c>
      <c r="AQ311" s="169" t="str">
        <f t="shared" si="86"/>
        <v/>
      </c>
      <c r="AR311" s="170" t="str">
        <f t="shared" si="87"/>
        <v>BiK81a1-----04</v>
      </c>
      <c r="AS311" s="169" t="str">
        <f t="shared" si="88"/>
        <v/>
      </c>
      <c r="AT311">
        <f t="shared" si="89"/>
        <v>14</v>
      </c>
      <c r="AU311" s="170" t="str">
        <f t="shared" si="90"/>
        <v>0-0,15 MW, Bonusregel a1</v>
      </c>
      <c r="AV311" s="169" t="str">
        <f t="shared" si="91"/>
        <v/>
      </c>
      <c r="AW311" s="170" t="str">
        <f t="shared" si="92"/>
        <v>Anteil Nicht-KWK</v>
      </c>
      <c r="AX311" s="169" t="str">
        <f t="shared" si="93"/>
        <v/>
      </c>
      <c r="AY311" t="str">
        <f t="shared" si="94"/>
        <v/>
      </c>
      <c r="AZ311" t="str">
        <f t="shared" si="95"/>
        <v/>
      </c>
    </row>
    <row r="312" spans="1:52" s="145" customFormat="1" x14ac:dyDescent="0.35">
      <c r="A312" s="505" t="s">
        <v>4813</v>
      </c>
      <c r="B312" s="23" t="s">
        <v>5547</v>
      </c>
      <c r="C312" s="23" t="s">
        <v>4808</v>
      </c>
      <c r="D312" s="23" t="s">
        <v>6877</v>
      </c>
      <c r="E312" s="23" t="s">
        <v>4811</v>
      </c>
      <c r="F312" s="378">
        <f t="shared" si="101"/>
        <v>19.670000000000002</v>
      </c>
      <c r="G312" s="434">
        <v>19.670000000000002</v>
      </c>
      <c r="H312" s="403">
        <f t="shared" si="102"/>
        <v>15.74</v>
      </c>
      <c r="I312" s="581"/>
      <c r="J312" s="549" t="s">
        <v>5804</v>
      </c>
      <c r="K312" s="11"/>
      <c r="L312"/>
      <c r="M312" s="37">
        <f t="shared" si="103"/>
        <v>19.670000000000002</v>
      </c>
      <c r="N312" s="29">
        <v>11.67</v>
      </c>
      <c r="O312" s="41" t="s">
        <v>1017</v>
      </c>
      <c r="P312" s="11"/>
      <c r="Q312"/>
      <c r="R312"/>
      <c r="S312" t="s">
        <v>4179</v>
      </c>
      <c r="T312" s="145" t="s">
        <v>4179</v>
      </c>
      <c r="U312" s="42"/>
      <c r="V312" t="s">
        <v>1017</v>
      </c>
      <c r="W312" s="50"/>
      <c r="X312" s="50"/>
      <c r="Y312"/>
      <c r="Z312"/>
      <c r="AA312" s="50"/>
      <c r="AB312"/>
      <c r="AC312"/>
      <c r="AD312" s="50"/>
      <c r="AE312" s="75"/>
      <c r="AF312" s="50"/>
      <c r="AG312" s="50"/>
      <c r="AH312" s="166" t="str">
        <f t="shared" si="105"/>
        <v/>
      </c>
      <c r="AI312" s="168" t="str">
        <f t="shared" si="96"/>
        <v/>
      </c>
      <c r="AJ312" s="168" t="str">
        <f t="shared" si="97"/>
        <v/>
      </c>
      <c r="AK312" s="168" t="str">
        <f t="shared" si="98"/>
        <v/>
      </c>
      <c r="AL312" s="168" t="str">
        <f t="shared" si="99"/>
        <v/>
      </c>
      <c r="AM312" s="168" t="str">
        <f t="shared" si="100"/>
        <v/>
      </c>
      <c r="AN312" s="167" t="str">
        <f t="shared" si="83"/>
        <v/>
      </c>
      <c r="AO312" s="167" t="str">
        <f t="shared" si="84"/>
        <v/>
      </c>
      <c r="AP312" s="167" t="str">
        <f t="shared" si="85"/>
        <v/>
      </c>
      <c r="AQ312" s="169" t="str">
        <f t="shared" si="86"/>
        <v/>
      </c>
      <c r="AR312" s="170" t="str">
        <f t="shared" si="87"/>
        <v>BiK81a1KWK--04</v>
      </c>
      <c r="AS312" s="169" t="str">
        <f t="shared" si="88"/>
        <v/>
      </c>
      <c r="AT312">
        <f t="shared" si="89"/>
        <v>14</v>
      </c>
      <c r="AU312" s="170" t="str">
        <f t="shared" si="90"/>
        <v>0-0,15 MW, Bonusregeln a1 und KWK</v>
      </c>
      <c r="AV312" s="169" t="str">
        <f t="shared" si="91"/>
        <v/>
      </c>
      <c r="AW312" s="170" t="str">
        <f t="shared" si="92"/>
        <v>Anteil KWK</v>
      </c>
      <c r="AX312" s="169" t="str">
        <f t="shared" si="93"/>
        <v/>
      </c>
      <c r="AY312" t="str">
        <f t="shared" si="94"/>
        <v/>
      </c>
      <c r="AZ312" t="str">
        <f t="shared" si="95"/>
        <v/>
      </c>
    </row>
    <row r="313" spans="1:52" s="145" customFormat="1" x14ac:dyDescent="0.35">
      <c r="A313" s="497" t="s">
        <v>4035</v>
      </c>
      <c r="B313" s="13" t="s">
        <v>5547</v>
      </c>
      <c r="C313" s="13" t="s">
        <v>4808</v>
      </c>
      <c r="D313" s="13" t="s">
        <v>6878</v>
      </c>
      <c r="E313" s="13" t="s">
        <v>4330</v>
      </c>
      <c r="F313" s="373">
        <f t="shared" si="101"/>
        <v>20.67</v>
      </c>
      <c r="G313" s="430">
        <v>20.67</v>
      </c>
      <c r="H313" s="399">
        <f t="shared" si="102"/>
        <v>16.54</v>
      </c>
      <c r="I313" s="576"/>
      <c r="J313" s="549" t="s">
        <v>5804</v>
      </c>
      <c r="K313" s="11"/>
      <c r="L313"/>
      <c r="M313" s="37">
        <f t="shared" si="103"/>
        <v>20.67</v>
      </c>
      <c r="N313" s="29">
        <v>11.67</v>
      </c>
      <c r="O313" s="41"/>
      <c r="P313" t="s">
        <v>1017</v>
      </c>
      <c r="Q313"/>
      <c r="R313"/>
      <c r="S313" t="s">
        <v>4179</v>
      </c>
      <c r="T313" s="145" t="s">
        <v>4179</v>
      </c>
      <c r="U313" s="42"/>
      <c r="V313" t="s">
        <v>1017</v>
      </c>
      <c r="W313" s="50"/>
      <c r="X313" s="50"/>
      <c r="Y313"/>
      <c r="Z313"/>
      <c r="AA313" s="50"/>
      <c r="AB313"/>
      <c r="AC313"/>
      <c r="AD313" s="50"/>
      <c r="AE313" s="75"/>
      <c r="AF313" s="50"/>
      <c r="AG313" s="50"/>
      <c r="AH313" s="166" t="str">
        <f t="shared" si="105"/>
        <v/>
      </c>
      <c r="AI313" s="168" t="str">
        <f t="shared" si="96"/>
        <v/>
      </c>
      <c r="AJ313" s="168" t="str">
        <f t="shared" si="97"/>
        <v/>
      </c>
      <c r="AK313" s="168" t="str">
        <f t="shared" si="98"/>
        <v/>
      </c>
      <c r="AL313" s="168" t="str">
        <f t="shared" si="99"/>
        <v/>
      </c>
      <c r="AM313" s="168" t="str">
        <f t="shared" si="100"/>
        <v/>
      </c>
      <c r="AN313" s="167" t="str">
        <f t="shared" si="83"/>
        <v/>
      </c>
      <c r="AO313" s="167" t="str">
        <f t="shared" si="84"/>
        <v/>
      </c>
      <c r="AP313" s="167" t="str">
        <f t="shared" si="85"/>
        <v/>
      </c>
      <c r="AQ313" s="169" t="str">
        <f t="shared" si="86"/>
        <v/>
      </c>
      <c r="AR313" s="170" t="str">
        <f t="shared" si="87"/>
        <v>BiK81a1KA3--04</v>
      </c>
      <c r="AS313" s="169" t="str">
        <f t="shared" si="88"/>
        <v/>
      </c>
      <c r="AT313">
        <f t="shared" si="89"/>
        <v>14</v>
      </c>
      <c r="AU313" s="170" t="str">
        <f t="shared" si="90"/>
        <v>0-0,15 MW, Bonusregeln a1 und K wenn Anlage 3 erfüllt</v>
      </c>
      <c r="AV313" s="169" t="str">
        <f t="shared" si="91"/>
        <v/>
      </c>
      <c r="AW313" s="170" t="str">
        <f t="shared" si="92"/>
        <v>Anteil KWK gemäß Anlage 3</v>
      </c>
      <c r="AX313" s="169" t="str">
        <f t="shared" si="93"/>
        <v/>
      </c>
      <c r="AY313" t="str">
        <f t="shared" si="94"/>
        <v/>
      </c>
      <c r="AZ313" t="str">
        <f t="shared" si="95"/>
        <v/>
      </c>
    </row>
    <row r="314" spans="1:52" s="145" customFormat="1" x14ac:dyDescent="0.35">
      <c r="A314" s="497" t="s">
        <v>4334</v>
      </c>
      <c r="B314" s="13" t="s">
        <v>5547</v>
      </c>
      <c r="C314" s="13" t="s">
        <v>4808</v>
      </c>
      <c r="D314" s="13" t="s">
        <v>6879</v>
      </c>
      <c r="E314" s="13" t="s">
        <v>674</v>
      </c>
      <c r="F314" s="373">
        <f t="shared" si="101"/>
        <v>20.67</v>
      </c>
      <c r="G314" s="430">
        <v>20.67</v>
      </c>
      <c r="H314" s="399">
        <f t="shared" si="102"/>
        <v>16.54</v>
      </c>
      <c r="I314" s="576"/>
      <c r="J314" s="549" t="s">
        <v>5804</v>
      </c>
      <c r="K314" s="11"/>
      <c r="L314"/>
      <c r="M314" s="37">
        <f t="shared" si="103"/>
        <v>20.67</v>
      </c>
      <c r="N314" s="29">
        <v>11.67</v>
      </c>
      <c r="O314" s="41"/>
      <c r="P314" s="11"/>
      <c r="Q314" t="s">
        <v>1017</v>
      </c>
      <c r="R314"/>
      <c r="S314" t="s">
        <v>4179</v>
      </c>
      <c r="T314" s="145" t="s">
        <v>4179</v>
      </c>
      <c r="U314" s="42"/>
      <c r="V314" t="s">
        <v>1017</v>
      </c>
      <c r="W314" s="50"/>
      <c r="X314" s="50"/>
      <c r="Y314"/>
      <c r="Z314"/>
      <c r="AA314" s="50"/>
      <c r="AB314"/>
      <c r="AC314"/>
      <c r="AD314" s="50"/>
      <c r="AE314" s="75"/>
      <c r="AF314" s="50"/>
      <c r="AG314" s="50"/>
      <c r="AH314" s="166" t="str">
        <f t="shared" si="105"/>
        <v/>
      </c>
      <c r="AI314" s="168" t="str">
        <f t="shared" si="96"/>
        <v/>
      </c>
      <c r="AJ314" s="168" t="str">
        <f t="shared" si="97"/>
        <v/>
      </c>
      <c r="AK314" s="168" t="str">
        <f t="shared" si="98"/>
        <v/>
      </c>
      <c r="AL314" s="168" t="str">
        <f t="shared" si="99"/>
        <v/>
      </c>
      <c r="AM314" s="168" t="str">
        <f t="shared" si="100"/>
        <v/>
      </c>
      <c r="AN314" s="167" t="str">
        <f t="shared" si="83"/>
        <v/>
      </c>
      <c r="AO314" s="167" t="str">
        <f t="shared" si="84"/>
        <v/>
      </c>
      <c r="AP314" s="167" t="str">
        <f t="shared" si="85"/>
        <v/>
      </c>
      <c r="AQ314" s="169" t="str">
        <f t="shared" si="86"/>
        <v/>
      </c>
      <c r="AR314" s="170" t="str">
        <f t="shared" si="87"/>
        <v>BiK81a1K09--04</v>
      </c>
      <c r="AS314" s="169" t="str">
        <f t="shared" si="88"/>
        <v/>
      </c>
      <c r="AT314">
        <f t="shared" si="89"/>
        <v>14</v>
      </c>
      <c r="AU314" s="170" t="str">
        <f t="shared" si="90"/>
        <v>0-0,15 MW, Bonusregeln a1, K erstmals 2009</v>
      </c>
      <c r="AV314" s="169" t="str">
        <f t="shared" si="91"/>
        <v/>
      </c>
      <c r="AW314" s="170" t="str">
        <f t="shared" si="92"/>
        <v>Anteil KWK, erstmals 2009</v>
      </c>
      <c r="AX314" s="169" t="str">
        <f t="shared" si="93"/>
        <v/>
      </c>
      <c r="AY314" t="str">
        <f t="shared" si="94"/>
        <v/>
      </c>
      <c r="AZ314" t="str">
        <f t="shared" si="95"/>
        <v/>
      </c>
    </row>
    <row r="315" spans="1:52" s="145" customFormat="1" x14ac:dyDescent="0.35">
      <c r="A315" s="497" t="s">
        <v>1630</v>
      </c>
      <c r="B315" s="13" t="s">
        <v>5547</v>
      </c>
      <c r="C315" s="13" t="s">
        <v>4808</v>
      </c>
      <c r="D315" s="13" t="s">
        <v>6880</v>
      </c>
      <c r="E315" s="13" t="s">
        <v>3566</v>
      </c>
      <c r="F315" s="373">
        <f t="shared" si="101"/>
        <v>20.64</v>
      </c>
      <c r="G315" s="430">
        <v>20.64</v>
      </c>
      <c r="H315" s="399">
        <f t="shared" si="102"/>
        <v>16.510000000000002</v>
      </c>
      <c r="I315" s="576"/>
      <c r="J315" s="549" t="s">
        <v>5804</v>
      </c>
      <c r="K315" s="11"/>
      <c r="L315"/>
      <c r="M315" s="37">
        <f t="shared" si="103"/>
        <v>20.64</v>
      </c>
      <c r="N315" s="29">
        <v>11.67</v>
      </c>
      <c r="O315" s="41"/>
      <c r="P315" s="11"/>
      <c r="Q315"/>
      <c r="R315" t="s">
        <v>1017</v>
      </c>
      <c r="S315" t="s">
        <v>4179</v>
      </c>
      <c r="T315" s="145" t="s">
        <v>4179</v>
      </c>
      <c r="U315" s="42"/>
      <c r="V315" t="s">
        <v>1017</v>
      </c>
      <c r="W315" s="50"/>
      <c r="X315" s="50"/>
      <c r="Y315"/>
      <c r="Z315"/>
      <c r="AA315" s="50"/>
      <c r="AB315"/>
      <c r="AC315"/>
      <c r="AD315" s="50"/>
      <c r="AE315" s="75"/>
      <c r="AF315" s="50"/>
      <c r="AG315" s="50"/>
      <c r="AH315" s="166" t="str">
        <f t="shared" si="105"/>
        <v>2010</v>
      </c>
      <c r="AI315" s="168" t="str">
        <f t="shared" si="96"/>
        <v/>
      </c>
      <c r="AJ315" s="168" t="str">
        <f t="shared" si="97"/>
        <v/>
      </c>
      <c r="AK315" s="168" t="str">
        <f t="shared" si="98"/>
        <v/>
      </c>
      <c r="AL315" s="168" t="str">
        <f t="shared" si="99"/>
        <v/>
      </c>
      <c r="AM315" s="168" t="str">
        <f t="shared" si="100"/>
        <v/>
      </c>
      <c r="AN315" s="167" t="str">
        <f t="shared" si="83"/>
        <v>2010</v>
      </c>
      <c r="AO315" s="167" t="str">
        <f t="shared" si="84"/>
        <v>2010</v>
      </c>
      <c r="AP315" s="167" t="str">
        <f t="shared" si="85"/>
        <v>2010</v>
      </c>
      <c r="AQ315" s="169" t="str">
        <f t="shared" si="86"/>
        <v/>
      </c>
      <c r="AR315" s="170" t="str">
        <f t="shared" si="87"/>
        <v>BiK81a1K10--04</v>
      </c>
      <c r="AS315" s="169" t="str">
        <f t="shared" si="88"/>
        <v/>
      </c>
      <c r="AT315">
        <f t="shared" si="89"/>
        <v>14</v>
      </c>
      <c r="AU315" s="170" t="str">
        <f t="shared" si="90"/>
        <v>0-0,15 MW, Bonusregeln a1, K erstmals 2010</v>
      </c>
      <c r="AV315" s="169" t="str">
        <f t="shared" si="91"/>
        <v/>
      </c>
      <c r="AW315" s="170" t="str">
        <f t="shared" si="92"/>
        <v>Anteil KWK, erstmals 2010</v>
      </c>
      <c r="AX315" s="169" t="str">
        <f t="shared" si="93"/>
        <v/>
      </c>
      <c r="AY315" t="str">
        <f t="shared" si="94"/>
        <v/>
      </c>
      <c r="AZ315" t="str">
        <f t="shared" si="95"/>
        <v/>
      </c>
    </row>
    <row r="316" spans="1:52" s="145" customFormat="1" x14ac:dyDescent="0.35">
      <c r="A316" s="497" t="s">
        <v>5244</v>
      </c>
      <c r="B316" s="13" t="s">
        <v>5547</v>
      </c>
      <c r="C316" s="13" t="s">
        <v>4808</v>
      </c>
      <c r="D316" s="13" t="s">
        <v>6881</v>
      </c>
      <c r="E316" s="13" t="s">
        <v>3054</v>
      </c>
      <c r="F316" s="373">
        <f t="shared" si="101"/>
        <v>20.61</v>
      </c>
      <c r="G316" s="430">
        <v>20.61</v>
      </c>
      <c r="H316" s="399">
        <f t="shared" si="102"/>
        <v>16.489999999999998</v>
      </c>
      <c r="I316" s="576"/>
      <c r="J316" s="549" t="s">
        <v>5804</v>
      </c>
      <c r="K316" s="11"/>
      <c r="L316"/>
      <c r="M316" s="37">
        <f t="shared" si="103"/>
        <v>20.61</v>
      </c>
      <c r="N316" s="29">
        <v>11.67</v>
      </c>
      <c r="O316" s="41"/>
      <c r="P316" s="11"/>
      <c r="Q316"/>
      <c r="R316"/>
      <c r="S316" t="s">
        <v>1017</v>
      </c>
      <c r="T316" s="145" t="s">
        <v>4179</v>
      </c>
      <c r="U316" s="42"/>
      <c r="V316" t="s">
        <v>1017</v>
      </c>
      <c r="W316" s="50"/>
      <c r="X316" s="50"/>
      <c r="Y316"/>
      <c r="Z316"/>
      <c r="AA316" s="50"/>
      <c r="AB316"/>
      <c r="AC316"/>
      <c r="AD316" s="50"/>
      <c r="AE316" s="75"/>
      <c r="AF316" s="50"/>
      <c r="AG316" s="50"/>
      <c r="AH316" s="166" t="str">
        <f t="shared" si="105"/>
        <v>2011</v>
      </c>
      <c r="AI316" s="168" t="str">
        <f t="shared" si="96"/>
        <v/>
      </c>
      <c r="AJ316" s="168" t="str">
        <f t="shared" si="97"/>
        <v/>
      </c>
      <c r="AK316" s="168" t="str">
        <f t="shared" si="98"/>
        <v/>
      </c>
      <c r="AL316" s="168" t="str">
        <f t="shared" si="99"/>
        <v/>
      </c>
      <c r="AM316" s="168" t="str">
        <f t="shared" si="100"/>
        <v/>
      </c>
      <c r="AN316" s="167" t="str">
        <f t="shared" si="83"/>
        <v>2011</v>
      </c>
      <c r="AO316" s="167" t="str">
        <f t="shared" si="84"/>
        <v>2011</v>
      </c>
      <c r="AP316" s="167" t="str">
        <f t="shared" si="85"/>
        <v>2011</v>
      </c>
      <c r="AQ316" s="169" t="str">
        <f t="shared" si="86"/>
        <v/>
      </c>
      <c r="AR316" s="170" t="str">
        <f t="shared" si="87"/>
        <v>BiK81a1K11--04</v>
      </c>
      <c r="AS316" s="169" t="str">
        <f t="shared" si="88"/>
        <v/>
      </c>
      <c r="AT316">
        <f t="shared" si="89"/>
        <v>14</v>
      </c>
      <c r="AU316" s="170" t="str">
        <f t="shared" si="90"/>
        <v>0-0,15 MW, Bonusregeln a1, K erstmals 2011</v>
      </c>
      <c r="AV316" s="169" t="str">
        <f t="shared" si="91"/>
        <v/>
      </c>
      <c r="AW316" s="170" t="str">
        <f t="shared" si="92"/>
        <v>Anteil KWK, erstmals 2011</v>
      </c>
      <c r="AX316" s="169" t="str">
        <f t="shared" si="93"/>
        <v/>
      </c>
      <c r="AY316" t="str">
        <f t="shared" si="94"/>
        <v>x</v>
      </c>
      <c r="AZ316" t="str">
        <f t="shared" si="95"/>
        <v/>
      </c>
    </row>
    <row r="317" spans="1:52" s="145" customFormat="1" x14ac:dyDescent="0.35">
      <c r="A317" s="511" t="s">
        <v>3551</v>
      </c>
      <c r="B317" s="173" t="s">
        <v>5547</v>
      </c>
      <c r="C317" s="173" t="s">
        <v>4808</v>
      </c>
      <c r="D317" s="173" t="s">
        <v>6882</v>
      </c>
      <c r="E317" s="173" t="s">
        <v>1980</v>
      </c>
      <c r="F317" s="374">
        <f t="shared" si="101"/>
        <v>20.58</v>
      </c>
      <c r="G317" s="431">
        <v>20.58</v>
      </c>
      <c r="H317" s="400">
        <f t="shared" si="102"/>
        <v>16.46</v>
      </c>
      <c r="I317" s="577"/>
      <c r="J317" s="549" t="s">
        <v>5804</v>
      </c>
      <c r="K317" s="11"/>
      <c r="L317"/>
      <c r="M317" s="37">
        <f t="shared" si="103"/>
        <v>20.58</v>
      </c>
      <c r="N317" s="29">
        <v>11.67</v>
      </c>
      <c r="O317" s="41"/>
      <c r="P317" s="11"/>
      <c r="Q317"/>
      <c r="R317"/>
      <c r="S317" t="s">
        <v>4179</v>
      </c>
      <c r="T317" s="145" t="s">
        <v>1017</v>
      </c>
      <c r="U317" s="42"/>
      <c r="V317" t="s">
        <v>1017</v>
      </c>
      <c r="W317" s="50"/>
      <c r="X317" s="50"/>
      <c r="Y317"/>
      <c r="Z317"/>
      <c r="AA317" s="50"/>
      <c r="AB317"/>
      <c r="AC317"/>
      <c r="AD317" s="50"/>
      <c r="AE317" s="75"/>
      <c r="AF317" s="50"/>
      <c r="AG317" s="50"/>
      <c r="AH317" s="171" t="s">
        <v>4178</v>
      </c>
      <c r="AI317" s="168" t="str">
        <f t="shared" si="96"/>
        <v/>
      </c>
      <c r="AJ317" s="168" t="str">
        <f t="shared" si="97"/>
        <v/>
      </c>
      <c r="AK317" s="168" t="str">
        <f t="shared" si="98"/>
        <v/>
      </c>
      <c r="AL317" s="168" t="str">
        <f t="shared" si="99"/>
        <v/>
      </c>
      <c r="AM317" s="168" t="str">
        <f t="shared" si="100"/>
        <v/>
      </c>
      <c r="AN317" s="167" t="str">
        <f t="shared" si="83"/>
        <v>2012</v>
      </c>
      <c r="AO317" s="167" t="str">
        <f t="shared" si="84"/>
        <v>2012</v>
      </c>
      <c r="AP317" s="167" t="str">
        <f t="shared" si="85"/>
        <v>2012</v>
      </c>
      <c r="AQ317" s="169" t="str">
        <f t="shared" si="86"/>
        <v/>
      </c>
      <c r="AR317" s="170" t="str">
        <f t="shared" si="87"/>
        <v>BiK81a1K12--04</v>
      </c>
      <c r="AS317" s="169" t="str">
        <f t="shared" si="88"/>
        <v/>
      </c>
      <c r="AT317">
        <f t="shared" si="89"/>
        <v>14</v>
      </c>
      <c r="AU317" s="170" t="str">
        <f t="shared" si="90"/>
        <v>0-0,15 MW, Bonusregeln a1, K erstmals 2012</v>
      </c>
      <c r="AV317" s="169" t="str">
        <f t="shared" si="91"/>
        <v/>
      </c>
      <c r="AW317" s="170" t="str">
        <f t="shared" si="92"/>
        <v>Anteil KWK, erstmals 2012</v>
      </c>
      <c r="AX317" s="169" t="str">
        <f t="shared" si="93"/>
        <v/>
      </c>
      <c r="AY317" t="str">
        <f t="shared" si="94"/>
        <v/>
      </c>
      <c r="AZ317" t="str">
        <f t="shared" si="95"/>
        <v>x</v>
      </c>
    </row>
    <row r="318" spans="1:52" s="145" customFormat="1" x14ac:dyDescent="0.35">
      <c r="A318" s="497" t="s">
        <v>1345</v>
      </c>
      <c r="B318" s="13" t="s">
        <v>5547</v>
      </c>
      <c r="C318" s="13" t="s">
        <v>4808</v>
      </c>
      <c r="D318" s="13" t="s">
        <v>6883</v>
      </c>
      <c r="E318" s="13" t="s">
        <v>4809</v>
      </c>
      <c r="F318" s="373">
        <f t="shared" si="101"/>
        <v>18.670000000000002</v>
      </c>
      <c r="G318" s="430">
        <v>18.670000000000002</v>
      </c>
      <c r="H318" s="399">
        <f t="shared" si="102"/>
        <v>14.94</v>
      </c>
      <c r="I318" s="576"/>
      <c r="J318" s="549" t="s">
        <v>5804</v>
      </c>
      <c r="K318" s="11"/>
      <c r="L318"/>
      <c r="M318" s="37">
        <f t="shared" si="103"/>
        <v>18.670000000000002</v>
      </c>
      <c r="N318" s="29">
        <v>11.67</v>
      </c>
      <c r="O318" s="41"/>
      <c r="P318" s="11"/>
      <c r="Q318"/>
      <c r="R318"/>
      <c r="S318" t="s">
        <v>4179</v>
      </c>
      <c r="T318" s="145" t="s">
        <v>4179</v>
      </c>
      <c r="U318" s="42" t="s">
        <v>1017</v>
      </c>
      <c r="V318" t="s">
        <v>1017</v>
      </c>
      <c r="W318" s="50"/>
      <c r="X318" s="50"/>
      <c r="Y318"/>
      <c r="Z318"/>
      <c r="AA318" s="50"/>
      <c r="AB318"/>
      <c r="AC318"/>
      <c r="AD318" s="50"/>
      <c r="AE318" s="75"/>
      <c r="AF318" s="50"/>
      <c r="AG318" s="50"/>
      <c r="AH318" s="166" t="str">
        <f t="shared" ref="AH318:AH323" si="106">IF(ISERROR(SEARCH("K erstmals 201",D318)),"",RIGHT(D318,4))</f>
        <v/>
      </c>
      <c r="AI318" s="168" t="str">
        <f t="shared" si="96"/>
        <v/>
      </c>
      <c r="AJ318" s="168" t="str">
        <f t="shared" si="97"/>
        <v/>
      </c>
      <c r="AK318" s="168" t="str">
        <f t="shared" si="98"/>
        <v/>
      </c>
      <c r="AL318" s="168" t="str">
        <f t="shared" si="99"/>
        <v/>
      </c>
      <c r="AM318" s="168" t="str">
        <f t="shared" si="100"/>
        <v/>
      </c>
      <c r="AN318" s="167" t="str">
        <f t="shared" si="83"/>
        <v/>
      </c>
      <c r="AO318" s="167" t="str">
        <f t="shared" si="84"/>
        <v/>
      </c>
      <c r="AP318" s="167" t="str">
        <f t="shared" si="85"/>
        <v/>
      </c>
      <c r="AQ318" s="169" t="str">
        <f t="shared" si="86"/>
        <v/>
      </c>
      <c r="AR318" s="170" t="str">
        <f t="shared" si="87"/>
        <v>BiK81a1y----04</v>
      </c>
      <c r="AS318" s="169" t="str">
        <f t="shared" si="88"/>
        <v/>
      </c>
      <c r="AT318">
        <f t="shared" si="89"/>
        <v>14</v>
      </c>
      <c r="AU318" s="170" t="str">
        <f t="shared" si="90"/>
        <v>0-0,15 MW, Bonusregeln a1, y</v>
      </c>
      <c r="AV318" s="169" t="str">
        <f t="shared" si="91"/>
        <v/>
      </c>
      <c r="AW318" s="170" t="str">
        <f t="shared" si="92"/>
        <v>Anteil Nicht-KWK</v>
      </c>
      <c r="AX318" s="169" t="str">
        <f t="shared" si="93"/>
        <v/>
      </c>
      <c r="AY318" t="str">
        <f t="shared" si="94"/>
        <v/>
      </c>
      <c r="AZ318" t="str">
        <f t="shared" si="95"/>
        <v/>
      </c>
    </row>
    <row r="319" spans="1:52" s="145" customFormat="1" x14ac:dyDescent="0.35">
      <c r="A319" s="497" t="s">
        <v>1346</v>
      </c>
      <c r="B319" s="13" t="s">
        <v>5547</v>
      </c>
      <c r="C319" s="13" t="s">
        <v>4808</v>
      </c>
      <c r="D319" s="13" t="s">
        <v>6884</v>
      </c>
      <c r="E319" s="13" t="s">
        <v>4811</v>
      </c>
      <c r="F319" s="373">
        <f t="shared" si="101"/>
        <v>20.67</v>
      </c>
      <c r="G319" s="430">
        <v>20.67</v>
      </c>
      <c r="H319" s="399">
        <f t="shared" si="102"/>
        <v>16.54</v>
      </c>
      <c r="I319" s="576"/>
      <c r="J319" s="549" t="s">
        <v>5804</v>
      </c>
      <c r="K319" s="11"/>
      <c r="L319"/>
      <c r="M319" s="37">
        <f t="shared" si="103"/>
        <v>20.67</v>
      </c>
      <c r="N319" s="29">
        <v>11.67</v>
      </c>
      <c r="O319" s="41" t="s">
        <v>1017</v>
      </c>
      <c r="P319" s="11"/>
      <c r="Q319"/>
      <c r="R319"/>
      <c r="S319" t="s">
        <v>4179</v>
      </c>
      <c r="T319" s="145" t="s">
        <v>4179</v>
      </c>
      <c r="U319" s="42" t="s">
        <v>1017</v>
      </c>
      <c r="V319" t="s">
        <v>1017</v>
      </c>
      <c r="W319" s="50"/>
      <c r="X319" s="50"/>
      <c r="Y319"/>
      <c r="Z319"/>
      <c r="AA319" s="50"/>
      <c r="AB319"/>
      <c r="AC319"/>
      <c r="AD319" s="50"/>
      <c r="AE319" s="75"/>
      <c r="AF319" s="50"/>
      <c r="AG319" s="50"/>
      <c r="AH319" s="166" t="str">
        <f t="shared" si="106"/>
        <v/>
      </c>
      <c r="AI319" s="168" t="str">
        <f t="shared" si="96"/>
        <v/>
      </c>
      <c r="AJ319" s="168" t="str">
        <f t="shared" si="97"/>
        <v/>
      </c>
      <c r="AK319" s="168" t="str">
        <f t="shared" si="98"/>
        <v/>
      </c>
      <c r="AL319" s="168" t="str">
        <f t="shared" si="99"/>
        <v/>
      </c>
      <c r="AM319" s="168" t="str">
        <f t="shared" si="100"/>
        <v/>
      </c>
      <c r="AN319" s="167" t="str">
        <f t="shared" si="83"/>
        <v/>
      </c>
      <c r="AO319" s="167" t="str">
        <f t="shared" si="84"/>
        <v/>
      </c>
      <c r="AP319" s="167" t="str">
        <f t="shared" si="85"/>
        <v/>
      </c>
      <c r="AQ319" s="169" t="str">
        <f t="shared" si="86"/>
        <v/>
      </c>
      <c r="AR319" s="170" t="str">
        <f t="shared" si="87"/>
        <v>BiK81a1KWKy-04</v>
      </c>
      <c r="AS319" s="169" t="str">
        <f t="shared" si="88"/>
        <v/>
      </c>
      <c r="AT319">
        <f t="shared" si="89"/>
        <v>14</v>
      </c>
      <c r="AU319" s="170" t="str">
        <f t="shared" si="90"/>
        <v>0-0,15 MW, Bonusregeln a1, y und KWK</v>
      </c>
      <c r="AV319" s="169" t="str">
        <f t="shared" si="91"/>
        <v/>
      </c>
      <c r="AW319" s="170" t="str">
        <f t="shared" si="92"/>
        <v>Anteil KWK</v>
      </c>
      <c r="AX319" s="169" t="str">
        <f t="shared" si="93"/>
        <v/>
      </c>
      <c r="AY319" t="str">
        <f t="shared" si="94"/>
        <v/>
      </c>
      <c r="AZ319" t="str">
        <f t="shared" si="95"/>
        <v/>
      </c>
    </row>
    <row r="320" spans="1:52" s="145" customFormat="1" x14ac:dyDescent="0.35">
      <c r="A320" s="497" t="s">
        <v>1347</v>
      </c>
      <c r="B320" s="13" t="s">
        <v>5547</v>
      </c>
      <c r="C320" s="13" t="s">
        <v>4808</v>
      </c>
      <c r="D320" s="13" t="s">
        <v>6885</v>
      </c>
      <c r="E320" s="13" t="s">
        <v>4330</v>
      </c>
      <c r="F320" s="373">
        <f t="shared" si="101"/>
        <v>21.67</v>
      </c>
      <c r="G320" s="430">
        <v>21.67</v>
      </c>
      <c r="H320" s="399">
        <f t="shared" si="102"/>
        <v>17.34</v>
      </c>
      <c r="I320" s="576"/>
      <c r="J320" s="549" t="s">
        <v>5804</v>
      </c>
      <c r="K320" s="11"/>
      <c r="L320"/>
      <c r="M320" s="37">
        <f t="shared" si="103"/>
        <v>21.67</v>
      </c>
      <c r="N320" s="29">
        <v>11.67</v>
      </c>
      <c r="O320" s="41"/>
      <c r="P320" t="s">
        <v>1017</v>
      </c>
      <c r="Q320"/>
      <c r="R320"/>
      <c r="S320" t="s">
        <v>4179</v>
      </c>
      <c r="T320" s="145" t="s">
        <v>4179</v>
      </c>
      <c r="U320" s="42" t="s">
        <v>1017</v>
      </c>
      <c r="V320" t="s">
        <v>1017</v>
      </c>
      <c r="W320" s="50"/>
      <c r="X320" s="50"/>
      <c r="Y320"/>
      <c r="Z320"/>
      <c r="AA320" s="50"/>
      <c r="AB320"/>
      <c r="AC320"/>
      <c r="AD320" s="50"/>
      <c r="AE320" s="75"/>
      <c r="AF320" s="50"/>
      <c r="AG320" s="50"/>
      <c r="AH320" s="166" t="str">
        <f t="shared" si="106"/>
        <v/>
      </c>
      <c r="AI320" s="168" t="str">
        <f t="shared" si="96"/>
        <v/>
      </c>
      <c r="AJ320" s="168" t="str">
        <f t="shared" si="97"/>
        <v/>
      </c>
      <c r="AK320" s="168" t="str">
        <f t="shared" si="98"/>
        <v/>
      </c>
      <c r="AL320" s="168" t="str">
        <f t="shared" si="99"/>
        <v/>
      </c>
      <c r="AM320" s="168" t="str">
        <f t="shared" si="100"/>
        <v/>
      </c>
      <c r="AN320" s="167" t="str">
        <f t="shared" si="83"/>
        <v/>
      </c>
      <c r="AO320" s="167" t="str">
        <f t="shared" si="84"/>
        <v/>
      </c>
      <c r="AP320" s="167" t="str">
        <f t="shared" si="85"/>
        <v/>
      </c>
      <c r="AQ320" s="169" t="str">
        <f t="shared" si="86"/>
        <v/>
      </c>
      <c r="AR320" s="170" t="str">
        <f t="shared" si="87"/>
        <v>BiK81a1KA3y-04</v>
      </c>
      <c r="AS320" s="169" t="str">
        <f t="shared" si="88"/>
        <v/>
      </c>
      <c r="AT320">
        <f t="shared" si="89"/>
        <v>14</v>
      </c>
      <c r="AU320" s="170" t="str">
        <f t="shared" si="90"/>
        <v>0-0,15 MW, Bonusregeln a1, y und K wenn Anlage 3 erfüllt</v>
      </c>
      <c r="AV320" s="169" t="str">
        <f t="shared" si="91"/>
        <v/>
      </c>
      <c r="AW320" s="170" t="str">
        <f t="shared" si="92"/>
        <v>Anteil KWK gemäß Anlage 3</v>
      </c>
      <c r="AX320" s="169" t="str">
        <f t="shared" si="93"/>
        <v/>
      </c>
      <c r="AY320" t="str">
        <f t="shared" si="94"/>
        <v/>
      </c>
      <c r="AZ320" t="str">
        <f t="shared" si="95"/>
        <v/>
      </c>
    </row>
    <row r="321" spans="1:52" s="145" customFormat="1" x14ac:dyDescent="0.35">
      <c r="A321" s="497" t="s">
        <v>1348</v>
      </c>
      <c r="B321" s="13" t="s">
        <v>5547</v>
      </c>
      <c r="C321" s="13" t="s">
        <v>4808</v>
      </c>
      <c r="D321" s="13" t="s">
        <v>6886</v>
      </c>
      <c r="E321" s="13" t="s">
        <v>674</v>
      </c>
      <c r="F321" s="373">
        <f t="shared" si="101"/>
        <v>21.67</v>
      </c>
      <c r="G321" s="430">
        <v>21.67</v>
      </c>
      <c r="H321" s="399">
        <f t="shared" si="102"/>
        <v>17.34</v>
      </c>
      <c r="I321" s="576"/>
      <c r="J321" s="549" t="s">
        <v>5804</v>
      </c>
      <c r="K321" s="11"/>
      <c r="L321"/>
      <c r="M321" s="37">
        <f t="shared" si="103"/>
        <v>21.67</v>
      </c>
      <c r="N321" s="29">
        <v>11.67</v>
      </c>
      <c r="O321" s="41"/>
      <c r="P321" s="11"/>
      <c r="Q321" t="s">
        <v>1017</v>
      </c>
      <c r="R321"/>
      <c r="S321" t="s">
        <v>4179</v>
      </c>
      <c r="T321" s="145" t="s">
        <v>4179</v>
      </c>
      <c r="U321" s="42" t="s">
        <v>1017</v>
      </c>
      <c r="V321" t="s">
        <v>1017</v>
      </c>
      <c r="W321" s="50"/>
      <c r="X321" s="50"/>
      <c r="Y321"/>
      <c r="Z321"/>
      <c r="AA321" s="50"/>
      <c r="AB321"/>
      <c r="AC321"/>
      <c r="AD321" s="50"/>
      <c r="AE321" s="75"/>
      <c r="AF321" s="50"/>
      <c r="AG321" s="50"/>
      <c r="AH321" s="166" t="str">
        <f t="shared" si="106"/>
        <v/>
      </c>
      <c r="AI321" s="168" t="str">
        <f t="shared" si="96"/>
        <v/>
      </c>
      <c r="AJ321" s="168" t="str">
        <f t="shared" si="97"/>
        <v/>
      </c>
      <c r="AK321" s="168" t="str">
        <f t="shared" si="98"/>
        <v/>
      </c>
      <c r="AL321" s="168" t="str">
        <f t="shared" si="99"/>
        <v/>
      </c>
      <c r="AM321" s="168" t="str">
        <f t="shared" si="100"/>
        <v/>
      </c>
      <c r="AN321" s="167" t="str">
        <f t="shared" si="83"/>
        <v/>
      </c>
      <c r="AO321" s="167" t="str">
        <f t="shared" si="84"/>
        <v/>
      </c>
      <c r="AP321" s="167" t="str">
        <f t="shared" si="85"/>
        <v/>
      </c>
      <c r="AQ321" s="169" t="str">
        <f t="shared" si="86"/>
        <v/>
      </c>
      <c r="AR321" s="170" t="str">
        <f t="shared" si="87"/>
        <v>BiK81a1K09y-04</v>
      </c>
      <c r="AS321" s="169" t="str">
        <f t="shared" si="88"/>
        <v/>
      </c>
      <c r="AT321">
        <f t="shared" si="89"/>
        <v>14</v>
      </c>
      <c r="AU321" s="170" t="str">
        <f t="shared" si="90"/>
        <v>0-0,15 MW, Bonusregeln a1, y und K erstmals 2009</v>
      </c>
      <c r="AV321" s="169" t="str">
        <f t="shared" si="91"/>
        <v/>
      </c>
      <c r="AW321" s="170" t="str">
        <f t="shared" si="92"/>
        <v>Anteil KWK, erstmals 2009</v>
      </c>
      <c r="AX321" s="169" t="str">
        <f t="shared" si="93"/>
        <v/>
      </c>
      <c r="AY321" t="str">
        <f t="shared" si="94"/>
        <v/>
      </c>
      <c r="AZ321" t="str">
        <f t="shared" si="95"/>
        <v/>
      </c>
    </row>
    <row r="322" spans="1:52" s="145" customFormat="1" x14ac:dyDescent="0.35">
      <c r="A322" s="497" t="s">
        <v>1631</v>
      </c>
      <c r="B322" s="13" t="s">
        <v>5547</v>
      </c>
      <c r="C322" s="13" t="s">
        <v>4808</v>
      </c>
      <c r="D322" s="13" t="s">
        <v>6887</v>
      </c>
      <c r="E322" s="13" t="s">
        <v>3566</v>
      </c>
      <c r="F322" s="373">
        <f t="shared" si="101"/>
        <v>21.64</v>
      </c>
      <c r="G322" s="430">
        <v>21.64</v>
      </c>
      <c r="H322" s="399">
        <f t="shared" si="102"/>
        <v>17.309999999999999</v>
      </c>
      <c r="I322" s="576"/>
      <c r="J322" s="549" t="s">
        <v>5804</v>
      </c>
      <c r="K322" s="11"/>
      <c r="L322"/>
      <c r="M322" s="37">
        <f t="shared" si="103"/>
        <v>21.64</v>
      </c>
      <c r="N322" s="29">
        <v>11.67</v>
      </c>
      <c r="O322" s="41"/>
      <c r="P322" s="11"/>
      <c r="Q322"/>
      <c r="R322" t="s">
        <v>1017</v>
      </c>
      <c r="S322" t="s">
        <v>4179</v>
      </c>
      <c r="T322" s="145" t="s">
        <v>4179</v>
      </c>
      <c r="U322" s="42" t="s">
        <v>1017</v>
      </c>
      <c r="V322" t="s">
        <v>1017</v>
      </c>
      <c r="W322" s="50"/>
      <c r="X322" s="50"/>
      <c r="Y322"/>
      <c r="Z322"/>
      <c r="AA322" s="50"/>
      <c r="AB322"/>
      <c r="AC322"/>
      <c r="AD322" s="50"/>
      <c r="AE322" s="75"/>
      <c r="AF322" s="50"/>
      <c r="AG322" s="50"/>
      <c r="AH322" s="166" t="str">
        <f t="shared" si="106"/>
        <v>2010</v>
      </c>
      <c r="AI322" s="168" t="str">
        <f t="shared" si="96"/>
        <v/>
      </c>
      <c r="AJ322" s="168" t="str">
        <f t="shared" si="97"/>
        <v/>
      </c>
      <c r="AK322" s="168" t="str">
        <f t="shared" si="98"/>
        <v/>
      </c>
      <c r="AL322" s="168" t="str">
        <f t="shared" si="99"/>
        <v/>
      </c>
      <c r="AM322" s="168" t="str">
        <f t="shared" si="100"/>
        <v/>
      </c>
      <c r="AN322" s="167" t="str">
        <f t="shared" si="83"/>
        <v>2010</v>
      </c>
      <c r="AO322" s="167" t="str">
        <f t="shared" si="84"/>
        <v>2010</v>
      </c>
      <c r="AP322" s="167" t="str">
        <f t="shared" si="85"/>
        <v>2010</v>
      </c>
      <c r="AQ322" s="169" t="str">
        <f t="shared" si="86"/>
        <v/>
      </c>
      <c r="AR322" s="170" t="str">
        <f t="shared" si="87"/>
        <v>BiK81a1K10y-04</v>
      </c>
      <c r="AS322" s="169" t="str">
        <f t="shared" si="88"/>
        <v/>
      </c>
      <c r="AT322">
        <f t="shared" si="89"/>
        <v>14</v>
      </c>
      <c r="AU322" s="170" t="str">
        <f t="shared" si="90"/>
        <v>0-0,15 MW, Bonusregeln a1, y und K erstmals 2010</v>
      </c>
      <c r="AV322" s="169" t="str">
        <f t="shared" si="91"/>
        <v/>
      </c>
      <c r="AW322" s="170" t="str">
        <f t="shared" si="92"/>
        <v>Anteil KWK, erstmals 2010</v>
      </c>
      <c r="AX322" s="169" t="str">
        <f t="shared" si="93"/>
        <v/>
      </c>
      <c r="AY322" t="str">
        <f t="shared" si="94"/>
        <v/>
      </c>
      <c r="AZ322" t="str">
        <f t="shared" si="95"/>
        <v/>
      </c>
    </row>
    <row r="323" spans="1:52" s="145" customFormat="1" x14ac:dyDescent="0.35">
      <c r="A323" s="497" t="s">
        <v>5245</v>
      </c>
      <c r="B323" s="13" t="s">
        <v>5547</v>
      </c>
      <c r="C323" s="13" t="s">
        <v>4808</v>
      </c>
      <c r="D323" s="13" t="s">
        <v>6888</v>
      </c>
      <c r="E323" s="13" t="s">
        <v>3054</v>
      </c>
      <c r="F323" s="373">
        <f t="shared" si="101"/>
        <v>21.61</v>
      </c>
      <c r="G323" s="430">
        <v>21.61</v>
      </c>
      <c r="H323" s="399">
        <f t="shared" si="102"/>
        <v>17.29</v>
      </c>
      <c r="I323" s="576"/>
      <c r="J323" s="549" t="s">
        <v>5804</v>
      </c>
      <c r="K323" s="11"/>
      <c r="L323"/>
      <c r="M323" s="37">
        <f t="shared" si="103"/>
        <v>21.61</v>
      </c>
      <c r="N323" s="29">
        <v>11.67</v>
      </c>
      <c r="O323" s="41"/>
      <c r="P323" s="11"/>
      <c r="Q323"/>
      <c r="R323"/>
      <c r="S323" t="s">
        <v>1017</v>
      </c>
      <c r="T323" s="145" t="s">
        <v>4179</v>
      </c>
      <c r="U323" s="42" t="s">
        <v>1017</v>
      </c>
      <c r="V323" t="s">
        <v>1017</v>
      </c>
      <c r="W323" s="50"/>
      <c r="X323" s="50"/>
      <c r="Y323"/>
      <c r="Z323"/>
      <c r="AA323" s="50"/>
      <c r="AB323"/>
      <c r="AC323"/>
      <c r="AD323" s="50"/>
      <c r="AE323" s="75"/>
      <c r="AF323" s="50"/>
      <c r="AG323" s="50"/>
      <c r="AH323" s="166" t="str">
        <f t="shared" si="106"/>
        <v>2011</v>
      </c>
      <c r="AI323" s="168" t="str">
        <f t="shared" si="96"/>
        <v/>
      </c>
      <c r="AJ323" s="168" t="str">
        <f t="shared" si="97"/>
        <v/>
      </c>
      <c r="AK323" s="168" t="str">
        <f t="shared" si="98"/>
        <v/>
      </c>
      <c r="AL323" s="168" t="str">
        <f t="shared" si="99"/>
        <v/>
      </c>
      <c r="AM323" s="168" t="str">
        <f t="shared" si="100"/>
        <v/>
      </c>
      <c r="AN323" s="167" t="str">
        <f t="shared" si="83"/>
        <v>2011</v>
      </c>
      <c r="AO323" s="167" t="str">
        <f t="shared" si="84"/>
        <v>2011</v>
      </c>
      <c r="AP323" s="167" t="str">
        <f t="shared" si="85"/>
        <v>2011</v>
      </c>
      <c r="AQ323" s="169" t="str">
        <f t="shared" si="86"/>
        <v/>
      </c>
      <c r="AR323" s="170" t="str">
        <f t="shared" si="87"/>
        <v>BiK81a1K11y-04</v>
      </c>
      <c r="AS323" s="169" t="str">
        <f t="shared" si="88"/>
        <v/>
      </c>
      <c r="AT323">
        <f t="shared" si="89"/>
        <v>14</v>
      </c>
      <c r="AU323" s="170" t="str">
        <f t="shared" si="90"/>
        <v>0-0,15 MW, Bonusregeln a1, y und K erstmals 2011</v>
      </c>
      <c r="AV323" s="169" t="str">
        <f t="shared" si="91"/>
        <v/>
      </c>
      <c r="AW323" s="170" t="str">
        <f t="shared" si="92"/>
        <v>Anteil KWK, erstmals 2011</v>
      </c>
      <c r="AX323" s="169" t="str">
        <f t="shared" si="93"/>
        <v/>
      </c>
      <c r="AY323" t="str">
        <f t="shared" si="94"/>
        <v>x</v>
      </c>
      <c r="AZ323" t="str">
        <f t="shared" si="95"/>
        <v/>
      </c>
    </row>
    <row r="324" spans="1:52" s="145" customFormat="1" x14ac:dyDescent="0.35">
      <c r="A324" s="511" t="s">
        <v>3552</v>
      </c>
      <c r="B324" s="173" t="s">
        <v>5547</v>
      </c>
      <c r="C324" s="173" t="s">
        <v>4808</v>
      </c>
      <c r="D324" s="173" t="s">
        <v>6889</v>
      </c>
      <c r="E324" s="173" t="s">
        <v>1980</v>
      </c>
      <c r="F324" s="374">
        <f t="shared" si="101"/>
        <v>21.58</v>
      </c>
      <c r="G324" s="431">
        <v>21.58</v>
      </c>
      <c r="H324" s="400">
        <f t="shared" si="102"/>
        <v>17.260000000000002</v>
      </c>
      <c r="I324" s="577"/>
      <c r="J324" s="549" t="s">
        <v>5804</v>
      </c>
      <c r="K324" s="11"/>
      <c r="L324"/>
      <c r="M324" s="37">
        <f t="shared" si="103"/>
        <v>21.58</v>
      </c>
      <c r="N324" s="29">
        <v>11.67</v>
      </c>
      <c r="O324" s="41"/>
      <c r="P324" s="11"/>
      <c r="Q324"/>
      <c r="R324"/>
      <c r="S324" t="s">
        <v>4179</v>
      </c>
      <c r="T324" s="145" t="s">
        <v>1017</v>
      </c>
      <c r="U324" s="42" t="s">
        <v>1017</v>
      </c>
      <c r="V324" t="s">
        <v>1017</v>
      </c>
      <c r="W324" s="50"/>
      <c r="X324" s="50"/>
      <c r="Y324"/>
      <c r="Z324"/>
      <c r="AA324" s="50"/>
      <c r="AB324"/>
      <c r="AC324"/>
      <c r="AD324" s="50"/>
      <c r="AE324" s="75"/>
      <c r="AF324" s="50"/>
      <c r="AG324" s="50"/>
      <c r="AH324" s="171" t="s">
        <v>4178</v>
      </c>
      <c r="AI324" s="168" t="str">
        <f t="shared" si="96"/>
        <v/>
      </c>
      <c r="AJ324" s="168" t="str">
        <f t="shared" si="97"/>
        <v/>
      </c>
      <c r="AK324" s="168" t="str">
        <f t="shared" si="98"/>
        <v/>
      </c>
      <c r="AL324" s="168" t="str">
        <f t="shared" si="99"/>
        <v/>
      </c>
      <c r="AM324" s="168" t="str">
        <f t="shared" si="100"/>
        <v/>
      </c>
      <c r="AN324" s="167" t="str">
        <f t="shared" si="83"/>
        <v>2012</v>
      </c>
      <c r="AO324" s="167" t="str">
        <f t="shared" si="84"/>
        <v>2012</v>
      </c>
      <c r="AP324" s="167" t="str">
        <f t="shared" si="85"/>
        <v>2012</v>
      </c>
      <c r="AQ324" s="169" t="str">
        <f t="shared" si="86"/>
        <v/>
      </c>
      <c r="AR324" s="170" t="str">
        <f t="shared" si="87"/>
        <v>BiK81a1K12y-04</v>
      </c>
      <c r="AS324" s="169" t="str">
        <f t="shared" si="88"/>
        <v/>
      </c>
      <c r="AT324">
        <f t="shared" si="89"/>
        <v>14</v>
      </c>
      <c r="AU324" s="170" t="str">
        <f t="shared" si="90"/>
        <v>0-0,15 MW, Bonusregeln a1, y und K erstmals 2012</v>
      </c>
      <c r="AV324" s="169" t="str">
        <f t="shared" si="91"/>
        <v/>
      </c>
      <c r="AW324" s="170" t="str">
        <f t="shared" si="92"/>
        <v>Anteil KWK, erstmals 2012</v>
      </c>
      <c r="AX324" s="169" t="str">
        <f t="shared" si="93"/>
        <v/>
      </c>
      <c r="AY324" t="str">
        <f t="shared" si="94"/>
        <v/>
      </c>
      <c r="AZ324" t="str">
        <f t="shared" si="95"/>
        <v>x</v>
      </c>
    </row>
    <row r="325" spans="1:52" s="145" customFormat="1" x14ac:dyDescent="0.35">
      <c r="A325" s="497" t="s">
        <v>2502</v>
      </c>
      <c r="B325" s="13" t="s">
        <v>5547</v>
      </c>
      <c r="C325" s="13" t="s">
        <v>4808</v>
      </c>
      <c r="D325" s="13" t="s">
        <v>6805</v>
      </c>
      <c r="E325" s="13" t="s">
        <v>4809</v>
      </c>
      <c r="F325" s="373">
        <f t="shared" si="101"/>
        <v>18.670000000000002</v>
      </c>
      <c r="G325" s="430">
        <v>18.670000000000002</v>
      </c>
      <c r="H325" s="399">
        <f t="shared" si="102"/>
        <v>14.94</v>
      </c>
      <c r="I325" s="576"/>
      <c r="J325" s="549" t="s">
        <v>5804</v>
      </c>
      <c r="K325" s="11"/>
      <c r="L325"/>
      <c r="M325" s="37">
        <f t="shared" si="103"/>
        <v>18.670000000000002</v>
      </c>
      <c r="N325" s="29">
        <v>11.67</v>
      </c>
      <c r="O325" s="149"/>
      <c r="P325" s="144"/>
      <c r="S325" s="145" t="s">
        <v>4179</v>
      </c>
      <c r="T325" s="145" t="s">
        <v>4179</v>
      </c>
      <c r="U325" s="146"/>
      <c r="W325" s="147"/>
      <c r="X325" s="147"/>
      <c r="Y325" s="145" t="s">
        <v>1017</v>
      </c>
      <c r="AA325" s="147"/>
      <c r="AD325" s="147"/>
      <c r="AE325" s="148"/>
      <c r="AF325" s="147"/>
      <c r="AG325" s="147"/>
      <c r="AH325" s="166" t="str">
        <f t="shared" ref="AH325:AH330" si="107">IF(ISERROR(SEARCH("K erstmals 201",D325)),"",RIGHT(D325,4))</f>
        <v/>
      </c>
      <c r="AI325" s="168" t="str">
        <f t="shared" si="96"/>
        <v/>
      </c>
      <c r="AJ325" s="168" t="str">
        <f t="shared" si="97"/>
        <v/>
      </c>
      <c r="AK325" s="168" t="str">
        <f t="shared" si="98"/>
        <v/>
      </c>
      <c r="AL325" s="168" t="str">
        <f t="shared" si="99"/>
        <v/>
      </c>
      <c r="AM325" s="168" t="str">
        <f t="shared" si="100"/>
        <v/>
      </c>
      <c r="AN325" s="167" t="str">
        <f t="shared" si="83"/>
        <v/>
      </c>
      <c r="AO325" s="167" t="str">
        <f t="shared" si="84"/>
        <v/>
      </c>
      <c r="AP325" s="167" t="str">
        <f t="shared" si="85"/>
        <v/>
      </c>
      <c r="AQ325" s="169" t="str">
        <f t="shared" si="86"/>
        <v/>
      </c>
      <c r="AR325" s="170" t="str">
        <f t="shared" si="87"/>
        <v>BiK81G------04</v>
      </c>
      <c r="AS325" s="169" t="str">
        <f t="shared" si="88"/>
        <v/>
      </c>
      <c r="AT325">
        <f t="shared" si="89"/>
        <v>14</v>
      </c>
      <c r="AU325" s="170" t="str">
        <f t="shared" si="90"/>
        <v>0-0,15 MW, Bonusregel G</v>
      </c>
      <c r="AV325" s="169" t="str">
        <f t="shared" si="91"/>
        <v/>
      </c>
      <c r="AW325" s="170" t="str">
        <f t="shared" si="92"/>
        <v>Anteil Nicht-KWK</v>
      </c>
      <c r="AX325" s="169" t="str">
        <f t="shared" si="93"/>
        <v/>
      </c>
      <c r="AY325" t="str">
        <f t="shared" si="94"/>
        <v/>
      </c>
      <c r="AZ325" t="str">
        <f t="shared" si="95"/>
        <v/>
      </c>
    </row>
    <row r="326" spans="1:52" s="145" customFormat="1" x14ac:dyDescent="0.35">
      <c r="A326" s="497" t="s">
        <v>2503</v>
      </c>
      <c r="B326" s="13" t="s">
        <v>5547</v>
      </c>
      <c r="C326" s="13" t="s">
        <v>4808</v>
      </c>
      <c r="D326" s="13" t="s">
        <v>6890</v>
      </c>
      <c r="E326" s="13" t="s">
        <v>4811</v>
      </c>
      <c r="F326" s="373">
        <f t="shared" si="101"/>
        <v>20.67</v>
      </c>
      <c r="G326" s="430">
        <v>20.67</v>
      </c>
      <c r="H326" s="399">
        <f t="shared" si="102"/>
        <v>16.54</v>
      </c>
      <c r="I326" s="576"/>
      <c r="J326" s="549" t="s">
        <v>5804</v>
      </c>
      <c r="K326" s="11"/>
      <c r="L326"/>
      <c r="M326" s="37">
        <f t="shared" si="103"/>
        <v>20.67</v>
      </c>
      <c r="N326" s="29">
        <v>11.67</v>
      </c>
      <c r="O326" s="149" t="s">
        <v>1017</v>
      </c>
      <c r="P326" s="144"/>
      <c r="S326" s="145" t="s">
        <v>4179</v>
      </c>
      <c r="T326" s="145" t="s">
        <v>4179</v>
      </c>
      <c r="U326" s="146"/>
      <c r="W326" s="147"/>
      <c r="X326" s="147"/>
      <c r="Y326" s="145" t="s">
        <v>1017</v>
      </c>
      <c r="AA326" s="147"/>
      <c r="AD326" s="147"/>
      <c r="AE326" s="148"/>
      <c r="AF326" s="147"/>
      <c r="AG326" s="147"/>
      <c r="AH326" s="166" t="str">
        <f t="shared" si="107"/>
        <v/>
      </c>
      <c r="AI326" s="168" t="str">
        <f t="shared" si="96"/>
        <v/>
      </c>
      <c r="AJ326" s="168" t="str">
        <f t="shared" si="97"/>
        <v/>
      </c>
      <c r="AK326" s="168" t="str">
        <f t="shared" si="98"/>
        <v/>
      </c>
      <c r="AL326" s="168" t="str">
        <f t="shared" si="99"/>
        <v/>
      </c>
      <c r="AM326" s="168" t="str">
        <f t="shared" si="100"/>
        <v/>
      </c>
      <c r="AN326" s="167" t="str">
        <f t="shared" si="83"/>
        <v/>
      </c>
      <c r="AO326" s="167" t="str">
        <f t="shared" si="84"/>
        <v/>
      </c>
      <c r="AP326" s="167" t="str">
        <f t="shared" si="85"/>
        <v/>
      </c>
      <c r="AQ326" s="169" t="str">
        <f t="shared" si="86"/>
        <v/>
      </c>
      <c r="AR326" s="170" t="str">
        <f t="shared" si="87"/>
        <v>BiK81GKWK---04</v>
      </c>
      <c r="AS326" s="169" t="str">
        <f t="shared" si="88"/>
        <v/>
      </c>
      <c r="AT326">
        <f t="shared" si="89"/>
        <v>14</v>
      </c>
      <c r="AU326" s="170" t="str">
        <f t="shared" si="90"/>
        <v>0-0,15 MW, Bonusregeln G und KWK</v>
      </c>
      <c r="AV326" s="169" t="str">
        <f t="shared" si="91"/>
        <v/>
      </c>
      <c r="AW326" s="170" t="str">
        <f t="shared" si="92"/>
        <v>Anteil KWK</v>
      </c>
      <c r="AX326" s="169" t="str">
        <f t="shared" si="93"/>
        <v/>
      </c>
      <c r="AY326" t="str">
        <f t="shared" si="94"/>
        <v/>
      </c>
      <c r="AZ326" t="str">
        <f t="shared" si="95"/>
        <v/>
      </c>
    </row>
    <row r="327" spans="1:52" s="145" customFormat="1" x14ac:dyDescent="0.35">
      <c r="A327" s="497" t="s">
        <v>2687</v>
      </c>
      <c r="B327" s="13" t="s">
        <v>5547</v>
      </c>
      <c r="C327" s="13" t="s">
        <v>4808</v>
      </c>
      <c r="D327" s="13" t="s">
        <v>6806</v>
      </c>
      <c r="E327" s="13" t="s">
        <v>4330</v>
      </c>
      <c r="F327" s="373">
        <f t="shared" si="101"/>
        <v>21.67</v>
      </c>
      <c r="G327" s="430">
        <v>21.67</v>
      </c>
      <c r="H327" s="399">
        <f t="shared" si="102"/>
        <v>17.34</v>
      </c>
      <c r="I327" s="576"/>
      <c r="J327" s="549" t="s">
        <v>5804</v>
      </c>
      <c r="K327" s="11"/>
      <c r="L327"/>
      <c r="M327" s="37">
        <f t="shared" si="103"/>
        <v>21.67</v>
      </c>
      <c r="N327" s="29">
        <v>11.67</v>
      </c>
      <c r="O327" s="149"/>
      <c r="P327" s="145" t="s">
        <v>1017</v>
      </c>
      <c r="S327" s="145" t="s">
        <v>4179</v>
      </c>
      <c r="T327" s="145" t="s">
        <v>4179</v>
      </c>
      <c r="U327" s="146"/>
      <c r="W327" s="147"/>
      <c r="X327" s="147"/>
      <c r="Y327" s="145" t="s">
        <v>1017</v>
      </c>
      <c r="AA327" s="147"/>
      <c r="AD327" s="147"/>
      <c r="AE327" s="148"/>
      <c r="AF327" s="147"/>
      <c r="AG327" s="147"/>
      <c r="AH327" s="166" t="str">
        <f t="shared" si="107"/>
        <v/>
      </c>
      <c r="AI327" s="168" t="str">
        <f t="shared" si="96"/>
        <v/>
      </c>
      <c r="AJ327" s="168" t="str">
        <f t="shared" si="97"/>
        <v/>
      </c>
      <c r="AK327" s="168" t="str">
        <f t="shared" si="98"/>
        <v/>
      </c>
      <c r="AL327" s="168" t="str">
        <f t="shared" si="99"/>
        <v/>
      </c>
      <c r="AM327" s="168" t="str">
        <f t="shared" si="100"/>
        <v/>
      </c>
      <c r="AN327" s="167" t="str">
        <f t="shared" si="83"/>
        <v/>
      </c>
      <c r="AO327" s="167" t="str">
        <f t="shared" si="84"/>
        <v/>
      </c>
      <c r="AP327" s="167" t="str">
        <f t="shared" si="85"/>
        <v/>
      </c>
      <c r="AQ327" s="169" t="str">
        <f t="shared" si="86"/>
        <v/>
      </c>
      <c r="AR327" s="170" t="str">
        <f t="shared" si="87"/>
        <v>BiK81GKA3---04</v>
      </c>
      <c r="AS327" s="169" t="str">
        <f t="shared" si="88"/>
        <v/>
      </c>
      <c r="AT327">
        <f t="shared" si="89"/>
        <v>14</v>
      </c>
      <c r="AU327" s="170" t="str">
        <f t="shared" si="90"/>
        <v>0-0,15 MW, Bonusregeln G und K wenn Anlage 3 erfüllt</v>
      </c>
      <c r="AV327" s="169" t="str">
        <f t="shared" si="91"/>
        <v/>
      </c>
      <c r="AW327" s="170" t="str">
        <f t="shared" si="92"/>
        <v>Anteil KWK gemäß Anlage 3</v>
      </c>
      <c r="AX327" s="169" t="str">
        <f t="shared" si="93"/>
        <v/>
      </c>
      <c r="AY327" t="str">
        <f t="shared" si="94"/>
        <v/>
      </c>
      <c r="AZ327" t="str">
        <f t="shared" si="95"/>
        <v/>
      </c>
    </row>
    <row r="328" spans="1:52" s="145" customFormat="1" x14ac:dyDescent="0.35">
      <c r="A328" s="497" t="s">
        <v>2688</v>
      </c>
      <c r="B328" s="13" t="s">
        <v>5547</v>
      </c>
      <c r="C328" s="13" t="s">
        <v>4808</v>
      </c>
      <c r="D328" s="13" t="s">
        <v>6807</v>
      </c>
      <c r="E328" s="13" t="s">
        <v>674</v>
      </c>
      <c r="F328" s="373">
        <f t="shared" si="101"/>
        <v>21.67</v>
      </c>
      <c r="G328" s="430">
        <v>21.67</v>
      </c>
      <c r="H328" s="399">
        <f t="shared" si="102"/>
        <v>17.34</v>
      </c>
      <c r="I328" s="576"/>
      <c r="J328" s="549" t="s">
        <v>5804</v>
      </c>
      <c r="K328" s="11"/>
      <c r="L328"/>
      <c r="M328" s="37">
        <f t="shared" si="103"/>
        <v>21.67</v>
      </c>
      <c r="N328" s="29">
        <v>11.67</v>
      </c>
      <c r="O328" s="149"/>
      <c r="P328" s="144"/>
      <c r="Q328" s="145" t="s">
        <v>1017</v>
      </c>
      <c r="S328" s="145" t="s">
        <v>4179</v>
      </c>
      <c r="T328" s="145" t="s">
        <v>4179</v>
      </c>
      <c r="U328" s="146"/>
      <c r="W328" s="147"/>
      <c r="X328" s="147"/>
      <c r="Y328" s="145" t="s">
        <v>1017</v>
      </c>
      <c r="AA328" s="147"/>
      <c r="AD328" s="147"/>
      <c r="AE328" s="148"/>
      <c r="AF328" s="147"/>
      <c r="AG328" s="147"/>
      <c r="AH328" s="166" t="str">
        <f t="shared" si="107"/>
        <v/>
      </c>
      <c r="AI328" s="168" t="str">
        <f t="shared" si="96"/>
        <v/>
      </c>
      <c r="AJ328" s="168" t="str">
        <f t="shared" si="97"/>
        <v/>
      </c>
      <c r="AK328" s="168" t="str">
        <f t="shared" si="98"/>
        <v/>
      </c>
      <c r="AL328" s="168" t="str">
        <f t="shared" si="99"/>
        <v/>
      </c>
      <c r="AM328" s="168" t="str">
        <f t="shared" si="100"/>
        <v/>
      </c>
      <c r="AN328" s="167" t="str">
        <f t="shared" si="83"/>
        <v/>
      </c>
      <c r="AO328" s="167" t="str">
        <f t="shared" si="84"/>
        <v/>
      </c>
      <c r="AP328" s="167" t="str">
        <f t="shared" si="85"/>
        <v/>
      </c>
      <c r="AQ328" s="169" t="str">
        <f t="shared" si="86"/>
        <v/>
      </c>
      <c r="AR328" s="170" t="str">
        <f t="shared" si="87"/>
        <v>BiK81GK09---04</v>
      </c>
      <c r="AS328" s="169" t="str">
        <f t="shared" si="88"/>
        <v/>
      </c>
      <c r="AT328">
        <f t="shared" si="89"/>
        <v>14</v>
      </c>
      <c r="AU328" s="170" t="str">
        <f t="shared" si="90"/>
        <v>0-0,15 MW, Bonusregeln G und K erstmals 2009</v>
      </c>
      <c r="AV328" s="169" t="str">
        <f t="shared" si="91"/>
        <v/>
      </c>
      <c r="AW328" s="170" t="str">
        <f t="shared" si="92"/>
        <v>Anteil KWK, erstmals 2009</v>
      </c>
      <c r="AX328" s="169" t="str">
        <f t="shared" si="93"/>
        <v/>
      </c>
      <c r="AY328" t="str">
        <f t="shared" si="94"/>
        <v/>
      </c>
      <c r="AZ328" t="str">
        <f t="shared" si="95"/>
        <v/>
      </c>
    </row>
    <row r="329" spans="1:52" s="145" customFormat="1" x14ac:dyDescent="0.35">
      <c r="A329" s="497" t="s">
        <v>1632</v>
      </c>
      <c r="B329" s="13" t="s">
        <v>5547</v>
      </c>
      <c r="C329" s="13" t="s">
        <v>4808</v>
      </c>
      <c r="D329" s="13" t="s">
        <v>6808</v>
      </c>
      <c r="E329" s="13" t="s">
        <v>3566</v>
      </c>
      <c r="F329" s="373">
        <f t="shared" si="101"/>
        <v>21.64</v>
      </c>
      <c r="G329" s="430">
        <v>21.64</v>
      </c>
      <c r="H329" s="399">
        <f t="shared" si="102"/>
        <v>17.309999999999999</v>
      </c>
      <c r="I329" s="576"/>
      <c r="J329" s="549" t="s">
        <v>5804</v>
      </c>
      <c r="K329" s="11"/>
      <c r="L329"/>
      <c r="M329" s="37">
        <f t="shared" si="103"/>
        <v>21.64</v>
      </c>
      <c r="N329" s="29">
        <v>11.67</v>
      </c>
      <c r="O329" s="149"/>
      <c r="P329" s="144"/>
      <c r="R329" s="145" t="s">
        <v>1017</v>
      </c>
      <c r="S329" s="145" t="s">
        <v>4179</v>
      </c>
      <c r="T329" s="145" t="s">
        <v>4179</v>
      </c>
      <c r="U329" s="146"/>
      <c r="W329" s="147"/>
      <c r="X329" s="147"/>
      <c r="Y329" s="145" t="s">
        <v>1017</v>
      </c>
      <c r="AA329" s="147"/>
      <c r="AD329" s="147"/>
      <c r="AE329" s="148"/>
      <c r="AF329" s="147"/>
      <c r="AG329" s="147"/>
      <c r="AH329" s="166" t="str">
        <f t="shared" si="107"/>
        <v>2010</v>
      </c>
      <c r="AI329" s="168" t="str">
        <f t="shared" si="96"/>
        <v/>
      </c>
      <c r="AJ329" s="168" t="str">
        <f t="shared" si="97"/>
        <v/>
      </c>
      <c r="AK329" s="168" t="str">
        <f t="shared" si="98"/>
        <v/>
      </c>
      <c r="AL329" s="168" t="str">
        <f t="shared" si="99"/>
        <v/>
      </c>
      <c r="AM329" s="168" t="str">
        <f t="shared" si="100"/>
        <v/>
      </c>
      <c r="AN329" s="167" t="str">
        <f t="shared" si="83"/>
        <v>2010</v>
      </c>
      <c r="AO329" s="167" t="str">
        <f t="shared" si="84"/>
        <v>2010</v>
      </c>
      <c r="AP329" s="167" t="str">
        <f t="shared" si="85"/>
        <v>2010</v>
      </c>
      <c r="AQ329" s="169" t="str">
        <f t="shared" si="86"/>
        <v/>
      </c>
      <c r="AR329" s="170" t="str">
        <f t="shared" si="87"/>
        <v>BiK81GK10---04</v>
      </c>
      <c r="AS329" s="169" t="str">
        <f t="shared" si="88"/>
        <v/>
      </c>
      <c r="AT329">
        <f t="shared" si="89"/>
        <v>14</v>
      </c>
      <c r="AU329" s="170" t="str">
        <f t="shared" si="90"/>
        <v>0-0,15 MW, Bonusregeln G und K erstmals 2010</v>
      </c>
      <c r="AV329" s="169" t="str">
        <f t="shared" si="91"/>
        <v/>
      </c>
      <c r="AW329" s="170" t="str">
        <f t="shared" si="92"/>
        <v>Anteil KWK, erstmals 2010</v>
      </c>
      <c r="AX329" s="169" t="str">
        <f t="shared" si="93"/>
        <v/>
      </c>
      <c r="AY329" t="str">
        <f t="shared" si="94"/>
        <v/>
      </c>
      <c r="AZ329" t="str">
        <f t="shared" si="95"/>
        <v/>
      </c>
    </row>
    <row r="330" spans="1:52" s="145" customFormat="1" x14ac:dyDescent="0.35">
      <c r="A330" s="497" t="s">
        <v>5246</v>
      </c>
      <c r="B330" s="13" t="s">
        <v>5547</v>
      </c>
      <c r="C330" s="13" t="s">
        <v>4808</v>
      </c>
      <c r="D330" s="13" t="s">
        <v>6809</v>
      </c>
      <c r="E330" s="13" t="s">
        <v>3054</v>
      </c>
      <c r="F330" s="373">
        <f t="shared" si="101"/>
        <v>21.61</v>
      </c>
      <c r="G330" s="430">
        <v>21.61</v>
      </c>
      <c r="H330" s="399">
        <f t="shared" si="102"/>
        <v>17.29</v>
      </c>
      <c r="I330" s="576"/>
      <c r="J330" s="549" t="s">
        <v>5804</v>
      </c>
      <c r="K330" s="11"/>
      <c r="L330"/>
      <c r="M330" s="37">
        <f t="shared" si="103"/>
        <v>21.61</v>
      </c>
      <c r="N330" s="29">
        <v>11.67</v>
      </c>
      <c r="O330" s="149"/>
      <c r="P330" s="144"/>
      <c r="S330" s="145" t="s">
        <v>1017</v>
      </c>
      <c r="T330" s="145" t="s">
        <v>4179</v>
      </c>
      <c r="U330" s="146"/>
      <c r="W330" s="147"/>
      <c r="X330" s="147"/>
      <c r="Y330" s="145" t="s">
        <v>1017</v>
      </c>
      <c r="AA330" s="147"/>
      <c r="AD330" s="147"/>
      <c r="AE330" s="148"/>
      <c r="AF330" s="147"/>
      <c r="AG330" s="147"/>
      <c r="AH330" s="166" t="str">
        <f t="shared" si="107"/>
        <v>2011</v>
      </c>
      <c r="AI330" s="168" t="str">
        <f t="shared" si="96"/>
        <v/>
      </c>
      <c r="AJ330" s="168" t="str">
        <f t="shared" si="97"/>
        <v/>
      </c>
      <c r="AK330" s="168" t="str">
        <f t="shared" si="98"/>
        <v/>
      </c>
      <c r="AL330" s="168" t="str">
        <f t="shared" si="99"/>
        <v/>
      </c>
      <c r="AM330" s="168" t="str">
        <f t="shared" si="100"/>
        <v/>
      </c>
      <c r="AN330" s="167" t="str">
        <f t="shared" si="83"/>
        <v>2011</v>
      </c>
      <c r="AO330" s="167" t="str">
        <f t="shared" si="84"/>
        <v>2011</v>
      </c>
      <c r="AP330" s="167" t="str">
        <f t="shared" si="85"/>
        <v>2011</v>
      </c>
      <c r="AQ330" s="169" t="str">
        <f t="shared" si="86"/>
        <v/>
      </c>
      <c r="AR330" s="170" t="str">
        <f t="shared" si="87"/>
        <v>BiK81GK11---04</v>
      </c>
      <c r="AS330" s="169" t="str">
        <f t="shared" si="88"/>
        <v/>
      </c>
      <c r="AT330">
        <f t="shared" si="89"/>
        <v>14</v>
      </c>
      <c r="AU330" s="170" t="str">
        <f t="shared" si="90"/>
        <v>0-0,15 MW, Bonusregeln G und K erstmals 2011</v>
      </c>
      <c r="AV330" s="169" t="str">
        <f t="shared" si="91"/>
        <v/>
      </c>
      <c r="AW330" s="170" t="str">
        <f t="shared" si="92"/>
        <v>Anteil KWK, erstmals 2011</v>
      </c>
      <c r="AX330" s="169" t="str">
        <f t="shared" si="93"/>
        <v/>
      </c>
      <c r="AY330" t="str">
        <f t="shared" si="94"/>
        <v>x</v>
      </c>
      <c r="AZ330" t="str">
        <f t="shared" si="95"/>
        <v/>
      </c>
    </row>
    <row r="331" spans="1:52" s="145" customFormat="1" x14ac:dyDescent="0.35">
      <c r="A331" s="511" t="s">
        <v>3553</v>
      </c>
      <c r="B331" s="173" t="s">
        <v>5547</v>
      </c>
      <c r="C331" s="173" t="s">
        <v>4808</v>
      </c>
      <c r="D331" s="173" t="s">
        <v>6810</v>
      </c>
      <c r="E331" s="173" t="s">
        <v>1980</v>
      </c>
      <c r="F331" s="374">
        <f t="shared" si="101"/>
        <v>21.58</v>
      </c>
      <c r="G331" s="431">
        <v>21.58</v>
      </c>
      <c r="H331" s="400">
        <f t="shared" si="102"/>
        <v>17.260000000000002</v>
      </c>
      <c r="I331" s="577"/>
      <c r="J331" s="549" t="s">
        <v>5804</v>
      </c>
      <c r="K331" s="11"/>
      <c r="L331"/>
      <c r="M331" s="37">
        <f t="shared" si="103"/>
        <v>21.58</v>
      </c>
      <c r="N331" s="29">
        <v>11.67</v>
      </c>
      <c r="O331" s="149"/>
      <c r="P331" s="144"/>
      <c r="S331" s="145" t="s">
        <v>4179</v>
      </c>
      <c r="T331" s="145" t="s">
        <v>1017</v>
      </c>
      <c r="U331" s="146"/>
      <c r="W331" s="147"/>
      <c r="X331" s="147"/>
      <c r="Y331" s="145" t="s">
        <v>1017</v>
      </c>
      <c r="AA331" s="147"/>
      <c r="AD331" s="147"/>
      <c r="AE331" s="148"/>
      <c r="AF331" s="147"/>
      <c r="AG331" s="147"/>
      <c r="AH331" s="171" t="s">
        <v>4178</v>
      </c>
      <c r="AI331" s="168" t="str">
        <f t="shared" si="96"/>
        <v/>
      </c>
      <c r="AJ331" s="168" t="str">
        <f t="shared" si="97"/>
        <v/>
      </c>
      <c r="AK331" s="168" t="str">
        <f t="shared" si="98"/>
        <v/>
      </c>
      <c r="AL331" s="168" t="str">
        <f t="shared" si="99"/>
        <v/>
      </c>
      <c r="AM331" s="168" t="str">
        <f t="shared" si="100"/>
        <v/>
      </c>
      <c r="AN331" s="167" t="str">
        <f t="shared" si="83"/>
        <v>2012</v>
      </c>
      <c r="AO331" s="167" t="str">
        <f t="shared" si="84"/>
        <v>2012</v>
      </c>
      <c r="AP331" s="167" t="str">
        <f t="shared" si="85"/>
        <v>2012</v>
      </c>
      <c r="AQ331" s="169" t="str">
        <f t="shared" si="86"/>
        <v/>
      </c>
      <c r="AR331" s="170" t="str">
        <f t="shared" si="87"/>
        <v>BiK81GK12---04</v>
      </c>
      <c r="AS331" s="169" t="str">
        <f t="shared" si="88"/>
        <v/>
      </c>
      <c r="AT331">
        <f t="shared" si="89"/>
        <v>14</v>
      </c>
      <c r="AU331" s="170" t="str">
        <f t="shared" si="90"/>
        <v>0-0,15 MW, Bonusregeln G und K erstmals 2012</v>
      </c>
      <c r="AV331" s="169" t="str">
        <f t="shared" si="91"/>
        <v/>
      </c>
      <c r="AW331" s="170" t="str">
        <f t="shared" si="92"/>
        <v>Anteil KWK, erstmals 2012</v>
      </c>
      <c r="AX331" s="169" t="str">
        <f t="shared" si="93"/>
        <v/>
      </c>
      <c r="AY331" t="str">
        <f t="shared" si="94"/>
        <v/>
      </c>
      <c r="AZ331" t="str">
        <f t="shared" si="95"/>
        <v>x</v>
      </c>
    </row>
    <row r="332" spans="1:52" s="145" customFormat="1" x14ac:dyDescent="0.35">
      <c r="A332" s="497" t="s">
        <v>2689</v>
      </c>
      <c r="B332" s="13" t="s">
        <v>5547</v>
      </c>
      <c r="C332" s="13" t="s">
        <v>4808</v>
      </c>
      <c r="D332" s="13" t="s">
        <v>6811</v>
      </c>
      <c r="E332" s="13" t="s">
        <v>4809</v>
      </c>
      <c r="F332" s="373">
        <f t="shared" si="101"/>
        <v>19.670000000000002</v>
      </c>
      <c r="G332" s="430">
        <v>19.670000000000002</v>
      </c>
      <c r="H332" s="399">
        <f t="shared" si="102"/>
        <v>15.74</v>
      </c>
      <c r="I332" s="576"/>
      <c r="J332" s="549" t="s">
        <v>5804</v>
      </c>
      <c r="K332" s="11"/>
      <c r="L332"/>
      <c r="M332" s="37">
        <f t="shared" si="103"/>
        <v>19.670000000000002</v>
      </c>
      <c r="N332" s="29">
        <v>11.67</v>
      </c>
      <c r="O332" s="149"/>
      <c r="P332" s="144"/>
      <c r="S332" s="145" t="s">
        <v>4179</v>
      </c>
      <c r="T332" s="145" t="s">
        <v>4179</v>
      </c>
      <c r="U332" s="146" t="s">
        <v>1017</v>
      </c>
      <c r="W332" s="147"/>
      <c r="X332" s="147"/>
      <c r="Y332" s="145" t="s">
        <v>1017</v>
      </c>
      <c r="AA332" s="147"/>
      <c r="AD332" s="147"/>
      <c r="AE332" s="148"/>
      <c r="AF332" s="147"/>
      <c r="AG332" s="147"/>
      <c r="AH332" s="166" t="str">
        <f t="shared" ref="AH332:AH337" si="108">IF(ISERROR(SEARCH("K erstmals 201",D332)),"",RIGHT(D332,4))</f>
        <v/>
      </c>
      <c r="AI332" s="168" t="str">
        <f t="shared" si="96"/>
        <v/>
      </c>
      <c r="AJ332" s="168" t="str">
        <f t="shared" si="97"/>
        <v/>
      </c>
      <c r="AK332" s="168" t="str">
        <f t="shared" si="98"/>
        <v/>
      </c>
      <c r="AL332" s="168" t="str">
        <f t="shared" si="99"/>
        <v/>
      </c>
      <c r="AM332" s="168" t="str">
        <f t="shared" si="100"/>
        <v/>
      </c>
      <c r="AN332" s="167" t="str">
        <f t="shared" si="83"/>
        <v/>
      </c>
      <c r="AO332" s="167" t="str">
        <f t="shared" si="84"/>
        <v/>
      </c>
      <c r="AP332" s="167" t="str">
        <f t="shared" si="85"/>
        <v/>
      </c>
      <c r="AQ332" s="169" t="str">
        <f t="shared" si="86"/>
        <v/>
      </c>
      <c r="AR332" s="170" t="str">
        <f t="shared" si="87"/>
        <v>BiK81Gy-----04</v>
      </c>
      <c r="AS332" s="169" t="str">
        <f t="shared" si="88"/>
        <v/>
      </c>
      <c r="AT332">
        <f t="shared" si="89"/>
        <v>14</v>
      </c>
      <c r="AU332" s="170" t="str">
        <f t="shared" si="90"/>
        <v>0-0,15 MW, Bonusregel G, y</v>
      </c>
      <c r="AV332" s="169" t="str">
        <f t="shared" si="91"/>
        <v/>
      </c>
      <c r="AW332" s="170" t="str">
        <f t="shared" si="92"/>
        <v>Anteil Nicht-KWK</v>
      </c>
      <c r="AX332" s="169" t="str">
        <f t="shared" si="93"/>
        <v/>
      </c>
      <c r="AY332" t="str">
        <f t="shared" si="94"/>
        <v/>
      </c>
      <c r="AZ332" t="str">
        <f t="shared" si="95"/>
        <v/>
      </c>
    </row>
    <row r="333" spans="1:52" s="145" customFormat="1" x14ac:dyDescent="0.35">
      <c r="A333" s="497" t="s">
        <v>2690</v>
      </c>
      <c r="B333" s="13" t="s">
        <v>5547</v>
      </c>
      <c r="C333" s="13" t="s">
        <v>4808</v>
      </c>
      <c r="D333" s="13" t="s">
        <v>6891</v>
      </c>
      <c r="E333" s="13" t="s">
        <v>4811</v>
      </c>
      <c r="F333" s="373">
        <f t="shared" si="101"/>
        <v>21.67</v>
      </c>
      <c r="G333" s="430">
        <v>21.67</v>
      </c>
      <c r="H333" s="399">
        <f t="shared" si="102"/>
        <v>17.34</v>
      </c>
      <c r="I333" s="576"/>
      <c r="J333" s="549" t="s">
        <v>5804</v>
      </c>
      <c r="K333" s="11"/>
      <c r="L333"/>
      <c r="M333" s="37">
        <f t="shared" si="103"/>
        <v>21.67</v>
      </c>
      <c r="N333" s="29">
        <v>11.67</v>
      </c>
      <c r="O333" s="149" t="s">
        <v>1017</v>
      </c>
      <c r="P333" s="144"/>
      <c r="S333" s="145" t="s">
        <v>4179</v>
      </c>
      <c r="T333" s="145" t="s">
        <v>4179</v>
      </c>
      <c r="U333" s="146" t="s">
        <v>1017</v>
      </c>
      <c r="W333" s="147"/>
      <c r="X333" s="147"/>
      <c r="Y333" s="145" t="s">
        <v>1017</v>
      </c>
      <c r="AA333" s="147"/>
      <c r="AD333" s="147"/>
      <c r="AE333" s="148"/>
      <c r="AF333" s="147"/>
      <c r="AG333" s="147"/>
      <c r="AH333" s="166" t="str">
        <f t="shared" si="108"/>
        <v/>
      </c>
      <c r="AI333" s="168" t="str">
        <f t="shared" si="96"/>
        <v/>
      </c>
      <c r="AJ333" s="168" t="str">
        <f t="shared" si="97"/>
        <v/>
      </c>
      <c r="AK333" s="168" t="str">
        <f t="shared" si="98"/>
        <v/>
      </c>
      <c r="AL333" s="168" t="str">
        <f t="shared" si="99"/>
        <v/>
      </c>
      <c r="AM333" s="168" t="str">
        <f t="shared" si="100"/>
        <v/>
      </c>
      <c r="AN333" s="167" t="str">
        <f t="shared" si="83"/>
        <v/>
      </c>
      <c r="AO333" s="167" t="str">
        <f t="shared" si="84"/>
        <v/>
      </c>
      <c r="AP333" s="167" t="str">
        <f t="shared" si="85"/>
        <v/>
      </c>
      <c r="AQ333" s="169" t="str">
        <f t="shared" si="86"/>
        <v/>
      </c>
      <c r="AR333" s="170" t="str">
        <f t="shared" si="87"/>
        <v>BiK81GKWKy--04</v>
      </c>
      <c r="AS333" s="169" t="str">
        <f t="shared" si="88"/>
        <v/>
      </c>
      <c r="AT333">
        <f t="shared" si="89"/>
        <v>14</v>
      </c>
      <c r="AU333" s="170" t="str">
        <f t="shared" si="90"/>
        <v>0-0,15 MW, Bonusregeln G, y und KWK</v>
      </c>
      <c r="AV333" s="169" t="str">
        <f t="shared" si="91"/>
        <v/>
      </c>
      <c r="AW333" s="170" t="str">
        <f t="shared" si="92"/>
        <v>Anteil KWK</v>
      </c>
      <c r="AX333" s="169" t="str">
        <f t="shared" si="93"/>
        <v/>
      </c>
      <c r="AY333" t="str">
        <f t="shared" si="94"/>
        <v/>
      </c>
      <c r="AZ333" t="str">
        <f t="shared" si="95"/>
        <v/>
      </c>
    </row>
    <row r="334" spans="1:52" s="145" customFormat="1" x14ac:dyDescent="0.35">
      <c r="A334" s="497" t="s">
        <v>2691</v>
      </c>
      <c r="B334" s="13" t="s">
        <v>5547</v>
      </c>
      <c r="C334" s="13" t="s">
        <v>4808</v>
      </c>
      <c r="D334" s="88" t="s">
        <v>6812</v>
      </c>
      <c r="E334" s="13" t="s">
        <v>4330</v>
      </c>
      <c r="F334" s="373">
        <f t="shared" si="101"/>
        <v>22.67</v>
      </c>
      <c r="G334" s="430">
        <v>22.67</v>
      </c>
      <c r="H334" s="399">
        <f t="shared" si="102"/>
        <v>18.14</v>
      </c>
      <c r="I334" s="576"/>
      <c r="J334" s="549" t="s">
        <v>5804</v>
      </c>
      <c r="K334" s="11"/>
      <c r="L334"/>
      <c r="M334" s="37">
        <f t="shared" si="103"/>
        <v>22.67</v>
      </c>
      <c r="N334" s="29">
        <v>11.67</v>
      </c>
      <c r="O334" s="149"/>
      <c r="P334" s="145" t="s">
        <v>1017</v>
      </c>
      <c r="S334" s="145" t="s">
        <v>4179</v>
      </c>
      <c r="T334" s="145" t="s">
        <v>4179</v>
      </c>
      <c r="U334" s="146" t="s">
        <v>1017</v>
      </c>
      <c r="W334" s="147"/>
      <c r="X334" s="147"/>
      <c r="Y334" s="145" t="s">
        <v>1017</v>
      </c>
      <c r="AA334" s="147"/>
      <c r="AD334" s="147"/>
      <c r="AE334" s="148"/>
      <c r="AF334" s="147"/>
      <c r="AG334" s="147"/>
      <c r="AH334" s="166" t="str">
        <f t="shared" si="108"/>
        <v/>
      </c>
      <c r="AI334" s="168" t="str">
        <f t="shared" si="96"/>
        <v/>
      </c>
      <c r="AJ334" s="168" t="str">
        <f t="shared" si="97"/>
        <v/>
      </c>
      <c r="AK334" s="168" t="str">
        <f t="shared" si="98"/>
        <v/>
      </c>
      <c r="AL334" s="168" t="str">
        <f t="shared" si="99"/>
        <v/>
      </c>
      <c r="AM334" s="168" t="str">
        <f t="shared" si="100"/>
        <v/>
      </c>
      <c r="AN334" s="167" t="str">
        <f t="shared" si="83"/>
        <v/>
      </c>
      <c r="AO334" s="167" t="str">
        <f t="shared" si="84"/>
        <v/>
      </c>
      <c r="AP334" s="167" t="str">
        <f t="shared" si="85"/>
        <v/>
      </c>
      <c r="AQ334" s="169" t="str">
        <f t="shared" si="86"/>
        <v/>
      </c>
      <c r="AR334" s="170" t="str">
        <f t="shared" si="87"/>
        <v>BiK81GKA3y--04</v>
      </c>
      <c r="AS334" s="169" t="str">
        <f t="shared" si="88"/>
        <v/>
      </c>
      <c r="AT334">
        <f t="shared" si="89"/>
        <v>14</v>
      </c>
      <c r="AU334" s="170" t="str">
        <f t="shared" si="90"/>
        <v>0-0,15 MW, Bonusregeln G, y und K wenn Anlage 3 erfüllt</v>
      </c>
      <c r="AV334" s="169" t="str">
        <f t="shared" si="91"/>
        <v/>
      </c>
      <c r="AW334" s="170" t="str">
        <f t="shared" si="92"/>
        <v>Anteil KWK gemäß Anlage 3</v>
      </c>
      <c r="AX334" s="169" t="str">
        <f t="shared" si="93"/>
        <v/>
      </c>
      <c r="AY334" t="str">
        <f t="shared" si="94"/>
        <v/>
      </c>
      <c r="AZ334" t="str">
        <f t="shared" si="95"/>
        <v/>
      </c>
    </row>
    <row r="335" spans="1:52" s="145" customFormat="1" x14ac:dyDescent="0.35">
      <c r="A335" s="497" t="s">
        <v>2692</v>
      </c>
      <c r="B335" s="13" t="s">
        <v>5547</v>
      </c>
      <c r="C335" s="13" t="s">
        <v>4808</v>
      </c>
      <c r="D335" s="13" t="s">
        <v>6813</v>
      </c>
      <c r="E335" s="13" t="s">
        <v>674</v>
      </c>
      <c r="F335" s="373">
        <f t="shared" si="101"/>
        <v>22.67</v>
      </c>
      <c r="G335" s="430">
        <v>22.67</v>
      </c>
      <c r="H335" s="399">
        <f t="shared" si="102"/>
        <v>18.14</v>
      </c>
      <c r="I335" s="576"/>
      <c r="J335" s="549" t="s">
        <v>5804</v>
      </c>
      <c r="K335" s="11"/>
      <c r="L335"/>
      <c r="M335" s="37">
        <f t="shared" si="103"/>
        <v>22.67</v>
      </c>
      <c r="N335" s="29">
        <v>11.67</v>
      </c>
      <c r="O335" s="149"/>
      <c r="P335" s="144"/>
      <c r="Q335" s="145" t="s">
        <v>1017</v>
      </c>
      <c r="S335" s="145" t="s">
        <v>4179</v>
      </c>
      <c r="T335" s="145" t="s">
        <v>4179</v>
      </c>
      <c r="U335" s="146" t="s">
        <v>1017</v>
      </c>
      <c r="W335" s="147"/>
      <c r="X335" s="147"/>
      <c r="Y335" s="145" t="s">
        <v>1017</v>
      </c>
      <c r="AA335" s="147"/>
      <c r="AD335" s="147"/>
      <c r="AE335" s="148"/>
      <c r="AF335" s="147"/>
      <c r="AG335" s="147"/>
      <c r="AH335" s="166" t="str">
        <f t="shared" si="108"/>
        <v/>
      </c>
      <c r="AI335" s="168" t="str">
        <f t="shared" si="96"/>
        <v/>
      </c>
      <c r="AJ335" s="168" t="str">
        <f t="shared" si="97"/>
        <v/>
      </c>
      <c r="AK335" s="168" t="str">
        <f t="shared" si="98"/>
        <v/>
      </c>
      <c r="AL335" s="168" t="str">
        <f t="shared" si="99"/>
        <v/>
      </c>
      <c r="AM335" s="168" t="str">
        <f t="shared" si="100"/>
        <v/>
      </c>
      <c r="AN335" s="167" t="str">
        <f t="shared" si="83"/>
        <v/>
      </c>
      <c r="AO335" s="167" t="str">
        <f t="shared" si="84"/>
        <v/>
      </c>
      <c r="AP335" s="167" t="str">
        <f t="shared" si="85"/>
        <v/>
      </c>
      <c r="AQ335" s="169" t="str">
        <f t="shared" si="86"/>
        <v/>
      </c>
      <c r="AR335" s="170" t="str">
        <f t="shared" si="87"/>
        <v>BiK81GK09y--04</v>
      </c>
      <c r="AS335" s="169" t="str">
        <f t="shared" si="88"/>
        <v/>
      </c>
      <c r="AT335">
        <f t="shared" si="89"/>
        <v>14</v>
      </c>
      <c r="AU335" s="170" t="str">
        <f t="shared" si="90"/>
        <v>0-0,15 MW, Bonusregeln G, y und K erstmals 2009</v>
      </c>
      <c r="AV335" s="169" t="str">
        <f t="shared" si="91"/>
        <v/>
      </c>
      <c r="AW335" s="170" t="str">
        <f t="shared" si="92"/>
        <v>Anteil KWK, erstmals 2009</v>
      </c>
      <c r="AX335" s="169" t="str">
        <f t="shared" si="93"/>
        <v/>
      </c>
      <c r="AY335" t="str">
        <f t="shared" si="94"/>
        <v/>
      </c>
      <c r="AZ335" t="str">
        <f t="shared" si="95"/>
        <v/>
      </c>
    </row>
    <row r="336" spans="1:52" s="145" customFormat="1" x14ac:dyDescent="0.35">
      <c r="A336" s="497" t="s">
        <v>1633</v>
      </c>
      <c r="B336" s="13" t="s">
        <v>5547</v>
      </c>
      <c r="C336" s="13" t="s">
        <v>4808</v>
      </c>
      <c r="D336" s="13" t="s">
        <v>6814</v>
      </c>
      <c r="E336" s="13" t="s">
        <v>3566</v>
      </c>
      <c r="F336" s="373">
        <f t="shared" si="101"/>
        <v>22.64</v>
      </c>
      <c r="G336" s="430">
        <v>22.64</v>
      </c>
      <c r="H336" s="399">
        <f t="shared" si="102"/>
        <v>18.11</v>
      </c>
      <c r="I336" s="576"/>
      <c r="J336" s="549" t="s">
        <v>5804</v>
      </c>
      <c r="K336" s="11"/>
      <c r="L336"/>
      <c r="M336" s="37">
        <f t="shared" si="103"/>
        <v>22.64</v>
      </c>
      <c r="N336" s="29">
        <v>11.67</v>
      </c>
      <c r="O336" s="149"/>
      <c r="P336" s="144"/>
      <c r="R336" s="145" t="s">
        <v>1017</v>
      </c>
      <c r="S336" s="145" t="s">
        <v>4179</v>
      </c>
      <c r="T336" s="145" t="s">
        <v>4179</v>
      </c>
      <c r="U336" s="146" t="s">
        <v>1017</v>
      </c>
      <c r="W336" s="147"/>
      <c r="X336" s="147"/>
      <c r="Y336" s="145" t="s">
        <v>1017</v>
      </c>
      <c r="AA336" s="147"/>
      <c r="AD336" s="147"/>
      <c r="AE336" s="148"/>
      <c r="AF336" s="147"/>
      <c r="AG336" s="147"/>
      <c r="AH336" s="166" t="str">
        <f t="shared" si="108"/>
        <v>2010</v>
      </c>
      <c r="AI336" s="168" t="str">
        <f t="shared" si="96"/>
        <v/>
      </c>
      <c r="AJ336" s="168" t="str">
        <f t="shared" si="97"/>
        <v/>
      </c>
      <c r="AK336" s="168" t="str">
        <f t="shared" si="98"/>
        <v/>
      </c>
      <c r="AL336" s="168" t="str">
        <f t="shared" si="99"/>
        <v/>
      </c>
      <c r="AM336" s="168" t="str">
        <f t="shared" si="100"/>
        <v/>
      </c>
      <c r="AN336" s="167" t="str">
        <f t="shared" si="83"/>
        <v>2010</v>
      </c>
      <c r="AO336" s="167" t="str">
        <f t="shared" si="84"/>
        <v>2010</v>
      </c>
      <c r="AP336" s="167" t="str">
        <f t="shared" si="85"/>
        <v>2010</v>
      </c>
      <c r="AQ336" s="169" t="str">
        <f t="shared" si="86"/>
        <v/>
      </c>
      <c r="AR336" s="170" t="str">
        <f t="shared" si="87"/>
        <v>BiK81GK10y--04</v>
      </c>
      <c r="AS336" s="169" t="str">
        <f t="shared" si="88"/>
        <v/>
      </c>
      <c r="AT336">
        <f t="shared" si="89"/>
        <v>14</v>
      </c>
      <c r="AU336" s="170" t="str">
        <f t="shared" si="90"/>
        <v>0-0,15 MW, Bonusregeln G, y und K erstmals 2010</v>
      </c>
      <c r="AV336" s="169" t="str">
        <f t="shared" si="91"/>
        <v/>
      </c>
      <c r="AW336" s="170" t="str">
        <f t="shared" si="92"/>
        <v>Anteil KWK, erstmals 2010</v>
      </c>
      <c r="AX336" s="169" t="str">
        <f t="shared" si="93"/>
        <v/>
      </c>
      <c r="AY336" t="str">
        <f t="shared" si="94"/>
        <v/>
      </c>
      <c r="AZ336" t="str">
        <f t="shared" si="95"/>
        <v/>
      </c>
    </row>
    <row r="337" spans="1:52" s="145" customFormat="1" x14ac:dyDescent="0.35">
      <c r="A337" s="497" t="s">
        <v>5247</v>
      </c>
      <c r="B337" s="13" t="s">
        <v>5547</v>
      </c>
      <c r="C337" s="13" t="s">
        <v>4808</v>
      </c>
      <c r="D337" s="13" t="s">
        <v>6815</v>
      </c>
      <c r="E337" s="13" t="s">
        <v>3054</v>
      </c>
      <c r="F337" s="373">
        <f t="shared" si="101"/>
        <v>22.61</v>
      </c>
      <c r="G337" s="430">
        <v>22.61</v>
      </c>
      <c r="H337" s="399">
        <f t="shared" si="102"/>
        <v>18.09</v>
      </c>
      <c r="I337" s="576"/>
      <c r="J337" s="549" t="s">
        <v>5804</v>
      </c>
      <c r="K337" s="11"/>
      <c r="L337"/>
      <c r="M337" s="37">
        <f t="shared" si="103"/>
        <v>22.61</v>
      </c>
      <c r="N337" s="29">
        <v>11.67</v>
      </c>
      <c r="O337" s="149"/>
      <c r="P337" s="144"/>
      <c r="S337" s="145" t="s">
        <v>1017</v>
      </c>
      <c r="T337" s="145" t="s">
        <v>4179</v>
      </c>
      <c r="U337" s="146" t="s">
        <v>1017</v>
      </c>
      <c r="W337" s="147"/>
      <c r="X337" s="147"/>
      <c r="Y337" s="145" t="s">
        <v>1017</v>
      </c>
      <c r="AA337" s="147"/>
      <c r="AD337" s="147"/>
      <c r="AE337" s="148"/>
      <c r="AF337" s="147"/>
      <c r="AG337" s="147"/>
      <c r="AH337" s="166" t="str">
        <f t="shared" si="108"/>
        <v>2011</v>
      </c>
      <c r="AI337" s="168" t="str">
        <f t="shared" si="96"/>
        <v/>
      </c>
      <c r="AJ337" s="168" t="str">
        <f t="shared" si="97"/>
        <v/>
      </c>
      <c r="AK337" s="168" t="str">
        <f t="shared" si="98"/>
        <v/>
      </c>
      <c r="AL337" s="168" t="str">
        <f t="shared" si="99"/>
        <v/>
      </c>
      <c r="AM337" s="168" t="str">
        <f t="shared" si="100"/>
        <v/>
      </c>
      <c r="AN337" s="167" t="str">
        <f t="shared" si="83"/>
        <v>2011</v>
      </c>
      <c r="AO337" s="167" t="str">
        <f t="shared" si="84"/>
        <v>2011</v>
      </c>
      <c r="AP337" s="167" t="str">
        <f t="shared" si="85"/>
        <v>2011</v>
      </c>
      <c r="AQ337" s="169" t="str">
        <f t="shared" si="86"/>
        <v/>
      </c>
      <c r="AR337" s="170" t="str">
        <f t="shared" si="87"/>
        <v>BiK81GK11y--04</v>
      </c>
      <c r="AS337" s="169" t="str">
        <f t="shared" si="88"/>
        <v/>
      </c>
      <c r="AT337">
        <f t="shared" si="89"/>
        <v>14</v>
      </c>
      <c r="AU337" s="170" t="str">
        <f t="shared" si="90"/>
        <v>0-0,15 MW, Bonusregeln G, y und K erstmals 2011</v>
      </c>
      <c r="AV337" s="169" t="str">
        <f t="shared" si="91"/>
        <v/>
      </c>
      <c r="AW337" s="170" t="str">
        <f t="shared" si="92"/>
        <v>Anteil KWK, erstmals 2011</v>
      </c>
      <c r="AX337" s="169" t="str">
        <f t="shared" si="93"/>
        <v/>
      </c>
      <c r="AY337" t="str">
        <f t="shared" si="94"/>
        <v>x</v>
      </c>
      <c r="AZ337" t="str">
        <f t="shared" si="95"/>
        <v/>
      </c>
    </row>
    <row r="338" spans="1:52" s="145" customFormat="1" x14ac:dyDescent="0.35">
      <c r="A338" s="511" t="s">
        <v>3554</v>
      </c>
      <c r="B338" s="173" t="s">
        <v>5547</v>
      </c>
      <c r="C338" s="173" t="s">
        <v>4808</v>
      </c>
      <c r="D338" s="173" t="s">
        <v>6816</v>
      </c>
      <c r="E338" s="173" t="s">
        <v>1980</v>
      </c>
      <c r="F338" s="374">
        <f t="shared" si="101"/>
        <v>22.58</v>
      </c>
      <c r="G338" s="431">
        <v>22.58</v>
      </c>
      <c r="H338" s="400">
        <f t="shared" si="102"/>
        <v>18.059999999999999</v>
      </c>
      <c r="I338" s="577"/>
      <c r="J338" s="549" t="s">
        <v>5804</v>
      </c>
      <c r="K338" s="11"/>
      <c r="L338"/>
      <c r="M338" s="37">
        <f t="shared" si="103"/>
        <v>22.58</v>
      </c>
      <c r="N338" s="29">
        <v>11.67</v>
      </c>
      <c r="O338" s="149"/>
      <c r="P338" s="144"/>
      <c r="S338" s="145" t="s">
        <v>4179</v>
      </c>
      <c r="T338" s="145" t="s">
        <v>1017</v>
      </c>
      <c r="U338" s="146" t="s">
        <v>1017</v>
      </c>
      <c r="W338" s="147"/>
      <c r="X338" s="147"/>
      <c r="Y338" s="145" t="s">
        <v>1017</v>
      </c>
      <c r="AA338" s="147"/>
      <c r="AD338" s="147"/>
      <c r="AE338" s="148"/>
      <c r="AF338" s="147"/>
      <c r="AG338" s="147"/>
      <c r="AH338" s="171" t="s">
        <v>4178</v>
      </c>
      <c r="AI338" s="168" t="str">
        <f t="shared" si="96"/>
        <v/>
      </c>
      <c r="AJ338" s="168" t="str">
        <f t="shared" si="97"/>
        <v/>
      </c>
      <c r="AK338" s="168" t="str">
        <f t="shared" si="98"/>
        <v/>
      </c>
      <c r="AL338" s="168" t="str">
        <f t="shared" si="99"/>
        <v/>
      </c>
      <c r="AM338" s="168" t="str">
        <f t="shared" si="100"/>
        <v/>
      </c>
      <c r="AN338" s="167" t="str">
        <f t="shared" si="83"/>
        <v>2012</v>
      </c>
      <c r="AO338" s="167" t="str">
        <f t="shared" si="84"/>
        <v>2012</v>
      </c>
      <c r="AP338" s="167" t="str">
        <f t="shared" si="85"/>
        <v>2012</v>
      </c>
      <c r="AQ338" s="169" t="str">
        <f t="shared" si="86"/>
        <v/>
      </c>
      <c r="AR338" s="170" t="str">
        <f t="shared" si="87"/>
        <v>BiK81GK12y--04</v>
      </c>
      <c r="AS338" s="169" t="str">
        <f t="shared" si="88"/>
        <v/>
      </c>
      <c r="AT338">
        <f t="shared" si="89"/>
        <v>14</v>
      </c>
      <c r="AU338" s="170" t="str">
        <f t="shared" si="90"/>
        <v>0-0,15 MW, Bonusregeln G, y und K erstmals 2012</v>
      </c>
      <c r="AV338" s="169" t="str">
        <f t="shared" si="91"/>
        <v/>
      </c>
      <c r="AW338" s="170" t="str">
        <f t="shared" si="92"/>
        <v>Anteil KWK, erstmals 2012</v>
      </c>
      <c r="AX338" s="169" t="str">
        <f t="shared" si="93"/>
        <v/>
      </c>
      <c r="AY338" t="str">
        <f t="shared" si="94"/>
        <v/>
      </c>
      <c r="AZ338" t="str">
        <f t="shared" si="95"/>
        <v>x</v>
      </c>
    </row>
    <row r="339" spans="1:52" s="145" customFormat="1" x14ac:dyDescent="0.35">
      <c r="A339" s="497" t="s">
        <v>2693</v>
      </c>
      <c r="B339" s="13" t="s">
        <v>5547</v>
      </c>
      <c r="C339" s="13" t="s">
        <v>4808</v>
      </c>
      <c r="D339" s="13" t="s">
        <v>6817</v>
      </c>
      <c r="E339" s="13" t="s">
        <v>4809</v>
      </c>
      <c r="F339" s="373">
        <f t="shared" si="101"/>
        <v>22.67</v>
      </c>
      <c r="G339" s="430">
        <v>22.67</v>
      </c>
      <c r="H339" s="399">
        <f t="shared" si="102"/>
        <v>18.14</v>
      </c>
      <c r="I339" s="576"/>
      <c r="J339" s="549" t="s">
        <v>5804</v>
      </c>
      <c r="K339" s="11"/>
      <c r="L339"/>
      <c r="M339" s="37">
        <f t="shared" si="103"/>
        <v>22.67</v>
      </c>
      <c r="N339" s="29">
        <v>11.67</v>
      </c>
      <c r="O339" s="149"/>
      <c r="P339" s="144"/>
      <c r="S339" s="145" t="s">
        <v>4179</v>
      </c>
      <c r="T339" s="145" t="s">
        <v>4179</v>
      </c>
      <c r="U339" s="146"/>
      <c r="W339" s="147"/>
      <c r="X339" s="147"/>
      <c r="Z339" s="145" t="s">
        <v>1017</v>
      </c>
      <c r="AA339" s="147"/>
      <c r="AD339" s="147"/>
      <c r="AE339" s="148"/>
      <c r="AF339" s="147"/>
      <c r="AG339" s="147"/>
      <c r="AH339" s="166" t="str">
        <f t="shared" ref="AH339:AH344" si="109">IF(ISERROR(SEARCH("K erstmals 201",D339)),"",RIGHT(D339,4))</f>
        <v/>
      </c>
      <c r="AI339" s="168" t="str">
        <f t="shared" si="96"/>
        <v/>
      </c>
      <c r="AJ339" s="168" t="str">
        <f t="shared" si="97"/>
        <v/>
      </c>
      <c r="AK339" s="168" t="str">
        <f t="shared" si="98"/>
        <v/>
      </c>
      <c r="AL339" s="168" t="str">
        <f t="shared" si="99"/>
        <v/>
      </c>
      <c r="AM339" s="168" t="str">
        <f t="shared" si="100"/>
        <v/>
      </c>
      <c r="AN339" s="167" t="str">
        <f t="shared" si="83"/>
        <v/>
      </c>
      <c r="AO339" s="167" t="str">
        <f t="shared" si="84"/>
        <v/>
      </c>
      <c r="AP339" s="167" t="str">
        <f t="shared" si="85"/>
        <v/>
      </c>
      <c r="AQ339" s="169" t="str">
        <f t="shared" si="86"/>
        <v/>
      </c>
      <c r="AR339" s="170" t="str">
        <f t="shared" si="87"/>
        <v>BiK81M1-----04</v>
      </c>
      <c r="AS339" s="169" t="str">
        <f t="shared" si="88"/>
        <v/>
      </c>
      <c r="AT339">
        <f t="shared" si="89"/>
        <v>14</v>
      </c>
      <c r="AU339" s="170" t="str">
        <f t="shared" si="90"/>
        <v>0-0,15 MW, Bonusregel M1</v>
      </c>
      <c r="AV339" s="169" t="str">
        <f t="shared" si="91"/>
        <v/>
      </c>
      <c r="AW339" s="170" t="str">
        <f t="shared" si="92"/>
        <v>Anteil Nicht-KWK</v>
      </c>
      <c r="AX339" s="169" t="str">
        <f t="shared" si="93"/>
        <v/>
      </c>
      <c r="AY339" t="str">
        <f t="shared" si="94"/>
        <v/>
      </c>
      <c r="AZ339" t="str">
        <f t="shared" si="95"/>
        <v/>
      </c>
    </row>
    <row r="340" spans="1:52" s="145" customFormat="1" x14ac:dyDescent="0.35">
      <c r="A340" s="497" t="s">
        <v>2694</v>
      </c>
      <c r="B340" s="13" t="s">
        <v>5547</v>
      </c>
      <c r="C340" s="13" t="s">
        <v>4808</v>
      </c>
      <c r="D340" s="13" t="s">
        <v>6892</v>
      </c>
      <c r="E340" s="13" t="s">
        <v>4811</v>
      </c>
      <c r="F340" s="373">
        <f t="shared" si="101"/>
        <v>24.67</v>
      </c>
      <c r="G340" s="430">
        <v>24.67</v>
      </c>
      <c r="H340" s="399">
        <f t="shared" si="102"/>
        <v>19.739999999999998</v>
      </c>
      <c r="I340" s="576"/>
      <c r="J340" s="549" t="s">
        <v>5804</v>
      </c>
      <c r="K340" s="11"/>
      <c r="L340"/>
      <c r="M340" s="37">
        <f t="shared" si="103"/>
        <v>24.67</v>
      </c>
      <c r="N340" s="29">
        <v>11.67</v>
      </c>
      <c r="O340" s="149" t="s">
        <v>1017</v>
      </c>
      <c r="P340" s="144"/>
      <c r="S340" s="145" t="s">
        <v>4179</v>
      </c>
      <c r="T340" s="145" t="s">
        <v>4179</v>
      </c>
      <c r="U340" s="146"/>
      <c r="W340" s="147"/>
      <c r="X340" s="147"/>
      <c r="Z340" s="145" t="s">
        <v>1017</v>
      </c>
      <c r="AA340" s="147"/>
      <c r="AD340" s="147"/>
      <c r="AE340" s="148"/>
      <c r="AF340" s="147"/>
      <c r="AG340" s="147"/>
      <c r="AH340" s="166" t="str">
        <f t="shared" si="109"/>
        <v/>
      </c>
      <c r="AI340" s="168" t="str">
        <f t="shared" si="96"/>
        <v/>
      </c>
      <c r="AJ340" s="168" t="str">
        <f t="shared" si="97"/>
        <v/>
      </c>
      <c r="AK340" s="168" t="str">
        <f t="shared" si="98"/>
        <v/>
      </c>
      <c r="AL340" s="168" t="str">
        <f t="shared" si="99"/>
        <v/>
      </c>
      <c r="AM340" s="168" t="str">
        <f t="shared" si="100"/>
        <v/>
      </c>
      <c r="AN340" s="167" t="str">
        <f t="shared" si="83"/>
        <v/>
      </c>
      <c r="AO340" s="167" t="str">
        <f t="shared" si="84"/>
        <v/>
      </c>
      <c r="AP340" s="167" t="str">
        <f t="shared" si="85"/>
        <v/>
      </c>
      <c r="AQ340" s="169" t="str">
        <f t="shared" si="86"/>
        <v/>
      </c>
      <c r="AR340" s="170" t="str">
        <f t="shared" si="87"/>
        <v>BiK81M1KWK--04</v>
      </c>
      <c r="AS340" s="169" t="str">
        <f t="shared" si="88"/>
        <v/>
      </c>
      <c r="AT340">
        <f t="shared" si="89"/>
        <v>14</v>
      </c>
      <c r="AU340" s="170" t="str">
        <f t="shared" si="90"/>
        <v>0-0,15 MW, Bonusregeln M1 und KWK</v>
      </c>
      <c r="AV340" s="169" t="str">
        <f t="shared" si="91"/>
        <v/>
      </c>
      <c r="AW340" s="170" t="str">
        <f t="shared" si="92"/>
        <v>Anteil KWK</v>
      </c>
      <c r="AX340" s="169" t="str">
        <f t="shared" si="93"/>
        <v/>
      </c>
      <c r="AY340" t="str">
        <f t="shared" si="94"/>
        <v/>
      </c>
      <c r="AZ340" t="str">
        <f t="shared" si="95"/>
        <v/>
      </c>
    </row>
    <row r="341" spans="1:52" s="145" customFormat="1" x14ac:dyDescent="0.35">
      <c r="A341" s="497" t="s">
        <v>2695</v>
      </c>
      <c r="B341" s="13" t="s">
        <v>5547</v>
      </c>
      <c r="C341" s="13" t="s">
        <v>4808</v>
      </c>
      <c r="D341" s="13" t="s">
        <v>6818</v>
      </c>
      <c r="E341" s="13" t="s">
        <v>4330</v>
      </c>
      <c r="F341" s="373">
        <f t="shared" si="101"/>
        <v>25.67</v>
      </c>
      <c r="G341" s="430">
        <v>25.67</v>
      </c>
      <c r="H341" s="399">
        <f t="shared" si="102"/>
        <v>20.54</v>
      </c>
      <c r="I341" s="576"/>
      <c r="J341" s="549" t="s">
        <v>5804</v>
      </c>
      <c r="K341" s="11"/>
      <c r="L341"/>
      <c r="M341" s="37">
        <f t="shared" si="103"/>
        <v>25.67</v>
      </c>
      <c r="N341" s="29">
        <v>11.67</v>
      </c>
      <c r="O341" s="149"/>
      <c r="P341" s="145" t="s">
        <v>1017</v>
      </c>
      <c r="S341" s="145" t="s">
        <v>4179</v>
      </c>
      <c r="T341" s="145" t="s">
        <v>4179</v>
      </c>
      <c r="U341" s="146"/>
      <c r="W341" s="147"/>
      <c r="X341" s="147"/>
      <c r="Z341" s="145" t="s">
        <v>1017</v>
      </c>
      <c r="AA341" s="147"/>
      <c r="AD341" s="147"/>
      <c r="AE341" s="148"/>
      <c r="AF341" s="147"/>
      <c r="AG341" s="147"/>
      <c r="AH341" s="166" t="str">
        <f t="shared" si="109"/>
        <v/>
      </c>
      <c r="AI341" s="168" t="str">
        <f t="shared" si="96"/>
        <v/>
      </c>
      <c r="AJ341" s="168" t="str">
        <f t="shared" si="97"/>
        <v/>
      </c>
      <c r="AK341" s="168" t="str">
        <f t="shared" si="98"/>
        <v/>
      </c>
      <c r="AL341" s="168" t="str">
        <f t="shared" si="99"/>
        <v/>
      </c>
      <c r="AM341" s="168" t="str">
        <f t="shared" si="100"/>
        <v/>
      </c>
      <c r="AN341" s="167" t="str">
        <f t="shared" si="83"/>
        <v/>
      </c>
      <c r="AO341" s="167" t="str">
        <f t="shared" si="84"/>
        <v/>
      </c>
      <c r="AP341" s="167" t="str">
        <f t="shared" si="85"/>
        <v/>
      </c>
      <c r="AQ341" s="169" t="str">
        <f t="shared" si="86"/>
        <v/>
      </c>
      <c r="AR341" s="170" t="str">
        <f t="shared" si="87"/>
        <v>BiK81M1KA3--04</v>
      </c>
      <c r="AS341" s="169" t="str">
        <f t="shared" si="88"/>
        <v/>
      </c>
      <c r="AT341">
        <f t="shared" si="89"/>
        <v>14</v>
      </c>
      <c r="AU341" s="170" t="str">
        <f t="shared" si="90"/>
        <v>0-0,15 MW, Bonusregeln M1 und K wenn Anlage 3 erfüllt</v>
      </c>
      <c r="AV341" s="169" t="str">
        <f t="shared" si="91"/>
        <v/>
      </c>
      <c r="AW341" s="170" t="str">
        <f t="shared" si="92"/>
        <v>Anteil KWK gemäß Anlage 3</v>
      </c>
      <c r="AX341" s="169" t="str">
        <f t="shared" si="93"/>
        <v/>
      </c>
      <c r="AY341" t="str">
        <f t="shared" si="94"/>
        <v/>
      </c>
      <c r="AZ341" t="str">
        <f t="shared" si="95"/>
        <v/>
      </c>
    </row>
    <row r="342" spans="1:52" s="145" customFormat="1" x14ac:dyDescent="0.35">
      <c r="A342" s="497" t="s">
        <v>2696</v>
      </c>
      <c r="B342" s="13" t="s">
        <v>5547</v>
      </c>
      <c r="C342" s="13" t="s">
        <v>4808</v>
      </c>
      <c r="D342" s="13" t="s">
        <v>6893</v>
      </c>
      <c r="E342" s="13" t="s">
        <v>674</v>
      </c>
      <c r="F342" s="373">
        <f t="shared" si="101"/>
        <v>25.67</v>
      </c>
      <c r="G342" s="430">
        <v>25.67</v>
      </c>
      <c r="H342" s="399">
        <f t="shared" si="102"/>
        <v>20.54</v>
      </c>
      <c r="I342" s="576"/>
      <c r="J342" s="549" t="s">
        <v>5804</v>
      </c>
      <c r="K342" s="11"/>
      <c r="L342"/>
      <c r="M342" s="37">
        <f t="shared" si="103"/>
        <v>25.67</v>
      </c>
      <c r="N342" s="29">
        <v>11.67</v>
      </c>
      <c r="O342" s="149"/>
      <c r="P342" s="144"/>
      <c r="Q342" s="145" t="s">
        <v>1017</v>
      </c>
      <c r="S342" s="145" t="s">
        <v>4179</v>
      </c>
      <c r="T342" s="145" t="s">
        <v>4179</v>
      </c>
      <c r="U342" s="146"/>
      <c r="W342" s="147"/>
      <c r="X342" s="147"/>
      <c r="Z342" s="145" t="s">
        <v>1017</v>
      </c>
      <c r="AA342" s="147"/>
      <c r="AD342" s="147"/>
      <c r="AE342" s="148"/>
      <c r="AF342" s="147"/>
      <c r="AG342" s="147"/>
      <c r="AH342" s="166" t="str">
        <f t="shared" si="109"/>
        <v/>
      </c>
      <c r="AI342" s="168" t="str">
        <f t="shared" si="96"/>
        <v/>
      </c>
      <c r="AJ342" s="168" t="str">
        <f t="shared" si="97"/>
        <v/>
      </c>
      <c r="AK342" s="168" t="str">
        <f t="shared" si="98"/>
        <v/>
      </c>
      <c r="AL342" s="168" t="str">
        <f t="shared" si="99"/>
        <v/>
      </c>
      <c r="AM342" s="168" t="str">
        <f t="shared" si="100"/>
        <v/>
      </c>
      <c r="AN342" s="167" t="str">
        <f t="shared" si="83"/>
        <v/>
      </c>
      <c r="AO342" s="167" t="str">
        <f t="shared" si="84"/>
        <v/>
      </c>
      <c r="AP342" s="167" t="str">
        <f t="shared" si="85"/>
        <v/>
      </c>
      <c r="AQ342" s="169" t="str">
        <f t="shared" si="86"/>
        <v/>
      </c>
      <c r="AR342" s="170" t="str">
        <f t="shared" si="87"/>
        <v>BiK81M1K09--04</v>
      </c>
      <c r="AS342" s="169" t="str">
        <f t="shared" si="88"/>
        <v/>
      </c>
      <c r="AT342">
        <f t="shared" si="89"/>
        <v>14</v>
      </c>
      <c r="AU342" s="170" t="str">
        <f t="shared" si="90"/>
        <v>0-0,15 MW, Bonusregeln M1, K erstmals 2009</v>
      </c>
      <c r="AV342" s="169" t="str">
        <f t="shared" si="91"/>
        <v/>
      </c>
      <c r="AW342" s="170" t="str">
        <f t="shared" si="92"/>
        <v>Anteil KWK, erstmals 2009</v>
      </c>
      <c r="AX342" s="169" t="str">
        <f t="shared" si="93"/>
        <v/>
      </c>
      <c r="AY342" t="str">
        <f t="shared" si="94"/>
        <v/>
      </c>
      <c r="AZ342" t="str">
        <f t="shared" si="95"/>
        <v/>
      </c>
    </row>
    <row r="343" spans="1:52" x14ac:dyDescent="0.35">
      <c r="A343" s="497" t="s">
        <v>1634</v>
      </c>
      <c r="B343" s="13" t="s">
        <v>5547</v>
      </c>
      <c r="C343" s="13" t="s">
        <v>4808</v>
      </c>
      <c r="D343" s="13" t="s">
        <v>6894</v>
      </c>
      <c r="E343" s="13" t="s">
        <v>3566</v>
      </c>
      <c r="F343" s="373">
        <f t="shared" si="101"/>
        <v>25.64</v>
      </c>
      <c r="G343" s="430">
        <v>25.64</v>
      </c>
      <c r="H343" s="399">
        <f t="shared" si="102"/>
        <v>20.51</v>
      </c>
      <c r="I343" s="576"/>
      <c r="J343" s="549" t="s">
        <v>5804</v>
      </c>
      <c r="K343" s="11"/>
      <c r="M343" s="37">
        <f t="shared" si="103"/>
        <v>25.64</v>
      </c>
      <c r="N343" s="29">
        <v>11.67</v>
      </c>
      <c r="O343" s="149"/>
      <c r="P343" s="144"/>
      <c r="Q343" s="145"/>
      <c r="R343" s="145" t="s">
        <v>1017</v>
      </c>
      <c r="S343" s="145" t="s">
        <v>4179</v>
      </c>
      <c r="T343" t="s">
        <v>4179</v>
      </c>
      <c r="U343" s="146"/>
      <c r="V343" s="145"/>
      <c r="W343" s="147"/>
      <c r="X343" s="147"/>
      <c r="Y343" s="145"/>
      <c r="Z343" s="145" t="s">
        <v>1017</v>
      </c>
      <c r="AA343" s="147"/>
      <c r="AB343" s="145"/>
      <c r="AC343" s="145"/>
      <c r="AD343" s="147"/>
      <c r="AE343" s="148"/>
      <c r="AF343" s="147"/>
      <c r="AG343" s="147"/>
      <c r="AH343" s="166" t="str">
        <f t="shared" si="109"/>
        <v>2010</v>
      </c>
      <c r="AI343" s="168" t="str">
        <f t="shared" si="96"/>
        <v/>
      </c>
      <c r="AJ343" s="168" t="str">
        <f t="shared" si="97"/>
        <v/>
      </c>
      <c r="AK343" s="168" t="str">
        <f t="shared" si="98"/>
        <v/>
      </c>
      <c r="AL343" s="168" t="str">
        <f t="shared" si="99"/>
        <v/>
      </c>
      <c r="AM343" s="168" t="str">
        <f t="shared" si="100"/>
        <v/>
      </c>
      <c r="AN343" s="167" t="str">
        <f t="shared" si="83"/>
        <v>2010</v>
      </c>
      <c r="AO343" s="167" t="str">
        <f t="shared" si="84"/>
        <v>2010</v>
      </c>
      <c r="AP343" s="167" t="str">
        <f t="shared" si="85"/>
        <v>2010</v>
      </c>
      <c r="AQ343" s="169" t="str">
        <f t="shared" si="86"/>
        <v/>
      </c>
      <c r="AR343" s="170" t="str">
        <f t="shared" si="87"/>
        <v>BiK81M1K10--04</v>
      </c>
      <c r="AS343" s="169" t="str">
        <f t="shared" si="88"/>
        <v/>
      </c>
      <c r="AT343">
        <f t="shared" si="89"/>
        <v>14</v>
      </c>
      <c r="AU343" s="170" t="str">
        <f t="shared" si="90"/>
        <v>0-0,15 MW, Bonusregeln M1, K erstmals 2010</v>
      </c>
      <c r="AV343" s="169" t="str">
        <f t="shared" si="91"/>
        <v/>
      </c>
      <c r="AW343" s="170" t="str">
        <f t="shared" si="92"/>
        <v>Anteil KWK, erstmals 2010</v>
      </c>
      <c r="AX343" s="169" t="str">
        <f t="shared" si="93"/>
        <v/>
      </c>
      <c r="AY343" t="str">
        <f t="shared" si="94"/>
        <v/>
      </c>
      <c r="AZ343" t="str">
        <f t="shared" si="95"/>
        <v/>
      </c>
    </row>
    <row r="344" spans="1:52" x14ac:dyDescent="0.35">
      <c r="A344" s="497" t="s">
        <v>5248</v>
      </c>
      <c r="B344" s="13" t="s">
        <v>5547</v>
      </c>
      <c r="C344" s="13" t="s">
        <v>4808</v>
      </c>
      <c r="D344" s="13" t="s">
        <v>6895</v>
      </c>
      <c r="E344" s="13" t="s">
        <v>3054</v>
      </c>
      <c r="F344" s="373">
        <f t="shared" si="101"/>
        <v>25.61</v>
      </c>
      <c r="G344" s="430">
        <v>25.61</v>
      </c>
      <c r="H344" s="399">
        <f t="shared" si="102"/>
        <v>20.49</v>
      </c>
      <c r="I344" s="576"/>
      <c r="J344" s="549" t="s">
        <v>5804</v>
      </c>
      <c r="K344" s="11"/>
      <c r="M344" s="37">
        <f t="shared" si="103"/>
        <v>25.61</v>
      </c>
      <c r="N344" s="29">
        <v>11.67</v>
      </c>
      <c r="O344" s="149"/>
      <c r="P344" s="144"/>
      <c r="Q344" s="145"/>
      <c r="R344" s="145"/>
      <c r="S344" s="145" t="s">
        <v>1017</v>
      </c>
      <c r="T344" t="s">
        <v>4179</v>
      </c>
      <c r="U344" s="146"/>
      <c r="V344" s="145"/>
      <c r="W344" s="147"/>
      <c r="X344" s="147"/>
      <c r="Y344" s="145"/>
      <c r="Z344" s="145" t="s">
        <v>1017</v>
      </c>
      <c r="AA344" s="147"/>
      <c r="AB344" s="145"/>
      <c r="AC344" s="145"/>
      <c r="AD344" s="147"/>
      <c r="AE344" s="148"/>
      <c r="AF344" s="147"/>
      <c r="AG344" s="147"/>
      <c r="AH344" s="166" t="str">
        <f t="shared" si="109"/>
        <v>2011</v>
      </c>
      <c r="AI344" s="168" t="str">
        <f t="shared" si="96"/>
        <v/>
      </c>
      <c r="AJ344" s="168" t="str">
        <f t="shared" si="97"/>
        <v/>
      </c>
      <c r="AK344" s="168" t="str">
        <f t="shared" si="98"/>
        <v/>
      </c>
      <c r="AL344" s="168" t="str">
        <f t="shared" si="99"/>
        <v/>
      </c>
      <c r="AM344" s="168" t="str">
        <f t="shared" si="100"/>
        <v/>
      </c>
      <c r="AN344" s="167" t="str">
        <f t="shared" si="83"/>
        <v>2011</v>
      </c>
      <c r="AO344" s="167" t="str">
        <f t="shared" si="84"/>
        <v>2011</v>
      </c>
      <c r="AP344" s="167" t="str">
        <f t="shared" si="85"/>
        <v>2011</v>
      </c>
      <c r="AQ344" s="169" t="str">
        <f t="shared" si="86"/>
        <v/>
      </c>
      <c r="AR344" s="170" t="str">
        <f t="shared" si="87"/>
        <v>BiK81M1K11--04</v>
      </c>
      <c r="AS344" s="169" t="str">
        <f t="shared" si="88"/>
        <v/>
      </c>
      <c r="AT344">
        <f t="shared" si="89"/>
        <v>14</v>
      </c>
      <c r="AU344" s="170" t="str">
        <f t="shared" si="90"/>
        <v>0-0,15 MW, Bonusregeln M1, K erstmals 2011</v>
      </c>
      <c r="AV344" s="169" t="str">
        <f t="shared" si="91"/>
        <v/>
      </c>
      <c r="AW344" s="170" t="str">
        <f t="shared" si="92"/>
        <v>Anteil KWK, erstmals 2011</v>
      </c>
      <c r="AX344" s="169" t="str">
        <f t="shared" si="93"/>
        <v/>
      </c>
      <c r="AY344" t="str">
        <f t="shared" si="94"/>
        <v>x</v>
      </c>
      <c r="AZ344" t="str">
        <f t="shared" si="95"/>
        <v/>
      </c>
    </row>
    <row r="345" spans="1:52" x14ac:dyDescent="0.35">
      <c r="A345" s="511" t="s">
        <v>3555</v>
      </c>
      <c r="B345" s="173" t="s">
        <v>5547</v>
      </c>
      <c r="C345" s="173" t="s">
        <v>4808</v>
      </c>
      <c r="D345" s="173" t="s">
        <v>6896</v>
      </c>
      <c r="E345" s="173" t="s">
        <v>1980</v>
      </c>
      <c r="F345" s="374">
        <f t="shared" si="101"/>
        <v>25.58</v>
      </c>
      <c r="G345" s="431">
        <v>25.58</v>
      </c>
      <c r="H345" s="400">
        <f t="shared" si="102"/>
        <v>20.46</v>
      </c>
      <c r="I345" s="577"/>
      <c r="J345" s="549" t="s">
        <v>5804</v>
      </c>
      <c r="K345" s="11"/>
      <c r="M345" s="37">
        <f t="shared" si="103"/>
        <v>25.58</v>
      </c>
      <c r="N345" s="29">
        <v>11.67</v>
      </c>
      <c r="O345" s="149"/>
      <c r="P345" s="144"/>
      <c r="Q345" s="145"/>
      <c r="R345" s="145"/>
      <c r="S345" s="145" t="s">
        <v>4179</v>
      </c>
      <c r="T345" t="s">
        <v>1017</v>
      </c>
      <c r="U345" s="146"/>
      <c r="V345" s="145"/>
      <c r="W345" s="147"/>
      <c r="X345" s="147"/>
      <c r="Y345" s="145"/>
      <c r="Z345" s="145" t="s">
        <v>1017</v>
      </c>
      <c r="AA345" s="147"/>
      <c r="AB345" s="145"/>
      <c r="AC345" s="145"/>
      <c r="AD345" s="147"/>
      <c r="AE345" s="148"/>
      <c r="AF345" s="147"/>
      <c r="AG345" s="147"/>
      <c r="AH345" s="171" t="s">
        <v>4178</v>
      </c>
      <c r="AI345" s="168" t="str">
        <f t="shared" si="96"/>
        <v/>
      </c>
      <c r="AJ345" s="168" t="str">
        <f t="shared" si="97"/>
        <v/>
      </c>
      <c r="AK345" s="168" t="str">
        <f t="shared" si="98"/>
        <v/>
      </c>
      <c r="AL345" s="168" t="str">
        <f t="shared" si="99"/>
        <v/>
      </c>
      <c r="AM345" s="168" t="str">
        <f t="shared" si="100"/>
        <v/>
      </c>
      <c r="AN345" s="167" t="str">
        <f t="shared" si="83"/>
        <v>2012</v>
      </c>
      <c r="AO345" s="167" t="str">
        <f t="shared" si="84"/>
        <v>2012</v>
      </c>
      <c r="AP345" s="167" t="str">
        <f t="shared" si="85"/>
        <v>2012</v>
      </c>
      <c r="AQ345" s="169" t="str">
        <f t="shared" si="86"/>
        <v/>
      </c>
      <c r="AR345" s="170" t="str">
        <f t="shared" si="87"/>
        <v>BiK81M1K12--04</v>
      </c>
      <c r="AS345" s="169" t="str">
        <f t="shared" si="88"/>
        <v/>
      </c>
      <c r="AT345">
        <f t="shared" si="89"/>
        <v>14</v>
      </c>
      <c r="AU345" s="170" t="str">
        <f t="shared" si="90"/>
        <v>0-0,15 MW, Bonusregeln M1, K erstmals 2012</v>
      </c>
      <c r="AV345" s="169" t="str">
        <f t="shared" si="91"/>
        <v/>
      </c>
      <c r="AW345" s="170" t="str">
        <f t="shared" si="92"/>
        <v>Anteil KWK, erstmals 2012</v>
      </c>
      <c r="AX345" s="169" t="str">
        <f t="shared" si="93"/>
        <v/>
      </c>
      <c r="AY345" t="str">
        <f t="shared" si="94"/>
        <v/>
      </c>
      <c r="AZ345" t="str">
        <f t="shared" si="95"/>
        <v>x</v>
      </c>
    </row>
    <row r="346" spans="1:52" x14ac:dyDescent="0.35">
      <c r="A346" s="497" t="s">
        <v>2697</v>
      </c>
      <c r="B346" s="13" t="s">
        <v>5547</v>
      </c>
      <c r="C346" s="13" t="s">
        <v>4808</v>
      </c>
      <c r="D346" s="13" t="s">
        <v>6823</v>
      </c>
      <c r="E346" s="13" t="s">
        <v>4809</v>
      </c>
      <c r="F346" s="373">
        <f t="shared" si="101"/>
        <v>23.67</v>
      </c>
      <c r="G346" s="430">
        <v>23.67</v>
      </c>
      <c r="H346" s="399">
        <f t="shared" si="102"/>
        <v>18.940000000000001</v>
      </c>
      <c r="I346" s="576"/>
      <c r="J346" s="549" t="s">
        <v>5804</v>
      </c>
      <c r="K346" s="11"/>
      <c r="M346" s="37">
        <f t="shared" si="103"/>
        <v>23.67</v>
      </c>
      <c r="N346" s="29">
        <v>11.67</v>
      </c>
      <c r="O346" s="149"/>
      <c r="P346" s="144"/>
      <c r="Q346" s="145"/>
      <c r="R346" s="145"/>
      <c r="S346" s="145" t="s">
        <v>4179</v>
      </c>
      <c r="T346" t="s">
        <v>4179</v>
      </c>
      <c r="U346" s="146" t="s">
        <v>1017</v>
      </c>
      <c r="V346" s="145"/>
      <c r="W346" s="147"/>
      <c r="X346" s="147"/>
      <c r="Y346" s="145"/>
      <c r="Z346" s="145" t="s">
        <v>1017</v>
      </c>
      <c r="AA346" s="147"/>
      <c r="AB346" s="145"/>
      <c r="AC346" s="145"/>
      <c r="AD346" s="147"/>
      <c r="AE346" s="148"/>
      <c r="AF346" s="147"/>
      <c r="AG346" s="147"/>
      <c r="AH346" s="166" t="str">
        <f t="shared" ref="AH346:AH351" si="110">IF(ISERROR(SEARCH("K erstmals 201",D346)),"",RIGHT(D346,4))</f>
        <v/>
      </c>
      <c r="AI346" s="168" t="str">
        <f t="shared" si="96"/>
        <v/>
      </c>
      <c r="AJ346" s="168" t="str">
        <f t="shared" si="97"/>
        <v/>
      </c>
      <c r="AK346" s="168" t="str">
        <f t="shared" si="98"/>
        <v/>
      </c>
      <c r="AL346" s="168" t="str">
        <f t="shared" si="99"/>
        <v/>
      </c>
      <c r="AM346" s="168" t="str">
        <f t="shared" si="100"/>
        <v/>
      </c>
      <c r="AN346" s="167" t="str">
        <f t="shared" si="83"/>
        <v/>
      </c>
      <c r="AO346" s="167" t="str">
        <f t="shared" si="84"/>
        <v/>
      </c>
      <c r="AP346" s="167" t="str">
        <f t="shared" si="85"/>
        <v/>
      </c>
      <c r="AQ346" s="169" t="str">
        <f t="shared" si="86"/>
        <v/>
      </c>
      <c r="AR346" s="170" t="str">
        <f t="shared" si="87"/>
        <v>BiK81M1y----04</v>
      </c>
      <c r="AS346" s="169" t="str">
        <f t="shared" si="88"/>
        <v/>
      </c>
      <c r="AT346">
        <f t="shared" si="89"/>
        <v>14</v>
      </c>
      <c r="AU346" s="170" t="str">
        <f t="shared" si="90"/>
        <v>0-0,15 MW, Bonusregeln M1, y</v>
      </c>
      <c r="AV346" s="169" t="str">
        <f t="shared" si="91"/>
        <v/>
      </c>
      <c r="AW346" s="170" t="str">
        <f t="shared" si="92"/>
        <v>Anteil Nicht-KWK</v>
      </c>
      <c r="AX346" s="169" t="str">
        <f t="shared" si="93"/>
        <v/>
      </c>
      <c r="AY346" t="str">
        <f t="shared" si="94"/>
        <v/>
      </c>
      <c r="AZ346" t="str">
        <f t="shared" si="95"/>
        <v/>
      </c>
    </row>
    <row r="347" spans="1:52" x14ac:dyDescent="0.35">
      <c r="A347" s="497" t="s">
        <v>2698</v>
      </c>
      <c r="B347" s="13" t="s">
        <v>5547</v>
      </c>
      <c r="C347" s="13" t="s">
        <v>4808</v>
      </c>
      <c r="D347" s="13" t="s">
        <v>6897</v>
      </c>
      <c r="E347" s="13" t="s">
        <v>4811</v>
      </c>
      <c r="F347" s="373">
        <f t="shared" si="101"/>
        <v>25.67</v>
      </c>
      <c r="G347" s="430">
        <v>25.67</v>
      </c>
      <c r="H347" s="399">
        <f t="shared" si="102"/>
        <v>20.54</v>
      </c>
      <c r="I347" s="576"/>
      <c r="J347" s="549" t="s">
        <v>5804</v>
      </c>
      <c r="K347" s="11"/>
      <c r="M347" s="37">
        <f t="shared" si="103"/>
        <v>25.67</v>
      </c>
      <c r="N347" s="29">
        <v>11.67</v>
      </c>
      <c r="O347" s="149" t="s">
        <v>1017</v>
      </c>
      <c r="P347" s="144"/>
      <c r="Q347" s="145"/>
      <c r="R347" s="145"/>
      <c r="S347" s="145" t="s">
        <v>4179</v>
      </c>
      <c r="T347" t="s">
        <v>4179</v>
      </c>
      <c r="U347" s="146" t="s">
        <v>1017</v>
      </c>
      <c r="V347" s="145"/>
      <c r="W347" s="147"/>
      <c r="X347" s="147"/>
      <c r="Y347" s="145"/>
      <c r="Z347" s="145" t="s">
        <v>1017</v>
      </c>
      <c r="AA347" s="147"/>
      <c r="AB347" s="145"/>
      <c r="AC347" s="145"/>
      <c r="AD347" s="147"/>
      <c r="AE347" s="148"/>
      <c r="AF347" s="147"/>
      <c r="AG347" s="147"/>
      <c r="AH347" s="166" t="str">
        <f t="shared" si="110"/>
        <v/>
      </c>
      <c r="AI347" s="168" t="str">
        <f t="shared" si="96"/>
        <v/>
      </c>
      <c r="AJ347" s="168" t="str">
        <f t="shared" si="97"/>
        <v/>
      </c>
      <c r="AK347" s="168" t="str">
        <f t="shared" si="98"/>
        <v/>
      </c>
      <c r="AL347" s="168" t="str">
        <f t="shared" si="99"/>
        <v/>
      </c>
      <c r="AM347" s="168" t="str">
        <f t="shared" si="100"/>
        <v/>
      </c>
      <c r="AN347" s="167" t="str">
        <f t="shared" si="83"/>
        <v/>
      </c>
      <c r="AO347" s="167" t="str">
        <f t="shared" si="84"/>
        <v/>
      </c>
      <c r="AP347" s="167" t="str">
        <f t="shared" si="85"/>
        <v/>
      </c>
      <c r="AQ347" s="169" t="str">
        <f t="shared" si="86"/>
        <v/>
      </c>
      <c r="AR347" s="170" t="str">
        <f t="shared" si="87"/>
        <v>BiK81M1KWKy-04</v>
      </c>
      <c r="AS347" s="169" t="str">
        <f t="shared" si="88"/>
        <v/>
      </c>
      <c r="AT347">
        <f t="shared" si="89"/>
        <v>14</v>
      </c>
      <c r="AU347" s="170" t="str">
        <f t="shared" si="90"/>
        <v>0-0,15 MW, Bonusregeln M1, y und KWK</v>
      </c>
      <c r="AV347" s="169" t="str">
        <f t="shared" si="91"/>
        <v/>
      </c>
      <c r="AW347" s="170" t="str">
        <f t="shared" si="92"/>
        <v>Anteil KWK</v>
      </c>
      <c r="AX347" s="169" t="str">
        <f t="shared" si="93"/>
        <v/>
      </c>
      <c r="AY347" t="str">
        <f t="shared" si="94"/>
        <v/>
      </c>
      <c r="AZ347" t="str">
        <f t="shared" si="95"/>
        <v/>
      </c>
    </row>
    <row r="348" spans="1:52" x14ac:dyDescent="0.35">
      <c r="A348" s="497" t="s">
        <v>2699</v>
      </c>
      <c r="B348" s="13" t="s">
        <v>5547</v>
      </c>
      <c r="C348" s="13" t="s">
        <v>4808</v>
      </c>
      <c r="D348" s="88" t="s">
        <v>6824</v>
      </c>
      <c r="E348" s="13" t="s">
        <v>4330</v>
      </c>
      <c r="F348" s="373">
        <f t="shared" si="101"/>
        <v>26.67</v>
      </c>
      <c r="G348" s="430">
        <v>26.67</v>
      </c>
      <c r="H348" s="399">
        <f t="shared" si="102"/>
        <v>21.34</v>
      </c>
      <c r="I348" s="576"/>
      <c r="J348" s="549" t="s">
        <v>5804</v>
      </c>
      <c r="K348" s="11"/>
      <c r="M348" s="37">
        <f t="shared" si="103"/>
        <v>26.67</v>
      </c>
      <c r="N348" s="29">
        <v>11.67</v>
      </c>
      <c r="O348" s="149"/>
      <c r="P348" s="145" t="s">
        <v>1017</v>
      </c>
      <c r="Q348" s="145"/>
      <c r="R348" s="145"/>
      <c r="S348" s="145" t="s">
        <v>4179</v>
      </c>
      <c r="T348" t="s">
        <v>4179</v>
      </c>
      <c r="U348" s="146" t="s">
        <v>1017</v>
      </c>
      <c r="V348" s="145"/>
      <c r="W348" s="147"/>
      <c r="X348" s="147"/>
      <c r="Y348" s="145"/>
      <c r="Z348" s="145" t="s">
        <v>1017</v>
      </c>
      <c r="AA348" s="147"/>
      <c r="AB348" s="145"/>
      <c r="AC348" s="145"/>
      <c r="AD348" s="147"/>
      <c r="AE348" s="148"/>
      <c r="AF348" s="147"/>
      <c r="AG348" s="147"/>
      <c r="AH348" s="166" t="str">
        <f t="shared" si="110"/>
        <v/>
      </c>
      <c r="AI348" s="168" t="str">
        <f t="shared" si="96"/>
        <v/>
      </c>
      <c r="AJ348" s="168" t="str">
        <f t="shared" si="97"/>
        <v/>
      </c>
      <c r="AK348" s="168" t="str">
        <f t="shared" si="98"/>
        <v/>
      </c>
      <c r="AL348" s="168" t="str">
        <f t="shared" si="99"/>
        <v/>
      </c>
      <c r="AM348" s="168" t="str">
        <f t="shared" si="100"/>
        <v/>
      </c>
      <c r="AN348" s="167" t="str">
        <f t="shared" si="83"/>
        <v/>
      </c>
      <c r="AO348" s="167" t="str">
        <f t="shared" si="84"/>
        <v/>
      </c>
      <c r="AP348" s="167" t="str">
        <f t="shared" si="85"/>
        <v/>
      </c>
      <c r="AQ348" s="169" t="str">
        <f t="shared" si="86"/>
        <v/>
      </c>
      <c r="AR348" s="170" t="str">
        <f t="shared" si="87"/>
        <v>BiK81M1KA3y-04</v>
      </c>
      <c r="AS348" s="169" t="str">
        <f t="shared" si="88"/>
        <v/>
      </c>
      <c r="AT348">
        <f t="shared" si="89"/>
        <v>14</v>
      </c>
      <c r="AU348" s="170" t="str">
        <f t="shared" si="90"/>
        <v>0-0,15 MW, Bonusregeln M1, y und K wenn Anlage 3 erfüllt</v>
      </c>
      <c r="AV348" s="169" t="str">
        <f t="shared" si="91"/>
        <v/>
      </c>
      <c r="AW348" s="170" t="str">
        <f t="shared" si="92"/>
        <v>Anteil KWK gemäß Anlage 3</v>
      </c>
      <c r="AX348" s="169" t="str">
        <f t="shared" si="93"/>
        <v/>
      </c>
      <c r="AY348" t="str">
        <f t="shared" si="94"/>
        <v/>
      </c>
      <c r="AZ348" t="str">
        <f t="shared" si="95"/>
        <v/>
      </c>
    </row>
    <row r="349" spans="1:52" x14ac:dyDescent="0.35">
      <c r="A349" s="497" t="s">
        <v>2700</v>
      </c>
      <c r="B349" s="13" t="s">
        <v>5547</v>
      </c>
      <c r="C349" s="13" t="s">
        <v>4808</v>
      </c>
      <c r="D349" s="13" t="s">
        <v>6825</v>
      </c>
      <c r="E349" s="13" t="s">
        <v>674</v>
      </c>
      <c r="F349" s="373">
        <f t="shared" si="101"/>
        <v>26.67</v>
      </c>
      <c r="G349" s="430">
        <v>26.67</v>
      </c>
      <c r="H349" s="399">
        <f t="shared" si="102"/>
        <v>21.34</v>
      </c>
      <c r="I349" s="576"/>
      <c r="J349" s="549" t="s">
        <v>5804</v>
      </c>
      <c r="K349" s="11"/>
      <c r="M349" s="37">
        <f t="shared" si="103"/>
        <v>26.67</v>
      </c>
      <c r="N349" s="29">
        <v>11.67</v>
      </c>
      <c r="O349" s="149"/>
      <c r="P349" s="144"/>
      <c r="Q349" s="145" t="s">
        <v>1017</v>
      </c>
      <c r="R349" s="145"/>
      <c r="S349" s="145" t="s">
        <v>4179</v>
      </c>
      <c r="T349" t="s">
        <v>4179</v>
      </c>
      <c r="U349" s="146" t="s">
        <v>1017</v>
      </c>
      <c r="V349" s="145"/>
      <c r="W349" s="147"/>
      <c r="X349" s="147"/>
      <c r="Y349" s="145"/>
      <c r="Z349" s="145" t="s">
        <v>1017</v>
      </c>
      <c r="AA349" s="147"/>
      <c r="AB349" s="145"/>
      <c r="AC349" s="145"/>
      <c r="AD349" s="147"/>
      <c r="AE349" s="148"/>
      <c r="AF349" s="147"/>
      <c r="AG349" s="147"/>
      <c r="AH349" s="166" t="str">
        <f t="shared" si="110"/>
        <v/>
      </c>
      <c r="AI349" s="168" t="str">
        <f t="shared" si="96"/>
        <v/>
      </c>
      <c r="AJ349" s="168" t="str">
        <f t="shared" si="97"/>
        <v/>
      </c>
      <c r="AK349" s="168" t="str">
        <f t="shared" si="98"/>
        <v/>
      </c>
      <c r="AL349" s="168" t="str">
        <f t="shared" si="99"/>
        <v/>
      </c>
      <c r="AM349" s="168" t="str">
        <f t="shared" si="100"/>
        <v/>
      </c>
      <c r="AN349" s="167" t="str">
        <f t="shared" si="83"/>
        <v/>
      </c>
      <c r="AO349" s="167" t="str">
        <f t="shared" si="84"/>
        <v/>
      </c>
      <c r="AP349" s="167" t="str">
        <f t="shared" si="85"/>
        <v/>
      </c>
      <c r="AQ349" s="169" t="str">
        <f t="shared" si="86"/>
        <v/>
      </c>
      <c r="AR349" s="170" t="str">
        <f t="shared" si="87"/>
        <v>BiK81M1K09y-04</v>
      </c>
      <c r="AS349" s="169" t="str">
        <f t="shared" si="88"/>
        <v/>
      </c>
      <c r="AT349">
        <f t="shared" si="89"/>
        <v>14</v>
      </c>
      <c r="AU349" s="170" t="str">
        <f t="shared" si="90"/>
        <v>0-0,15 MW, Bonusregeln M1, y und K erstmals 2009</v>
      </c>
      <c r="AV349" s="169" t="str">
        <f t="shared" si="91"/>
        <v/>
      </c>
      <c r="AW349" s="170" t="str">
        <f t="shared" si="92"/>
        <v>Anteil KWK, erstmals 2009</v>
      </c>
      <c r="AX349" s="169" t="str">
        <f t="shared" si="93"/>
        <v/>
      </c>
      <c r="AY349" t="str">
        <f t="shared" si="94"/>
        <v/>
      </c>
      <c r="AZ349" t="str">
        <f t="shared" si="95"/>
        <v/>
      </c>
    </row>
    <row r="350" spans="1:52" x14ac:dyDescent="0.35">
      <c r="A350" s="497" t="s">
        <v>1635</v>
      </c>
      <c r="B350" s="13" t="s">
        <v>5547</v>
      </c>
      <c r="C350" s="13" t="s">
        <v>4808</v>
      </c>
      <c r="D350" s="13" t="s">
        <v>6826</v>
      </c>
      <c r="E350" s="13" t="s">
        <v>3566</v>
      </c>
      <c r="F350" s="373">
        <f t="shared" si="101"/>
        <v>26.64</v>
      </c>
      <c r="G350" s="430">
        <v>26.64</v>
      </c>
      <c r="H350" s="399">
        <f t="shared" si="102"/>
        <v>21.31</v>
      </c>
      <c r="I350" s="576"/>
      <c r="J350" s="549" t="s">
        <v>5804</v>
      </c>
      <c r="K350" s="11"/>
      <c r="M350" s="37">
        <f t="shared" si="103"/>
        <v>26.64</v>
      </c>
      <c r="N350" s="29">
        <v>11.67</v>
      </c>
      <c r="O350" s="149"/>
      <c r="P350" s="144"/>
      <c r="Q350" s="145"/>
      <c r="R350" s="145" t="s">
        <v>1017</v>
      </c>
      <c r="S350" s="145" t="s">
        <v>4179</v>
      </c>
      <c r="T350" t="s">
        <v>4179</v>
      </c>
      <c r="U350" s="146" t="s">
        <v>1017</v>
      </c>
      <c r="V350" s="145"/>
      <c r="W350" s="147"/>
      <c r="X350" s="147"/>
      <c r="Y350" s="145"/>
      <c r="Z350" s="145" t="s">
        <v>1017</v>
      </c>
      <c r="AA350" s="147"/>
      <c r="AB350" s="145"/>
      <c r="AC350" s="145"/>
      <c r="AD350" s="147"/>
      <c r="AE350" s="148"/>
      <c r="AF350" s="147"/>
      <c r="AG350" s="147"/>
      <c r="AH350" s="166" t="str">
        <f t="shared" si="110"/>
        <v>2010</v>
      </c>
      <c r="AI350" s="168" t="str">
        <f t="shared" si="96"/>
        <v/>
      </c>
      <c r="AJ350" s="168" t="str">
        <f t="shared" si="97"/>
        <v/>
      </c>
      <c r="AK350" s="168" t="str">
        <f t="shared" si="98"/>
        <v/>
      </c>
      <c r="AL350" s="168" t="str">
        <f t="shared" si="99"/>
        <v/>
      </c>
      <c r="AM350" s="168" t="str">
        <f t="shared" si="100"/>
        <v/>
      </c>
      <c r="AN350" s="167" t="str">
        <f t="shared" si="83"/>
        <v>2010</v>
      </c>
      <c r="AO350" s="167" t="str">
        <f t="shared" si="84"/>
        <v>2010</v>
      </c>
      <c r="AP350" s="167" t="str">
        <f t="shared" si="85"/>
        <v>2010</v>
      </c>
      <c r="AQ350" s="169" t="str">
        <f t="shared" si="86"/>
        <v/>
      </c>
      <c r="AR350" s="170" t="str">
        <f t="shared" si="87"/>
        <v>BiK81M1K10y-04</v>
      </c>
      <c r="AS350" s="169" t="str">
        <f t="shared" si="88"/>
        <v/>
      </c>
      <c r="AT350">
        <f t="shared" si="89"/>
        <v>14</v>
      </c>
      <c r="AU350" s="170" t="str">
        <f t="shared" si="90"/>
        <v>0-0,15 MW, Bonusregeln M1, y und K erstmals 2010</v>
      </c>
      <c r="AV350" s="169" t="str">
        <f t="shared" si="91"/>
        <v/>
      </c>
      <c r="AW350" s="170" t="str">
        <f t="shared" si="92"/>
        <v>Anteil KWK, erstmals 2010</v>
      </c>
      <c r="AX350" s="169" t="str">
        <f t="shared" si="93"/>
        <v/>
      </c>
      <c r="AY350" t="str">
        <f t="shared" si="94"/>
        <v/>
      </c>
      <c r="AZ350" t="str">
        <f t="shared" si="95"/>
        <v/>
      </c>
    </row>
    <row r="351" spans="1:52" x14ac:dyDescent="0.35">
      <c r="A351" s="497" t="s">
        <v>5249</v>
      </c>
      <c r="B351" s="13" t="s">
        <v>5547</v>
      </c>
      <c r="C351" s="13" t="s">
        <v>4808</v>
      </c>
      <c r="D351" s="13" t="s">
        <v>6827</v>
      </c>
      <c r="E351" s="13" t="s">
        <v>3054</v>
      </c>
      <c r="F351" s="373">
        <f t="shared" si="101"/>
        <v>26.61</v>
      </c>
      <c r="G351" s="430">
        <v>26.61</v>
      </c>
      <c r="H351" s="399">
        <f t="shared" si="102"/>
        <v>21.29</v>
      </c>
      <c r="I351" s="576"/>
      <c r="J351" s="549" t="s">
        <v>5804</v>
      </c>
      <c r="K351" s="11"/>
      <c r="M351" s="37">
        <f t="shared" si="103"/>
        <v>26.61</v>
      </c>
      <c r="N351" s="29">
        <v>11.67</v>
      </c>
      <c r="O351" s="149"/>
      <c r="P351" s="144"/>
      <c r="Q351" s="145"/>
      <c r="R351" s="145"/>
      <c r="S351" s="145" t="s">
        <v>1017</v>
      </c>
      <c r="T351" t="s">
        <v>4179</v>
      </c>
      <c r="U351" s="146" t="s">
        <v>1017</v>
      </c>
      <c r="V351" s="145"/>
      <c r="W351" s="147"/>
      <c r="X351" s="147"/>
      <c r="Y351" s="145"/>
      <c r="Z351" s="145" t="s">
        <v>1017</v>
      </c>
      <c r="AA351" s="147"/>
      <c r="AB351" s="145"/>
      <c r="AC351" s="145"/>
      <c r="AD351" s="147"/>
      <c r="AE351" s="148"/>
      <c r="AF351" s="147"/>
      <c r="AG351" s="147"/>
      <c r="AH351" s="166" t="str">
        <f t="shared" si="110"/>
        <v>2011</v>
      </c>
      <c r="AI351" s="168" t="str">
        <f t="shared" si="96"/>
        <v/>
      </c>
      <c r="AJ351" s="168" t="str">
        <f t="shared" si="97"/>
        <v/>
      </c>
      <c r="AK351" s="168" t="str">
        <f t="shared" si="98"/>
        <v/>
      </c>
      <c r="AL351" s="168" t="str">
        <f t="shared" si="99"/>
        <v/>
      </c>
      <c r="AM351" s="168" t="str">
        <f t="shared" si="100"/>
        <v/>
      </c>
      <c r="AN351" s="167" t="str">
        <f t="shared" si="83"/>
        <v>2011</v>
      </c>
      <c r="AO351" s="167" t="str">
        <f t="shared" si="84"/>
        <v>2011</v>
      </c>
      <c r="AP351" s="167" t="str">
        <f t="shared" si="85"/>
        <v>2011</v>
      </c>
      <c r="AQ351" s="169" t="str">
        <f t="shared" si="86"/>
        <v/>
      </c>
      <c r="AR351" s="170" t="str">
        <f t="shared" si="87"/>
        <v>BiK81M1K11y-04</v>
      </c>
      <c r="AS351" s="169" t="str">
        <f t="shared" si="88"/>
        <v/>
      </c>
      <c r="AT351">
        <f t="shared" si="89"/>
        <v>14</v>
      </c>
      <c r="AU351" s="170" t="str">
        <f t="shared" si="90"/>
        <v>0-0,15 MW, Bonusregeln M1, y und K erstmals 2011</v>
      </c>
      <c r="AV351" s="169" t="str">
        <f t="shared" si="91"/>
        <v/>
      </c>
      <c r="AW351" s="170" t="str">
        <f t="shared" si="92"/>
        <v>Anteil KWK, erstmals 2011</v>
      </c>
      <c r="AX351" s="169" t="str">
        <f t="shared" si="93"/>
        <v/>
      </c>
      <c r="AY351" t="str">
        <f t="shared" si="94"/>
        <v>x</v>
      </c>
      <c r="AZ351" t="str">
        <f t="shared" si="95"/>
        <v/>
      </c>
    </row>
    <row r="352" spans="1:52" x14ac:dyDescent="0.35">
      <c r="A352" s="511" t="s">
        <v>3556</v>
      </c>
      <c r="B352" s="173" t="s">
        <v>5547</v>
      </c>
      <c r="C352" s="173" t="s">
        <v>4808</v>
      </c>
      <c r="D352" s="173" t="s">
        <v>6828</v>
      </c>
      <c r="E352" s="173" t="s">
        <v>1980</v>
      </c>
      <c r="F352" s="374">
        <f t="shared" si="101"/>
        <v>26.58</v>
      </c>
      <c r="G352" s="431">
        <v>26.58</v>
      </c>
      <c r="H352" s="400">
        <f t="shared" si="102"/>
        <v>21.26</v>
      </c>
      <c r="I352" s="577"/>
      <c r="J352" s="549" t="s">
        <v>5804</v>
      </c>
      <c r="K352" s="11"/>
      <c r="M352" s="37">
        <f t="shared" si="103"/>
        <v>26.58</v>
      </c>
      <c r="N352" s="29">
        <v>11.67</v>
      </c>
      <c r="O352" s="149"/>
      <c r="P352" s="144"/>
      <c r="Q352" s="145"/>
      <c r="R352" s="145"/>
      <c r="S352" s="145" t="s">
        <v>4179</v>
      </c>
      <c r="T352" t="s">
        <v>1017</v>
      </c>
      <c r="U352" s="146" t="s">
        <v>1017</v>
      </c>
      <c r="V352" s="145"/>
      <c r="W352" s="147"/>
      <c r="X352" s="147"/>
      <c r="Y352" s="145"/>
      <c r="Z352" s="145" t="s">
        <v>1017</v>
      </c>
      <c r="AA352" s="147"/>
      <c r="AB352" s="145"/>
      <c r="AC352" s="145"/>
      <c r="AD352" s="147"/>
      <c r="AE352" s="148"/>
      <c r="AF352" s="147"/>
      <c r="AG352" s="147"/>
      <c r="AH352" s="171" t="s">
        <v>4178</v>
      </c>
      <c r="AI352" s="168" t="str">
        <f t="shared" si="96"/>
        <v/>
      </c>
      <c r="AJ352" s="168" t="str">
        <f t="shared" si="97"/>
        <v/>
      </c>
      <c r="AK352" s="168" t="str">
        <f t="shared" si="98"/>
        <v/>
      </c>
      <c r="AL352" s="168" t="str">
        <f t="shared" si="99"/>
        <v/>
      </c>
      <c r="AM352" s="168" t="str">
        <f t="shared" si="100"/>
        <v/>
      </c>
      <c r="AN352" s="167" t="str">
        <f t="shared" si="83"/>
        <v>2012</v>
      </c>
      <c r="AO352" s="167" t="str">
        <f t="shared" si="84"/>
        <v>2012</v>
      </c>
      <c r="AP352" s="167" t="str">
        <f t="shared" si="85"/>
        <v>2012</v>
      </c>
      <c r="AQ352" s="169" t="str">
        <f t="shared" si="86"/>
        <v/>
      </c>
      <c r="AR352" s="170" t="str">
        <f t="shared" si="87"/>
        <v>BiK81M1K12y-04</v>
      </c>
      <c r="AS352" s="169" t="str">
        <f t="shared" si="88"/>
        <v/>
      </c>
      <c r="AT352">
        <f t="shared" si="89"/>
        <v>14</v>
      </c>
      <c r="AU352" s="170" t="str">
        <f t="shared" si="90"/>
        <v>0-0,15 MW, Bonusregeln M1, y und K erstmals 2012</v>
      </c>
      <c r="AV352" s="169" t="str">
        <f t="shared" si="91"/>
        <v/>
      </c>
      <c r="AW352" s="170" t="str">
        <f t="shared" si="92"/>
        <v>Anteil KWK, erstmals 2012</v>
      </c>
      <c r="AX352" s="169" t="str">
        <f t="shared" si="93"/>
        <v/>
      </c>
      <c r="AY352" t="str">
        <f t="shared" si="94"/>
        <v/>
      </c>
      <c r="AZ352" t="str">
        <f t="shared" si="95"/>
        <v>x</v>
      </c>
    </row>
    <row r="353" spans="1:52" x14ac:dyDescent="0.35">
      <c r="A353" s="497" t="s">
        <v>2701</v>
      </c>
      <c r="B353" s="13" t="s">
        <v>5547</v>
      </c>
      <c r="C353" s="13" t="s">
        <v>4808</v>
      </c>
      <c r="D353" s="13" t="s">
        <v>6829</v>
      </c>
      <c r="E353" s="13" t="s">
        <v>4809</v>
      </c>
      <c r="F353" s="373">
        <f t="shared" si="101"/>
        <v>20.67</v>
      </c>
      <c r="G353" s="430">
        <v>20.67</v>
      </c>
      <c r="H353" s="399">
        <f t="shared" si="102"/>
        <v>16.54</v>
      </c>
      <c r="I353" s="576"/>
      <c r="J353" s="549" t="s">
        <v>5804</v>
      </c>
      <c r="K353" s="11"/>
      <c r="M353" s="37">
        <f t="shared" si="103"/>
        <v>20.67</v>
      </c>
      <c r="N353" s="29">
        <v>11.67</v>
      </c>
      <c r="O353" s="149"/>
      <c r="P353" s="144"/>
      <c r="Q353" s="145"/>
      <c r="R353" s="145"/>
      <c r="S353" s="145" t="s">
        <v>4179</v>
      </c>
      <c r="T353" t="s">
        <v>4179</v>
      </c>
      <c r="U353" s="146"/>
      <c r="V353" s="145"/>
      <c r="W353" s="147"/>
      <c r="X353" s="147"/>
      <c r="Y353" s="145"/>
      <c r="Z353" s="145"/>
      <c r="AA353" s="147"/>
      <c r="AB353" s="145" t="s">
        <v>1017</v>
      </c>
      <c r="AC353" s="145"/>
      <c r="AD353" s="147"/>
      <c r="AE353" s="148"/>
      <c r="AF353" s="147"/>
      <c r="AG353" s="147"/>
      <c r="AH353" s="166" t="str">
        <f t="shared" ref="AH353:AH358" si="111">IF(ISERROR(SEARCH("K erstmals 201",D353)),"",RIGHT(D353,4))</f>
        <v/>
      </c>
      <c r="AI353" s="168" t="str">
        <f t="shared" si="96"/>
        <v/>
      </c>
      <c r="AJ353" s="168" t="str">
        <f t="shared" si="97"/>
        <v/>
      </c>
      <c r="AK353" s="168" t="str">
        <f t="shared" si="98"/>
        <v/>
      </c>
      <c r="AL353" s="168" t="str">
        <f t="shared" si="99"/>
        <v/>
      </c>
      <c r="AM353" s="168" t="str">
        <f t="shared" si="100"/>
        <v/>
      </c>
      <c r="AN353" s="167" t="str">
        <f t="shared" si="83"/>
        <v/>
      </c>
      <c r="AO353" s="167" t="str">
        <f t="shared" si="84"/>
        <v/>
      </c>
      <c r="AP353" s="167" t="str">
        <f t="shared" si="85"/>
        <v/>
      </c>
      <c r="AQ353" s="169" t="str">
        <f t="shared" si="86"/>
        <v/>
      </c>
      <c r="AR353" s="170" t="str">
        <f t="shared" si="87"/>
        <v>BiK81L------04</v>
      </c>
      <c r="AS353" s="169" t="str">
        <f t="shared" si="88"/>
        <v/>
      </c>
      <c r="AT353">
        <f t="shared" si="89"/>
        <v>14</v>
      </c>
      <c r="AU353" s="170" t="str">
        <f t="shared" si="90"/>
        <v>0-0,15 MW, Bonusregel L</v>
      </c>
      <c r="AV353" s="169" t="str">
        <f t="shared" si="91"/>
        <v/>
      </c>
      <c r="AW353" s="170" t="str">
        <f t="shared" si="92"/>
        <v>Anteil Nicht-KWK</v>
      </c>
      <c r="AX353" s="169" t="str">
        <f t="shared" si="93"/>
        <v/>
      </c>
      <c r="AY353" t="str">
        <f t="shared" si="94"/>
        <v/>
      </c>
      <c r="AZ353" t="str">
        <f t="shared" si="95"/>
        <v/>
      </c>
    </row>
    <row r="354" spans="1:52" x14ac:dyDescent="0.35">
      <c r="A354" s="497" t="s">
        <v>2702</v>
      </c>
      <c r="B354" s="13" t="s">
        <v>5547</v>
      </c>
      <c r="C354" s="13" t="s">
        <v>4808</v>
      </c>
      <c r="D354" s="13" t="s">
        <v>6898</v>
      </c>
      <c r="E354" s="13" t="s">
        <v>4811</v>
      </c>
      <c r="F354" s="373">
        <f t="shared" si="101"/>
        <v>22.67</v>
      </c>
      <c r="G354" s="430">
        <v>22.67</v>
      </c>
      <c r="H354" s="399">
        <f t="shared" si="102"/>
        <v>18.14</v>
      </c>
      <c r="I354" s="576"/>
      <c r="J354" s="549" t="s">
        <v>5804</v>
      </c>
      <c r="K354" s="11"/>
      <c r="M354" s="37">
        <f t="shared" si="103"/>
        <v>22.67</v>
      </c>
      <c r="N354" s="29">
        <v>11.67</v>
      </c>
      <c r="O354" s="149" t="s">
        <v>1017</v>
      </c>
      <c r="P354" s="144"/>
      <c r="Q354" s="145"/>
      <c r="R354" s="145"/>
      <c r="S354" s="145" t="s">
        <v>4179</v>
      </c>
      <c r="T354" t="s">
        <v>4179</v>
      </c>
      <c r="U354" s="146"/>
      <c r="V354" s="145"/>
      <c r="W354" s="147"/>
      <c r="X354" s="147"/>
      <c r="Y354" s="145"/>
      <c r="Z354" s="145"/>
      <c r="AA354" s="147"/>
      <c r="AB354" s="145" t="s">
        <v>1017</v>
      </c>
      <c r="AC354" s="145"/>
      <c r="AD354" s="147"/>
      <c r="AE354" s="148"/>
      <c r="AF354" s="147"/>
      <c r="AG354" s="147"/>
      <c r="AH354" s="166" t="str">
        <f t="shared" si="111"/>
        <v/>
      </c>
      <c r="AI354" s="168" t="str">
        <f t="shared" si="96"/>
        <v/>
      </c>
      <c r="AJ354" s="168" t="str">
        <f t="shared" si="97"/>
        <v/>
      </c>
      <c r="AK354" s="168" t="str">
        <f t="shared" si="98"/>
        <v/>
      </c>
      <c r="AL354" s="168" t="str">
        <f t="shared" si="99"/>
        <v/>
      </c>
      <c r="AM354" s="168" t="str">
        <f t="shared" si="100"/>
        <v/>
      </c>
      <c r="AN354" s="167" t="str">
        <f t="shared" si="83"/>
        <v/>
      </c>
      <c r="AO354" s="167" t="str">
        <f t="shared" si="84"/>
        <v/>
      </c>
      <c r="AP354" s="167" t="str">
        <f t="shared" si="85"/>
        <v/>
      </c>
      <c r="AQ354" s="169" t="str">
        <f t="shared" si="86"/>
        <v/>
      </c>
      <c r="AR354" s="170" t="str">
        <f t="shared" si="87"/>
        <v>BiK81LKWK---04</v>
      </c>
      <c r="AS354" s="169" t="str">
        <f t="shared" si="88"/>
        <v/>
      </c>
      <c r="AT354">
        <f t="shared" si="89"/>
        <v>14</v>
      </c>
      <c r="AU354" s="170" t="str">
        <f t="shared" si="90"/>
        <v>0-0,15 MW, Bonusregeln L und KWK</v>
      </c>
      <c r="AV354" s="169" t="str">
        <f t="shared" si="91"/>
        <v/>
      </c>
      <c r="AW354" s="170" t="str">
        <f t="shared" si="92"/>
        <v>Anteil KWK</v>
      </c>
      <c r="AX354" s="169" t="str">
        <f t="shared" si="93"/>
        <v/>
      </c>
      <c r="AY354" t="str">
        <f t="shared" si="94"/>
        <v/>
      </c>
      <c r="AZ354" t="str">
        <f t="shared" si="95"/>
        <v/>
      </c>
    </row>
    <row r="355" spans="1:52" x14ac:dyDescent="0.35">
      <c r="A355" s="497" t="s">
        <v>2703</v>
      </c>
      <c r="B355" s="13" t="s">
        <v>5547</v>
      </c>
      <c r="C355" s="13" t="s">
        <v>4808</v>
      </c>
      <c r="D355" s="13" t="s">
        <v>6830</v>
      </c>
      <c r="E355" s="13" t="s">
        <v>4330</v>
      </c>
      <c r="F355" s="373">
        <f t="shared" si="101"/>
        <v>23.67</v>
      </c>
      <c r="G355" s="430">
        <v>23.67</v>
      </c>
      <c r="H355" s="399">
        <f t="shared" si="102"/>
        <v>18.940000000000001</v>
      </c>
      <c r="I355" s="576"/>
      <c r="J355" s="549" t="s">
        <v>5804</v>
      </c>
      <c r="K355" s="11"/>
      <c r="M355" s="37">
        <f t="shared" si="103"/>
        <v>23.67</v>
      </c>
      <c r="N355" s="29">
        <v>11.67</v>
      </c>
      <c r="O355" s="149"/>
      <c r="P355" s="145" t="s">
        <v>1017</v>
      </c>
      <c r="Q355" s="145"/>
      <c r="R355" s="145"/>
      <c r="S355" s="145" t="s">
        <v>4179</v>
      </c>
      <c r="T355" t="s">
        <v>4179</v>
      </c>
      <c r="U355" s="146"/>
      <c r="V355" s="145"/>
      <c r="W355" s="147"/>
      <c r="X355" s="147"/>
      <c r="Y355" s="145"/>
      <c r="Z355" s="145"/>
      <c r="AA355" s="147"/>
      <c r="AB355" s="145" t="s">
        <v>1017</v>
      </c>
      <c r="AC355" s="145"/>
      <c r="AD355" s="147"/>
      <c r="AE355" s="148"/>
      <c r="AF355" s="147"/>
      <c r="AG355" s="147"/>
      <c r="AH355" s="166" t="str">
        <f t="shared" si="111"/>
        <v/>
      </c>
      <c r="AI355" s="168" t="str">
        <f t="shared" si="96"/>
        <v/>
      </c>
      <c r="AJ355" s="168" t="str">
        <f t="shared" si="97"/>
        <v/>
      </c>
      <c r="AK355" s="168" t="str">
        <f t="shared" si="98"/>
        <v/>
      </c>
      <c r="AL355" s="168" t="str">
        <f t="shared" si="99"/>
        <v/>
      </c>
      <c r="AM355" s="168" t="str">
        <f t="shared" si="100"/>
        <v/>
      </c>
      <c r="AN355" s="167" t="str">
        <f t="shared" si="83"/>
        <v/>
      </c>
      <c r="AO355" s="167" t="str">
        <f t="shared" si="84"/>
        <v/>
      </c>
      <c r="AP355" s="167" t="str">
        <f t="shared" si="85"/>
        <v/>
      </c>
      <c r="AQ355" s="169" t="str">
        <f t="shared" si="86"/>
        <v/>
      </c>
      <c r="AR355" s="170" t="str">
        <f t="shared" si="87"/>
        <v>BiK81LKA3---04</v>
      </c>
      <c r="AS355" s="169" t="str">
        <f t="shared" si="88"/>
        <v/>
      </c>
      <c r="AT355">
        <f t="shared" si="89"/>
        <v>14</v>
      </c>
      <c r="AU355" s="170" t="str">
        <f t="shared" si="90"/>
        <v>0-0,15 MW, Bonusregeln L und K wenn Anlage 3 erfüllt</v>
      </c>
      <c r="AV355" s="169" t="str">
        <f t="shared" si="91"/>
        <v/>
      </c>
      <c r="AW355" s="170" t="str">
        <f t="shared" si="92"/>
        <v>Anteil KWK gemäß Anlage 3</v>
      </c>
      <c r="AX355" s="169" t="str">
        <f t="shared" si="93"/>
        <v/>
      </c>
      <c r="AY355" t="str">
        <f t="shared" si="94"/>
        <v/>
      </c>
      <c r="AZ355" t="str">
        <f t="shared" si="95"/>
        <v/>
      </c>
    </row>
    <row r="356" spans="1:52" x14ac:dyDescent="0.35">
      <c r="A356" s="497" t="s">
        <v>2704</v>
      </c>
      <c r="B356" s="13" t="s">
        <v>5547</v>
      </c>
      <c r="C356" s="13" t="s">
        <v>4808</v>
      </c>
      <c r="D356" s="13" t="s">
        <v>6831</v>
      </c>
      <c r="E356" s="13" t="s">
        <v>674</v>
      </c>
      <c r="F356" s="373">
        <f t="shared" si="101"/>
        <v>23.67</v>
      </c>
      <c r="G356" s="430">
        <v>23.67</v>
      </c>
      <c r="H356" s="399">
        <f t="shared" si="102"/>
        <v>18.940000000000001</v>
      </c>
      <c r="I356" s="576"/>
      <c r="J356" s="549" t="s">
        <v>5804</v>
      </c>
      <c r="K356" s="11"/>
      <c r="M356" s="37">
        <f t="shared" si="103"/>
        <v>23.67</v>
      </c>
      <c r="N356" s="29">
        <v>11.67</v>
      </c>
      <c r="O356" s="149"/>
      <c r="P356" s="144"/>
      <c r="Q356" s="145" t="s">
        <v>1017</v>
      </c>
      <c r="R356" s="145"/>
      <c r="S356" s="145" t="s">
        <v>4179</v>
      </c>
      <c r="T356" t="s">
        <v>4179</v>
      </c>
      <c r="U356" s="146"/>
      <c r="V356" s="145"/>
      <c r="W356" s="147"/>
      <c r="X356" s="147"/>
      <c r="Y356" s="145"/>
      <c r="Z356" s="145"/>
      <c r="AA356" s="147"/>
      <c r="AB356" s="145" t="s">
        <v>1017</v>
      </c>
      <c r="AC356" s="145"/>
      <c r="AD356" s="147"/>
      <c r="AE356" s="148"/>
      <c r="AF356" s="147"/>
      <c r="AG356" s="147"/>
      <c r="AH356" s="166" t="str">
        <f t="shared" si="111"/>
        <v/>
      </c>
      <c r="AI356" s="168" t="str">
        <f t="shared" si="96"/>
        <v/>
      </c>
      <c r="AJ356" s="168" t="str">
        <f t="shared" si="97"/>
        <v/>
      </c>
      <c r="AK356" s="168" t="str">
        <f t="shared" si="98"/>
        <v/>
      </c>
      <c r="AL356" s="168" t="str">
        <f t="shared" si="99"/>
        <v/>
      </c>
      <c r="AM356" s="168" t="str">
        <f t="shared" si="100"/>
        <v/>
      </c>
      <c r="AN356" s="167" t="str">
        <f t="shared" ref="AN356:AN419" si="112">IF(ISERROR(SEARCH("K1",A356)),"","20"&amp;MID(A356,SEARCH("K1",A356)+1,2))</f>
        <v/>
      </c>
      <c r="AO356" s="167" t="str">
        <f t="shared" ref="AO356:AO419" si="113">IF(ISERROR(SEARCH("erstmals 201",E356)),"",MID(E356,SEARCH("erstmals ",E356)+9,4))</f>
        <v/>
      </c>
      <c r="AP356" s="167" t="str">
        <f t="shared" ref="AP356:AP419" si="114">IF(R356="x","2010",IF(S356="x","2011",IF(T356="x","2012","")))</f>
        <v/>
      </c>
      <c r="AQ356" s="169" t="str">
        <f t="shared" ref="AQ356:AQ419" si="115">IF(OR(AH356&lt;&gt;AN356,AH356&lt;&gt;AO356,AH356&lt;&gt;AP356),"DIFF","")</f>
        <v/>
      </c>
      <c r="AR356" s="170" t="str">
        <f t="shared" ref="AR356:AR419" si="116">IF(A356="","",IF(ISERROR(SEARCH("K1",A356)),A356,LEFT(A356,SEARCH("K1",A356)+1)&amp;RIGHT(AH356,1)&amp;MID(A356,SEARCH("K1",A356)+3,14)))</f>
        <v>BiK81LK09---04</v>
      </c>
      <c r="AS356" s="169" t="str">
        <f t="shared" ref="AS356:AS419" si="117">IF(OR(A356&lt;&gt;AR356),"DIFF","")</f>
        <v/>
      </c>
      <c r="AT356">
        <f t="shared" ref="AT356:AT419" si="118">LEN(AR356)</f>
        <v>14</v>
      </c>
      <c r="AU356" s="170" t="str">
        <f t="shared" ref="AU356:AU419" si="119">IF(D356="","",IF(OR(A356="",ISERROR(SEARCH("erstmals 201",D356))),D356,LEFT(D356,SEARCH("erstmals 201",D356)+8) &amp; AH356 &amp; MID(D356,SEARCH("erstmals 201",D356)+13,255)))</f>
        <v>0-0,15 MW, Bonusregeln L und K erstmals 2009</v>
      </c>
      <c r="AV356" s="169" t="str">
        <f t="shared" ref="AV356:AV419" si="120">IF(OR(D356&lt;&gt;AU356),"DIFF","")</f>
        <v/>
      </c>
      <c r="AW356" s="170" t="str">
        <f t="shared" ref="AW356:AW419" si="121">IF(E356="","",IF(OR(E356="",ISERROR(SEARCH("erstmals 201",E356))),E356,LEFT(E356,SEARCH("erstmals 201",E356)+8) &amp; AH356 &amp; MID(E356,SEARCH("erstmals 201",E356)+13,255)))</f>
        <v>Anteil KWK, erstmals 2009</v>
      </c>
      <c r="AX356" s="169" t="str">
        <f t="shared" ref="AX356:AX419" si="122">IF(OR(E356&lt;&gt;AW356),"DIFF","")</f>
        <v/>
      </c>
      <c r="AY356" t="str">
        <f t="shared" ref="AY356:AY419" si="123">IF(AH356="2011","x",IF(AH356="2012","","" &amp; S356))</f>
        <v/>
      </c>
      <c r="AZ356" t="str">
        <f t="shared" ref="AZ356:AZ419" si="124">IF(AH356="2012","x",IF(AH356="2011","","" &amp; T356))</f>
        <v/>
      </c>
    </row>
    <row r="357" spans="1:52" x14ac:dyDescent="0.35">
      <c r="A357" s="497" t="s">
        <v>1636</v>
      </c>
      <c r="B357" s="13" t="s">
        <v>5547</v>
      </c>
      <c r="C357" s="13" t="s">
        <v>4808</v>
      </c>
      <c r="D357" s="13" t="s">
        <v>6832</v>
      </c>
      <c r="E357" s="13" t="s">
        <v>3566</v>
      </c>
      <c r="F357" s="373">
        <f t="shared" si="101"/>
        <v>23.64</v>
      </c>
      <c r="G357" s="430">
        <v>23.64</v>
      </c>
      <c r="H357" s="399">
        <f t="shared" si="102"/>
        <v>18.91</v>
      </c>
      <c r="I357" s="576"/>
      <c r="J357" s="549" t="s">
        <v>5804</v>
      </c>
      <c r="K357" s="11"/>
      <c r="M357" s="37">
        <f t="shared" si="103"/>
        <v>23.64</v>
      </c>
      <c r="N357" s="29">
        <v>11.67</v>
      </c>
      <c r="O357" s="149"/>
      <c r="P357" s="144"/>
      <c r="Q357" s="145"/>
      <c r="R357" s="145" t="s">
        <v>1017</v>
      </c>
      <c r="S357" s="145" t="s">
        <v>4179</v>
      </c>
      <c r="T357" t="s">
        <v>4179</v>
      </c>
      <c r="U357" s="146"/>
      <c r="V357" s="145"/>
      <c r="W357" s="147"/>
      <c r="X357" s="147"/>
      <c r="Y357" s="145"/>
      <c r="Z357" s="145"/>
      <c r="AA357" s="147"/>
      <c r="AB357" s="145" t="s">
        <v>1017</v>
      </c>
      <c r="AC357" s="145"/>
      <c r="AD357" s="147"/>
      <c r="AE357" s="148"/>
      <c r="AF357" s="147"/>
      <c r="AG357" s="147"/>
      <c r="AH357" s="166" t="str">
        <f t="shared" si="111"/>
        <v>2010</v>
      </c>
      <c r="AI357" s="168" t="str">
        <f t="shared" ref="AI357:AI420" si="125">IF(AND($AH357&lt;&gt;"",AH357 =AH356),"Gleich","")</f>
        <v/>
      </c>
      <c r="AJ357" s="168" t="str">
        <f t="shared" ref="AJ357:AJ420" si="126">IF(AND($AH357&lt;&gt;"",A357 =A356),"Gleich","")</f>
        <v/>
      </c>
      <c r="AK357" s="168" t="str">
        <f t="shared" ref="AK357:AK420" si="127">IF(AND($AH357&lt;&gt;"",D357 =D356),"Gleich","")</f>
        <v/>
      </c>
      <c r="AL357" s="168" t="str">
        <f t="shared" ref="AL357:AL420" si="128">IF(AND($AH357&lt;&gt;"",E357 =E356),"Gleich","")</f>
        <v/>
      </c>
      <c r="AM357" s="168" t="str">
        <f t="shared" ref="AM357:AM420" si="129">IF(AND($AH357&lt;&gt;"",F357 =F356),"Gleich","")</f>
        <v/>
      </c>
      <c r="AN357" s="167" t="str">
        <f t="shared" si="112"/>
        <v>2010</v>
      </c>
      <c r="AO357" s="167" t="str">
        <f t="shared" si="113"/>
        <v>2010</v>
      </c>
      <c r="AP357" s="167" t="str">
        <f t="shared" si="114"/>
        <v>2010</v>
      </c>
      <c r="AQ357" s="169" t="str">
        <f t="shared" si="115"/>
        <v/>
      </c>
      <c r="AR357" s="170" t="str">
        <f t="shared" si="116"/>
        <v>BiK81LK10---04</v>
      </c>
      <c r="AS357" s="169" t="str">
        <f t="shared" si="117"/>
        <v/>
      </c>
      <c r="AT357">
        <f t="shared" si="118"/>
        <v>14</v>
      </c>
      <c r="AU357" s="170" t="str">
        <f t="shared" si="119"/>
        <v>0-0,15 MW, Bonusregeln L und K erstmals 2010</v>
      </c>
      <c r="AV357" s="169" t="str">
        <f t="shared" si="120"/>
        <v/>
      </c>
      <c r="AW357" s="170" t="str">
        <f t="shared" si="121"/>
        <v>Anteil KWK, erstmals 2010</v>
      </c>
      <c r="AX357" s="169" t="str">
        <f t="shared" si="122"/>
        <v/>
      </c>
      <c r="AY357" t="str">
        <f t="shared" si="123"/>
        <v/>
      </c>
      <c r="AZ357" t="str">
        <f t="shared" si="124"/>
        <v/>
      </c>
    </row>
    <row r="358" spans="1:52" x14ac:dyDescent="0.35">
      <c r="A358" s="497" t="s">
        <v>5250</v>
      </c>
      <c r="B358" s="13" t="s">
        <v>5547</v>
      </c>
      <c r="C358" s="13" t="s">
        <v>4808</v>
      </c>
      <c r="D358" s="13" t="s">
        <v>6833</v>
      </c>
      <c r="E358" s="13" t="s">
        <v>3054</v>
      </c>
      <c r="F358" s="373">
        <f t="shared" si="101"/>
        <v>23.61</v>
      </c>
      <c r="G358" s="430">
        <v>23.61</v>
      </c>
      <c r="H358" s="399">
        <f t="shared" si="102"/>
        <v>18.89</v>
      </c>
      <c r="I358" s="576"/>
      <c r="J358" s="549" t="s">
        <v>5804</v>
      </c>
      <c r="K358" s="11"/>
      <c r="M358" s="37">
        <f t="shared" si="103"/>
        <v>23.61</v>
      </c>
      <c r="N358" s="29">
        <v>11.67</v>
      </c>
      <c r="O358" s="149"/>
      <c r="P358" s="144"/>
      <c r="Q358" s="145"/>
      <c r="R358" s="145"/>
      <c r="S358" s="145" t="s">
        <v>1017</v>
      </c>
      <c r="T358" t="s">
        <v>4179</v>
      </c>
      <c r="U358" s="146"/>
      <c r="V358" s="145"/>
      <c r="W358" s="147"/>
      <c r="X358" s="147"/>
      <c r="Y358" s="145"/>
      <c r="Z358" s="145"/>
      <c r="AA358" s="147"/>
      <c r="AB358" s="145" t="s">
        <v>1017</v>
      </c>
      <c r="AC358" s="145"/>
      <c r="AD358" s="147"/>
      <c r="AE358" s="148"/>
      <c r="AF358" s="147"/>
      <c r="AG358" s="147"/>
      <c r="AH358" s="166" t="str">
        <f t="shared" si="111"/>
        <v>2011</v>
      </c>
      <c r="AI358" s="168" t="str">
        <f t="shared" si="125"/>
        <v/>
      </c>
      <c r="AJ358" s="168" t="str">
        <f t="shared" si="126"/>
        <v/>
      </c>
      <c r="AK358" s="168" t="str">
        <f t="shared" si="127"/>
        <v/>
      </c>
      <c r="AL358" s="168" t="str">
        <f t="shared" si="128"/>
        <v/>
      </c>
      <c r="AM358" s="168" t="str">
        <f t="shared" si="129"/>
        <v/>
      </c>
      <c r="AN358" s="167" t="str">
        <f t="shared" si="112"/>
        <v>2011</v>
      </c>
      <c r="AO358" s="167" t="str">
        <f t="shared" si="113"/>
        <v>2011</v>
      </c>
      <c r="AP358" s="167" t="str">
        <f t="shared" si="114"/>
        <v>2011</v>
      </c>
      <c r="AQ358" s="169" t="str">
        <f t="shared" si="115"/>
        <v/>
      </c>
      <c r="AR358" s="170" t="str">
        <f t="shared" si="116"/>
        <v>BiK81LK11---04</v>
      </c>
      <c r="AS358" s="169" t="str">
        <f t="shared" si="117"/>
        <v/>
      </c>
      <c r="AT358">
        <f t="shared" si="118"/>
        <v>14</v>
      </c>
      <c r="AU358" s="170" t="str">
        <f t="shared" si="119"/>
        <v>0-0,15 MW, Bonusregeln L und K erstmals 2011</v>
      </c>
      <c r="AV358" s="169" t="str">
        <f t="shared" si="120"/>
        <v/>
      </c>
      <c r="AW358" s="170" t="str">
        <f t="shared" si="121"/>
        <v>Anteil KWK, erstmals 2011</v>
      </c>
      <c r="AX358" s="169" t="str">
        <f t="shared" si="122"/>
        <v/>
      </c>
      <c r="AY358" t="str">
        <f t="shared" si="123"/>
        <v>x</v>
      </c>
      <c r="AZ358" t="str">
        <f t="shared" si="124"/>
        <v/>
      </c>
    </row>
    <row r="359" spans="1:52" x14ac:dyDescent="0.35">
      <c r="A359" s="511" t="s">
        <v>3557</v>
      </c>
      <c r="B359" s="173" t="s">
        <v>5547</v>
      </c>
      <c r="C359" s="173" t="s">
        <v>4808</v>
      </c>
      <c r="D359" s="173" t="s">
        <v>6834</v>
      </c>
      <c r="E359" s="173" t="s">
        <v>1980</v>
      </c>
      <c r="F359" s="374">
        <f t="shared" si="101"/>
        <v>23.58</v>
      </c>
      <c r="G359" s="431">
        <v>23.58</v>
      </c>
      <c r="H359" s="400">
        <f t="shared" si="102"/>
        <v>18.86</v>
      </c>
      <c r="I359" s="577"/>
      <c r="J359" s="549" t="s">
        <v>5804</v>
      </c>
      <c r="K359" s="11"/>
      <c r="M359" s="37">
        <f t="shared" si="103"/>
        <v>23.58</v>
      </c>
      <c r="N359" s="29">
        <v>11.67</v>
      </c>
      <c r="O359" s="149"/>
      <c r="P359" s="144"/>
      <c r="Q359" s="145"/>
      <c r="R359" s="145"/>
      <c r="S359" s="145" t="s">
        <v>4179</v>
      </c>
      <c r="T359" t="s">
        <v>1017</v>
      </c>
      <c r="U359" s="146"/>
      <c r="V359" s="145"/>
      <c r="W359" s="147"/>
      <c r="X359" s="147"/>
      <c r="Y359" s="145"/>
      <c r="Z359" s="145"/>
      <c r="AA359" s="147"/>
      <c r="AB359" s="145" t="s">
        <v>1017</v>
      </c>
      <c r="AC359" s="145"/>
      <c r="AD359" s="147"/>
      <c r="AE359" s="148"/>
      <c r="AF359" s="147"/>
      <c r="AG359" s="147"/>
      <c r="AH359" s="171" t="s">
        <v>4178</v>
      </c>
      <c r="AI359" s="168" t="str">
        <f t="shared" si="125"/>
        <v/>
      </c>
      <c r="AJ359" s="168" t="str">
        <f t="shared" si="126"/>
        <v/>
      </c>
      <c r="AK359" s="168" t="str">
        <f t="shared" si="127"/>
        <v/>
      </c>
      <c r="AL359" s="168" t="str">
        <f t="shared" si="128"/>
        <v/>
      </c>
      <c r="AM359" s="168" t="str">
        <f t="shared" si="129"/>
        <v/>
      </c>
      <c r="AN359" s="167" t="str">
        <f t="shared" si="112"/>
        <v>2012</v>
      </c>
      <c r="AO359" s="167" t="str">
        <f t="shared" si="113"/>
        <v>2012</v>
      </c>
      <c r="AP359" s="167" t="str">
        <f t="shared" si="114"/>
        <v>2012</v>
      </c>
      <c r="AQ359" s="169" t="str">
        <f t="shared" si="115"/>
        <v/>
      </c>
      <c r="AR359" s="170" t="str">
        <f t="shared" si="116"/>
        <v>BiK81LK12---04</v>
      </c>
      <c r="AS359" s="169" t="str">
        <f t="shared" si="117"/>
        <v/>
      </c>
      <c r="AT359">
        <f t="shared" si="118"/>
        <v>14</v>
      </c>
      <c r="AU359" s="170" t="str">
        <f t="shared" si="119"/>
        <v>0-0,15 MW, Bonusregeln L und K erstmals 2012</v>
      </c>
      <c r="AV359" s="169" t="str">
        <f t="shared" si="120"/>
        <v/>
      </c>
      <c r="AW359" s="170" t="str">
        <f t="shared" si="121"/>
        <v>Anteil KWK, erstmals 2012</v>
      </c>
      <c r="AX359" s="169" t="str">
        <f t="shared" si="122"/>
        <v/>
      </c>
      <c r="AY359" t="str">
        <f t="shared" si="123"/>
        <v/>
      </c>
      <c r="AZ359" t="str">
        <f t="shared" si="124"/>
        <v>x</v>
      </c>
    </row>
    <row r="360" spans="1:52" x14ac:dyDescent="0.35">
      <c r="A360" s="497" t="s">
        <v>2705</v>
      </c>
      <c r="B360" s="13" t="s">
        <v>5547</v>
      </c>
      <c r="C360" s="13" t="s">
        <v>4808</v>
      </c>
      <c r="D360" s="13" t="s">
        <v>6835</v>
      </c>
      <c r="E360" s="13" t="s">
        <v>4809</v>
      </c>
      <c r="F360" s="373">
        <f t="shared" si="101"/>
        <v>21.67</v>
      </c>
      <c r="G360" s="430">
        <v>21.67</v>
      </c>
      <c r="H360" s="399">
        <f t="shared" si="102"/>
        <v>17.34</v>
      </c>
      <c r="I360" s="576"/>
      <c r="J360" s="549" t="s">
        <v>5804</v>
      </c>
      <c r="K360" s="11"/>
      <c r="M360" s="37">
        <f t="shared" si="103"/>
        <v>21.67</v>
      </c>
      <c r="N360" s="29">
        <v>11.67</v>
      </c>
      <c r="O360" s="149"/>
      <c r="P360" s="144"/>
      <c r="Q360" s="145"/>
      <c r="R360" s="145"/>
      <c r="S360" s="145" t="s">
        <v>4179</v>
      </c>
      <c r="T360" t="s">
        <v>4179</v>
      </c>
      <c r="U360" s="146" t="s">
        <v>1017</v>
      </c>
      <c r="V360" s="145"/>
      <c r="W360" s="147"/>
      <c r="X360" s="147"/>
      <c r="Y360" s="145"/>
      <c r="Z360" s="145"/>
      <c r="AA360" s="147"/>
      <c r="AB360" s="145" t="s">
        <v>1017</v>
      </c>
      <c r="AC360" s="145"/>
      <c r="AD360" s="147"/>
      <c r="AE360" s="148"/>
      <c r="AF360" s="147"/>
      <c r="AG360" s="147"/>
      <c r="AH360" s="166" t="str">
        <f t="shared" ref="AH360:AH365" si="130">IF(ISERROR(SEARCH("K erstmals 201",D360)),"",RIGHT(D360,4))</f>
        <v/>
      </c>
      <c r="AI360" s="168" t="str">
        <f t="shared" si="125"/>
        <v/>
      </c>
      <c r="AJ360" s="168" t="str">
        <f t="shared" si="126"/>
        <v/>
      </c>
      <c r="AK360" s="168" t="str">
        <f t="shared" si="127"/>
        <v/>
      </c>
      <c r="AL360" s="168" t="str">
        <f t="shared" si="128"/>
        <v/>
      </c>
      <c r="AM360" s="168" t="str">
        <f t="shared" si="129"/>
        <v/>
      </c>
      <c r="AN360" s="167" t="str">
        <f t="shared" si="112"/>
        <v/>
      </c>
      <c r="AO360" s="167" t="str">
        <f t="shared" si="113"/>
        <v/>
      </c>
      <c r="AP360" s="167" t="str">
        <f t="shared" si="114"/>
        <v/>
      </c>
      <c r="AQ360" s="169" t="str">
        <f t="shared" si="115"/>
        <v/>
      </c>
      <c r="AR360" s="170" t="str">
        <f t="shared" si="116"/>
        <v>BiK81Ly-----04</v>
      </c>
      <c r="AS360" s="169" t="str">
        <f t="shared" si="117"/>
        <v/>
      </c>
      <c r="AT360">
        <f t="shared" si="118"/>
        <v>14</v>
      </c>
      <c r="AU360" s="170" t="str">
        <f t="shared" si="119"/>
        <v>0-0,15 MW, Bonusregeln L, y</v>
      </c>
      <c r="AV360" s="169" t="str">
        <f t="shared" si="120"/>
        <v/>
      </c>
      <c r="AW360" s="170" t="str">
        <f t="shared" si="121"/>
        <v>Anteil Nicht-KWK</v>
      </c>
      <c r="AX360" s="169" t="str">
        <f t="shared" si="122"/>
        <v/>
      </c>
      <c r="AY360" t="str">
        <f t="shared" si="123"/>
        <v/>
      </c>
      <c r="AZ360" t="str">
        <f t="shared" si="124"/>
        <v/>
      </c>
    </row>
    <row r="361" spans="1:52" x14ac:dyDescent="0.35">
      <c r="A361" s="497" t="s">
        <v>2706</v>
      </c>
      <c r="B361" s="13" t="s">
        <v>5547</v>
      </c>
      <c r="C361" s="13" t="s">
        <v>4808</v>
      </c>
      <c r="D361" s="13" t="s">
        <v>6899</v>
      </c>
      <c r="E361" s="13" t="s">
        <v>4811</v>
      </c>
      <c r="F361" s="373">
        <f t="shared" ref="F361:F424" si="131">M361</f>
        <v>23.67</v>
      </c>
      <c r="G361" s="430">
        <v>23.67</v>
      </c>
      <c r="H361" s="399">
        <f t="shared" ref="H361:H424" si="132">IF(ISNUMBER(G361),ROUND(0.8*G361,2),"")</f>
        <v>18.940000000000001</v>
      </c>
      <c r="I361" s="576"/>
      <c r="J361" s="549" t="s">
        <v>5804</v>
      </c>
      <c r="K361" s="11"/>
      <c r="M361" s="37">
        <f t="shared" ref="M361:M424" si="133">N361+SUMIF(O361:AG361,"x",O$296:AG$296)</f>
        <v>23.67</v>
      </c>
      <c r="N361" s="29">
        <v>11.67</v>
      </c>
      <c r="O361" s="149" t="s">
        <v>1017</v>
      </c>
      <c r="P361" s="144"/>
      <c r="Q361" s="145"/>
      <c r="R361" s="145"/>
      <c r="S361" s="145" t="s">
        <v>4179</v>
      </c>
      <c r="T361" t="s">
        <v>4179</v>
      </c>
      <c r="U361" s="146" t="s">
        <v>1017</v>
      </c>
      <c r="V361" s="145"/>
      <c r="W361" s="147"/>
      <c r="X361" s="147"/>
      <c r="Y361" s="145"/>
      <c r="Z361" s="145"/>
      <c r="AA361" s="147"/>
      <c r="AB361" s="145" t="s">
        <v>1017</v>
      </c>
      <c r="AC361" s="145"/>
      <c r="AD361" s="147"/>
      <c r="AE361" s="148"/>
      <c r="AF361" s="147"/>
      <c r="AG361" s="147"/>
      <c r="AH361" s="166" t="str">
        <f t="shared" si="130"/>
        <v/>
      </c>
      <c r="AI361" s="168" t="str">
        <f t="shared" si="125"/>
        <v/>
      </c>
      <c r="AJ361" s="168" t="str">
        <f t="shared" si="126"/>
        <v/>
      </c>
      <c r="AK361" s="168" t="str">
        <f t="shared" si="127"/>
        <v/>
      </c>
      <c r="AL361" s="168" t="str">
        <f t="shared" si="128"/>
        <v/>
      </c>
      <c r="AM361" s="168" t="str">
        <f t="shared" si="129"/>
        <v/>
      </c>
      <c r="AN361" s="167" t="str">
        <f t="shared" si="112"/>
        <v/>
      </c>
      <c r="AO361" s="167" t="str">
        <f t="shared" si="113"/>
        <v/>
      </c>
      <c r="AP361" s="167" t="str">
        <f t="shared" si="114"/>
        <v/>
      </c>
      <c r="AQ361" s="169" t="str">
        <f t="shared" si="115"/>
        <v/>
      </c>
      <c r="AR361" s="170" t="str">
        <f t="shared" si="116"/>
        <v>BiK81LKWKy--04</v>
      </c>
      <c r="AS361" s="169" t="str">
        <f t="shared" si="117"/>
        <v/>
      </c>
      <c r="AT361">
        <f t="shared" si="118"/>
        <v>14</v>
      </c>
      <c r="AU361" s="170" t="str">
        <f t="shared" si="119"/>
        <v>0-0,15 MW, Bonusregeln L, y und KWK</v>
      </c>
      <c r="AV361" s="169" t="str">
        <f t="shared" si="120"/>
        <v/>
      </c>
      <c r="AW361" s="170" t="str">
        <f t="shared" si="121"/>
        <v>Anteil KWK</v>
      </c>
      <c r="AX361" s="169" t="str">
        <f t="shared" si="122"/>
        <v/>
      </c>
      <c r="AY361" t="str">
        <f t="shared" si="123"/>
        <v/>
      </c>
      <c r="AZ361" t="str">
        <f t="shared" si="124"/>
        <v/>
      </c>
    </row>
    <row r="362" spans="1:52" x14ac:dyDescent="0.35">
      <c r="A362" s="497" t="s">
        <v>2707</v>
      </c>
      <c r="B362" s="13" t="s">
        <v>5547</v>
      </c>
      <c r="C362" s="13" t="s">
        <v>4808</v>
      </c>
      <c r="D362" s="88" t="s">
        <v>6836</v>
      </c>
      <c r="E362" s="13" t="s">
        <v>4330</v>
      </c>
      <c r="F362" s="373">
        <f t="shared" si="131"/>
        <v>24.67</v>
      </c>
      <c r="G362" s="430">
        <v>24.67</v>
      </c>
      <c r="H362" s="399">
        <f t="shared" si="132"/>
        <v>19.739999999999998</v>
      </c>
      <c r="I362" s="576"/>
      <c r="J362" s="549" t="s">
        <v>5804</v>
      </c>
      <c r="K362" s="11"/>
      <c r="M362" s="37">
        <f t="shared" si="133"/>
        <v>24.67</v>
      </c>
      <c r="N362" s="29">
        <v>11.67</v>
      </c>
      <c r="O362" s="149"/>
      <c r="P362" s="145" t="s">
        <v>1017</v>
      </c>
      <c r="Q362" s="145"/>
      <c r="R362" s="145"/>
      <c r="S362" s="145" t="s">
        <v>4179</v>
      </c>
      <c r="T362" t="s">
        <v>4179</v>
      </c>
      <c r="U362" s="146" t="s">
        <v>1017</v>
      </c>
      <c r="V362" s="145"/>
      <c r="W362" s="147"/>
      <c r="X362" s="147"/>
      <c r="Y362" s="145"/>
      <c r="Z362" s="145"/>
      <c r="AA362" s="147"/>
      <c r="AB362" s="145" t="s">
        <v>1017</v>
      </c>
      <c r="AC362" s="145"/>
      <c r="AD362" s="147"/>
      <c r="AE362" s="148"/>
      <c r="AF362" s="147"/>
      <c r="AG362" s="147"/>
      <c r="AH362" s="166" t="str">
        <f t="shared" si="130"/>
        <v/>
      </c>
      <c r="AI362" s="168" t="str">
        <f t="shared" si="125"/>
        <v/>
      </c>
      <c r="AJ362" s="168" t="str">
        <f t="shared" si="126"/>
        <v/>
      </c>
      <c r="AK362" s="168" t="str">
        <f t="shared" si="127"/>
        <v/>
      </c>
      <c r="AL362" s="168" t="str">
        <f t="shared" si="128"/>
        <v/>
      </c>
      <c r="AM362" s="168" t="str">
        <f t="shared" si="129"/>
        <v/>
      </c>
      <c r="AN362" s="167" t="str">
        <f t="shared" si="112"/>
        <v/>
      </c>
      <c r="AO362" s="167" t="str">
        <f t="shared" si="113"/>
        <v/>
      </c>
      <c r="AP362" s="167" t="str">
        <f t="shared" si="114"/>
        <v/>
      </c>
      <c r="AQ362" s="169" t="str">
        <f t="shared" si="115"/>
        <v/>
      </c>
      <c r="AR362" s="170" t="str">
        <f t="shared" si="116"/>
        <v>BiK81LKA3y--04</v>
      </c>
      <c r="AS362" s="169" t="str">
        <f t="shared" si="117"/>
        <v/>
      </c>
      <c r="AT362">
        <f t="shared" si="118"/>
        <v>14</v>
      </c>
      <c r="AU362" s="170" t="str">
        <f t="shared" si="119"/>
        <v>0-0,15 MW, Bonusregeln L, y und K wenn Anlage 3 erfüllt</v>
      </c>
      <c r="AV362" s="169" t="str">
        <f t="shared" si="120"/>
        <v/>
      </c>
      <c r="AW362" s="170" t="str">
        <f t="shared" si="121"/>
        <v>Anteil KWK gemäß Anlage 3</v>
      </c>
      <c r="AX362" s="169" t="str">
        <f t="shared" si="122"/>
        <v/>
      </c>
      <c r="AY362" t="str">
        <f t="shared" si="123"/>
        <v/>
      </c>
      <c r="AZ362" t="str">
        <f t="shared" si="124"/>
        <v/>
      </c>
    </row>
    <row r="363" spans="1:52" x14ac:dyDescent="0.35">
      <c r="A363" s="497" t="s">
        <v>2708</v>
      </c>
      <c r="B363" s="13" t="s">
        <v>5547</v>
      </c>
      <c r="C363" s="13" t="s">
        <v>4808</v>
      </c>
      <c r="D363" s="13" t="s">
        <v>6837</v>
      </c>
      <c r="E363" s="13" t="s">
        <v>674</v>
      </c>
      <c r="F363" s="373">
        <f t="shared" si="131"/>
        <v>24.67</v>
      </c>
      <c r="G363" s="430">
        <v>24.67</v>
      </c>
      <c r="H363" s="399">
        <f t="shared" si="132"/>
        <v>19.739999999999998</v>
      </c>
      <c r="I363" s="576"/>
      <c r="J363" s="549" t="s">
        <v>5804</v>
      </c>
      <c r="K363" s="11"/>
      <c r="M363" s="37">
        <f t="shared" si="133"/>
        <v>24.67</v>
      </c>
      <c r="N363" s="29">
        <v>11.67</v>
      </c>
      <c r="O363" s="149"/>
      <c r="P363" s="144"/>
      <c r="Q363" s="145" t="s">
        <v>1017</v>
      </c>
      <c r="R363" s="145"/>
      <c r="S363" s="145" t="s">
        <v>4179</v>
      </c>
      <c r="T363" t="s">
        <v>4179</v>
      </c>
      <c r="U363" s="146" t="s">
        <v>1017</v>
      </c>
      <c r="V363" s="145"/>
      <c r="W363" s="147"/>
      <c r="X363" s="147"/>
      <c r="Y363" s="145"/>
      <c r="Z363" s="145"/>
      <c r="AA363" s="147"/>
      <c r="AB363" s="145" t="s">
        <v>1017</v>
      </c>
      <c r="AC363" s="145"/>
      <c r="AD363" s="147"/>
      <c r="AE363" s="148"/>
      <c r="AF363" s="147"/>
      <c r="AG363" s="147"/>
      <c r="AH363" s="166" t="str">
        <f t="shared" si="130"/>
        <v/>
      </c>
      <c r="AI363" s="168" t="str">
        <f t="shared" si="125"/>
        <v/>
      </c>
      <c r="AJ363" s="168" t="str">
        <f t="shared" si="126"/>
        <v/>
      </c>
      <c r="AK363" s="168" t="str">
        <f t="shared" si="127"/>
        <v/>
      </c>
      <c r="AL363" s="168" t="str">
        <f t="shared" si="128"/>
        <v/>
      </c>
      <c r="AM363" s="168" t="str">
        <f t="shared" si="129"/>
        <v/>
      </c>
      <c r="AN363" s="167" t="str">
        <f t="shared" si="112"/>
        <v/>
      </c>
      <c r="AO363" s="167" t="str">
        <f t="shared" si="113"/>
        <v/>
      </c>
      <c r="AP363" s="167" t="str">
        <f t="shared" si="114"/>
        <v/>
      </c>
      <c r="AQ363" s="169" t="str">
        <f t="shared" si="115"/>
        <v/>
      </c>
      <c r="AR363" s="170" t="str">
        <f t="shared" si="116"/>
        <v>BiK81LK09y--04</v>
      </c>
      <c r="AS363" s="169" t="str">
        <f t="shared" si="117"/>
        <v/>
      </c>
      <c r="AT363">
        <f t="shared" si="118"/>
        <v>14</v>
      </c>
      <c r="AU363" s="170" t="str">
        <f t="shared" si="119"/>
        <v>0-0,15 MW, Bonusregeln L, y und K erstmals 2009</v>
      </c>
      <c r="AV363" s="169" t="str">
        <f t="shared" si="120"/>
        <v/>
      </c>
      <c r="AW363" s="170" t="str">
        <f t="shared" si="121"/>
        <v>Anteil KWK, erstmals 2009</v>
      </c>
      <c r="AX363" s="169" t="str">
        <f t="shared" si="122"/>
        <v/>
      </c>
      <c r="AY363" t="str">
        <f t="shared" si="123"/>
        <v/>
      </c>
      <c r="AZ363" t="str">
        <f t="shared" si="124"/>
        <v/>
      </c>
    </row>
    <row r="364" spans="1:52" x14ac:dyDescent="0.35">
      <c r="A364" s="497" t="s">
        <v>1637</v>
      </c>
      <c r="B364" s="13" t="s">
        <v>5547</v>
      </c>
      <c r="C364" s="13" t="s">
        <v>4808</v>
      </c>
      <c r="D364" s="13" t="s">
        <v>6838</v>
      </c>
      <c r="E364" s="13" t="s">
        <v>3566</v>
      </c>
      <c r="F364" s="373">
        <f t="shared" si="131"/>
        <v>24.64</v>
      </c>
      <c r="G364" s="430">
        <v>24.64</v>
      </c>
      <c r="H364" s="399">
        <f t="shared" si="132"/>
        <v>19.71</v>
      </c>
      <c r="I364" s="576"/>
      <c r="J364" s="549" t="s">
        <v>5804</v>
      </c>
      <c r="K364" s="11"/>
      <c r="M364" s="37">
        <f t="shared" si="133"/>
        <v>24.64</v>
      </c>
      <c r="N364" s="29">
        <v>11.67</v>
      </c>
      <c r="O364" s="149"/>
      <c r="P364" s="144"/>
      <c r="Q364" s="145"/>
      <c r="R364" s="145" t="s">
        <v>1017</v>
      </c>
      <c r="S364" s="145" t="s">
        <v>4179</v>
      </c>
      <c r="T364" t="s">
        <v>4179</v>
      </c>
      <c r="U364" s="146" t="s">
        <v>1017</v>
      </c>
      <c r="V364" s="145"/>
      <c r="W364" s="147"/>
      <c r="X364" s="147"/>
      <c r="Y364" s="145"/>
      <c r="Z364" s="145"/>
      <c r="AA364" s="147"/>
      <c r="AB364" s="145" t="s">
        <v>1017</v>
      </c>
      <c r="AC364" s="145"/>
      <c r="AD364" s="147"/>
      <c r="AE364" s="148"/>
      <c r="AF364" s="147"/>
      <c r="AG364" s="147"/>
      <c r="AH364" s="166" t="str">
        <f t="shared" si="130"/>
        <v>2010</v>
      </c>
      <c r="AI364" s="168" t="str">
        <f t="shared" si="125"/>
        <v/>
      </c>
      <c r="AJ364" s="168" t="str">
        <f t="shared" si="126"/>
        <v/>
      </c>
      <c r="AK364" s="168" t="str">
        <f t="shared" si="127"/>
        <v/>
      </c>
      <c r="AL364" s="168" t="str">
        <f t="shared" si="128"/>
        <v/>
      </c>
      <c r="AM364" s="168" t="str">
        <f t="shared" si="129"/>
        <v/>
      </c>
      <c r="AN364" s="167" t="str">
        <f t="shared" si="112"/>
        <v>2010</v>
      </c>
      <c r="AO364" s="167" t="str">
        <f t="shared" si="113"/>
        <v>2010</v>
      </c>
      <c r="AP364" s="167" t="str">
        <f t="shared" si="114"/>
        <v>2010</v>
      </c>
      <c r="AQ364" s="169" t="str">
        <f t="shared" si="115"/>
        <v/>
      </c>
      <c r="AR364" s="170" t="str">
        <f t="shared" si="116"/>
        <v>BiK81LK10y--04</v>
      </c>
      <c r="AS364" s="169" t="str">
        <f t="shared" si="117"/>
        <v/>
      </c>
      <c r="AT364">
        <f t="shared" si="118"/>
        <v>14</v>
      </c>
      <c r="AU364" s="170" t="str">
        <f t="shared" si="119"/>
        <v>0-0,15 MW, Bonusregeln L, y und K erstmals 2010</v>
      </c>
      <c r="AV364" s="169" t="str">
        <f t="shared" si="120"/>
        <v/>
      </c>
      <c r="AW364" s="170" t="str">
        <f t="shared" si="121"/>
        <v>Anteil KWK, erstmals 2010</v>
      </c>
      <c r="AX364" s="169" t="str">
        <f t="shared" si="122"/>
        <v/>
      </c>
      <c r="AY364" t="str">
        <f t="shared" si="123"/>
        <v/>
      </c>
      <c r="AZ364" t="str">
        <f t="shared" si="124"/>
        <v/>
      </c>
    </row>
    <row r="365" spans="1:52" x14ac:dyDescent="0.35">
      <c r="A365" s="497" t="s">
        <v>5251</v>
      </c>
      <c r="B365" s="13" t="s">
        <v>5547</v>
      </c>
      <c r="C365" s="13" t="s">
        <v>4808</v>
      </c>
      <c r="D365" s="13" t="s">
        <v>6839</v>
      </c>
      <c r="E365" s="13" t="s">
        <v>3054</v>
      </c>
      <c r="F365" s="373">
        <f t="shared" si="131"/>
        <v>24.61</v>
      </c>
      <c r="G365" s="430">
        <v>24.61</v>
      </c>
      <c r="H365" s="399">
        <f t="shared" si="132"/>
        <v>19.690000000000001</v>
      </c>
      <c r="I365" s="576"/>
      <c r="J365" s="549" t="s">
        <v>5804</v>
      </c>
      <c r="K365" s="11"/>
      <c r="M365" s="37">
        <f t="shared" si="133"/>
        <v>24.61</v>
      </c>
      <c r="N365" s="29">
        <v>11.67</v>
      </c>
      <c r="O365" s="149"/>
      <c r="P365" s="144"/>
      <c r="Q365" s="145"/>
      <c r="R365" s="145"/>
      <c r="S365" s="145" t="s">
        <v>1017</v>
      </c>
      <c r="T365" t="s">
        <v>4179</v>
      </c>
      <c r="U365" s="146" t="s">
        <v>1017</v>
      </c>
      <c r="V365" s="145"/>
      <c r="W365" s="147"/>
      <c r="X365" s="147"/>
      <c r="Y365" s="145"/>
      <c r="Z365" s="145"/>
      <c r="AA365" s="147"/>
      <c r="AB365" s="145" t="s">
        <v>1017</v>
      </c>
      <c r="AC365" s="145"/>
      <c r="AD365" s="147"/>
      <c r="AE365" s="148"/>
      <c r="AF365" s="147"/>
      <c r="AG365" s="147"/>
      <c r="AH365" s="166" t="str">
        <f t="shared" si="130"/>
        <v>2011</v>
      </c>
      <c r="AI365" s="168" t="str">
        <f t="shared" si="125"/>
        <v/>
      </c>
      <c r="AJ365" s="168" t="str">
        <f t="shared" si="126"/>
        <v/>
      </c>
      <c r="AK365" s="168" t="str">
        <f t="shared" si="127"/>
        <v/>
      </c>
      <c r="AL365" s="168" t="str">
        <f t="shared" si="128"/>
        <v/>
      </c>
      <c r="AM365" s="168" t="str">
        <f t="shared" si="129"/>
        <v/>
      </c>
      <c r="AN365" s="167" t="str">
        <f t="shared" si="112"/>
        <v>2011</v>
      </c>
      <c r="AO365" s="167" t="str">
        <f t="shared" si="113"/>
        <v>2011</v>
      </c>
      <c r="AP365" s="167" t="str">
        <f t="shared" si="114"/>
        <v>2011</v>
      </c>
      <c r="AQ365" s="169" t="str">
        <f t="shared" si="115"/>
        <v/>
      </c>
      <c r="AR365" s="170" t="str">
        <f t="shared" si="116"/>
        <v>BiK81LK11y--04</v>
      </c>
      <c r="AS365" s="169" t="str">
        <f t="shared" si="117"/>
        <v/>
      </c>
      <c r="AT365">
        <f t="shared" si="118"/>
        <v>14</v>
      </c>
      <c r="AU365" s="170" t="str">
        <f t="shared" si="119"/>
        <v>0-0,15 MW, Bonusregeln L, y und K erstmals 2011</v>
      </c>
      <c r="AV365" s="169" t="str">
        <f t="shared" si="120"/>
        <v/>
      </c>
      <c r="AW365" s="170" t="str">
        <f t="shared" si="121"/>
        <v>Anteil KWK, erstmals 2011</v>
      </c>
      <c r="AX365" s="169" t="str">
        <f t="shared" si="122"/>
        <v/>
      </c>
      <c r="AY365" t="str">
        <f t="shared" si="123"/>
        <v>x</v>
      </c>
      <c r="AZ365" t="str">
        <f t="shared" si="124"/>
        <v/>
      </c>
    </row>
    <row r="366" spans="1:52" x14ac:dyDescent="0.35">
      <c r="A366" s="511" t="s">
        <v>3558</v>
      </c>
      <c r="B366" s="173" t="s">
        <v>5547</v>
      </c>
      <c r="C366" s="173" t="s">
        <v>4808</v>
      </c>
      <c r="D366" s="173" t="s">
        <v>6840</v>
      </c>
      <c r="E366" s="173" t="s">
        <v>1980</v>
      </c>
      <c r="F366" s="374">
        <f t="shared" si="131"/>
        <v>24.58</v>
      </c>
      <c r="G366" s="431">
        <v>24.58</v>
      </c>
      <c r="H366" s="400">
        <f t="shared" si="132"/>
        <v>19.66</v>
      </c>
      <c r="I366" s="577"/>
      <c r="J366" s="549" t="s">
        <v>5804</v>
      </c>
      <c r="K366" s="11"/>
      <c r="M366" s="37">
        <f t="shared" si="133"/>
        <v>24.58</v>
      </c>
      <c r="N366" s="29">
        <v>11.67</v>
      </c>
      <c r="O366" s="149"/>
      <c r="P366" s="144"/>
      <c r="Q366" s="145"/>
      <c r="R366" s="145"/>
      <c r="S366" s="145" t="s">
        <v>4179</v>
      </c>
      <c r="T366" t="s">
        <v>1017</v>
      </c>
      <c r="U366" s="146" t="s">
        <v>1017</v>
      </c>
      <c r="V366" s="145"/>
      <c r="W366" s="147"/>
      <c r="X366" s="147"/>
      <c r="Y366" s="145"/>
      <c r="Z366" s="145"/>
      <c r="AA366" s="147"/>
      <c r="AB366" s="145" t="s">
        <v>1017</v>
      </c>
      <c r="AC366" s="145"/>
      <c r="AD366" s="147"/>
      <c r="AE366" s="148"/>
      <c r="AF366" s="147"/>
      <c r="AG366" s="147"/>
      <c r="AH366" s="171" t="s">
        <v>4178</v>
      </c>
      <c r="AI366" s="168" t="str">
        <f t="shared" si="125"/>
        <v/>
      </c>
      <c r="AJ366" s="168" t="str">
        <f t="shared" si="126"/>
        <v/>
      </c>
      <c r="AK366" s="168" t="str">
        <f t="shared" si="127"/>
        <v/>
      </c>
      <c r="AL366" s="168" t="str">
        <f t="shared" si="128"/>
        <v/>
      </c>
      <c r="AM366" s="168" t="str">
        <f t="shared" si="129"/>
        <v/>
      </c>
      <c r="AN366" s="167" t="str">
        <f t="shared" si="112"/>
        <v>2012</v>
      </c>
      <c r="AO366" s="167" t="str">
        <f t="shared" si="113"/>
        <v>2012</v>
      </c>
      <c r="AP366" s="167" t="str">
        <f t="shared" si="114"/>
        <v>2012</v>
      </c>
      <c r="AQ366" s="169" t="str">
        <f t="shared" si="115"/>
        <v/>
      </c>
      <c r="AR366" s="170" t="str">
        <f t="shared" si="116"/>
        <v>BiK81LK12y--04</v>
      </c>
      <c r="AS366" s="169" t="str">
        <f t="shared" si="117"/>
        <v/>
      </c>
      <c r="AT366">
        <f t="shared" si="118"/>
        <v>14</v>
      </c>
      <c r="AU366" s="170" t="str">
        <f t="shared" si="119"/>
        <v>0-0,15 MW, Bonusregeln L, y und K erstmals 2012</v>
      </c>
      <c r="AV366" s="169" t="str">
        <f t="shared" si="120"/>
        <v/>
      </c>
      <c r="AW366" s="170" t="str">
        <f t="shared" si="121"/>
        <v>Anteil KWK, erstmals 2012</v>
      </c>
      <c r="AX366" s="169" t="str">
        <f t="shared" si="122"/>
        <v/>
      </c>
      <c r="AY366" t="str">
        <f t="shared" si="123"/>
        <v/>
      </c>
      <c r="AZ366" t="str">
        <f t="shared" si="124"/>
        <v>x</v>
      </c>
    </row>
    <row r="367" spans="1:52" s="145" customFormat="1" x14ac:dyDescent="0.35">
      <c r="A367" s="497" t="s">
        <v>2709</v>
      </c>
      <c r="B367" s="13" t="s">
        <v>5547</v>
      </c>
      <c r="C367" s="13" t="s">
        <v>4808</v>
      </c>
      <c r="D367" s="13" t="s">
        <v>6841</v>
      </c>
      <c r="E367" s="13" t="s">
        <v>4809</v>
      </c>
      <c r="F367" s="373">
        <f t="shared" si="131"/>
        <v>24.67</v>
      </c>
      <c r="G367" s="430">
        <v>24.67</v>
      </c>
      <c r="H367" s="399">
        <f t="shared" si="132"/>
        <v>19.739999999999998</v>
      </c>
      <c r="I367" s="576"/>
      <c r="J367" s="549" t="s">
        <v>5804</v>
      </c>
      <c r="K367" s="11"/>
      <c r="L367"/>
      <c r="M367" s="37">
        <f t="shared" si="133"/>
        <v>24.67</v>
      </c>
      <c r="N367" s="29">
        <v>11.67</v>
      </c>
      <c r="O367" s="149"/>
      <c r="P367" s="144"/>
      <c r="S367" s="145" t="s">
        <v>4179</v>
      </c>
      <c r="T367" s="145" t="s">
        <v>4179</v>
      </c>
      <c r="U367" s="146"/>
      <c r="W367" s="147"/>
      <c r="X367" s="147"/>
      <c r="AA367" s="147"/>
      <c r="AC367" s="145" t="s">
        <v>1017</v>
      </c>
      <c r="AD367" s="147"/>
      <c r="AE367" s="148"/>
      <c r="AF367" s="147"/>
      <c r="AG367" s="147"/>
      <c r="AH367" s="166" t="str">
        <f t="shared" ref="AH367:AH372" si="134">IF(ISERROR(SEARCH("K erstmals 201",D367)),"",RIGHT(D367,4))</f>
        <v/>
      </c>
      <c r="AI367" s="168" t="str">
        <f t="shared" si="125"/>
        <v/>
      </c>
      <c r="AJ367" s="168" t="str">
        <f t="shared" si="126"/>
        <v/>
      </c>
      <c r="AK367" s="168" t="str">
        <f t="shared" si="127"/>
        <v/>
      </c>
      <c r="AL367" s="168" t="str">
        <f t="shared" si="128"/>
        <v/>
      </c>
      <c r="AM367" s="168" t="str">
        <f t="shared" si="129"/>
        <v/>
      </c>
      <c r="AN367" s="167" t="str">
        <f t="shared" si="112"/>
        <v/>
      </c>
      <c r="AO367" s="167" t="str">
        <f t="shared" si="113"/>
        <v/>
      </c>
      <c r="AP367" s="167" t="str">
        <f t="shared" si="114"/>
        <v/>
      </c>
      <c r="AQ367" s="169" t="str">
        <f t="shared" si="115"/>
        <v/>
      </c>
      <c r="AR367" s="170" t="str">
        <f t="shared" si="116"/>
        <v>BiK81X1-----04</v>
      </c>
      <c r="AS367" s="169" t="str">
        <f t="shared" si="117"/>
        <v/>
      </c>
      <c r="AT367">
        <f t="shared" si="118"/>
        <v>14</v>
      </c>
      <c r="AU367" s="170" t="str">
        <f t="shared" si="119"/>
        <v>0-0,15 MW, Bonusregel X1</v>
      </c>
      <c r="AV367" s="169" t="str">
        <f t="shared" si="120"/>
        <v/>
      </c>
      <c r="AW367" s="170" t="str">
        <f t="shared" si="121"/>
        <v>Anteil Nicht-KWK</v>
      </c>
      <c r="AX367" s="169" t="str">
        <f t="shared" si="122"/>
        <v/>
      </c>
      <c r="AY367" t="str">
        <f t="shared" si="123"/>
        <v/>
      </c>
      <c r="AZ367" t="str">
        <f t="shared" si="124"/>
        <v/>
      </c>
    </row>
    <row r="368" spans="1:52" s="145" customFormat="1" x14ac:dyDescent="0.35">
      <c r="A368" s="497" t="s">
        <v>2710</v>
      </c>
      <c r="B368" s="13" t="s">
        <v>5547</v>
      </c>
      <c r="C368" s="13" t="s">
        <v>4808</v>
      </c>
      <c r="D368" s="13" t="s">
        <v>6900</v>
      </c>
      <c r="E368" s="13" t="s">
        <v>4811</v>
      </c>
      <c r="F368" s="373">
        <f t="shared" si="131"/>
        <v>26.67</v>
      </c>
      <c r="G368" s="430">
        <v>26.67</v>
      </c>
      <c r="H368" s="399">
        <f t="shared" si="132"/>
        <v>21.34</v>
      </c>
      <c r="I368" s="576"/>
      <c r="J368" s="549" t="s">
        <v>5804</v>
      </c>
      <c r="K368" s="11"/>
      <c r="L368"/>
      <c r="M368" s="37">
        <f t="shared" si="133"/>
        <v>26.67</v>
      </c>
      <c r="N368" s="29">
        <v>11.67</v>
      </c>
      <c r="O368" s="149" t="s">
        <v>1017</v>
      </c>
      <c r="P368" s="144"/>
      <c r="S368" s="145" t="s">
        <v>4179</v>
      </c>
      <c r="T368" s="145" t="s">
        <v>4179</v>
      </c>
      <c r="U368" s="146"/>
      <c r="W368" s="147"/>
      <c r="X368" s="147"/>
      <c r="AA368" s="147"/>
      <c r="AC368" s="145" t="s">
        <v>1017</v>
      </c>
      <c r="AD368" s="147"/>
      <c r="AE368" s="148"/>
      <c r="AF368" s="147"/>
      <c r="AG368" s="147"/>
      <c r="AH368" s="166" t="str">
        <f t="shared" si="134"/>
        <v/>
      </c>
      <c r="AI368" s="168" t="str">
        <f t="shared" si="125"/>
        <v/>
      </c>
      <c r="AJ368" s="168" t="str">
        <f t="shared" si="126"/>
        <v/>
      </c>
      <c r="AK368" s="168" t="str">
        <f t="shared" si="127"/>
        <v/>
      </c>
      <c r="AL368" s="168" t="str">
        <f t="shared" si="128"/>
        <v/>
      </c>
      <c r="AM368" s="168" t="str">
        <f t="shared" si="129"/>
        <v/>
      </c>
      <c r="AN368" s="167" t="str">
        <f t="shared" si="112"/>
        <v/>
      </c>
      <c r="AO368" s="167" t="str">
        <f t="shared" si="113"/>
        <v/>
      </c>
      <c r="AP368" s="167" t="str">
        <f t="shared" si="114"/>
        <v/>
      </c>
      <c r="AQ368" s="169" t="str">
        <f t="shared" si="115"/>
        <v/>
      </c>
      <c r="AR368" s="170" t="str">
        <f t="shared" si="116"/>
        <v>BiK81X1KWK--04</v>
      </c>
      <c r="AS368" s="169" t="str">
        <f t="shared" si="117"/>
        <v/>
      </c>
      <c r="AT368">
        <f t="shared" si="118"/>
        <v>14</v>
      </c>
      <c r="AU368" s="170" t="str">
        <f t="shared" si="119"/>
        <v>0-0,15 MW, Bonusregeln X1 und KWK</v>
      </c>
      <c r="AV368" s="169" t="str">
        <f t="shared" si="120"/>
        <v/>
      </c>
      <c r="AW368" s="170" t="str">
        <f t="shared" si="121"/>
        <v>Anteil KWK</v>
      </c>
      <c r="AX368" s="169" t="str">
        <f t="shared" si="122"/>
        <v/>
      </c>
      <c r="AY368" t="str">
        <f t="shared" si="123"/>
        <v/>
      </c>
      <c r="AZ368" t="str">
        <f t="shared" si="124"/>
        <v/>
      </c>
    </row>
    <row r="369" spans="1:52" s="145" customFormat="1" x14ac:dyDescent="0.35">
      <c r="A369" s="497" t="s">
        <v>2711</v>
      </c>
      <c r="B369" s="13" t="s">
        <v>5547</v>
      </c>
      <c r="C369" s="13" t="s">
        <v>4808</v>
      </c>
      <c r="D369" s="13" t="s">
        <v>6842</v>
      </c>
      <c r="E369" s="13" t="s">
        <v>4330</v>
      </c>
      <c r="F369" s="373">
        <f t="shared" si="131"/>
        <v>27.67</v>
      </c>
      <c r="G369" s="430">
        <v>27.67</v>
      </c>
      <c r="H369" s="399">
        <f t="shared" si="132"/>
        <v>22.14</v>
      </c>
      <c r="I369" s="576"/>
      <c r="J369" s="549" t="s">
        <v>5804</v>
      </c>
      <c r="K369" s="11"/>
      <c r="L369"/>
      <c r="M369" s="37">
        <f t="shared" si="133"/>
        <v>27.67</v>
      </c>
      <c r="N369" s="29">
        <v>11.67</v>
      </c>
      <c r="O369" s="149"/>
      <c r="P369" s="145" t="s">
        <v>1017</v>
      </c>
      <c r="S369" s="145" t="s">
        <v>4179</v>
      </c>
      <c r="T369" s="145" t="s">
        <v>4179</v>
      </c>
      <c r="U369" s="146"/>
      <c r="W369" s="147"/>
      <c r="X369" s="147"/>
      <c r="AA369" s="147"/>
      <c r="AC369" s="145" t="s">
        <v>1017</v>
      </c>
      <c r="AD369" s="147"/>
      <c r="AE369" s="148"/>
      <c r="AF369" s="147"/>
      <c r="AG369" s="147"/>
      <c r="AH369" s="166" t="str">
        <f t="shared" si="134"/>
        <v/>
      </c>
      <c r="AI369" s="168" t="str">
        <f t="shared" si="125"/>
        <v/>
      </c>
      <c r="AJ369" s="168" t="str">
        <f t="shared" si="126"/>
        <v/>
      </c>
      <c r="AK369" s="168" t="str">
        <f t="shared" si="127"/>
        <v/>
      </c>
      <c r="AL369" s="168" t="str">
        <f t="shared" si="128"/>
        <v/>
      </c>
      <c r="AM369" s="168" t="str">
        <f t="shared" si="129"/>
        <v/>
      </c>
      <c r="AN369" s="167" t="str">
        <f t="shared" si="112"/>
        <v/>
      </c>
      <c r="AO369" s="167" t="str">
        <f t="shared" si="113"/>
        <v/>
      </c>
      <c r="AP369" s="167" t="str">
        <f t="shared" si="114"/>
        <v/>
      </c>
      <c r="AQ369" s="169" t="str">
        <f t="shared" si="115"/>
        <v/>
      </c>
      <c r="AR369" s="170" t="str">
        <f t="shared" si="116"/>
        <v>BiK81X1KA3--04</v>
      </c>
      <c r="AS369" s="169" t="str">
        <f t="shared" si="117"/>
        <v/>
      </c>
      <c r="AT369">
        <f t="shared" si="118"/>
        <v>14</v>
      </c>
      <c r="AU369" s="170" t="str">
        <f t="shared" si="119"/>
        <v>0-0,15 MW, Bonusregeln X1 und K wenn Anlage 3 erfüllt</v>
      </c>
      <c r="AV369" s="169" t="str">
        <f t="shared" si="120"/>
        <v/>
      </c>
      <c r="AW369" s="170" t="str">
        <f t="shared" si="121"/>
        <v>Anteil KWK gemäß Anlage 3</v>
      </c>
      <c r="AX369" s="169" t="str">
        <f t="shared" si="122"/>
        <v/>
      </c>
      <c r="AY369" t="str">
        <f t="shared" si="123"/>
        <v/>
      </c>
      <c r="AZ369" t="str">
        <f t="shared" si="124"/>
        <v/>
      </c>
    </row>
    <row r="370" spans="1:52" s="145" customFormat="1" x14ac:dyDescent="0.35">
      <c r="A370" s="497" t="s">
        <v>2712</v>
      </c>
      <c r="B370" s="13" t="s">
        <v>5547</v>
      </c>
      <c r="C370" s="13" t="s">
        <v>4808</v>
      </c>
      <c r="D370" s="13" t="s">
        <v>6843</v>
      </c>
      <c r="E370" s="13" t="s">
        <v>674</v>
      </c>
      <c r="F370" s="373">
        <f t="shared" si="131"/>
        <v>27.67</v>
      </c>
      <c r="G370" s="430">
        <v>27.67</v>
      </c>
      <c r="H370" s="399">
        <f t="shared" si="132"/>
        <v>22.14</v>
      </c>
      <c r="I370" s="576"/>
      <c r="J370" s="549" t="s">
        <v>5804</v>
      </c>
      <c r="K370" s="11"/>
      <c r="L370"/>
      <c r="M370" s="37">
        <f t="shared" si="133"/>
        <v>27.67</v>
      </c>
      <c r="N370" s="29">
        <v>11.67</v>
      </c>
      <c r="O370" s="149"/>
      <c r="P370" s="144"/>
      <c r="Q370" s="145" t="s">
        <v>1017</v>
      </c>
      <c r="S370" s="145" t="s">
        <v>4179</v>
      </c>
      <c r="T370" s="145" t="s">
        <v>4179</v>
      </c>
      <c r="U370" s="146"/>
      <c r="W370" s="147"/>
      <c r="X370" s="147"/>
      <c r="AA370" s="147"/>
      <c r="AC370" s="145" t="s">
        <v>1017</v>
      </c>
      <c r="AD370" s="147"/>
      <c r="AE370" s="148"/>
      <c r="AF370" s="147"/>
      <c r="AG370" s="147"/>
      <c r="AH370" s="166" t="str">
        <f t="shared" si="134"/>
        <v/>
      </c>
      <c r="AI370" s="168" t="str">
        <f t="shared" si="125"/>
        <v/>
      </c>
      <c r="AJ370" s="168" t="str">
        <f t="shared" si="126"/>
        <v/>
      </c>
      <c r="AK370" s="168" t="str">
        <f t="shared" si="127"/>
        <v/>
      </c>
      <c r="AL370" s="168" t="str">
        <f t="shared" si="128"/>
        <v/>
      </c>
      <c r="AM370" s="168" t="str">
        <f t="shared" si="129"/>
        <v/>
      </c>
      <c r="AN370" s="167" t="str">
        <f t="shared" si="112"/>
        <v/>
      </c>
      <c r="AO370" s="167" t="str">
        <f t="shared" si="113"/>
        <v/>
      </c>
      <c r="AP370" s="167" t="str">
        <f t="shared" si="114"/>
        <v/>
      </c>
      <c r="AQ370" s="169" t="str">
        <f t="shared" si="115"/>
        <v/>
      </c>
      <c r="AR370" s="170" t="str">
        <f t="shared" si="116"/>
        <v>BiK81X1K09--04</v>
      </c>
      <c r="AS370" s="169" t="str">
        <f t="shared" si="117"/>
        <v/>
      </c>
      <c r="AT370">
        <f t="shared" si="118"/>
        <v>14</v>
      </c>
      <c r="AU370" s="170" t="str">
        <f t="shared" si="119"/>
        <v>0-0,15 MW, Bonusregeln X1 und K erstmals 2009</v>
      </c>
      <c r="AV370" s="169" t="str">
        <f t="shared" si="120"/>
        <v/>
      </c>
      <c r="AW370" s="170" t="str">
        <f t="shared" si="121"/>
        <v>Anteil KWK, erstmals 2009</v>
      </c>
      <c r="AX370" s="169" t="str">
        <f t="shared" si="122"/>
        <v/>
      </c>
      <c r="AY370" t="str">
        <f t="shared" si="123"/>
        <v/>
      </c>
      <c r="AZ370" t="str">
        <f t="shared" si="124"/>
        <v/>
      </c>
    </row>
    <row r="371" spans="1:52" s="145" customFormat="1" x14ac:dyDescent="0.35">
      <c r="A371" s="497" t="s">
        <v>1638</v>
      </c>
      <c r="B371" s="13" t="s">
        <v>5547</v>
      </c>
      <c r="C371" s="13" t="s">
        <v>4808</v>
      </c>
      <c r="D371" s="13" t="s">
        <v>6844</v>
      </c>
      <c r="E371" s="13" t="s">
        <v>3566</v>
      </c>
      <c r="F371" s="373">
        <f t="shared" si="131"/>
        <v>27.64</v>
      </c>
      <c r="G371" s="430">
        <v>27.64</v>
      </c>
      <c r="H371" s="399">
        <f t="shared" si="132"/>
        <v>22.11</v>
      </c>
      <c r="I371" s="576"/>
      <c r="J371" s="549" t="s">
        <v>5804</v>
      </c>
      <c r="K371" s="11"/>
      <c r="L371"/>
      <c r="M371" s="37">
        <f t="shared" si="133"/>
        <v>27.64</v>
      </c>
      <c r="N371" s="29">
        <v>11.67</v>
      </c>
      <c r="O371" s="149"/>
      <c r="P371" s="144"/>
      <c r="R371" s="145" t="s">
        <v>1017</v>
      </c>
      <c r="S371" s="145" t="s">
        <v>4179</v>
      </c>
      <c r="T371" s="145" t="s">
        <v>4179</v>
      </c>
      <c r="U371" s="146"/>
      <c r="W371" s="147"/>
      <c r="X371" s="147"/>
      <c r="AA371" s="147"/>
      <c r="AC371" s="145" t="s">
        <v>1017</v>
      </c>
      <c r="AD371" s="147"/>
      <c r="AE371" s="148"/>
      <c r="AF371" s="147"/>
      <c r="AG371" s="147"/>
      <c r="AH371" s="166" t="str">
        <f t="shared" si="134"/>
        <v>2010</v>
      </c>
      <c r="AI371" s="168" t="str">
        <f t="shared" si="125"/>
        <v/>
      </c>
      <c r="AJ371" s="168" t="str">
        <f t="shared" si="126"/>
        <v/>
      </c>
      <c r="AK371" s="168" t="str">
        <f t="shared" si="127"/>
        <v/>
      </c>
      <c r="AL371" s="168" t="str">
        <f t="shared" si="128"/>
        <v/>
      </c>
      <c r="AM371" s="168" t="str">
        <f t="shared" si="129"/>
        <v/>
      </c>
      <c r="AN371" s="167" t="str">
        <f t="shared" si="112"/>
        <v>2010</v>
      </c>
      <c r="AO371" s="167" t="str">
        <f t="shared" si="113"/>
        <v>2010</v>
      </c>
      <c r="AP371" s="167" t="str">
        <f t="shared" si="114"/>
        <v>2010</v>
      </c>
      <c r="AQ371" s="169" t="str">
        <f t="shared" si="115"/>
        <v/>
      </c>
      <c r="AR371" s="170" t="str">
        <f t="shared" si="116"/>
        <v>BiK81X1K10--04</v>
      </c>
      <c r="AS371" s="169" t="str">
        <f t="shared" si="117"/>
        <v/>
      </c>
      <c r="AT371">
        <f t="shared" si="118"/>
        <v>14</v>
      </c>
      <c r="AU371" s="170" t="str">
        <f t="shared" si="119"/>
        <v>0-0,15 MW, Bonusregeln X1 und K erstmals 2010</v>
      </c>
      <c r="AV371" s="169" t="str">
        <f t="shared" si="120"/>
        <v/>
      </c>
      <c r="AW371" s="170" t="str">
        <f t="shared" si="121"/>
        <v>Anteil KWK, erstmals 2010</v>
      </c>
      <c r="AX371" s="169" t="str">
        <f t="shared" si="122"/>
        <v/>
      </c>
      <c r="AY371" t="str">
        <f t="shared" si="123"/>
        <v/>
      </c>
      <c r="AZ371" t="str">
        <f t="shared" si="124"/>
        <v/>
      </c>
    </row>
    <row r="372" spans="1:52" s="145" customFormat="1" x14ac:dyDescent="0.35">
      <c r="A372" s="497" t="s">
        <v>5252</v>
      </c>
      <c r="B372" s="13" t="s">
        <v>5547</v>
      </c>
      <c r="C372" s="13" t="s">
        <v>4808</v>
      </c>
      <c r="D372" s="13" t="s">
        <v>6845</v>
      </c>
      <c r="E372" s="13" t="s">
        <v>3054</v>
      </c>
      <c r="F372" s="373">
        <f t="shared" si="131"/>
        <v>27.61</v>
      </c>
      <c r="G372" s="430">
        <v>27.61</v>
      </c>
      <c r="H372" s="399">
        <f t="shared" si="132"/>
        <v>22.09</v>
      </c>
      <c r="I372" s="576"/>
      <c r="J372" s="549" t="s">
        <v>5804</v>
      </c>
      <c r="K372" s="11"/>
      <c r="L372"/>
      <c r="M372" s="37">
        <f t="shared" si="133"/>
        <v>27.61</v>
      </c>
      <c r="N372" s="29">
        <v>11.67</v>
      </c>
      <c r="O372" s="149"/>
      <c r="P372" s="144"/>
      <c r="S372" s="145" t="s">
        <v>1017</v>
      </c>
      <c r="T372" s="145" t="s">
        <v>4179</v>
      </c>
      <c r="U372" s="146"/>
      <c r="W372" s="147"/>
      <c r="X372" s="147"/>
      <c r="AA372" s="147"/>
      <c r="AC372" s="145" t="s">
        <v>1017</v>
      </c>
      <c r="AD372" s="147"/>
      <c r="AE372" s="148"/>
      <c r="AF372" s="147"/>
      <c r="AG372" s="147"/>
      <c r="AH372" s="166" t="str">
        <f t="shared" si="134"/>
        <v>2011</v>
      </c>
      <c r="AI372" s="168" t="str">
        <f t="shared" si="125"/>
        <v/>
      </c>
      <c r="AJ372" s="168" t="str">
        <f t="shared" si="126"/>
        <v/>
      </c>
      <c r="AK372" s="168" t="str">
        <f t="shared" si="127"/>
        <v/>
      </c>
      <c r="AL372" s="168" t="str">
        <f t="shared" si="128"/>
        <v/>
      </c>
      <c r="AM372" s="168" t="str">
        <f t="shared" si="129"/>
        <v/>
      </c>
      <c r="AN372" s="167" t="str">
        <f t="shared" si="112"/>
        <v>2011</v>
      </c>
      <c r="AO372" s="167" t="str">
        <f t="shared" si="113"/>
        <v>2011</v>
      </c>
      <c r="AP372" s="167" t="str">
        <f t="shared" si="114"/>
        <v>2011</v>
      </c>
      <c r="AQ372" s="169" t="str">
        <f t="shared" si="115"/>
        <v/>
      </c>
      <c r="AR372" s="170" t="str">
        <f t="shared" si="116"/>
        <v>BiK81X1K11--04</v>
      </c>
      <c r="AS372" s="169" t="str">
        <f t="shared" si="117"/>
        <v/>
      </c>
      <c r="AT372">
        <f t="shared" si="118"/>
        <v>14</v>
      </c>
      <c r="AU372" s="170" t="str">
        <f t="shared" si="119"/>
        <v>0-0,15 MW, Bonusregeln X1 und K erstmals 2011</v>
      </c>
      <c r="AV372" s="169" t="str">
        <f t="shared" si="120"/>
        <v/>
      </c>
      <c r="AW372" s="170" t="str">
        <f t="shared" si="121"/>
        <v>Anteil KWK, erstmals 2011</v>
      </c>
      <c r="AX372" s="169" t="str">
        <f t="shared" si="122"/>
        <v/>
      </c>
      <c r="AY372" t="str">
        <f t="shared" si="123"/>
        <v>x</v>
      </c>
      <c r="AZ372" t="str">
        <f t="shared" si="124"/>
        <v/>
      </c>
    </row>
    <row r="373" spans="1:52" s="145" customFormat="1" x14ac:dyDescent="0.35">
      <c r="A373" s="511" t="s">
        <v>3559</v>
      </c>
      <c r="B373" s="173" t="s">
        <v>5547</v>
      </c>
      <c r="C373" s="173" t="s">
        <v>4808</v>
      </c>
      <c r="D373" s="173" t="s">
        <v>6846</v>
      </c>
      <c r="E373" s="173" t="s">
        <v>1980</v>
      </c>
      <c r="F373" s="374">
        <f t="shared" si="131"/>
        <v>27.58</v>
      </c>
      <c r="G373" s="431">
        <v>27.58</v>
      </c>
      <c r="H373" s="400">
        <f t="shared" si="132"/>
        <v>22.06</v>
      </c>
      <c r="I373" s="577"/>
      <c r="J373" s="549" t="s">
        <v>5804</v>
      </c>
      <c r="K373" s="11"/>
      <c r="L373"/>
      <c r="M373" s="37">
        <f t="shared" si="133"/>
        <v>27.58</v>
      </c>
      <c r="N373" s="29">
        <v>11.67</v>
      </c>
      <c r="O373" s="149"/>
      <c r="P373" s="144"/>
      <c r="S373" s="145" t="s">
        <v>4179</v>
      </c>
      <c r="T373" s="145" t="s">
        <v>1017</v>
      </c>
      <c r="U373" s="146"/>
      <c r="W373" s="147"/>
      <c r="X373" s="147"/>
      <c r="AA373" s="147"/>
      <c r="AC373" s="145" t="s">
        <v>1017</v>
      </c>
      <c r="AD373" s="147"/>
      <c r="AE373" s="148"/>
      <c r="AF373" s="147"/>
      <c r="AG373" s="147"/>
      <c r="AH373" s="171" t="s">
        <v>4178</v>
      </c>
      <c r="AI373" s="168" t="str">
        <f t="shared" si="125"/>
        <v/>
      </c>
      <c r="AJ373" s="168" t="str">
        <f t="shared" si="126"/>
        <v/>
      </c>
      <c r="AK373" s="168" t="str">
        <f t="shared" si="127"/>
        <v/>
      </c>
      <c r="AL373" s="168" t="str">
        <f t="shared" si="128"/>
        <v/>
      </c>
      <c r="AM373" s="168" t="str">
        <f t="shared" si="129"/>
        <v/>
      </c>
      <c r="AN373" s="167" t="str">
        <f t="shared" si="112"/>
        <v>2012</v>
      </c>
      <c r="AO373" s="167" t="str">
        <f t="shared" si="113"/>
        <v>2012</v>
      </c>
      <c r="AP373" s="167" t="str">
        <f t="shared" si="114"/>
        <v>2012</v>
      </c>
      <c r="AQ373" s="169" t="str">
        <f t="shared" si="115"/>
        <v/>
      </c>
      <c r="AR373" s="170" t="str">
        <f t="shared" si="116"/>
        <v>BiK81X1K12--04</v>
      </c>
      <c r="AS373" s="169" t="str">
        <f t="shared" si="117"/>
        <v/>
      </c>
      <c r="AT373">
        <f t="shared" si="118"/>
        <v>14</v>
      </c>
      <c r="AU373" s="170" t="str">
        <f t="shared" si="119"/>
        <v>0-0,15 MW, Bonusregeln X1 und K erstmals 2012</v>
      </c>
      <c r="AV373" s="169" t="str">
        <f t="shared" si="120"/>
        <v/>
      </c>
      <c r="AW373" s="170" t="str">
        <f t="shared" si="121"/>
        <v>Anteil KWK, erstmals 2012</v>
      </c>
      <c r="AX373" s="169" t="str">
        <f t="shared" si="122"/>
        <v/>
      </c>
      <c r="AY373" t="str">
        <f t="shared" si="123"/>
        <v/>
      </c>
      <c r="AZ373" t="str">
        <f t="shared" si="124"/>
        <v>x</v>
      </c>
    </row>
    <row r="374" spans="1:52" s="145" customFormat="1" x14ac:dyDescent="0.35">
      <c r="A374" s="497" t="s">
        <v>2713</v>
      </c>
      <c r="B374" s="13" t="s">
        <v>5547</v>
      </c>
      <c r="C374" s="13" t="s">
        <v>4808</v>
      </c>
      <c r="D374" s="13" t="s">
        <v>6847</v>
      </c>
      <c r="E374" s="13" t="s">
        <v>4809</v>
      </c>
      <c r="F374" s="373">
        <f t="shared" si="131"/>
        <v>25.67</v>
      </c>
      <c r="G374" s="430">
        <v>25.67</v>
      </c>
      <c r="H374" s="399">
        <f t="shared" si="132"/>
        <v>20.54</v>
      </c>
      <c r="I374" s="576"/>
      <c r="J374" s="549" t="s">
        <v>5804</v>
      </c>
      <c r="K374" s="11"/>
      <c r="L374"/>
      <c r="M374" s="37">
        <f t="shared" si="133"/>
        <v>25.67</v>
      </c>
      <c r="N374" s="29">
        <v>11.67</v>
      </c>
      <c r="O374" s="149"/>
      <c r="P374" s="144"/>
      <c r="S374" s="145" t="s">
        <v>4179</v>
      </c>
      <c r="T374" s="145" t="s">
        <v>4179</v>
      </c>
      <c r="U374" s="146" t="s">
        <v>1017</v>
      </c>
      <c r="W374" s="147"/>
      <c r="X374" s="147"/>
      <c r="AA374" s="147"/>
      <c r="AC374" s="145" t="s">
        <v>1017</v>
      </c>
      <c r="AD374" s="147"/>
      <c r="AE374" s="148"/>
      <c r="AF374" s="147"/>
      <c r="AG374" s="147"/>
      <c r="AH374" s="166" t="str">
        <f t="shared" ref="AH374:AH379" si="135">IF(ISERROR(SEARCH("K erstmals 201",D374)),"",RIGHT(D374,4))</f>
        <v/>
      </c>
      <c r="AI374" s="168" t="str">
        <f t="shared" si="125"/>
        <v/>
      </c>
      <c r="AJ374" s="168" t="str">
        <f t="shared" si="126"/>
        <v/>
      </c>
      <c r="AK374" s="168" t="str">
        <f t="shared" si="127"/>
        <v/>
      </c>
      <c r="AL374" s="168" t="str">
        <f t="shared" si="128"/>
        <v/>
      </c>
      <c r="AM374" s="168" t="str">
        <f t="shared" si="129"/>
        <v/>
      </c>
      <c r="AN374" s="167" t="str">
        <f t="shared" si="112"/>
        <v/>
      </c>
      <c r="AO374" s="167" t="str">
        <f t="shared" si="113"/>
        <v/>
      </c>
      <c r="AP374" s="167" t="str">
        <f t="shared" si="114"/>
        <v/>
      </c>
      <c r="AQ374" s="169" t="str">
        <f t="shared" si="115"/>
        <v/>
      </c>
      <c r="AR374" s="170" t="str">
        <f t="shared" si="116"/>
        <v>BiK81X1y----04</v>
      </c>
      <c r="AS374" s="169" t="str">
        <f t="shared" si="117"/>
        <v/>
      </c>
      <c r="AT374">
        <f t="shared" si="118"/>
        <v>14</v>
      </c>
      <c r="AU374" s="170" t="str">
        <f t="shared" si="119"/>
        <v>0-0,15 MW, Bonusregeln X1, y</v>
      </c>
      <c r="AV374" s="169" t="str">
        <f t="shared" si="120"/>
        <v/>
      </c>
      <c r="AW374" s="170" t="str">
        <f t="shared" si="121"/>
        <v>Anteil Nicht-KWK</v>
      </c>
      <c r="AX374" s="169" t="str">
        <f t="shared" si="122"/>
        <v/>
      </c>
      <c r="AY374" t="str">
        <f t="shared" si="123"/>
        <v/>
      </c>
      <c r="AZ374" t="str">
        <f t="shared" si="124"/>
        <v/>
      </c>
    </row>
    <row r="375" spans="1:52" s="145" customFormat="1" x14ac:dyDescent="0.35">
      <c r="A375" s="497" t="s">
        <v>2714</v>
      </c>
      <c r="B375" s="13" t="s">
        <v>5547</v>
      </c>
      <c r="C375" s="13" t="s">
        <v>4808</v>
      </c>
      <c r="D375" s="13" t="s">
        <v>6901</v>
      </c>
      <c r="E375" s="13" t="s">
        <v>4811</v>
      </c>
      <c r="F375" s="373">
        <f t="shared" si="131"/>
        <v>27.67</v>
      </c>
      <c r="G375" s="430">
        <v>27.67</v>
      </c>
      <c r="H375" s="399">
        <f t="shared" si="132"/>
        <v>22.14</v>
      </c>
      <c r="I375" s="576"/>
      <c r="J375" s="549" t="s">
        <v>5804</v>
      </c>
      <c r="K375" s="11"/>
      <c r="L375"/>
      <c r="M375" s="37">
        <f t="shared" si="133"/>
        <v>27.67</v>
      </c>
      <c r="N375" s="29">
        <v>11.67</v>
      </c>
      <c r="O375" s="149" t="s">
        <v>1017</v>
      </c>
      <c r="P375" s="144"/>
      <c r="S375" s="145" t="s">
        <v>4179</v>
      </c>
      <c r="T375" s="145" t="s">
        <v>4179</v>
      </c>
      <c r="U375" s="146" t="s">
        <v>1017</v>
      </c>
      <c r="W375" s="147"/>
      <c r="X375" s="147"/>
      <c r="AA375" s="147"/>
      <c r="AC375" s="145" t="s">
        <v>1017</v>
      </c>
      <c r="AD375" s="147"/>
      <c r="AE375" s="148"/>
      <c r="AF375" s="147"/>
      <c r="AG375" s="147"/>
      <c r="AH375" s="166" t="str">
        <f t="shared" si="135"/>
        <v/>
      </c>
      <c r="AI375" s="168" t="str">
        <f t="shared" si="125"/>
        <v/>
      </c>
      <c r="AJ375" s="168" t="str">
        <f t="shared" si="126"/>
        <v/>
      </c>
      <c r="AK375" s="168" t="str">
        <f t="shared" si="127"/>
        <v/>
      </c>
      <c r="AL375" s="168" t="str">
        <f t="shared" si="128"/>
        <v/>
      </c>
      <c r="AM375" s="168" t="str">
        <f t="shared" si="129"/>
        <v/>
      </c>
      <c r="AN375" s="167" t="str">
        <f t="shared" si="112"/>
        <v/>
      </c>
      <c r="AO375" s="167" t="str">
        <f t="shared" si="113"/>
        <v/>
      </c>
      <c r="AP375" s="167" t="str">
        <f t="shared" si="114"/>
        <v/>
      </c>
      <c r="AQ375" s="169" t="str">
        <f t="shared" si="115"/>
        <v/>
      </c>
      <c r="AR375" s="170" t="str">
        <f t="shared" si="116"/>
        <v>BiK81X1KWKy-04</v>
      </c>
      <c r="AS375" s="169" t="str">
        <f t="shared" si="117"/>
        <v/>
      </c>
      <c r="AT375">
        <f t="shared" si="118"/>
        <v>14</v>
      </c>
      <c r="AU375" s="170" t="str">
        <f t="shared" si="119"/>
        <v>0-0,15 MW, Bonusregeln X1, y und KWK</v>
      </c>
      <c r="AV375" s="169" t="str">
        <f t="shared" si="120"/>
        <v/>
      </c>
      <c r="AW375" s="170" t="str">
        <f t="shared" si="121"/>
        <v>Anteil KWK</v>
      </c>
      <c r="AX375" s="169" t="str">
        <f t="shared" si="122"/>
        <v/>
      </c>
      <c r="AY375" t="str">
        <f t="shared" si="123"/>
        <v/>
      </c>
      <c r="AZ375" t="str">
        <f t="shared" si="124"/>
        <v/>
      </c>
    </row>
    <row r="376" spans="1:52" s="145" customFormat="1" x14ac:dyDescent="0.35">
      <c r="A376" s="497" t="s">
        <v>4783</v>
      </c>
      <c r="B376" s="13" t="s">
        <v>5547</v>
      </c>
      <c r="C376" s="13" t="s">
        <v>4808</v>
      </c>
      <c r="D376" s="88" t="s">
        <v>6848</v>
      </c>
      <c r="E376" s="13" t="s">
        <v>4330</v>
      </c>
      <c r="F376" s="373">
        <f t="shared" si="131"/>
        <v>28.67</v>
      </c>
      <c r="G376" s="430">
        <v>28.67</v>
      </c>
      <c r="H376" s="399">
        <f t="shared" si="132"/>
        <v>22.94</v>
      </c>
      <c r="I376" s="576"/>
      <c r="J376" s="549" t="s">
        <v>5804</v>
      </c>
      <c r="K376" s="11"/>
      <c r="L376"/>
      <c r="M376" s="37">
        <f t="shared" si="133"/>
        <v>28.67</v>
      </c>
      <c r="N376" s="29">
        <v>11.67</v>
      </c>
      <c r="O376" s="149"/>
      <c r="P376" s="145" t="s">
        <v>1017</v>
      </c>
      <c r="S376" s="145" t="s">
        <v>4179</v>
      </c>
      <c r="T376" s="145" t="s">
        <v>4179</v>
      </c>
      <c r="U376" s="146" t="s">
        <v>1017</v>
      </c>
      <c r="W376" s="147"/>
      <c r="X376" s="147"/>
      <c r="AA376" s="147"/>
      <c r="AC376" s="145" t="s">
        <v>1017</v>
      </c>
      <c r="AD376" s="147"/>
      <c r="AE376" s="148"/>
      <c r="AF376" s="147"/>
      <c r="AG376" s="147"/>
      <c r="AH376" s="166" t="str">
        <f t="shared" si="135"/>
        <v/>
      </c>
      <c r="AI376" s="168" t="str">
        <f t="shared" si="125"/>
        <v/>
      </c>
      <c r="AJ376" s="168" t="str">
        <f t="shared" si="126"/>
        <v/>
      </c>
      <c r="AK376" s="168" t="str">
        <f t="shared" si="127"/>
        <v/>
      </c>
      <c r="AL376" s="168" t="str">
        <f t="shared" si="128"/>
        <v/>
      </c>
      <c r="AM376" s="168" t="str">
        <f t="shared" si="129"/>
        <v/>
      </c>
      <c r="AN376" s="167" t="str">
        <f t="shared" si="112"/>
        <v/>
      </c>
      <c r="AO376" s="167" t="str">
        <f t="shared" si="113"/>
        <v/>
      </c>
      <c r="AP376" s="167" t="str">
        <f t="shared" si="114"/>
        <v/>
      </c>
      <c r="AQ376" s="169" t="str">
        <f t="shared" si="115"/>
        <v/>
      </c>
      <c r="AR376" s="170" t="str">
        <f t="shared" si="116"/>
        <v>BiK81X1KA3y-04</v>
      </c>
      <c r="AS376" s="169" t="str">
        <f t="shared" si="117"/>
        <v/>
      </c>
      <c r="AT376">
        <f t="shared" si="118"/>
        <v>14</v>
      </c>
      <c r="AU376" s="170" t="str">
        <f t="shared" si="119"/>
        <v>0-0,15 MW, Bonusregeln X1, y und K wenn Anlage 3 erfüllt</v>
      </c>
      <c r="AV376" s="169" t="str">
        <f t="shared" si="120"/>
        <v/>
      </c>
      <c r="AW376" s="170" t="str">
        <f t="shared" si="121"/>
        <v>Anteil KWK gemäß Anlage 3</v>
      </c>
      <c r="AX376" s="169" t="str">
        <f t="shared" si="122"/>
        <v/>
      </c>
      <c r="AY376" t="str">
        <f t="shared" si="123"/>
        <v/>
      </c>
      <c r="AZ376" t="str">
        <f t="shared" si="124"/>
        <v/>
      </c>
    </row>
    <row r="377" spans="1:52" s="145" customFormat="1" x14ac:dyDescent="0.35">
      <c r="A377" s="497" t="s">
        <v>4784</v>
      </c>
      <c r="B377" s="13" t="s">
        <v>5547</v>
      </c>
      <c r="C377" s="13" t="s">
        <v>4808</v>
      </c>
      <c r="D377" s="13" t="s">
        <v>6849</v>
      </c>
      <c r="E377" s="13" t="s">
        <v>674</v>
      </c>
      <c r="F377" s="373">
        <f t="shared" si="131"/>
        <v>28.67</v>
      </c>
      <c r="G377" s="430">
        <v>28.67</v>
      </c>
      <c r="H377" s="399">
        <f t="shared" si="132"/>
        <v>22.94</v>
      </c>
      <c r="I377" s="576"/>
      <c r="J377" s="549" t="s">
        <v>5804</v>
      </c>
      <c r="K377" s="11"/>
      <c r="L377"/>
      <c r="M377" s="37">
        <f t="shared" si="133"/>
        <v>28.67</v>
      </c>
      <c r="N377" s="29">
        <v>11.67</v>
      </c>
      <c r="O377" s="149"/>
      <c r="P377" s="144"/>
      <c r="Q377" s="145" t="s">
        <v>1017</v>
      </c>
      <c r="S377" s="145" t="s">
        <v>4179</v>
      </c>
      <c r="T377" s="145" t="s">
        <v>4179</v>
      </c>
      <c r="U377" s="146" t="s">
        <v>1017</v>
      </c>
      <c r="W377" s="147"/>
      <c r="X377" s="147"/>
      <c r="AA377" s="147"/>
      <c r="AC377" s="145" t="s">
        <v>1017</v>
      </c>
      <c r="AD377" s="147"/>
      <c r="AE377" s="148"/>
      <c r="AF377" s="147"/>
      <c r="AG377" s="147"/>
      <c r="AH377" s="166" t="str">
        <f t="shared" si="135"/>
        <v/>
      </c>
      <c r="AI377" s="168" t="str">
        <f t="shared" si="125"/>
        <v/>
      </c>
      <c r="AJ377" s="168" t="str">
        <f t="shared" si="126"/>
        <v/>
      </c>
      <c r="AK377" s="168" t="str">
        <f t="shared" si="127"/>
        <v/>
      </c>
      <c r="AL377" s="168" t="str">
        <f t="shared" si="128"/>
        <v/>
      </c>
      <c r="AM377" s="168" t="str">
        <f t="shared" si="129"/>
        <v/>
      </c>
      <c r="AN377" s="167" t="str">
        <f t="shared" si="112"/>
        <v/>
      </c>
      <c r="AO377" s="167" t="str">
        <f t="shared" si="113"/>
        <v/>
      </c>
      <c r="AP377" s="167" t="str">
        <f t="shared" si="114"/>
        <v/>
      </c>
      <c r="AQ377" s="169" t="str">
        <f t="shared" si="115"/>
        <v/>
      </c>
      <c r="AR377" s="170" t="str">
        <f t="shared" si="116"/>
        <v>BiK81X1K09y-04</v>
      </c>
      <c r="AS377" s="169" t="str">
        <f t="shared" si="117"/>
        <v/>
      </c>
      <c r="AT377">
        <f t="shared" si="118"/>
        <v>14</v>
      </c>
      <c r="AU377" s="170" t="str">
        <f t="shared" si="119"/>
        <v>0-0,15 MW, Bonusregeln X1, y und K erstmals 2009</v>
      </c>
      <c r="AV377" s="169" t="str">
        <f t="shared" si="120"/>
        <v/>
      </c>
      <c r="AW377" s="170" t="str">
        <f t="shared" si="121"/>
        <v>Anteil KWK, erstmals 2009</v>
      </c>
      <c r="AX377" s="169" t="str">
        <f t="shared" si="122"/>
        <v/>
      </c>
      <c r="AY377" t="str">
        <f t="shared" si="123"/>
        <v/>
      </c>
      <c r="AZ377" t="str">
        <f t="shared" si="124"/>
        <v/>
      </c>
    </row>
    <row r="378" spans="1:52" s="145" customFormat="1" x14ac:dyDescent="0.35">
      <c r="A378" s="497" t="s">
        <v>1639</v>
      </c>
      <c r="B378" s="13" t="s">
        <v>5547</v>
      </c>
      <c r="C378" s="13" t="s">
        <v>4808</v>
      </c>
      <c r="D378" s="13" t="s">
        <v>6850</v>
      </c>
      <c r="E378" s="13" t="s">
        <v>3566</v>
      </c>
      <c r="F378" s="373">
        <f t="shared" si="131"/>
        <v>28.64</v>
      </c>
      <c r="G378" s="430">
        <v>28.64</v>
      </c>
      <c r="H378" s="399">
        <f t="shared" si="132"/>
        <v>22.91</v>
      </c>
      <c r="I378" s="576"/>
      <c r="J378" s="549" t="s">
        <v>5804</v>
      </c>
      <c r="K378" s="11"/>
      <c r="L378"/>
      <c r="M378" s="37">
        <f t="shared" si="133"/>
        <v>28.64</v>
      </c>
      <c r="N378" s="29">
        <v>11.67</v>
      </c>
      <c r="O378" s="149"/>
      <c r="P378" s="144"/>
      <c r="R378" s="145" t="s">
        <v>1017</v>
      </c>
      <c r="S378" s="145" t="s">
        <v>4179</v>
      </c>
      <c r="T378" s="145" t="s">
        <v>4179</v>
      </c>
      <c r="U378" s="146" t="s">
        <v>1017</v>
      </c>
      <c r="W378" s="147"/>
      <c r="X378" s="147"/>
      <c r="AA378" s="147"/>
      <c r="AC378" s="145" t="s">
        <v>1017</v>
      </c>
      <c r="AD378" s="147"/>
      <c r="AE378" s="148"/>
      <c r="AF378" s="147"/>
      <c r="AG378" s="147"/>
      <c r="AH378" s="166" t="str">
        <f t="shared" si="135"/>
        <v>2010</v>
      </c>
      <c r="AI378" s="168" t="str">
        <f t="shared" si="125"/>
        <v/>
      </c>
      <c r="AJ378" s="168" t="str">
        <f t="shared" si="126"/>
        <v/>
      </c>
      <c r="AK378" s="168" t="str">
        <f t="shared" si="127"/>
        <v/>
      </c>
      <c r="AL378" s="168" t="str">
        <f t="shared" si="128"/>
        <v/>
      </c>
      <c r="AM378" s="168" t="str">
        <f t="shared" si="129"/>
        <v/>
      </c>
      <c r="AN378" s="167" t="str">
        <f t="shared" si="112"/>
        <v>2010</v>
      </c>
      <c r="AO378" s="167" t="str">
        <f t="shared" si="113"/>
        <v>2010</v>
      </c>
      <c r="AP378" s="167" t="str">
        <f t="shared" si="114"/>
        <v>2010</v>
      </c>
      <c r="AQ378" s="169" t="str">
        <f t="shared" si="115"/>
        <v/>
      </c>
      <c r="AR378" s="170" t="str">
        <f t="shared" si="116"/>
        <v>BiK81X1K10y-04</v>
      </c>
      <c r="AS378" s="169" t="str">
        <f t="shared" si="117"/>
        <v/>
      </c>
      <c r="AT378">
        <f t="shared" si="118"/>
        <v>14</v>
      </c>
      <c r="AU378" s="170" t="str">
        <f t="shared" si="119"/>
        <v>0-0,15 MW, Bonusregeln X1, y und K erstmals 2010</v>
      </c>
      <c r="AV378" s="169" t="str">
        <f t="shared" si="120"/>
        <v/>
      </c>
      <c r="AW378" s="170" t="str">
        <f t="shared" si="121"/>
        <v>Anteil KWK, erstmals 2010</v>
      </c>
      <c r="AX378" s="169" t="str">
        <f t="shared" si="122"/>
        <v/>
      </c>
      <c r="AY378" t="str">
        <f t="shared" si="123"/>
        <v/>
      </c>
      <c r="AZ378" t="str">
        <f t="shared" si="124"/>
        <v/>
      </c>
    </row>
    <row r="379" spans="1:52" s="145" customFormat="1" x14ac:dyDescent="0.35">
      <c r="A379" s="497" t="s">
        <v>5253</v>
      </c>
      <c r="B379" s="13" t="s">
        <v>5547</v>
      </c>
      <c r="C379" s="13" t="s">
        <v>4808</v>
      </c>
      <c r="D379" s="13" t="s">
        <v>6851</v>
      </c>
      <c r="E379" s="13" t="s">
        <v>3054</v>
      </c>
      <c r="F379" s="373">
        <f t="shared" si="131"/>
        <v>28.61</v>
      </c>
      <c r="G379" s="430">
        <v>28.61</v>
      </c>
      <c r="H379" s="399">
        <f t="shared" si="132"/>
        <v>22.89</v>
      </c>
      <c r="I379" s="576"/>
      <c r="J379" s="549" t="s">
        <v>5804</v>
      </c>
      <c r="K379" s="11"/>
      <c r="L379"/>
      <c r="M379" s="37">
        <f t="shared" si="133"/>
        <v>28.61</v>
      </c>
      <c r="N379" s="29">
        <v>11.67</v>
      </c>
      <c r="O379" s="149"/>
      <c r="P379" s="144"/>
      <c r="S379" s="145" t="s">
        <v>1017</v>
      </c>
      <c r="T379" s="145" t="s">
        <v>4179</v>
      </c>
      <c r="U379" s="146" t="s">
        <v>1017</v>
      </c>
      <c r="W379" s="147"/>
      <c r="X379" s="147"/>
      <c r="AA379" s="147"/>
      <c r="AC379" s="145" t="s">
        <v>1017</v>
      </c>
      <c r="AD379" s="147"/>
      <c r="AE379" s="148"/>
      <c r="AF379" s="147"/>
      <c r="AG379" s="147"/>
      <c r="AH379" s="166" t="str">
        <f t="shared" si="135"/>
        <v>2011</v>
      </c>
      <c r="AI379" s="168" t="str">
        <f t="shared" si="125"/>
        <v/>
      </c>
      <c r="AJ379" s="168" t="str">
        <f t="shared" si="126"/>
        <v/>
      </c>
      <c r="AK379" s="168" t="str">
        <f t="shared" si="127"/>
        <v/>
      </c>
      <c r="AL379" s="168" t="str">
        <f t="shared" si="128"/>
        <v/>
      </c>
      <c r="AM379" s="168" t="str">
        <f t="shared" si="129"/>
        <v/>
      </c>
      <c r="AN379" s="167" t="str">
        <f t="shared" si="112"/>
        <v>2011</v>
      </c>
      <c r="AO379" s="167" t="str">
        <f t="shared" si="113"/>
        <v>2011</v>
      </c>
      <c r="AP379" s="167" t="str">
        <f t="shared" si="114"/>
        <v>2011</v>
      </c>
      <c r="AQ379" s="169" t="str">
        <f t="shared" si="115"/>
        <v/>
      </c>
      <c r="AR379" s="170" t="str">
        <f t="shared" si="116"/>
        <v>BiK81X1K11y-04</v>
      </c>
      <c r="AS379" s="169" t="str">
        <f t="shared" si="117"/>
        <v/>
      </c>
      <c r="AT379">
        <f t="shared" si="118"/>
        <v>14</v>
      </c>
      <c r="AU379" s="170" t="str">
        <f t="shared" si="119"/>
        <v>0-0,15 MW, Bonusregeln X1, y und K erstmals 2011</v>
      </c>
      <c r="AV379" s="169" t="str">
        <f t="shared" si="120"/>
        <v/>
      </c>
      <c r="AW379" s="170" t="str">
        <f t="shared" si="121"/>
        <v>Anteil KWK, erstmals 2011</v>
      </c>
      <c r="AX379" s="169" t="str">
        <f t="shared" si="122"/>
        <v/>
      </c>
      <c r="AY379" t="str">
        <f t="shared" si="123"/>
        <v>x</v>
      </c>
      <c r="AZ379" t="str">
        <f t="shared" si="124"/>
        <v/>
      </c>
    </row>
    <row r="380" spans="1:52" s="145" customFormat="1" x14ac:dyDescent="0.35">
      <c r="A380" s="511" t="s">
        <v>3560</v>
      </c>
      <c r="B380" s="173" t="s">
        <v>5547</v>
      </c>
      <c r="C380" s="173" t="s">
        <v>4808</v>
      </c>
      <c r="D380" s="173" t="s">
        <v>6852</v>
      </c>
      <c r="E380" s="173" t="s">
        <v>1980</v>
      </c>
      <c r="F380" s="374">
        <f t="shared" si="131"/>
        <v>28.58</v>
      </c>
      <c r="G380" s="431">
        <v>28.58</v>
      </c>
      <c r="H380" s="400">
        <f t="shared" si="132"/>
        <v>22.86</v>
      </c>
      <c r="I380" s="577"/>
      <c r="J380" s="549" t="s">
        <v>5804</v>
      </c>
      <c r="K380" s="11"/>
      <c r="L380"/>
      <c r="M380" s="37">
        <f t="shared" si="133"/>
        <v>28.58</v>
      </c>
      <c r="N380" s="29">
        <v>11.67</v>
      </c>
      <c r="O380" s="149"/>
      <c r="P380" s="144"/>
      <c r="S380" s="145" t="s">
        <v>4179</v>
      </c>
      <c r="T380" s="145" t="s">
        <v>1017</v>
      </c>
      <c r="U380" s="146" t="s">
        <v>1017</v>
      </c>
      <c r="W380" s="147"/>
      <c r="X380" s="147"/>
      <c r="AA380" s="147"/>
      <c r="AC380" s="145" t="s">
        <v>1017</v>
      </c>
      <c r="AD380" s="147"/>
      <c r="AE380" s="148"/>
      <c r="AF380" s="147"/>
      <c r="AG380" s="147"/>
      <c r="AH380" s="171" t="s">
        <v>4178</v>
      </c>
      <c r="AI380" s="168" t="str">
        <f t="shared" si="125"/>
        <v/>
      </c>
      <c r="AJ380" s="168" t="str">
        <f t="shared" si="126"/>
        <v/>
      </c>
      <c r="AK380" s="168" t="str">
        <f t="shared" si="127"/>
        <v/>
      </c>
      <c r="AL380" s="168" t="str">
        <f t="shared" si="128"/>
        <v/>
      </c>
      <c r="AM380" s="168" t="str">
        <f t="shared" si="129"/>
        <v/>
      </c>
      <c r="AN380" s="167" t="str">
        <f t="shared" si="112"/>
        <v>2012</v>
      </c>
      <c r="AO380" s="167" t="str">
        <f t="shared" si="113"/>
        <v>2012</v>
      </c>
      <c r="AP380" s="167" t="str">
        <f t="shared" si="114"/>
        <v>2012</v>
      </c>
      <c r="AQ380" s="169" t="str">
        <f t="shared" si="115"/>
        <v/>
      </c>
      <c r="AR380" s="170" t="str">
        <f t="shared" si="116"/>
        <v>BiK81X1K12y-04</v>
      </c>
      <c r="AS380" s="169" t="str">
        <f t="shared" si="117"/>
        <v/>
      </c>
      <c r="AT380">
        <f t="shared" si="118"/>
        <v>14</v>
      </c>
      <c r="AU380" s="170" t="str">
        <f t="shared" si="119"/>
        <v>0-0,15 MW, Bonusregeln X1, y und K erstmals 2012</v>
      </c>
      <c r="AV380" s="169" t="str">
        <f t="shared" si="120"/>
        <v/>
      </c>
      <c r="AW380" s="170" t="str">
        <f t="shared" si="121"/>
        <v>Anteil KWK, erstmals 2012</v>
      </c>
      <c r="AX380" s="169" t="str">
        <f t="shared" si="122"/>
        <v/>
      </c>
      <c r="AY380" t="str">
        <f t="shared" si="123"/>
        <v/>
      </c>
      <c r="AZ380" t="str">
        <f t="shared" si="124"/>
        <v>x</v>
      </c>
    </row>
    <row r="381" spans="1:52" s="145" customFormat="1" x14ac:dyDescent="0.35">
      <c r="A381" s="505" t="s">
        <v>4814</v>
      </c>
      <c r="B381" s="23" t="s">
        <v>5547</v>
      </c>
      <c r="C381" s="23" t="s">
        <v>4808</v>
      </c>
      <c r="D381" s="23" t="s">
        <v>6902</v>
      </c>
      <c r="E381" s="23" t="s">
        <v>4809</v>
      </c>
      <c r="F381" s="378">
        <f t="shared" si="131"/>
        <v>13.67</v>
      </c>
      <c r="G381" s="434">
        <v>13.67</v>
      </c>
      <c r="H381" s="403">
        <f t="shared" si="132"/>
        <v>10.94</v>
      </c>
      <c r="I381" s="581"/>
      <c r="J381" s="549" t="s">
        <v>5804</v>
      </c>
      <c r="K381" s="11"/>
      <c r="L381"/>
      <c r="M381" s="37">
        <f t="shared" si="133"/>
        <v>13.67</v>
      </c>
      <c r="N381" s="29">
        <v>11.67</v>
      </c>
      <c r="O381" s="41"/>
      <c r="P381" s="11"/>
      <c r="Q381"/>
      <c r="R381"/>
      <c r="S381" t="s">
        <v>4179</v>
      </c>
      <c r="T381" s="145" t="s">
        <v>4179</v>
      </c>
      <c r="U381" s="42"/>
      <c r="V381"/>
      <c r="W381" s="50"/>
      <c r="X381" s="50"/>
      <c r="Y381"/>
      <c r="Z381"/>
      <c r="AA381" s="50"/>
      <c r="AB381"/>
      <c r="AC381"/>
      <c r="AD381" s="50"/>
      <c r="AE381" s="75" t="s">
        <v>1017</v>
      </c>
      <c r="AF381" s="50"/>
      <c r="AG381" s="50"/>
      <c r="AH381" s="166" t="str">
        <f t="shared" ref="AH381:AH386" si="136">IF(ISERROR(SEARCH("K erstmals 201",D381)),"",RIGHT(D381,4))</f>
        <v/>
      </c>
      <c r="AI381" s="168" t="str">
        <f t="shared" si="125"/>
        <v/>
      </c>
      <c r="AJ381" s="168" t="str">
        <f t="shared" si="126"/>
        <v/>
      </c>
      <c r="AK381" s="168" t="str">
        <f t="shared" si="127"/>
        <v/>
      </c>
      <c r="AL381" s="168" t="str">
        <f t="shared" si="128"/>
        <v/>
      </c>
      <c r="AM381" s="168" t="str">
        <f t="shared" si="129"/>
        <v/>
      </c>
      <c r="AN381" s="167" t="str">
        <f t="shared" si="112"/>
        <v/>
      </c>
      <c r="AO381" s="167" t="str">
        <f t="shared" si="113"/>
        <v/>
      </c>
      <c r="AP381" s="167" t="str">
        <f t="shared" si="114"/>
        <v/>
      </c>
      <c r="AQ381" s="169" t="str">
        <f t="shared" si="115"/>
        <v/>
      </c>
      <c r="AR381" s="170" t="str">
        <f t="shared" si="116"/>
        <v>BiK81b------04</v>
      </c>
      <c r="AS381" s="169" t="str">
        <f t="shared" si="117"/>
        <v/>
      </c>
      <c r="AT381">
        <f t="shared" si="118"/>
        <v>14</v>
      </c>
      <c r="AU381" s="170" t="str">
        <f t="shared" si="119"/>
        <v>0-0,15 MW, Bonusregel b</v>
      </c>
      <c r="AV381" s="169" t="str">
        <f t="shared" si="120"/>
        <v/>
      </c>
      <c r="AW381" s="170" t="str">
        <f t="shared" si="121"/>
        <v>Anteil Nicht-KWK</v>
      </c>
      <c r="AX381" s="169" t="str">
        <f t="shared" si="122"/>
        <v/>
      </c>
      <c r="AY381" t="str">
        <f t="shared" si="123"/>
        <v/>
      </c>
      <c r="AZ381" t="str">
        <f t="shared" si="124"/>
        <v/>
      </c>
    </row>
    <row r="382" spans="1:52" s="145" customFormat="1" x14ac:dyDescent="0.35">
      <c r="A382" s="505" t="s">
        <v>4815</v>
      </c>
      <c r="B382" s="23" t="s">
        <v>5547</v>
      </c>
      <c r="C382" s="23" t="s">
        <v>4808</v>
      </c>
      <c r="D382" s="23" t="s">
        <v>6903</v>
      </c>
      <c r="E382" s="23" t="s">
        <v>4811</v>
      </c>
      <c r="F382" s="378">
        <f t="shared" si="131"/>
        <v>15.67</v>
      </c>
      <c r="G382" s="434">
        <v>15.67</v>
      </c>
      <c r="H382" s="403">
        <f t="shared" si="132"/>
        <v>12.54</v>
      </c>
      <c r="I382" s="581"/>
      <c r="J382" s="549" t="s">
        <v>5804</v>
      </c>
      <c r="K382" s="11"/>
      <c r="L382"/>
      <c r="M382" s="37">
        <f t="shared" si="133"/>
        <v>15.67</v>
      </c>
      <c r="N382" s="29">
        <v>11.67</v>
      </c>
      <c r="O382" s="41" t="s">
        <v>1017</v>
      </c>
      <c r="P382" s="11"/>
      <c r="Q382"/>
      <c r="R382"/>
      <c r="S382" t="s">
        <v>4179</v>
      </c>
      <c r="T382" s="145" t="s">
        <v>4179</v>
      </c>
      <c r="U382" s="42"/>
      <c r="V382"/>
      <c r="W382" s="50"/>
      <c r="X382" s="50"/>
      <c r="Y382"/>
      <c r="Z382"/>
      <c r="AA382" s="50"/>
      <c r="AB382"/>
      <c r="AC382"/>
      <c r="AD382" s="50"/>
      <c r="AE382" s="75" t="s">
        <v>1017</v>
      </c>
      <c r="AF382" s="50"/>
      <c r="AG382" s="50"/>
      <c r="AH382" s="166" t="str">
        <f t="shared" si="136"/>
        <v/>
      </c>
      <c r="AI382" s="168" t="str">
        <f t="shared" si="125"/>
        <v/>
      </c>
      <c r="AJ382" s="168" t="str">
        <f t="shared" si="126"/>
        <v/>
      </c>
      <c r="AK382" s="168" t="str">
        <f t="shared" si="127"/>
        <v/>
      </c>
      <c r="AL382" s="168" t="str">
        <f t="shared" si="128"/>
        <v/>
      </c>
      <c r="AM382" s="168" t="str">
        <f t="shared" si="129"/>
        <v/>
      </c>
      <c r="AN382" s="167" t="str">
        <f t="shared" si="112"/>
        <v/>
      </c>
      <c r="AO382" s="167" t="str">
        <f t="shared" si="113"/>
        <v/>
      </c>
      <c r="AP382" s="167" t="str">
        <f t="shared" si="114"/>
        <v/>
      </c>
      <c r="AQ382" s="169" t="str">
        <f t="shared" si="115"/>
        <v/>
      </c>
      <c r="AR382" s="170" t="str">
        <f t="shared" si="116"/>
        <v>BiK81bKWK---04</v>
      </c>
      <c r="AS382" s="169" t="str">
        <f t="shared" si="117"/>
        <v/>
      </c>
      <c r="AT382">
        <f t="shared" si="118"/>
        <v>14</v>
      </c>
      <c r="AU382" s="170" t="str">
        <f t="shared" si="119"/>
        <v>0-0,15 MW, Bonusregeln b und KWK</v>
      </c>
      <c r="AV382" s="169" t="str">
        <f t="shared" si="120"/>
        <v/>
      </c>
      <c r="AW382" s="170" t="str">
        <f t="shared" si="121"/>
        <v>Anteil KWK</v>
      </c>
      <c r="AX382" s="169" t="str">
        <f t="shared" si="122"/>
        <v/>
      </c>
      <c r="AY382" t="str">
        <f t="shared" si="123"/>
        <v/>
      </c>
      <c r="AZ382" t="str">
        <f t="shared" si="124"/>
        <v/>
      </c>
    </row>
    <row r="383" spans="1:52" s="145" customFormat="1" x14ac:dyDescent="0.35">
      <c r="A383" s="497" t="s">
        <v>4036</v>
      </c>
      <c r="B383" s="13" t="s">
        <v>5547</v>
      </c>
      <c r="C383" s="13" t="s">
        <v>4808</v>
      </c>
      <c r="D383" s="13" t="s">
        <v>6904</v>
      </c>
      <c r="E383" s="13" t="s">
        <v>4330</v>
      </c>
      <c r="F383" s="373">
        <f t="shared" si="131"/>
        <v>16.670000000000002</v>
      </c>
      <c r="G383" s="430">
        <v>16.670000000000002</v>
      </c>
      <c r="H383" s="399">
        <f t="shared" si="132"/>
        <v>13.34</v>
      </c>
      <c r="I383" s="576"/>
      <c r="J383" s="549" t="s">
        <v>5804</v>
      </c>
      <c r="K383" s="11"/>
      <c r="L383"/>
      <c r="M383" s="37">
        <f t="shared" si="133"/>
        <v>16.670000000000002</v>
      </c>
      <c r="N383" s="29">
        <v>11.67</v>
      </c>
      <c r="O383" s="41"/>
      <c r="P383" t="s">
        <v>1017</v>
      </c>
      <c r="Q383"/>
      <c r="R383"/>
      <c r="S383" t="s">
        <v>4179</v>
      </c>
      <c r="T383" s="145" t="s">
        <v>4179</v>
      </c>
      <c r="U383" s="42"/>
      <c r="V383"/>
      <c r="W383" s="50"/>
      <c r="X383" s="50"/>
      <c r="Y383"/>
      <c r="Z383"/>
      <c r="AA383" s="50"/>
      <c r="AB383"/>
      <c r="AC383"/>
      <c r="AD383" s="50"/>
      <c r="AE383" s="75" t="s">
        <v>1017</v>
      </c>
      <c r="AF383" s="50"/>
      <c r="AG383" s="50"/>
      <c r="AH383" s="166" t="str">
        <f t="shared" si="136"/>
        <v/>
      </c>
      <c r="AI383" s="168" t="str">
        <f t="shared" si="125"/>
        <v/>
      </c>
      <c r="AJ383" s="168" t="str">
        <f t="shared" si="126"/>
        <v/>
      </c>
      <c r="AK383" s="168" t="str">
        <f t="shared" si="127"/>
        <v/>
      </c>
      <c r="AL383" s="168" t="str">
        <f t="shared" si="128"/>
        <v/>
      </c>
      <c r="AM383" s="168" t="str">
        <f t="shared" si="129"/>
        <v/>
      </c>
      <c r="AN383" s="167" t="str">
        <f t="shared" si="112"/>
        <v/>
      </c>
      <c r="AO383" s="167" t="str">
        <f t="shared" si="113"/>
        <v/>
      </c>
      <c r="AP383" s="167" t="str">
        <f t="shared" si="114"/>
        <v/>
      </c>
      <c r="AQ383" s="169" t="str">
        <f t="shared" si="115"/>
        <v/>
      </c>
      <c r="AR383" s="170" t="str">
        <f t="shared" si="116"/>
        <v>BiK81bKA3---04</v>
      </c>
      <c r="AS383" s="169" t="str">
        <f t="shared" si="117"/>
        <v/>
      </c>
      <c r="AT383">
        <f t="shared" si="118"/>
        <v>14</v>
      </c>
      <c r="AU383" s="170" t="str">
        <f t="shared" si="119"/>
        <v>0-0,15 MW, Bonusregeln b und K wenn Anlage 3 erfüllt</v>
      </c>
      <c r="AV383" s="169" t="str">
        <f t="shared" si="120"/>
        <v/>
      </c>
      <c r="AW383" s="170" t="str">
        <f t="shared" si="121"/>
        <v>Anteil KWK gemäß Anlage 3</v>
      </c>
      <c r="AX383" s="169" t="str">
        <f t="shared" si="122"/>
        <v/>
      </c>
      <c r="AY383" t="str">
        <f t="shared" si="123"/>
        <v/>
      </c>
      <c r="AZ383" t="str">
        <f t="shared" si="124"/>
        <v/>
      </c>
    </row>
    <row r="384" spans="1:52" s="145" customFormat="1" x14ac:dyDescent="0.35">
      <c r="A384" s="497" t="s">
        <v>2664</v>
      </c>
      <c r="B384" s="13" t="s">
        <v>5547</v>
      </c>
      <c r="C384" s="13" t="s">
        <v>4808</v>
      </c>
      <c r="D384" s="13" t="s">
        <v>6905</v>
      </c>
      <c r="E384" s="13" t="s">
        <v>674</v>
      </c>
      <c r="F384" s="373">
        <f t="shared" si="131"/>
        <v>16.670000000000002</v>
      </c>
      <c r="G384" s="430">
        <v>16.670000000000002</v>
      </c>
      <c r="H384" s="399">
        <f t="shared" si="132"/>
        <v>13.34</v>
      </c>
      <c r="I384" s="576"/>
      <c r="J384" s="549" t="s">
        <v>5804</v>
      </c>
      <c r="K384" s="11"/>
      <c r="L384"/>
      <c r="M384" s="37">
        <f t="shared" si="133"/>
        <v>16.670000000000002</v>
      </c>
      <c r="N384" s="29">
        <v>11.67</v>
      </c>
      <c r="O384" s="41"/>
      <c r="P384" s="11"/>
      <c r="Q384" t="s">
        <v>1017</v>
      </c>
      <c r="R384"/>
      <c r="S384" t="s">
        <v>4179</v>
      </c>
      <c r="T384" s="145" t="s">
        <v>4179</v>
      </c>
      <c r="U384" s="42"/>
      <c r="V384"/>
      <c r="W384" s="50"/>
      <c r="X384" s="50"/>
      <c r="Y384"/>
      <c r="Z384"/>
      <c r="AA384" s="50"/>
      <c r="AB384"/>
      <c r="AC384"/>
      <c r="AD384" s="50"/>
      <c r="AE384" s="75" t="s">
        <v>1017</v>
      </c>
      <c r="AF384" s="50"/>
      <c r="AG384" s="50"/>
      <c r="AH384" s="166" t="str">
        <f t="shared" si="136"/>
        <v/>
      </c>
      <c r="AI384" s="168" t="str">
        <f t="shared" si="125"/>
        <v/>
      </c>
      <c r="AJ384" s="168" t="str">
        <f t="shared" si="126"/>
        <v/>
      </c>
      <c r="AK384" s="168" t="str">
        <f t="shared" si="127"/>
        <v/>
      </c>
      <c r="AL384" s="168" t="str">
        <f t="shared" si="128"/>
        <v/>
      </c>
      <c r="AM384" s="168" t="str">
        <f t="shared" si="129"/>
        <v/>
      </c>
      <c r="AN384" s="167" t="str">
        <f t="shared" si="112"/>
        <v/>
      </c>
      <c r="AO384" s="167" t="str">
        <f t="shared" si="113"/>
        <v/>
      </c>
      <c r="AP384" s="167" t="str">
        <f t="shared" si="114"/>
        <v/>
      </c>
      <c r="AQ384" s="169" t="str">
        <f t="shared" si="115"/>
        <v/>
      </c>
      <c r="AR384" s="170" t="str">
        <f t="shared" si="116"/>
        <v>BiK81bK09---04</v>
      </c>
      <c r="AS384" s="169" t="str">
        <f t="shared" si="117"/>
        <v/>
      </c>
      <c r="AT384">
        <f t="shared" si="118"/>
        <v>14</v>
      </c>
      <c r="AU384" s="170" t="str">
        <f t="shared" si="119"/>
        <v>0-0,15 MW, Bonusregeln b und K erstmals 2009</v>
      </c>
      <c r="AV384" s="169" t="str">
        <f t="shared" si="120"/>
        <v/>
      </c>
      <c r="AW384" s="170" t="str">
        <f t="shared" si="121"/>
        <v>Anteil KWK, erstmals 2009</v>
      </c>
      <c r="AX384" s="169" t="str">
        <f t="shared" si="122"/>
        <v/>
      </c>
      <c r="AY384" t="str">
        <f t="shared" si="123"/>
        <v/>
      </c>
      <c r="AZ384" t="str">
        <f t="shared" si="124"/>
        <v/>
      </c>
    </row>
    <row r="385" spans="1:52" s="145" customFormat="1" x14ac:dyDescent="0.35">
      <c r="A385" s="497" t="s">
        <v>1640</v>
      </c>
      <c r="B385" s="13" t="s">
        <v>5547</v>
      </c>
      <c r="C385" s="13" t="s">
        <v>4808</v>
      </c>
      <c r="D385" s="13" t="s">
        <v>6906</v>
      </c>
      <c r="E385" s="13" t="s">
        <v>3566</v>
      </c>
      <c r="F385" s="373">
        <f t="shared" si="131"/>
        <v>16.64</v>
      </c>
      <c r="G385" s="430">
        <v>16.64</v>
      </c>
      <c r="H385" s="399">
        <f t="shared" si="132"/>
        <v>13.31</v>
      </c>
      <c r="I385" s="576"/>
      <c r="J385" s="549" t="s">
        <v>5804</v>
      </c>
      <c r="K385" s="11"/>
      <c r="L385"/>
      <c r="M385" s="37">
        <f t="shared" si="133"/>
        <v>16.64</v>
      </c>
      <c r="N385" s="29">
        <v>11.67</v>
      </c>
      <c r="O385" s="41"/>
      <c r="P385" s="11"/>
      <c r="Q385"/>
      <c r="R385" t="s">
        <v>1017</v>
      </c>
      <c r="S385" t="s">
        <v>4179</v>
      </c>
      <c r="T385" s="145" t="s">
        <v>4179</v>
      </c>
      <c r="U385" s="42"/>
      <c r="V385"/>
      <c r="W385" s="50"/>
      <c r="X385" s="50"/>
      <c r="Y385"/>
      <c r="Z385"/>
      <c r="AA385" s="50"/>
      <c r="AB385"/>
      <c r="AC385"/>
      <c r="AD385" s="50"/>
      <c r="AE385" s="75" t="s">
        <v>1017</v>
      </c>
      <c r="AF385" s="50"/>
      <c r="AG385" s="50"/>
      <c r="AH385" s="166" t="str">
        <f t="shared" si="136"/>
        <v>2010</v>
      </c>
      <c r="AI385" s="168" t="str">
        <f t="shared" si="125"/>
        <v/>
      </c>
      <c r="AJ385" s="168" t="str">
        <f t="shared" si="126"/>
        <v/>
      </c>
      <c r="AK385" s="168" t="str">
        <f t="shared" si="127"/>
        <v/>
      </c>
      <c r="AL385" s="168" t="str">
        <f t="shared" si="128"/>
        <v/>
      </c>
      <c r="AM385" s="168" t="str">
        <f t="shared" si="129"/>
        <v/>
      </c>
      <c r="AN385" s="167" t="str">
        <f t="shared" si="112"/>
        <v>2010</v>
      </c>
      <c r="AO385" s="167" t="str">
        <f t="shared" si="113"/>
        <v>2010</v>
      </c>
      <c r="AP385" s="167" t="str">
        <f t="shared" si="114"/>
        <v>2010</v>
      </c>
      <c r="AQ385" s="169" t="str">
        <f t="shared" si="115"/>
        <v/>
      </c>
      <c r="AR385" s="170" t="str">
        <f t="shared" si="116"/>
        <v>BiK81bK10---04</v>
      </c>
      <c r="AS385" s="169" t="str">
        <f t="shared" si="117"/>
        <v/>
      </c>
      <c r="AT385">
        <f t="shared" si="118"/>
        <v>14</v>
      </c>
      <c r="AU385" s="170" t="str">
        <f t="shared" si="119"/>
        <v>0-0,15 MW, Bonusregeln b und K erstmals 2010</v>
      </c>
      <c r="AV385" s="169" t="str">
        <f t="shared" si="120"/>
        <v/>
      </c>
      <c r="AW385" s="170" t="str">
        <f t="shared" si="121"/>
        <v>Anteil KWK, erstmals 2010</v>
      </c>
      <c r="AX385" s="169" t="str">
        <f t="shared" si="122"/>
        <v/>
      </c>
      <c r="AY385" t="str">
        <f t="shared" si="123"/>
        <v/>
      </c>
      <c r="AZ385" t="str">
        <f t="shared" si="124"/>
        <v/>
      </c>
    </row>
    <row r="386" spans="1:52" s="145" customFormat="1" x14ac:dyDescent="0.35">
      <c r="A386" s="497" t="s">
        <v>5254</v>
      </c>
      <c r="B386" s="13" t="s">
        <v>5547</v>
      </c>
      <c r="C386" s="13" t="s">
        <v>4808</v>
      </c>
      <c r="D386" s="13" t="s">
        <v>6907</v>
      </c>
      <c r="E386" s="13" t="s">
        <v>3054</v>
      </c>
      <c r="F386" s="373">
        <f t="shared" si="131"/>
        <v>16.61</v>
      </c>
      <c r="G386" s="430">
        <v>16.61</v>
      </c>
      <c r="H386" s="399">
        <f t="shared" si="132"/>
        <v>13.29</v>
      </c>
      <c r="I386" s="576"/>
      <c r="J386" s="549" t="s">
        <v>5804</v>
      </c>
      <c r="K386" s="11"/>
      <c r="L386"/>
      <c r="M386" s="37">
        <f t="shared" si="133"/>
        <v>16.61</v>
      </c>
      <c r="N386" s="29">
        <v>11.67</v>
      </c>
      <c r="O386" s="41"/>
      <c r="P386" s="11"/>
      <c r="Q386"/>
      <c r="R386"/>
      <c r="S386" t="s">
        <v>1017</v>
      </c>
      <c r="T386" s="145" t="s">
        <v>4179</v>
      </c>
      <c r="U386" s="42"/>
      <c r="V386"/>
      <c r="W386" s="50"/>
      <c r="X386" s="50"/>
      <c r="Y386"/>
      <c r="Z386"/>
      <c r="AA386" s="50"/>
      <c r="AB386"/>
      <c r="AC386"/>
      <c r="AD386" s="50"/>
      <c r="AE386" s="75" t="s">
        <v>1017</v>
      </c>
      <c r="AF386" s="50"/>
      <c r="AG386" s="50"/>
      <c r="AH386" s="166" t="str">
        <f t="shared" si="136"/>
        <v>2011</v>
      </c>
      <c r="AI386" s="168" t="str">
        <f t="shared" si="125"/>
        <v/>
      </c>
      <c r="AJ386" s="168" t="str">
        <f t="shared" si="126"/>
        <v/>
      </c>
      <c r="AK386" s="168" t="str">
        <f t="shared" si="127"/>
        <v/>
      </c>
      <c r="AL386" s="168" t="str">
        <f t="shared" si="128"/>
        <v/>
      </c>
      <c r="AM386" s="168" t="str">
        <f t="shared" si="129"/>
        <v/>
      </c>
      <c r="AN386" s="167" t="str">
        <f t="shared" si="112"/>
        <v>2011</v>
      </c>
      <c r="AO386" s="167" t="str">
        <f t="shared" si="113"/>
        <v>2011</v>
      </c>
      <c r="AP386" s="167" t="str">
        <f t="shared" si="114"/>
        <v>2011</v>
      </c>
      <c r="AQ386" s="169" t="str">
        <f t="shared" si="115"/>
        <v/>
      </c>
      <c r="AR386" s="170" t="str">
        <f t="shared" si="116"/>
        <v>BiK81bK11---04</v>
      </c>
      <c r="AS386" s="169" t="str">
        <f t="shared" si="117"/>
        <v/>
      </c>
      <c r="AT386">
        <f t="shared" si="118"/>
        <v>14</v>
      </c>
      <c r="AU386" s="170" t="str">
        <f t="shared" si="119"/>
        <v>0-0,15 MW, Bonusregeln b und K erstmals 2011</v>
      </c>
      <c r="AV386" s="169" t="str">
        <f t="shared" si="120"/>
        <v/>
      </c>
      <c r="AW386" s="170" t="str">
        <f t="shared" si="121"/>
        <v>Anteil KWK, erstmals 2011</v>
      </c>
      <c r="AX386" s="169" t="str">
        <f t="shared" si="122"/>
        <v/>
      </c>
      <c r="AY386" t="str">
        <f t="shared" si="123"/>
        <v>x</v>
      </c>
      <c r="AZ386" t="str">
        <f t="shared" si="124"/>
        <v/>
      </c>
    </row>
    <row r="387" spans="1:52" s="145" customFormat="1" x14ac:dyDescent="0.35">
      <c r="A387" s="511" t="s">
        <v>3394</v>
      </c>
      <c r="B387" s="173" t="s">
        <v>5547</v>
      </c>
      <c r="C387" s="173" t="s">
        <v>4808</v>
      </c>
      <c r="D387" s="173" t="s">
        <v>6908</v>
      </c>
      <c r="E387" s="173" t="s">
        <v>1980</v>
      </c>
      <c r="F387" s="374">
        <f t="shared" si="131"/>
        <v>16.579999999999998</v>
      </c>
      <c r="G387" s="431">
        <v>16.579999999999998</v>
      </c>
      <c r="H387" s="400">
        <f t="shared" si="132"/>
        <v>13.26</v>
      </c>
      <c r="I387" s="577"/>
      <c r="J387" s="549" t="s">
        <v>5804</v>
      </c>
      <c r="K387" s="11"/>
      <c r="L387"/>
      <c r="M387" s="37">
        <f t="shared" si="133"/>
        <v>16.579999999999998</v>
      </c>
      <c r="N387" s="29">
        <v>11.67</v>
      </c>
      <c r="O387" s="41"/>
      <c r="P387" s="11"/>
      <c r="Q387"/>
      <c r="R387"/>
      <c r="S387" t="s">
        <v>4179</v>
      </c>
      <c r="T387" s="145" t="s">
        <v>1017</v>
      </c>
      <c r="U387" s="42"/>
      <c r="V387"/>
      <c r="W387" s="50"/>
      <c r="X387" s="50"/>
      <c r="Y387"/>
      <c r="Z387"/>
      <c r="AA387" s="50"/>
      <c r="AB387"/>
      <c r="AC387"/>
      <c r="AD387" s="50"/>
      <c r="AE387" s="75" t="s">
        <v>1017</v>
      </c>
      <c r="AF387" s="50"/>
      <c r="AG387" s="50"/>
      <c r="AH387" s="171" t="s">
        <v>4178</v>
      </c>
      <c r="AI387" s="168" t="str">
        <f t="shared" si="125"/>
        <v/>
      </c>
      <c r="AJ387" s="168" t="str">
        <f t="shared" si="126"/>
        <v/>
      </c>
      <c r="AK387" s="168" t="str">
        <f t="shared" si="127"/>
        <v/>
      </c>
      <c r="AL387" s="168" t="str">
        <f t="shared" si="128"/>
        <v/>
      </c>
      <c r="AM387" s="168" t="str">
        <f t="shared" si="129"/>
        <v/>
      </c>
      <c r="AN387" s="167" t="str">
        <f t="shared" si="112"/>
        <v>2012</v>
      </c>
      <c r="AO387" s="167" t="str">
        <f t="shared" si="113"/>
        <v>2012</v>
      </c>
      <c r="AP387" s="167" t="str">
        <f t="shared" si="114"/>
        <v>2012</v>
      </c>
      <c r="AQ387" s="169" t="str">
        <f t="shared" si="115"/>
        <v/>
      </c>
      <c r="AR387" s="170" t="str">
        <f t="shared" si="116"/>
        <v>BiK81bK12---04</v>
      </c>
      <c r="AS387" s="169" t="str">
        <f t="shared" si="117"/>
        <v/>
      </c>
      <c r="AT387">
        <f t="shared" si="118"/>
        <v>14</v>
      </c>
      <c r="AU387" s="170" t="str">
        <f t="shared" si="119"/>
        <v>0-0,15 MW, Bonusregeln b und K erstmals 2012</v>
      </c>
      <c r="AV387" s="169" t="str">
        <f t="shared" si="120"/>
        <v/>
      </c>
      <c r="AW387" s="170" t="str">
        <f t="shared" si="121"/>
        <v>Anteil KWK, erstmals 2012</v>
      </c>
      <c r="AX387" s="169" t="str">
        <f t="shared" si="122"/>
        <v/>
      </c>
      <c r="AY387" t="str">
        <f t="shared" si="123"/>
        <v/>
      </c>
      <c r="AZ387" t="str">
        <f t="shared" si="124"/>
        <v>x</v>
      </c>
    </row>
    <row r="388" spans="1:52" s="145" customFormat="1" x14ac:dyDescent="0.35">
      <c r="A388" s="497" t="s">
        <v>1349</v>
      </c>
      <c r="B388" s="13" t="s">
        <v>5547</v>
      </c>
      <c r="C388" s="13" t="s">
        <v>4808</v>
      </c>
      <c r="D388" s="13" t="s">
        <v>6909</v>
      </c>
      <c r="E388" s="13" t="s">
        <v>4809</v>
      </c>
      <c r="F388" s="373">
        <f t="shared" si="131"/>
        <v>14.67</v>
      </c>
      <c r="G388" s="430">
        <v>14.67</v>
      </c>
      <c r="H388" s="399">
        <f t="shared" si="132"/>
        <v>11.74</v>
      </c>
      <c r="I388" s="576"/>
      <c r="J388" s="549" t="s">
        <v>5804</v>
      </c>
      <c r="K388" s="11"/>
      <c r="L388"/>
      <c r="M388" s="37">
        <f t="shared" si="133"/>
        <v>14.67</v>
      </c>
      <c r="N388" s="29">
        <v>11.67</v>
      </c>
      <c r="O388" s="41"/>
      <c r="P388" s="11"/>
      <c r="Q388"/>
      <c r="R388"/>
      <c r="S388" t="s">
        <v>4179</v>
      </c>
      <c r="T388" s="145" t="s">
        <v>4179</v>
      </c>
      <c r="U388" s="42" t="s">
        <v>1017</v>
      </c>
      <c r="V388"/>
      <c r="W388" s="50"/>
      <c r="X388" s="50"/>
      <c r="Y388"/>
      <c r="Z388"/>
      <c r="AA388" s="50"/>
      <c r="AB388"/>
      <c r="AC388"/>
      <c r="AD388" s="50"/>
      <c r="AE388" s="75" t="s">
        <v>1017</v>
      </c>
      <c r="AF388" s="50"/>
      <c r="AG388" s="50"/>
      <c r="AH388" s="166" t="str">
        <f t="shared" ref="AH388:AH393" si="137">IF(ISERROR(SEARCH("K erstmals 201",D388)),"",RIGHT(D388,4))</f>
        <v/>
      </c>
      <c r="AI388" s="168" t="str">
        <f t="shared" si="125"/>
        <v/>
      </c>
      <c r="AJ388" s="168" t="str">
        <f t="shared" si="126"/>
        <v/>
      </c>
      <c r="AK388" s="168" t="str">
        <f t="shared" si="127"/>
        <v/>
      </c>
      <c r="AL388" s="168" t="str">
        <f t="shared" si="128"/>
        <v/>
      </c>
      <c r="AM388" s="168" t="str">
        <f t="shared" si="129"/>
        <v/>
      </c>
      <c r="AN388" s="167" t="str">
        <f t="shared" si="112"/>
        <v/>
      </c>
      <c r="AO388" s="167" t="str">
        <f t="shared" si="113"/>
        <v/>
      </c>
      <c r="AP388" s="167" t="str">
        <f t="shared" si="114"/>
        <v/>
      </c>
      <c r="AQ388" s="169" t="str">
        <f t="shared" si="115"/>
        <v/>
      </c>
      <c r="AR388" s="170" t="str">
        <f t="shared" si="116"/>
        <v>BiK81by-----04</v>
      </c>
      <c r="AS388" s="169" t="str">
        <f t="shared" si="117"/>
        <v/>
      </c>
      <c r="AT388">
        <f t="shared" si="118"/>
        <v>14</v>
      </c>
      <c r="AU388" s="170" t="str">
        <f t="shared" si="119"/>
        <v>0-0,15 MW, Bonusregeln b, y</v>
      </c>
      <c r="AV388" s="169" t="str">
        <f t="shared" si="120"/>
        <v/>
      </c>
      <c r="AW388" s="170" t="str">
        <f t="shared" si="121"/>
        <v>Anteil Nicht-KWK</v>
      </c>
      <c r="AX388" s="169" t="str">
        <f t="shared" si="122"/>
        <v/>
      </c>
      <c r="AY388" t="str">
        <f t="shared" si="123"/>
        <v/>
      </c>
      <c r="AZ388" t="str">
        <f t="shared" si="124"/>
        <v/>
      </c>
    </row>
    <row r="389" spans="1:52" s="145" customFormat="1" x14ac:dyDescent="0.35">
      <c r="A389" s="497" t="s">
        <v>1350</v>
      </c>
      <c r="B389" s="13" t="s">
        <v>5547</v>
      </c>
      <c r="C389" s="13" t="s">
        <v>4808</v>
      </c>
      <c r="D389" s="13" t="s">
        <v>6910</v>
      </c>
      <c r="E389" s="13" t="s">
        <v>4811</v>
      </c>
      <c r="F389" s="373">
        <f t="shared" si="131"/>
        <v>16.670000000000002</v>
      </c>
      <c r="G389" s="430">
        <v>16.670000000000002</v>
      </c>
      <c r="H389" s="399">
        <f t="shared" si="132"/>
        <v>13.34</v>
      </c>
      <c r="I389" s="576"/>
      <c r="J389" s="549" t="s">
        <v>5804</v>
      </c>
      <c r="K389" s="11"/>
      <c r="L389"/>
      <c r="M389" s="37">
        <f t="shared" si="133"/>
        <v>16.670000000000002</v>
      </c>
      <c r="N389" s="29">
        <v>11.67</v>
      </c>
      <c r="O389" s="41" t="s">
        <v>1017</v>
      </c>
      <c r="P389" s="11"/>
      <c r="Q389"/>
      <c r="R389"/>
      <c r="S389" t="s">
        <v>4179</v>
      </c>
      <c r="T389" s="145" t="s">
        <v>4179</v>
      </c>
      <c r="U389" s="42" t="s">
        <v>1017</v>
      </c>
      <c r="V389"/>
      <c r="W389" s="50"/>
      <c r="X389" s="50"/>
      <c r="Y389"/>
      <c r="Z389"/>
      <c r="AA389" s="50"/>
      <c r="AB389"/>
      <c r="AC389"/>
      <c r="AD389" s="50"/>
      <c r="AE389" s="75" t="s">
        <v>1017</v>
      </c>
      <c r="AF389" s="50"/>
      <c r="AG389" s="50"/>
      <c r="AH389" s="166" t="str">
        <f t="shared" si="137"/>
        <v/>
      </c>
      <c r="AI389" s="168" t="str">
        <f t="shared" si="125"/>
        <v/>
      </c>
      <c r="AJ389" s="168" t="str">
        <f t="shared" si="126"/>
        <v/>
      </c>
      <c r="AK389" s="168" t="str">
        <f t="shared" si="127"/>
        <v/>
      </c>
      <c r="AL389" s="168" t="str">
        <f t="shared" si="128"/>
        <v/>
      </c>
      <c r="AM389" s="168" t="str">
        <f t="shared" si="129"/>
        <v/>
      </c>
      <c r="AN389" s="167" t="str">
        <f t="shared" si="112"/>
        <v/>
      </c>
      <c r="AO389" s="167" t="str">
        <f t="shared" si="113"/>
        <v/>
      </c>
      <c r="AP389" s="167" t="str">
        <f t="shared" si="114"/>
        <v/>
      </c>
      <c r="AQ389" s="169" t="str">
        <f t="shared" si="115"/>
        <v/>
      </c>
      <c r="AR389" s="170" t="str">
        <f t="shared" si="116"/>
        <v>BiK81bKWKy--04</v>
      </c>
      <c r="AS389" s="169" t="str">
        <f t="shared" si="117"/>
        <v/>
      </c>
      <c r="AT389">
        <f t="shared" si="118"/>
        <v>14</v>
      </c>
      <c r="AU389" s="170" t="str">
        <f t="shared" si="119"/>
        <v>0-0,15 MW, Bonusregeln b, y und KWK</v>
      </c>
      <c r="AV389" s="169" t="str">
        <f t="shared" si="120"/>
        <v/>
      </c>
      <c r="AW389" s="170" t="str">
        <f t="shared" si="121"/>
        <v>Anteil KWK</v>
      </c>
      <c r="AX389" s="169" t="str">
        <f t="shared" si="122"/>
        <v/>
      </c>
      <c r="AY389" t="str">
        <f t="shared" si="123"/>
        <v/>
      </c>
      <c r="AZ389" t="str">
        <f t="shared" si="124"/>
        <v/>
      </c>
    </row>
    <row r="390" spans="1:52" s="145" customFormat="1" x14ac:dyDescent="0.35">
      <c r="A390" s="497" t="s">
        <v>1351</v>
      </c>
      <c r="B390" s="13" t="s">
        <v>5547</v>
      </c>
      <c r="C390" s="13" t="s">
        <v>4808</v>
      </c>
      <c r="D390" s="13" t="s">
        <v>6911</v>
      </c>
      <c r="E390" s="13" t="s">
        <v>4330</v>
      </c>
      <c r="F390" s="373">
        <f t="shared" si="131"/>
        <v>17.670000000000002</v>
      </c>
      <c r="G390" s="430">
        <v>17.670000000000002</v>
      </c>
      <c r="H390" s="399">
        <f t="shared" si="132"/>
        <v>14.14</v>
      </c>
      <c r="I390" s="576"/>
      <c r="J390" s="549" t="s">
        <v>5804</v>
      </c>
      <c r="K390" s="11"/>
      <c r="L390"/>
      <c r="M390" s="37">
        <f t="shared" si="133"/>
        <v>17.670000000000002</v>
      </c>
      <c r="N390" s="29">
        <v>11.67</v>
      </c>
      <c r="O390" s="41"/>
      <c r="P390" t="s">
        <v>1017</v>
      </c>
      <c r="Q390"/>
      <c r="R390"/>
      <c r="S390" t="s">
        <v>4179</v>
      </c>
      <c r="T390" s="145" t="s">
        <v>4179</v>
      </c>
      <c r="U390" s="42" t="s">
        <v>1017</v>
      </c>
      <c r="V390"/>
      <c r="W390" s="50"/>
      <c r="X390" s="50"/>
      <c r="Y390"/>
      <c r="Z390"/>
      <c r="AA390" s="50"/>
      <c r="AB390"/>
      <c r="AC390"/>
      <c r="AD390" s="50"/>
      <c r="AE390" s="75" t="s">
        <v>1017</v>
      </c>
      <c r="AF390" s="50"/>
      <c r="AG390" s="50"/>
      <c r="AH390" s="166" t="str">
        <f t="shared" si="137"/>
        <v/>
      </c>
      <c r="AI390" s="168" t="str">
        <f t="shared" si="125"/>
        <v/>
      </c>
      <c r="AJ390" s="168" t="str">
        <f t="shared" si="126"/>
        <v/>
      </c>
      <c r="AK390" s="168" t="str">
        <f t="shared" si="127"/>
        <v/>
      </c>
      <c r="AL390" s="168" t="str">
        <f t="shared" si="128"/>
        <v/>
      </c>
      <c r="AM390" s="168" t="str">
        <f t="shared" si="129"/>
        <v/>
      </c>
      <c r="AN390" s="167" t="str">
        <f t="shared" si="112"/>
        <v/>
      </c>
      <c r="AO390" s="167" t="str">
        <f t="shared" si="113"/>
        <v/>
      </c>
      <c r="AP390" s="167" t="str">
        <f t="shared" si="114"/>
        <v/>
      </c>
      <c r="AQ390" s="169" t="str">
        <f t="shared" si="115"/>
        <v/>
      </c>
      <c r="AR390" s="170" t="str">
        <f t="shared" si="116"/>
        <v>BiK81bKA3y--04</v>
      </c>
      <c r="AS390" s="169" t="str">
        <f t="shared" si="117"/>
        <v/>
      </c>
      <c r="AT390">
        <f t="shared" si="118"/>
        <v>14</v>
      </c>
      <c r="AU390" s="170" t="str">
        <f t="shared" si="119"/>
        <v>0-0,15 MW, Bonusregeln b, y und K wenn Anlage 3 erfüllt</v>
      </c>
      <c r="AV390" s="169" t="str">
        <f t="shared" si="120"/>
        <v/>
      </c>
      <c r="AW390" s="170" t="str">
        <f t="shared" si="121"/>
        <v>Anteil KWK gemäß Anlage 3</v>
      </c>
      <c r="AX390" s="169" t="str">
        <f t="shared" si="122"/>
        <v/>
      </c>
      <c r="AY390" t="str">
        <f t="shared" si="123"/>
        <v/>
      </c>
      <c r="AZ390" t="str">
        <f t="shared" si="124"/>
        <v/>
      </c>
    </row>
    <row r="391" spans="1:52" s="145" customFormat="1" x14ac:dyDescent="0.35">
      <c r="A391" s="497" t="s">
        <v>1352</v>
      </c>
      <c r="B391" s="13" t="s">
        <v>5547</v>
      </c>
      <c r="C391" s="13" t="s">
        <v>4808</v>
      </c>
      <c r="D391" s="13" t="s">
        <v>6912</v>
      </c>
      <c r="E391" s="13" t="s">
        <v>674</v>
      </c>
      <c r="F391" s="373">
        <f t="shared" si="131"/>
        <v>17.670000000000002</v>
      </c>
      <c r="G391" s="430">
        <v>17.670000000000002</v>
      </c>
      <c r="H391" s="399">
        <f t="shared" si="132"/>
        <v>14.14</v>
      </c>
      <c r="I391" s="576"/>
      <c r="J391" s="549" t="s">
        <v>5804</v>
      </c>
      <c r="K391" s="11"/>
      <c r="L391"/>
      <c r="M391" s="37">
        <f t="shared" si="133"/>
        <v>17.670000000000002</v>
      </c>
      <c r="N391" s="29">
        <v>11.67</v>
      </c>
      <c r="O391" s="41"/>
      <c r="P391" s="11"/>
      <c r="Q391" t="s">
        <v>1017</v>
      </c>
      <c r="R391"/>
      <c r="S391" t="s">
        <v>4179</v>
      </c>
      <c r="T391" s="145" t="s">
        <v>4179</v>
      </c>
      <c r="U391" s="42" t="s">
        <v>1017</v>
      </c>
      <c r="V391"/>
      <c r="W391" s="50"/>
      <c r="X391" s="50"/>
      <c r="Y391"/>
      <c r="Z391"/>
      <c r="AA391" s="50"/>
      <c r="AB391"/>
      <c r="AC391"/>
      <c r="AD391" s="50"/>
      <c r="AE391" s="75" t="s">
        <v>1017</v>
      </c>
      <c r="AF391" s="50"/>
      <c r="AG391" s="50"/>
      <c r="AH391" s="166" t="str">
        <f t="shared" si="137"/>
        <v/>
      </c>
      <c r="AI391" s="168" t="str">
        <f t="shared" si="125"/>
        <v/>
      </c>
      <c r="AJ391" s="168" t="str">
        <f t="shared" si="126"/>
        <v/>
      </c>
      <c r="AK391" s="168" t="str">
        <f t="shared" si="127"/>
        <v/>
      </c>
      <c r="AL391" s="168" t="str">
        <f t="shared" si="128"/>
        <v/>
      </c>
      <c r="AM391" s="168" t="str">
        <f t="shared" si="129"/>
        <v/>
      </c>
      <c r="AN391" s="167" t="str">
        <f t="shared" si="112"/>
        <v/>
      </c>
      <c r="AO391" s="167" t="str">
        <f t="shared" si="113"/>
        <v/>
      </c>
      <c r="AP391" s="167" t="str">
        <f t="shared" si="114"/>
        <v/>
      </c>
      <c r="AQ391" s="169" t="str">
        <f t="shared" si="115"/>
        <v/>
      </c>
      <c r="AR391" s="170" t="str">
        <f t="shared" si="116"/>
        <v>BiK81bK09y--04</v>
      </c>
      <c r="AS391" s="169" t="str">
        <f t="shared" si="117"/>
        <v/>
      </c>
      <c r="AT391">
        <f t="shared" si="118"/>
        <v>14</v>
      </c>
      <c r="AU391" s="170" t="str">
        <f t="shared" si="119"/>
        <v>0-0,15 MW, Bonusregeln b, y und K erstmals 2009</v>
      </c>
      <c r="AV391" s="169" t="str">
        <f t="shared" si="120"/>
        <v/>
      </c>
      <c r="AW391" s="170" t="str">
        <f t="shared" si="121"/>
        <v>Anteil KWK, erstmals 2009</v>
      </c>
      <c r="AX391" s="169" t="str">
        <f t="shared" si="122"/>
        <v/>
      </c>
      <c r="AY391" t="str">
        <f t="shared" si="123"/>
        <v/>
      </c>
      <c r="AZ391" t="str">
        <f t="shared" si="124"/>
        <v/>
      </c>
    </row>
    <row r="392" spans="1:52" s="145" customFormat="1" x14ac:dyDescent="0.35">
      <c r="A392" s="497" t="s">
        <v>1641</v>
      </c>
      <c r="B392" s="13" t="s">
        <v>5547</v>
      </c>
      <c r="C392" s="13" t="s">
        <v>4808</v>
      </c>
      <c r="D392" s="13" t="s">
        <v>6913</v>
      </c>
      <c r="E392" s="13" t="s">
        <v>3566</v>
      </c>
      <c r="F392" s="373">
        <f t="shared" si="131"/>
        <v>17.64</v>
      </c>
      <c r="G392" s="430">
        <v>17.64</v>
      </c>
      <c r="H392" s="399">
        <f t="shared" si="132"/>
        <v>14.11</v>
      </c>
      <c r="I392" s="576"/>
      <c r="J392" s="549" t="s">
        <v>5804</v>
      </c>
      <c r="K392" s="11"/>
      <c r="L392"/>
      <c r="M392" s="37">
        <f t="shared" si="133"/>
        <v>17.64</v>
      </c>
      <c r="N392" s="29">
        <v>11.67</v>
      </c>
      <c r="O392" s="41"/>
      <c r="P392" s="11"/>
      <c r="Q392"/>
      <c r="R392" t="s">
        <v>1017</v>
      </c>
      <c r="S392" t="s">
        <v>4179</v>
      </c>
      <c r="T392" s="145" t="s">
        <v>4179</v>
      </c>
      <c r="U392" s="42" t="s">
        <v>1017</v>
      </c>
      <c r="V392"/>
      <c r="W392" s="50"/>
      <c r="X392" s="50"/>
      <c r="Y392"/>
      <c r="Z392"/>
      <c r="AA392" s="50"/>
      <c r="AB392"/>
      <c r="AC392"/>
      <c r="AD392" s="50"/>
      <c r="AE392" s="75" t="s">
        <v>1017</v>
      </c>
      <c r="AF392" s="50"/>
      <c r="AG392" s="50"/>
      <c r="AH392" s="166" t="str">
        <f t="shared" si="137"/>
        <v>2010</v>
      </c>
      <c r="AI392" s="168" t="str">
        <f t="shared" si="125"/>
        <v/>
      </c>
      <c r="AJ392" s="168" t="str">
        <f t="shared" si="126"/>
        <v/>
      </c>
      <c r="AK392" s="168" t="str">
        <f t="shared" si="127"/>
        <v/>
      </c>
      <c r="AL392" s="168" t="str">
        <f t="shared" si="128"/>
        <v/>
      </c>
      <c r="AM392" s="168" t="str">
        <f t="shared" si="129"/>
        <v/>
      </c>
      <c r="AN392" s="167" t="str">
        <f t="shared" si="112"/>
        <v>2010</v>
      </c>
      <c r="AO392" s="167" t="str">
        <f t="shared" si="113"/>
        <v>2010</v>
      </c>
      <c r="AP392" s="167" t="str">
        <f t="shared" si="114"/>
        <v>2010</v>
      </c>
      <c r="AQ392" s="169" t="str">
        <f t="shared" si="115"/>
        <v/>
      </c>
      <c r="AR392" s="170" t="str">
        <f t="shared" si="116"/>
        <v>BiK81bK10y--04</v>
      </c>
      <c r="AS392" s="169" t="str">
        <f t="shared" si="117"/>
        <v/>
      </c>
      <c r="AT392">
        <f t="shared" si="118"/>
        <v>14</v>
      </c>
      <c r="AU392" s="170" t="str">
        <f t="shared" si="119"/>
        <v>0-0,15 MW, Bonusregeln b, y und K erstmals 2010</v>
      </c>
      <c r="AV392" s="169" t="str">
        <f t="shared" si="120"/>
        <v/>
      </c>
      <c r="AW392" s="170" t="str">
        <f t="shared" si="121"/>
        <v>Anteil KWK, erstmals 2010</v>
      </c>
      <c r="AX392" s="169" t="str">
        <f t="shared" si="122"/>
        <v/>
      </c>
      <c r="AY392" t="str">
        <f t="shared" si="123"/>
        <v/>
      </c>
      <c r="AZ392" t="str">
        <f t="shared" si="124"/>
        <v/>
      </c>
    </row>
    <row r="393" spans="1:52" s="145" customFormat="1" x14ac:dyDescent="0.35">
      <c r="A393" s="497" t="s">
        <v>5255</v>
      </c>
      <c r="B393" s="13" t="s">
        <v>5547</v>
      </c>
      <c r="C393" s="13" t="s">
        <v>4808</v>
      </c>
      <c r="D393" s="13" t="s">
        <v>6914</v>
      </c>
      <c r="E393" s="13" t="s">
        <v>3054</v>
      </c>
      <c r="F393" s="373">
        <f t="shared" si="131"/>
        <v>17.61</v>
      </c>
      <c r="G393" s="430">
        <v>17.61</v>
      </c>
      <c r="H393" s="399">
        <f t="shared" si="132"/>
        <v>14.09</v>
      </c>
      <c r="I393" s="576"/>
      <c r="J393" s="549" t="s">
        <v>5804</v>
      </c>
      <c r="K393" s="11"/>
      <c r="L393"/>
      <c r="M393" s="37">
        <f t="shared" si="133"/>
        <v>17.61</v>
      </c>
      <c r="N393" s="29">
        <v>11.67</v>
      </c>
      <c r="O393" s="41"/>
      <c r="P393" s="11"/>
      <c r="Q393"/>
      <c r="R393"/>
      <c r="S393" t="s">
        <v>1017</v>
      </c>
      <c r="T393" s="145" t="s">
        <v>4179</v>
      </c>
      <c r="U393" s="42" t="s">
        <v>1017</v>
      </c>
      <c r="V393"/>
      <c r="W393" s="50"/>
      <c r="X393" s="50"/>
      <c r="Y393"/>
      <c r="Z393"/>
      <c r="AA393" s="50"/>
      <c r="AB393"/>
      <c r="AC393"/>
      <c r="AD393" s="50"/>
      <c r="AE393" s="75" t="s">
        <v>1017</v>
      </c>
      <c r="AF393" s="50"/>
      <c r="AG393" s="50"/>
      <c r="AH393" s="166" t="str">
        <f t="shared" si="137"/>
        <v>2011</v>
      </c>
      <c r="AI393" s="168" t="str">
        <f t="shared" si="125"/>
        <v/>
      </c>
      <c r="AJ393" s="168" t="str">
        <f t="shared" si="126"/>
        <v/>
      </c>
      <c r="AK393" s="168" t="str">
        <f t="shared" si="127"/>
        <v/>
      </c>
      <c r="AL393" s="168" t="str">
        <f t="shared" si="128"/>
        <v/>
      </c>
      <c r="AM393" s="168" t="str">
        <f t="shared" si="129"/>
        <v/>
      </c>
      <c r="AN393" s="167" t="str">
        <f t="shared" si="112"/>
        <v>2011</v>
      </c>
      <c r="AO393" s="167" t="str">
        <f t="shared" si="113"/>
        <v>2011</v>
      </c>
      <c r="AP393" s="167" t="str">
        <f t="shared" si="114"/>
        <v>2011</v>
      </c>
      <c r="AQ393" s="169" t="str">
        <f t="shared" si="115"/>
        <v/>
      </c>
      <c r="AR393" s="170" t="str">
        <f t="shared" si="116"/>
        <v>BiK81bK11y--04</v>
      </c>
      <c r="AS393" s="169" t="str">
        <f t="shared" si="117"/>
        <v/>
      </c>
      <c r="AT393">
        <f t="shared" si="118"/>
        <v>14</v>
      </c>
      <c r="AU393" s="170" t="str">
        <f t="shared" si="119"/>
        <v>0-0,15 MW, Bonusregeln b, y und K erstmals 2011</v>
      </c>
      <c r="AV393" s="169" t="str">
        <f t="shared" si="120"/>
        <v/>
      </c>
      <c r="AW393" s="170" t="str">
        <f t="shared" si="121"/>
        <v>Anteil KWK, erstmals 2011</v>
      </c>
      <c r="AX393" s="169" t="str">
        <f t="shared" si="122"/>
        <v/>
      </c>
      <c r="AY393" t="str">
        <f t="shared" si="123"/>
        <v>x</v>
      </c>
      <c r="AZ393" t="str">
        <f t="shared" si="124"/>
        <v/>
      </c>
    </row>
    <row r="394" spans="1:52" s="145" customFormat="1" x14ac:dyDescent="0.35">
      <c r="A394" s="511" t="s">
        <v>3395</v>
      </c>
      <c r="B394" s="173" t="s">
        <v>5547</v>
      </c>
      <c r="C394" s="173" t="s">
        <v>4808</v>
      </c>
      <c r="D394" s="173" t="s">
        <v>6915</v>
      </c>
      <c r="E394" s="173" t="s">
        <v>1980</v>
      </c>
      <c r="F394" s="374">
        <f t="shared" si="131"/>
        <v>17.579999999999998</v>
      </c>
      <c r="G394" s="431">
        <v>17.579999999999998</v>
      </c>
      <c r="H394" s="400">
        <f t="shared" si="132"/>
        <v>14.06</v>
      </c>
      <c r="I394" s="577"/>
      <c r="J394" s="549" t="s">
        <v>5804</v>
      </c>
      <c r="K394" s="11"/>
      <c r="L394"/>
      <c r="M394" s="37">
        <f t="shared" si="133"/>
        <v>17.579999999999998</v>
      </c>
      <c r="N394" s="29">
        <v>11.67</v>
      </c>
      <c r="O394" s="41"/>
      <c r="P394" s="11"/>
      <c r="Q394"/>
      <c r="R394"/>
      <c r="S394" t="s">
        <v>4179</v>
      </c>
      <c r="T394" s="145" t="s">
        <v>1017</v>
      </c>
      <c r="U394" s="42" t="s">
        <v>1017</v>
      </c>
      <c r="V394"/>
      <c r="W394" s="50"/>
      <c r="X394" s="50"/>
      <c r="Y394"/>
      <c r="Z394"/>
      <c r="AA394" s="50"/>
      <c r="AB394"/>
      <c r="AC394"/>
      <c r="AD394" s="50"/>
      <c r="AE394" s="75" t="s">
        <v>1017</v>
      </c>
      <c r="AF394" s="50"/>
      <c r="AG394" s="50"/>
      <c r="AH394" s="171" t="s">
        <v>4178</v>
      </c>
      <c r="AI394" s="168" t="str">
        <f t="shared" si="125"/>
        <v/>
      </c>
      <c r="AJ394" s="168" t="str">
        <f t="shared" si="126"/>
        <v/>
      </c>
      <c r="AK394" s="168" t="str">
        <f t="shared" si="127"/>
        <v/>
      </c>
      <c r="AL394" s="168" t="str">
        <f t="shared" si="128"/>
        <v/>
      </c>
      <c r="AM394" s="168" t="str">
        <f t="shared" si="129"/>
        <v/>
      </c>
      <c r="AN394" s="167" t="str">
        <f t="shared" si="112"/>
        <v>2012</v>
      </c>
      <c r="AO394" s="167" t="str">
        <f t="shared" si="113"/>
        <v>2012</v>
      </c>
      <c r="AP394" s="167" t="str">
        <f t="shared" si="114"/>
        <v>2012</v>
      </c>
      <c r="AQ394" s="169" t="str">
        <f t="shared" si="115"/>
        <v/>
      </c>
      <c r="AR394" s="170" t="str">
        <f t="shared" si="116"/>
        <v>BiK81bK12y--04</v>
      </c>
      <c r="AS394" s="169" t="str">
        <f t="shared" si="117"/>
        <v/>
      </c>
      <c r="AT394">
        <f t="shared" si="118"/>
        <v>14</v>
      </c>
      <c r="AU394" s="170" t="str">
        <f t="shared" si="119"/>
        <v>0-0,15 MW, Bonusregeln b, y und K erstmals 2012</v>
      </c>
      <c r="AV394" s="169" t="str">
        <f t="shared" si="120"/>
        <v/>
      </c>
      <c r="AW394" s="170" t="str">
        <f t="shared" si="121"/>
        <v>Anteil KWK, erstmals 2012</v>
      </c>
      <c r="AX394" s="169" t="str">
        <f t="shared" si="122"/>
        <v/>
      </c>
      <c r="AY394" t="str">
        <f t="shared" si="123"/>
        <v/>
      </c>
      <c r="AZ394" t="str">
        <f t="shared" si="124"/>
        <v>x</v>
      </c>
    </row>
    <row r="395" spans="1:52" s="145" customFormat="1" x14ac:dyDescent="0.35">
      <c r="A395" s="505" t="s">
        <v>4816</v>
      </c>
      <c r="B395" s="23" t="s">
        <v>5547</v>
      </c>
      <c r="C395" s="23" t="s">
        <v>4808</v>
      </c>
      <c r="D395" s="23" t="s">
        <v>6916</v>
      </c>
      <c r="E395" s="23" t="s">
        <v>4809</v>
      </c>
      <c r="F395" s="378">
        <f t="shared" si="131"/>
        <v>19.670000000000002</v>
      </c>
      <c r="G395" s="434">
        <v>19.670000000000002</v>
      </c>
      <c r="H395" s="403">
        <f t="shared" si="132"/>
        <v>15.74</v>
      </c>
      <c r="I395" s="581"/>
      <c r="J395" s="549" t="s">
        <v>5804</v>
      </c>
      <c r="K395" s="11"/>
      <c r="L395"/>
      <c r="M395" s="37">
        <f t="shared" si="133"/>
        <v>19.670000000000002</v>
      </c>
      <c r="N395" s="29">
        <v>11.67</v>
      </c>
      <c r="O395" s="41"/>
      <c r="P395" s="11"/>
      <c r="Q395"/>
      <c r="R395"/>
      <c r="S395" t="s">
        <v>4179</v>
      </c>
      <c r="T395" s="145" t="s">
        <v>4179</v>
      </c>
      <c r="U395" s="42"/>
      <c r="V395" t="s">
        <v>1017</v>
      </c>
      <c r="W395" s="50"/>
      <c r="X395" s="50"/>
      <c r="Y395"/>
      <c r="Z395"/>
      <c r="AA395" s="50"/>
      <c r="AB395"/>
      <c r="AC395"/>
      <c r="AD395" s="50"/>
      <c r="AE395" s="75" t="s">
        <v>1017</v>
      </c>
      <c r="AF395" s="50"/>
      <c r="AG395" s="50"/>
      <c r="AH395" s="166" t="str">
        <f t="shared" ref="AH395:AH400" si="138">IF(ISERROR(SEARCH("K erstmals 201",D395)),"",RIGHT(D395,4))</f>
        <v/>
      </c>
      <c r="AI395" s="168" t="str">
        <f t="shared" si="125"/>
        <v/>
      </c>
      <c r="AJ395" s="168" t="str">
        <f t="shared" si="126"/>
        <v/>
      </c>
      <c r="AK395" s="168" t="str">
        <f t="shared" si="127"/>
        <v/>
      </c>
      <c r="AL395" s="168" t="str">
        <f t="shared" si="128"/>
        <v/>
      </c>
      <c r="AM395" s="168" t="str">
        <f t="shared" si="129"/>
        <v/>
      </c>
      <c r="AN395" s="167" t="str">
        <f t="shared" si="112"/>
        <v/>
      </c>
      <c r="AO395" s="167" t="str">
        <f t="shared" si="113"/>
        <v/>
      </c>
      <c r="AP395" s="167" t="str">
        <f t="shared" si="114"/>
        <v/>
      </c>
      <c r="AQ395" s="169" t="str">
        <f t="shared" si="115"/>
        <v/>
      </c>
      <c r="AR395" s="170" t="str">
        <f t="shared" si="116"/>
        <v>BiK81a1b----04</v>
      </c>
      <c r="AS395" s="169" t="str">
        <f t="shared" si="117"/>
        <v/>
      </c>
      <c r="AT395">
        <f t="shared" si="118"/>
        <v>14</v>
      </c>
      <c r="AU395" s="170" t="str">
        <f t="shared" si="119"/>
        <v>0-0,15 MW, Bonusregeln a1 und b</v>
      </c>
      <c r="AV395" s="169" t="str">
        <f t="shared" si="120"/>
        <v/>
      </c>
      <c r="AW395" s="170" t="str">
        <f t="shared" si="121"/>
        <v>Anteil Nicht-KWK</v>
      </c>
      <c r="AX395" s="169" t="str">
        <f t="shared" si="122"/>
        <v/>
      </c>
      <c r="AY395" t="str">
        <f t="shared" si="123"/>
        <v/>
      </c>
      <c r="AZ395" t="str">
        <f t="shared" si="124"/>
        <v/>
      </c>
    </row>
    <row r="396" spans="1:52" s="145" customFormat="1" x14ac:dyDescent="0.35">
      <c r="A396" s="505" t="s">
        <v>4782</v>
      </c>
      <c r="B396" s="23" t="s">
        <v>5547</v>
      </c>
      <c r="C396" s="23" t="s">
        <v>4808</v>
      </c>
      <c r="D396" s="23" t="s">
        <v>6917</v>
      </c>
      <c r="E396" s="23" t="s">
        <v>4811</v>
      </c>
      <c r="F396" s="378">
        <f t="shared" si="131"/>
        <v>21.67</v>
      </c>
      <c r="G396" s="434">
        <v>21.67</v>
      </c>
      <c r="H396" s="403">
        <f t="shared" si="132"/>
        <v>17.34</v>
      </c>
      <c r="I396" s="581"/>
      <c r="J396" s="549" t="s">
        <v>5804</v>
      </c>
      <c r="K396" s="11"/>
      <c r="L396"/>
      <c r="M396" s="37">
        <f t="shared" si="133"/>
        <v>21.67</v>
      </c>
      <c r="N396" s="29">
        <v>11.67</v>
      </c>
      <c r="O396" s="41" t="s">
        <v>1017</v>
      </c>
      <c r="P396" s="11"/>
      <c r="Q396"/>
      <c r="R396"/>
      <c r="S396" t="s">
        <v>4179</v>
      </c>
      <c r="T396" s="145" t="s">
        <v>4179</v>
      </c>
      <c r="U396" s="42"/>
      <c r="V396" t="s">
        <v>1017</v>
      </c>
      <c r="W396" s="50"/>
      <c r="X396" s="50"/>
      <c r="Y396"/>
      <c r="Z396"/>
      <c r="AA396" s="50"/>
      <c r="AB396"/>
      <c r="AC396"/>
      <c r="AD396" s="50"/>
      <c r="AE396" s="75" t="s">
        <v>1017</v>
      </c>
      <c r="AF396" s="50"/>
      <c r="AG396" s="50"/>
      <c r="AH396" s="166" t="str">
        <f t="shared" si="138"/>
        <v/>
      </c>
      <c r="AI396" s="168" t="str">
        <f t="shared" si="125"/>
        <v/>
      </c>
      <c r="AJ396" s="168" t="str">
        <f t="shared" si="126"/>
        <v/>
      </c>
      <c r="AK396" s="168" t="str">
        <f t="shared" si="127"/>
        <v/>
      </c>
      <c r="AL396" s="168" t="str">
        <f t="shared" si="128"/>
        <v/>
      </c>
      <c r="AM396" s="168" t="str">
        <f t="shared" si="129"/>
        <v/>
      </c>
      <c r="AN396" s="167" t="str">
        <f t="shared" si="112"/>
        <v/>
      </c>
      <c r="AO396" s="167" t="str">
        <f t="shared" si="113"/>
        <v/>
      </c>
      <c r="AP396" s="167" t="str">
        <f t="shared" si="114"/>
        <v/>
      </c>
      <c r="AQ396" s="169" t="str">
        <f t="shared" si="115"/>
        <v/>
      </c>
      <c r="AR396" s="170" t="str">
        <f t="shared" si="116"/>
        <v>BiK81a1bKWK-04</v>
      </c>
      <c r="AS396" s="169" t="str">
        <f t="shared" si="117"/>
        <v/>
      </c>
      <c r="AT396">
        <f t="shared" si="118"/>
        <v>14</v>
      </c>
      <c r="AU396" s="170" t="str">
        <f t="shared" si="119"/>
        <v>0-0,15 MW, Bonusregeln a1, b und KWK</v>
      </c>
      <c r="AV396" s="169" t="str">
        <f t="shared" si="120"/>
        <v/>
      </c>
      <c r="AW396" s="170" t="str">
        <f t="shared" si="121"/>
        <v>Anteil KWK</v>
      </c>
      <c r="AX396" s="169" t="str">
        <f t="shared" si="122"/>
        <v/>
      </c>
      <c r="AY396" t="str">
        <f t="shared" si="123"/>
        <v/>
      </c>
      <c r="AZ396" t="str">
        <f t="shared" si="124"/>
        <v/>
      </c>
    </row>
    <row r="397" spans="1:52" s="145" customFormat="1" x14ac:dyDescent="0.35">
      <c r="A397" s="497" t="s">
        <v>4336</v>
      </c>
      <c r="B397" s="13" t="s">
        <v>5547</v>
      </c>
      <c r="C397" s="13" t="s">
        <v>4808</v>
      </c>
      <c r="D397" s="13" t="s">
        <v>6918</v>
      </c>
      <c r="E397" s="13" t="s">
        <v>4330</v>
      </c>
      <c r="F397" s="373">
        <f t="shared" si="131"/>
        <v>22.67</v>
      </c>
      <c r="G397" s="430">
        <v>22.67</v>
      </c>
      <c r="H397" s="399">
        <f t="shared" si="132"/>
        <v>18.14</v>
      </c>
      <c r="I397" s="576"/>
      <c r="J397" s="549" t="s">
        <v>5804</v>
      </c>
      <c r="K397" s="11"/>
      <c r="L397"/>
      <c r="M397" s="37">
        <f t="shared" si="133"/>
        <v>22.67</v>
      </c>
      <c r="N397" s="29">
        <v>11.67</v>
      </c>
      <c r="O397" s="41"/>
      <c r="P397" t="s">
        <v>1017</v>
      </c>
      <c r="Q397"/>
      <c r="R397"/>
      <c r="S397" t="s">
        <v>4179</v>
      </c>
      <c r="T397" s="145" t="s">
        <v>4179</v>
      </c>
      <c r="U397" s="42"/>
      <c r="V397" t="s">
        <v>1017</v>
      </c>
      <c r="W397" s="50"/>
      <c r="X397" s="50"/>
      <c r="Y397"/>
      <c r="Z397"/>
      <c r="AA397" s="50"/>
      <c r="AB397"/>
      <c r="AC397"/>
      <c r="AD397" s="50"/>
      <c r="AE397" s="75" t="s">
        <v>1017</v>
      </c>
      <c r="AF397" s="50"/>
      <c r="AG397" s="50"/>
      <c r="AH397" s="166" t="str">
        <f t="shared" si="138"/>
        <v/>
      </c>
      <c r="AI397" s="168" t="str">
        <f t="shared" si="125"/>
        <v/>
      </c>
      <c r="AJ397" s="168" t="str">
        <f t="shared" si="126"/>
        <v/>
      </c>
      <c r="AK397" s="168" t="str">
        <f t="shared" si="127"/>
        <v/>
      </c>
      <c r="AL397" s="168" t="str">
        <f t="shared" si="128"/>
        <v/>
      </c>
      <c r="AM397" s="168" t="str">
        <f t="shared" si="129"/>
        <v/>
      </c>
      <c r="AN397" s="167" t="str">
        <f t="shared" si="112"/>
        <v/>
      </c>
      <c r="AO397" s="167" t="str">
        <f t="shared" si="113"/>
        <v/>
      </c>
      <c r="AP397" s="167" t="str">
        <f t="shared" si="114"/>
        <v/>
      </c>
      <c r="AQ397" s="169" t="str">
        <f t="shared" si="115"/>
        <v/>
      </c>
      <c r="AR397" s="170" t="str">
        <f t="shared" si="116"/>
        <v>BiK81a1bKA3-04</v>
      </c>
      <c r="AS397" s="169" t="str">
        <f t="shared" si="117"/>
        <v/>
      </c>
      <c r="AT397">
        <f t="shared" si="118"/>
        <v>14</v>
      </c>
      <c r="AU397" s="170" t="str">
        <f t="shared" si="119"/>
        <v>0-0,15 MW, Bonusregeln a1, b und K wenn Anlage 3 erfüllt</v>
      </c>
      <c r="AV397" s="169" t="str">
        <f t="shared" si="120"/>
        <v/>
      </c>
      <c r="AW397" s="170" t="str">
        <f t="shared" si="121"/>
        <v>Anteil KWK gemäß Anlage 3</v>
      </c>
      <c r="AX397" s="169" t="str">
        <f t="shared" si="122"/>
        <v/>
      </c>
      <c r="AY397" t="str">
        <f t="shared" si="123"/>
        <v/>
      </c>
      <c r="AZ397" t="str">
        <f t="shared" si="124"/>
        <v/>
      </c>
    </row>
    <row r="398" spans="1:52" s="145" customFormat="1" x14ac:dyDescent="0.35">
      <c r="A398" s="497" t="s">
        <v>2665</v>
      </c>
      <c r="B398" s="13" t="s">
        <v>5547</v>
      </c>
      <c r="C398" s="13" t="s">
        <v>4808</v>
      </c>
      <c r="D398" s="13" t="s">
        <v>6919</v>
      </c>
      <c r="E398" s="13" t="s">
        <v>674</v>
      </c>
      <c r="F398" s="373">
        <f t="shared" si="131"/>
        <v>22.67</v>
      </c>
      <c r="G398" s="430">
        <v>22.67</v>
      </c>
      <c r="H398" s="399">
        <f t="shared" si="132"/>
        <v>18.14</v>
      </c>
      <c r="I398" s="576"/>
      <c r="J398" s="549" t="s">
        <v>5804</v>
      </c>
      <c r="K398" s="11"/>
      <c r="L398"/>
      <c r="M398" s="37">
        <f t="shared" si="133"/>
        <v>22.67</v>
      </c>
      <c r="N398" s="29">
        <v>11.67</v>
      </c>
      <c r="O398" s="41"/>
      <c r="P398" s="11"/>
      <c r="Q398" t="s">
        <v>1017</v>
      </c>
      <c r="R398"/>
      <c r="S398" t="s">
        <v>4179</v>
      </c>
      <c r="T398" s="145" t="s">
        <v>4179</v>
      </c>
      <c r="U398" s="42"/>
      <c r="V398" t="s">
        <v>1017</v>
      </c>
      <c r="W398" s="50"/>
      <c r="X398" s="50"/>
      <c r="Y398"/>
      <c r="Z398"/>
      <c r="AA398" s="50"/>
      <c r="AB398"/>
      <c r="AC398"/>
      <c r="AD398" s="50"/>
      <c r="AE398" s="75" t="s">
        <v>1017</v>
      </c>
      <c r="AF398" s="50"/>
      <c r="AG398" s="50"/>
      <c r="AH398" s="166" t="str">
        <f t="shared" si="138"/>
        <v/>
      </c>
      <c r="AI398" s="168" t="str">
        <f t="shared" si="125"/>
        <v/>
      </c>
      <c r="AJ398" s="168" t="str">
        <f t="shared" si="126"/>
        <v/>
      </c>
      <c r="AK398" s="168" t="str">
        <f t="shared" si="127"/>
        <v/>
      </c>
      <c r="AL398" s="168" t="str">
        <f t="shared" si="128"/>
        <v/>
      </c>
      <c r="AM398" s="168" t="str">
        <f t="shared" si="129"/>
        <v/>
      </c>
      <c r="AN398" s="167" t="str">
        <f t="shared" si="112"/>
        <v/>
      </c>
      <c r="AO398" s="167" t="str">
        <f t="shared" si="113"/>
        <v/>
      </c>
      <c r="AP398" s="167" t="str">
        <f t="shared" si="114"/>
        <v/>
      </c>
      <c r="AQ398" s="169" t="str">
        <f t="shared" si="115"/>
        <v/>
      </c>
      <c r="AR398" s="170" t="str">
        <f t="shared" si="116"/>
        <v>BiK81a1bK09-04</v>
      </c>
      <c r="AS398" s="169" t="str">
        <f t="shared" si="117"/>
        <v/>
      </c>
      <c r="AT398">
        <f t="shared" si="118"/>
        <v>14</v>
      </c>
      <c r="AU398" s="170" t="str">
        <f t="shared" si="119"/>
        <v>0-0,15 MW, Bonusregeln a1, b und K erstmals 2009</v>
      </c>
      <c r="AV398" s="169" t="str">
        <f t="shared" si="120"/>
        <v/>
      </c>
      <c r="AW398" s="170" t="str">
        <f t="shared" si="121"/>
        <v>Anteil KWK, erstmals 2009</v>
      </c>
      <c r="AX398" s="169" t="str">
        <f t="shared" si="122"/>
        <v/>
      </c>
      <c r="AY398" t="str">
        <f t="shared" si="123"/>
        <v/>
      </c>
      <c r="AZ398" t="str">
        <f t="shared" si="124"/>
        <v/>
      </c>
    </row>
    <row r="399" spans="1:52" s="145" customFormat="1" x14ac:dyDescent="0.35">
      <c r="A399" s="497" t="s">
        <v>1642</v>
      </c>
      <c r="B399" s="13" t="s">
        <v>5547</v>
      </c>
      <c r="C399" s="13" t="s">
        <v>4808</v>
      </c>
      <c r="D399" s="13" t="s">
        <v>6920</v>
      </c>
      <c r="E399" s="13" t="s">
        <v>3566</v>
      </c>
      <c r="F399" s="373">
        <f t="shared" si="131"/>
        <v>22.64</v>
      </c>
      <c r="G399" s="430">
        <v>22.64</v>
      </c>
      <c r="H399" s="399">
        <f t="shared" si="132"/>
        <v>18.11</v>
      </c>
      <c r="I399" s="576"/>
      <c r="J399" s="549" t="s">
        <v>5804</v>
      </c>
      <c r="K399" s="11"/>
      <c r="L399"/>
      <c r="M399" s="37">
        <f t="shared" si="133"/>
        <v>22.64</v>
      </c>
      <c r="N399" s="29">
        <v>11.67</v>
      </c>
      <c r="O399" s="41"/>
      <c r="P399" s="11"/>
      <c r="Q399"/>
      <c r="R399" t="s">
        <v>1017</v>
      </c>
      <c r="S399" t="s">
        <v>4179</v>
      </c>
      <c r="T399" s="145" t="s">
        <v>4179</v>
      </c>
      <c r="U399" s="42"/>
      <c r="V399" t="s">
        <v>1017</v>
      </c>
      <c r="W399" s="50"/>
      <c r="X399" s="50"/>
      <c r="Y399"/>
      <c r="Z399"/>
      <c r="AA399" s="50"/>
      <c r="AB399"/>
      <c r="AC399"/>
      <c r="AD399" s="50"/>
      <c r="AE399" s="75" t="s">
        <v>1017</v>
      </c>
      <c r="AF399" s="50"/>
      <c r="AG399" s="50"/>
      <c r="AH399" s="166" t="str">
        <f t="shared" si="138"/>
        <v>2010</v>
      </c>
      <c r="AI399" s="168" t="str">
        <f t="shared" si="125"/>
        <v/>
      </c>
      <c r="AJ399" s="168" t="str">
        <f t="shared" si="126"/>
        <v/>
      </c>
      <c r="AK399" s="168" t="str">
        <f t="shared" si="127"/>
        <v/>
      </c>
      <c r="AL399" s="168" t="str">
        <f t="shared" si="128"/>
        <v/>
      </c>
      <c r="AM399" s="168" t="str">
        <f t="shared" si="129"/>
        <v/>
      </c>
      <c r="AN399" s="167" t="str">
        <f t="shared" si="112"/>
        <v>2010</v>
      </c>
      <c r="AO399" s="167" t="str">
        <f t="shared" si="113"/>
        <v>2010</v>
      </c>
      <c r="AP399" s="167" t="str">
        <f t="shared" si="114"/>
        <v>2010</v>
      </c>
      <c r="AQ399" s="169" t="str">
        <f t="shared" si="115"/>
        <v/>
      </c>
      <c r="AR399" s="170" t="str">
        <f t="shared" si="116"/>
        <v>BiK81a1bK10-04</v>
      </c>
      <c r="AS399" s="169" t="str">
        <f t="shared" si="117"/>
        <v/>
      </c>
      <c r="AT399">
        <f t="shared" si="118"/>
        <v>14</v>
      </c>
      <c r="AU399" s="170" t="str">
        <f t="shared" si="119"/>
        <v>0-0,15 MW, Bonusregeln a1, b und K erstmals 2010</v>
      </c>
      <c r="AV399" s="169" t="str">
        <f t="shared" si="120"/>
        <v/>
      </c>
      <c r="AW399" s="170" t="str">
        <f t="shared" si="121"/>
        <v>Anteil KWK, erstmals 2010</v>
      </c>
      <c r="AX399" s="169" t="str">
        <f t="shared" si="122"/>
        <v/>
      </c>
      <c r="AY399" t="str">
        <f t="shared" si="123"/>
        <v/>
      </c>
      <c r="AZ399" t="str">
        <f t="shared" si="124"/>
        <v/>
      </c>
    </row>
    <row r="400" spans="1:52" s="145" customFormat="1" x14ac:dyDescent="0.35">
      <c r="A400" s="497" t="s">
        <v>5256</v>
      </c>
      <c r="B400" s="13" t="s">
        <v>5547</v>
      </c>
      <c r="C400" s="13" t="s">
        <v>4808</v>
      </c>
      <c r="D400" s="13" t="s">
        <v>6921</v>
      </c>
      <c r="E400" s="13" t="s">
        <v>3054</v>
      </c>
      <c r="F400" s="373">
        <f t="shared" si="131"/>
        <v>22.61</v>
      </c>
      <c r="G400" s="430">
        <v>22.61</v>
      </c>
      <c r="H400" s="399">
        <f t="shared" si="132"/>
        <v>18.09</v>
      </c>
      <c r="I400" s="576"/>
      <c r="J400" s="549" t="s">
        <v>5804</v>
      </c>
      <c r="K400" s="11"/>
      <c r="L400"/>
      <c r="M400" s="37">
        <f t="shared" si="133"/>
        <v>22.61</v>
      </c>
      <c r="N400" s="29">
        <v>11.67</v>
      </c>
      <c r="O400" s="41"/>
      <c r="P400" s="11"/>
      <c r="Q400"/>
      <c r="R400"/>
      <c r="S400" t="s">
        <v>1017</v>
      </c>
      <c r="T400" s="145" t="s">
        <v>4179</v>
      </c>
      <c r="U400" s="42"/>
      <c r="V400" t="s">
        <v>1017</v>
      </c>
      <c r="W400" s="50"/>
      <c r="X400" s="50"/>
      <c r="Y400"/>
      <c r="Z400"/>
      <c r="AA400" s="50"/>
      <c r="AB400"/>
      <c r="AC400"/>
      <c r="AD400" s="50"/>
      <c r="AE400" s="75" t="s">
        <v>1017</v>
      </c>
      <c r="AF400" s="50"/>
      <c r="AG400" s="50"/>
      <c r="AH400" s="166" t="str">
        <f t="shared" si="138"/>
        <v>2011</v>
      </c>
      <c r="AI400" s="168" t="str">
        <f t="shared" si="125"/>
        <v/>
      </c>
      <c r="AJ400" s="168" t="str">
        <f t="shared" si="126"/>
        <v/>
      </c>
      <c r="AK400" s="168" t="str">
        <f t="shared" si="127"/>
        <v/>
      </c>
      <c r="AL400" s="168" t="str">
        <f t="shared" si="128"/>
        <v/>
      </c>
      <c r="AM400" s="168" t="str">
        <f t="shared" si="129"/>
        <v/>
      </c>
      <c r="AN400" s="167" t="str">
        <f t="shared" si="112"/>
        <v>2011</v>
      </c>
      <c r="AO400" s="167" t="str">
        <f t="shared" si="113"/>
        <v>2011</v>
      </c>
      <c r="AP400" s="167" t="str">
        <f t="shared" si="114"/>
        <v>2011</v>
      </c>
      <c r="AQ400" s="169" t="str">
        <f t="shared" si="115"/>
        <v/>
      </c>
      <c r="AR400" s="170" t="str">
        <f t="shared" si="116"/>
        <v>BiK81a1bK11-04</v>
      </c>
      <c r="AS400" s="169" t="str">
        <f t="shared" si="117"/>
        <v/>
      </c>
      <c r="AT400">
        <f t="shared" si="118"/>
        <v>14</v>
      </c>
      <c r="AU400" s="170" t="str">
        <f t="shared" si="119"/>
        <v>0-0,15 MW, Bonusregeln a1, b und K erstmals 2011</v>
      </c>
      <c r="AV400" s="169" t="str">
        <f t="shared" si="120"/>
        <v/>
      </c>
      <c r="AW400" s="170" t="str">
        <f t="shared" si="121"/>
        <v>Anteil KWK, erstmals 2011</v>
      </c>
      <c r="AX400" s="169" t="str">
        <f t="shared" si="122"/>
        <v/>
      </c>
      <c r="AY400" t="str">
        <f t="shared" si="123"/>
        <v>x</v>
      </c>
      <c r="AZ400" t="str">
        <f t="shared" si="124"/>
        <v/>
      </c>
    </row>
    <row r="401" spans="1:52" s="145" customFormat="1" x14ac:dyDescent="0.35">
      <c r="A401" s="511" t="s">
        <v>1507</v>
      </c>
      <c r="B401" s="173" t="s">
        <v>5547</v>
      </c>
      <c r="C401" s="173" t="s">
        <v>4808</v>
      </c>
      <c r="D401" s="173" t="s">
        <v>6922</v>
      </c>
      <c r="E401" s="173" t="s">
        <v>1980</v>
      </c>
      <c r="F401" s="374">
        <f t="shared" si="131"/>
        <v>22.58</v>
      </c>
      <c r="G401" s="431">
        <v>22.58</v>
      </c>
      <c r="H401" s="400">
        <f t="shared" si="132"/>
        <v>18.059999999999999</v>
      </c>
      <c r="I401" s="577"/>
      <c r="J401" s="549" t="s">
        <v>5804</v>
      </c>
      <c r="K401" s="11"/>
      <c r="L401"/>
      <c r="M401" s="37">
        <f t="shared" si="133"/>
        <v>22.58</v>
      </c>
      <c r="N401" s="29">
        <v>11.67</v>
      </c>
      <c r="O401" s="41"/>
      <c r="P401" s="11"/>
      <c r="Q401"/>
      <c r="R401"/>
      <c r="S401" t="s">
        <v>4179</v>
      </c>
      <c r="T401" s="145" t="s">
        <v>1017</v>
      </c>
      <c r="U401" s="42"/>
      <c r="V401" t="s">
        <v>1017</v>
      </c>
      <c r="W401" s="50"/>
      <c r="X401" s="50"/>
      <c r="Y401"/>
      <c r="Z401"/>
      <c r="AA401" s="50"/>
      <c r="AB401"/>
      <c r="AC401"/>
      <c r="AD401" s="50"/>
      <c r="AE401" s="75" t="s">
        <v>1017</v>
      </c>
      <c r="AF401" s="50"/>
      <c r="AG401" s="50"/>
      <c r="AH401" s="171" t="s">
        <v>4178</v>
      </c>
      <c r="AI401" s="168" t="str">
        <f t="shared" si="125"/>
        <v/>
      </c>
      <c r="AJ401" s="168" t="str">
        <f t="shared" si="126"/>
        <v/>
      </c>
      <c r="AK401" s="168" t="str">
        <f t="shared" si="127"/>
        <v/>
      </c>
      <c r="AL401" s="168" t="str">
        <f t="shared" si="128"/>
        <v/>
      </c>
      <c r="AM401" s="168" t="str">
        <f t="shared" si="129"/>
        <v/>
      </c>
      <c r="AN401" s="167" t="str">
        <f t="shared" si="112"/>
        <v>2012</v>
      </c>
      <c r="AO401" s="167" t="str">
        <f t="shared" si="113"/>
        <v>2012</v>
      </c>
      <c r="AP401" s="167" t="str">
        <f t="shared" si="114"/>
        <v>2012</v>
      </c>
      <c r="AQ401" s="169" t="str">
        <f t="shared" si="115"/>
        <v/>
      </c>
      <c r="AR401" s="170" t="str">
        <f t="shared" si="116"/>
        <v>BiK81a1bK12-04</v>
      </c>
      <c r="AS401" s="169" t="str">
        <f t="shared" si="117"/>
        <v/>
      </c>
      <c r="AT401">
        <f t="shared" si="118"/>
        <v>14</v>
      </c>
      <c r="AU401" s="170" t="str">
        <f t="shared" si="119"/>
        <v>0-0,15 MW, Bonusregeln a1, b und K erstmals 2012</v>
      </c>
      <c r="AV401" s="169" t="str">
        <f t="shared" si="120"/>
        <v/>
      </c>
      <c r="AW401" s="170" t="str">
        <f t="shared" si="121"/>
        <v>Anteil KWK, erstmals 2012</v>
      </c>
      <c r="AX401" s="169" t="str">
        <f t="shared" si="122"/>
        <v/>
      </c>
      <c r="AY401" t="str">
        <f t="shared" si="123"/>
        <v/>
      </c>
      <c r="AZ401" t="str">
        <f t="shared" si="124"/>
        <v>x</v>
      </c>
    </row>
    <row r="402" spans="1:52" s="145" customFormat="1" x14ac:dyDescent="0.35">
      <c r="A402" s="497" t="s">
        <v>1353</v>
      </c>
      <c r="B402" s="13" t="s">
        <v>5547</v>
      </c>
      <c r="C402" s="13" t="s">
        <v>4808</v>
      </c>
      <c r="D402" s="13" t="s">
        <v>6923</v>
      </c>
      <c r="E402" s="13" t="s">
        <v>4809</v>
      </c>
      <c r="F402" s="373">
        <f t="shared" si="131"/>
        <v>20.67</v>
      </c>
      <c r="G402" s="430">
        <v>20.67</v>
      </c>
      <c r="H402" s="399">
        <f t="shared" si="132"/>
        <v>16.54</v>
      </c>
      <c r="I402" s="576"/>
      <c r="J402" s="549" t="s">
        <v>5804</v>
      </c>
      <c r="K402" s="11"/>
      <c r="L402"/>
      <c r="M402" s="37">
        <f t="shared" si="133"/>
        <v>20.67</v>
      </c>
      <c r="N402" s="29">
        <v>11.67</v>
      </c>
      <c r="O402" s="41"/>
      <c r="P402" s="11"/>
      <c r="Q402"/>
      <c r="R402"/>
      <c r="S402" t="s">
        <v>4179</v>
      </c>
      <c r="T402" s="145" t="s">
        <v>4179</v>
      </c>
      <c r="U402" s="42" t="s">
        <v>1017</v>
      </c>
      <c r="V402" t="s">
        <v>1017</v>
      </c>
      <c r="W402" s="50"/>
      <c r="X402" s="50"/>
      <c r="Y402"/>
      <c r="Z402"/>
      <c r="AA402" s="50"/>
      <c r="AB402"/>
      <c r="AC402"/>
      <c r="AD402" s="50"/>
      <c r="AE402" s="75" t="s">
        <v>1017</v>
      </c>
      <c r="AF402" s="50"/>
      <c r="AG402" s="50"/>
      <c r="AH402" s="166" t="str">
        <f t="shared" ref="AH402:AH407" si="139">IF(ISERROR(SEARCH("K erstmals 201",D402)),"",RIGHT(D402,4))</f>
        <v/>
      </c>
      <c r="AI402" s="168" t="str">
        <f t="shared" si="125"/>
        <v/>
      </c>
      <c r="AJ402" s="168" t="str">
        <f t="shared" si="126"/>
        <v/>
      </c>
      <c r="AK402" s="168" t="str">
        <f t="shared" si="127"/>
        <v/>
      </c>
      <c r="AL402" s="168" t="str">
        <f t="shared" si="128"/>
        <v/>
      </c>
      <c r="AM402" s="168" t="str">
        <f t="shared" si="129"/>
        <v/>
      </c>
      <c r="AN402" s="167" t="str">
        <f t="shared" si="112"/>
        <v/>
      </c>
      <c r="AO402" s="167" t="str">
        <f t="shared" si="113"/>
        <v/>
      </c>
      <c r="AP402" s="167" t="str">
        <f t="shared" si="114"/>
        <v/>
      </c>
      <c r="AQ402" s="169" t="str">
        <f t="shared" si="115"/>
        <v/>
      </c>
      <c r="AR402" s="170" t="str">
        <f t="shared" si="116"/>
        <v>BiK81a1by---04</v>
      </c>
      <c r="AS402" s="169" t="str">
        <f t="shared" si="117"/>
        <v/>
      </c>
      <c r="AT402">
        <f t="shared" si="118"/>
        <v>14</v>
      </c>
      <c r="AU402" s="170" t="str">
        <f t="shared" si="119"/>
        <v>0-0,15 MW, Bonusregeln a1, b, y</v>
      </c>
      <c r="AV402" s="169" t="str">
        <f t="shared" si="120"/>
        <v/>
      </c>
      <c r="AW402" s="170" t="str">
        <f t="shared" si="121"/>
        <v>Anteil Nicht-KWK</v>
      </c>
      <c r="AX402" s="169" t="str">
        <f t="shared" si="122"/>
        <v/>
      </c>
      <c r="AY402" t="str">
        <f t="shared" si="123"/>
        <v/>
      </c>
      <c r="AZ402" t="str">
        <f t="shared" si="124"/>
        <v/>
      </c>
    </row>
    <row r="403" spans="1:52" s="145" customFormat="1" x14ac:dyDescent="0.35">
      <c r="A403" s="497" t="s">
        <v>1354</v>
      </c>
      <c r="B403" s="13" t="s">
        <v>5547</v>
      </c>
      <c r="C403" s="13" t="s">
        <v>4808</v>
      </c>
      <c r="D403" s="13" t="s">
        <v>6924</v>
      </c>
      <c r="E403" s="13" t="s">
        <v>4811</v>
      </c>
      <c r="F403" s="373">
        <f t="shared" si="131"/>
        <v>22.67</v>
      </c>
      <c r="G403" s="430">
        <v>22.67</v>
      </c>
      <c r="H403" s="399">
        <f t="shared" si="132"/>
        <v>18.14</v>
      </c>
      <c r="I403" s="576"/>
      <c r="J403" s="549" t="s">
        <v>5804</v>
      </c>
      <c r="K403" s="11"/>
      <c r="L403"/>
      <c r="M403" s="37">
        <f t="shared" si="133"/>
        <v>22.67</v>
      </c>
      <c r="N403" s="29">
        <v>11.67</v>
      </c>
      <c r="O403" s="41" t="s">
        <v>1017</v>
      </c>
      <c r="P403" s="11"/>
      <c r="Q403"/>
      <c r="R403"/>
      <c r="S403" t="s">
        <v>4179</v>
      </c>
      <c r="T403" s="145" t="s">
        <v>4179</v>
      </c>
      <c r="U403" s="42" t="s">
        <v>1017</v>
      </c>
      <c r="V403" t="s">
        <v>1017</v>
      </c>
      <c r="W403" s="50"/>
      <c r="X403" s="50"/>
      <c r="Y403"/>
      <c r="Z403"/>
      <c r="AA403" s="50"/>
      <c r="AB403"/>
      <c r="AC403"/>
      <c r="AD403" s="50"/>
      <c r="AE403" s="75" t="s">
        <v>1017</v>
      </c>
      <c r="AF403" s="50"/>
      <c r="AG403" s="50"/>
      <c r="AH403" s="166" t="str">
        <f t="shared" si="139"/>
        <v/>
      </c>
      <c r="AI403" s="168" t="str">
        <f t="shared" si="125"/>
        <v/>
      </c>
      <c r="AJ403" s="168" t="str">
        <f t="shared" si="126"/>
        <v/>
      </c>
      <c r="AK403" s="168" t="str">
        <f t="shared" si="127"/>
        <v/>
      </c>
      <c r="AL403" s="168" t="str">
        <f t="shared" si="128"/>
        <v/>
      </c>
      <c r="AM403" s="168" t="str">
        <f t="shared" si="129"/>
        <v/>
      </c>
      <c r="AN403" s="167" t="str">
        <f t="shared" si="112"/>
        <v/>
      </c>
      <c r="AO403" s="167" t="str">
        <f t="shared" si="113"/>
        <v/>
      </c>
      <c r="AP403" s="167" t="str">
        <f t="shared" si="114"/>
        <v/>
      </c>
      <c r="AQ403" s="169" t="str">
        <f t="shared" si="115"/>
        <v/>
      </c>
      <c r="AR403" s="170" t="str">
        <f t="shared" si="116"/>
        <v>BiK81a1bKWKy04</v>
      </c>
      <c r="AS403" s="169" t="str">
        <f t="shared" si="117"/>
        <v/>
      </c>
      <c r="AT403">
        <f t="shared" si="118"/>
        <v>14</v>
      </c>
      <c r="AU403" s="170" t="str">
        <f t="shared" si="119"/>
        <v>0-0,15 MW, Bonusregeln a1, b, y und KWK</v>
      </c>
      <c r="AV403" s="169" t="str">
        <f t="shared" si="120"/>
        <v/>
      </c>
      <c r="AW403" s="170" t="str">
        <f t="shared" si="121"/>
        <v>Anteil KWK</v>
      </c>
      <c r="AX403" s="169" t="str">
        <f t="shared" si="122"/>
        <v/>
      </c>
      <c r="AY403" t="str">
        <f t="shared" si="123"/>
        <v/>
      </c>
      <c r="AZ403" t="str">
        <f t="shared" si="124"/>
        <v/>
      </c>
    </row>
    <row r="404" spans="1:52" s="145" customFormat="1" x14ac:dyDescent="0.35">
      <c r="A404" s="497" t="s">
        <v>1355</v>
      </c>
      <c r="B404" s="13" t="s">
        <v>5547</v>
      </c>
      <c r="C404" s="13" t="s">
        <v>4808</v>
      </c>
      <c r="D404" s="13" t="s">
        <v>6925</v>
      </c>
      <c r="E404" s="13" t="s">
        <v>4330</v>
      </c>
      <c r="F404" s="373">
        <f t="shared" si="131"/>
        <v>23.67</v>
      </c>
      <c r="G404" s="430">
        <v>23.67</v>
      </c>
      <c r="H404" s="399">
        <f t="shared" si="132"/>
        <v>18.940000000000001</v>
      </c>
      <c r="I404" s="576"/>
      <c r="J404" s="549" t="s">
        <v>5804</v>
      </c>
      <c r="K404" s="11"/>
      <c r="L404"/>
      <c r="M404" s="37">
        <f t="shared" si="133"/>
        <v>23.67</v>
      </c>
      <c r="N404" s="29">
        <v>11.67</v>
      </c>
      <c r="O404" s="41"/>
      <c r="P404" t="s">
        <v>1017</v>
      </c>
      <c r="Q404"/>
      <c r="R404"/>
      <c r="S404" t="s">
        <v>4179</v>
      </c>
      <c r="T404" s="145" t="s">
        <v>4179</v>
      </c>
      <c r="U404" s="42" t="s">
        <v>1017</v>
      </c>
      <c r="V404" t="s">
        <v>1017</v>
      </c>
      <c r="W404" s="50"/>
      <c r="X404" s="50"/>
      <c r="Y404"/>
      <c r="Z404"/>
      <c r="AA404" s="50"/>
      <c r="AB404"/>
      <c r="AC404"/>
      <c r="AD404" s="50"/>
      <c r="AE404" s="75" t="s">
        <v>1017</v>
      </c>
      <c r="AF404" s="50"/>
      <c r="AG404" s="50"/>
      <c r="AH404" s="166" t="str">
        <f t="shared" si="139"/>
        <v/>
      </c>
      <c r="AI404" s="168" t="str">
        <f t="shared" si="125"/>
        <v/>
      </c>
      <c r="AJ404" s="168" t="str">
        <f t="shared" si="126"/>
        <v/>
      </c>
      <c r="AK404" s="168" t="str">
        <f t="shared" si="127"/>
        <v/>
      </c>
      <c r="AL404" s="168" t="str">
        <f t="shared" si="128"/>
        <v/>
      </c>
      <c r="AM404" s="168" t="str">
        <f t="shared" si="129"/>
        <v/>
      </c>
      <c r="AN404" s="167" t="str">
        <f t="shared" si="112"/>
        <v/>
      </c>
      <c r="AO404" s="167" t="str">
        <f t="shared" si="113"/>
        <v/>
      </c>
      <c r="AP404" s="167" t="str">
        <f t="shared" si="114"/>
        <v/>
      </c>
      <c r="AQ404" s="169" t="str">
        <f t="shared" si="115"/>
        <v/>
      </c>
      <c r="AR404" s="170" t="str">
        <f t="shared" si="116"/>
        <v>BiK81a1bKA3y04</v>
      </c>
      <c r="AS404" s="169" t="str">
        <f t="shared" si="117"/>
        <v/>
      </c>
      <c r="AT404">
        <f t="shared" si="118"/>
        <v>14</v>
      </c>
      <c r="AU404" s="170" t="str">
        <f t="shared" si="119"/>
        <v>0-0,15 MW, Bonusregeln a1, b, y und K wenn Anlage 3 erfüllt</v>
      </c>
      <c r="AV404" s="169" t="str">
        <f t="shared" si="120"/>
        <v/>
      </c>
      <c r="AW404" s="170" t="str">
        <f t="shared" si="121"/>
        <v>Anteil KWK gemäß Anlage 3</v>
      </c>
      <c r="AX404" s="169" t="str">
        <f t="shared" si="122"/>
        <v/>
      </c>
      <c r="AY404" t="str">
        <f t="shared" si="123"/>
        <v/>
      </c>
      <c r="AZ404" t="str">
        <f t="shared" si="124"/>
        <v/>
      </c>
    </row>
    <row r="405" spans="1:52" s="145" customFormat="1" x14ac:dyDescent="0.35">
      <c r="A405" s="497" t="s">
        <v>1356</v>
      </c>
      <c r="B405" s="13" t="s">
        <v>5547</v>
      </c>
      <c r="C405" s="13" t="s">
        <v>4808</v>
      </c>
      <c r="D405" s="13" t="s">
        <v>6926</v>
      </c>
      <c r="E405" s="13" t="s">
        <v>674</v>
      </c>
      <c r="F405" s="373">
        <f t="shared" si="131"/>
        <v>23.67</v>
      </c>
      <c r="G405" s="430">
        <v>23.67</v>
      </c>
      <c r="H405" s="399">
        <f t="shared" si="132"/>
        <v>18.940000000000001</v>
      </c>
      <c r="I405" s="576"/>
      <c r="J405" s="549" t="s">
        <v>5804</v>
      </c>
      <c r="K405" s="11"/>
      <c r="L405"/>
      <c r="M405" s="37">
        <f t="shared" si="133"/>
        <v>23.67</v>
      </c>
      <c r="N405" s="29">
        <v>11.67</v>
      </c>
      <c r="O405" s="41"/>
      <c r="P405" s="11"/>
      <c r="Q405" t="s">
        <v>1017</v>
      </c>
      <c r="R405"/>
      <c r="S405" t="s">
        <v>4179</v>
      </c>
      <c r="T405" s="145" t="s">
        <v>4179</v>
      </c>
      <c r="U405" s="42" t="s">
        <v>1017</v>
      </c>
      <c r="V405" t="s">
        <v>1017</v>
      </c>
      <c r="W405" s="50"/>
      <c r="X405" s="50"/>
      <c r="Y405"/>
      <c r="Z405"/>
      <c r="AA405" s="50"/>
      <c r="AB405"/>
      <c r="AC405"/>
      <c r="AD405" s="50"/>
      <c r="AE405" s="75" t="s">
        <v>1017</v>
      </c>
      <c r="AF405" s="50"/>
      <c r="AG405" s="50"/>
      <c r="AH405" s="166" t="str">
        <f t="shared" si="139"/>
        <v/>
      </c>
      <c r="AI405" s="168" t="str">
        <f t="shared" si="125"/>
        <v/>
      </c>
      <c r="AJ405" s="168" t="str">
        <f t="shared" si="126"/>
        <v/>
      </c>
      <c r="AK405" s="168" t="str">
        <f t="shared" si="127"/>
        <v/>
      </c>
      <c r="AL405" s="168" t="str">
        <f t="shared" si="128"/>
        <v/>
      </c>
      <c r="AM405" s="168" t="str">
        <f t="shared" si="129"/>
        <v/>
      </c>
      <c r="AN405" s="167" t="str">
        <f t="shared" si="112"/>
        <v/>
      </c>
      <c r="AO405" s="167" t="str">
        <f t="shared" si="113"/>
        <v/>
      </c>
      <c r="AP405" s="167" t="str">
        <f t="shared" si="114"/>
        <v/>
      </c>
      <c r="AQ405" s="169" t="str">
        <f t="shared" si="115"/>
        <v/>
      </c>
      <c r="AR405" s="170" t="str">
        <f t="shared" si="116"/>
        <v>BiK81a1bK09y04</v>
      </c>
      <c r="AS405" s="169" t="str">
        <f t="shared" si="117"/>
        <v/>
      </c>
      <c r="AT405">
        <f t="shared" si="118"/>
        <v>14</v>
      </c>
      <c r="AU405" s="170" t="str">
        <f t="shared" si="119"/>
        <v>0-0,15 MW, Bonusregeln a1, b, y und K erstmals 2009</v>
      </c>
      <c r="AV405" s="169" t="str">
        <f t="shared" si="120"/>
        <v/>
      </c>
      <c r="AW405" s="170" t="str">
        <f t="shared" si="121"/>
        <v>Anteil KWK, erstmals 2009</v>
      </c>
      <c r="AX405" s="169" t="str">
        <f t="shared" si="122"/>
        <v/>
      </c>
      <c r="AY405" t="str">
        <f t="shared" si="123"/>
        <v/>
      </c>
      <c r="AZ405" t="str">
        <f t="shared" si="124"/>
        <v/>
      </c>
    </row>
    <row r="406" spans="1:52" s="145" customFormat="1" x14ac:dyDescent="0.35">
      <c r="A406" s="497" t="s">
        <v>1643</v>
      </c>
      <c r="B406" s="13" t="s">
        <v>5547</v>
      </c>
      <c r="C406" s="13" t="s">
        <v>4808</v>
      </c>
      <c r="D406" s="13" t="s">
        <v>6927</v>
      </c>
      <c r="E406" s="13" t="s">
        <v>3566</v>
      </c>
      <c r="F406" s="373">
        <f t="shared" si="131"/>
        <v>23.64</v>
      </c>
      <c r="G406" s="430">
        <v>23.64</v>
      </c>
      <c r="H406" s="399">
        <f t="shared" si="132"/>
        <v>18.91</v>
      </c>
      <c r="I406" s="576"/>
      <c r="J406" s="549" t="s">
        <v>5804</v>
      </c>
      <c r="K406" s="11"/>
      <c r="L406"/>
      <c r="M406" s="37">
        <f t="shared" si="133"/>
        <v>23.64</v>
      </c>
      <c r="N406" s="29">
        <v>11.67</v>
      </c>
      <c r="O406" s="41"/>
      <c r="P406" s="11"/>
      <c r="Q406"/>
      <c r="R406" t="s">
        <v>1017</v>
      </c>
      <c r="S406" t="s">
        <v>4179</v>
      </c>
      <c r="T406" s="145" t="s">
        <v>4179</v>
      </c>
      <c r="U406" s="42" t="s">
        <v>1017</v>
      </c>
      <c r="V406" t="s">
        <v>1017</v>
      </c>
      <c r="W406" s="50"/>
      <c r="X406" s="50"/>
      <c r="Y406"/>
      <c r="Z406"/>
      <c r="AA406" s="50"/>
      <c r="AB406"/>
      <c r="AC406"/>
      <c r="AD406" s="50"/>
      <c r="AE406" s="75" t="s">
        <v>1017</v>
      </c>
      <c r="AF406" s="50"/>
      <c r="AG406" s="50"/>
      <c r="AH406" s="166" t="str">
        <f t="shared" si="139"/>
        <v>2010</v>
      </c>
      <c r="AI406" s="168" t="str">
        <f t="shared" si="125"/>
        <v/>
      </c>
      <c r="AJ406" s="168" t="str">
        <f t="shared" si="126"/>
        <v/>
      </c>
      <c r="AK406" s="168" t="str">
        <f t="shared" si="127"/>
        <v/>
      </c>
      <c r="AL406" s="168" t="str">
        <f t="shared" si="128"/>
        <v/>
      </c>
      <c r="AM406" s="168" t="str">
        <f t="shared" si="129"/>
        <v/>
      </c>
      <c r="AN406" s="167" t="str">
        <f t="shared" si="112"/>
        <v>2010</v>
      </c>
      <c r="AO406" s="167" t="str">
        <f t="shared" si="113"/>
        <v>2010</v>
      </c>
      <c r="AP406" s="167" t="str">
        <f t="shared" si="114"/>
        <v>2010</v>
      </c>
      <c r="AQ406" s="169" t="str">
        <f t="shared" si="115"/>
        <v/>
      </c>
      <c r="AR406" s="170" t="str">
        <f t="shared" si="116"/>
        <v>BiK81a1bK10y04</v>
      </c>
      <c r="AS406" s="169" t="str">
        <f t="shared" si="117"/>
        <v/>
      </c>
      <c r="AT406">
        <f t="shared" si="118"/>
        <v>14</v>
      </c>
      <c r="AU406" s="170" t="str">
        <f t="shared" si="119"/>
        <v>0-0,15 MW, Bonusregeln a1, b, y und K erstmals 2010</v>
      </c>
      <c r="AV406" s="169" t="str">
        <f t="shared" si="120"/>
        <v/>
      </c>
      <c r="AW406" s="170" t="str">
        <f t="shared" si="121"/>
        <v>Anteil KWK, erstmals 2010</v>
      </c>
      <c r="AX406" s="169" t="str">
        <f t="shared" si="122"/>
        <v/>
      </c>
      <c r="AY406" t="str">
        <f t="shared" si="123"/>
        <v/>
      </c>
      <c r="AZ406" t="str">
        <f t="shared" si="124"/>
        <v/>
      </c>
    </row>
    <row r="407" spans="1:52" s="145" customFormat="1" x14ac:dyDescent="0.35">
      <c r="A407" s="497" t="s">
        <v>5257</v>
      </c>
      <c r="B407" s="13" t="s">
        <v>5547</v>
      </c>
      <c r="C407" s="13" t="s">
        <v>4808</v>
      </c>
      <c r="D407" s="13" t="s">
        <v>6928</v>
      </c>
      <c r="E407" s="13" t="s">
        <v>3054</v>
      </c>
      <c r="F407" s="373">
        <f t="shared" si="131"/>
        <v>23.61</v>
      </c>
      <c r="G407" s="430">
        <v>23.61</v>
      </c>
      <c r="H407" s="399">
        <f t="shared" si="132"/>
        <v>18.89</v>
      </c>
      <c r="I407" s="576"/>
      <c r="J407" s="549" t="s">
        <v>5804</v>
      </c>
      <c r="K407" s="11"/>
      <c r="L407"/>
      <c r="M407" s="37">
        <f t="shared" si="133"/>
        <v>23.61</v>
      </c>
      <c r="N407" s="29">
        <v>11.67</v>
      </c>
      <c r="O407" s="41"/>
      <c r="P407" s="11"/>
      <c r="Q407"/>
      <c r="R407"/>
      <c r="S407" t="s">
        <v>1017</v>
      </c>
      <c r="T407" s="145" t="s">
        <v>4179</v>
      </c>
      <c r="U407" s="42" t="s">
        <v>1017</v>
      </c>
      <c r="V407" t="s">
        <v>1017</v>
      </c>
      <c r="W407" s="50"/>
      <c r="X407" s="50"/>
      <c r="Y407"/>
      <c r="Z407"/>
      <c r="AA407" s="50"/>
      <c r="AB407"/>
      <c r="AC407"/>
      <c r="AD407" s="50"/>
      <c r="AE407" s="75" t="s">
        <v>1017</v>
      </c>
      <c r="AF407" s="50"/>
      <c r="AG407" s="50"/>
      <c r="AH407" s="166" t="str">
        <f t="shared" si="139"/>
        <v>2011</v>
      </c>
      <c r="AI407" s="168" t="str">
        <f t="shared" si="125"/>
        <v/>
      </c>
      <c r="AJ407" s="168" t="str">
        <f t="shared" si="126"/>
        <v/>
      </c>
      <c r="AK407" s="168" t="str">
        <f t="shared" si="127"/>
        <v/>
      </c>
      <c r="AL407" s="168" t="str">
        <f t="shared" si="128"/>
        <v/>
      </c>
      <c r="AM407" s="168" t="str">
        <f t="shared" si="129"/>
        <v/>
      </c>
      <c r="AN407" s="167" t="str">
        <f t="shared" si="112"/>
        <v>2011</v>
      </c>
      <c r="AO407" s="167" t="str">
        <f t="shared" si="113"/>
        <v>2011</v>
      </c>
      <c r="AP407" s="167" t="str">
        <f t="shared" si="114"/>
        <v>2011</v>
      </c>
      <c r="AQ407" s="169" t="str">
        <f t="shared" si="115"/>
        <v/>
      </c>
      <c r="AR407" s="170" t="str">
        <f t="shared" si="116"/>
        <v>BiK81a1bK11y04</v>
      </c>
      <c r="AS407" s="169" t="str">
        <f t="shared" si="117"/>
        <v/>
      </c>
      <c r="AT407">
        <f t="shared" si="118"/>
        <v>14</v>
      </c>
      <c r="AU407" s="170" t="str">
        <f t="shared" si="119"/>
        <v>0-0,15 MW, Bonusregeln a1, b, y und K erstmals 2011</v>
      </c>
      <c r="AV407" s="169" t="str">
        <f t="shared" si="120"/>
        <v/>
      </c>
      <c r="AW407" s="170" t="str">
        <f t="shared" si="121"/>
        <v>Anteil KWK, erstmals 2011</v>
      </c>
      <c r="AX407" s="169" t="str">
        <f t="shared" si="122"/>
        <v/>
      </c>
      <c r="AY407" t="str">
        <f t="shared" si="123"/>
        <v>x</v>
      </c>
      <c r="AZ407" t="str">
        <f t="shared" si="124"/>
        <v/>
      </c>
    </row>
    <row r="408" spans="1:52" s="145" customFormat="1" x14ac:dyDescent="0.35">
      <c r="A408" s="511" t="s">
        <v>1508</v>
      </c>
      <c r="B408" s="173" t="s">
        <v>5547</v>
      </c>
      <c r="C408" s="173" t="s">
        <v>4808</v>
      </c>
      <c r="D408" s="173" t="s">
        <v>6929</v>
      </c>
      <c r="E408" s="173" t="s">
        <v>1980</v>
      </c>
      <c r="F408" s="374">
        <f t="shared" si="131"/>
        <v>23.58</v>
      </c>
      <c r="G408" s="431">
        <v>23.58</v>
      </c>
      <c r="H408" s="400">
        <f t="shared" si="132"/>
        <v>18.86</v>
      </c>
      <c r="I408" s="577"/>
      <c r="J408" s="549" t="s">
        <v>5804</v>
      </c>
      <c r="K408" s="11"/>
      <c r="L408"/>
      <c r="M408" s="37">
        <f t="shared" si="133"/>
        <v>23.58</v>
      </c>
      <c r="N408" s="29">
        <v>11.67</v>
      </c>
      <c r="O408" s="41"/>
      <c r="P408" s="11"/>
      <c r="Q408"/>
      <c r="R408"/>
      <c r="S408" t="s">
        <v>4179</v>
      </c>
      <c r="T408" s="145" t="s">
        <v>1017</v>
      </c>
      <c r="U408" s="42" t="s">
        <v>1017</v>
      </c>
      <c r="V408" t="s">
        <v>1017</v>
      </c>
      <c r="W408" s="50"/>
      <c r="X408" s="50"/>
      <c r="Y408"/>
      <c r="Z408"/>
      <c r="AA408" s="50"/>
      <c r="AB408"/>
      <c r="AC408"/>
      <c r="AD408" s="50"/>
      <c r="AE408" s="75" t="s">
        <v>1017</v>
      </c>
      <c r="AF408" s="50"/>
      <c r="AG408" s="50"/>
      <c r="AH408" s="171" t="s">
        <v>4178</v>
      </c>
      <c r="AI408" s="168" t="str">
        <f t="shared" si="125"/>
        <v/>
      </c>
      <c r="AJ408" s="168" t="str">
        <f t="shared" si="126"/>
        <v/>
      </c>
      <c r="AK408" s="168" t="str">
        <f t="shared" si="127"/>
        <v/>
      </c>
      <c r="AL408" s="168" t="str">
        <f t="shared" si="128"/>
        <v/>
      </c>
      <c r="AM408" s="168" t="str">
        <f t="shared" si="129"/>
        <v/>
      </c>
      <c r="AN408" s="167" t="str">
        <f t="shared" si="112"/>
        <v>2012</v>
      </c>
      <c r="AO408" s="167" t="str">
        <f t="shared" si="113"/>
        <v>2012</v>
      </c>
      <c r="AP408" s="167" t="str">
        <f t="shared" si="114"/>
        <v>2012</v>
      </c>
      <c r="AQ408" s="169" t="str">
        <f t="shared" si="115"/>
        <v/>
      </c>
      <c r="AR408" s="170" t="str">
        <f t="shared" si="116"/>
        <v>BiK81a1bK12y04</v>
      </c>
      <c r="AS408" s="169" t="str">
        <f t="shared" si="117"/>
        <v/>
      </c>
      <c r="AT408">
        <f t="shared" si="118"/>
        <v>14</v>
      </c>
      <c r="AU408" s="170" t="str">
        <f t="shared" si="119"/>
        <v>0-0,15 MW, Bonusregeln a1, b, y und K erstmals 2012</v>
      </c>
      <c r="AV408" s="169" t="str">
        <f t="shared" si="120"/>
        <v/>
      </c>
      <c r="AW408" s="170" t="str">
        <f t="shared" si="121"/>
        <v>Anteil KWK, erstmals 2012</v>
      </c>
      <c r="AX408" s="169" t="str">
        <f t="shared" si="122"/>
        <v/>
      </c>
      <c r="AY408" t="str">
        <f t="shared" si="123"/>
        <v/>
      </c>
      <c r="AZ408" t="str">
        <f t="shared" si="124"/>
        <v>x</v>
      </c>
    </row>
    <row r="409" spans="1:52" s="145" customFormat="1" x14ac:dyDescent="0.35">
      <c r="A409" s="497" t="s">
        <v>4785</v>
      </c>
      <c r="B409" s="13" t="s">
        <v>5547</v>
      </c>
      <c r="C409" s="13" t="s">
        <v>4808</v>
      </c>
      <c r="D409" s="13" t="s">
        <v>6930</v>
      </c>
      <c r="E409" s="13" t="s">
        <v>4809</v>
      </c>
      <c r="F409" s="373">
        <f t="shared" si="131"/>
        <v>20.67</v>
      </c>
      <c r="G409" s="430">
        <v>20.67</v>
      </c>
      <c r="H409" s="399">
        <f t="shared" si="132"/>
        <v>16.54</v>
      </c>
      <c r="I409" s="576"/>
      <c r="J409" s="549" t="s">
        <v>5804</v>
      </c>
      <c r="K409" s="11"/>
      <c r="L409"/>
      <c r="M409" s="37">
        <f t="shared" si="133"/>
        <v>20.67</v>
      </c>
      <c r="N409" s="29">
        <v>11.67</v>
      </c>
      <c r="O409" s="149"/>
      <c r="P409" s="144"/>
      <c r="S409" s="145" t="s">
        <v>4179</v>
      </c>
      <c r="T409" s="145" t="s">
        <v>4179</v>
      </c>
      <c r="U409" s="146"/>
      <c r="W409" s="147"/>
      <c r="X409" s="147"/>
      <c r="Y409" s="145" t="s">
        <v>1017</v>
      </c>
      <c r="AA409" s="147"/>
      <c r="AD409" s="147"/>
      <c r="AE409" s="148" t="s">
        <v>1017</v>
      </c>
      <c r="AF409" s="147"/>
      <c r="AG409" s="147"/>
      <c r="AH409" s="166" t="str">
        <f t="shared" ref="AH409:AH414" si="140">IF(ISERROR(SEARCH("K erstmals 201",D409)),"",RIGHT(D409,4))</f>
        <v/>
      </c>
      <c r="AI409" s="168" t="str">
        <f t="shared" si="125"/>
        <v/>
      </c>
      <c r="AJ409" s="168" t="str">
        <f t="shared" si="126"/>
        <v/>
      </c>
      <c r="AK409" s="168" t="str">
        <f t="shared" si="127"/>
        <v/>
      </c>
      <c r="AL409" s="168" t="str">
        <f t="shared" si="128"/>
        <v/>
      </c>
      <c r="AM409" s="168" t="str">
        <f t="shared" si="129"/>
        <v/>
      </c>
      <c r="AN409" s="167" t="str">
        <f t="shared" si="112"/>
        <v/>
      </c>
      <c r="AO409" s="167" t="str">
        <f t="shared" si="113"/>
        <v/>
      </c>
      <c r="AP409" s="167" t="str">
        <f t="shared" si="114"/>
        <v/>
      </c>
      <c r="AQ409" s="169" t="str">
        <f t="shared" si="115"/>
        <v/>
      </c>
      <c r="AR409" s="170" t="str">
        <f t="shared" si="116"/>
        <v>BiK81Gb-----04</v>
      </c>
      <c r="AS409" s="169" t="str">
        <f t="shared" si="117"/>
        <v/>
      </c>
      <c r="AT409">
        <f t="shared" si="118"/>
        <v>14</v>
      </c>
      <c r="AU409" s="170" t="str">
        <f t="shared" si="119"/>
        <v>0-0,15 MW, Bonusregeln G, b</v>
      </c>
      <c r="AV409" s="169" t="str">
        <f t="shared" si="120"/>
        <v/>
      </c>
      <c r="AW409" s="170" t="str">
        <f t="shared" si="121"/>
        <v>Anteil Nicht-KWK</v>
      </c>
      <c r="AX409" s="169" t="str">
        <f t="shared" si="122"/>
        <v/>
      </c>
      <c r="AY409" t="str">
        <f t="shared" si="123"/>
        <v/>
      </c>
      <c r="AZ409" t="str">
        <f t="shared" si="124"/>
        <v/>
      </c>
    </row>
    <row r="410" spans="1:52" s="145" customFormat="1" x14ac:dyDescent="0.35">
      <c r="A410" s="497" t="s">
        <v>4786</v>
      </c>
      <c r="B410" s="13" t="s">
        <v>5547</v>
      </c>
      <c r="C410" s="13" t="s">
        <v>4808</v>
      </c>
      <c r="D410" s="13" t="s">
        <v>6931</v>
      </c>
      <c r="E410" s="13" t="s">
        <v>4811</v>
      </c>
      <c r="F410" s="373">
        <f t="shared" si="131"/>
        <v>22.67</v>
      </c>
      <c r="G410" s="430">
        <v>22.67</v>
      </c>
      <c r="H410" s="399">
        <f t="shared" si="132"/>
        <v>18.14</v>
      </c>
      <c r="I410" s="576"/>
      <c r="J410" s="549" t="s">
        <v>5804</v>
      </c>
      <c r="K410" s="11"/>
      <c r="L410"/>
      <c r="M410" s="37">
        <f t="shared" si="133"/>
        <v>22.67</v>
      </c>
      <c r="N410" s="29">
        <v>11.67</v>
      </c>
      <c r="O410" s="149" t="s">
        <v>1017</v>
      </c>
      <c r="P410" s="144"/>
      <c r="S410" s="145" t="s">
        <v>4179</v>
      </c>
      <c r="T410" s="145" t="s">
        <v>4179</v>
      </c>
      <c r="U410" s="146"/>
      <c r="W410" s="147"/>
      <c r="X410" s="147"/>
      <c r="Y410" s="145" t="s">
        <v>1017</v>
      </c>
      <c r="AA410" s="147"/>
      <c r="AD410" s="147"/>
      <c r="AE410" s="148" t="s">
        <v>1017</v>
      </c>
      <c r="AF410" s="147"/>
      <c r="AG410" s="147"/>
      <c r="AH410" s="166" t="str">
        <f t="shared" si="140"/>
        <v/>
      </c>
      <c r="AI410" s="168" t="str">
        <f t="shared" si="125"/>
        <v/>
      </c>
      <c r="AJ410" s="168" t="str">
        <f t="shared" si="126"/>
        <v/>
      </c>
      <c r="AK410" s="168" t="str">
        <f t="shared" si="127"/>
        <v/>
      </c>
      <c r="AL410" s="168" t="str">
        <f t="shared" si="128"/>
        <v/>
      </c>
      <c r="AM410" s="168" t="str">
        <f t="shared" si="129"/>
        <v/>
      </c>
      <c r="AN410" s="167" t="str">
        <f t="shared" si="112"/>
        <v/>
      </c>
      <c r="AO410" s="167" t="str">
        <f t="shared" si="113"/>
        <v/>
      </c>
      <c r="AP410" s="167" t="str">
        <f t="shared" si="114"/>
        <v/>
      </c>
      <c r="AQ410" s="169" t="str">
        <f t="shared" si="115"/>
        <v/>
      </c>
      <c r="AR410" s="170" t="str">
        <f t="shared" si="116"/>
        <v>BiK81GbKWK--04</v>
      </c>
      <c r="AS410" s="169" t="str">
        <f t="shared" si="117"/>
        <v/>
      </c>
      <c r="AT410">
        <f t="shared" si="118"/>
        <v>14</v>
      </c>
      <c r="AU410" s="170" t="str">
        <f t="shared" si="119"/>
        <v>0-0,15 MW, Bonusregeln G, b und KWK</v>
      </c>
      <c r="AV410" s="169" t="str">
        <f t="shared" si="120"/>
        <v/>
      </c>
      <c r="AW410" s="170" t="str">
        <f t="shared" si="121"/>
        <v>Anteil KWK</v>
      </c>
      <c r="AX410" s="169" t="str">
        <f t="shared" si="122"/>
        <v/>
      </c>
      <c r="AY410" t="str">
        <f t="shared" si="123"/>
        <v/>
      </c>
      <c r="AZ410" t="str">
        <f t="shared" si="124"/>
        <v/>
      </c>
    </row>
    <row r="411" spans="1:52" s="145" customFormat="1" x14ac:dyDescent="0.35">
      <c r="A411" s="497" t="s">
        <v>4787</v>
      </c>
      <c r="B411" s="13" t="s">
        <v>5547</v>
      </c>
      <c r="C411" s="13" t="s">
        <v>4808</v>
      </c>
      <c r="D411" s="13" t="s">
        <v>6932</v>
      </c>
      <c r="E411" s="13" t="s">
        <v>4330</v>
      </c>
      <c r="F411" s="373">
        <f t="shared" si="131"/>
        <v>23.67</v>
      </c>
      <c r="G411" s="430">
        <v>23.67</v>
      </c>
      <c r="H411" s="399">
        <f t="shared" si="132"/>
        <v>18.940000000000001</v>
      </c>
      <c r="I411" s="576"/>
      <c r="J411" s="549" t="s">
        <v>5804</v>
      </c>
      <c r="K411" s="11"/>
      <c r="L411"/>
      <c r="M411" s="37">
        <f t="shared" si="133"/>
        <v>23.67</v>
      </c>
      <c r="N411" s="29">
        <v>11.67</v>
      </c>
      <c r="O411" s="149"/>
      <c r="P411" s="145" t="s">
        <v>1017</v>
      </c>
      <c r="S411" s="145" t="s">
        <v>4179</v>
      </c>
      <c r="T411" s="145" t="s">
        <v>4179</v>
      </c>
      <c r="U411" s="146"/>
      <c r="W411" s="147"/>
      <c r="X411" s="147"/>
      <c r="Y411" s="145" t="s">
        <v>1017</v>
      </c>
      <c r="AA411" s="147"/>
      <c r="AD411" s="147"/>
      <c r="AE411" s="148" t="s">
        <v>1017</v>
      </c>
      <c r="AF411" s="147"/>
      <c r="AG411" s="147"/>
      <c r="AH411" s="166" t="str">
        <f t="shared" si="140"/>
        <v/>
      </c>
      <c r="AI411" s="168" t="str">
        <f t="shared" si="125"/>
        <v/>
      </c>
      <c r="AJ411" s="168" t="str">
        <f t="shared" si="126"/>
        <v/>
      </c>
      <c r="AK411" s="168" t="str">
        <f t="shared" si="127"/>
        <v/>
      </c>
      <c r="AL411" s="168" t="str">
        <f t="shared" si="128"/>
        <v/>
      </c>
      <c r="AM411" s="168" t="str">
        <f t="shared" si="129"/>
        <v/>
      </c>
      <c r="AN411" s="167" t="str">
        <f t="shared" si="112"/>
        <v/>
      </c>
      <c r="AO411" s="167" t="str">
        <f t="shared" si="113"/>
        <v/>
      </c>
      <c r="AP411" s="167" t="str">
        <f t="shared" si="114"/>
        <v/>
      </c>
      <c r="AQ411" s="169" t="str">
        <f t="shared" si="115"/>
        <v/>
      </c>
      <c r="AR411" s="170" t="str">
        <f t="shared" si="116"/>
        <v>BiK81GbKA3--04</v>
      </c>
      <c r="AS411" s="169" t="str">
        <f t="shared" si="117"/>
        <v/>
      </c>
      <c r="AT411">
        <f t="shared" si="118"/>
        <v>14</v>
      </c>
      <c r="AU411" s="170" t="str">
        <f t="shared" si="119"/>
        <v>0-0,15 MW, Bonusregeln G, b und K wenn Anlage 3 erfüllt</v>
      </c>
      <c r="AV411" s="169" t="str">
        <f t="shared" si="120"/>
        <v/>
      </c>
      <c r="AW411" s="170" t="str">
        <f t="shared" si="121"/>
        <v>Anteil KWK gemäß Anlage 3</v>
      </c>
      <c r="AX411" s="169" t="str">
        <f t="shared" si="122"/>
        <v/>
      </c>
      <c r="AY411" t="str">
        <f t="shared" si="123"/>
        <v/>
      </c>
      <c r="AZ411" t="str">
        <f t="shared" si="124"/>
        <v/>
      </c>
    </row>
    <row r="412" spans="1:52" s="145" customFormat="1" x14ac:dyDescent="0.35">
      <c r="A412" s="497" t="s">
        <v>4788</v>
      </c>
      <c r="B412" s="13" t="s">
        <v>5547</v>
      </c>
      <c r="C412" s="13" t="s">
        <v>4808</v>
      </c>
      <c r="D412" s="13" t="s">
        <v>6933</v>
      </c>
      <c r="E412" s="13" t="s">
        <v>674</v>
      </c>
      <c r="F412" s="373">
        <f t="shared" si="131"/>
        <v>23.67</v>
      </c>
      <c r="G412" s="430">
        <v>23.67</v>
      </c>
      <c r="H412" s="399">
        <f t="shared" si="132"/>
        <v>18.940000000000001</v>
      </c>
      <c r="I412" s="576"/>
      <c r="J412" s="549" t="s">
        <v>5804</v>
      </c>
      <c r="K412" s="11"/>
      <c r="L412"/>
      <c r="M412" s="37">
        <f t="shared" si="133"/>
        <v>23.67</v>
      </c>
      <c r="N412" s="29">
        <v>11.67</v>
      </c>
      <c r="O412" s="149"/>
      <c r="P412" s="144"/>
      <c r="Q412" s="145" t="s">
        <v>1017</v>
      </c>
      <c r="S412" s="145" t="s">
        <v>4179</v>
      </c>
      <c r="T412" s="145" t="s">
        <v>4179</v>
      </c>
      <c r="U412" s="146"/>
      <c r="W412" s="147"/>
      <c r="X412" s="147"/>
      <c r="Y412" s="145" t="s">
        <v>1017</v>
      </c>
      <c r="AA412" s="147"/>
      <c r="AD412" s="147"/>
      <c r="AE412" s="148" t="s">
        <v>1017</v>
      </c>
      <c r="AF412" s="147"/>
      <c r="AG412" s="147"/>
      <c r="AH412" s="166" t="str">
        <f t="shared" si="140"/>
        <v/>
      </c>
      <c r="AI412" s="168" t="str">
        <f t="shared" si="125"/>
        <v/>
      </c>
      <c r="AJ412" s="168" t="str">
        <f t="shared" si="126"/>
        <v/>
      </c>
      <c r="AK412" s="168" t="str">
        <f t="shared" si="127"/>
        <v/>
      </c>
      <c r="AL412" s="168" t="str">
        <f t="shared" si="128"/>
        <v/>
      </c>
      <c r="AM412" s="168" t="str">
        <f t="shared" si="129"/>
        <v/>
      </c>
      <c r="AN412" s="167" t="str">
        <f t="shared" si="112"/>
        <v/>
      </c>
      <c r="AO412" s="167" t="str">
        <f t="shared" si="113"/>
        <v/>
      </c>
      <c r="AP412" s="167" t="str">
        <f t="shared" si="114"/>
        <v/>
      </c>
      <c r="AQ412" s="169" t="str">
        <f t="shared" si="115"/>
        <v/>
      </c>
      <c r="AR412" s="170" t="str">
        <f t="shared" si="116"/>
        <v>BiK81GbK09--04</v>
      </c>
      <c r="AS412" s="169" t="str">
        <f t="shared" si="117"/>
        <v/>
      </c>
      <c r="AT412">
        <f t="shared" si="118"/>
        <v>14</v>
      </c>
      <c r="AU412" s="170" t="str">
        <f t="shared" si="119"/>
        <v>0-0,15 MW, Bonusregeln G, b und K erstmals 2009</v>
      </c>
      <c r="AV412" s="169" t="str">
        <f t="shared" si="120"/>
        <v/>
      </c>
      <c r="AW412" s="170" t="str">
        <f t="shared" si="121"/>
        <v>Anteil KWK, erstmals 2009</v>
      </c>
      <c r="AX412" s="169" t="str">
        <f t="shared" si="122"/>
        <v/>
      </c>
      <c r="AY412" t="str">
        <f t="shared" si="123"/>
        <v/>
      </c>
      <c r="AZ412" t="str">
        <f t="shared" si="124"/>
        <v/>
      </c>
    </row>
    <row r="413" spans="1:52" x14ac:dyDescent="0.35">
      <c r="A413" s="497" t="s">
        <v>1644</v>
      </c>
      <c r="B413" s="13" t="s">
        <v>5547</v>
      </c>
      <c r="C413" s="13" t="s">
        <v>4808</v>
      </c>
      <c r="D413" s="13" t="s">
        <v>6934</v>
      </c>
      <c r="E413" s="13" t="s">
        <v>3566</v>
      </c>
      <c r="F413" s="373">
        <f t="shared" si="131"/>
        <v>23.64</v>
      </c>
      <c r="G413" s="430">
        <v>23.64</v>
      </c>
      <c r="H413" s="399">
        <f t="shared" si="132"/>
        <v>18.91</v>
      </c>
      <c r="I413" s="576"/>
      <c r="J413" s="549" t="s">
        <v>5804</v>
      </c>
      <c r="K413" s="11"/>
      <c r="M413" s="37">
        <f t="shared" si="133"/>
        <v>23.64</v>
      </c>
      <c r="N413" s="29">
        <v>11.67</v>
      </c>
      <c r="O413" s="149"/>
      <c r="P413" s="144"/>
      <c r="Q413" s="145"/>
      <c r="R413" s="145" t="s">
        <v>1017</v>
      </c>
      <c r="S413" s="145" t="s">
        <v>4179</v>
      </c>
      <c r="T413" t="s">
        <v>4179</v>
      </c>
      <c r="U413" s="146"/>
      <c r="V413" s="145"/>
      <c r="W413" s="147"/>
      <c r="X413" s="147"/>
      <c r="Y413" s="145" t="s">
        <v>1017</v>
      </c>
      <c r="Z413" s="145"/>
      <c r="AA413" s="147"/>
      <c r="AB413" s="145"/>
      <c r="AC413" s="145"/>
      <c r="AD413" s="147"/>
      <c r="AE413" s="148" t="s">
        <v>1017</v>
      </c>
      <c r="AF413" s="147"/>
      <c r="AG413" s="147"/>
      <c r="AH413" s="166" t="str">
        <f t="shared" si="140"/>
        <v>2010</v>
      </c>
      <c r="AI413" s="168" t="str">
        <f t="shared" si="125"/>
        <v/>
      </c>
      <c r="AJ413" s="168" t="str">
        <f t="shared" si="126"/>
        <v/>
      </c>
      <c r="AK413" s="168" t="str">
        <f t="shared" si="127"/>
        <v/>
      </c>
      <c r="AL413" s="168" t="str">
        <f t="shared" si="128"/>
        <v/>
      </c>
      <c r="AM413" s="168" t="str">
        <f t="shared" si="129"/>
        <v/>
      </c>
      <c r="AN413" s="167" t="str">
        <f t="shared" si="112"/>
        <v>2010</v>
      </c>
      <c r="AO413" s="167" t="str">
        <f t="shared" si="113"/>
        <v>2010</v>
      </c>
      <c r="AP413" s="167" t="str">
        <f t="shared" si="114"/>
        <v>2010</v>
      </c>
      <c r="AQ413" s="169" t="str">
        <f t="shared" si="115"/>
        <v/>
      </c>
      <c r="AR413" s="170" t="str">
        <f t="shared" si="116"/>
        <v>BiK81GbK10--04</v>
      </c>
      <c r="AS413" s="169" t="str">
        <f t="shared" si="117"/>
        <v/>
      </c>
      <c r="AT413">
        <f t="shared" si="118"/>
        <v>14</v>
      </c>
      <c r="AU413" s="170" t="str">
        <f t="shared" si="119"/>
        <v>0-0,15 MW, Bonusregeln G, b und K erstmals 2010</v>
      </c>
      <c r="AV413" s="169" t="str">
        <f t="shared" si="120"/>
        <v/>
      </c>
      <c r="AW413" s="170" t="str">
        <f t="shared" si="121"/>
        <v>Anteil KWK, erstmals 2010</v>
      </c>
      <c r="AX413" s="169" t="str">
        <f t="shared" si="122"/>
        <v/>
      </c>
      <c r="AY413" t="str">
        <f t="shared" si="123"/>
        <v/>
      </c>
      <c r="AZ413" t="str">
        <f t="shared" si="124"/>
        <v/>
      </c>
    </row>
    <row r="414" spans="1:52" x14ac:dyDescent="0.35">
      <c r="A414" s="497" t="s">
        <v>5258</v>
      </c>
      <c r="B414" s="13" t="s">
        <v>5547</v>
      </c>
      <c r="C414" s="13" t="s">
        <v>4808</v>
      </c>
      <c r="D414" s="13" t="s">
        <v>6935</v>
      </c>
      <c r="E414" s="13" t="s">
        <v>3054</v>
      </c>
      <c r="F414" s="373">
        <f t="shared" si="131"/>
        <v>23.61</v>
      </c>
      <c r="G414" s="430">
        <v>23.61</v>
      </c>
      <c r="H414" s="399">
        <f t="shared" si="132"/>
        <v>18.89</v>
      </c>
      <c r="I414" s="576"/>
      <c r="J414" s="549" t="s">
        <v>5804</v>
      </c>
      <c r="K414" s="11"/>
      <c r="M414" s="37">
        <f t="shared" si="133"/>
        <v>23.61</v>
      </c>
      <c r="N414" s="29">
        <v>11.67</v>
      </c>
      <c r="O414" s="149"/>
      <c r="P414" s="144"/>
      <c r="Q414" s="145"/>
      <c r="R414" s="145"/>
      <c r="S414" s="145" t="s">
        <v>1017</v>
      </c>
      <c r="T414" t="s">
        <v>4179</v>
      </c>
      <c r="U414" s="146"/>
      <c r="V414" s="145"/>
      <c r="W414" s="147"/>
      <c r="X414" s="147"/>
      <c r="Y414" s="145" t="s">
        <v>1017</v>
      </c>
      <c r="Z414" s="145"/>
      <c r="AA414" s="147"/>
      <c r="AB414" s="145"/>
      <c r="AC414" s="145"/>
      <c r="AD414" s="147"/>
      <c r="AE414" s="148" t="s">
        <v>1017</v>
      </c>
      <c r="AF414" s="147"/>
      <c r="AG414" s="147"/>
      <c r="AH414" s="166" t="str">
        <f t="shared" si="140"/>
        <v>2011</v>
      </c>
      <c r="AI414" s="168" t="str">
        <f t="shared" si="125"/>
        <v/>
      </c>
      <c r="AJ414" s="168" t="str">
        <f t="shared" si="126"/>
        <v/>
      </c>
      <c r="AK414" s="168" t="str">
        <f t="shared" si="127"/>
        <v/>
      </c>
      <c r="AL414" s="168" t="str">
        <f t="shared" si="128"/>
        <v/>
      </c>
      <c r="AM414" s="168" t="str">
        <f t="shared" si="129"/>
        <v/>
      </c>
      <c r="AN414" s="167" t="str">
        <f t="shared" si="112"/>
        <v>2011</v>
      </c>
      <c r="AO414" s="167" t="str">
        <f t="shared" si="113"/>
        <v>2011</v>
      </c>
      <c r="AP414" s="167" t="str">
        <f t="shared" si="114"/>
        <v>2011</v>
      </c>
      <c r="AQ414" s="169" t="str">
        <f t="shared" si="115"/>
        <v/>
      </c>
      <c r="AR414" s="170" t="str">
        <f t="shared" si="116"/>
        <v>BiK81GbK11--04</v>
      </c>
      <c r="AS414" s="169" t="str">
        <f t="shared" si="117"/>
        <v/>
      </c>
      <c r="AT414">
        <f t="shared" si="118"/>
        <v>14</v>
      </c>
      <c r="AU414" s="170" t="str">
        <f t="shared" si="119"/>
        <v>0-0,15 MW, Bonusregeln G, b und K erstmals 2011</v>
      </c>
      <c r="AV414" s="169" t="str">
        <f t="shared" si="120"/>
        <v/>
      </c>
      <c r="AW414" s="170" t="str">
        <f t="shared" si="121"/>
        <v>Anteil KWK, erstmals 2011</v>
      </c>
      <c r="AX414" s="169" t="str">
        <f t="shared" si="122"/>
        <v/>
      </c>
      <c r="AY414" t="str">
        <f t="shared" si="123"/>
        <v>x</v>
      </c>
      <c r="AZ414" t="str">
        <f t="shared" si="124"/>
        <v/>
      </c>
    </row>
    <row r="415" spans="1:52" x14ac:dyDescent="0.35">
      <c r="A415" s="511" t="s">
        <v>1509</v>
      </c>
      <c r="B415" s="173" t="s">
        <v>5547</v>
      </c>
      <c r="C415" s="173" t="s">
        <v>4808</v>
      </c>
      <c r="D415" s="173" t="s">
        <v>6936</v>
      </c>
      <c r="E415" s="173" t="s">
        <v>1980</v>
      </c>
      <c r="F415" s="374">
        <f t="shared" si="131"/>
        <v>23.58</v>
      </c>
      <c r="G415" s="431">
        <v>23.58</v>
      </c>
      <c r="H415" s="400">
        <f t="shared" si="132"/>
        <v>18.86</v>
      </c>
      <c r="I415" s="577"/>
      <c r="J415" s="549" t="s">
        <v>5804</v>
      </c>
      <c r="K415" s="11"/>
      <c r="M415" s="37">
        <f t="shared" si="133"/>
        <v>23.58</v>
      </c>
      <c r="N415" s="29">
        <v>11.67</v>
      </c>
      <c r="O415" s="149"/>
      <c r="P415" s="144"/>
      <c r="Q415" s="145"/>
      <c r="R415" s="145"/>
      <c r="S415" s="145" t="s">
        <v>4179</v>
      </c>
      <c r="T415" t="s">
        <v>1017</v>
      </c>
      <c r="U415" s="146"/>
      <c r="V415" s="145"/>
      <c r="W415" s="147"/>
      <c r="X415" s="147"/>
      <c r="Y415" s="145" t="s">
        <v>1017</v>
      </c>
      <c r="Z415" s="145"/>
      <c r="AA415" s="147"/>
      <c r="AB415" s="145"/>
      <c r="AC415" s="145"/>
      <c r="AD415" s="147"/>
      <c r="AE415" s="148" t="s">
        <v>1017</v>
      </c>
      <c r="AF415" s="147"/>
      <c r="AG415" s="147"/>
      <c r="AH415" s="171" t="s">
        <v>4178</v>
      </c>
      <c r="AI415" s="168" t="str">
        <f t="shared" si="125"/>
        <v/>
      </c>
      <c r="AJ415" s="168" t="str">
        <f t="shared" si="126"/>
        <v/>
      </c>
      <c r="AK415" s="168" t="str">
        <f t="shared" si="127"/>
        <v/>
      </c>
      <c r="AL415" s="168" t="str">
        <f t="shared" si="128"/>
        <v/>
      </c>
      <c r="AM415" s="168" t="str">
        <f t="shared" si="129"/>
        <v/>
      </c>
      <c r="AN415" s="167" t="str">
        <f t="shared" si="112"/>
        <v>2012</v>
      </c>
      <c r="AO415" s="167" t="str">
        <f t="shared" si="113"/>
        <v>2012</v>
      </c>
      <c r="AP415" s="167" t="str">
        <f t="shared" si="114"/>
        <v>2012</v>
      </c>
      <c r="AQ415" s="169" t="str">
        <f t="shared" si="115"/>
        <v/>
      </c>
      <c r="AR415" s="170" t="str">
        <f t="shared" si="116"/>
        <v>BiK81GbK12--04</v>
      </c>
      <c r="AS415" s="169" t="str">
        <f t="shared" si="117"/>
        <v/>
      </c>
      <c r="AT415">
        <f t="shared" si="118"/>
        <v>14</v>
      </c>
      <c r="AU415" s="170" t="str">
        <f t="shared" si="119"/>
        <v>0-0,15 MW, Bonusregeln G, b und K erstmals 2012</v>
      </c>
      <c r="AV415" s="169" t="str">
        <f t="shared" si="120"/>
        <v/>
      </c>
      <c r="AW415" s="170" t="str">
        <f t="shared" si="121"/>
        <v>Anteil KWK, erstmals 2012</v>
      </c>
      <c r="AX415" s="169" t="str">
        <f t="shared" si="122"/>
        <v/>
      </c>
      <c r="AY415" t="str">
        <f t="shared" si="123"/>
        <v/>
      </c>
      <c r="AZ415" t="str">
        <f t="shared" si="124"/>
        <v>x</v>
      </c>
    </row>
    <row r="416" spans="1:52" x14ac:dyDescent="0.35">
      <c r="A416" s="497" t="s">
        <v>4789</v>
      </c>
      <c r="B416" s="13" t="s">
        <v>5547</v>
      </c>
      <c r="C416" s="13" t="s">
        <v>4808</v>
      </c>
      <c r="D416" s="13" t="s">
        <v>6937</v>
      </c>
      <c r="E416" s="13" t="s">
        <v>4809</v>
      </c>
      <c r="F416" s="373">
        <f t="shared" si="131"/>
        <v>21.67</v>
      </c>
      <c r="G416" s="430">
        <v>21.67</v>
      </c>
      <c r="H416" s="399">
        <f t="shared" si="132"/>
        <v>17.34</v>
      </c>
      <c r="I416" s="576"/>
      <c r="J416" s="549" t="s">
        <v>5804</v>
      </c>
      <c r="K416" s="11"/>
      <c r="M416" s="37">
        <f t="shared" si="133"/>
        <v>21.67</v>
      </c>
      <c r="N416" s="29">
        <v>11.67</v>
      </c>
      <c r="O416" s="149"/>
      <c r="P416" s="144"/>
      <c r="Q416" s="145"/>
      <c r="R416" s="145"/>
      <c r="S416" s="145" t="s">
        <v>4179</v>
      </c>
      <c r="T416" t="s">
        <v>4179</v>
      </c>
      <c r="U416" s="146" t="s">
        <v>1017</v>
      </c>
      <c r="V416" s="145"/>
      <c r="W416" s="147"/>
      <c r="X416" s="147"/>
      <c r="Y416" s="145" t="s">
        <v>1017</v>
      </c>
      <c r="Z416" s="145"/>
      <c r="AA416" s="147"/>
      <c r="AB416" s="145"/>
      <c r="AC416" s="145"/>
      <c r="AD416" s="147"/>
      <c r="AE416" s="148" t="s">
        <v>1017</v>
      </c>
      <c r="AF416" s="147"/>
      <c r="AG416" s="147"/>
      <c r="AH416" s="166" t="str">
        <f t="shared" ref="AH416:AH421" si="141">IF(ISERROR(SEARCH("K erstmals 201",D416)),"",RIGHT(D416,4))</f>
        <v/>
      </c>
      <c r="AI416" s="168" t="str">
        <f t="shared" si="125"/>
        <v/>
      </c>
      <c r="AJ416" s="168" t="str">
        <f t="shared" si="126"/>
        <v/>
      </c>
      <c r="AK416" s="168" t="str">
        <f t="shared" si="127"/>
        <v/>
      </c>
      <c r="AL416" s="168" t="str">
        <f t="shared" si="128"/>
        <v/>
      </c>
      <c r="AM416" s="168" t="str">
        <f t="shared" si="129"/>
        <v/>
      </c>
      <c r="AN416" s="167" t="str">
        <f t="shared" si="112"/>
        <v/>
      </c>
      <c r="AO416" s="167" t="str">
        <f t="shared" si="113"/>
        <v/>
      </c>
      <c r="AP416" s="167" t="str">
        <f t="shared" si="114"/>
        <v/>
      </c>
      <c r="AQ416" s="169" t="str">
        <f t="shared" si="115"/>
        <v/>
      </c>
      <c r="AR416" s="170" t="str">
        <f t="shared" si="116"/>
        <v>BiK81Gby----04</v>
      </c>
      <c r="AS416" s="169" t="str">
        <f t="shared" si="117"/>
        <v/>
      </c>
      <c r="AT416">
        <f t="shared" si="118"/>
        <v>14</v>
      </c>
      <c r="AU416" s="170" t="str">
        <f t="shared" si="119"/>
        <v>0-0,15 MW, Bonusregeln G, y, b</v>
      </c>
      <c r="AV416" s="169" t="str">
        <f t="shared" si="120"/>
        <v/>
      </c>
      <c r="AW416" s="170" t="str">
        <f t="shared" si="121"/>
        <v>Anteil Nicht-KWK</v>
      </c>
      <c r="AX416" s="169" t="str">
        <f t="shared" si="122"/>
        <v/>
      </c>
      <c r="AY416" t="str">
        <f t="shared" si="123"/>
        <v/>
      </c>
      <c r="AZ416" t="str">
        <f t="shared" si="124"/>
        <v/>
      </c>
    </row>
    <row r="417" spans="1:52" x14ac:dyDescent="0.35">
      <c r="A417" s="497" t="s">
        <v>4790</v>
      </c>
      <c r="B417" s="13" t="s">
        <v>5547</v>
      </c>
      <c r="C417" s="13" t="s">
        <v>4808</v>
      </c>
      <c r="D417" s="13" t="s">
        <v>6938</v>
      </c>
      <c r="E417" s="13" t="s">
        <v>4811</v>
      </c>
      <c r="F417" s="373">
        <f t="shared" si="131"/>
        <v>23.67</v>
      </c>
      <c r="G417" s="430">
        <v>23.67</v>
      </c>
      <c r="H417" s="399">
        <f t="shared" si="132"/>
        <v>18.940000000000001</v>
      </c>
      <c r="I417" s="576"/>
      <c r="J417" s="549" t="s">
        <v>5804</v>
      </c>
      <c r="K417" s="11"/>
      <c r="M417" s="37">
        <f t="shared" si="133"/>
        <v>23.67</v>
      </c>
      <c r="N417" s="29">
        <v>11.67</v>
      </c>
      <c r="O417" s="149" t="s">
        <v>1017</v>
      </c>
      <c r="P417" s="144"/>
      <c r="Q417" s="145"/>
      <c r="R417" s="145"/>
      <c r="S417" s="145" t="s">
        <v>4179</v>
      </c>
      <c r="T417" t="s">
        <v>4179</v>
      </c>
      <c r="U417" s="146" t="s">
        <v>1017</v>
      </c>
      <c r="V417" s="145"/>
      <c r="W417" s="147"/>
      <c r="X417" s="147"/>
      <c r="Y417" s="145" t="s">
        <v>1017</v>
      </c>
      <c r="Z417" s="145"/>
      <c r="AA417" s="147"/>
      <c r="AB417" s="145"/>
      <c r="AC417" s="145"/>
      <c r="AD417" s="147"/>
      <c r="AE417" s="148" t="s">
        <v>1017</v>
      </c>
      <c r="AF417" s="147"/>
      <c r="AG417" s="147"/>
      <c r="AH417" s="166" t="str">
        <f t="shared" si="141"/>
        <v/>
      </c>
      <c r="AI417" s="168" t="str">
        <f t="shared" si="125"/>
        <v/>
      </c>
      <c r="AJ417" s="168" t="str">
        <f t="shared" si="126"/>
        <v/>
      </c>
      <c r="AK417" s="168" t="str">
        <f t="shared" si="127"/>
        <v/>
      </c>
      <c r="AL417" s="168" t="str">
        <f t="shared" si="128"/>
        <v/>
      </c>
      <c r="AM417" s="168" t="str">
        <f t="shared" si="129"/>
        <v/>
      </c>
      <c r="AN417" s="167" t="str">
        <f t="shared" si="112"/>
        <v/>
      </c>
      <c r="AO417" s="167" t="str">
        <f t="shared" si="113"/>
        <v/>
      </c>
      <c r="AP417" s="167" t="str">
        <f t="shared" si="114"/>
        <v/>
      </c>
      <c r="AQ417" s="169" t="str">
        <f t="shared" si="115"/>
        <v/>
      </c>
      <c r="AR417" s="170" t="str">
        <f t="shared" si="116"/>
        <v>BiK81GbKWKy-04</v>
      </c>
      <c r="AS417" s="169" t="str">
        <f t="shared" si="117"/>
        <v/>
      </c>
      <c r="AT417">
        <f t="shared" si="118"/>
        <v>14</v>
      </c>
      <c r="AU417" s="170" t="str">
        <f t="shared" si="119"/>
        <v>0-0,15 MW, Bonusregeln G, y, b und KWK</v>
      </c>
      <c r="AV417" s="169" t="str">
        <f t="shared" si="120"/>
        <v/>
      </c>
      <c r="AW417" s="170" t="str">
        <f t="shared" si="121"/>
        <v>Anteil KWK</v>
      </c>
      <c r="AX417" s="169" t="str">
        <f t="shared" si="122"/>
        <v/>
      </c>
      <c r="AY417" t="str">
        <f t="shared" si="123"/>
        <v/>
      </c>
      <c r="AZ417" t="str">
        <f t="shared" si="124"/>
        <v/>
      </c>
    </row>
    <row r="418" spans="1:52" x14ac:dyDescent="0.35">
      <c r="A418" s="497" t="s">
        <v>4863</v>
      </c>
      <c r="B418" s="13" t="s">
        <v>5547</v>
      </c>
      <c r="C418" s="13" t="s">
        <v>4808</v>
      </c>
      <c r="D418" s="88" t="s">
        <v>6939</v>
      </c>
      <c r="E418" s="13" t="s">
        <v>4330</v>
      </c>
      <c r="F418" s="373">
        <f t="shared" si="131"/>
        <v>24.67</v>
      </c>
      <c r="G418" s="430">
        <v>24.67</v>
      </c>
      <c r="H418" s="399">
        <f t="shared" si="132"/>
        <v>19.739999999999998</v>
      </c>
      <c r="I418" s="576"/>
      <c r="J418" s="549" t="s">
        <v>5804</v>
      </c>
      <c r="K418" s="11"/>
      <c r="M418" s="37">
        <f t="shared" si="133"/>
        <v>24.67</v>
      </c>
      <c r="N418" s="29">
        <v>11.67</v>
      </c>
      <c r="O418" s="149"/>
      <c r="P418" s="145" t="s">
        <v>1017</v>
      </c>
      <c r="Q418" s="145"/>
      <c r="R418" s="145"/>
      <c r="S418" s="145" t="s">
        <v>4179</v>
      </c>
      <c r="T418" t="s">
        <v>4179</v>
      </c>
      <c r="U418" s="146" t="s">
        <v>1017</v>
      </c>
      <c r="V418" s="145"/>
      <c r="W418" s="147"/>
      <c r="X418" s="147"/>
      <c r="Y418" s="145" t="s">
        <v>1017</v>
      </c>
      <c r="Z418" s="145"/>
      <c r="AA418" s="147"/>
      <c r="AB418" s="145"/>
      <c r="AC418" s="145"/>
      <c r="AD418" s="147"/>
      <c r="AE418" s="148" t="s">
        <v>1017</v>
      </c>
      <c r="AF418" s="147"/>
      <c r="AG418" s="147"/>
      <c r="AH418" s="166" t="str">
        <f t="shared" si="141"/>
        <v/>
      </c>
      <c r="AI418" s="168" t="str">
        <f t="shared" si="125"/>
        <v/>
      </c>
      <c r="AJ418" s="168" t="str">
        <f t="shared" si="126"/>
        <v/>
      </c>
      <c r="AK418" s="168" t="str">
        <f t="shared" si="127"/>
        <v/>
      </c>
      <c r="AL418" s="168" t="str">
        <f t="shared" si="128"/>
        <v/>
      </c>
      <c r="AM418" s="168" t="str">
        <f t="shared" si="129"/>
        <v/>
      </c>
      <c r="AN418" s="167" t="str">
        <f t="shared" si="112"/>
        <v/>
      </c>
      <c r="AO418" s="167" t="str">
        <f t="shared" si="113"/>
        <v/>
      </c>
      <c r="AP418" s="167" t="str">
        <f t="shared" si="114"/>
        <v/>
      </c>
      <c r="AQ418" s="169" t="str">
        <f t="shared" si="115"/>
        <v/>
      </c>
      <c r="AR418" s="170" t="str">
        <f t="shared" si="116"/>
        <v>BiK81GbKA3y-04</v>
      </c>
      <c r="AS418" s="169" t="str">
        <f t="shared" si="117"/>
        <v/>
      </c>
      <c r="AT418">
        <f t="shared" si="118"/>
        <v>14</v>
      </c>
      <c r="AU418" s="170" t="str">
        <f t="shared" si="119"/>
        <v>0-0,15 MW, Bonusregeln G, y, b und K wenn Anlage 3 erfüllt</v>
      </c>
      <c r="AV418" s="169" t="str">
        <f t="shared" si="120"/>
        <v/>
      </c>
      <c r="AW418" s="170" t="str">
        <f t="shared" si="121"/>
        <v>Anteil KWK gemäß Anlage 3</v>
      </c>
      <c r="AX418" s="169" t="str">
        <f t="shared" si="122"/>
        <v/>
      </c>
      <c r="AY418" t="str">
        <f t="shared" si="123"/>
        <v/>
      </c>
      <c r="AZ418" t="str">
        <f t="shared" si="124"/>
        <v/>
      </c>
    </row>
    <row r="419" spans="1:52" x14ac:dyDescent="0.35">
      <c r="A419" s="497" t="s">
        <v>4864</v>
      </c>
      <c r="B419" s="13" t="s">
        <v>5547</v>
      </c>
      <c r="C419" s="13" t="s">
        <v>4808</v>
      </c>
      <c r="D419" s="13" t="s">
        <v>6940</v>
      </c>
      <c r="E419" s="13" t="s">
        <v>674</v>
      </c>
      <c r="F419" s="373">
        <f t="shared" si="131"/>
        <v>24.67</v>
      </c>
      <c r="G419" s="430">
        <v>24.67</v>
      </c>
      <c r="H419" s="399">
        <f t="shared" si="132"/>
        <v>19.739999999999998</v>
      </c>
      <c r="I419" s="576"/>
      <c r="J419" s="549" t="s">
        <v>5804</v>
      </c>
      <c r="K419" s="11"/>
      <c r="M419" s="37">
        <f t="shared" si="133"/>
        <v>24.67</v>
      </c>
      <c r="N419" s="29">
        <v>11.67</v>
      </c>
      <c r="O419" s="149"/>
      <c r="P419" s="144"/>
      <c r="Q419" s="145" t="s">
        <v>1017</v>
      </c>
      <c r="R419" s="145"/>
      <c r="S419" s="145" t="s">
        <v>4179</v>
      </c>
      <c r="T419" t="s">
        <v>4179</v>
      </c>
      <c r="U419" s="146" t="s">
        <v>1017</v>
      </c>
      <c r="V419" s="145"/>
      <c r="W419" s="147"/>
      <c r="X419" s="147"/>
      <c r="Y419" s="145" t="s">
        <v>1017</v>
      </c>
      <c r="Z419" s="145"/>
      <c r="AA419" s="147"/>
      <c r="AB419" s="145"/>
      <c r="AC419" s="145"/>
      <c r="AD419" s="147"/>
      <c r="AE419" s="148" t="s">
        <v>1017</v>
      </c>
      <c r="AF419" s="147"/>
      <c r="AG419" s="147"/>
      <c r="AH419" s="166" t="str">
        <f t="shared" si="141"/>
        <v/>
      </c>
      <c r="AI419" s="168" t="str">
        <f t="shared" si="125"/>
        <v/>
      </c>
      <c r="AJ419" s="168" t="str">
        <f t="shared" si="126"/>
        <v/>
      </c>
      <c r="AK419" s="168" t="str">
        <f t="shared" si="127"/>
        <v/>
      </c>
      <c r="AL419" s="168" t="str">
        <f t="shared" si="128"/>
        <v/>
      </c>
      <c r="AM419" s="168" t="str">
        <f t="shared" si="129"/>
        <v/>
      </c>
      <c r="AN419" s="167" t="str">
        <f t="shared" si="112"/>
        <v/>
      </c>
      <c r="AO419" s="167" t="str">
        <f t="shared" si="113"/>
        <v/>
      </c>
      <c r="AP419" s="167" t="str">
        <f t="shared" si="114"/>
        <v/>
      </c>
      <c r="AQ419" s="169" t="str">
        <f t="shared" si="115"/>
        <v/>
      </c>
      <c r="AR419" s="170" t="str">
        <f t="shared" si="116"/>
        <v>BiK81GbK09y-04</v>
      </c>
      <c r="AS419" s="169" t="str">
        <f t="shared" si="117"/>
        <v/>
      </c>
      <c r="AT419">
        <f t="shared" si="118"/>
        <v>14</v>
      </c>
      <c r="AU419" s="170" t="str">
        <f t="shared" si="119"/>
        <v>0-0,15 MW, Bonusregeln G, y, b und K erstmals 2009</v>
      </c>
      <c r="AV419" s="169" t="str">
        <f t="shared" si="120"/>
        <v/>
      </c>
      <c r="AW419" s="170" t="str">
        <f t="shared" si="121"/>
        <v>Anteil KWK, erstmals 2009</v>
      </c>
      <c r="AX419" s="169" t="str">
        <f t="shared" si="122"/>
        <v/>
      </c>
      <c r="AY419" t="str">
        <f t="shared" si="123"/>
        <v/>
      </c>
      <c r="AZ419" t="str">
        <f t="shared" si="124"/>
        <v/>
      </c>
    </row>
    <row r="420" spans="1:52" x14ac:dyDescent="0.35">
      <c r="A420" s="497" t="s">
        <v>1645</v>
      </c>
      <c r="B420" s="13" t="s">
        <v>5547</v>
      </c>
      <c r="C420" s="13" t="s">
        <v>4808</v>
      </c>
      <c r="D420" s="13" t="s">
        <v>6941</v>
      </c>
      <c r="E420" s="13" t="s">
        <v>3566</v>
      </c>
      <c r="F420" s="373">
        <f t="shared" si="131"/>
        <v>24.64</v>
      </c>
      <c r="G420" s="430">
        <v>24.64</v>
      </c>
      <c r="H420" s="399">
        <f t="shared" si="132"/>
        <v>19.71</v>
      </c>
      <c r="I420" s="576"/>
      <c r="J420" s="549" t="s">
        <v>5804</v>
      </c>
      <c r="K420" s="11"/>
      <c r="M420" s="37">
        <f t="shared" si="133"/>
        <v>24.64</v>
      </c>
      <c r="N420" s="29">
        <v>11.67</v>
      </c>
      <c r="O420" s="149"/>
      <c r="P420" s="144"/>
      <c r="Q420" s="145"/>
      <c r="R420" s="145" t="s">
        <v>1017</v>
      </c>
      <c r="S420" s="145" t="s">
        <v>4179</v>
      </c>
      <c r="T420" t="s">
        <v>4179</v>
      </c>
      <c r="U420" s="146" t="s">
        <v>1017</v>
      </c>
      <c r="V420" s="145"/>
      <c r="W420" s="147"/>
      <c r="X420" s="147"/>
      <c r="Y420" s="145" t="s">
        <v>1017</v>
      </c>
      <c r="Z420" s="145"/>
      <c r="AA420" s="147"/>
      <c r="AB420" s="145"/>
      <c r="AC420" s="145"/>
      <c r="AD420" s="147"/>
      <c r="AE420" s="148" t="s">
        <v>1017</v>
      </c>
      <c r="AF420" s="147"/>
      <c r="AG420" s="147"/>
      <c r="AH420" s="166" t="str">
        <f t="shared" si="141"/>
        <v>2010</v>
      </c>
      <c r="AI420" s="168" t="str">
        <f t="shared" si="125"/>
        <v/>
      </c>
      <c r="AJ420" s="168" t="str">
        <f t="shared" si="126"/>
        <v/>
      </c>
      <c r="AK420" s="168" t="str">
        <f t="shared" si="127"/>
        <v/>
      </c>
      <c r="AL420" s="168" t="str">
        <f t="shared" si="128"/>
        <v/>
      </c>
      <c r="AM420" s="168" t="str">
        <f t="shared" si="129"/>
        <v/>
      </c>
      <c r="AN420" s="167" t="str">
        <f t="shared" ref="AN420:AN483" si="142">IF(ISERROR(SEARCH("K1",A420)),"","20"&amp;MID(A420,SEARCH("K1",A420)+1,2))</f>
        <v>2010</v>
      </c>
      <c r="AO420" s="167" t="str">
        <f t="shared" ref="AO420:AO483" si="143">IF(ISERROR(SEARCH("erstmals 201",E420)),"",MID(E420,SEARCH("erstmals ",E420)+9,4))</f>
        <v>2010</v>
      </c>
      <c r="AP420" s="167" t="str">
        <f t="shared" ref="AP420:AP483" si="144">IF(R420="x","2010",IF(S420="x","2011",IF(T420="x","2012","")))</f>
        <v>2010</v>
      </c>
      <c r="AQ420" s="169" t="str">
        <f t="shared" ref="AQ420:AQ483" si="145">IF(OR(AH420&lt;&gt;AN420,AH420&lt;&gt;AO420,AH420&lt;&gt;AP420),"DIFF","")</f>
        <v/>
      </c>
      <c r="AR420" s="170" t="str">
        <f t="shared" ref="AR420:AR483" si="146">IF(A420="","",IF(ISERROR(SEARCH("K1",A420)),A420,LEFT(A420,SEARCH("K1",A420)+1)&amp;RIGHT(AH420,1)&amp;MID(A420,SEARCH("K1",A420)+3,14)))</f>
        <v>BiK81GbK10y-04</v>
      </c>
      <c r="AS420" s="169" t="str">
        <f t="shared" ref="AS420:AS483" si="147">IF(OR(A420&lt;&gt;AR420),"DIFF","")</f>
        <v/>
      </c>
      <c r="AT420">
        <f t="shared" ref="AT420:AT483" si="148">LEN(AR420)</f>
        <v>14</v>
      </c>
      <c r="AU420" s="170" t="str">
        <f t="shared" ref="AU420:AU483" si="149">IF(D420="","",IF(OR(A420="",ISERROR(SEARCH("erstmals 201",D420))),D420,LEFT(D420,SEARCH("erstmals 201",D420)+8) &amp; AH420 &amp; MID(D420,SEARCH("erstmals 201",D420)+13,255)))</f>
        <v>0-0,15 MW, Bonusregeln G, y, b und K erstmals 2010</v>
      </c>
      <c r="AV420" s="169" t="str">
        <f t="shared" ref="AV420:AV483" si="150">IF(OR(D420&lt;&gt;AU420),"DIFF","")</f>
        <v/>
      </c>
      <c r="AW420" s="170" t="str">
        <f t="shared" ref="AW420:AW483" si="151">IF(E420="","",IF(OR(E420="",ISERROR(SEARCH("erstmals 201",E420))),E420,LEFT(E420,SEARCH("erstmals 201",E420)+8) &amp; AH420 &amp; MID(E420,SEARCH("erstmals 201",E420)+13,255)))</f>
        <v>Anteil KWK, erstmals 2010</v>
      </c>
      <c r="AX420" s="169" t="str">
        <f t="shared" ref="AX420:AX483" si="152">IF(OR(E420&lt;&gt;AW420),"DIFF","")</f>
        <v/>
      </c>
      <c r="AY420" t="str">
        <f t="shared" ref="AY420:AY483" si="153">IF(AH420="2011","x",IF(AH420="2012","","" &amp; S420))</f>
        <v/>
      </c>
      <c r="AZ420" t="str">
        <f t="shared" ref="AZ420:AZ483" si="154">IF(AH420="2012","x",IF(AH420="2011","","" &amp; T420))</f>
        <v/>
      </c>
    </row>
    <row r="421" spans="1:52" x14ac:dyDescent="0.35">
      <c r="A421" s="497" t="s">
        <v>5259</v>
      </c>
      <c r="B421" s="13" t="s">
        <v>5547</v>
      </c>
      <c r="C421" s="13" t="s">
        <v>4808</v>
      </c>
      <c r="D421" s="13" t="s">
        <v>6942</v>
      </c>
      <c r="E421" s="13" t="s">
        <v>3054</v>
      </c>
      <c r="F421" s="373">
        <f t="shared" si="131"/>
        <v>24.61</v>
      </c>
      <c r="G421" s="430">
        <v>24.61</v>
      </c>
      <c r="H421" s="399">
        <f t="shared" si="132"/>
        <v>19.690000000000001</v>
      </c>
      <c r="I421" s="576"/>
      <c r="J421" s="549" t="s">
        <v>5804</v>
      </c>
      <c r="K421" s="11"/>
      <c r="M421" s="37">
        <f t="shared" si="133"/>
        <v>24.61</v>
      </c>
      <c r="N421" s="29">
        <v>11.67</v>
      </c>
      <c r="O421" s="149"/>
      <c r="P421" s="144"/>
      <c r="Q421" s="145"/>
      <c r="R421" s="145"/>
      <c r="S421" s="145" t="s">
        <v>1017</v>
      </c>
      <c r="T421" t="s">
        <v>4179</v>
      </c>
      <c r="U421" s="146" t="s">
        <v>1017</v>
      </c>
      <c r="V421" s="145"/>
      <c r="W421" s="147"/>
      <c r="X421" s="147"/>
      <c r="Y421" s="145" t="s">
        <v>1017</v>
      </c>
      <c r="Z421" s="145"/>
      <c r="AA421" s="147"/>
      <c r="AB421" s="145"/>
      <c r="AC421" s="145"/>
      <c r="AD421" s="147"/>
      <c r="AE421" s="148" t="s">
        <v>1017</v>
      </c>
      <c r="AF421" s="147"/>
      <c r="AG421" s="147"/>
      <c r="AH421" s="166" t="str">
        <f t="shared" si="141"/>
        <v>2011</v>
      </c>
      <c r="AI421" s="168" t="str">
        <f t="shared" ref="AI421:AI484" si="155">IF(AND($AH421&lt;&gt;"",AH421 =AH420),"Gleich","")</f>
        <v/>
      </c>
      <c r="AJ421" s="168" t="str">
        <f t="shared" ref="AJ421:AJ484" si="156">IF(AND($AH421&lt;&gt;"",A421 =A420),"Gleich","")</f>
        <v/>
      </c>
      <c r="AK421" s="168" t="str">
        <f t="shared" ref="AK421:AK484" si="157">IF(AND($AH421&lt;&gt;"",D421 =D420),"Gleich","")</f>
        <v/>
      </c>
      <c r="AL421" s="168" t="str">
        <f t="shared" ref="AL421:AL484" si="158">IF(AND($AH421&lt;&gt;"",E421 =E420),"Gleich","")</f>
        <v/>
      </c>
      <c r="AM421" s="168" t="str">
        <f t="shared" ref="AM421:AM484" si="159">IF(AND($AH421&lt;&gt;"",F421 =F420),"Gleich","")</f>
        <v/>
      </c>
      <c r="AN421" s="167" t="str">
        <f t="shared" si="142"/>
        <v>2011</v>
      </c>
      <c r="AO421" s="167" t="str">
        <f t="shared" si="143"/>
        <v>2011</v>
      </c>
      <c r="AP421" s="167" t="str">
        <f t="shared" si="144"/>
        <v>2011</v>
      </c>
      <c r="AQ421" s="169" t="str">
        <f t="shared" si="145"/>
        <v/>
      </c>
      <c r="AR421" s="170" t="str">
        <f t="shared" si="146"/>
        <v>BiK81GbK11y-04</v>
      </c>
      <c r="AS421" s="169" t="str">
        <f t="shared" si="147"/>
        <v/>
      </c>
      <c r="AT421">
        <f t="shared" si="148"/>
        <v>14</v>
      </c>
      <c r="AU421" s="170" t="str">
        <f t="shared" si="149"/>
        <v>0-0,15 MW, Bonusregeln G, y, b und K erstmals 2011</v>
      </c>
      <c r="AV421" s="169" t="str">
        <f t="shared" si="150"/>
        <v/>
      </c>
      <c r="AW421" s="170" t="str">
        <f t="shared" si="151"/>
        <v>Anteil KWK, erstmals 2011</v>
      </c>
      <c r="AX421" s="169" t="str">
        <f t="shared" si="152"/>
        <v/>
      </c>
      <c r="AY421" t="str">
        <f t="shared" si="153"/>
        <v>x</v>
      </c>
      <c r="AZ421" t="str">
        <f t="shared" si="154"/>
        <v/>
      </c>
    </row>
    <row r="422" spans="1:52" x14ac:dyDescent="0.35">
      <c r="A422" s="511" t="s">
        <v>1510</v>
      </c>
      <c r="B422" s="173" t="s">
        <v>5547</v>
      </c>
      <c r="C422" s="173" t="s">
        <v>4808</v>
      </c>
      <c r="D422" s="173" t="s">
        <v>6943</v>
      </c>
      <c r="E422" s="173" t="s">
        <v>1980</v>
      </c>
      <c r="F422" s="374">
        <f t="shared" si="131"/>
        <v>24.58</v>
      </c>
      <c r="G422" s="431">
        <v>24.58</v>
      </c>
      <c r="H422" s="400">
        <f t="shared" si="132"/>
        <v>19.66</v>
      </c>
      <c r="I422" s="577"/>
      <c r="J422" s="549" t="s">
        <v>5804</v>
      </c>
      <c r="K422" s="11"/>
      <c r="M422" s="37">
        <f t="shared" si="133"/>
        <v>24.58</v>
      </c>
      <c r="N422" s="29">
        <v>11.67</v>
      </c>
      <c r="O422" s="149"/>
      <c r="P422" s="144"/>
      <c r="Q422" s="145"/>
      <c r="R422" s="145"/>
      <c r="S422" s="145" t="s">
        <v>4179</v>
      </c>
      <c r="T422" t="s">
        <v>1017</v>
      </c>
      <c r="U422" s="146" t="s">
        <v>1017</v>
      </c>
      <c r="V422" s="145"/>
      <c r="W422" s="147"/>
      <c r="X422" s="147"/>
      <c r="Y422" s="145" t="s">
        <v>1017</v>
      </c>
      <c r="Z422" s="145"/>
      <c r="AA422" s="147"/>
      <c r="AB422" s="145"/>
      <c r="AC422" s="145"/>
      <c r="AD422" s="147"/>
      <c r="AE422" s="148" t="s">
        <v>1017</v>
      </c>
      <c r="AF422" s="147"/>
      <c r="AG422" s="147"/>
      <c r="AH422" s="171" t="s">
        <v>4178</v>
      </c>
      <c r="AI422" s="168" t="str">
        <f t="shared" si="155"/>
        <v/>
      </c>
      <c r="AJ422" s="168" t="str">
        <f t="shared" si="156"/>
        <v/>
      </c>
      <c r="AK422" s="168" t="str">
        <f t="shared" si="157"/>
        <v/>
      </c>
      <c r="AL422" s="168" t="str">
        <f t="shared" si="158"/>
        <v/>
      </c>
      <c r="AM422" s="168" t="str">
        <f t="shared" si="159"/>
        <v/>
      </c>
      <c r="AN422" s="167" t="str">
        <f t="shared" si="142"/>
        <v>2012</v>
      </c>
      <c r="AO422" s="167" t="str">
        <f t="shared" si="143"/>
        <v>2012</v>
      </c>
      <c r="AP422" s="167" t="str">
        <f t="shared" si="144"/>
        <v>2012</v>
      </c>
      <c r="AQ422" s="169" t="str">
        <f t="shared" si="145"/>
        <v/>
      </c>
      <c r="AR422" s="170" t="str">
        <f t="shared" si="146"/>
        <v>BiK81GbK12y-04</v>
      </c>
      <c r="AS422" s="169" t="str">
        <f t="shared" si="147"/>
        <v/>
      </c>
      <c r="AT422">
        <f t="shared" si="148"/>
        <v>14</v>
      </c>
      <c r="AU422" s="170" t="str">
        <f t="shared" si="149"/>
        <v>0-0,15 MW, Bonusregeln G, y, b und K erstmals 2012</v>
      </c>
      <c r="AV422" s="169" t="str">
        <f t="shared" si="150"/>
        <v/>
      </c>
      <c r="AW422" s="170" t="str">
        <f t="shared" si="151"/>
        <v>Anteil KWK, erstmals 2012</v>
      </c>
      <c r="AX422" s="169" t="str">
        <f t="shared" si="152"/>
        <v/>
      </c>
      <c r="AY422" t="str">
        <f t="shared" si="153"/>
        <v/>
      </c>
      <c r="AZ422" t="str">
        <f t="shared" si="154"/>
        <v>x</v>
      </c>
    </row>
    <row r="423" spans="1:52" x14ac:dyDescent="0.35">
      <c r="A423" s="497" t="s">
        <v>4865</v>
      </c>
      <c r="B423" s="13" t="s">
        <v>5547</v>
      </c>
      <c r="C423" s="13" t="s">
        <v>4808</v>
      </c>
      <c r="D423" s="13" t="s">
        <v>6944</v>
      </c>
      <c r="E423" s="13" t="s">
        <v>4809</v>
      </c>
      <c r="F423" s="373">
        <f t="shared" si="131"/>
        <v>24.67</v>
      </c>
      <c r="G423" s="430">
        <v>24.67</v>
      </c>
      <c r="H423" s="399">
        <f t="shared" si="132"/>
        <v>19.739999999999998</v>
      </c>
      <c r="I423" s="576"/>
      <c r="J423" s="549" t="s">
        <v>5804</v>
      </c>
      <c r="K423" s="11"/>
      <c r="M423" s="37">
        <f t="shared" si="133"/>
        <v>24.67</v>
      </c>
      <c r="N423" s="29">
        <v>11.67</v>
      </c>
      <c r="O423" s="149"/>
      <c r="P423" s="144"/>
      <c r="Q423" s="145"/>
      <c r="R423" s="145"/>
      <c r="S423" s="145" t="s">
        <v>4179</v>
      </c>
      <c r="T423" t="s">
        <v>4179</v>
      </c>
      <c r="U423" s="146"/>
      <c r="V423" s="145"/>
      <c r="W423" s="147"/>
      <c r="X423" s="147"/>
      <c r="Y423" s="145"/>
      <c r="Z423" s="145" t="s">
        <v>1017</v>
      </c>
      <c r="AA423" s="147"/>
      <c r="AB423" s="145"/>
      <c r="AC423" s="145"/>
      <c r="AD423" s="147"/>
      <c r="AE423" s="148" t="s">
        <v>1017</v>
      </c>
      <c r="AF423" s="147"/>
      <c r="AG423" s="147"/>
      <c r="AH423" s="166" t="str">
        <f t="shared" ref="AH423:AH428" si="160">IF(ISERROR(SEARCH("K erstmals 201",D423)),"",RIGHT(D423,4))</f>
        <v/>
      </c>
      <c r="AI423" s="168" t="str">
        <f t="shared" si="155"/>
        <v/>
      </c>
      <c r="AJ423" s="168" t="str">
        <f t="shared" si="156"/>
        <v/>
      </c>
      <c r="AK423" s="168" t="str">
        <f t="shared" si="157"/>
        <v/>
      </c>
      <c r="AL423" s="168" t="str">
        <f t="shared" si="158"/>
        <v/>
      </c>
      <c r="AM423" s="168" t="str">
        <f t="shared" si="159"/>
        <v/>
      </c>
      <c r="AN423" s="167" t="str">
        <f t="shared" si="142"/>
        <v/>
      </c>
      <c r="AO423" s="167" t="str">
        <f t="shared" si="143"/>
        <v/>
      </c>
      <c r="AP423" s="167" t="str">
        <f t="shared" si="144"/>
        <v/>
      </c>
      <c r="AQ423" s="169" t="str">
        <f t="shared" si="145"/>
        <v/>
      </c>
      <c r="AR423" s="170" t="str">
        <f t="shared" si="146"/>
        <v>BiK81M1b----04</v>
      </c>
      <c r="AS423" s="169" t="str">
        <f t="shared" si="147"/>
        <v/>
      </c>
      <c r="AT423">
        <f t="shared" si="148"/>
        <v>14</v>
      </c>
      <c r="AU423" s="170" t="str">
        <f t="shared" si="149"/>
        <v>0-0,15 MW, Bonusregeln M1, b</v>
      </c>
      <c r="AV423" s="169" t="str">
        <f t="shared" si="150"/>
        <v/>
      </c>
      <c r="AW423" s="170" t="str">
        <f t="shared" si="151"/>
        <v>Anteil Nicht-KWK</v>
      </c>
      <c r="AX423" s="169" t="str">
        <f t="shared" si="152"/>
        <v/>
      </c>
      <c r="AY423" t="str">
        <f t="shared" si="153"/>
        <v/>
      </c>
      <c r="AZ423" t="str">
        <f t="shared" si="154"/>
        <v/>
      </c>
    </row>
    <row r="424" spans="1:52" x14ac:dyDescent="0.35">
      <c r="A424" s="497" t="s">
        <v>4866</v>
      </c>
      <c r="B424" s="13" t="s">
        <v>5547</v>
      </c>
      <c r="C424" s="13" t="s">
        <v>4808</v>
      </c>
      <c r="D424" s="13" t="s">
        <v>6945</v>
      </c>
      <c r="E424" s="13" t="s">
        <v>4811</v>
      </c>
      <c r="F424" s="373">
        <f t="shared" si="131"/>
        <v>26.67</v>
      </c>
      <c r="G424" s="430">
        <v>26.67</v>
      </c>
      <c r="H424" s="399">
        <f t="shared" si="132"/>
        <v>21.34</v>
      </c>
      <c r="I424" s="576"/>
      <c r="J424" s="549" t="s">
        <v>5804</v>
      </c>
      <c r="K424" s="11"/>
      <c r="M424" s="37">
        <f t="shared" si="133"/>
        <v>26.67</v>
      </c>
      <c r="N424" s="29">
        <v>11.67</v>
      </c>
      <c r="O424" s="149" t="s">
        <v>1017</v>
      </c>
      <c r="P424" s="144"/>
      <c r="Q424" s="145"/>
      <c r="R424" s="145"/>
      <c r="S424" s="145" t="s">
        <v>4179</v>
      </c>
      <c r="T424" t="s">
        <v>4179</v>
      </c>
      <c r="U424" s="146"/>
      <c r="V424" s="145"/>
      <c r="W424" s="147"/>
      <c r="X424" s="147"/>
      <c r="Y424" s="145"/>
      <c r="Z424" s="145" t="s">
        <v>1017</v>
      </c>
      <c r="AA424" s="147"/>
      <c r="AB424" s="145"/>
      <c r="AC424" s="145"/>
      <c r="AD424" s="147"/>
      <c r="AE424" s="148" t="s">
        <v>1017</v>
      </c>
      <c r="AF424" s="147"/>
      <c r="AG424" s="147"/>
      <c r="AH424" s="166" t="str">
        <f t="shared" si="160"/>
        <v/>
      </c>
      <c r="AI424" s="168" t="str">
        <f t="shared" si="155"/>
        <v/>
      </c>
      <c r="AJ424" s="168" t="str">
        <f t="shared" si="156"/>
        <v/>
      </c>
      <c r="AK424" s="168" t="str">
        <f t="shared" si="157"/>
        <v/>
      </c>
      <c r="AL424" s="168" t="str">
        <f t="shared" si="158"/>
        <v/>
      </c>
      <c r="AM424" s="168" t="str">
        <f t="shared" si="159"/>
        <v/>
      </c>
      <c r="AN424" s="167" t="str">
        <f t="shared" si="142"/>
        <v/>
      </c>
      <c r="AO424" s="167" t="str">
        <f t="shared" si="143"/>
        <v/>
      </c>
      <c r="AP424" s="167" t="str">
        <f t="shared" si="144"/>
        <v/>
      </c>
      <c r="AQ424" s="169" t="str">
        <f t="shared" si="145"/>
        <v/>
      </c>
      <c r="AR424" s="170" t="str">
        <f t="shared" si="146"/>
        <v>BiK81M1bKWK-04</v>
      </c>
      <c r="AS424" s="169" t="str">
        <f t="shared" si="147"/>
        <v/>
      </c>
      <c r="AT424">
        <f t="shared" si="148"/>
        <v>14</v>
      </c>
      <c r="AU424" s="170" t="str">
        <f t="shared" si="149"/>
        <v>0-0,15 MW, Bonusregeln M1, b und KWK</v>
      </c>
      <c r="AV424" s="169" t="str">
        <f t="shared" si="150"/>
        <v/>
      </c>
      <c r="AW424" s="170" t="str">
        <f t="shared" si="151"/>
        <v>Anteil KWK</v>
      </c>
      <c r="AX424" s="169" t="str">
        <f t="shared" si="152"/>
        <v/>
      </c>
      <c r="AY424" t="str">
        <f t="shared" si="153"/>
        <v/>
      </c>
      <c r="AZ424" t="str">
        <f t="shared" si="154"/>
        <v/>
      </c>
    </row>
    <row r="425" spans="1:52" x14ac:dyDescent="0.35">
      <c r="A425" s="497" t="s">
        <v>4867</v>
      </c>
      <c r="B425" s="13" t="s">
        <v>5547</v>
      </c>
      <c r="C425" s="13" t="s">
        <v>4808</v>
      </c>
      <c r="D425" s="13" t="s">
        <v>6946</v>
      </c>
      <c r="E425" s="13" t="s">
        <v>4330</v>
      </c>
      <c r="F425" s="373">
        <f t="shared" ref="F425:F488" si="161">M425</f>
        <v>27.67</v>
      </c>
      <c r="G425" s="430">
        <v>27.67</v>
      </c>
      <c r="H425" s="399">
        <f t="shared" ref="H425:H488" si="162">IF(ISNUMBER(G425),ROUND(0.8*G425,2),"")</f>
        <v>22.14</v>
      </c>
      <c r="I425" s="576"/>
      <c r="J425" s="549" t="s">
        <v>5804</v>
      </c>
      <c r="K425" s="11"/>
      <c r="M425" s="37">
        <f t="shared" ref="M425:M488" si="163">N425+SUMIF(O425:AG425,"x",O$296:AG$296)</f>
        <v>27.67</v>
      </c>
      <c r="N425" s="29">
        <v>11.67</v>
      </c>
      <c r="O425" s="149"/>
      <c r="P425" s="145" t="s">
        <v>1017</v>
      </c>
      <c r="Q425" s="145"/>
      <c r="R425" s="145"/>
      <c r="S425" s="145" t="s">
        <v>4179</v>
      </c>
      <c r="T425" t="s">
        <v>4179</v>
      </c>
      <c r="U425" s="146"/>
      <c r="V425" s="145"/>
      <c r="W425" s="147"/>
      <c r="X425" s="147"/>
      <c r="Y425" s="145"/>
      <c r="Z425" s="145" t="s">
        <v>1017</v>
      </c>
      <c r="AA425" s="147"/>
      <c r="AB425" s="145"/>
      <c r="AC425" s="145"/>
      <c r="AD425" s="147"/>
      <c r="AE425" s="148" t="s">
        <v>1017</v>
      </c>
      <c r="AF425" s="147"/>
      <c r="AG425" s="147"/>
      <c r="AH425" s="166" t="str">
        <f t="shared" si="160"/>
        <v/>
      </c>
      <c r="AI425" s="168" t="str">
        <f t="shared" si="155"/>
        <v/>
      </c>
      <c r="AJ425" s="168" t="str">
        <f t="shared" si="156"/>
        <v/>
      </c>
      <c r="AK425" s="168" t="str">
        <f t="shared" si="157"/>
        <v/>
      </c>
      <c r="AL425" s="168" t="str">
        <f t="shared" si="158"/>
        <v/>
      </c>
      <c r="AM425" s="168" t="str">
        <f t="shared" si="159"/>
        <v/>
      </c>
      <c r="AN425" s="167" t="str">
        <f t="shared" si="142"/>
        <v/>
      </c>
      <c r="AO425" s="167" t="str">
        <f t="shared" si="143"/>
        <v/>
      </c>
      <c r="AP425" s="167" t="str">
        <f t="shared" si="144"/>
        <v/>
      </c>
      <c r="AQ425" s="169" t="str">
        <f t="shared" si="145"/>
        <v/>
      </c>
      <c r="AR425" s="170" t="str">
        <f t="shared" si="146"/>
        <v>BiK81M1bKA3-04</v>
      </c>
      <c r="AS425" s="169" t="str">
        <f t="shared" si="147"/>
        <v/>
      </c>
      <c r="AT425">
        <f t="shared" si="148"/>
        <v>14</v>
      </c>
      <c r="AU425" s="170" t="str">
        <f t="shared" si="149"/>
        <v>0-0,15 MW, Bonusregeln M1, b und K wenn Anlage 3 erfüllt</v>
      </c>
      <c r="AV425" s="169" t="str">
        <f t="shared" si="150"/>
        <v/>
      </c>
      <c r="AW425" s="170" t="str">
        <f t="shared" si="151"/>
        <v>Anteil KWK gemäß Anlage 3</v>
      </c>
      <c r="AX425" s="169" t="str">
        <f t="shared" si="152"/>
        <v/>
      </c>
      <c r="AY425" t="str">
        <f t="shared" si="153"/>
        <v/>
      </c>
      <c r="AZ425" t="str">
        <f t="shared" si="154"/>
        <v/>
      </c>
    </row>
    <row r="426" spans="1:52" x14ac:dyDescent="0.35">
      <c r="A426" s="497" t="s">
        <v>4868</v>
      </c>
      <c r="B426" s="13" t="s">
        <v>5547</v>
      </c>
      <c r="C426" s="13" t="s">
        <v>4808</v>
      </c>
      <c r="D426" s="13" t="s">
        <v>6947</v>
      </c>
      <c r="E426" s="13" t="s">
        <v>674</v>
      </c>
      <c r="F426" s="373">
        <f t="shared" si="161"/>
        <v>27.67</v>
      </c>
      <c r="G426" s="430">
        <v>27.67</v>
      </c>
      <c r="H426" s="399">
        <f t="shared" si="162"/>
        <v>22.14</v>
      </c>
      <c r="I426" s="576"/>
      <c r="J426" s="549" t="s">
        <v>5804</v>
      </c>
      <c r="K426" s="11"/>
      <c r="M426" s="37">
        <f t="shared" si="163"/>
        <v>27.67</v>
      </c>
      <c r="N426" s="29">
        <v>11.67</v>
      </c>
      <c r="O426" s="149"/>
      <c r="P426" s="144"/>
      <c r="Q426" s="145" t="s">
        <v>1017</v>
      </c>
      <c r="R426" s="145"/>
      <c r="S426" s="145" t="s">
        <v>4179</v>
      </c>
      <c r="T426" t="s">
        <v>4179</v>
      </c>
      <c r="U426" s="146"/>
      <c r="V426" s="145"/>
      <c r="W426" s="147"/>
      <c r="X426" s="147"/>
      <c r="Y426" s="145"/>
      <c r="Z426" s="145" t="s">
        <v>1017</v>
      </c>
      <c r="AA426" s="147"/>
      <c r="AB426" s="145"/>
      <c r="AC426" s="145"/>
      <c r="AD426" s="147"/>
      <c r="AE426" s="148" t="s">
        <v>1017</v>
      </c>
      <c r="AF426" s="147"/>
      <c r="AG426" s="147"/>
      <c r="AH426" s="166" t="str">
        <f t="shared" si="160"/>
        <v/>
      </c>
      <c r="AI426" s="168" t="str">
        <f t="shared" si="155"/>
        <v/>
      </c>
      <c r="AJ426" s="168" t="str">
        <f t="shared" si="156"/>
        <v/>
      </c>
      <c r="AK426" s="168" t="str">
        <f t="shared" si="157"/>
        <v/>
      </c>
      <c r="AL426" s="168" t="str">
        <f t="shared" si="158"/>
        <v/>
      </c>
      <c r="AM426" s="168" t="str">
        <f t="shared" si="159"/>
        <v/>
      </c>
      <c r="AN426" s="167" t="str">
        <f t="shared" si="142"/>
        <v/>
      </c>
      <c r="AO426" s="167" t="str">
        <f t="shared" si="143"/>
        <v/>
      </c>
      <c r="AP426" s="167" t="str">
        <f t="shared" si="144"/>
        <v/>
      </c>
      <c r="AQ426" s="169" t="str">
        <f t="shared" si="145"/>
        <v/>
      </c>
      <c r="AR426" s="170" t="str">
        <f t="shared" si="146"/>
        <v>BiK81M1bK09-04</v>
      </c>
      <c r="AS426" s="169" t="str">
        <f t="shared" si="147"/>
        <v/>
      </c>
      <c r="AT426">
        <f t="shared" si="148"/>
        <v>14</v>
      </c>
      <c r="AU426" s="170" t="str">
        <f t="shared" si="149"/>
        <v>0-0,15 MW, Bonusregeln M1, b und K erstmals 2009</v>
      </c>
      <c r="AV426" s="169" t="str">
        <f t="shared" si="150"/>
        <v/>
      </c>
      <c r="AW426" s="170" t="str">
        <f t="shared" si="151"/>
        <v>Anteil KWK, erstmals 2009</v>
      </c>
      <c r="AX426" s="169" t="str">
        <f t="shared" si="152"/>
        <v/>
      </c>
      <c r="AY426" t="str">
        <f t="shared" si="153"/>
        <v/>
      </c>
      <c r="AZ426" t="str">
        <f t="shared" si="154"/>
        <v/>
      </c>
    </row>
    <row r="427" spans="1:52" x14ac:dyDescent="0.35">
      <c r="A427" s="497" t="s">
        <v>1439</v>
      </c>
      <c r="B427" s="13" t="s">
        <v>5547</v>
      </c>
      <c r="C427" s="13" t="s">
        <v>4808</v>
      </c>
      <c r="D427" s="13" t="s">
        <v>6948</v>
      </c>
      <c r="E427" s="13" t="s">
        <v>3566</v>
      </c>
      <c r="F427" s="373">
        <f t="shared" si="161"/>
        <v>27.64</v>
      </c>
      <c r="G427" s="430">
        <v>27.64</v>
      </c>
      <c r="H427" s="399">
        <f t="shared" si="162"/>
        <v>22.11</v>
      </c>
      <c r="I427" s="576"/>
      <c r="J427" s="549" t="s">
        <v>5804</v>
      </c>
      <c r="K427" s="11"/>
      <c r="M427" s="37">
        <f t="shared" si="163"/>
        <v>27.64</v>
      </c>
      <c r="N427" s="29">
        <v>11.67</v>
      </c>
      <c r="O427" s="149"/>
      <c r="P427" s="144"/>
      <c r="Q427" s="145"/>
      <c r="R427" s="145" t="s">
        <v>1017</v>
      </c>
      <c r="S427" s="145" t="s">
        <v>4179</v>
      </c>
      <c r="T427" t="s">
        <v>4179</v>
      </c>
      <c r="U427" s="146"/>
      <c r="V427" s="145"/>
      <c r="W427" s="147"/>
      <c r="X427" s="147"/>
      <c r="Y427" s="145"/>
      <c r="Z427" s="145" t="s">
        <v>1017</v>
      </c>
      <c r="AA427" s="147"/>
      <c r="AB427" s="145"/>
      <c r="AC427" s="145"/>
      <c r="AD427" s="147"/>
      <c r="AE427" s="148" t="s">
        <v>1017</v>
      </c>
      <c r="AF427" s="147"/>
      <c r="AG427" s="147"/>
      <c r="AH427" s="166" t="str">
        <f t="shared" si="160"/>
        <v>2010</v>
      </c>
      <c r="AI427" s="168" t="str">
        <f t="shared" si="155"/>
        <v/>
      </c>
      <c r="AJ427" s="168" t="str">
        <f t="shared" si="156"/>
        <v/>
      </c>
      <c r="AK427" s="168" t="str">
        <f t="shared" si="157"/>
        <v/>
      </c>
      <c r="AL427" s="168" t="str">
        <f t="shared" si="158"/>
        <v/>
      </c>
      <c r="AM427" s="168" t="str">
        <f t="shared" si="159"/>
        <v/>
      </c>
      <c r="AN427" s="167" t="str">
        <f t="shared" si="142"/>
        <v>2010</v>
      </c>
      <c r="AO427" s="167" t="str">
        <f t="shared" si="143"/>
        <v>2010</v>
      </c>
      <c r="AP427" s="167" t="str">
        <f t="shared" si="144"/>
        <v>2010</v>
      </c>
      <c r="AQ427" s="169" t="str">
        <f t="shared" si="145"/>
        <v/>
      </c>
      <c r="AR427" s="170" t="str">
        <f t="shared" si="146"/>
        <v>BiK81M1bK10-04</v>
      </c>
      <c r="AS427" s="169" t="str">
        <f t="shared" si="147"/>
        <v/>
      </c>
      <c r="AT427">
        <f t="shared" si="148"/>
        <v>14</v>
      </c>
      <c r="AU427" s="170" t="str">
        <f t="shared" si="149"/>
        <v>0-0,15 MW, Bonusregeln M1, b und K erstmals 2010</v>
      </c>
      <c r="AV427" s="169" t="str">
        <f t="shared" si="150"/>
        <v/>
      </c>
      <c r="AW427" s="170" t="str">
        <f t="shared" si="151"/>
        <v>Anteil KWK, erstmals 2010</v>
      </c>
      <c r="AX427" s="169" t="str">
        <f t="shared" si="152"/>
        <v/>
      </c>
      <c r="AY427" t="str">
        <f t="shared" si="153"/>
        <v/>
      </c>
      <c r="AZ427" t="str">
        <f t="shared" si="154"/>
        <v/>
      </c>
    </row>
    <row r="428" spans="1:52" x14ac:dyDescent="0.35">
      <c r="A428" s="497" t="s">
        <v>5260</v>
      </c>
      <c r="B428" s="13" t="s">
        <v>5547</v>
      </c>
      <c r="C428" s="13" t="s">
        <v>4808</v>
      </c>
      <c r="D428" s="13" t="s">
        <v>6949</v>
      </c>
      <c r="E428" s="13" t="s">
        <v>3054</v>
      </c>
      <c r="F428" s="373">
        <f t="shared" si="161"/>
        <v>27.61</v>
      </c>
      <c r="G428" s="430">
        <v>27.61</v>
      </c>
      <c r="H428" s="399">
        <f t="shared" si="162"/>
        <v>22.09</v>
      </c>
      <c r="I428" s="576"/>
      <c r="J428" s="549" t="s">
        <v>5804</v>
      </c>
      <c r="K428" s="11"/>
      <c r="M428" s="37">
        <f t="shared" si="163"/>
        <v>27.61</v>
      </c>
      <c r="N428" s="29">
        <v>11.67</v>
      </c>
      <c r="O428" s="149"/>
      <c r="P428" s="144"/>
      <c r="Q428" s="145"/>
      <c r="R428" s="145"/>
      <c r="S428" s="145" t="s">
        <v>1017</v>
      </c>
      <c r="T428" t="s">
        <v>4179</v>
      </c>
      <c r="U428" s="146"/>
      <c r="V428" s="145"/>
      <c r="W428" s="147"/>
      <c r="X428" s="147"/>
      <c r="Y428" s="145"/>
      <c r="Z428" s="145" t="s">
        <v>1017</v>
      </c>
      <c r="AA428" s="147"/>
      <c r="AB428" s="145"/>
      <c r="AC428" s="145"/>
      <c r="AD428" s="147"/>
      <c r="AE428" s="148" t="s">
        <v>1017</v>
      </c>
      <c r="AF428" s="147"/>
      <c r="AG428" s="147"/>
      <c r="AH428" s="166" t="str">
        <f t="shared" si="160"/>
        <v>2011</v>
      </c>
      <c r="AI428" s="168" t="str">
        <f t="shared" si="155"/>
        <v/>
      </c>
      <c r="AJ428" s="168" t="str">
        <f t="shared" si="156"/>
        <v/>
      </c>
      <c r="AK428" s="168" t="str">
        <f t="shared" si="157"/>
        <v/>
      </c>
      <c r="AL428" s="168" t="str">
        <f t="shared" si="158"/>
        <v/>
      </c>
      <c r="AM428" s="168" t="str">
        <f t="shared" si="159"/>
        <v/>
      </c>
      <c r="AN428" s="167" t="str">
        <f t="shared" si="142"/>
        <v>2011</v>
      </c>
      <c r="AO428" s="167" t="str">
        <f t="shared" si="143"/>
        <v>2011</v>
      </c>
      <c r="AP428" s="167" t="str">
        <f t="shared" si="144"/>
        <v>2011</v>
      </c>
      <c r="AQ428" s="169" t="str">
        <f t="shared" si="145"/>
        <v/>
      </c>
      <c r="AR428" s="170" t="str">
        <f t="shared" si="146"/>
        <v>BiK81M1bK11-04</v>
      </c>
      <c r="AS428" s="169" t="str">
        <f t="shared" si="147"/>
        <v/>
      </c>
      <c r="AT428">
        <f t="shared" si="148"/>
        <v>14</v>
      </c>
      <c r="AU428" s="170" t="str">
        <f t="shared" si="149"/>
        <v>0-0,15 MW, Bonusregeln M1, b und K erstmals 2011</v>
      </c>
      <c r="AV428" s="169" t="str">
        <f t="shared" si="150"/>
        <v/>
      </c>
      <c r="AW428" s="170" t="str">
        <f t="shared" si="151"/>
        <v>Anteil KWK, erstmals 2011</v>
      </c>
      <c r="AX428" s="169" t="str">
        <f t="shared" si="152"/>
        <v/>
      </c>
      <c r="AY428" t="str">
        <f t="shared" si="153"/>
        <v>x</v>
      </c>
      <c r="AZ428" t="str">
        <f t="shared" si="154"/>
        <v/>
      </c>
    </row>
    <row r="429" spans="1:52" x14ac:dyDescent="0.35">
      <c r="A429" s="511" t="s">
        <v>1511</v>
      </c>
      <c r="B429" s="173" t="s">
        <v>5547</v>
      </c>
      <c r="C429" s="173" t="s">
        <v>4808</v>
      </c>
      <c r="D429" s="173" t="s">
        <v>6950</v>
      </c>
      <c r="E429" s="173" t="s">
        <v>1980</v>
      </c>
      <c r="F429" s="374">
        <f t="shared" si="161"/>
        <v>27.58</v>
      </c>
      <c r="G429" s="431">
        <v>27.58</v>
      </c>
      <c r="H429" s="400">
        <f t="shared" si="162"/>
        <v>22.06</v>
      </c>
      <c r="I429" s="577"/>
      <c r="J429" s="549" t="s">
        <v>5804</v>
      </c>
      <c r="K429" s="11"/>
      <c r="M429" s="37">
        <f t="shared" si="163"/>
        <v>27.58</v>
      </c>
      <c r="N429" s="29">
        <v>11.67</v>
      </c>
      <c r="O429" s="149"/>
      <c r="P429" s="144"/>
      <c r="Q429" s="145"/>
      <c r="R429" s="145"/>
      <c r="S429" s="145" t="s">
        <v>4179</v>
      </c>
      <c r="T429" t="s">
        <v>1017</v>
      </c>
      <c r="U429" s="146"/>
      <c r="V429" s="145"/>
      <c r="W429" s="147"/>
      <c r="X429" s="147"/>
      <c r="Y429" s="145"/>
      <c r="Z429" s="145" t="s">
        <v>1017</v>
      </c>
      <c r="AA429" s="147"/>
      <c r="AB429" s="145"/>
      <c r="AC429" s="145"/>
      <c r="AD429" s="147"/>
      <c r="AE429" s="148" t="s">
        <v>1017</v>
      </c>
      <c r="AF429" s="147"/>
      <c r="AG429" s="147"/>
      <c r="AH429" s="171" t="s">
        <v>4178</v>
      </c>
      <c r="AI429" s="168" t="str">
        <f t="shared" si="155"/>
        <v/>
      </c>
      <c r="AJ429" s="168" t="str">
        <f t="shared" si="156"/>
        <v/>
      </c>
      <c r="AK429" s="168" t="str">
        <f t="shared" si="157"/>
        <v/>
      </c>
      <c r="AL429" s="168" t="str">
        <f t="shared" si="158"/>
        <v/>
      </c>
      <c r="AM429" s="168" t="str">
        <f t="shared" si="159"/>
        <v/>
      </c>
      <c r="AN429" s="167" t="str">
        <f t="shared" si="142"/>
        <v>2012</v>
      </c>
      <c r="AO429" s="167" t="str">
        <f t="shared" si="143"/>
        <v>2012</v>
      </c>
      <c r="AP429" s="167" t="str">
        <f t="shared" si="144"/>
        <v>2012</v>
      </c>
      <c r="AQ429" s="169" t="str">
        <f t="shared" si="145"/>
        <v/>
      </c>
      <c r="AR429" s="170" t="str">
        <f t="shared" si="146"/>
        <v>BiK81M1bK12-04</v>
      </c>
      <c r="AS429" s="169" t="str">
        <f t="shared" si="147"/>
        <v/>
      </c>
      <c r="AT429">
        <f t="shared" si="148"/>
        <v>14</v>
      </c>
      <c r="AU429" s="170" t="str">
        <f t="shared" si="149"/>
        <v>0-0,15 MW, Bonusregeln M1, b und K erstmals 2012</v>
      </c>
      <c r="AV429" s="169" t="str">
        <f t="shared" si="150"/>
        <v/>
      </c>
      <c r="AW429" s="170" t="str">
        <f t="shared" si="151"/>
        <v>Anteil KWK, erstmals 2012</v>
      </c>
      <c r="AX429" s="169" t="str">
        <f t="shared" si="152"/>
        <v/>
      </c>
      <c r="AY429" t="str">
        <f t="shared" si="153"/>
        <v/>
      </c>
      <c r="AZ429" t="str">
        <f t="shared" si="154"/>
        <v>x</v>
      </c>
    </row>
    <row r="430" spans="1:52" x14ac:dyDescent="0.35">
      <c r="A430" s="497" t="s">
        <v>4869</v>
      </c>
      <c r="B430" s="13" t="s">
        <v>5547</v>
      </c>
      <c r="C430" s="13" t="s">
        <v>4808</v>
      </c>
      <c r="D430" s="13" t="s">
        <v>6951</v>
      </c>
      <c r="E430" s="13" t="s">
        <v>4809</v>
      </c>
      <c r="F430" s="373">
        <f t="shared" si="161"/>
        <v>25.67</v>
      </c>
      <c r="G430" s="430">
        <v>25.67</v>
      </c>
      <c r="H430" s="399">
        <f t="shared" si="162"/>
        <v>20.54</v>
      </c>
      <c r="I430" s="576"/>
      <c r="J430" s="549" t="s">
        <v>5804</v>
      </c>
      <c r="K430" s="11"/>
      <c r="M430" s="37">
        <f t="shared" si="163"/>
        <v>25.67</v>
      </c>
      <c r="N430" s="29">
        <v>11.67</v>
      </c>
      <c r="O430" s="149"/>
      <c r="P430" s="144"/>
      <c r="Q430" s="145"/>
      <c r="R430" s="145"/>
      <c r="S430" s="145" t="s">
        <v>4179</v>
      </c>
      <c r="T430" t="s">
        <v>4179</v>
      </c>
      <c r="U430" s="146" t="s">
        <v>1017</v>
      </c>
      <c r="V430" s="145"/>
      <c r="W430" s="147"/>
      <c r="X430" s="147"/>
      <c r="Y430" s="145"/>
      <c r="Z430" s="145" t="s">
        <v>1017</v>
      </c>
      <c r="AA430" s="147"/>
      <c r="AB430" s="145"/>
      <c r="AC430" s="145"/>
      <c r="AD430" s="147"/>
      <c r="AE430" s="148" t="s">
        <v>1017</v>
      </c>
      <c r="AF430" s="147"/>
      <c r="AG430" s="147"/>
      <c r="AH430" s="166" t="str">
        <f t="shared" ref="AH430:AH435" si="164">IF(ISERROR(SEARCH("K erstmals 201",D430)),"",RIGHT(D430,4))</f>
        <v/>
      </c>
      <c r="AI430" s="168" t="str">
        <f t="shared" si="155"/>
        <v/>
      </c>
      <c r="AJ430" s="168" t="str">
        <f t="shared" si="156"/>
        <v/>
      </c>
      <c r="AK430" s="168" t="str">
        <f t="shared" si="157"/>
        <v/>
      </c>
      <c r="AL430" s="168" t="str">
        <f t="shared" si="158"/>
        <v/>
      </c>
      <c r="AM430" s="168" t="str">
        <f t="shared" si="159"/>
        <v/>
      </c>
      <c r="AN430" s="167" t="str">
        <f t="shared" si="142"/>
        <v/>
      </c>
      <c r="AO430" s="167" t="str">
        <f t="shared" si="143"/>
        <v/>
      </c>
      <c r="AP430" s="167" t="str">
        <f t="shared" si="144"/>
        <v/>
      </c>
      <c r="AQ430" s="169" t="str">
        <f t="shared" si="145"/>
        <v/>
      </c>
      <c r="AR430" s="170" t="str">
        <f t="shared" si="146"/>
        <v>BiK81M1by---04</v>
      </c>
      <c r="AS430" s="169" t="str">
        <f t="shared" si="147"/>
        <v/>
      </c>
      <c r="AT430">
        <f t="shared" si="148"/>
        <v>14</v>
      </c>
      <c r="AU430" s="170" t="str">
        <f t="shared" si="149"/>
        <v>0-0,15 MW, Bonusregeln M1, y, b</v>
      </c>
      <c r="AV430" s="169" t="str">
        <f t="shared" si="150"/>
        <v/>
      </c>
      <c r="AW430" s="170" t="str">
        <f t="shared" si="151"/>
        <v>Anteil Nicht-KWK</v>
      </c>
      <c r="AX430" s="169" t="str">
        <f t="shared" si="152"/>
        <v/>
      </c>
      <c r="AY430" t="str">
        <f t="shared" si="153"/>
        <v/>
      </c>
      <c r="AZ430" t="str">
        <f t="shared" si="154"/>
        <v/>
      </c>
    </row>
    <row r="431" spans="1:52" x14ac:dyDescent="0.35">
      <c r="A431" s="497" t="s">
        <v>4870</v>
      </c>
      <c r="B431" s="13" t="s">
        <v>5547</v>
      </c>
      <c r="C431" s="13" t="s">
        <v>4808</v>
      </c>
      <c r="D431" s="13" t="s">
        <v>6952</v>
      </c>
      <c r="E431" s="13" t="s">
        <v>4811</v>
      </c>
      <c r="F431" s="373">
        <f t="shared" si="161"/>
        <v>27.67</v>
      </c>
      <c r="G431" s="430">
        <v>27.67</v>
      </c>
      <c r="H431" s="399">
        <f t="shared" si="162"/>
        <v>22.14</v>
      </c>
      <c r="I431" s="576"/>
      <c r="J431" s="549" t="s">
        <v>5804</v>
      </c>
      <c r="K431" s="11"/>
      <c r="M431" s="37">
        <f t="shared" si="163"/>
        <v>27.67</v>
      </c>
      <c r="N431" s="29">
        <v>11.67</v>
      </c>
      <c r="O431" s="149" t="s">
        <v>1017</v>
      </c>
      <c r="P431" s="144"/>
      <c r="Q431" s="145"/>
      <c r="R431" s="145"/>
      <c r="S431" s="145" t="s">
        <v>4179</v>
      </c>
      <c r="T431" t="s">
        <v>4179</v>
      </c>
      <c r="U431" s="146" t="s">
        <v>1017</v>
      </c>
      <c r="V431" s="145"/>
      <c r="W431" s="147"/>
      <c r="X431" s="147"/>
      <c r="Y431" s="145"/>
      <c r="Z431" s="145" t="s">
        <v>1017</v>
      </c>
      <c r="AA431" s="147"/>
      <c r="AB431" s="145"/>
      <c r="AC431" s="145"/>
      <c r="AD431" s="147"/>
      <c r="AE431" s="148" t="s">
        <v>1017</v>
      </c>
      <c r="AF431" s="147"/>
      <c r="AG431" s="147"/>
      <c r="AH431" s="166" t="str">
        <f t="shared" si="164"/>
        <v/>
      </c>
      <c r="AI431" s="168" t="str">
        <f t="shared" si="155"/>
        <v/>
      </c>
      <c r="AJ431" s="168" t="str">
        <f t="shared" si="156"/>
        <v/>
      </c>
      <c r="AK431" s="168" t="str">
        <f t="shared" si="157"/>
        <v/>
      </c>
      <c r="AL431" s="168" t="str">
        <f t="shared" si="158"/>
        <v/>
      </c>
      <c r="AM431" s="168" t="str">
        <f t="shared" si="159"/>
        <v/>
      </c>
      <c r="AN431" s="167" t="str">
        <f t="shared" si="142"/>
        <v/>
      </c>
      <c r="AO431" s="167" t="str">
        <f t="shared" si="143"/>
        <v/>
      </c>
      <c r="AP431" s="167" t="str">
        <f t="shared" si="144"/>
        <v/>
      </c>
      <c r="AQ431" s="169" t="str">
        <f t="shared" si="145"/>
        <v/>
      </c>
      <c r="AR431" s="170" t="str">
        <f t="shared" si="146"/>
        <v>BiK81M1bKWKy04</v>
      </c>
      <c r="AS431" s="169" t="str">
        <f t="shared" si="147"/>
        <v/>
      </c>
      <c r="AT431">
        <f t="shared" si="148"/>
        <v>14</v>
      </c>
      <c r="AU431" s="170" t="str">
        <f t="shared" si="149"/>
        <v>0-0,15 MW, Bonusregeln M1, y, b und KWK</v>
      </c>
      <c r="AV431" s="169" t="str">
        <f t="shared" si="150"/>
        <v/>
      </c>
      <c r="AW431" s="170" t="str">
        <f t="shared" si="151"/>
        <v>Anteil KWK</v>
      </c>
      <c r="AX431" s="169" t="str">
        <f t="shared" si="152"/>
        <v/>
      </c>
      <c r="AY431" t="str">
        <f t="shared" si="153"/>
        <v/>
      </c>
      <c r="AZ431" t="str">
        <f t="shared" si="154"/>
        <v/>
      </c>
    </row>
    <row r="432" spans="1:52" x14ac:dyDescent="0.35">
      <c r="A432" s="497" t="s">
        <v>4871</v>
      </c>
      <c r="B432" s="13" t="s">
        <v>5547</v>
      </c>
      <c r="C432" s="13" t="s">
        <v>4808</v>
      </c>
      <c r="D432" s="88" t="s">
        <v>6953</v>
      </c>
      <c r="E432" s="13" t="s">
        <v>4330</v>
      </c>
      <c r="F432" s="373">
        <f t="shared" si="161"/>
        <v>28.67</v>
      </c>
      <c r="G432" s="430">
        <v>28.67</v>
      </c>
      <c r="H432" s="399">
        <f t="shared" si="162"/>
        <v>22.94</v>
      </c>
      <c r="I432" s="576"/>
      <c r="J432" s="549" t="s">
        <v>5804</v>
      </c>
      <c r="K432" s="11"/>
      <c r="M432" s="37">
        <f t="shared" si="163"/>
        <v>28.67</v>
      </c>
      <c r="N432" s="29">
        <v>11.67</v>
      </c>
      <c r="O432" s="149"/>
      <c r="P432" s="145" t="s">
        <v>1017</v>
      </c>
      <c r="Q432" s="145"/>
      <c r="R432" s="145"/>
      <c r="S432" s="145" t="s">
        <v>4179</v>
      </c>
      <c r="T432" t="s">
        <v>4179</v>
      </c>
      <c r="U432" s="146" t="s">
        <v>1017</v>
      </c>
      <c r="V432" s="145"/>
      <c r="W432" s="147"/>
      <c r="X432" s="147"/>
      <c r="Y432" s="145"/>
      <c r="Z432" s="145" t="s">
        <v>1017</v>
      </c>
      <c r="AA432" s="147"/>
      <c r="AB432" s="145"/>
      <c r="AC432" s="145"/>
      <c r="AD432" s="147"/>
      <c r="AE432" s="148" t="s">
        <v>1017</v>
      </c>
      <c r="AF432" s="147"/>
      <c r="AG432" s="147"/>
      <c r="AH432" s="166" t="str">
        <f t="shared" si="164"/>
        <v/>
      </c>
      <c r="AI432" s="168" t="str">
        <f t="shared" si="155"/>
        <v/>
      </c>
      <c r="AJ432" s="168" t="str">
        <f t="shared" si="156"/>
        <v/>
      </c>
      <c r="AK432" s="168" t="str">
        <f t="shared" si="157"/>
        <v/>
      </c>
      <c r="AL432" s="168" t="str">
        <f t="shared" si="158"/>
        <v/>
      </c>
      <c r="AM432" s="168" t="str">
        <f t="shared" si="159"/>
        <v/>
      </c>
      <c r="AN432" s="167" t="str">
        <f t="shared" si="142"/>
        <v/>
      </c>
      <c r="AO432" s="167" t="str">
        <f t="shared" si="143"/>
        <v/>
      </c>
      <c r="AP432" s="167" t="str">
        <f t="shared" si="144"/>
        <v/>
      </c>
      <c r="AQ432" s="169" t="str">
        <f t="shared" si="145"/>
        <v/>
      </c>
      <c r="AR432" s="170" t="str">
        <f t="shared" si="146"/>
        <v>BiK81M1bKA3y04</v>
      </c>
      <c r="AS432" s="169" t="str">
        <f t="shared" si="147"/>
        <v/>
      </c>
      <c r="AT432">
        <f t="shared" si="148"/>
        <v>14</v>
      </c>
      <c r="AU432" s="170" t="str">
        <f t="shared" si="149"/>
        <v>0-0,15 MW, Bonusregeln M1, y, b und K wenn Anlage 3 erfüllt</v>
      </c>
      <c r="AV432" s="169" t="str">
        <f t="shared" si="150"/>
        <v/>
      </c>
      <c r="AW432" s="170" t="str">
        <f t="shared" si="151"/>
        <v>Anteil KWK gemäß Anlage 3</v>
      </c>
      <c r="AX432" s="169" t="str">
        <f t="shared" si="152"/>
        <v/>
      </c>
      <c r="AY432" t="str">
        <f t="shared" si="153"/>
        <v/>
      </c>
      <c r="AZ432" t="str">
        <f t="shared" si="154"/>
        <v/>
      </c>
    </row>
    <row r="433" spans="1:52" x14ac:dyDescent="0.35">
      <c r="A433" s="497" t="s">
        <v>4872</v>
      </c>
      <c r="B433" s="13" t="s">
        <v>5547</v>
      </c>
      <c r="C433" s="13" t="s">
        <v>4808</v>
      </c>
      <c r="D433" s="13" t="s">
        <v>6954</v>
      </c>
      <c r="E433" s="13" t="s">
        <v>674</v>
      </c>
      <c r="F433" s="373">
        <f t="shared" si="161"/>
        <v>28.67</v>
      </c>
      <c r="G433" s="430">
        <v>28.67</v>
      </c>
      <c r="H433" s="399">
        <f t="shared" si="162"/>
        <v>22.94</v>
      </c>
      <c r="I433" s="576"/>
      <c r="J433" s="549" t="s">
        <v>5804</v>
      </c>
      <c r="K433" s="11"/>
      <c r="M433" s="37">
        <f t="shared" si="163"/>
        <v>28.67</v>
      </c>
      <c r="N433" s="29">
        <v>11.67</v>
      </c>
      <c r="O433" s="149"/>
      <c r="P433" s="144"/>
      <c r="Q433" s="145" t="s">
        <v>1017</v>
      </c>
      <c r="R433" s="145"/>
      <c r="S433" s="145" t="s">
        <v>4179</v>
      </c>
      <c r="T433" t="s">
        <v>4179</v>
      </c>
      <c r="U433" s="146" t="s">
        <v>1017</v>
      </c>
      <c r="V433" s="145"/>
      <c r="W433" s="147"/>
      <c r="X433" s="147"/>
      <c r="Y433" s="145"/>
      <c r="Z433" s="145" t="s">
        <v>1017</v>
      </c>
      <c r="AA433" s="147"/>
      <c r="AB433" s="145"/>
      <c r="AC433" s="145"/>
      <c r="AD433" s="147"/>
      <c r="AE433" s="148" t="s">
        <v>1017</v>
      </c>
      <c r="AF433" s="147"/>
      <c r="AG433" s="147"/>
      <c r="AH433" s="166" t="str">
        <f t="shared" si="164"/>
        <v/>
      </c>
      <c r="AI433" s="168" t="str">
        <f t="shared" si="155"/>
        <v/>
      </c>
      <c r="AJ433" s="168" t="str">
        <f t="shared" si="156"/>
        <v/>
      </c>
      <c r="AK433" s="168" t="str">
        <f t="shared" si="157"/>
        <v/>
      </c>
      <c r="AL433" s="168" t="str">
        <f t="shared" si="158"/>
        <v/>
      </c>
      <c r="AM433" s="168" t="str">
        <f t="shared" si="159"/>
        <v/>
      </c>
      <c r="AN433" s="167" t="str">
        <f t="shared" si="142"/>
        <v/>
      </c>
      <c r="AO433" s="167" t="str">
        <f t="shared" si="143"/>
        <v/>
      </c>
      <c r="AP433" s="167" t="str">
        <f t="shared" si="144"/>
        <v/>
      </c>
      <c r="AQ433" s="169" t="str">
        <f t="shared" si="145"/>
        <v/>
      </c>
      <c r="AR433" s="170" t="str">
        <f t="shared" si="146"/>
        <v>BiK81M1bK09y04</v>
      </c>
      <c r="AS433" s="169" t="str">
        <f t="shared" si="147"/>
        <v/>
      </c>
      <c r="AT433">
        <f t="shared" si="148"/>
        <v>14</v>
      </c>
      <c r="AU433" s="170" t="str">
        <f t="shared" si="149"/>
        <v>0-0,15 MW, Bonusregeln M1, y, b und K erstmals 2009</v>
      </c>
      <c r="AV433" s="169" t="str">
        <f t="shared" si="150"/>
        <v/>
      </c>
      <c r="AW433" s="170" t="str">
        <f t="shared" si="151"/>
        <v>Anteil KWK, erstmals 2009</v>
      </c>
      <c r="AX433" s="169" t="str">
        <f t="shared" si="152"/>
        <v/>
      </c>
      <c r="AY433" t="str">
        <f t="shared" si="153"/>
        <v/>
      </c>
      <c r="AZ433" t="str">
        <f t="shared" si="154"/>
        <v/>
      </c>
    </row>
    <row r="434" spans="1:52" x14ac:dyDescent="0.35">
      <c r="A434" s="497" t="s">
        <v>1440</v>
      </c>
      <c r="B434" s="13" t="s">
        <v>5547</v>
      </c>
      <c r="C434" s="13" t="s">
        <v>4808</v>
      </c>
      <c r="D434" s="13" t="s">
        <v>6955</v>
      </c>
      <c r="E434" s="13" t="s">
        <v>3566</v>
      </c>
      <c r="F434" s="373">
        <f t="shared" si="161"/>
        <v>28.64</v>
      </c>
      <c r="G434" s="430">
        <v>28.64</v>
      </c>
      <c r="H434" s="399">
        <f t="shared" si="162"/>
        <v>22.91</v>
      </c>
      <c r="I434" s="576"/>
      <c r="J434" s="549" t="s">
        <v>5804</v>
      </c>
      <c r="K434" s="11"/>
      <c r="M434" s="37">
        <f t="shared" si="163"/>
        <v>28.64</v>
      </c>
      <c r="N434" s="29">
        <v>11.67</v>
      </c>
      <c r="O434" s="149"/>
      <c r="P434" s="144"/>
      <c r="Q434" s="145"/>
      <c r="R434" s="145" t="s">
        <v>1017</v>
      </c>
      <c r="S434" s="145" t="s">
        <v>4179</v>
      </c>
      <c r="T434" t="s">
        <v>4179</v>
      </c>
      <c r="U434" s="146" t="s">
        <v>1017</v>
      </c>
      <c r="V434" s="145"/>
      <c r="W434" s="147"/>
      <c r="X434" s="147"/>
      <c r="Y434" s="145"/>
      <c r="Z434" s="145" t="s">
        <v>1017</v>
      </c>
      <c r="AA434" s="147"/>
      <c r="AB434" s="145"/>
      <c r="AC434" s="145"/>
      <c r="AD434" s="147"/>
      <c r="AE434" s="148" t="s">
        <v>1017</v>
      </c>
      <c r="AF434" s="147"/>
      <c r="AG434" s="147"/>
      <c r="AH434" s="166" t="str">
        <f t="shared" si="164"/>
        <v>2010</v>
      </c>
      <c r="AI434" s="168" t="str">
        <f t="shared" si="155"/>
        <v/>
      </c>
      <c r="AJ434" s="168" t="str">
        <f t="shared" si="156"/>
        <v/>
      </c>
      <c r="AK434" s="168" t="str">
        <f t="shared" si="157"/>
        <v/>
      </c>
      <c r="AL434" s="168" t="str">
        <f t="shared" si="158"/>
        <v/>
      </c>
      <c r="AM434" s="168" t="str">
        <f t="shared" si="159"/>
        <v/>
      </c>
      <c r="AN434" s="167" t="str">
        <f t="shared" si="142"/>
        <v>2010</v>
      </c>
      <c r="AO434" s="167" t="str">
        <f t="shared" si="143"/>
        <v>2010</v>
      </c>
      <c r="AP434" s="167" t="str">
        <f t="shared" si="144"/>
        <v>2010</v>
      </c>
      <c r="AQ434" s="169" t="str">
        <f t="shared" si="145"/>
        <v/>
      </c>
      <c r="AR434" s="170" t="str">
        <f t="shared" si="146"/>
        <v>BiK81M1bK10y04</v>
      </c>
      <c r="AS434" s="169" t="str">
        <f t="shared" si="147"/>
        <v/>
      </c>
      <c r="AT434">
        <f t="shared" si="148"/>
        <v>14</v>
      </c>
      <c r="AU434" s="170" t="str">
        <f t="shared" si="149"/>
        <v>0-0,15 MW, Bonusregeln M1, y, b und K erstmals 2010</v>
      </c>
      <c r="AV434" s="169" t="str">
        <f t="shared" si="150"/>
        <v/>
      </c>
      <c r="AW434" s="170" t="str">
        <f t="shared" si="151"/>
        <v>Anteil KWK, erstmals 2010</v>
      </c>
      <c r="AX434" s="169" t="str">
        <f t="shared" si="152"/>
        <v/>
      </c>
      <c r="AY434" t="str">
        <f t="shared" si="153"/>
        <v/>
      </c>
      <c r="AZ434" t="str">
        <f t="shared" si="154"/>
        <v/>
      </c>
    </row>
    <row r="435" spans="1:52" x14ac:dyDescent="0.35">
      <c r="A435" s="497" t="s">
        <v>5261</v>
      </c>
      <c r="B435" s="13" t="s">
        <v>5547</v>
      </c>
      <c r="C435" s="13" t="s">
        <v>4808</v>
      </c>
      <c r="D435" s="13" t="s">
        <v>6956</v>
      </c>
      <c r="E435" s="13" t="s">
        <v>3054</v>
      </c>
      <c r="F435" s="373">
        <f t="shared" si="161"/>
        <v>28.61</v>
      </c>
      <c r="G435" s="430">
        <v>28.61</v>
      </c>
      <c r="H435" s="399">
        <f t="shared" si="162"/>
        <v>22.89</v>
      </c>
      <c r="I435" s="576"/>
      <c r="J435" s="549" t="s">
        <v>5804</v>
      </c>
      <c r="K435" s="11"/>
      <c r="M435" s="37">
        <f t="shared" si="163"/>
        <v>28.61</v>
      </c>
      <c r="N435" s="29">
        <v>11.67</v>
      </c>
      <c r="O435" s="149"/>
      <c r="P435" s="144"/>
      <c r="Q435" s="145"/>
      <c r="R435" s="145"/>
      <c r="S435" s="145" t="s">
        <v>1017</v>
      </c>
      <c r="T435" t="s">
        <v>4179</v>
      </c>
      <c r="U435" s="146" t="s">
        <v>1017</v>
      </c>
      <c r="V435" s="145"/>
      <c r="W435" s="147"/>
      <c r="X435" s="147"/>
      <c r="Y435" s="145"/>
      <c r="Z435" s="145" t="s">
        <v>1017</v>
      </c>
      <c r="AA435" s="147"/>
      <c r="AB435" s="145"/>
      <c r="AC435" s="145"/>
      <c r="AD435" s="147"/>
      <c r="AE435" s="148" t="s">
        <v>1017</v>
      </c>
      <c r="AF435" s="147"/>
      <c r="AG435" s="147"/>
      <c r="AH435" s="166" t="str">
        <f t="shared" si="164"/>
        <v>2011</v>
      </c>
      <c r="AI435" s="168" t="str">
        <f t="shared" si="155"/>
        <v/>
      </c>
      <c r="AJ435" s="168" t="str">
        <f t="shared" si="156"/>
        <v/>
      </c>
      <c r="AK435" s="168" t="str">
        <f t="shared" si="157"/>
        <v/>
      </c>
      <c r="AL435" s="168" t="str">
        <f t="shared" si="158"/>
        <v/>
      </c>
      <c r="AM435" s="168" t="str">
        <f t="shared" si="159"/>
        <v/>
      </c>
      <c r="AN435" s="167" t="str">
        <f t="shared" si="142"/>
        <v>2011</v>
      </c>
      <c r="AO435" s="167" t="str">
        <f t="shared" si="143"/>
        <v>2011</v>
      </c>
      <c r="AP435" s="167" t="str">
        <f t="shared" si="144"/>
        <v>2011</v>
      </c>
      <c r="AQ435" s="169" t="str">
        <f t="shared" si="145"/>
        <v/>
      </c>
      <c r="AR435" s="170" t="str">
        <f t="shared" si="146"/>
        <v>BiK81M1bK11y04</v>
      </c>
      <c r="AS435" s="169" t="str">
        <f t="shared" si="147"/>
        <v/>
      </c>
      <c r="AT435">
        <f t="shared" si="148"/>
        <v>14</v>
      </c>
      <c r="AU435" s="170" t="str">
        <f t="shared" si="149"/>
        <v>0-0,15 MW, Bonusregeln M1, y, b und K erstmals 2011</v>
      </c>
      <c r="AV435" s="169" t="str">
        <f t="shared" si="150"/>
        <v/>
      </c>
      <c r="AW435" s="170" t="str">
        <f t="shared" si="151"/>
        <v>Anteil KWK, erstmals 2011</v>
      </c>
      <c r="AX435" s="169" t="str">
        <f t="shared" si="152"/>
        <v/>
      </c>
      <c r="AY435" t="str">
        <f t="shared" si="153"/>
        <v>x</v>
      </c>
      <c r="AZ435" t="str">
        <f t="shared" si="154"/>
        <v/>
      </c>
    </row>
    <row r="436" spans="1:52" x14ac:dyDescent="0.35">
      <c r="A436" s="511" t="s">
        <v>1512</v>
      </c>
      <c r="B436" s="173" t="s">
        <v>5547</v>
      </c>
      <c r="C436" s="173" t="s">
        <v>4808</v>
      </c>
      <c r="D436" s="173" t="s">
        <v>6957</v>
      </c>
      <c r="E436" s="173" t="s">
        <v>1980</v>
      </c>
      <c r="F436" s="374">
        <f t="shared" si="161"/>
        <v>28.58</v>
      </c>
      <c r="G436" s="431">
        <v>28.58</v>
      </c>
      <c r="H436" s="400">
        <f t="shared" si="162"/>
        <v>22.86</v>
      </c>
      <c r="I436" s="577"/>
      <c r="J436" s="549" t="s">
        <v>5804</v>
      </c>
      <c r="K436" s="11"/>
      <c r="M436" s="37">
        <f t="shared" si="163"/>
        <v>28.58</v>
      </c>
      <c r="N436" s="29">
        <v>11.67</v>
      </c>
      <c r="O436" s="149"/>
      <c r="P436" s="144"/>
      <c r="Q436" s="145"/>
      <c r="R436" s="145"/>
      <c r="S436" s="145" t="s">
        <v>4179</v>
      </c>
      <c r="T436" t="s">
        <v>1017</v>
      </c>
      <c r="U436" s="146" t="s">
        <v>1017</v>
      </c>
      <c r="V436" s="145"/>
      <c r="W436" s="147"/>
      <c r="X436" s="147"/>
      <c r="Y436" s="145"/>
      <c r="Z436" s="145" t="s">
        <v>1017</v>
      </c>
      <c r="AA436" s="147"/>
      <c r="AB436" s="145"/>
      <c r="AC436" s="145"/>
      <c r="AD436" s="147"/>
      <c r="AE436" s="148" t="s">
        <v>1017</v>
      </c>
      <c r="AF436" s="147"/>
      <c r="AG436" s="147"/>
      <c r="AH436" s="171" t="s">
        <v>4178</v>
      </c>
      <c r="AI436" s="168" t="str">
        <f t="shared" si="155"/>
        <v/>
      </c>
      <c r="AJ436" s="168" t="str">
        <f t="shared" si="156"/>
        <v/>
      </c>
      <c r="AK436" s="168" t="str">
        <f t="shared" si="157"/>
        <v/>
      </c>
      <c r="AL436" s="168" t="str">
        <f t="shared" si="158"/>
        <v/>
      </c>
      <c r="AM436" s="168" t="str">
        <f t="shared" si="159"/>
        <v/>
      </c>
      <c r="AN436" s="167" t="str">
        <f t="shared" si="142"/>
        <v>2012</v>
      </c>
      <c r="AO436" s="167" t="str">
        <f t="shared" si="143"/>
        <v>2012</v>
      </c>
      <c r="AP436" s="167" t="str">
        <f t="shared" si="144"/>
        <v>2012</v>
      </c>
      <c r="AQ436" s="169" t="str">
        <f t="shared" si="145"/>
        <v/>
      </c>
      <c r="AR436" s="170" t="str">
        <f t="shared" si="146"/>
        <v>BiK81M1bK12y04</v>
      </c>
      <c r="AS436" s="169" t="str">
        <f t="shared" si="147"/>
        <v/>
      </c>
      <c r="AT436">
        <f t="shared" si="148"/>
        <v>14</v>
      </c>
      <c r="AU436" s="170" t="str">
        <f t="shared" si="149"/>
        <v>0-0,15 MW, Bonusregeln M1, y, b und K erstmals 2012</v>
      </c>
      <c r="AV436" s="169" t="str">
        <f t="shared" si="150"/>
        <v/>
      </c>
      <c r="AW436" s="170" t="str">
        <f t="shared" si="151"/>
        <v>Anteil KWK, erstmals 2012</v>
      </c>
      <c r="AX436" s="169" t="str">
        <f t="shared" si="152"/>
        <v/>
      </c>
      <c r="AY436" t="str">
        <f t="shared" si="153"/>
        <v/>
      </c>
      <c r="AZ436" t="str">
        <f t="shared" si="154"/>
        <v>x</v>
      </c>
    </row>
    <row r="437" spans="1:52" s="145" customFormat="1" x14ac:dyDescent="0.35">
      <c r="A437" s="497" t="s">
        <v>4873</v>
      </c>
      <c r="B437" s="13" t="s">
        <v>5547</v>
      </c>
      <c r="C437" s="13" t="s">
        <v>4808</v>
      </c>
      <c r="D437" s="13" t="s">
        <v>6958</v>
      </c>
      <c r="E437" s="13" t="s">
        <v>4809</v>
      </c>
      <c r="F437" s="373">
        <f t="shared" si="161"/>
        <v>22.67</v>
      </c>
      <c r="G437" s="430">
        <v>22.67</v>
      </c>
      <c r="H437" s="399">
        <f t="shared" si="162"/>
        <v>18.14</v>
      </c>
      <c r="I437" s="576"/>
      <c r="J437" s="549" t="s">
        <v>5804</v>
      </c>
      <c r="K437" s="11"/>
      <c r="L437"/>
      <c r="M437" s="37">
        <f t="shared" si="163"/>
        <v>22.67</v>
      </c>
      <c r="N437" s="29">
        <v>11.67</v>
      </c>
      <c r="O437" s="149"/>
      <c r="P437" s="144"/>
      <c r="S437" s="145" t="s">
        <v>4179</v>
      </c>
      <c r="T437" s="145" t="s">
        <v>4179</v>
      </c>
      <c r="U437" s="146"/>
      <c r="W437" s="147"/>
      <c r="X437" s="147"/>
      <c r="AA437" s="147"/>
      <c r="AB437" s="145" t="s">
        <v>1017</v>
      </c>
      <c r="AD437" s="147"/>
      <c r="AE437" s="148" t="s">
        <v>1017</v>
      </c>
      <c r="AF437" s="147"/>
      <c r="AG437" s="147"/>
      <c r="AH437" s="166" t="str">
        <f t="shared" ref="AH437:AH442" si="165">IF(ISERROR(SEARCH("K erstmals 201",D437)),"",RIGHT(D437,4))</f>
        <v/>
      </c>
      <c r="AI437" s="168" t="str">
        <f t="shared" si="155"/>
        <v/>
      </c>
      <c r="AJ437" s="168" t="str">
        <f t="shared" si="156"/>
        <v/>
      </c>
      <c r="AK437" s="168" t="str">
        <f t="shared" si="157"/>
        <v/>
      </c>
      <c r="AL437" s="168" t="str">
        <f t="shared" si="158"/>
        <v/>
      </c>
      <c r="AM437" s="168" t="str">
        <f t="shared" si="159"/>
        <v/>
      </c>
      <c r="AN437" s="167" t="str">
        <f t="shared" si="142"/>
        <v/>
      </c>
      <c r="AO437" s="167" t="str">
        <f t="shared" si="143"/>
        <v/>
      </c>
      <c r="AP437" s="167" t="str">
        <f t="shared" si="144"/>
        <v/>
      </c>
      <c r="AQ437" s="169" t="str">
        <f t="shared" si="145"/>
        <v/>
      </c>
      <c r="AR437" s="170" t="str">
        <f t="shared" si="146"/>
        <v>BiK81Lb-----04</v>
      </c>
      <c r="AS437" s="169" t="str">
        <f t="shared" si="147"/>
        <v/>
      </c>
      <c r="AT437">
        <f t="shared" si="148"/>
        <v>14</v>
      </c>
      <c r="AU437" s="170" t="str">
        <f t="shared" si="149"/>
        <v>0-0,15 MW, Bonusregeln L, b</v>
      </c>
      <c r="AV437" s="169" t="str">
        <f t="shared" si="150"/>
        <v/>
      </c>
      <c r="AW437" s="170" t="str">
        <f t="shared" si="151"/>
        <v>Anteil Nicht-KWK</v>
      </c>
      <c r="AX437" s="169" t="str">
        <f t="shared" si="152"/>
        <v/>
      </c>
      <c r="AY437" t="str">
        <f t="shared" si="153"/>
        <v/>
      </c>
      <c r="AZ437" t="str">
        <f t="shared" si="154"/>
        <v/>
      </c>
    </row>
    <row r="438" spans="1:52" s="145" customFormat="1" x14ac:dyDescent="0.35">
      <c r="A438" s="497" t="s">
        <v>4874</v>
      </c>
      <c r="B438" s="13" t="s">
        <v>5547</v>
      </c>
      <c r="C438" s="13" t="s">
        <v>4808</v>
      </c>
      <c r="D438" s="13" t="s">
        <v>6959</v>
      </c>
      <c r="E438" s="13" t="s">
        <v>4811</v>
      </c>
      <c r="F438" s="373">
        <f t="shared" si="161"/>
        <v>24.67</v>
      </c>
      <c r="G438" s="430">
        <v>24.67</v>
      </c>
      <c r="H438" s="399">
        <f t="shared" si="162"/>
        <v>19.739999999999998</v>
      </c>
      <c r="I438" s="576"/>
      <c r="J438" s="549" t="s">
        <v>5804</v>
      </c>
      <c r="K438" s="11"/>
      <c r="L438"/>
      <c r="M438" s="37">
        <f t="shared" si="163"/>
        <v>24.67</v>
      </c>
      <c r="N438" s="29">
        <v>11.67</v>
      </c>
      <c r="O438" s="149" t="s">
        <v>1017</v>
      </c>
      <c r="P438" s="144"/>
      <c r="S438" s="145" t="s">
        <v>4179</v>
      </c>
      <c r="T438" s="145" t="s">
        <v>4179</v>
      </c>
      <c r="U438" s="146"/>
      <c r="W438" s="147"/>
      <c r="X438" s="147"/>
      <c r="AA438" s="147"/>
      <c r="AB438" s="145" t="s">
        <v>1017</v>
      </c>
      <c r="AD438" s="147"/>
      <c r="AE438" s="148" t="s">
        <v>1017</v>
      </c>
      <c r="AF438" s="147"/>
      <c r="AG438" s="147"/>
      <c r="AH438" s="166" t="str">
        <f t="shared" si="165"/>
        <v/>
      </c>
      <c r="AI438" s="168" t="str">
        <f t="shared" si="155"/>
        <v/>
      </c>
      <c r="AJ438" s="168" t="str">
        <f t="shared" si="156"/>
        <v/>
      </c>
      <c r="AK438" s="168" t="str">
        <f t="shared" si="157"/>
        <v/>
      </c>
      <c r="AL438" s="168" t="str">
        <f t="shared" si="158"/>
        <v/>
      </c>
      <c r="AM438" s="168" t="str">
        <f t="shared" si="159"/>
        <v/>
      </c>
      <c r="AN438" s="167" t="str">
        <f t="shared" si="142"/>
        <v/>
      </c>
      <c r="AO438" s="167" t="str">
        <f t="shared" si="143"/>
        <v/>
      </c>
      <c r="AP438" s="167" t="str">
        <f t="shared" si="144"/>
        <v/>
      </c>
      <c r="AQ438" s="169" t="str">
        <f t="shared" si="145"/>
        <v/>
      </c>
      <c r="AR438" s="170" t="str">
        <f t="shared" si="146"/>
        <v>BiK81LbKWK--04</v>
      </c>
      <c r="AS438" s="169" t="str">
        <f t="shared" si="147"/>
        <v/>
      </c>
      <c r="AT438">
        <f t="shared" si="148"/>
        <v>14</v>
      </c>
      <c r="AU438" s="170" t="str">
        <f t="shared" si="149"/>
        <v>0-0,15 MW, Bonusregeln L, b und KWK</v>
      </c>
      <c r="AV438" s="169" t="str">
        <f t="shared" si="150"/>
        <v/>
      </c>
      <c r="AW438" s="170" t="str">
        <f t="shared" si="151"/>
        <v>Anteil KWK</v>
      </c>
      <c r="AX438" s="169" t="str">
        <f t="shared" si="152"/>
        <v/>
      </c>
      <c r="AY438" t="str">
        <f t="shared" si="153"/>
        <v/>
      </c>
      <c r="AZ438" t="str">
        <f t="shared" si="154"/>
        <v/>
      </c>
    </row>
    <row r="439" spans="1:52" s="145" customFormat="1" x14ac:dyDescent="0.35">
      <c r="A439" s="497" t="s">
        <v>2258</v>
      </c>
      <c r="B439" s="13" t="s">
        <v>5547</v>
      </c>
      <c r="C439" s="13" t="s">
        <v>4808</v>
      </c>
      <c r="D439" s="13" t="s">
        <v>6960</v>
      </c>
      <c r="E439" s="13" t="s">
        <v>4330</v>
      </c>
      <c r="F439" s="373">
        <f t="shared" si="161"/>
        <v>25.67</v>
      </c>
      <c r="G439" s="430">
        <v>25.67</v>
      </c>
      <c r="H439" s="399">
        <f t="shared" si="162"/>
        <v>20.54</v>
      </c>
      <c r="I439" s="576"/>
      <c r="J439" s="549" t="s">
        <v>5804</v>
      </c>
      <c r="K439" s="11"/>
      <c r="L439"/>
      <c r="M439" s="37">
        <f t="shared" si="163"/>
        <v>25.67</v>
      </c>
      <c r="N439" s="29">
        <v>11.67</v>
      </c>
      <c r="O439" s="149"/>
      <c r="P439" s="145" t="s">
        <v>1017</v>
      </c>
      <c r="S439" s="145" t="s">
        <v>4179</v>
      </c>
      <c r="T439" s="145" t="s">
        <v>4179</v>
      </c>
      <c r="U439" s="146"/>
      <c r="W439" s="147"/>
      <c r="X439" s="147"/>
      <c r="AA439" s="147"/>
      <c r="AB439" s="145" t="s">
        <v>1017</v>
      </c>
      <c r="AD439" s="147"/>
      <c r="AE439" s="148" t="s">
        <v>1017</v>
      </c>
      <c r="AF439" s="147"/>
      <c r="AG439" s="147"/>
      <c r="AH439" s="166" t="str">
        <f t="shared" si="165"/>
        <v/>
      </c>
      <c r="AI439" s="168" t="str">
        <f t="shared" si="155"/>
        <v/>
      </c>
      <c r="AJ439" s="168" t="str">
        <f t="shared" si="156"/>
        <v/>
      </c>
      <c r="AK439" s="168" t="str">
        <f t="shared" si="157"/>
        <v/>
      </c>
      <c r="AL439" s="168" t="str">
        <f t="shared" si="158"/>
        <v/>
      </c>
      <c r="AM439" s="168" t="str">
        <f t="shared" si="159"/>
        <v/>
      </c>
      <c r="AN439" s="167" t="str">
        <f t="shared" si="142"/>
        <v/>
      </c>
      <c r="AO439" s="167" t="str">
        <f t="shared" si="143"/>
        <v/>
      </c>
      <c r="AP439" s="167" t="str">
        <f t="shared" si="144"/>
        <v/>
      </c>
      <c r="AQ439" s="169" t="str">
        <f t="shared" si="145"/>
        <v/>
      </c>
      <c r="AR439" s="170" t="str">
        <f t="shared" si="146"/>
        <v>BiK81LbKA3--04</v>
      </c>
      <c r="AS439" s="169" t="str">
        <f t="shared" si="147"/>
        <v/>
      </c>
      <c r="AT439">
        <f t="shared" si="148"/>
        <v>14</v>
      </c>
      <c r="AU439" s="170" t="str">
        <f t="shared" si="149"/>
        <v>0-0,15 MW, Bonusregeln L, b und K wenn Anlage 3 erfüllt</v>
      </c>
      <c r="AV439" s="169" t="str">
        <f t="shared" si="150"/>
        <v/>
      </c>
      <c r="AW439" s="170" t="str">
        <f t="shared" si="151"/>
        <v>Anteil KWK gemäß Anlage 3</v>
      </c>
      <c r="AX439" s="169" t="str">
        <f t="shared" si="152"/>
        <v/>
      </c>
      <c r="AY439" t="str">
        <f t="shared" si="153"/>
        <v/>
      </c>
      <c r="AZ439" t="str">
        <f t="shared" si="154"/>
        <v/>
      </c>
    </row>
    <row r="440" spans="1:52" s="145" customFormat="1" x14ac:dyDescent="0.35">
      <c r="A440" s="497" t="s">
        <v>2259</v>
      </c>
      <c r="B440" s="13" t="s">
        <v>5547</v>
      </c>
      <c r="C440" s="13" t="s">
        <v>4808</v>
      </c>
      <c r="D440" s="13" t="s">
        <v>6961</v>
      </c>
      <c r="E440" s="13" t="s">
        <v>674</v>
      </c>
      <c r="F440" s="373">
        <f t="shared" si="161"/>
        <v>25.67</v>
      </c>
      <c r="G440" s="430">
        <v>25.67</v>
      </c>
      <c r="H440" s="399">
        <f t="shared" si="162"/>
        <v>20.54</v>
      </c>
      <c r="I440" s="576"/>
      <c r="J440" s="549" t="s">
        <v>5804</v>
      </c>
      <c r="K440" s="11"/>
      <c r="L440"/>
      <c r="M440" s="37">
        <f t="shared" si="163"/>
        <v>25.67</v>
      </c>
      <c r="N440" s="29">
        <v>11.67</v>
      </c>
      <c r="O440" s="149"/>
      <c r="P440" s="144"/>
      <c r="Q440" s="145" t="s">
        <v>1017</v>
      </c>
      <c r="S440" s="145" t="s">
        <v>4179</v>
      </c>
      <c r="T440" s="145" t="s">
        <v>4179</v>
      </c>
      <c r="U440" s="146"/>
      <c r="W440" s="147"/>
      <c r="X440" s="147"/>
      <c r="AA440" s="147"/>
      <c r="AB440" s="145" t="s">
        <v>1017</v>
      </c>
      <c r="AD440" s="147"/>
      <c r="AE440" s="148" t="s">
        <v>1017</v>
      </c>
      <c r="AF440" s="147"/>
      <c r="AG440" s="147"/>
      <c r="AH440" s="166" t="str">
        <f t="shared" si="165"/>
        <v/>
      </c>
      <c r="AI440" s="168" t="str">
        <f t="shared" si="155"/>
        <v/>
      </c>
      <c r="AJ440" s="168" t="str">
        <f t="shared" si="156"/>
        <v/>
      </c>
      <c r="AK440" s="168" t="str">
        <f t="shared" si="157"/>
        <v/>
      </c>
      <c r="AL440" s="168" t="str">
        <f t="shared" si="158"/>
        <v/>
      </c>
      <c r="AM440" s="168" t="str">
        <f t="shared" si="159"/>
        <v/>
      </c>
      <c r="AN440" s="167" t="str">
        <f t="shared" si="142"/>
        <v/>
      </c>
      <c r="AO440" s="167" t="str">
        <f t="shared" si="143"/>
        <v/>
      </c>
      <c r="AP440" s="167" t="str">
        <f t="shared" si="144"/>
        <v/>
      </c>
      <c r="AQ440" s="169" t="str">
        <f t="shared" si="145"/>
        <v/>
      </c>
      <c r="AR440" s="170" t="str">
        <f t="shared" si="146"/>
        <v>BiK81LbK09--04</v>
      </c>
      <c r="AS440" s="169" t="str">
        <f t="shared" si="147"/>
        <v/>
      </c>
      <c r="AT440">
        <f t="shared" si="148"/>
        <v>14</v>
      </c>
      <c r="AU440" s="170" t="str">
        <f t="shared" si="149"/>
        <v>0-0,15 MW, Bonusregeln L, b und K erstmals 2009</v>
      </c>
      <c r="AV440" s="169" t="str">
        <f t="shared" si="150"/>
        <v/>
      </c>
      <c r="AW440" s="170" t="str">
        <f t="shared" si="151"/>
        <v>Anteil KWK, erstmals 2009</v>
      </c>
      <c r="AX440" s="169" t="str">
        <f t="shared" si="152"/>
        <v/>
      </c>
      <c r="AY440" t="str">
        <f t="shared" si="153"/>
        <v/>
      </c>
      <c r="AZ440" t="str">
        <f t="shared" si="154"/>
        <v/>
      </c>
    </row>
    <row r="441" spans="1:52" s="145" customFormat="1" x14ac:dyDescent="0.35">
      <c r="A441" s="497" t="s">
        <v>1441</v>
      </c>
      <c r="B441" s="13" t="s">
        <v>5547</v>
      </c>
      <c r="C441" s="13" t="s">
        <v>4808</v>
      </c>
      <c r="D441" s="13" t="s">
        <v>6962</v>
      </c>
      <c r="E441" s="13" t="s">
        <v>3566</v>
      </c>
      <c r="F441" s="373">
        <f t="shared" si="161"/>
        <v>25.64</v>
      </c>
      <c r="G441" s="430">
        <v>25.64</v>
      </c>
      <c r="H441" s="399">
        <f t="shared" si="162"/>
        <v>20.51</v>
      </c>
      <c r="I441" s="576"/>
      <c r="J441" s="549" t="s">
        <v>5804</v>
      </c>
      <c r="K441" s="11"/>
      <c r="L441"/>
      <c r="M441" s="37">
        <f t="shared" si="163"/>
        <v>25.64</v>
      </c>
      <c r="N441" s="29">
        <v>11.67</v>
      </c>
      <c r="O441" s="149"/>
      <c r="P441" s="144"/>
      <c r="R441" s="145" t="s">
        <v>1017</v>
      </c>
      <c r="S441" s="145" t="s">
        <v>4179</v>
      </c>
      <c r="T441" s="145" t="s">
        <v>4179</v>
      </c>
      <c r="U441" s="146"/>
      <c r="W441" s="147"/>
      <c r="X441" s="147"/>
      <c r="AA441" s="147"/>
      <c r="AB441" s="145" t="s">
        <v>1017</v>
      </c>
      <c r="AD441" s="147"/>
      <c r="AE441" s="148" t="s">
        <v>1017</v>
      </c>
      <c r="AF441" s="147"/>
      <c r="AG441" s="147"/>
      <c r="AH441" s="166" t="str">
        <f t="shared" si="165"/>
        <v>2010</v>
      </c>
      <c r="AI441" s="168" t="str">
        <f t="shared" si="155"/>
        <v/>
      </c>
      <c r="AJ441" s="168" t="str">
        <f t="shared" si="156"/>
        <v/>
      </c>
      <c r="AK441" s="168" t="str">
        <f t="shared" si="157"/>
        <v/>
      </c>
      <c r="AL441" s="168" t="str">
        <f t="shared" si="158"/>
        <v/>
      </c>
      <c r="AM441" s="168" t="str">
        <f t="shared" si="159"/>
        <v/>
      </c>
      <c r="AN441" s="167" t="str">
        <f t="shared" si="142"/>
        <v>2010</v>
      </c>
      <c r="AO441" s="167" t="str">
        <f t="shared" si="143"/>
        <v>2010</v>
      </c>
      <c r="AP441" s="167" t="str">
        <f t="shared" si="144"/>
        <v>2010</v>
      </c>
      <c r="AQ441" s="169" t="str">
        <f t="shared" si="145"/>
        <v/>
      </c>
      <c r="AR441" s="170" t="str">
        <f t="shared" si="146"/>
        <v>BiK81LbK10--04</v>
      </c>
      <c r="AS441" s="169" t="str">
        <f t="shared" si="147"/>
        <v/>
      </c>
      <c r="AT441">
        <f t="shared" si="148"/>
        <v>14</v>
      </c>
      <c r="AU441" s="170" t="str">
        <f t="shared" si="149"/>
        <v>0-0,15 MW, Bonusregeln L, b und K erstmals 2010</v>
      </c>
      <c r="AV441" s="169" t="str">
        <f t="shared" si="150"/>
        <v/>
      </c>
      <c r="AW441" s="170" t="str">
        <f t="shared" si="151"/>
        <v>Anteil KWK, erstmals 2010</v>
      </c>
      <c r="AX441" s="169" t="str">
        <f t="shared" si="152"/>
        <v/>
      </c>
      <c r="AY441" t="str">
        <f t="shared" si="153"/>
        <v/>
      </c>
      <c r="AZ441" t="str">
        <f t="shared" si="154"/>
        <v/>
      </c>
    </row>
    <row r="442" spans="1:52" s="145" customFormat="1" x14ac:dyDescent="0.35">
      <c r="A442" s="497" t="s">
        <v>5262</v>
      </c>
      <c r="B442" s="13" t="s">
        <v>5547</v>
      </c>
      <c r="C442" s="13" t="s">
        <v>4808</v>
      </c>
      <c r="D442" s="13" t="s">
        <v>6963</v>
      </c>
      <c r="E442" s="13" t="s">
        <v>3054</v>
      </c>
      <c r="F442" s="373">
        <f t="shared" si="161"/>
        <v>25.61</v>
      </c>
      <c r="G442" s="430">
        <v>25.61</v>
      </c>
      <c r="H442" s="399">
        <f t="shared" si="162"/>
        <v>20.49</v>
      </c>
      <c r="I442" s="576"/>
      <c r="J442" s="549" t="s">
        <v>5804</v>
      </c>
      <c r="K442" s="11"/>
      <c r="L442"/>
      <c r="M442" s="37">
        <f t="shared" si="163"/>
        <v>25.61</v>
      </c>
      <c r="N442" s="29">
        <v>11.67</v>
      </c>
      <c r="O442" s="149"/>
      <c r="P442" s="144"/>
      <c r="S442" s="145" t="s">
        <v>1017</v>
      </c>
      <c r="T442" s="145" t="s">
        <v>4179</v>
      </c>
      <c r="U442" s="146"/>
      <c r="W442" s="147"/>
      <c r="X442" s="147"/>
      <c r="AA442" s="147"/>
      <c r="AB442" s="145" t="s">
        <v>1017</v>
      </c>
      <c r="AD442" s="147"/>
      <c r="AE442" s="148" t="s">
        <v>1017</v>
      </c>
      <c r="AF442" s="147"/>
      <c r="AG442" s="147"/>
      <c r="AH442" s="166" t="str">
        <f t="shared" si="165"/>
        <v>2011</v>
      </c>
      <c r="AI442" s="168" t="str">
        <f t="shared" si="155"/>
        <v/>
      </c>
      <c r="AJ442" s="168" t="str">
        <f t="shared" si="156"/>
        <v/>
      </c>
      <c r="AK442" s="168" t="str">
        <f t="shared" si="157"/>
        <v/>
      </c>
      <c r="AL442" s="168" t="str">
        <f t="shared" si="158"/>
        <v/>
      </c>
      <c r="AM442" s="168" t="str">
        <f t="shared" si="159"/>
        <v/>
      </c>
      <c r="AN442" s="167" t="str">
        <f t="shared" si="142"/>
        <v>2011</v>
      </c>
      <c r="AO442" s="167" t="str">
        <f t="shared" si="143"/>
        <v>2011</v>
      </c>
      <c r="AP442" s="167" t="str">
        <f t="shared" si="144"/>
        <v>2011</v>
      </c>
      <c r="AQ442" s="169" t="str">
        <f t="shared" si="145"/>
        <v/>
      </c>
      <c r="AR442" s="170" t="str">
        <f t="shared" si="146"/>
        <v>BiK81LbK11--04</v>
      </c>
      <c r="AS442" s="169" t="str">
        <f t="shared" si="147"/>
        <v/>
      </c>
      <c r="AT442">
        <f t="shared" si="148"/>
        <v>14</v>
      </c>
      <c r="AU442" s="170" t="str">
        <f t="shared" si="149"/>
        <v>0-0,15 MW, Bonusregeln L, b und K erstmals 2011</v>
      </c>
      <c r="AV442" s="169" t="str">
        <f t="shared" si="150"/>
        <v/>
      </c>
      <c r="AW442" s="170" t="str">
        <f t="shared" si="151"/>
        <v>Anteil KWK, erstmals 2011</v>
      </c>
      <c r="AX442" s="169" t="str">
        <f t="shared" si="152"/>
        <v/>
      </c>
      <c r="AY442" t="str">
        <f t="shared" si="153"/>
        <v>x</v>
      </c>
      <c r="AZ442" t="str">
        <f t="shared" si="154"/>
        <v/>
      </c>
    </row>
    <row r="443" spans="1:52" s="145" customFormat="1" x14ac:dyDescent="0.35">
      <c r="A443" s="511" t="s">
        <v>1513</v>
      </c>
      <c r="B443" s="173" t="s">
        <v>5547</v>
      </c>
      <c r="C443" s="173" t="s">
        <v>4808</v>
      </c>
      <c r="D443" s="173" t="s">
        <v>6964</v>
      </c>
      <c r="E443" s="173" t="s">
        <v>1980</v>
      </c>
      <c r="F443" s="374">
        <f t="shared" si="161"/>
        <v>25.58</v>
      </c>
      <c r="G443" s="431">
        <v>25.58</v>
      </c>
      <c r="H443" s="400">
        <f t="shared" si="162"/>
        <v>20.46</v>
      </c>
      <c r="I443" s="577"/>
      <c r="J443" s="549" t="s">
        <v>5804</v>
      </c>
      <c r="K443" s="11"/>
      <c r="L443"/>
      <c r="M443" s="37">
        <f t="shared" si="163"/>
        <v>25.58</v>
      </c>
      <c r="N443" s="29">
        <v>11.67</v>
      </c>
      <c r="O443" s="149"/>
      <c r="P443" s="144"/>
      <c r="S443" s="145" t="s">
        <v>4179</v>
      </c>
      <c r="T443" s="145" t="s">
        <v>1017</v>
      </c>
      <c r="U443" s="146"/>
      <c r="W443" s="147"/>
      <c r="X443" s="147"/>
      <c r="AA443" s="147"/>
      <c r="AB443" s="145" t="s">
        <v>1017</v>
      </c>
      <c r="AD443" s="147"/>
      <c r="AE443" s="148" t="s">
        <v>1017</v>
      </c>
      <c r="AF443" s="147"/>
      <c r="AG443" s="147"/>
      <c r="AH443" s="171" t="s">
        <v>4178</v>
      </c>
      <c r="AI443" s="168" t="str">
        <f t="shared" si="155"/>
        <v/>
      </c>
      <c r="AJ443" s="168" t="str">
        <f t="shared" si="156"/>
        <v/>
      </c>
      <c r="AK443" s="168" t="str">
        <f t="shared" si="157"/>
        <v/>
      </c>
      <c r="AL443" s="168" t="str">
        <f t="shared" si="158"/>
        <v/>
      </c>
      <c r="AM443" s="168" t="str">
        <f t="shared" si="159"/>
        <v/>
      </c>
      <c r="AN443" s="167" t="str">
        <f t="shared" si="142"/>
        <v>2012</v>
      </c>
      <c r="AO443" s="167" t="str">
        <f t="shared" si="143"/>
        <v>2012</v>
      </c>
      <c r="AP443" s="167" t="str">
        <f t="shared" si="144"/>
        <v>2012</v>
      </c>
      <c r="AQ443" s="169" t="str">
        <f t="shared" si="145"/>
        <v/>
      </c>
      <c r="AR443" s="170" t="str">
        <f t="shared" si="146"/>
        <v>BiK81LbK12--04</v>
      </c>
      <c r="AS443" s="169" t="str">
        <f t="shared" si="147"/>
        <v/>
      </c>
      <c r="AT443">
        <f t="shared" si="148"/>
        <v>14</v>
      </c>
      <c r="AU443" s="170" t="str">
        <f t="shared" si="149"/>
        <v>0-0,15 MW, Bonusregeln L, b und K erstmals 2012</v>
      </c>
      <c r="AV443" s="169" t="str">
        <f t="shared" si="150"/>
        <v/>
      </c>
      <c r="AW443" s="170" t="str">
        <f t="shared" si="151"/>
        <v>Anteil KWK, erstmals 2012</v>
      </c>
      <c r="AX443" s="169" t="str">
        <f t="shared" si="152"/>
        <v/>
      </c>
      <c r="AY443" t="str">
        <f t="shared" si="153"/>
        <v/>
      </c>
      <c r="AZ443" t="str">
        <f t="shared" si="154"/>
        <v>x</v>
      </c>
    </row>
    <row r="444" spans="1:52" s="145" customFormat="1" x14ac:dyDescent="0.35">
      <c r="A444" s="497" t="s">
        <v>2260</v>
      </c>
      <c r="B444" s="13" t="s">
        <v>5547</v>
      </c>
      <c r="C444" s="13" t="s">
        <v>4808</v>
      </c>
      <c r="D444" s="13" t="s">
        <v>6965</v>
      </c>
      <c r="E444" s="13" t="s">
        <v>4809</v>
      </c>
      <c r="F444" s="373">
        <f t="shared" si="161"/>
        <v>23.67</v>
      </c>
      <c r="G444" s="430">
        <v>23.67</v>
      </c>
      <c r="H444" s="399">
        <f t="shared" si="162"/>
        <v>18.940000000000001</v>
      </c>
      <c r="I444" s="576"/>
      <c r="J444" s="549" t="s">
        <v>5804</v>
      </c>
      <c r="K444" s="11"/>
      <c r="L444"/>
      <c r="M444" s="37">
        <f t="shared" si="163"/>
        <v>23.67</v>
      </c>
      <c r="N444" s="29">
        <v>11.67</v>
      </c>
      <c r="O444" s="149"/>
      <c r="P444" s="144"/>
      <c r="S444" s="145" t="s">
        <v>4179</v>
      </c>
      <c r="T444" s="145" t="s">
        <v>4179</v>
      </c>
      <c r="U444" s="146" t="s">
        <v>1017</v>
      </c>
      <c r="W444" s="147"/>
      <c r="X444" s="147"/>
      <c r="AA444" s="147"/>
      <c r="AB444" s="145" t="s">
        <v>1017</v>
      </c>
      <c r="AD444" s="147"/>
      <c r="AE444" s="148" t="s">
        <v>1017</v>
      </c>
      <c r="AF444" s="147"/>
      <c r="AG444" s="147"/>
      <c r="AH444" s="166" t="str">
        <f t="shared" ref="AH444:AH449" si="166">IF(ISERROR(SEARCH("K erstmals 201",D444)),"",RIGHT(D444,4))</f>
        <v/>
      </c>
      <c r="AI444" s="168" t="str">
        <f t="shared" si="155"/>
        <v/>
      </c>
      <c r="AJ444" s="168" t="str">
        <f t="shared" si="156"/>
        <v/>
      </c>
      <c r="AK444" s="168" t="str">
        <f t="shared" si="157"/>
        <v/>
      </c>
      <c r="AL444" s="168" t="str">
        <f t="shared" si="158"/>
        <v/>
      </c>
      <c r="AM444" s="168" t="str">
        <f t="shared" si="159"/>
        <v/>
      </c>
      <c r="AN444" s="167" t="str">
        <f t="shared" si="142"/>
        <v/>
      </c>
      <c r="AO444" s="167" t="str">
        <f t="shared" si="143"/>
        <v/>
      </c>
      <c r="AP444" s="167" t="str">
        <f t="shared" si="144"/>
        <v/>
      </c>
      <c r="AQ444" s="169" t="str">
        <f t="shared" si="145"/>
        <v/>
      </c>
      <c r="AR444" s="170" t="str">
        <f t="shared" si="146"/>
        <v>BiK81Lby----04</v>
      </c>
      <c r="AS444" s="169" t="str">
        <f t="shared" si="147"/>
        <v/>
      </c>
      <c r="AT444">
        <f t="shared" si="148"/>
        <v>14</v>
      </c>
      <c r="AU444" s="170" t="str">
        <f t="shared" si="149"/>
        <v>0-0,15 MW, Bonusregeln L, y, b</v>
      </c>
      <c r="AV444" s="169" t="str">
        <f t="shared" si="150"/>
        <v/>
      </c>
      <c r="AW444" s="170" t="str">
        <f t="shared" si="151"/>
        <v>Anteil Nicht-KWK</v>
      </c>
      <c r="AX444" s="169" t="str">
        <f t="shared" si="152"/>
        <v/>
      </c>
      <c r="AY444" t="str">
        <f t="shared" si="153"/>
        <v/>
      </c>
      <c r="AZ444" t="str">
        <f t="shared" si="154"/>
        <v/>
      </c>
    </row>
    <row r="445" spans="1:52" s="145" customFormat="1" x14ac:dyDescent="0.35">
      <c r="A445" s="497" t="s">
        <v>2261</v>
      </c>
      <c r="B445" s="13" t="s">
        <v>5547</v>
      </c>
      <c r="C445" s="13" t="s">
        <v>4808</v>
      </c>
      <c r="D445" s="13" t="s">
        <v>6966</v>
      </c>
      <c r="E445" s="13" t="s">
        <v>4811</v>
      </c>
      <c r="F445" s="373">
        <f t="shared" si="161"/>
        <v>25.67</v>
      </c>
      <c r="G445" s="430">
        <v>25.67</v>
      </c>
      <c r="H445" s="399">
        <f t="shared" si="162"/>
        <v>20.54</v>
      </c>
      <c r="I445" s="576"/>
      <c r="J445" s="549" t="s">
        <v>5804</v>
      </c>
      <c r="K445" s="11"/>
      <c r="L445"/>
      <c r="M445" s="37">
        <f t="shared" si="163"/>
        <v>25.67</v>
      </c>
      <c r="N445" s="29">
        <v>11.67</v>
      </c>
      <c r="O445" s="149" t="s">
        <v>1017</v>
      </c>
      <c r="P445" s="144"/>
      <c r="S445" s="145" t="s">
        <v>4179</v>
      </c>
      <c r="T445" s="145" t="s">
        <v>4179</v>
      </c>
      <c r="U445" s="146" t="s">
        <v>1017</v>
      </c>
      <c r="W445" s="147"/>
      <c r="X445" s="147"/>
      <c r="AA445" s="147"/>
      <c r="AB445" s="145" t="s">
        <v>1017</v>
      </c>
      <c r="AD445" s="147"/>
      <c r="AE445" s="148" t="s">
        <v>1017</v>
      </c>
      <c r="AF445" s="147"/>
      <c r="AG445" s="147"/>
      <c r="AH445" s="166" t="str">
        <f t="shared" si="166"/>
        <v/>
      </c>
      <c r="AI445" s="168" t="str">
        <f t="shared" si="155"/>
        <v/>
      </c>
      <c r="AJ445" s="168" t="str">
        <f t="shared" si="156"/>
        <v/>
      </c>
      <c r="AK445" s="168" t="str">
        <f t="shared" si="157"/>
        <v/>
      </c>
      <c r="AL445" s="168" t="str">
        <f t="shared" si="158"/>
        <v/>
      </c>
      <c r="AM445" s="168" t="str">
        <f t="shared" si="159"/>
        <v/>
      </c>
      <c r="AN445" s="167" t="str">
        <f t="shared" si="142"/>
        <v/>
      </c>
      <c r="AO445" s="167" t="str">
        <f t="shared" si="143"/>
        <v/>
      </c>
      <c r="AP445" s="167" t="str">
        <f t="shared" si="144"/>
        <v/>
      </c>
      <c r="AQ445" s="169" t="str">
        <f t="shared" si="145"/>
        <v/>
      </c>
      <c r="AR445" s="170" t="str">
        <f t="shared" si="146"/>
        <v>BiK81LbKWKy-04</v>
      </c>
      <c r="AS445" s="169" t="str">
        <f t="shared" si="147"/>
        <v/>
      </c>
      <c r="AT445">
        <f t="shared" si="148"/>
        <v>14</v>
      </c>
      <c r="AU445" s="170" t="str">
        <f t="shared" si="149"/>
        <v>0-0,15 MW, Bonusregeln L, y, b und KWK</v>
      </c>
      <c r="AV445" s="169" t="str">
        <f t="shared" si="150"/>
        <v/>
      </c>
      <c r="AW445" s="170" t="str">
        <f t="shared" si="151"/>
        <v>Anteil KWK</v>
      </c>
      <c r="AX445" s="169" t="str">
        <f t="shared" si="152"/>
        <v/>
      </c>
      <c r="AY445" t="str">
        <f t="shared" si="153"/>
        <v/>
      </c>
      <c r="AZ445" t="str">
        <f t="shared" si="154"/>
        <v/>
      </c>
    </row>
    <row r="446" spans="1:52" s="145" customFormat="1" x14ac:dyDescent="0.35">
      <c r="A446" s="497" t="s">
        <v>2371</v>
      </c>
      <c r="B446" s="13" t="s">
        <v>5547</v>
      </c>
      <c r="C446" s="13" t="s">
        <v>4808</v>
      </c>
      <c r="D446" s="88" t="s">
        <v>6967</v>
      </c>
      <c r="E446" s="13" t="s">
        <v>4330</v>
      </c>
      <c r="F446" s="373">
        <f t="shared" si="161"/>
        <v>26.67</v>
      </c>
      <c r="G446" s="430">
        <v>26.67</v>
      </c>
      <c r="H446" s="399">
        <f t="shared" si="162"/>
        <v>21.34</v>
      </c>
      <c r="I446" s="576"/>
      <c r="J446" s="549" t="s">
        <v>5804</v>
      </c>
      <c r="K446" s="11"/>
      <c r="L446"/>
      <c r="M446" s="37">
        <f t="shared" si="163"/>
        <v>26.67</v>
      </c>
      <c r="N446" s="29">
        <v>11.67</v>
      </c>
      <c r="O446" s="149"/>
      <c r="P446" s="145" t="s">
        <v>1017</v>
      </c>
      <c r="S446" s="145" t="s">
        <v>4179</v>
      </c>
      <c r="T446" s="145" t="s">
        <v>4179</v>
      </c>
      <c r="U446" s="146" t="s">
        <v>1017</v>
      </c>
      <c r="W446" s="147"/>
      <c r="X446" s="147"/>
      <c r="AA446" s="147"/>
      <c r="AB446" s="145" t="s">
        <v>1017</v>
      </c>
      <c r="AD446" s="147"/>
      <c r="AE446" s="148" t="s">
        <v>1017</v>
      </c>
      <c r="AF446" s="147"/>
      <c r="AG446" s="147"/>
      <c r="AH446" s="166" t="str">
        <f t="shared" si="166"/>
        <v/>
      </c>
      <c r="AI446" s="168" t="str">
        <f t="shared" si="155"/>
        <v/>
      </c>
      <c r="AJ446" s="168" t="str">
        <f t="shared" si="156"/>
        <v/>
      </c>
      <c r="AK446" s="168" t="str">
        <f t="shared" si="157"/>
        <v/>
      </c>
      <c r="AL446" s="168" t="str">
        <f t="shared" si="158"/>
        <v/>
      </c>
      <c r="AM446" s="168" t="str">
        <f t="shared" si="159"/>
        <v/>
      </c>
      <c r="AN446" s="167" t="str">
        <f t="shared" si="142"/>
        <v/>
      </c>
      <c r="AO446" s="167" t="str">
        <f t="shared" si="143"/>
        <v/>
      </c>
      <c r="AP446" s="167" t="str">
        <f t="shared" si="144"/>
        <v/>
      </c>
      <c r="AQ446" s="169" t="str">
        <f t="shared" si="145"/>
        <v/>
      </c>
      <c r="AR446" s="170" t="str">
        <f t="shared" si="146"/>
        <v>BiK81LbKA3y-04</v>
      </c>
      <c r="AS446" s="169" t="str">
        <f t="shared" si="147"/>
        <v/>
      </c>
      <c r="AT446">
        <f t="shared" si="148"/>
        <v>14</v>
      </c>
      <c r="AU446" s="170" t="str">
        <f t="shared" si="149"/>
        <v>0-0,15 MW, Bonusregeln L, y, b und K wenn Anlage 3 erfüllt</v>
      </c>
      <c r="AV446" s="169" t="str">
        <f t="shared" si="150"/>
        <v/>
      </c>
      <c r="AW446" s="170" t="str">
        <f t="shared" si="151"/>
        <v>Anteil KWK gemäß Anlage 3</v>
      </c>
      <c r="AX446" s="169" t="str">
        <f t="shared" si="152"/>
        <v/>
      </c>
      <c r="AY446" t="str">
        <f t="shared" si="153"/>
        <v/>
      </c>
      <c r="AZ446" t="str">
        <f t="shared" si="154"/>
        <v/>
      </c>
    </row>
    <row r="447" spans="1:52" s="145" customFormat="1" x14ac:dyDescent="0.35">
      <c r="A447" s="497" t="s">
        <v>2372</v>
      </c>
      <c r="B447" s="13" t="s">
        <v>5547</v>
      </c>
      <c r="C447" s="13" t="s">
        <v>4808</v>
      </c>
      <c r="D447" s="13" t="s">
        <v>6968</v>
      </c>
      <c r="E447" s="13" t="s">
        <v>674</v>
      </c>
      <c r="F447" s="373">
        <f t="shared" si="161"/>
        <v>26.67</v>
      </c>
      <c r="G447" s="430">
        <v>26.67</v>
      </c>
      <c r="H447" s="399">
        <f t="shared" si="162"/>
        <v>21.34</v>
      </c>
      <c r="I447" s="576"/>
      <c r="J447" s="549" t="s">
        <v>5804</v>
      </c>
      <c r="K447" s="11"/>
      <c r="L447"/>
      <c r="M447" s="37">
        <f t="shared" si="163"/>
        <v>26.67</v>
      </c>
      <c r="N447" s="29">
        <v>11.67</v>
      </c>
      <c r="O447" s="149"/>
      <c r="P447" s="144"/>
      <c r="Q447" s="145" t="s">
        <v>1017</v>
      </c>
      <c r="S447" s="145" t="s">
        <v>4179</v>
      </c>
      <c r="T447" s="145" t="s">
        <v>4179</v>
      </c>
      <c r="U447" s="146" t="s">
        <v>1017</v>
      </c>
      <c r="W447" s="147"/>
      <c r="X447" s="147"/>
      <c r="AA447" s="147"/>
      <c r="AB447" s="145" t="s">
        <v>1017</v>
      </c>
      <c r="AD447" s="147"/>
      <c r="AE447" s="148" t="s">
        <v>1017</v>
      </c>
      <c r="AF447" s="147"/>
      <c r="AG447" s="147"/>
      <c r="AH447" s="166" t="str">
        <f t="shared" si="166"/>
        <v/>
      </c>
      <c r="AI447" s="168" t="str">
        <f t="shared" si="155"/>
        <v/>
      </c>
      <c r="AJ447" s="168" t="str">
        <f t="shared" si="156"/>
        <v/>
      </c>
      <c r="AK447" s="168" t="str">
        <f t="shared" si="157"/>
        <v/>
      </c>
      <c r="AL447" s="168" t="str">
        <f t="shared" si="158"/>
        <v/>
      </c>
      <c r="AM447" s="168" t="str">
        <f t="shared" si="159"/>
        <v/>
      </c>
      <c r="AN447" s="167" t="str">
        <f t="shared" si="142"/>
        <v/>
      </c>
      <c r="AO447" s="167" t="str">
        <f t="shared" si="143"/>
        <v/>
      </c>
      <c r="AP447" s="167" t="str">
        <f t="shared" si="144"/>
        <v/>
      </c>
      <c r="AQ447" s="169" t="str">
        <f t="shared" si="145"/>
        <v/>
      </c>
      <c r="AR447" s="170" t="str">
        <f t="shared" si="146"/>
        <v>BiK81LbK09y-04</v>
      </c>
      <c r="AS447" s="169" t="str">
        <f t="shared" si="147"/>
        <v/>
      </c>
      <c r="AT447">
        <f t="shared" si="148"/>
        <v>14</v>
      </c>
      <c r="AU447" s="170" t="str">
        <f t="shared" si="149"/>
        <v>0-0,15 MW, Bonusregeln L, y, b und K erstmals 2009</v>
      </c>
      <c r="AV447" s="169" t="str">
        <f t="shared" si="150"/>
        <v/>
      </c>
      <c r="AW447" s="170" t="str">
        <f t="shared" si="151"/>
        <v>Anteil KWK, erstmals 2009</v>
      </c>
      <c r="AX447" s="169" t="str">
        <f t="shared" si="152"/>
        <v/>
      </c>
      <c r="AY447" t="str">
        <f t="shared" si="153"/>
        <v/>
      </c>
      <c r="AZ447" t="str">
        <f t="shared" si="154"/>
        <v/>
      </c>
    </row>
    <row r="448" spans="1:52" s="145" customFormat="1" x14ac:dyDescent="0.35">
      <c r="A448" s="497" t="s">
        <v>1442</v>
      </c>
      <c r="B448" s="13" t="s">
        <v>5547</v>
      </c>
      <c r="C448" s="13" t="s">
        <v>4808</v>
      </c>
      <c r="D448" s="13" t="s">
        <v>6969</v>
      </c>
      <c r="E448" s="13" t="s">
        <v>3566</v>
      </c>
      <c r="F448" s="373">
        <f t="shared" si="161"/>
        <v>26.64</v>
      </c>
      <c r="G448" s="430">
        <v>26.64</v>
      </c>
      <c r="H448" s="399">
        <f t="shared" si="162"/>
        <v>21.31</v>
      </c>
      <c r="I448" s="576"/>
      <c r="J448" s="549" t="s">
        <v>5804</v>
      </c>
      <c r="K448" s="11"/>
      <c r="L448"/>
      <c r="M448" s="37">
        <f t="shared" si="163"/>
        <v>26.64</v>
      </c>
      <c r="N448" s="29">
        <v>11.67</v>
      </c>
      <c r="O448" s="149"/>
      <c r="P448" s="144"/>
      <c r="R448" s="145" t="s">
        <v>1017</v>
      </c>
      <c r="S448" s="145" t="s">
        <v>4179</v>
      </c>
      <c r="T448" s="145" t="s">
        <v>4179</v>
      </c>
      <c r="U448" s="146" t="s">
        <v>1017</v>
      </c>
      <c r="W448" s="147"/>
      <c r="X448" s="147"/>
      <c r="AA448" s="147"/>
      <c r="AB448" s="145" t="s">
        <v>1017</v>
      </c>
      <c r="AD448" s="147"/>
      <c r="AE448" s="148" t="s">
        <v>1017</v>
      </c>
      <c r="AF448" s="147"/>
      <c r="AG448" s="147"/>
      <c r="AH448" s="166" t="str">
        <f t="shared" si="166"/>
        <v>2010</v>
      </c>
      <c r="AI448" s="168" t="str">
        <f t="shared" si="155"/>
        <v/>
      </c>
      <c r="AJ448" s="168" t="str">
        <f t="shared" si="156"/>
        <v/>
      </c>
      <c r="AK448" s="168" t="str">
        <f t="shared" si="157"/>
        <v/>
      </c>
      <c r="AL448" s="168" t="str">
        <f t="shared" si="158"/>
        <v/>
      </c>
      <c r="AM448" s="168" t="str">
        <f t="shared" si="159"/>
        <v/>
      </c>
      <c r="AN448" s="167" t="str">
        <f t="shared" si="142"/>
        <v>2010</v>
      </c>
      <c r="AO448" s="167" t="str">
        <f t="shared" si="143"/>
        <v>2010</v>
      </c>
      <c r="AP448" s="167" t="str">
        <f t="shared" si="144"/>
        <v>2010</v>
      </c>
      <c r="AQ448" s="169" t="str">
        <f t="shared" si="145"/>
        <v/>
      </c>
      <c r="AR448" s="170" t="str">
        <f t="shared" si="146"/>
        <v>BiK81LbK10y-04</v>
      </c>
      <c r="AS448" s="169" t="str">
        <f t="shared" si="147"/>
        <v/>
      </c>
      <c r="AT448">
        <f t="shared" si="148"/>
        <v>14</v>
      </c>
      <c r="AU448" s="170" t="str">
        <f t="shared" si="149"/>
        <v>0-0,15 MW, Bonusregeln L, y, b und K erstmals 2010</v>
      </c>
      <c r="AV448" s="169" t="str">
        <f t="shared" si="150"/>
        <v/>
      </c>
      <c r="AW448" s="170" t="str">
        <f t="shared" si="151"/>
        <v>Anteil KWK, erstmals 2010</v>
      </c>
      <c r="AX448" s="169" t="str">
        <f t="shared" si="152"/>
        <v/>
      </c>
      <c r="AY448" t="str">
        <f t="shared" si="153"/>
        <v/>
      </c>
      <c r="AZ448" t="str">
        <f t="shared" si="154"/>
        <v/>
      </c>
    </row>
    <row r="449" spans="1:52" s="145" customFormat="1" x14ac:dyDescent="0.35">
      <c r="A449" s="497" t="s">
        <v>5263</v>
      </c>
      <c r="B449" s="13" t="s">
        <v>5547</v>
      </c>
      <c r="C449" s="13" t="s">
        <v>4808</v>
      </c>
      <c r="D449" s="13" t="s">
        <v>6970</v>
      </c>
      <c r="E449" s="13" t="s">
        <v>3054</v>
      </c>
      <c r="F449" s="373">
        <f t="shared" si="161"/>
        <v>26.61</v>
      </c>
      <c r="G449" s="430">
        <v>26.61</v>
      </c>
      <c r="H449" s="399">
        <f t="shared" si="162"/>
        <v>21.29</v>
      </c>
      <c r="I449" s="576"/>
      <c r="J449" s="549" t="s">
        <v>5804</v>
      </c>
      <c r="K449" s="11"/>
      <c r="L449"/>
      <c r="M449" s="37">
        <f t="shared" si="163"/>
        <v>26.61</v>
      </c>
      <c r="N449" s="29">
        <v>11.67</v>
      </c>
      <c r="O449" s="149"/>
      <c r="P449" s="144"/>
      <c r="S449" s="145" t="s">
        <v>1017</v>
      </c>
      <c r="T449" s="145" t="s">
        <v>4179</v>
      </c>
      <c r="U449" s="146" t="s">
        <v>1017</v>
      </c>
      <c r="W449" s="147"/>
      <c r="X449" s="147"/>
      <c r="AA449" s="147"/>
      <c r="AB449" s="145" t="s">
        <v>1017</v>
      </c>
      <c r="AD449" s="147"/>
      <c r="AE449" s="148" t="s">
        <v>1017</v>
      </c>
      <c r="AF449" s="147"/>
      <c r="AG449" s="147"/>
      <c r="AH449" s="166" t="str">
        <f t="shared" si="166"/>
        <v>2011</v>
      </c>
      <c r="AI449" s="168" t="str">
        <f t="shared" si="155"/>
        <v/>
      </c>
      <c r="AJ449" s="168" t="str">
        <f t="shared" si="156"/>
        <v/>
      </c>
      <c r="AK449" s="168" t="str">
        <f t="shared" si="157"/>
        <v/>
      </c>
      <c r="AL449" s="168" t="str">
        <f t="shared" si="158"/>
        <v/>
      </c>
      <c r="AM449" s="168" t="str">
        <f t="shared" si="159"/>
        <v/>
      </c>
      <c r="AN449" s="167" t="str">
        <f t="shared" si="142"/>
        <v>2011</v>
      </c>
      <c r="AO449" s="167" t="str">
        <f t="shared" si="143"/>
        <v>2011</v>
      </c>
      <c r="AP449" s="167" t="str">
        <f t="shared" si="144"/>
        <v>2011</v>
      </c>
      <c r="AQ449" s="169" t="str">
        <f t="shared" si="145"/>
        <v/>
      </c>
      <c r="AR449" s="170" t="str">
        <f t="shared" si="146"/>
        <v>BiK81LbK11y-04</v>
      </c>
      <c r="AS449" s="169" t="str">
        <f t="shared" si="147"/>
        <v/>
      </c>
      <c r="AT449">
        <f t="shared" si="148"/>
        <v>14</v>
      </c>
      <c r="AU449" s="170" t="str">
        <f t="shared" si="149"/>
        <v>0-0,15 MW, Bonusregeln L, y, b und K erstmals 2011</v>
      </c>
      <c r="AV449" s="169" t="str">
        <f t="shared" si="150"/>
        <v/>
      </c>
      <c r="AW449" s="170" t="str">
        <f t="shared" si="151"/>
        <v>Anteil KWK, erstmals 2011</v>
      </c>
      <c r="AX449" s="169" t="str">
        <f t="shared" si="152"/>
        <v/>
      </c>
      <c r="AY449" t="str">
        <f t="shared" si="153"/>
        <v>x</v>
      </c>
      <c r="AZ449" t="str">
        <f t="shared" si="154"/>
        <v/>
      </c>
    </row>
    <row r="450" spans="1:52" s="145" customFormat="1" x14ac:dyDescent="0.35">
      <c r="A450" s="511" t="s">
        <v>1514</v>
      </c>
      <c r="B450" s="173" t="s">
        <v>5547</v>
      </c>
      <c r="C450" s="173" t="s">
        <v>4808</v>
      </c>
      <c r="D450" s="173" t="s">
        <v>6971</v>
      </c>
      <c r="E450" s="173" t="s">
        <v>1980</v>
      </c>
      <c r="F450" s="374">
        <f t="shared" si="161"/>
        <v>26.58</v>
      </c>
      <c r="G450" s="431">
        <v>26.58</v>
      </c>
      <c r="H450" s="400">
        <f t="shared" si="162"/>
        <v>21.26</v>
      </c>
      <c r="I450" s="577"/>
      <c r="J450" s="549" t="s">
        <v>5804</v>
      </c>
      <c r="K450" s="11"/>
      <c r="L450"/>
      <c r="M450" s="37">
        <f t="shared" si="163"/>
        <v>26.58</v>
      </c>
      <c r="N450" s="29">
        <v>11.67</v>
      </c>
      <c r="O450" s="149"/>
      <c r="P450" s="144"/>
      <c r="S450" s="145" t="s">
        <v>4179</v>
      </c>
      <c r="T450" s="145" t="s">
        <v>1017</v>
      </c>
      <c r="U450" s="146" t="s">
        <v>1017</v>
      </c>
      <c r="W450" s="147"/>
      <c r="X450" s="147"/>
      <c r="AA450" s="147"/>
      <c r="AB450" s="145" t="s">
        <v>1017</v>
      </c>
      <c r="AD450" s="147"/>
      <c r="AE450" s="148" t="s">
        <v>1017</v>
      </c>
      <c r="AF450" s="147"/>
      <c r="AG450" s="147"/>
      <c r="AH450" s="171" t="s">
        <v>4178</v>
      </c>
      <c r="AI450" s="168" t="str">
        <f t="shared" si="155"/>
        <v/>
      </c>
      <c r="AJ450" s="168" t="str">
        <f t="shared" si="156"/>
        <v/>
      </c>
      <c r="AK450" s="168" t="str">
        <f t="shared" si="157"/>
        <v/>
      </c>
      <c r="AL450" s="168" t="str">
        <f t="shared" si="158"/>
        <v/>
      </c>
      <c r="AM450" s="168" t="str">
        <f t="shared" si="159"/>
        <v/>
      </c>
      <c r="AN450" s="167" t="str">
        <f t="shared" si="142"/>
        <v>2012</v>
      </c>
      <c r="AO450" s="167" t="str">
        <f t="shared" si="143"/>
        <v>2012</v>
      </c>
      <c r="AP450" s="167" t="str">
        <f t="shared" si="144"/>
        <v>2012</v>
      </c>
      <c r="AQ450" s="169" t="str">
        <f t="shared" si="145"/>
        <v/>
      </c>
      <c r="AR450" s="170" t="str">
        <f t="shared" si="146"/>
        <v>BiK81LbK12y-04</v>
      </c>
      <c r="AS450" s="169" t="str">
        <f t="shared" si="147"/>
        <v/>
      </c>
      <c r="AT450">
        <f t="shared" si="148"/>
        <v>14</v>
      </c>
      <c r="AU450" s="170" t="str">
        <f t="shared" si="149"/>
        <v>0-0,15 MW, Bonusregeln L, y, b und K erstmals 2012</v>
      </c>
      <c r="AV450" s="169" t="str">
        <f t="shared" si="150"/>
        <v/>
      </c>
      <c r="AW450" s="170" t="str">
        <f t="shared" si="151"/>
        <v>Anteil KWK, erstmals 2012</v>
      </c>
      <c r="AX450" s="169" t="str">
        <f t="shared" si="152"/>
        <v/>
      </c>
      <c r="AY450" t="str">
        <f t="shared" si="153"/>
        <v/>
      </c>
      <c r="AZ450" t="str">
        <f t="shared" si="154"/>
        <v>x</v>
      </c>
    </row>
    <row r="451" spans="1:52" s="145" customFormat="1" x14ac:dyDescent="0.35">
      <c r="A451" s="497" t="s">
        <v>2373</v>
      </c>
      <c r="B451" s="13" t="s">
        <v>5547</v>
      </c>
      <c r="C451" s="13" t="s">
        <v>4808</v>
      </c>
      <c r="D451" s="13" t="s">
        <v>6972</v>
      </c>
      <c r="E451" s="13" t="s">
        <v>4809</v>
      </c>
      <c r="F451" s="373">
        <f t="shared" si="161"/>
        <v>26.67</v>
      </c>
      <c r="G451" s="430">
        <v>26.67</v>
      </c>
      <c r="H451" s="399">
        <f t="shared" si="162"/>
        <v>21.34</v>
      </c>
      <c r="I451" s="576"/>
      <c r="J451" s="549" t="s">
        <v>5804</v>
      </c>
      <c r="K451" s="11"/>
      <c r="L451"/>
      <c r="M451" s="37">
        <f t="shared" si="163"/>
        <v>26.67</v>
      </c>
      <c r="N451" s="29">
        <v>11.67</v>
      </c>
      <c r="O451" s="149"/>
      <c r="P451" s="144"/>
      <c r="S451" s="145" t="s">
        <v>4179</v>
      </c>
      <c r="T451" s="145" t="s">
        <v>4179</v>
      </c>
      <c r="U451" s="146"/>
      <c r="W451" s="147"/>
      <c r="X451" s="147"/>
      <c r="AA451" s="147"/>
      <c r="AC451" s="145" t="s">
        <v>1017</v>
      </c>
      <c r="AD451" s="147"/>
      <c r="AE451" s="148" t="s">
        <v>1017</v>
      </c>
      <c r="AF451" s="147"/>
      <c r="AG451" s="147"/>
      <c r="AH451" s="166" t="str">
        <f t="shared" ref="AH451:AH456" si="167">IF(ISERROR(SEARCH("K erstmals 201",D451)),"",RIGHT(D451,4))</f>
        <v/>
      </c>
      <c r="AI451" s="168" t="str">
        <f t="shared" si="155"/>
        <v/>
      </c>
      <c r="AJ451" s="168" t="str">
        <f t="shared" si="156"/>
        <v/>
      </c>
      <c r="AK451" s="168" t="str">
        <f t="shared" si="157"/>
        <v/>
      </c>
      <c r="AL451" s="168" t="str">
        <f t="shared" si="158"/>
        <v/>
      </c>
      <c r="AM451" s="168" t="str">
        <f t="shared" si="159"/>
        <v/>
      </c>
      <c r="AN451" s="167" t="str">
        <f t="shared" si="142"/>
        <v/>
      </c>
      <c r="AO451" s="167" t="str">
        <f t="shared" si="143"/>
        <v/>
      </c>
      <c r="AP451" s="167" t="str">
        <f t="shared" si="144"/>
        <v/>
      </c>
      <c r="AQ451" s="169" t="str">
        <f t="shared" si="145"/>
        <v/>
      </c>
      <c r="AR451" s="170" t="str">
        <f t="shared" si="146"/>
        <v>BiK81X1b----04</v>
      </c>
      <c r="AS451" s="169" t="str">
        <f t="shared" si="147"/>
        <v/>
      </c>
      <c r="AT451">
        <f t="shared" si="148"/>
        <v>14</v>
      </c>
      <c r="AU451" s="170" t="str">
        <f t="shared" si="149"/>
        <v>0-0,15 MW, Bonusregeln X1, b</v>
      </c>
      <c r="AV451" s="169" t="str">
        <f t="shared" si="150"/>
        <v/>
      </c>
      <c r="AW451" s="170" t="str">
        <f t="shared" si="151"/>
        <v>Anteil Nicht-KWK</v>
      </c>
      <c r="AX451" s="169" t="str">
        <f t="shared" si="152"/>
        <v/>
      </c>
      <c r="AY451" t="str">
        <f t="shared" si="153"/>
        <v/>
      </c>
      <c r="AZ451" t="str">
        <f t="shared" si="154"/>
        <v/>
      </c>
    </row>
    <row r="452" spans="1:52" s="145" customFormat="1" x14ac:dyDescent="0.35">
      <c r="A452" s="497" t="s">
        <v>2374</v>
      </c>
      <c r="B452" s="13" t="s">
        <v>5547</v>
      </c>
      <c r="C452" s="13" t="s">
        <v>4808</v>
      </c>
      <c r="D452" s="13" t="s">
        <v>6973</v>
      </c>
      <c r="E452" s="13" t="s">
        <v>4811</v>
      </c>
      <c r="F452" s="373">
        <f t="shared" si="161"/>
        <v>28.67</v>
      </c>
      <c r="G452" s="430">
        <v>28.67</v>
      </c>
      <c r="H452" s="399">
        <f t="shared" si="162"/>
        <v>22.94</v>
      </c>
      <c r="I452" s="576"/>
      <c r="J452" s="549" t="s">
        <v>5804</v>
      </c>
      <c r="K452" s="11"/>
      <c r="L452"/>
      <c r="M452" s="37">
        <f t="shared" si="163"/>
        <v>28.67</v>
      </c>
      <c r="N452" s="29">
        <v>11.67</v>
      </c>
      <c r="O452" s="149" t="s">
        <v>1017</v>
      </c>
      <c r="P452" s="144"/>
      <c r="S452" s="145" t="s">
        <v>4179</v>
      </c>
      <c r="T452" s="145" t="s">
        <v>4179</v>
      </c>
      <c r="U452" s="146"/>
      <c r="W452" s="147"/>
      <c r="X452" s="147"/>
      <c r="AA452" s="147"/>
      <c r="AC452" s="145" t="s">
        <v>1017</v>
      </c>
      <c r="AD452" s="147"/>
      <c r="AE452" s="148" t="s">
        <v>1017</v>
      </c>
      <c r="AF452" s="147"/>
      <c r="AG452" s="147"/>
      <c r="AH452" s="166" t="str">
        <f t="shared" si="167"/>
        <v/>
      </c>
      <c r="AI452" s="168" t="str">
        <f t="shared" si="155"/>
        <v/>
      </c>
      <c r="AJ452" s="168" t="str">
        <f t="shared" si="156"/>
        <v/>
      </c>
      <c r="AK452" s="168" t="str">
        <f t="shared" si="157"/>
        <v/>
      </c>
      <c r="AL452" s="168" t="str">
        <f t="shared" si="158"/>
        <v/>
      </c>
      <c r="AM452" s="168" t="str">
        <f t="shared" si="159"/>
        <v/>
      </c>
      <c r="AN452" s="167" t="str">
        <f t="shared" si="142"/>
        <v/>
      </c>
      <c r="AO452" s="167" t="str">
        <f t="shared" si="143"/>
        <v/>
      </c>
      <c r="AP452" s="167" t="str">
        <f t="shared" si="144"/>
        <v/>
      </c>
      <c r="AQ452" s="169" t="str">
        <f t="shared" si="145"/>
        <v/>
      </c>
      <c r="AR452" s="170" t="str">
        <f t="shared" si="146"/>
        <v>BiK81X1bKWK-04</v>
      </c>
      <c r="AS452" s="169" t="str">
        <f t="shared" si="147"/>
        <v/>
      </c>
      <c r="AT452">
        <f t="shared" si="148"/>
        <v>14</v>
      </c>
      <c r="AU452" s="170" t="str">
        <f t="shared" si="149"/>
        <v>0-0,15 MW, Bonusregeln X1, b und KWK</v>
      </c>
      <c r="AV452" s="169" t="str">
        <f t="shared" si="150"/>
        <v/>
      </c>
      <c r="AW452" s="170" t="str">
        <f t="shared" si="151"/>
        <v>Anteil KWK</v>
      </c>
      <c r="AX452" s="169" t="str">
        <f t="shared" si="152"/>
        <v/>
      </c>
      <c r="AY452" t="str">
        <f t="shared" si="153"/>
        <v/>
      </c>
      <c r="AZ452" t="str">
        <f t="shared" si="154"/>
        <v/>
      </c>
    </row>
    <row r="453" spans="1:52" s="145" customFormat="1" x14ac:dyDescent="0.35">
      <c r="A453" s="497" t="s">
        <v>2375</v>
      </c>
      <c r="B453" s="13" t="s">
        <v>5547</v>
      </c>
      <c r="C453" s="13" t="s">
        <v>4808</v>
      </c>
      <c r="D453" s="13" t="s">
        <v>6974</v>
      </c>
      <c r="E453" s="13" t="s">
        <v>4330</v>
      </c>
      <c r="F453" s="373">
        <f t="shared" si="161"/>
        <v>29.67</v>
      </c>
      <c r="G453" s="430">
        <v>29.67</v>
      </c>
      <c r="H453" s="399">
        <f t="shared" si="162"/>
        <v>23.74</v>
      </c>
      <c r="I453" s="576"/>
      <c r="J453" s="549" t="s">
        <v>5804</v>
      </c>
      <c r="K453" s="11"/>
      <c r="L453"/>
      <c r="M453" s="37">
        <f t="shared" si="163"/>
        <v>29.67</v>
      </c>
      <c r="N453" s="29">
        <v>11.67</v>
      </c>
      <c r="O453" s="149"/>
      <c r="P453" s="145" t="s">
        <v>1017</v>
      </c>
      <c r="S453" s="145" t="s">
        <v>4179</v>
      </c>
      <c r="T453" s="145" t="s">
        <v>4179</v>
      </c>
      <c r="U453" s="146"/>
      <c r="W453" s="147"/>
      <c r="X453" s="147"/>
      <c r="AA453" s="147"/>
      <c r="AC453" s="145" t="s">
        <v>1017</v>
      </c>
      <c r="AD453" s="147"/>
      <c r="AE453" s="148" t="s">
        <v>1017</v>
      </c>
      <c r="AF453" s="147"/>
      <c r="AG453" s="147"/>
      <c r="AH453" s="166" t="str">
        <f t="shared" si="167"/>
        <v/>
      </c>
      <c r="AI453" s="168" t="str">
        <f t="shared" si="155"/>
        <v/>
      </c>
      <c r="AJ453" s="168" t="str">
        <f t="shared" si="156"/>
        <v/>
      </c>
      <c r="AK453" s="168" t="str">
        <f t="shared" si="157"/>
        <v/>
      </c>
      <c r="AL453" s="168" t="str">
        <f t="shared" si="158"/>
        <v/>
      </c>
      <c r="AM453" s="168" t="str">
        <f t="shared" si="159"/>
        <v/>
      </c>
      <c r="AN453" s="167" t="str">
        <f t="shared" si="142"/>
        <v/>
      </c>
      <c r="AO453" s="167" t="str">
        <f t="shared" si="143"/>
        <v/>
      </c>
      <c r="AP453" s="167" t="str">
        <f t="shared" si="144"/>
        <v/>
      </c>
      <c r="AQ453" s="169" t="str">
        <f t="shared" si="145"/>
        <v/>
      </c>
      <c r="AR453" s="170" t="str">
        <f t="shared" si="146"/>
        <v>BiK81X1bKA3-04</v>
      </c>
      <c r="AS453" s="169" t="str">
        <f t="shared" si="147"/>
        <v/>
      </c>
      <c r="AT453">
        <f t="shared" si="148"/>
        <v>14</v>
      </c>
      <c r="AU453" s="170" t="str">
        <f t="shared" si="149"/>
        <v>0-0,15 MW, Bonusregeln X1, b und K wenn Anlage 3 erfüllt</v>
      </c>
      <c r="AV453" s="169" t="str">
        <f t="shared" si="150"/>
        <v/>
      </c>
      <c r="AW453" s="170" t="str">
        <f t="shared" si="151"/>
        <v>Anteil KWK gemäß Anlage 3</v>
      </c>
      <c r="AX453" s="169" t="str">
        <f t="shared" si="152"/>
        <v/>
      </c>
      <c r="AY453" t="str">
        <f t="shared" si="153"/>
        <v/>
      </c>
      <c r="AZ453" t="str">
        <f t="shared" si="154"/>
        <v/>
      </c>
    </row>
    <row r="454" spans="1:52" s="145" customFormat="1" x14ac:dyDescent="0.35">
      <c r="A454" s="497" t="s">
        <v>2376</v>
      </c>
      <c r="B454" s="13" t="s">
        <v>5547</v>
      </c>
      <c r="C454" s="13" t="s">
        <v>4808</v>
      </c>
      <c r="D454" s="13" t="s">
        <v>6975</v>
      </c>
      <c r="E454" s="13" t="s">
        <v>674</v>
      </c>
      <c r="F454" s="373">
        <f t="shared" si="161"/>
        <v>29.67</v>
      </c>
      <c r="G454" s="430">
        <v>29.67</v>
      </c>
      <c r="H454" s="399">
        <f t="shared" si="162"/>
        <v>23.74</v>
      </c>
      <c r="I454" s="576"/>
      <c r="J454" s="549" t="s">
        <v>5804</v>
      </c>
      <c r="K454" s="11"/>
      <c r="L454"/>
      <c r="M454" s="37">
        <f t="shared" si="163"/>
        <v>29.67</v>
      </c>
      <c r="N454" s="29">
        <v>11.67</v>
      </c>
      <c r="O454" s="149"/>
      <c r="P454" s="144"/>
      <c r="Q454" s="145" t="s">
        <v>1017</v>
      </c>
      <c r="S454" s="145" t="s">
        <v>4179</v>
      </c>
      <c r="T454" s="145" t="s">
        <v>4179</v>
      </c>
      <c r="U454" s="146"/>
      <c r="W454" s="147"/>
      <c r="X454" s="147"/>
      <c r="AA454" s="147"/>
      <c r="AC454" s="145" t="s">
        <v>1017</v>
      </c>
      <c r="AD454" s="147"/>
      <c r="AE454" s="148" t="s">
        <v>1017</v>
      </c>
      <c r="AF454" s="147"/>
      <c r="AG454" s="147"/>
      <c r="AH454" s="166" t="str">
        <f t="shared" si="167"/>
        <v/>
      </c>
      <c r="AI454" s="168" t="str">
        <f t="shared" si="155"/>
        <v/>
      </c>
      <c r="AJ454" s="168" t="str">
        <f t="shared" si="156"/>
        <v/>
      </c>
      <c r="AK454" s="168" t="str">
        <f t="shared" si="157"/>
        <v/>
      </c>
      <c r="AL454" s="168" t="str">
        <f t="shared" si="158"/>
        <v/>
      </c>
      <c r="AM454" s="168" t="str">
        <f t="shared" si="159"/>
        <v/>
      </c>
      <c r="AN454" s="167" t="str">
        <f t="shared" si="142"/>
        <v/>
      </c>
      <c r="AO454" s="167" t="str">
        <f t="shared" si="143"/>
        <v/>
      </c>
      <c r="AP454" s="167" t="str">
        <f t="shared" si="144"/>
        <v/>
      </c>
      <c r="AQ454" s="169" t="str">
        <f t="shared" si="145"/>
        <v/>
      </c>
      <c r="AR454" s="170" t="str">
        <f t="shared" si="146"/>
        <v>BiK81X1bK09-04</v>
      </c>
      <c r="AS454" s="169" t="str">
        <f t="shared" si="147"/>
        <v/>
      </c>
      <c r="AT454">
        <f t="shared" si="148"/>
        <v>14</v>
      </c>
      <c r="AU454" s="170" t="str">
        <f t="shared" si="149"/>
        <v>0-0,15 MW, Bonusregeln X1, b und K erstmals 2009</v>
      </c>
      <c r="AV454" s="169" t="str">
        <f t="shared" si="150"/>
        <v/>
      </c>
      <c r="AW454" s="170" t="str">
        <f t="shared" si="151"/>
        <v>Anteil KWK, erstmals 2009</v>
      </c>
      <c r="AX454" s="169" t="str">
        <f t="shared" si="152"/>
        <v/>
      </c>
      <c r="AY454" t="str">
        <f t="shared" si="153"/>
        <v/>
      </c>
      <c r="AZ454" t="str">
        <f t="shared" si="154"/>
        <v/>
      </c>
    </row>
    <row r="455" spans="1:52" s="145" customFormat="1" x14ac:dyDescent="0.35">
      <c r="A455" s="497" t="s">
        <v>1443</v>
      </c>
      <c r="B455" s="13" t="s">
        <v>5547</v>
      </c>
      <c r="C455" s="13" t="s">
        <v>4808</v>
      </c>
      <c r="D455" s="13" t="s">
        <v>6976</v>
      </c>
      <c r="E455" s="13" t="s">
        <v>3566</v>
      </c>
      <c r="F455" s="373">
        <f t="shared" si="161"/>
        <v>29.64</v>
      </c>
      <c r="G455" s="430">
        <v>29.64</v>
      </c>
      <c r="H455" s="399">
        <f t="shared" si="162"/>
        <v>23.71</v>
      </c>
      <c r="I455" s="576"/>
      <c r="J455" s="549" t="s">
        <v>5804</v>
      </c>
      <c r="K455" s="11"/>
      <c r="L455"/>
      <c r="M455" s="37">
        <f t="shared" si="163"/>
        <v>29.64</v>
      </c>
      <c r="N455" s="29">
        <v>11.67</v>
      </c>
      <c r="O455" s="149"/>
      <c r="P455" s="144"/>
      <c r="R455" s="145" t="s">
        <v>1017</v>
      </c>
      <c r="S455" s="145" t="s">
        <v>4179</v>
      </c>
      <c r="T455" s="145" t="s">
        <v>4179</v>
      </c>
      <c r="U455" s="146"/>
      <c r="W455" s="147"/>
      <c r="X455" s="147"/>
      <c r="AA455" s="147"/>
      <c r="AC455" s="145" t="s">
        <v>1017</v>
      </c>
      <c r="AD455" s="147"/>
      <c r="AE455" s="148" t="s">
        <v>1017</v>
      </c>
      <c r="AF455" s="147"/>
      <c r="AG455" s="147"/>
      <c r="AH455" s="166" t="str">
        <f t="shared" si="167"/>
        <v>2010</v>
      </c>
      <c r="AI455" s="168" t="str">
        <f t="shared" si="155"/>
        <v/>
      </c>
      <c r="AJ455" s="168" t="str">
        <f t="shared" si="156"/>
        <v/>
      </c>
      <c r="AK455" s="168" t="str">
        <f t="shared" si="157"/>
        <v/>
      </c>
      <c r="AL455" s="168" t="str">
        <f t="shared" si="158"/>
        <v/>
      </c>
      <c r="AM455" s="168" t="str">
        <f t="shared" si="159"/>
        <v/>
      </c>
      <c r="AN455" s="167" t="str">
        <f t="shared" si="142"/>
        <v>2010</v>
      </c>
      <c r="AO455" s="167" t="str">
        <f t="shared" si="143"/>
        <v>2010</v>
      </c>
      <c r="AP455" s="167" t="str">
        <f t="shared" si="144"/>
        <v>2010</v>
      </c>
      <c r="AQ455" s="169" t="str">
        <f t="shared" si="145"/>
        <v/>
      </c>
      <c r="AR455" s="170" t="str">
        <f t="shared" si="146"/>
        <v>BiK81X1bK10-04</v>
      </c>
      <c r="AS455" s="169" t="str">
        <f t="shared" si="147"/>
        <v/>
      </c>
      <c r="AT455">
        <f t="shared" si="148"/>
        <v>14</v>
      </c>
      <c r="AU455" s="170" t="str">
        <f t="shared" si="149"/>
        <v>0-0,15 MW, Bonusregeln X1, b und K erstmals 2010</v>
      </c>
      <c r="AV455" s="169" t="str">
        <f t="shared" si="150"/>
        <v/>
      </c>
      <c r="AW455" s="170" t="str">
        <f t="shared" si="151"/>
        <v>Anteil KWK, erstmals 2010</v>
      </c>
      <c r="AX455" s="169" t="str">
        <f t="shared" si="152"/>
        <v/>
      </c>
      <c r="AY455" t="str">
        <f t="shared" si="153"/>
        <v/>
      </c>
      <c r="AZ455" t="str">
        <f t="shared" si="154"/>
        <v/>
      </c>
    </row>
    <row r="456" spans="1:52" s="145" customFormat="1" x14ac:dyDescent="0.35">
      <c r="A456" s="497" t="s">
        <v>5264</v>
      </c>
      <c r="B456" s="13" t="s">
        <v>5547</v>
      </c>
      <c r="C456" s="13" t="s">
        <v>4808</v>
      </c>
      <c r="D456" s="13" t="s">
        <v>6977</v>
      </c>
      <c r="E456" s="13" t="s">
        <v>3054</v>
      </c>
      <c r="F456" s="373">
        <f t="shared" si="161"/>
        <v>29.61</v>
      </c>
      <c r="G456" s="430">
        <v>29.61</v>
      </c>
      <c r="H456" s="399">
        <f t="shared" si="162"/>
        <v>23.69</v>
      </c>
      <c r="I456" s="576"/>
      <c r="J456" s="549" t="s">
        <v>5804</v>
      </c>
      <c r="K456" s="11"/>
      <c r="L456"/>
      <c r="M456" s="37">
        <f t="shared" si="163"/>
        <v>29.61</v>
      </c>
      <c r="N456" s="29">
        <v>11.67</v>
      </c>
      <c r="O456" s="149"/>
      <c r="P456" s="144"/>
      <c r="S456" s="145" t="s">
        <v>1017</v>
      </c>
      <c r="T456" s="145" t="s">
        <v>4179</v>
      </c>
      <c r="U456" s="146"/>
      <c r="W456" s="147"/>
      <c r="X456" s="147"/>
      <c r="AA456" s="147"/>
      <c r="AC456" s="145" t="s">
        <v>1017</v>
      </c>
      <c r="AD456" s="147"/>
      <c r="AE456" s="148" t="s">
        <v>1017</v>
      </c>
      <c r="AF456" s="147"/>
      <c r="AG456" s="147"/>
      <c r="AH456" s="166" t="str">
        <f t="shared" si="167"/>
        <v>2011</v>
      </c>
      <c r="AI456" s="168" t="str">
        <f t="shared" si="155"/>
        <v/>
      </c>
      <c r="AJ456" s="168" t="str">
        <f t="shared" si="156"/>
        <v/>
      </c>
      <c r="AK456" s="168" t="str">
        <f t="shared" si="157"/>
        <v/>
      </c>
      <c r="AL456" s="168" t="str">
        <f t="shared" si="158"/>
        <v/>
      </c>
      <c r="AM456" s="168" t="str">
        <f t="shared" si="159"/>
        <v/>
      </c>
      <c r="AN456" s="167" t="str">
        <f t="shared" si="142"/>
        <v>2011</v>
      </c>
      <c r="AO456" s="167" t="str">
        <f t="shared" si="143"/>
        <v>2011</v>
      </c>
      <c r="AP456" s="167" t="str">
        <f t="shared" si="144"/>
        <v>2011</v>
      </c>
      <c r="AQ456" s="169" t="str">
        <f t="shared" si="145"/>
        <v/>
      </c>
      <c r="AR456" s="170" t="str">
        <f t="shared" si="146"/>
        <v>BiK81X1bK11-04</v>
      </c>
      <c r="AS456" s="169" t="str">
        <f t="shared" si="147"/>
        <v/>
      </c>
      <c r="AT456">
        <f t="shared" si="148"/>
        <v>14</v>
      </c>
      <c r="AU456" s="170" t="str">
        <f t="shared" si="149"/>
        <v>0-0,15 MW, Bonusregeln X1, b und K erstmals 2011</v>
      </c>
      <c r="AV456" s="169" t="str">
        <f t="shared" si="150"/>
        <v/>
      </c>
      <c r="AW456" s="170" t="str">
        <f t="shared" si="151"/>
        <v>Anteil KWK, erstmals 2011</v>
      </c>
      <c r="AX456" s="169" t="str">
        <f t="shared" si="152"/>
        <v/>
      </c>
      <c r="AY456" t="str">
        <f t="shared" si="153"/>
        <v>x</v>
      </c>
      <c r="AZ456" t="str">
        <f t="shared" si="154"/>
        <v/>
      </c>
    </row>
    <row r="457" spans="1:52" s="145" customFormat="1" x14ac:dyDescent="0.35">
      <c r="A457" s="511" t="s">
        <v>1515</v>
      </c>
      <c r="B457" s="173" t="s">
        <v>5547</v>
      </c>
      <c r="C457" s="173" t="s">
        <v>4808</v>
      </c>
      <c r="D457" s="173" t="s">
        <v>6978</v>
      </c>
      <c r="E457" s="173" t="s">
        <v>1980</v>
      </c>
      <c r="F457" s="374">
        <f t="shared" si="161"/>
        <v>29.58</v>
      </c>
      <c r="G457" s="431">
        <v>29.58</v>
      </c>
      <c r="H457" s="400">
        <f t="shared" si="162"/>
        <v>23.66</v>
      </c>
      <c r="I457" s="577"/>
      <c r="J457" s="549" t="s">
        <v>5804</v>
      </c>
      <c r="K457" s="11"/>
      <c r="L457"/>
      <c r="M457" s="37">
        <f t="shared" si="163"/>
        <v>29.58</v>
      </c>
      <c r="N457" s="29">
        <v>11.67</v>
      </c>
      <c r="O457" s="149"/>
      <c r="P457" s="144"/>
      <c r="S457" s="145" t="s">
        <v>4179</v>
      </c>
      <c r="T457" s="145" t="s">
        <v>1017</v>
      </c>
      <c r="U457" s="146"/>
      <c r="W457" s="147"/>
      <c r="X457" s="147"/>
      <c r="AA457" s="147"/>
      <c r="AC457" s="145" t="s">
        <v>1017</v>
      </c>
      <c r="AD457" s="147"/>
      <c r="AE457" s="148" t="s">
        <v>1017</v>
      </c>
      <c r="AF457" s="147"/>
      <c r="AG457" s="147"/>
      <c r="AH457" s="171" t="s">
        <v>4178</v>
      </c>
      <c r="AI457" s="168" t="str">
        <f t="shared" si="155"/>
        <v/>
      </c>
      <c r="AJ457" s="168" t="str">
        <f t="shared" si="156"/>
        <v/>
      </c>
      <c r="AK457" s="168" t="str">
        <f t="shared" si="157"/>
        <v/>
      </c>
      <c r="AL457" s="168" t="str">
        <f t="shared" si="158"/>
        <v/>
      </c>
      <c r="AM457" s="168" t="str">
        <f t="shared" si="159"/>
        <v/>
      </c>
      <c r="AN457" s="167" t="str">
        <f t="shared" si="142"/>
        <v>2012</v>
      </c>
      <c r="AO457" s="167" t="str">
        <f t="shared" si="143"/>
        <v>2012</v>
      </c>
      <c r="AP457" s="167" t="str">
        <f t="shared" si="144"/>
        <v>2012</v>
      </c>
      <c r="AQ457" s="169" t="str">
        <f t="shared" si="145"/>
        <v/>
      </c>
      <c r="AR457" s="170" t="str">
        <f t="shared" si="146"/>
        <v>BiK81X1bK12-04</v>
      </c>
      <c r="AS457" s="169" t="str">
        <f t="shared" si="147"/>
        <v/>
      </c>
      <c r="AT457">
        <f t="shared" si="148"/>
        <v>14</v>
      </c>
      <c r="AU457" s="170" t="str">
        <f t="shared" si="149"/>
        <v>0-0,15 MW, Bonusregeln X1, b und K erstmals 2012</v>
      </c>
      <c r="AV457" s="169" t="str">
        <f t="shared" si="150"/>
        <v/>
      </c>
      <c r="AW457" s="170" t="str">
        <f t="shared" si="151"/>
        <v>Anteil KWK, erstmals 2012</v>
      </c>
      <c r="AX457" s="169" t="str">
        <f t="shared" si="152"/>
        <v/>
      </c>
      <c r="AY457" t="str">
        <f t="shared" si="153"/>
        <v/>
      </c>
      <c r="AZ457" t="str">
        <f t="shared" si="154"/>
        <v>x</v>
      </c>
    </row>
    <row r="458" spans="1:52" s="145" customFormat="1" x14ac:dyDescent="0.35">
      <c r="A458" s="497" t="s">
        <v>2085</v>
      </c>
      <c r="B458" s="13" t="s">
        <v>5547</v>
      </c>
      <c r="C458" s="13" t="s">
        <v>4808</v>
      </c>
      <c r="D458" s="13" t="s">
        <v>6979</v>
      </c>
      <c r="E458" s="13" t="s">
        <v>4809</v>
      </c>
      <c r="F458" s="373">
        <f t="shared" si="161"/>
        <v>27.67</v>
      </c>
      <c r="G458" s="430">
        <v>27.67</v>
      </c>
      <c r="H458" s="399">
        <f t="shared" si="162"/>
        <v>22.14</v>
      </c>
      <c r="I458" s="576"/>
      <c r="J458" s="549" t="s">
        <v>5804</v>
      </c>
      <c r="K458" s="11"/>
      <c r="L458"/>
      <c r="M458" s="37">
        <f t="shared" si="163"/>
        <v>27.67</v>
      </c>
      <c r="N458" s="29">
        <v>11.67</v>
      </c>
      <c r="O458" s="149"/>
      <c r="P458" s="144"/>
      <c r="S458" s="145" t="s">
        <v>4179</v>
      </c>
      <c r="T458" s="145" t="s">
        <v>4179</v>
      </c>
      <c r="U458" s="146" t="s">
        <v>1017</v>
      </c>
      <c r="W458" s="147"/>
      <c r="X458" s="147"/>
      <c r="AA458" s="147"/>
      <c r="AC458" s="145" t="s">
        <v>1017</v>
      </c>
      <c r="AD458" s="147"/>
      <c r="AE458" s="148" t="s">
        <v>1017</v>
      </c>
      <c r="AF458" s="147"/>
      <c r="AG458" s="147"/>
      <c r="AH458" s="166" t="str">
        <f t="shared" ref="AH458:AH463" si="168">IF(ISERROR(SEARCH("K erstmals 201",D458)),"",RIGHT(D458,4))</f>
        <v/>
      </c>
      <c r="AI458" s="168" t="str">
        <f t="shared" si="155"/>
        <v/>
      </c>
      <c r="AJ458" s="168" t="str">
        <f t="shared" si="156"/>
        <v/>
      </c>
      <c r="AK458" s="168" t="str">
        <f t="shared" si="157"/>
        <v/>
      </c>
      <c r="AL458" s="168" t="str">
        <f t="shared" si="158"/>
        <v/>
      </c>
      <c r="AM458" s="168" t="str">
        <f t="shared" si="159"/>
        <v/>
      </c>
      <c r="AN458" s="167" t="str">
        <f t="shared" si="142"/>
        <v/>
      </c>
      <c r="AO458" s="167" t="str">
        <f t="shared" si="143"/>
        <v/>
      </c>
      <c r="AP458" s="167" t="str">
        <f t="shared" si="144"/>
        <v/>
      </c>
      <c r="AQ458" s="169" t="str">
        <f t="shared" si="145"/>
        <v/>
      </c>
      <c r="AR458" s="170" t="str">
        <f t="shared" si="146"/>
        <v>BiK81X1by---04</v>
      </c>
      <c r="AS458" s="169" t="str">
        <f t="shared" si="147"/>
        <v/>
      </c>
      <c r="AT458">
        <f t="shared" si="148"/>
        <v>14</v>
      </c>
      <c r="AU458" s="170" t="str">
        <f t="shared" si="149"/>
        <v>0-0,15 MW, Bonusregeln X1, y, b</v>
      </c>
      <c r="AV458" s="169" t="str">
        <f t="shared" si="150"/>
        <v/>
      </c>
      <c r="AW458" s="170" t="str">
        <f t="shared" si="151"/>
        <v>Anteil Nicht-KWK</v>
      </c>
      <c r="AX458" s="169" t="str">
        <f t="shared" si="152"/>
        <v/>
      </c>
      <c r="AY458" t="str">
        <f t="shared" si="153"/>
        <v/>
      </c>
      <c r="AZ458" t="str">
        <f t="shared" si="154"/>
        <v/>
      </c>
    </row>
    <row r="459" spans="1:52" s="145" customFormat="1" x14ac:dyDescent="0.35">
      <c r="A459" s="497" t="s">
        <v>2086</v>
      </c>
      <c r="B459" s="13" t="s">
        <v>5547</v>
      </c>
      <c r="C459" s="13" t="s">
        <v>4808</v>
      </c>
      <c r="D459" s="13" t="s">
        <v>6980</v>
      </c>
      <c r="E459" s="13" t="s">
        <v>4811</v>
      </c>
      <c r="F459" s="373">
        <f t="shared" si="161"/>
        <v>29.67</v>
      </c>
      <c r="G459" s="430">
        <v>29.67</v>
      </c>
      <c r="H459" s="399">
        <f t="shared" si="162"/>
        <v>23.74</v>
      </c>
      <c r="I459" s="576"/>
      <c r="J459" s="549" t="s">
        <v>5804</v>
      </c>
      <c r="K459" s="11"/>
      <c r="L459"/>
      <c r="M459" s="37">
        <f t="shared" si="163"/>
        <v>29.67</v>
      </c>
      <c r="N459" s="29">
        <v>11.67</v>
      </c>
      <c r="O459" s="149" t="s">
        <v>1017</v>
      </c>
      <c r="P459" s="144"/>
      <c r="S459" s="145" t="s">
        <v>4179</v>
      </c>
      <c r="T459" s="145" t="s">
        <v>4179</v>
      </c>
      <c r="U459" s="146" t="s">
        <v>1017</v>
      </c>
      <c r="W459" s="147"/>
      <c r="X459" s="147"/>
      <c r="AA459" s="147"/>
      <c r="AC459" s="145" t="s">
        <v>1017</v>
      </c>
      <c r="AD459" s="147"/>
      <c r="AE459" s="148" t="s">
        <v>1017</v>
      </c>
      <c r="AF459" s="147"/>
      <c r="AG459" s="147"/>
      <c r="AH459" s="166" t="str">
        <f t="shared" si="168"/>
        <v/>
      </c>
      <c r="AI459" s="168" t="str">
        <f t="shared" si="155"/>
        <v/>
      </c>
      <c r="AJ459" s="168" t="str">
        <f t="shared" si="156"/>
        <v/>
      </c>
      <c r="AK459" s="168" t="str">
        <f t="shared" si="157"/>
        <v/>
      </c>
      <c r="AL459" s="168" t="str">
        <f t="shared" si="158"/>
        <v/>
      </c>
      <c r="AM459" s="168" t="str">
        <f t="shared" si="159"/>
        <v/>
      </c>
      <c r="AN459" s="167" t="str">
        <f t="shared" si="142"/>
        <v/>
      </c>
      <c r="AO459" s="167" t="str">
        <f t="shared" si="143"/>
        <v/>
      </c>
      <c r="AP459" s="167" t="str">
        <f t="shared" si="144"/>
        <v/>
      </c>
      <c r="AQ459" s="169" t="str">
        <f t="shared" si="145"/>
        <v/>
      </c>
      <c r="AR459" s="170" t="str">
        <f t="shared" si="146"/>
        <v>BiK81X1bKWKy04</v>
      </c>
      <c r="AS459" s="169" t="str">
        <f t="shared" si="147"/>
        <v/>
      </c>
      <c r="AT459">
        <f t="shared" si="148"/>
        <v>14</v>
      </c>
      <c r="AU459" s="170" t="str">
        <f t="shared" si="149"/>
        <v>0-0,15 MW, Bonusregeln X1, y, b und KWK</v>
      </c>
      <c r="AV459" s="169" t="str">
        <f t="shared" si="150"/>
        <v/>
      </c>
      <c r="AW459" s="170" t="str">
        <f t="shared" si="151"/>
        <v>Anteil KWK</v>
      </c>
      <c r="AX459" s="169" t="str">
        <f t="shared" si="152"/>
        <v/>
      </c>
      <c r="AY459" t="str">
        <f t="shared" si="153"/>
        <v/>
      </c>
      <c r="AZ459" t="str">
        <f t="shared" si="154"/>
        <v/>
      </c>
    </row>
    <row r="460" spans="1:52" s="145" customFormat="1" x14ac:dyDescent="0.35">
      <c r="A460" s="497" t="s">
        <v>2087</v>
      </c>
      <c r="B460" s="13" t="s">
        <v>5547</v>
      </c>
      <c r="C460" s="13" t="s">
        <v>4808</v>
      </c>
      <c r="D460" s="88" t="s">
        <v>6981</v>
      </c>
      <c r="E460" s="13" t="s">
        <v>4330</v>
      </c>
      <c r="F460" s="373">
        <f t="shared" si="161"/>
        <v>30.67</v>
      </c>
      <c r="G460" s="430">
        <v>30.67</v>
      </c>
      <c r="H460" s="399">
        <f t="shared" si="162"/>
        <v>24.54</v>
      </c>
      <c r="I460" s="576"/>
      <c r="J460" s="549" t="s">
        <v>5804</v>
      </c>
      <c r="K460" s="11"/>
      <c r="L460"/>
      <c r="M460" s="37">
        <f t="shared" si="163"/>
        <v>30.67</v>
      </c>
      <c r="N460" s="29">
        <v>11.67</v>
      </c>
      <c r="O460" s="149"/>
      <c r="P460" s="145" t="s">
        <v>1017</v>
      </c>
      <c r="S460" s="145" t="s">
        <v>4179</v>
      </c>
      <c r="T460" s="145" t="s">
        <v>4179</v>
      </c>
      <c r="U460" s="146" t="s">
        <v>1017</v>
      </c>
      <c r="W460" s="147"/>
      <c r="X460" s="147"/>
      <c r="AA460" s="147"/>
      <c r="AC460" s="145" t="s">
        <v>1017</v>
      </c>
      <c r="AD460" s="147"/>
      <c r="AE460" s="148" t="s">
        <v>1017</v>
      </c>
      <c r="AF460" s="147"/>
      <c r="AG460" s="147"/>
      <c r="AH460" s="166" t="str">
        <f t="shared" si="168"/>
        <v/>
      </c>
      <c r="AI460" s="168" t="str">
        <f t="shared" si="155"/>
        <v/>
      </c>
      <c r="AJ460" s="168" t="str">
        <f t="shared" si="156"/>
        <v/>
      </c>
      <c r="AK460" s="168" t="str">
        <f t="shared" si="157"/>
        <v/>
      </c>
      <c r="AL460" s="168" t="str">
        <f t="shared" si="158"/>
        <v/>
      </c>
      <c r="AM460" s="168" t="str">
        <f t="shared" si="159"/>
        <v/>
      </c>
      <c r="AN460" s="167" t="str">
        <f t="shared" si="142"/>
        <v/>
      </c>
      <c r="AO460" s="167" t="str">
        <f t="shared" si="143"/>
        <v/>
      </c>
      <c r="AP460" s="167" t="str">
        <f t="shared" si="144"/>
        <v/>
      </c>
      <c r="AQ460" s="169" t="str">
        <f t="shared" si="145"/>
        <v/>
      </c>
      <c r="AR460" s="170" t="str">
        <f t="shared" si="146"/>
        <v>BiK81X1bKA3y04</v>
      </c>
      <c r="AS460" s="169" t="str">
        <f t="shared" si="147"/>
        <v/>
      </c>
      <c r="AT460">
        <f t="shared" si="148"/>
        <v>14</v>
      </c>
      <c r="AU460" s="170" t="str">
        <f t="shared" si="149"/>
        <v>0-0,15 MW, Bonusregeln X1, y, b und K wenn Anlage 3 erfüllt</v>
      </c>
      <c r="AV460" s="169" t="str">
        <f t="shared" si="150"/>
        <v/>
      </c>
      <c r="AW460" s="170" t="str">
        <f t="shared" si="151"/>
        <v>Anteil KWK gemäß Anlage 3</v>
      </c>
      <c r="AX460" s="169" t="str">
        <f t="shared" si="152"/>
        <v/>
      </c>
      <c r="AY460" t="str">
        <f t="shared" si="153"/>
        <v/>
      </c>
      <c r="AZ460" t="str">
        <f t="shared" si="154"/>
        <v/>
      </c>
    </row>
    <row r="461" spans="1:52" s="145" customFormat="1" x14ac:dyDescent="0.35">
      <c r="A461" s="497" t="s">
        <v>2088</v>
      </c>
      <c r="B461" s="13" t="s">
        <v>5547</v>
      </c>
      <c r="C461" s="13" t="s">
        <v>4808</v>
      </c>
      <c r="D461" s="13" t="s">
        <v>6982</v>
      </c>
      <c r="E461" s="13" t="s">
        <v>674</v>
      </c>
      <c r="F461" s="373">
        <f t="shared" si="161"/>
        <v>30.67</v>
      </c>
      <c r="G461" s="430">
        <v>30.67</v>
      </c>
      <c r="H461" s="399">
        <f t="shared" si="162"/>
        <v>24.54</v>
      </c>
      <c r="I461" s="576"/>
      <c r="J461" s="549" t="s">
        <v>5804</v>
      </c>
      <c r="K461" s="11"/>
      <c r="L461"/>
      <c r="M461" s="37">
        <f t="shared" si="163"/>
        <v>30.67</v>
      </c>
      <c r="N461" s="29">
        <v>11.67</v>
      </c>
      <c r="O461" s="149"/>
      <c r="P461" s="144"/>
      <c r="Q461" s="145" t="s">
        <v>1017</v>
      </c>
      <c r="S461" s="145" t="s">
        <v>4179</v>
      </c>
      <c r="T461" s="145" t="s">
        <v>4179</v>
      </c>
      <c r="U461" s="146" t="s">
        <v>1017</v>
      </c>
      <c r="W461" s="147"/>
      <c r="X461" s="147"/>
      <c r="AA461" s="147"/>
      <c r="AC461" s="145" t="s">
        <v>1017</v>
      </c>
      <c r="AD461" s="147"/>
      <c r="AE461" s="148" t="s">
        <v>1017</v>
      </c>
      <c r="AF461" s="147"/>
      <c r="AG461" s="147"/>
      <c r="AH461" s="166" t="str">
        <f t="shared" si="168"/>
        <v/>
      </c>
      <c r="AI461" s="168" t="str">
        <f t="shared" si="155"/>
        <v/>
      </c>
      <c r="AJ461" s="168" t="str">
        <f t="shared" si="156"/>
        <v/>
      </c>
      <c r="AK461" s="168" t="str">
        <f t="shared" si="157"/>
        <v/>
      </c>
      <c r="AL461" s="168" t="str">
        <f t="shared" si="158"/>
        <v/>
      </c>
      <c r="AM461" s="168" t="str">
        <f t="shared" si="159"/>
        <v/>
      </c>
      <c r="AN461" s="167" t="str">
        <f t="shared" si="142"/>
        <v/>
      </c>
      <c r="AO461" s="167" t="str">
        <f t="shared" si="143"/>
        <v/>
      </c>
      <c r="AP461" s="167" t="str">
        <f t="shared" si="144"/>
        <v/>
      </c>
      <c r="AQ461" s="169" t="str">
        <f t="shared" si="145"/>
        <v/>
      </c>
      <c r="AR461" s="170" t="str">
        <f t="shared" si="146"/>
        <v>BiK81X1bK09y04</v>
      </c>
      <c r="AS461" s="169" t="str">
        <f t="shared" si="147"/>
        <v/>
      </c>
      <c r="AT461">
        <f t="shared" si="148"/>
        <v>14</v>
      </c>
      <c r="AU461" s="170" t="str">
        <f t="shared" si="149"/>
        <v>0-0,15 MW, Bonusregeln X1, y, b und K erstmals 2009</v>
      </c>
      <c r="AV461" s="169" t="str">
        <f t="shared" si="150"/>
        <v/>
      </c>
      <c r="AW461" s="170" t="str">
        <f t="shared" si="151"/>
        <v>Anteil KWK, erstmals 2009</v>
      </c>
      <c r="AX461" s="169" t="str">
        <f t="shared" si="152"/>
        <v/>
      </c>
      <c r="AY461" t="str">
        <f t="shared" si="153"/>
        <v/>
      </c>
      <c r="AZ461" t="str">
        <f t="shared" si="154"/>
        <v/>
      </c>
    </row>
    <row r="462" spans="1:52" s="145" customFormat="1" x14ac:dyDescent="0.35">
      <c r="A462" s="497" t="s">
        <v>1444</v>
      </c>
      <c r="B462" s="13" t="s">
        <v>5547</v>
      </c>
      <c r="C462" s="13" t="s">
        <v>4808</v>
      </c>
      <c r="D462" s="13" t="s">
        <v>6983</v>
      </c>
      <c r="E462" s="13" t="s">
        <v>3566</v>
      </c>
      <c r="F462" s="373">
        <f t="shared" si="161"/>
        <v>30.64</v>
      </c>
      <c r="G462" s="430">
        <v>30.64</v>
      </c>
      <c r="H462" s="399">
        <f t="shared" si="162"/>
        <v>24.51</v>
      </c>
      <c r="I462" s="576"/>
      <c r="J462" s="549" t="s">
        <v>5804</v>
      </c>
      <c r="K462" s="11"/>
      <c r="L462"/>
      <c r="M462" s="37">
        <f t="shared" si="163"/>
        <v>30.64</v>
      </c>
      <c r="N462" s="29">
        <v>11.67</v>
      </c>
      <c r="O462" s="149"/>
      <c r="P462" s="144"/>
      <c r="R462" s="145" t="s">
        <v>1017</v>
      </c>
      <c r="S462" s="145" t="s">
        <v>4179</v>
      </c>
      <c r="T462" s="145" t="s">
        <v>4179</v>
      </c>
      <c r="U462" s="146" t="s">
        <v>1017</v>
      </c>
      <c r="W462" s="147"/>
      <c r="X462" s="147"/>
      <c r="AA462" s="147"/>
      <c r="AC462" s="145" t="s">
        <v>1017</v>
      </c>
      <c r="AD462" s="147"/>
      <c r="AE462" s="148" t="s">
        <v>1017</v>
      </c>
      <c r="AF462" s="147"/>
      <c r="AG462" s="147"/>
      <c r="AH462" s="166" t="str">
        <f t="shared" si="168"/>
        <v>2010</v>
      </c>
      <c r="AI462" s="168" t="str">
        <f t="shared" si="155"/>
        <v/>
      </c>
      <c r="AJ462" s="168" t="str">
        <f t="shared" si="156"/>
        <v/>
      </c>
      <c r="AK462" s="168" t="str">
        <f t="shared" si="157"/>
        <v/>
      </c>
      <c r="AL462" s="168" t="str">
        <f t="shared" si="158"/>
        <v/>
      </c>
      <c r="AM462" s="168" t="str">
        <f t="shared" si="159"/>
        <v/>
      </c>
      <c r="AN462" s="167" t="str">
        <f t="shared" si="142"/>
        <v>2010</v>
      </c>
      <c r="AO462" s="167" t="str">
        <f t="shared" si="143"/>
        <v>2010</v>
      </c>
      <c r="AP462" s="167" t="str">
        <f t="shared" si="144"/>
        <v>2010</v>
      </c>
      <c r="AQ462" s="169" t="str">
        <f t="shared" si="145"/>
        <v/>
      </c>
      <c r="AR462" s="170" t="str">
        <f t="shared" si="146"/>
        <v>BiK81X1bK10y04</v>
      </c>
      <c r="AS462" s="169" t="str">
        <f t="shared" si="147"/>
        <v/>
      </c>
      <c r="AT462">
        <f t="shared" si="148"/>
        <v>14</v>
      </c>
      <c r="AU462" s="170" t="str">
        <f t="shared" si="149"/>
        <v>0-0,15 MW, Bonusregeln X1, y, b und K erstmals 2010</v>
      </c>
      <c r="AV462" s="169" t="str">
        <f t="shared" si="150"/>
        <v/>
      </c>
      <c r="AW462" s="170" t="str">
        <f t="shared" si="151"/>
        <v>Anteil KWK, erstmals 2010</v>
      </c>
      <c r="AX462" s="169" t="str">
        <f t="shared" si="152"/>
        <v/>
      </c>
      <c r="AY462" t="str">
        <f t="shared" si="153"/>
        <v/>
      </c>
      <c r="AZ462" t="str">
        <f t="shared" si="154"/>
        <v/>
      </c>
    </row>
    <row r="463" spans="1:52" s="145" customFormat="1" x14ac:dyDescent="0.35">
      <c r="A463" s="497" t="s">
        <v>5265</v>
      </c>
      <c r="B463" s="13" t="s">
        <v>5547</v>
      </c>
      <c r="C463" s="13" t="s">
        <v>4808</v>
      </c>
      <c r="D463" s="13" t="s">
        <v>6984</v>
      </c>
      <c r="E463" s="13" t="s">
        <v>3054</v>
      </c>
      <c r="F463" s="373">
        <f t="shared" si="161"/>
        <v>30.61</v>
      </c>
      <c r="G463" s="430">
        <v>30.61</v>
      </c>
      <c r="H463" s="399">
        <f t="shared" si="162"/>
        <v>24.49</v>
      </c>
      <c r="I463" s="576"/>
      <c r="J463" s="549" t="s">
        <v>5804</v>
      </c>
      <c r="K463" s="11"/>
      <c r="L463"/>
      <c r="M463" s="37">
        <f t="shared" si="163"/>
        <v>30.61</v>
      </c>
      <c r="N463" s="29">
        <v>11.67</v>
      </c>
      <c r="O463" s="149"/>
      <c r="P463" s="144"/>
      <c r="S463" s="145" t="s">
        <v>1017</v>
      </c>
      <c r="T463" s="145" t="s">
        <v>4179</v>
      </c>
      <c r="U463" s="146" t="s">
        <v>1017</v>
      </c>
      <c r="W463" s="147"/>
      <c r="X463" s="147"/>
      <c r="AA463" s="147"/>
      <c r="AC463" s="145" t="s">
        <v>1017</v>
      </c>
      <c r="AD463" s="147"/>
      <c r="AE463" s="148" t="s">
        <v>1017</v>
      </c>
      <c r="AF463" s="147"/>
      <c r="AG463" s="147"/>
      <c r="AH463" s="166" t="str">
        <f t="shared" si="168"/>
        <v>2011</v>
      </c>
      <c r="AI463" s="168" t="str">
        <f t="shared" si="155"/>
        <v/>
      </c>
      <c r="AJ463" s="168" t="str">
        <f t="shared" si="156"/>
        <v/>
      </c>
      <c r="AK463" s="168" t="str">
        <f t="shared" si="157"/>
        <v/>
      </c>
      <c r="AL463" s="168" t="str">
        <f t="shared" si="158"/>
        <v/>
      </c>
      <c r="AM463" s="168" t="str">
        <f t="shared" si="159"/>
        <v/>
      </c>
      <c r="AN463" s="167" t="str">
        <f t="shared" si="142"/>
        <v>2011</v>
      </c>
      <c r="AO463" s="167" t="str">
        <f t="shared" si="143"/>
        <v>2011</v>
      </c>
      <c r="AP463" s="167" t="str">
        <f t="shared" si="144"/>
        <v>2011</v>
      </c>
      <c r="AQ463" s="169" t="str">
        <f t="shared" si="145"/>
        <v/>
      </c>
      <c r="AR463" s="170" t="str">
        <f t="shared" si="146"/>
        <v>BiK81X1bK11y04</v>
      </c>
      <c r="AS463" s="169" t="str">
        <f t="shared" si="147"/>
        <v/>
      </c>
      <c r="AT463">
        <f t="shared" si="148"/>
        <v>14</v>
      </c>
      <c r="AU463" s="170" t="str">
        <f t="shared" si="149"/>
        <v>0-0,15 MW, Bonusregeln X1, y, b und K erstmals 2011</v>
      </c>
      <c r="AV463" s="169" t="str">
        <f t="shared" si="150"/>
        <v/>
      </c>
      <c r="AW463" s="170" t="str">
        <f t="shared" si="151"/>
        <v>Anteil KWK, erstmals 2011</v>
      </c>
      <c r="AX463" s="169" t="str">
        <f t="shared" si="152"/>
        <v/>
      </c>
      <c r="AY463" t="str">
        <f t="shared" si="153"/>
        <v>x</v>
      </c>
      <c r="AZ463" t="str">
        <f t="shared" si="154"/>
        <v/>
      </c>
    </row>
    <row r="464" spans="1:52" s="145" customFormat="1" x14ac:dyDescent="0.35">
      <c r="A464" s="511" t="s">
        <v>1516</v>
      </c>
      <c r="B464" s="173" t="s">
        <v>5547</v>
      </c>
      <c r="C464" s="173" t="s">
        <v>4808</v>
      </c>
      <c r="D464" s="173" t="s">
        <v>6985</v>
      </c>
      <c r="E464" s="173" t="s">
        <v>1980</v>
      </c>
      <c r="F464" s="374">
        <f t="shared" si="161"/>
        <v>30.58</v>
      </c>
      <c r="G464" s="431">
        <v>30.58</v>
      </c>
      <c r="H464" s="400">
        <f t="shared" si="162"/>
        <v>24.46</v>
      </c>
      <c r="I464" s="577"/>
      <c r="J464" s="549" t="s">
        <v>5804</v>
      </c>
      <c r="K464" s="11"/>
      <c r="L464"/>
      <c r="M464" s="37">
        <f t="shared" si="163"/>
        <v>30.58</v>
      </c>
      <c r="N464" s="29">
        <v>11.67</v>
      </c>
      <c r="O464" s="149"/>
      <c r="P464" s="144"/>
      <c r="S464" s="145" t="s">
        <v>4179</v>
      </c>
      <c r="T464" s="145" t="s">
        <v>1017</v>
      </c>
      <c r="U464" s="146" t="s">
        <v>1017</v>
      </c>
      <c r="W464" s="147"/>
      <c r="X464" s="147"/>
      <c r="AA464" s="147"/>
      <c r="AC464" s="145" t="s">
        <v>1017</v>
      </c>
      <c r="AD464" s="147"/>
      <c r="AE464" s="148" t="s">
        <v>1017</v>
      </c>
      <c r="AF464" s="147"/>
      <c r="AG464" s="147"/>
      <c r="AH464" s="171" t="s">
        <v>4178</v>
      </c>
      <c r="AI464" s="168" t="str">
        <f t="shared" si="155"/>
        <v/>
      </c>
      <c r="AJ464" s="168" t="str">
        <f t="shared" si="156"/>
        <v/>
      </c>
      <c r="AK464" s="168" t="str">
        <f t="shared" si="157"/>
        <v/>
      </c>
      <c r="AL464" s="168" t="str">
        <f t="shared" si="158"/>
        <v/>
      </c>
      <c r="AM464" s="168" t="str">
        <f t="shared" si="159"/>
        <v/>
      </c>
      <c r="AN464" s="167" t="str">
        <f t="shared" si="142"/>
        <v>2012</v>
      </c>
      <c r="AO464" s="167" t="str">
        <f t="shared" si="143"/>
        <v>2012</v>
      </c>
      <c r="AP464" s="167" t="str">
        <f t="shared" si="144"/>
        <v>2012</v>
      </c>
      <c r="AQ464" s="169" t="str">
        <f t="shared" si="145"/>
        <v/>
      </c>
      <c r="AR464" s="170" t="str">
        <f t="shared" si="146"/>
        <v>BiK81X1bK12y04</v>
      </c>
      <c r="AS464" s="169" t="str">
        <f t="shared" si="147"/>
        <v/>
      </c>
      <c r="AT464">
        <f t="shared" si="148"/>
        <v>14</v>
      </c>
      <c r="AU464" s="170" t="str">
        <f t="shared" si="149"/>
        <v>0-0,15 MW, Bonusregeln X1, y, b und K erstmals 2012</v>
      </c>
      <c r="AV464" s="169" t="str">
        <f t="shared" si="150"/>
        <v/>
      </c>
      <c r="AW464" s="170" t="str">
        <f t="shared" si="151"/>
        <v>Anteil KWK, erstmals 2012</v>
      </c>
      <c r="AX464" s="169" t="str">
        <f t="shared" si="152"/>
        <v/>
      </c>
      <c r="AY464" t="str">
        <f t="shared" si="153"/>
        <v/>
      </c>
      <c r="AZ464" t="str">
        <f t="shared" si="154"/>
        <v>x</v>
      </c>
    </row>
    <row r="465" spans="1:52" s="145" customFormat="1" x14ac:dyDescent="0.35">
      <c r="A465" s="496" t="s">
        <v>1006</v>
      </c>
      <c r="B465" s="1" t="s">
        <v>5547</v>
      </c>
      <c r="C465" s="1" t="s">
        <v>4808</v>
      </c>
      <c r="D465" s="1" t="s">
        <v>1779</v>
      </c>
      <c r="E465" s="1" t="s">
        <v>4809</v>
      </c>
      <c r="F465" s="375">
        <f t="shared" si="161"/>
        <v>9.9</v>
      </c>
      <c r="G465" s="432">
        <v>9.9</v>
      </c>
      <c r="H465" s="401">
        <f t="shared" si="162"/>
        <v>7.92</v>
      </c>
      <c r="I465" s="578"/>
      <c r="J465" s="549" t="s">
        <v>5804</v>
      </c>
      <c r="K465" s="11"/>
      <c r="L465"/>
      <c r="M465" s="37">
        <f t="shared" si="163"/>
        <v>9.9</v>
      </c>
      <c r="N465" s="29">
        <v>9.9</v>
      </c>
      <c r="O465" s="41"/>
      <c r="P465" s="11"/>
      <c r="Q465"/>
      <c r="R465"/>
      <c r="S465" t="s">
        <v>4179</v>
      </c>
      <c r="T465" s="145" t="s">
        <v>4179</v>
      </c>
      <c r="U465" s="42"/>
      <c r="V465"/>
      <c r="W465" s="50"/>
      <c r="X465" s="50"/>
      <c r="Y465"/>
      <c r="Z465" s="50"/>
      <c r="AA465"/>
      <c r="AB465"/>
      <c r="AC465" s="50"/>
      <c r="AD465"/>
      <c r="AE465" s="75"/>
      <c r="AF465" s="50"/>
      <c r="AG465" s="50"/>
      <c r="AH465" s="166" t="str">
        <f t="shared" ref="AH465:AH470" si="169">IF(ISERROR(SEARCH("K erstmals 201",D465)),"",RIGHT(D465,4))</f>
        <v/>
      </c>
      <c r="AI465" s="168" t="str">
        <f t="shared" si="155"/>
        <v/>
      </c>
      <c r="AJ465" s="168" t="str">
        <f t="shared" si="156"/>
        <v/>
      </c>
      <c r="AK465" s="168" t="str">
        <f t="shared" si="157"/>
        <v/>
      </c>
      <c r="AL465" s="168" t="str">
        <f t="shared" si="158"/>
        <v/>
      </c>
      <c r="AM465" s="168" t="str">
        <f t="shared" si="159"/>
        <v/>
      </c>
      <c r="AN465" s="167" t="str">
        <f t="shared" si="142"/>
        <v/>
      </c>
      <c r="AO465" s="167" t="str">
        <f t="shared" si="143"/>
        <v/>
      </c>
      <c r="AP465" s="167" t="str">
        <f t="shared" si="144"/>
        <v/>
      </c>
      <c r="AQ465" s="169" t="str">
        <f t="shared" si="145"/>
        <v/>
      </c>
      <c r="AR465" s="170" t="str">
        <f t="shared" si="146"/>
        <v>BiK82-------04</v>
      </c>
      <c r="AS465" s="169" t="str">
        <f t="shared" si="147"/>
        <v/>
      </c>
      <c r="AT465">
        <f t="shared" si="148"/>
        <v>14</v>
      </c>
      <c r="AU465" s="170" t="str">
        <f t="shared" si="149"/>
        <v>0,15-0,5 MW</v>
      </c>
      <c r="AV465" s="169" t="str">
        <f t="shared" si="150"/>
        <v/>
      </c>
      <c r="AW465" s="170" t="str">
        <f t="shared" si="151"/>
        <v>Anteil Nicht-KWK</v>
      </c>
      <c r="AX465" s="169" t="str">
        <f t="shared" si="152"/>
        <v/>
      </c>
      <c r="AY465" t="str">
        <f t="shared" si="153"/>
        <v/>
      </c>
      <c r="AZ465" t="str">
        <f t="shared" si="154"/>
        <v/>
      </c>
    </row>
    <row r="466" spans="1:52" s="145" customFormat="1" x14ac:dyDescent="0.35">
      <c r="A466" s="496" t="s">
        <v>1008</v>
      </c>
      <c r="B466" s="1" t="s">
        <v>5547</v>
      </c>
      <c r="C466" s="1" t="s">
        <v>4808</v>
      </c>
      <c r="D466" s="1" t="s">
        <v>7086</v>
      </c>
      <c r="E466" s="1" t="s">
        <v>4811</v>
      </c>
      <c r="F466" s="375">
        <f t="shared" si="161"/>
        <v>11.9</v>
      </c>
      <c r="G466" s="432">
        <v>11.9</v>
      </c>
      <c r="H466" s="401">
        <f t="shared" si="162"/>
        <v>9.52</v>
      </c>
      <c r="I466" s="578"/>
      <c r="J466" s="549" t="s">
        <v>5804</v>
      </c>
      <c r="K466" s="11"/>
      <c r="L466"/>
      <c r="M466" s="37">
        <f t="shared" si="163"/>
        <v>11.9</v>
      </c>
      <c r="N466" s="29">
        <v>9.9</v>
      </c>
      <c r="O466" s="41" t="s">
        <v>1017</v>
      </c>
      <c r="P466" s="11"/>
      <c r="Q466"/>
      <c r="R466"/>
      <c r="S466" t="s">
        <v>4179</v>
      </c>
      <c r="T466" s="145" t="s">
        <v>4179</v>
      </c>
      <c r="U466" s="42"/>
      <c r="V466"/>
      <c r="W466" s="50"/>
      <c r="X466" s="50"/>
      <c r="Y466"/>
      <c r="Z466" s="50"/>
      <c r="AA466"/>
      <c r="AB466"/>
      <c r="AC466" s="50"/>
      <c r="AD466"/>
      <c r="AE466" s="75"/>
      <c r="AF466" s="50"/>
      <c r="AG466" s="50"/>
      <c r="AH466" s="166" t="str">
        <f t="shared" si="169"/>
        <v/>
      </c>
      <c r="AI466" s="168" t="str">
        <f t="shared" si="155"/>
        <v/>
      </c>
      <c r="AJ466" s="168" t="str">
        <f t="shared" si="156"/>
        <v/>
      </c>
      <c r="AK466" s="168" t="str">
        <f t="shared" si="157"/>
        <v/>
      </c>
      <c r="AL466" s="168" t="str">
        <f t="shared" si="158"/>
        <v/>
      </c>
      <c r="AM466" s="168" t="str">
        <f t="shared" si="159"/>
        <v/>
      </c>
      <c r="AN466" s="167" t="str">
        <f t="shared" si="142"/>
        <v/>
      </c>
      <c r="AO466" s="167" t="str">
        <f t="shared" si="143"/>
        <v/>
      </c>
      <c r="AP466" s="167" t="str">
        <f t="shared" si="144"/>
        <v/>
      </c>
      <c r="AQ466" s="169" t="str">
        <f t="shared" si="145"/>
        <v/>
      </c>
      <c r="AR466" s="170" t="str">
        <f t="shared" si="146"/>
        <v>BiK82KWK----04</v>
      </c>
      <c r="AS466" s="169" t="str">
        <f t="shared" si="147"/>
        <v/>
      </c>
      <c r="AT466">
        <f t="shared" si="148"/>
        <v>14</v>
      </c>
      <c r="AU466" s="170" t="str">
        <f t="shared" si="149"/>
        <v>0,15-0,5 MW, Bonusregel KWK</v>
      </c>
      <c r="AV466" s="169" t="str">
        <f t="shared" si="150"/>
        <v/>
      </c>
      <c r="AW466" s="170" t="str">
        <f t="shared" si="151"/>
        <v>Anteil KWK</v>
      </c>
      <c r="AX466" s="169" t="str">
        <f t="shared" si="152"/>
        <v/>
      </c>
      <c r="AY466" t="str">
        <f t="shared" si="153"/>
        <v/>
      </c>
      <c r="AZ466" t="str">
        <f t="shared" si="154"/>
        <v/>
      </c>
    </row>
    <row r="467" spans="1:52" s="145" customFormat="1" x14ac:dyDescent="0.35">
      <c r="A467" s="497" t="s">
        <v>4337</v>
      </c>
      <c r="B467" s="13" t="s">
        <v>5547</v>
      </c>
      <c r="C467" s="13" t="s">
        <v>4808</v>
      </c>
      <c r="D467" s="13" t="s">
        <v>7087</v>
      </c>
      <c r="E467" s="13" t="s">
        <v>4330</v>
      </c>
      <c r="F467" s="373">
        <f t="shared" si="161"/>
        <v>12.9</v>
      </c>
      <c r="G467" s="430">
        <v>12.9</v>
      </c>
      <c r="H467" s="399">
        <f t="shared" si="162"/>
        <v>10.32</v>
      </c>
      <c r="I467" s="576"/>
      <c r="J467" s="549" t="s">
        <v>5804</v>
      </c>
      <c r="K467" s="11"/>
      <c r="L467"/>
      <c r="M467" s="37">
        <f t="shared" si="163"/>
        <v>12.9</v>
      </c>
      <c r="N467" s="29">
        <v>9.9</v>
      </c>
      <c r="O467" s="41"/>
      <c r="P467" t="s">
        <v>1017</v>
      </c>
      <c r="Q467"/>
      <c r="R467"/>
      <c r="S467" t="s">
        <v>4179</v>
      </c>
      <c r="T467" s="145" t="s">
        <v>4179</v>
      </c>
      <c r="U467" s="42"/>
      <c r="V467"/>
      <c r="W467" s="50"/>
      <c r="X467" s="50"/>
      <c r="Y467"/>
      <c r="Z467" s="50"/>
      <c r="AA467"/>
      <c r="AB467"/>
      <c r="AC467" s="50"/>
      <c r="AD467"/>
      <c r="AE467" s="75"/>
      <c r="AF467" s="50"/>
      <c r="AG467" s="50"/>
      <c r="AH467" s="166" t="str">
        <f t="shared" si="169"/>
        <v/>
      </c>
      <c r="AI467" s="168" t="str">
        <f t="shared" si="155"/>
        <v/>
      </c>
      <c r="AJ467" s="168" t="str">
        <f t="shared" si="156"/>
        <v/>
      </c>
      <c r="AK467" s="168" t="str">
        <f t="shared" si="157"/>
        <v/>
      </c>
      <c r="AL467" s="168" t="str">
        <f t="shared" si="158"/>
        <v/>
      </c>
      <c r="AM467" s="168" t="str">
        <f t="shared" si="159"/>
        <v/>
      </c>
      <c r="AN467" s="167" t="str">
        <f t="shared" si="142"/>
        <v/>
      </c>
      <c r="AO467" s="167" t="str">
        <f t="shared" si="143"/>
        <v/>
      </c>
      <c r="AP467" s="167" t="str">
        <f t="shared" si="144"/>
        <v/>
      </c>
      <c r="AQ467" s="169" t="str">
        <f t="shared" si="145"/>
        <v/>
      </c>
      <c r="AR467" s="170" t="str">
        <f t="shared" si="146"/>
        <v>BiK82KA3----04</v>
      </c>
      <c r="AS467" s="169" t="str">
        <f t="shared" si="147"/>
        <v/>
      </c>
      <c r="AT467">
        <f t="shared" si="148"/>
        <v>14</v>
      </c>
      <c r="AU467" s="170" t="str">
        <f t="shared" si="149"/>
        <v>0,15-0,5 MW, Bonusregel K wenn Anlage 3 erfüllt</v>
      </c>
      <c r="AV467" s="169" t="str">
        <f t="shared" si="150"/>
        <v/>
      </c>
      <c r="AW467" s="170" t="str">
        <f t="shared" si="151"/>
        <v>Anteil KWK gemäß Anlage 3</v>
      </c>
      <c r="AX467" s="169" t="str">
        <f t="shared" si="152"/>
        <v/>
      </c>
      <c r="AY467" t="str">
        <f t="shared" si="153"/>
        <v/>
      </c>
      <c r="AZ467" t="str">
        <f t="shared" si="154"/>
        <v/>
      </c>
    </row>
    <row r="468" spans="1:52" s="145" customFormat="1" x14ac:dyDescent="0.35">
      <c r="A468" s="497" t="s">
        <v>5038</v>
      </c>
      <c r="B468" s="13" t="s">
        <v>5547</v>
      </c>
      <c r="C468" s="13" t="s">
        <v>4808</v>
      </c>
      <c r="D468" s="13" t="s">
        <v>7088</v>
      </c>
      <c r="E468" s="13" t="s">
        <v>674</v>
      </c>
      <c r="F468" s="373">
        <f t="shared" si="161"/>
        <v>12.9</v>
      </c>
      <c r="G468" s="430">
        <v>12.9</v>
      </c>
      <c r="H468" s="399">
        <f t="shared" si="162"/>
        <v>10.32</v>
      </c>
      <c r="I468" s="576"/>
      <c r="J468" s="549" t="s">
        <v>5804</v>
      </c>
      <c r="K468" s="11"/>
      <c r="L468"/>
      <c r="M468" s="37">
        <f t="shared" si="163"/>
        <v>12.9</v>
      </c>
      <c r="N468" s="29">
        <v>9.9</v>
      </c>
      <c r="O468" s="41"/>
      <c r="P468" s="11"/>
      <c r="Q468" t="s">
        <v>1017</v>
      </c>
      <c r="R468"/>
      <c r="S468" t="s">
        <v>4179</v>
      </c>
      <c r="T468" s="145" t="s">
        <v>4179</v>
      </c>
      <c r="U468" s="42"/>
      <c r="V468"/>
      <c r="W468" s="50"/>
      <c r="X468" s="50"/>
      <c r="Y468"/>
      <c r="Z468" s="50"/>
      <c r="AA468"/>
      <c r="AB468"/>
      <c r="AC468" s="50"/>
      <c r="AD468"/>
      <c r="AE468" s="75"/>
      <c r="AF468" s="50"/>
      <c r="AG468" s="50"/>
      <c r="AH468" s="166" t="str">
        <f t="shared" si="169"/>
        <v/>
      </c>
      <c r="AI468" s="168" t="str">
        <f t="shared" si="155"/>
        <v/>
      </c>
      <c r="AJ468" s="168" t="str">
        <f t="shared" si="156"/>
        <v/>
      </c>
      <c r="AK468" s="168" t="str">
        <f t="shared" si="157"/>
        <v/>
      </c>
      <c r="AL468" s="168" t="str">
        <f t="shared" si="158"/>
        <v/>
      </c>
      <c r="AM468" s="168" t="str">
        <f t="shared" si="159"/>
        <v/>
      </c>
      <c r="AN468" s="167" t="str">
        <f t="shared" si="142"/>
        <v/>
      </c>
      <c r="AO468" s="167" t="str">
        <f t="shared" si="143"/>
        <v/>
      </c>
      <c r="AP468" s="167" t="str">
        <f t="shared" si="144"/>
        <v/>
      </c>
      <c r="AQ468" s="169" t="str">
        <f t="shared" si="145"/>
        <v/>
      </c>
      <c r="AR468" s="170" t="str">
        <f t="shared" si="146"/>
        <v>BiK82K09----04</v>
      </c>
      <c r="AS468" s="169" t="str">
        <f t="shared" si="147"/>
        <v/>
      </c>
      <c r="AT468">
        <f t="shared" si="148"/>
        <v>14</v>
      </c>
      <c r="AU468" s="170" t="str">
        <f t="shared" si="149"/>
        <v>0,15-0,5 MW, Bonusregel K erstmals 2009</v>
      </c>
      <c r="AV468" s="169" t="str">
        <f t="shared" si="150"/>
        <v/>
      </c>
      <c r="AW468" s="170" t="str">
        <f t="shared" si="151"/>
        <v>Anteil KWK, erstmals 2009</v>
      </c>
      <c r="AX468" s="169" t="str">
        <f t="shared" si="152"/>
        <v/>
      </c>
      <c r="AY468" t="str">
        <f t="shared" si="153"/>
        <v/>
      </c>
      <c r="AZ468" t="str">
        <f t="shared" si="154"/>
        <v/>
      </c>
    </row>
    <row r="469" spans="1:52" s="145" customFormat="1" x14ac:dyDescent="0.35">
      <c r="A469" s="497" t="s">
        <v>1445</v>
      </c>
      <c r="B469" s="13" t="s">
        <v>5547</v>
      </c>
      <c r="C469" s="13" t="s">
        <v>4808</v>
      </c>
      <c r="D469" s="13" t="s">
        <v>7089</v>
      </c>
      <c r="E469" s="13" t="s">
        <v>3566</v>
      </c>
      <c r="F469" s="373">
        <f t="shared" si="161"/>
        <v>12.870000000000001</v>
      </c>
      <c r="G469" s="430">
        <v>12.870000000000001</v>
      </c>
      <c r="H469" s="399">
        <f t="shared" si="162"/>
        <v>10.3</v>
      </c>
      <c r="I469" s="576"/>
      <c r="J469" s="549" t="s">
        <v>5804</v>
      </c>
      <c r="K469" s="11"/>
      <c r="L469"/>
      <c r="M469" s="37">
        <f t="shared" si="163"/>
        <v>12.870000000000001</v>
      </c>
      <c r="N469" s="29">
        <v>9.9</v>
      </c>
      <c r="O469" s="41"/>
      <c r="P469" s="11"/>
      <c r="Q469"/>
      <c r="R469" t="s">
        <v>1017</v>
      </c>
      <c r="S469" t="s">
        <v>4179</v>
      </c>
      <c r="T469" s="145" t="s">
        <v>4179</v>
      </c>
      <c r="U469" s="42"/>
      <c r="V469"/>
      <c r="W469" s="50"/>
      <c r="X469" s="50"/>
      <c r="Y469"/>
      <c r="Z469" s="50"/>
      <c r="AA469"/>
      <c r="AB469"/>
      <c r="AC469" s="50"/>
      <c r="AD469"/>
      <c r="AE469" s="75"/>
      <c r="AF469" s="50"/>
      <c r="AG469" s="50"/>
      <c r="AH469" s="166" t="str">
        <f t="shared" si="169"/>
        <v>2010</v>
      </c>
      <c r="AI469" s="168" t="str">
        <f t="shared" si="155"/>
        <v/>
      </c>
      <c r="AJ469" s="168" t="str">
        <f t="shared" si="156"/>
        <v/>
      </c>
      <c r="AK469" s="168" t="str">
        <f t="shared" si="157"/>
        <v/>
      </c>
      <c r="AL469" s="168" t="str">
        <f t="shared" si="158"/>
        <v/>
      </c>
      <c r="AM469" s="168" t="str">
        <f t="shared" si="159"/>
        <v/>
      </c>
      <c r="AN469" s="167" t="str">
        <f t="shared" si="142"/>
        <v>2010</v>
      </c>
      <c r="AO469" s="167" t="str">
        <f t="shared" si="143"/>
        <v>2010</v>
      </c>
      <c r="AP469" s="167" t="str">
        <f t="shared" si="144"/>
        <v>2010</v>
      </c>
      <c r="AQ469" s="169" t="str">
        <f t="shared" si="145"/>
        <v/>
      </c>
      <c r="AR469" s="170" t="str">
        <f t="shared" si="146"/>
        <v>BiK82K10----04</v>
      </c>
      <c r="AS469" s="169" t="str">
        <f t="shared" si="147"/>
        <v/>
      </c>
      <c r="AT469">
        <f t="shared" si="148"/>
        <v>14</v>
      </c>
      <c r="AU469" s="170" t="str">
        <f t="shared" si="149"/>
        <v>0,15-0,5 MW, Bonusregel K erstmals 2010</v>
      </c>
      <c r="AV469" s="169" t="str">
        <f t="shared" si="150"/>
        <v/>
      </c>
      <c r="AW469" s="170" t="str">
        <f t="shared" si="151"/>
        <v>Anteil KWK, erstmals 2010</v>
      </c>
      <c r="AX469" s="169" t="str">
        <f t="shared" si="152"/>
        <v/>
      </c>
      <c r="AY469" t="str">
        <f t="shared" si="153"/>
        <v/>
      </c>
      <c r="AZ469" t="str">
        <f t="shared" si="154"/>
        <v/>
      </c>
    </row>
    <row r="470" spans="1:52" s="145" customFormat="1" x14ac:dyDescent="0.35">
      <c r="A470" s="497" t="s">
        <v>5266</v>
      </c>
      <c r="B470" s="13" t="s">
        <v>5547</v>
      </c>
      <c r="C470" s="13" t="s">
        <v>4808</v>
      </c>
      <c r="D470" s="13" t="s">
        <v>7090</v>
      </c>
      <c r="E470" s="13" t="s">
        <v>3054</v>
      </c>
      <c r="F470" s="373">
        <f t="shared" si="161"/>
        <v>12.84</v>
      </c>
      <c r="G470" s="430">
        <v>12.84</v>
      </c>
      <c r="H470" s="399">
        <f t="shared" si="162"/>
        <v>10.27</v>
      </c>
      <c r="I470" s="576"/>
      <c r="J470" s="549" t="s">
        <v>5804</v>
      </c>
      <c r="K470" s="11"/>
      <c r="L470"/>
      <c r="M470" s="37">
        <f t="shared" si="163"/>
        <v>12.84</v>
      </c>
      <c r="N470" s="29">
        <v>9.9</v>
      </c>
      <c r="O470" s="41"/>
      <c r="P470" s="11"/>
      <c r="Q470"/>
      <c r="R470"/>
      <c r="S470" t="s">
        <v>1017</v>
      </c>
      <c r="T470" s="145" t="s">
        <v>4179</v>
      </c>
      <c r="U470" s="42"/>
      <c r="V470"/>
      <c r="W470" s="50"/>
      <c r="X470" s="50"/>
      <c r="Y470"/>
      <c r="Z470" s="50"/>
      <c r="AA470"/>
      <c r="AB470"/>
      <c r="AC470" s="50"/>
      <c r="AD470"/>
      <c r="AE470" s="75"/>
      <c r="AF470" s="50"/>
      <c r="AG470" s="50"/>
      <c r="AH470" s="166" t="str">
        <f t="shared" si="169"/>
        <v>2011</v>
      </c>
      <c r="AI470" s="168" t="str">
        <f t="shared" si="155"/>
        <v/>
      </c>
      <c r="AJ470" s="168" t="str">
        <f t="shared" si="156"/>
        <v/>
      </c>
      <c r="AK470" s="168" t="str">
        <f t="shared" si="157"/>
        <v/>
      </c>
      <c r="AL470" s="168" t="str">
        <f t="shared" si="158"/>
        <v/>
      </c>
      <c r="AM470" s="168" t="str">
        <f t="shared" si="159"/>
        <v/>
      </c>
      <c r="AN470" s="167" t="str">
        <f t="shared" si="142"/>
        <v>2011</v>
      </c>
      <c r="AO470" s="167" t="str">
        <f t="shared" si="143"/>
        <v>2011</v>
      </c>
      <c r="AP470" s="167" t="str">
        <f t="shared" si="144"/>
        <v>2011</v>
      </c>
      <c r="AQ470" s="169" t="str">
        <f t="shared" si="145"/>
        <v/>
      </c>
      <c r="AR470" s="170" t="str">
        <f t="shared" si="146"/>
        <v>BiK82K11----04</v>
      </c>
      <c r="AS470" s="169" t="str">
        <f t="shared" si="147"/>
        <v/>
      </c>
      <c r="AT470">
        <f t="shared" si="148"/>
        <v>14</v>
      </c>
      <c r="AU470" s="170" t="str">
        <f t="shared" si="149"/>
        <v>0,15-0,5 MW, Bonusregel K erstmals 2011</v>
      </c>
      <c r="AV470" s="169" t="str">
        <f t="shared" si="150"/>
        <v/>
      </c>
      <c r="AW470" s="170" t="str">
        <f t="shared" si="151"/>
        <v>Anteil KWK, erstmals 2011</v>
      </c>
      <c r="AX470" s="169" t="str">
        <f t="shared" si="152"/>
        <v/>
      </c>
      <c r="AY470" t="str">
        <f t="shared" si="153"/>
        <v>x</v>
      </c>
      <c r="AZ470" t="str">
        <f t="shared" si="154"/>
        <v/>
      </c>
    </row>
    <row r="471" spans="1:52" s="145" customFormat="1" x14ac:dyDescent="0.35">
      <c r="A471" s="511" t="s">
        <v>1517</v>
      </c>
      <c r="B471" s="173" t="s">
        <v>5547</v>
      </c>
      <c r="C471" s="173" t="s">
        <v>4808</v>
      </c>
      <c r="D471" s="173" t="s">
        <v>7091</v>
      </c>
      <c r="E471" s="173" t="s">
        <v>1980</v>
      </c>
      <c r="F471" s="374">
        <f t="shared" si="161"/>
        <v>12.81</v>
      </c>
      <c r="G471" s="431">
        <v>12.81</v>
      </c>
      <c r="H471" s="400">
        <f t="shared" si="162"/>
        <v>10.25</v>
      </c>
      <c r="I471" s="577"/>
      <c r="J471" s="549" t="s">
        <v>5804</v>
      </c>
      <c r="K471" s="11"/>
      <c r="L471"/>
      <c r="M471" s="37">
        <f t="shared" si="163"/>
        <v>12.81</v>
      </c>
      <c r="N471" s="29">
        <v>9.9</v>
      </c>
      <c r="O471" s="41"/>
      <c r="P471" s="11"/>
      <c r="Q471"/>
      <c r="R471"/>
      <c r="S471" t="s">
        <v>4179</v>
      </c>
      <c r="T471" s="145" t="s">
        <v>1017</v>
      </c>
      <c r="U471" s="42"/>
      <c r="V471"/>
      <c r="W471" s="50"/>
      <c r="X471" s="50"/>
      <c r="Y471"/>
      <c r="Z471" s="50"/>
      <c r="AA471"/>
      <c r="AB471"/>
      <c r="AC471" s="50"/>
      <c r="AD471"/>
      <c r="AE471" s="75"/>
      <c r="AF471" s="50"/>
      <c r="AG471" s="50"/>
      <c r="AH471" s="171" t="s">
        <v>4178</v>
      </c>
      <c r="AI471" s="168" t="str">
        <f t="shared" si="155"/>
        <v/>
      </c>
      <c r="AJ471" s="168" t="str">
        <f t="shared" si="156"/>
        <v/>
      </c>
      <c r="AK471" s="168" t="str">
        <f t="shared" si="157"/>
        <v/>
      </c>
      <c r="AL471" s="168" t="str">
        <f t="shared" si="158"/>
        <v/>
      </c>
      <c r="AM471" s="168" t="str">
        <f t="shared" si="159"/>
        <v/>
      </c>
      <c r="AN471" s="167" t="str">
        <f t="shared" si="142"/>
        <v>2012</v>
      </c>
      <c r="AO471" s="167" t="str">
        <f t="shared" si="143"/>
        <v>2012</v>
      </c>
      <c r="AP471" s="167" t="str">
        <f t="shared" si="144"/>
        <v>2012</v>
      </c>
      <c r="AQ471" s="169" t="str">
        <f t="shared" si="145"/>
        <v/>
      </c>
      <c r="AR471" s="170" t="str">
        <f t="shared" si="146"/>
        <v>BiK82K12----04</v>
      </c>
      <c r="AS471" s="169" t="str">
        <f t="shared" si="147"/>
        <v/>
      </c>
      <c r="AT471">
        <f t="shared" si="148"/>
        <v>14</v>
      </c>
      <c r="AU471" s="170" t="str">
        <f t="shared" si="149"/>
        <v>0,15-0,5 MW, Bonusregel K erstmals 2012</v>
      </c>
      <c r="AV471" s="169" t="str">
        <f t="shared" si="150"/>
        <v/>
      </c>
      <c r="AW471" s="170" t="str">
        <f t="shared" si="151"/>
        <v>Anteil KWK, erstmals 2012</v>
      </c>
      <c r="AX471" s="169" t="str">
        <f t="shared" si="152"/>
        <v/>
      </c>
      <c r="AY471" t="str">
        <f t="shared" si="153"/>
        <v/>
      </c>
      <c r="AZ471" t="str">
        <f t="shared" si="154"/>
        <v>x</v>
      </c>
    </row>
    <row r="472" spans="1:52" s="145" customFormat="1" x14ac:dyDescent="0.35">
      <c r="A472" s="497" t="s">
        <v>1357</v>
      </c>
      <c r="B472" s="13" t="s">
        <v>5547</v>
      </c>
      <c r="C472" s="13" t="s">
        <v>4808</v>
      </c>
      <c r="D472" s="13" t="s">
        <v>7092</v>
      </c>
      <c r="E472" s="13" t="s">
        <v>4809</v>
      </c>
      <c r="F472" s="373">
        <f t="shared" si="161"/>
        <v>10.9</v>
      </c>
      <c r="G472" s="430">
        <v>10.9</v>
      </c>
      <c r="H472" s="399">
        <f t="shared" si="162"/>
        <v>8.7200000000000006</v>
      </c>
      <c r="I472" s="576"/>
      <c r="J472" s="549" t="s">
        <v>5804</v>
      </c>
      <c r="K472" s="11"/>
      <c r="L472"/>
      <c r="M472" s="37">
        <f t="shared" si="163"/>
        <v>10.9</v>
      </c>
      <c r="N472" s="29">
        <v>9.9</v>
      </c>
      <c r="O472" s="41"/>
      <c r="P472" s="11"/>
      <c r="Q472"/>
      <c r="R472"/>
      <c r="S472" t="s">
        <v>4179</v>
      </c>
      <c r="T472" s="145" t="s">
        <v>4179</v>
      </c>
      <c r="U472" s="42" t="s">
        <v>1017</v>
      </c>
      <c r="V472"/>
      <c r="W472" s="50"/>
      <c r="X472" s="50"/>
      <c r="Y472"/>
      <c r="Z472" s="50"/>
      <c r="AA472"/>
      <c r="AB472"/>
      <c r="AC472" s="50"/>
      <c r="AD472"/>
      <c r="AE472" s="75"/>
      <c r="AF472" s="50"/>
      <c r="AG472" s="50"/>
      <c r="AH472" s="166" t="str">
        <f t="shared" ref="AH472:AH477" si="170">IF(ISERROR(SEARCH("K erstmals 201",D472)),"",RIGHT(D472,4))</f>
        <v/>
      </c>
      <c r="AI472" s="168" t="str">
        <f t="shared" si="155"/>
        <v/>
      </c>
      <c r="AJ472" s="168" t="str">
        <f t="shared" si="156"/>
        <v/>
      </c>
      <c r="AK472" s="168" t="str">
        <f t="shared" si="157"/>
        <v/>
      </c>
      <c r="AL472" s="168" t="str">
        <f t="shared" si="158"/>
        <v/>
      </c>
      <c r="AM472" s="168" t="str">
        <f t="shared" si="159"/>
        <v/>
      </c>
      <c r="AN472" s="167" t="str">
        <f t="shared" si="142"/>
        <v/>
      </c>
      <c r="AO472" s="167" t="str">
        <f t="shared" si="143"/>
        <v/>
      </c>
      <c r="AP472" s="167" t="str">
        <f t="shared" si="144"/>
        <v/>
      </c>
      <c r="AQ472" s="169" t="str">
        <f t="shared" si="145"/>
        <v/>
      </c>
      <c r="AR472" s="170" t="str">
        <f t="shared" si="146"/>
        <v>BiK82y------04</v>
      </c>
      <c r="AS472" s="169" t="str">
        <f t="shared" si="147"/>
        <v/>
      </c>
      <c r="AT472">
        <f t="shared" si="148"/>
        <v>14</v>
      </c>
      <c r="AU472" s="170" t="str">
        <f t="shared" si="149"/>
        <v>0,15-0,5 MW, Bonusregel y</v>
      </c>
      <c r="AV472" s="169" t="str">
        <f t="shared" si="150"/>
        <v/>
      </c>
      <c r="AW472" s="170" t="str">
        <f t="shared" si="151"/>
        <v>Anteil Nicht-KWK</v>
      </c>
      <c r="AX472" s="169" t="str">
        <f t="shared" si="152"/>
        <v/>
      </c>
      <c r="AY472" t="str">
        <f t="shared" si="153"/>
        <v/>
      </c>
      <c r="AZ472" t="str">
        <f t="shared" si="154"/>
        <v/>
      </c>
    </row>
    <row r="473" spans="1:52" s="145" customFormat="1" x14ac:dyDescent="0.35">
      <c r="A473" s="497" t="s">
        <v>1358</v>
      </c>
      <c r="B473" s="13" t="s">
        <v>5547</v>
      </c>
      <c r="C473" s="13" t="s">
        <v>4808</v>
      </c>
      <c r="D473" s="13" t="s">
        <v>7093</v>
      </c>
      <c r="E473" s="13" t="s">
        <v>4811</v>
      </c>
      <c r="F473" s="373">
        <f t="shared" si="161"/>
        <v>12.9</v>
      </c>
      <c r="G473" s="430">
        <v>12.9</v>
      </c>
      <c r="H473" s="399">
        <f t="shared" si="162"/>
        <v>10.32</v>
      </c>
      <c r="I473" s="576"/>
      <c r="J473" s="549" t="s">
        <v>5804</v>
      </c>
      <c r="K473" s="11"/>
      <c r="L473"/>
      <c r="M473" s="37">
        <f t="shared" si="163"/>
        <v>12.9</v>
      </c>
      <c r="N473" s="29">
        <v>9.9</v>
      </c>
      <c r="O473" s="41" t="s">
        <v>1017</v>
      </c>
      <c r="P473" s="11"/>
      <c r="Q473"/>
      <c r="R473"/>
      <c r="S473" t="s">
        <v>4179</v>
      </c>
      <c r="T473" s="145" t="s">
        <v>4179</v>
      </c>
      <c r="U473" s="42" t="s">
        <v>1017</v>
      </c>
      <c r="V473"/>
      <c r="W473" s="50"/>
      <c r="X473" s="50"/>
      <c r="Y473"/>
      <c r="Z473" s="50"/>
      <c r="AA473"/>
      <c r="AB473"/>
      <c r="AC473" s="50"/>
      <c r="AD473"/>
      <c r="AE473" s="75"/>
      <c r="AF473" s="50"/>
      <c r="AG473" s="50"/>
      <c r="AH473" s="166" t="str">
        <f t="shared" si="170"/>
        <v/>
      </c>
      <c r="AI473" s="168" t="str">
        <f t="shared" si="155"/>
        <v/>
      </c>
      <c r="AJ473" s="168" t="str">
        <f t="shared" si="156"/>
        <v/>
      </c>
      <c r="AK473" s="168" t="str">
        <f t="shared" si="157"/>
        <v/>
      </c>
      <c r="AL473" s="168" t="str">
        <f t="shared" si="158"/>
        <v/>
      </c>
      <c r="AM473" s="168" t="str">
        <f t="shared" si="159"/>
        <v/>
      </c>
      <c r="AN473" s="167" t="str">
        <f t="shared" si="142"/>
        <v/>
      </c>
      <c r="AO473" s="167" t="str">
        <f t="shared" si="143"/>
        <v/>
      </c>
      <c r="AP473" s="167" t="str">
        <f t="shared" si="144"/>
        <v/>
      </c>
      <c r="AQ473" s="169" t="str">
        <f t="shared" si="145"/>
        <v/>
      </c>
      <c r="AR473" s="170" t="str">
        <f t="shared" si="146"/>
        <v>BiK82KWKy---04</v>
      </c>
      <c r="AS473" s="169" t="str">
        <f t="shared" si="147"/>
        <v/>
      </c>
      <c r="AT473">
        <f t="shared" si="148"/>
        <v>14</v>
      </c>
      <c r="AU473" s="170" t="str">
        <f t="shared" si="149"/>
        <v>0,15-0,5 MW, Bonusregeln y und KWK</v>
      </c>
      <c r="AV473" s="169" t="str">
        <f t="shared" si="150"/>
        <v/>
      </c>
      <c r="AW473" s="170" t="str">
        <f t="shared" si="151"/>
        <v>Anteil KWK</v>
      </c>
      <c r="AX473" s="169" t="str">
        <f t="shared" si="152"/>
        <v/>
      </c>
      <c r="AY473" t="str">
        <f t="shared" si="153"/>
        <v/>
      </c>
      <c r="AZ473" t="str">
        <f t="shared" si="154"/>
        <v/>
      </c>
    </row>
    <row r="474" spans="1:52" s="145" customFormat="1" x14ac:dyDescent="0.35">
      <c r="A474" s="497" t="s">
        <v>1359</v>
      </c>
      <c r="B474" s="13" t="s">
        <v>5547</v>
      </c>
      <c r="C474" s="13" t="s">
        <v>4808</v>
      </c>
      <c r="D474" s="13" t="s">
        <v>7094</v>
      </c>
      <c r="E474" s="13" t="s">
        <v>4330</v>
      </c>
      <c r="F474" s="373">
        <f t="shared" si="161"/>
        <v>13.9</v>
      </c>
      <c r="G474" s="430">
        <v>13.9</v>
      </c>
      <c r="H474" s="399">
        <f t="shared" si="162"/>
        <v>11.12</v>
      </c>
      <c r="I474" s="576"/>
      <c r="J474" s="549" t="s">
        <v>5804</v>
      </c>
      <c r="K474" s="11"/>
      <c r="L474"/>
      <c r="M474" s="37">
        <f t="shared" si="163"/>
        <v>13.9</v>
      </c>
      <c r="N474" s="29">
        <v>9.9</v>
      </c>
      <c r="O474" s="41"/>
      <c r="P474" t="s">
        <v>1017</v>
      </c>
      <c r="Q474"/>
      <c r="R474"/>
      <c r="S474" t="s">
        <v>4179</v>
      </c>
      <c r="T474" s="145" t="s">
        <v>4179</v>
      </c>
      <c r="U474" s="42" t="s">
        <v>1017</v>
      </c>
      <c r="V474"/>
      <c r="W474" s="50"/>
      <c r="X474" s="50"/>
      <c r="Y474"/>
      <c r="Z474" s="50"/>
      <c r="AA474"/>
      <c r="AB474"/>
      <c r="AC474" s="50"/>
      <c r="AD474"/>
      <c r="AE474" s="75"/>
      <c r="AF474" s="50"/>
      <c r="AG474" s="50"/>
      <c r="AH474" s="166" t="str">
        <f t="shared" si="170"/>
        <v/>
      </c>
      <c r="AI474" s="168" t="str">
        <f t="shared" si="155"/>
        <v/>
      </c>
      <c r="AJ474" s="168" t="str">
        <f t="shared" si="156"/>
        <v/>
      </c>
      <c r="AK474" s="168" t="str">
        <f t="shared" si="157"/>
        <v/>
      </c>
      <c r="AL474" s="168" t="str">
        <f t="shared" si="158"/>
        <v/>
      </c>
      <c r="AM474" s="168" t="str">
        <f t="shared" si="159"/>
        <v/>
      </c>
      <c r="AN474" s="167" t="str">
        <f t="shared" si="142"/>
        <v/>
      </c>
      <c r="AO474" s="167" t="str">
        <f t="shared" si="143"/>
        <v/>
      </c>
      <c r="AP474" s="167" t="str">
        <f t="shared" si="144"/>
        <v/>
      </c>
      <c r="AQ474" s="169" t="str">
        <f t="shared" si="145"/>
        <v/>
      </c>
      <c r="AR474" s="170" t="str">
        <f t="shared" si="146"/>
        <v>BiK82KA3y---04</v>
      </c>
      <c r="AS474" s="169" t="str">
        <f t="shared" si="147"/>
        <v/>
      </c>
      <c r="AT474">
        <f t="shared" si="148"/>
        <v>14</v>
      </c>
      <c r="AU474" s="170" t="str">
        <f t="shared" si="149"/>
        <v>0,15-0,5 MW, Bonusregeln y und K wenn Anlage 3 erfüllt</v>
      </c>
      <c r="AV474" s="169" t="str">
        <f t="shared" si="150"/>
        <v/>
      </c>
      <c r="AW474" s="170" t="str">
        <f t="shared" si="151"/>
        <v>Anteil KWK gemäß Anlage 3</v>
      </c>
      <c r="AX474" s="169" t="str">
        <f t="shared" si="152"/>
        <v/>
      </c>
      <c r="AY474" t="str">
        <f t="shared" si="153"/>
        <v/>
      </c>
      <c r="AZ474" t="str">
        <f t="shared" si="154"/>
        <v/>
      </c>
    </row>
    <row r="475" spans="1:52" s="145" customFormat="1" x14ac:dyDescent="0.35">
      <c r="A475" s="497" t="s">
        <v>1360</v>
      </c>
      <c r="B475" s="13" t="s">
        <v>5547</v>
      </c>
      <c r="C475" s="13" t="s">
        <v>4808</v>
      </c>
      <c r="D475" s="13" t="s">
        <v>7095</v>
      </c>
      <c r="E475" s="13" t="s">
        <v>674</v>
      </c>
      <c r="F475" s="373">
        <f t="shared" si="161"/>
        <v>13.9</v>
      </c>
      <c r="G475" s="430">
        <v>13.9</v>
      </c>
      <c r="H475" s="399">
        <f t="shared" si="162"/>
        <v>11.12</v>
      </c>
      <c r="I475" s="576"/>
      <c r="J475" s="549" t="s">
        <v>5804</v>
      </c>
      <c r="K475" s="11"/>
      <c r="L475"/>
      <c r="M475" s="37">
        <f t="shared" si="163"/>
        <v>13.9</v>
      </c>
      <c r="N475" s="29">
        <v>9.9</v>
      </c>
      <c r="O475" s="41"/>
      <c r="P475" s="11"/>
      <c r="Q475" t="s">
        <v>1017</v>
      </c>
      <c r="R475"/>
      <c r="S475" t="s">
        <v>4179</v>
      </c>
      <c r="T475" s="145" t="s">
        <v>4179</v>
      </c>
      <c r="U475" s="42" t="s">
        <v>1017</v>
      </c>
      <c r="V475"/>
      <c r="W475" s="50"/>
      <c r="X475" s="50"/>
      <c r="Y475"/>
      <c r="Z475" s="50"/>
      <c r="AA475"/>
      <c r="AB475"/>
      <c r="AC475" s="50"/>
      <c r="AD475"/>
      <c r="AE475" s="75"/>
      <c r="AF475" s="50"/>
      <c r="AG475" s="50"/>
      <c r="AH475" s="166" t="str">
        <f t="shared" si="170"/>
        <v/>
      </c>
      <c r="AI475" s="168" t="str">
        <f t="shared" si="155"/>
        <v/>
      </c>
      <c r="AJ475" s="168" t="str">
        <f t="shared" si="156"/>
        <v/>
      </c>
      <c r="AK475" s="168" t="str">
        <f t="shared" si="157"/>
        <v/>
      </c>
      <c r="AL475" s="168" t="str">
        <f t="shared" si="158"/>
        <v/>
      </c>
      <c r="AM475" s="168" t="str">
        <f t="shared" si="159"/>
        <v/>
      </c>
      <c r="AN475" s="167" t="str">
        <f t="shared" si="142"/>
        <v/>
      </c>
      <c r="AO475" s="167" t="str">
        <f t="shared" si="143"/>
        <v/>
      </c>
      <c r="AP475" s="167" t="str">
        <f t="shared" si="144"/>
        <v/>
      </c>
      <c r="AQ475" s="169" t="str">
        <f t="shared" si="145"/>
        <v/>
      </c>
      <c r="AR475" s="170" t="str">
        <f t="shared" si="146"/>
        <v>BiK82K09y---04</v>
      </c>
      <c r="AS475" s="169" t="str">
        <f t="shared" si="147"/>
        <v/>
      </c>
      <c r="AT475">
        <f t="shared" si="148"/>
        <v>14</v>
      </c>
      <c r="AU475" s="170" t="str">
        <f t="shared" si="149"/>
        <v>0,15-0,5 MW, Bonusregeln y und K erstmals 2009</v>
      </c>
      <c r="AV475" s="169" t="str">
        <f t="shared" si="150"/>
        <v/>
      </c>
      <c r="AW475" s="170" t="str">
        <f t="shared" si="151"/>
        <v>Anteil KWK, erstmals 2009</v>
      </c>
      <c r="AX475" s="169" t="str">
        <f t="shared" si="152"/>
        <v/>
      </c>
      <c r="AY475" t="str">
        <f t="shared" si="153"/>
        <v/>
      </c>
      <c r="AZ475" t="str">
        <f t="shared" si="154"/>
        <v/>
      </c>
    </row>
    <row r="476" spans="1:52" s="145" customFormat="1" x14ac:dyDescent="0.35">
      <c r="A476" s="497" t="s">
        <v>1446</v>
      </c>
      <c r="B476" s="13" t="s">
        <v>5547</v>
      </c>
      <c r="C476" s="13" t="s">
        <v>4808</v>
      </c>
      <c r="D476" s="13" t="s">
        <v>7096</v>
      </c>
      <c r="E476" s="13" t="s">
        <v>3566</v>
      </c>
      <c r="F476" s="373">
        <f t="shared" si="161"/>
        <v>13.870000000000001</v>
      </c>
      <c r="G476" s="430">
        <v>13.870000000000001</v>
      </c>
      <c r="H476" s="399">
        <f t="shared" si="162"/>
        <v>11.1</v>
      </c>
      <c r="I476" s="576"/>
      <c r="J476" s="549" t="s">
        <v>5804</v>
      </c>
      <c r="K476" s="11"/>
      <c r="L476"/>
      <c r="M476" s="37">
        <f t="shared" si="163"/>
        <v>13.870000000000001</v>
      </c>
      <c r="N476" s="29">
        <v>9.9</v>
      </c>
      <c r="O476" s="41"/>
      <c r="P476" s="11"/>
      <c r="Q476"/>
      <c r="R476" t="s">
        <v>1017</v>
      </c>
      <c r="S476" t="s">
        <v>4179</v>
      </c>
      <c r="T476" s="145" t="s">
        <v>4179</v>
      </c>
      <c r="U476" s="42" t="s">
        <v>1017</v>
      </c>
      <c r="V476"/>
      <c r="W476" s="50"/>
      <c r="X476" s="50"/>
      <c r="Y476"/>
      <c r="Z476" s="50"/>
      <c r="AA476"/>
      <c r="AB476"/>
      <c r="AC476" s="50"/>
      <c r="AD476"/>
      <c r="AE476" s="75"/>
      <c r="AF476" s="50"/>
      <c r="AG476" s="50"/>
      <c r="AH476" s="166" t="str">
        <f t="shared" si="170"/>
        <v>2010</v>
      </c>
      <c r="AI476" s="168" t="str">
        <f t="shared" si="155"/>
        <v/>
      </c>
      <c r="AJ476" s="168" t="str">
        <f t="shared" si="156"/>
        <v/>
      </c>
      <c r="AK476" s="168" t="str">
        <f t="shared" si="157"/>
        <v/>
      </c>
      <c r="AL476" s="168" t="str">
        <f t="shared" si="158"/>
        <v/>
      </c>
      <c r="AM476" s="168" t="str">
        <f t="shared" si="159"/>
        <v/>
      </c>
      <c r="AN476" s="167" t="str">
        <f t="shared" si="142"/>
        <v>2010</v>
      </c>
      <c r="AO476" s="167" t="str">
        <f t="shared" si="143"/>
        <v>2010</v>
      </c>
      <c r="AP476" s="167" t="str">
        <f t="shared" si="144"/>
        <v>2010</v>
      </c>
      <c r="AQ476" s="169" t="str">
        <f t="shared" si="145"/>
        <v/>
      </c>
      <c r="AR476" s="170" t="str">
        <f t="shared" si="146"/>
        <v>BiK82K10y---04</v>
      </c>
      <c r="AS476" s="169" t="str">
        <f t="shared" si="147"/>
        <v/>
      </c>
      <c r="AT476">
        <f t="shared" si="148"/>
        <v>14</v>
      </c>
      <c r="AU476" s="170" t="str">
        <f t="shared" si="149"/>
        <v>0,15-0,5 MW, Bonusregeln y und K erstmals 2010</v>
      </c>
      <c r="AV476" s="169" t="str">
        <f t="shared" si="150"/>
        <v/>
      </c>
      <c r="AW476" s="170" t="str">
        <f t="shared" si="151"/>
        <v>Anteil KWK, erstmals 2010</v>
      </c>
      <c r="AX476" s="169" t="str">
        <f t="shared" si="152"/>
        <v/>
      </c>
      <c r="AY476" t="str">
        <f t="shared" si="153"/>
        <v/>
      </c>
      <c r="AZ476" t="str">
        <f t="shared" si="154"/>
        <v/>
      </c>
    </row>
    <row r="477" spans="1:52" s="145" customFormat="1" x14ac:dyDescent="0.35">
      <c r="A477" s="497" t="s">
        <v>5267</v>
      </c>
      <c r="B477" s="13" t="s">
        <v>5547</v>
      </c>
      <c r="C477" s="13" t="s">
        <v>4808</v>
      </c>
      <c r="D477" s="13" t="s">
        <v>7097</v>
      </c>
      <c r="E477" s="13" t="s">
        <v>3054</v>
      </c>
      <c r="F477" s="373">
        <f t="shared" si="161"/>
        <v>13.84</v>
      </c>
      <c r="G477" s="430">
        <v>13.84</v>
      </c>
      <c r="H477" s="399">
        <f t="shared" si="162"/>
        <v>11.07</v>
      </c>
      <c r="I477" s="576"/>
      <c r="J477" s="549" t="s">
        <v>5804</v>
      </c>
      <c r="K477" s="11"/>
      <c r="L477"/>
      <c r="M477" s="37">
        <f t="shared" si="163"/>
        <v>13.84</v>
      </c>
      <c r="N477" s="29">
        <v>9.9</v>
      </c>
      <c r="O477" s="41"/>
      <c r="P477" s="11"/>
      <c r="Q477"/>
      <c r="R477"/>
      <c r="S477" t="s">
        <v>1017</v>
      </c>
      <c r="T477" s="145" t="s">
        <v>4179</v>
      </c>
      <c r="U477" s="42" t="s">
        <v>1017</v>
      </c>
      <c r="V477"/>
      <c r="W477" s="50"/>
      <c r="X477" s="50"/>
      <c r="Y477"/>
      <c r="Z477" s="50"/>
      <c r="AA477"/>
      <c r="AB477"/>
      <c r="AC477" s="50"/>
      <c r="AD477"/>
      <c r="AE477" s="75"/>
      <c r="AF477" s="50"/>
      <c r="AG477" s="50"/>
      <c r="AH477" s="166" t="str">
        <f t="shared" si="170"/>
        <v>2011</v>
      </c>
      <c r="AI477" s="168" t="str">
        <f t="shared" si="155"/>
        <v/>
      </c>
      <c r="AJ477" s="168" t="str">
        <f t="shared" si="156"/>
        <v/>
      </c>
      <c r="AK477" s="168" t="str">
        <f t="shared" si="157"/>
        <v/>
      </c>
      <c r="AL477" s="168" t="str">
        <f t="shared" si="158"/>
        <v/>
      </c>
      <c r="AM477" s="168" t="str">
        <f t="shared" si="159"/>
        <v/>
      </c>
      <c r="AN477" s="167" t="str">
        <f t="shared" si="142"/>
        <v>2011</v>
      </c>
      <c r="AO477" s="167" t="str">
        <f t="shared" si="143"/>
        <v>2011</v>
      </c>
      <c r="AP477" s="167" t="str">
        <f t="shared" si="144"/>
        <v>2011</v>
      </c>
      <c r="AQ477" s="169" t="str">
        <f t="shared" si="145"/>
        <v/>
      </c>
      <c r="AR477" s="170" t="str">
        <f t="shared" si="146"/>
        <v>BiK82K11y---04</v>
      </c>
      <c r="AS477" s="169" t="str">
        <f t="shared" si="147"/>
        <v/>
      </c>
      <c r="AT477">
        <f t="shared" si="148"/>
        <v>14</v>
      </c>
      <c r="AU477" s="170" t="str">
        <f t="shared" si="149"/>
        <v>0,15-0,5 MW, Bonusregeln y und K erstmals 2011</v>
      </c>
      <c r="AV477" s="169" t="str">
        <f t="shared" si="150"/>
        <v/>
      </c>
      <c r="AW477" s="170" t="str">
        <f t="shared" si="151"/>
        <v>Anteil KWK, erstmals 2011</v>
      </c>
      <c r="AX477" s="169" t="str">
        <f t="shared" si="152"/>
        <v/>
      </c>
      <c r="AY477" t="str">
        <f t="shared" si="153"/>
        <v>x</v>
      </c>
      <c r="AZ477" t="str">
        <f t="shared" si="154"/>
        <v/>
      </c>
    </row>
    <row r="478" spans="1:52" s="145" customFormat="1" x14ac:dyDescent="0.35">
      <c r="A478" s="511" t="s">
        <v>1518</v>
      </c>
      <c r="B478" s="173" t="s">
        <v>5547</v>
      </c>
      <c r="C478" s="173" t="s">
        <v>4808</v>
      </c>
      <c r="D478" s="173" t="s">
        <v>7098</v>
      </c>
      <c r="E478" s="173" t="s">
        <v>1980</v>
      </c>
      <c r="F478" s="374">
        <f t="shared" si="161"/>
        <v>13.81</v>
      </c>
      <c r="G478" s="431">
        <v>13.81</v>
      </c>
      <c r="H478" s="400">
        <f t="shared" si="162"/>
        <v>11.05</v>
      </c>
      <c r="I478" s="577"/>
      <c r="J478" s="549" t="s">
        <v>5804</v>
      </c>
      <c r="K478" s="11"/>
      <c r="L478"/>
      <c r="M478" s="37">
        <f t="shared" si="163"/>
        <v>13.81</v>
      </c>
      <c r="N478" s="29">
        <v>9.9</v>
      </c>
      <c r="O478" s="41"/>
      <c r="P478" s="11"/>
      <c r="Q478"/>
      <c r="R478"/>
      <c r="S478" t="s">
        <v>4179</v>
      </c>
      <c r="T478" s="145" t="s">
        <v>1017</v>
      </c>
      <c r="U478" s="42" t="s">
        <v>1017</v>
      </c>
      <c r="V478"/>
      <c r="W478" s="50"/>
      <c r="X478" s="50"/>
      <c r="Y478"/>
      <c r="Z478" s="50"/>
      <c r="AA478"/>
      <c r="AB478"/>
      <c r="AC478" s="50"/>
      <c r="AD478"/>
      <c r="AE478" s="75"/>
      <c r="AF478" s="50"/>
      <c r="AG478" s="50"/>
      <c r="AH478" s="171" t="s">
        <v>4178</v>
      </c>
      <c r="AI478" s="168" t="str">
        <f t="shared" si="155"/>
        <v/>
      </c>
      <c r="AJ478" s="168" t="str">
        <f t="shared" si="156"/>
        <v/>
      </c>
      <c r="AK478" s="168" t="str">
        <f t="shared" si="157"/>
        <v/>
      </c>
      <c r="AL478" s="168" t="str">
        <f t="shared" si="158"/>
        <v/>
      </c>
      <c r="AM478" s="168" t="str">
        <f t="shared" si="159"/>
        <v/>
      </c>
      <c r="AN478" s="167" t="str">
        <f t="shared" si="142"/>
        <v>2012</v>
      </c>
      <c r="AO478" s="167" t="str">
        <f t="shared" si="143"/>
        <v>2012</v>
      </c>
      <c r="AP478" s="167" t="str">
        <f t="shared" si="144"/>
        <v>2012</v>
      </c>
      <c r="AQ478" s="169" t="str">
        <f t="shared" si="145"/>
        <v/>
      </c>
      <c r="AR478" s="170" t="str">
        <f t="shared" si="146"/>
        <v>BiK82K12y---04</v>
      </c>
      <c r="AS478" s="169" t="str">
        <f t="shared" si="147"/>
        <v/>
      </c>
      <c r="AT478">
        <f t="shared" si="148"/>
        <v>14</v>
      </c>
      <c r="AU478" s="170" t="str">
        <f t="shared" si="149"/>
        <v>0,15-0,5 MW, Bonusregeln y und K erstmals 2012</v>
      </c>
      <c r="AV478" s="169" t="str">
        <f t="shared" si="150"/>
        <v/>
      </c>
      <c r="AW478" s="170" t="str">
        <f t="shared" si="151"/>
        <v>Anteil KWK, erstmals 2012</v>
      </c>
      <c r="AX478" s="169" t="str">
        <f t="shared" si="152"/>
        <v/>
      </c>
      <c r="AY478" t="str">
        <f t="shared" si="153"/>
        <v/>
      </c>
      <c r="AZ478" t="str">
        <f t="shared" si="154"/>
        <v>x</v>
      </c>
    </row>
    <row r="479" spans="1:52" s="145" customFormat="1" x14ac:dyDescent="0.35">
      <c r="A479" s="496" t="s">
        <v>1009</v>
      </c>
      <c r="B479" s="1" t="s">
        <v>5547</v>
      </c>
      <c r="C479" s="1" t="s">
        <v>4808</v>
      </c>
      <c r="D479" s="1" t="s">
        <v>7099</v>
      </c>
      <c r="E479" s="1" t="s">
        <v>4809</v>
      </c>
      <c r="F479" s="375">
        <f t="shared" si="161"/>
        <v>15.9</v>
      </c>
      <c r="G479" s="432">
        <v>15.9</v>
      </c>
      <c r="H479" s="401">
        <f t="shared" si="162"/>
        <v>12.72</v>
      </c>
      <c r="I479" s="578"/>
      <c r="J479" s="549" t="s">
        <v>5804</v>
      </c>
      <c r="K479" s="11"/>
      <c r="L479"/>
      <c r="M479" s="37">
        <f t="shared" si="163"/>
        <v>15.9</v>
      </c>
      <c r="N479" s="29">
        <v>9.9</v>
      </c>
      <c r="O479" s="41"/>
      <c r="P479" s="11"/>
      <c r="Q479"/>
      <c r="R479"/>
      <c r="S479" t="s">
        <v>4179</v>
      </c>
      <c r="T479" s="145" t="s">
        <v>4179</v>
      </c>
      <c r="U479" s="42"/>
      <c r="V479" t="s">
        <v>1017</v>
      </c>
      <c r="W479" s="50"/>
      <c r="X479" s="50"/>
      <c r="Y479"/>
      <c r="Z479" s="50"/>
      <c r="AA479"/>
      <c r="AB479"/>
      <c r="AC479" s="50"/>
      <c r="AD479"/>
      <c r="AE479" s="75"/>
      <c r="AF479" s="50"/>
      <c r="AG479" s="50"/>
      <c r="AH479" s="166" t="str">
        <f t="shared" ref="AH479:AH484" si="171">IF(ISERROR(SEARCH("K erstmals 201",D479)),"",RIGHT(D479,4))</f>
        <v/>
      </c>
      <c r="AI479" s="168" t="str">
        <f t="shared" si="155"/>
        <v/>
      </c>
      <c r="AJ479" s="168" t="str">
        <f t="shared" si="156"/>
        <v/>
      </c>
      <c r="AK479" s="168" t="str">
        <f t="shared" si="157"/>
        <v/>
      </c>
      <c r="AL479" s="168" t="str">
        <f t="shared" si="158"/>
        <v/>
      </c>
      <c r="AM479" s="168" t="str">
        <f t="shared" si="159"/>
        <v/>
      </c>
      <c r="AN479" s="167" t="str">
        <f t="shared" si="142"/>
        <v/>
      </c>
      <c r="AO479" s="167" t="str">
        <f t="shared" si="143"/>
        <v/>
      </c>
      <c r="AP479" s="167" t="str">
        <f t="shared" si="144"/>
        <v/>
      </c>
      <c r="AQ479" s="169" t="str">
        <f t="shared" si="145"/>
        <v/>
      </c>
      <c r="AR479" s="170" t="str">
        <f t="shared" si="146"/>
        <v>BiK82a1-----04</v>
      </c>
      <c r="AS479" s="169" t="str">
        <f t="shared" si="147"/>
        <v/>
      </c>
      <c r="AT479">
        <f t="shared" si="148"/>
        <v>14</v>
      </c>
      <c r="AU479" s="170" t="str">
        <f t="shared" si="149"/>
        <v>0,15-0,5 MW, Bonusregel a1</v>
      </c>
      <c r="AV479" s="169" t="str">
        <f t="shared" si="150"/>
        <v/>
      </c>
      <c r="AW479" s="170" t="str">
        <f t="shared" si="151"/>
        <v>Anteil Nicht-KWK</v>
      </c>
      <c r="AX479" s="169" t="str">
        <f t="shared" si="152"/>
        <v/>
      </c>
      <c r="AY479" t="str">
        <f t="shared" si="153"/>
        <v/>
      </c>
      <c r="AZ479" t="str">
        <f t="shared" si="154"/>
        <v/>
      </c>
    </row>
    <row r="480" spans="1:52" s="145" customFormat="1" x14ac:dyDescent="0.35">
      <c r="A480" s="496" t="s">
        <v>1010</v>
      </c>
      <c r="B480" s="1" t="s">
        <v>5547</v>
      </c>
      <c r="C480" s="1" t="s">
        <v>4808</v>
      </c>
      <c r="D480" s="1" t="s">
        <v>7100</v>
      </c>
      <c r="E480" s="1" t="s">
        <v>4811</v>
      </c>
      <c r="F480" s="375">
        <f t="shared" si="161"/>
        <v>17.899999999999999</v>
      </c>
      <c r="G480" s="432">
        <v>17.899999999999999</v>
      </c>
      <c r="H480" s="401">
        <f t="shared" si="162"/>
        <v>14.32</v>
      </c>
      <c r="I480" s="578"/>
      <c r="J480" s="549" t="s">
        <v>5804</v>
      </c>
      <c r="K480" s="11"/>
      <c r="L480"/>
      <c r="M480" s="37">
        <f t="shared" si="163"/>
        <v>17.899999999999999</v>
      </c>
      <c r="N480" s="29">
        <v>9.9</v>
      </c>
      <c r="O480" s="41" t="s">
        <v>1017</v>
      </c>
      <c r="P480" s="11"/>
      <c r="Q480"/>
      <c r="R480"/>
      <c r="S480" t="s">
        <v>4179</v>
      </c>
      <c r="T480" s="145" t="s">
        <v>4179</v>
      </c>
      <c r="U480" s="42"/>
      <c r="V480" t="s">
        <v>1017</v>
      </c>
      <c r="W480" s="50"/>
      <c r="X480" s="50"/>
      <c r="Y480"/>
      <c r="Z480" s="50"/>
      <c r="AA480"/>
      <c r="AB480"/>
      <c r="AC480" s="50"/>
      <c r="AD480"/>
      <c r="AE480" s="75"/>
      <c r="AF480" s="50"/>
      <c r="AG480" s="50"/>
      <c r="AH480" s="166" t="str">
        <f t="shared" si="171"/>
        <v/>
      </c>
      <c r="AI480" s="168" t="str">
        <f t="shared" si="155"/>
        <v/>
      </c>
      <c r="AJ480" s="168" t="str">
        <f t="shared" si="156"/>
        <v/>
      </c>
      <c r="AK480" s="168" t="str">
        <f t="shared" si="157"/>
        <v/>
      </c>
      <c r="AL480" s="168" t="str">
        <f t="shared" si="158"/>
        <v/>
      </c>
      <c r="AM480" s="168" t="str">
        <f t="shared" si="159"/>
        <v/>
      </c>
      <c r="AN480" s="167" t="str">
        <f t="shared" si="142"/>
        <v/>
      </c>
      <c r="AO480" s="167" t="str">
        <f t="shared" si="143"/>
        <v/>
      </c>
      <c r="AP480" s="167" t="str">
        <f t="shared" si="144"/>
        <v/>
      </c>
      <c r="AQ480" s="169" t="str">
        <f t="shared" si="145"/>
        <v/>
      </c>
      <c r="AR480" s="170" t="str">
        <f t="shared" si="146"/>
        <v>BiK82a1KWK--04</v>
      </c>
      <c r="AS480" s="169" t="str">
        <f t="shared" si="147"/>
        <v/>
      </c>
      <c r="AT480">
        <f t="shared" si="148"/>
        <v>14</v>
      </c>
      <c r="AU480" s="170" t="str">
        <f t="shared" si="149"/>
        <v>0,15-0,5 MW, Bonusregel a1 und KWK</v>
      </c>
      <c r="AV480" s="169" t="str">
        <f t="shared" si="150"/>
        <v/>
      </c>
      <c r="AW480" s="170" t="str">
        <f t="shared" si="151"/>
        <v>Anteil KWK</v>
      </c>
      <c r="AX480" s="169" t="str">
        <f t="shared" si="152"/>
        <v/>
      </c>
      <c r="AY480" t="str">
        <f t="shared" si="153"/>
        <v/>
      </c>
      <c r="AZ480" t="str">
        <f t="shared" si="154"/>
        <v/>
      </c>
    </row>
    <row r="481" spans="1:52" s="145" customFormat="1" x14ac:dyDescent="0.35">
      <c r="A481" s="497" t="s">
        <v>4338</v>
      </c>
      <c r="B481" s="13" t="s">
        <v>5547</v>
      </c>
      <c r="C481" s="13" t="s">
        <v>4808</v>
      </c>
      <c r="D481" s="13" t="s">
        <v>7101</v>
      </c>
      <c r="E481" s="13" t="s">
        <v>4330</v>
      </c>
      <c r="F481" s="373">
        <f t="shared" si="161"/>
        <v>18.899999999999999</v>
      </c>
      <c r="G481" s="430">
        <v>18.899999999999999</v>
      </c>
      <c r="H481" s="399">
        <f t="shared" si="162"/>
        <v>15.12</v>
      </c>
      <c r="I481" s="576"/>
      <c r="J481" s="549" t="s">
        <v>5804</v>
      </c>
      <c r="K481" s="11"/>
      <c r="L481"/>
      <c r="M481" s="37">
        <f t="shared" si="163"/>
        <v>18.899999999999999</v>
      </c>
      <c r="N481" s="29">
        <v>9.9</v>
      </c>
      <c r="O481" s="41"/>
      <c r="P481" t="s">
        <v>1017</v>
      </c>
      <c r="Q481"/>
      <c r="R481"/>
      <c r="S481" t="s">
        <v>4179</v>
      </c>
      <c r="T481" s="145" t="s">
        <v>4179</v>
      </c>
      <c r="U481" s="42"/>
      <c r="V481" t="s">
        <v>1017</v>
      </c>
      <c r="W481" s="50"/>
      <c r="X481" s="50"/>
      <c r="Y481"/>
      <c r="Z481" s="50"/>
      <c r="AA481"/>
      <c r="AB481"/>
      <c r="AC481" s="50"/>
      <c r="AD481"/>
      <c r="AE481" s="75"/>
      <c r="AF481" s="50"/>
      <c r="AG481" s="50"/>
      <c r="AH481" s="166" t="str">
        <f t="shared" si="171"/>
        <v/>
      </c>
      <c r="AI481" s="168" t="str">
        <f t="shared" si="155"/>
        <v/>
      </c>
      <c r="AJ481" s="168" t="str">
        <f t="shared" si="156"/>
        <v/>
      </c>
      <c r="AK481" s="168" t="str">
        <f t="shared" si="157"/>
        <v/>
      </c>
      <c r="AL481" s="168" t="str">
        <f t="shared" si="158"/>
        <v/>
      </c>
      <c r="AM481" s="168" t="str">
        <f t="shared" si="159"/>
        <v/>
      </c>
      <c r="AN481" s="167" t="str">
        <f t="shared" si="142"/>
        <v/>
      </c>
      <c r="AO481" s="167" t="str">
        <f t="shared" si="143"/>
        <v/>
      </c>
      <c r="AP481" s="167" t="str">
        <f t="shared" si="144"/>
        <v/>
      </c>
      <c r="AQ481" s="169" t="str">
        <f t="shared" si="145"/>
        <v/>
      </c>
      <c r="AR481" s="170" t="str">
        <f t="shared" si="146"/>
        <v>BiK82a1KA3--04</v>
      </c>
      <c r="AS481" s="169" t="str">
        <f t="shared" si="147"/>
        <v/>
      </c>
      <c r="AT481">
        <f t="shared" si="148"/>
        <v>14</v>
      </c>
      <c r="AU481" s="170" t="str">
        <f t="shared" si="149"/>
        <v>0,15-0,5 MW, Bonusregeln a1 und K wenn Anlage 3 erfüllt</v>
      </c>
      <c r="AV481" s="169" t="str">
        <f t="shared" si="150"/>
        <v/>
      </c>
      <c r="AW481" s="170" t="str">
        <f t="shared" si="151"/>
        <v>Anteil KWK gemäß Anlage 3</v>
      </c>
      <c r="AX481" s="169" t="str">
        <f t="shared" si="152"/>
        <v/>
      </c>
      <c r="AY481" t="str">
        <f t="shared" si="153"/>
        <v/>
      </c>
      <c r="AZ481" t="str">
        <f t="shared" si="154"/>
        <v/>
      </c>
    </row>
    <row r="482" spans="1:52" s="145" customFormat="1" x14ac:dyDescent="0.35">
      <c r="A482" s="497" t="s">
        <v>5039</v>
      </c>
      <c r="B482" s="13" t="s">
        <v>5547</v>
      </c>
      <c r="C482" s="13" t="s">
        <v>4808</v>
      </c>
      <c r="D482" s="13" t="s">
        <v>7102</v>
      </c>
      <c r="E482" s="13" t="s">
        <v>674</v>
      </c>
      <c r="F482" s="373">
        <f t="shared" si="161"/>
        <v>18.899999999999999</v>
      </c>
      <c r="G482" s="430">
        <v>18.899999999999999</v>
      </c>
      <c r="H482" s="399">
        <f t="shared" si="162"/>
        <v>15.12</v>
      </c>
      <c r="I482" s="576"/>
      <c r="J482" s="549" t="s">
        <v>5804</v>
      </c>
      <c r="K482" s="11"/>
      <c r="L482"/>
      <c r="M482" s="37">
        <f t="shared" si="163"/>
        <v>18.899999999999999</v>
      </c>
      <c r="N482" s="29">
        <v>9.9</v>
      </c>
      <c r="O482" s="41"/>
      <c r="P482" s="11"/>
      <c r="Q482" t="s">
        <v>1017</v>
      </c>
      <c r="R482"/>
      <c r="S482" t="s">
        <v>4179</v>
      </c>
      <c r="T482" s="145" t="s">
        <v>4179</v>
      </c>
      <c r="U482" s="42"/>
      <c r="V482" t="s">
        <v>1017</v>
      </c>
      <c r="W482" s="50"/>
      <c r="X482" s="50"/>
      <c r="Y482"/>
      <c r="Z482" s="50"/>
      <c r="AA482"/>
      <c r="AB482"/>
      <c r="AC482" s="50"/>
      <c r="AD482"/>
      <c r="AE482" s="75"/>
      <c r="AF482" s="50"/>
      <c r="AG482" s="50"/>
      <c r="AH482" s="166" t="str">
        <f t="shared" si="171"/>
        <v/>
      </c>
      <c r="AI482" s="168" t="str">
        <f t="shared" si="155"/>
        <v/>
      </c>
      <c r="AJ482" s="168" t="str">
        <f t="shared" si="156"/>
        <v/>
      </c>
      <c r="AK482" s="168" t="str">
        <f t="shared" si="157"/>
        <v/>
      </c>
      <c r="AL482" s="168" t="str">
        <f t="shared" si="158"/>
        <v/>
      </c>
      <c r="AM482" s="168" t="str">
        <f t="shared" si="159"/>
        <v/>
      </c>
      <c r="AN482" s="167" t="str">
        <f t="shared" si="142"/>
        <v/>
      </c>
      <c r="AO482" s="167" t="str">
        <f t="shared" si="143"/>
        <v/>
      </c>
      <c r="AP482" s="167" t="str">
        <f t="shared" si="144"/>
        <v/>
      </c>
      <c r="AQ482" s="169" t="str">
        <f t="shared" si="145"/>
        <v/>
      </c>
      <c r="AR482" s="170" t="str">
        <f t="shared" si="146"/>
        <v>BiK82a1K09--04</v>
      </c>
      <c r="AS482" s="169" t="str">
        <f t="shared" si="147"/>
        <v/>
      </c>
      <c r="AT482">
        <f t="shared" si="148"/>
        <v>14</v>
      </c>
      <c r="AU482" s="170" t="str">
        <f t="shared" si="149"/>
        <v>0,15-0,5 MW, Bonusregeln a1 und K erstmals 2009</v>
      </c>
      <c r="AV482" s="169" t="str">
        <f t="shared" si="150"/>
        <v/>
      </c>
      <c r="AW482" s="170" t="str">
        <f t="shared" si="151"/>
        <v>Anteil KWK, erstmals 2009</v>
      </c>
      <c r="AX482" s="169" t="str">
        <f t="shared" si="152"/>
        <v/>
      </c>
      <c r="AY482" t="str">
        <f t="shared" si="153"/>
        <v/>
      </c>
      <c r="AZ482" t="str">
        <f t="shared" si="154"/>
        <v/>
      </c>
    </row>
    <row r="483" spans="1:52" x14ac:dyDescent="0.35">
      <c r="A483" s="497" t="s">
        <v>1447</v>
      </c>
      <c r="B483" s="13" t="s">
        <v>5547</v>
      </c>
      <c r="C483" s="13" t="s">
        <v>4808</v>
      </c>
      <c r="D483" s="13" t="s">
        <v>7103</v>
      </c>
      <c r="E483" s="13" t="s">
        <v>3566</v>
      </c>
      <c r="F483" s="373">
        <f t="shared" si="161"/>
        <v>18.87</v>
      </c>
      <c r="G483" s="430">
        <v>18.87</v>
      </c>
      <c r="H483" s="399">
        <f t="shared" si="162"/>
        <v>15.1</v>
      </c>
      <c r="I483" s="576"/>
      <c r="J483" s="549" t="s">
        <v>5804</v>
      </c>
      <c r="K483" s="11"/>
      <c r="M483" s="37">
        <f t="shared" si="163"/>
        <v>18.87</v>
      </c>
      <c r="N483" s="29">
        <v>9.9</v>
      </c>
      <c r="O483" s="41"/>
      <c r="P483" s="11"/>
      <c r="R483" t="s">
        <v>1017</v>
      </c>
      <c r="S483" t="s">
        <v>4179</v>
      </c>
      <c r="T483" t="s">
        <v>4179</v>
      </c>
      <c r="U483" s="42"/>
      <c r="V483" t="s">
        <v>1017</v>
      </c>
      <c r="W483" s="50"/>
      <c r="X483" s="50"/>
      <c r="Z483" s="50"/>
      <c r="AC483" s="50"/>
      <c r="AE483" s="75"/>
      <c r="AF483" s="50"/>
      <c r="AG483" s="50"/>
      <c r="AH483" s="166" t="str">
        <f t="shared" si="171"/>
        <v>2010</v>
      </c>
      <c r="AI483" s="168" t="str">
        <f t="shared" si="155"/>
        <v/>
      </c>
      <c r="AJ483" s="168" t="str">
        <f t="shared" si="156"/>
        <v/>
      </c>
      <c r="AK483" s="168" t="str">
        <f t="shared" si="157"/>
        <v/>
      </c>
      <c r="AL483" s="168" t="str">
        <f t="shared" si="158"/>
        <v/>
      </c>
      <c r="AM483" s="168" t="str">
        <f t="shared" si="159"/>
        <v/>
      </c>
      <c r="AN483" s="167" t="str">
        <f t="shared" si="142"/>
        <v>2010</v>
      </c>
      <c r="AO483" s="167" t="str">
        <f t="shared" si="143"/>
        <v>2010</v>
      </c>
      <c r="AP483" s="167" t="str">
        <f t="shared" si="144"/>
        <v>2010</v>
      </c>
      <c r="AQ483" s="169" t="str">
        <f t="shared" si="145"/>
        <v/>
      </c>
      <c r="AR483" s="170" t="str">
        <f t="shared" si="146"/>
        <v>BiK82a1K10--04</v>
      </c>
      <c r="AS483" s="169" t="str">
        <f t="shared" si="147"/>
        <v/>
      </c>
      <c r="AT483">
        <f t="shared" si="148"/>
        <v>14</v>
      </c>
      <c r="AU483" s="170" t="str">
        <f t="shared" si="149"/>
        <v>0,15-0,5 MW, Bonusregeln a1 und K erstmals 2010</v>
      </c>
      <c r="AV483" s="169" t="str">
        <f t="shared" si="150"/>
        <v/>
      </c>
      <c r="AW483" s="170" t="str">
        <f t="shared" si="151"/>
        <v>Anteil KWK, erstmals 2010</v>
      </c>
      <c r="AX483" s="169" t="str">
        <f t="shared" si="152"/>
        <v/>
      </c>
      <c r="AY483" t="str">
        <f t="shared" si="153"/>
        <v/>
      </c>
      <c r="AZ483" t="str">
        <f t="shared" si="154"/>
        <v/>
      </c>
    </row>
    <row r="484" spans="1:52" x14ac:dyDescent="0.35">
      <c r="A484" s="497" t="s">
        <v>5268</v>
      </c>
      <c r="B484" s="13" t="s">
        <v>5547</v>
      </c>
      <c r="C484" s="13" t="s">
        <v>4808</v>
      </c>
      <c r="D484" s="13" t="s">
        <v>7104</v>
      </c>
      <c r="E484" s="13" t="s">
        <v>3054</v>
      </c>
      <c r="F484" s="373">
        <f t="shared" si="161"/>
        <v>18.84</v>
      </c>
      <c r="G484" s="430">
        <v>18.84</v>
      </c>
      <c r="H484" s="399">
        <f t="shared" si="162"/>
        <v>15.07</v>
      </c>
      <c r="I484" s="576"/>
      <c r="J484" s="549" t="s">
        <v>5804</v>
      </c>
      <c r="K484" s="11"/>
      <c r="M484" s="37">
        <f t="shared" si="163"/>
        <v>18.84</v>
      </c>
      <c r="N484" s="29">
        <v>9.9</v>
      </c>
      <c r="O484" s="41"/>
      <c r="P484" s="11"/>
      <c r="S484" t="s">
        <v>1017</v>
      </c>
      <c r="T484" t="s">
        <v>4179</v>
      </c>
      <c r="U484" s="42"/>
      <c r="V484" t="s">
        <v>1017</v>
      </c>
      <c r="W484" s="50"/>
      <c r="X484" s="50"/>
      <c r="Z484" s="50"/>
      <c r="AC484" s="50"/>
      <c r="AE484" s="75"/>
      <c r="AF484" s="50"/>
      <c r="AG484" s="50"/>
      <c r="AH484" s="166" t="str">
        <f t="shared" si="171"/>
        <v>2011</v>
      </c>
      <c r="AI484" s="168" t="str">
        <f t="shared" si="155"/>
        <v/>
      </c>
      <c r="AJ484" s="168" t="str">
        <f t="shared" si="156"/>
        <v/>
      </c>
      <c r="AK484" s="168" t="str">
        <f t="shared" si="157"/>
        <v/>
      </c>
      <c r="AL484" s="168" t="str">
        <f t="shared" si="158"/>
        <v/>
      </c>
      <c r="AM484" s="168" t="str">
        <f t="shared" si="159"/>
        <v/>
      </c>
      <c r="AN484" s="167" t="str">
        <f t="shared" ref="AN484:AN547" si="172">IF(ISERROR(SEARCH("K1",A484)),"","20"&amp;MID(A484,SEARCH("K1",A484)+1,2))</f>
        <v>2011</v>
      </c>
      <c r="AO484" s="167" t="str">
        <f t="shared" ref="AO484:AO547" si="173">IF(ISERROR(SEARCH("erstmals 201",E484)),"",MID(E484,SEARCH("erstmals ",E484)+9,4))</f>
        <v>2011</v>
      </c>
      <c r="AP484" s="167" t="str">
        <f t="shared" ref="AP484:AP547" si="174">IF(R484="x","2010",IF(S484="x","2011",IF(T484="x","2012","")))</f>
        <v>2011</v>
      </c>
      <c r="AQ484" s="169" t="str">
        <f t="shared" ref="AQ484:AQ547" si="175">IF(OR(AH484&lt;&gt;AN484,AH484&lt;&gt;AO484,AH484&lt;&gt;AP484),"DIFF","")</f>
        <v/>
      </c>
      <c r="AR484" s="170" t="str">
        <f t="shared" ref="AR484:AR547" si="176">IF(A484="","",IF(ISERROR(SEARCH("K1",A484)),A484,LEFT(A484,SEARCH("K1",A484)+1)&amp;RIGHT(AH484,1)&amp;MID(A484,SEARCH("K1",A484)+3,14)))</f>
        <v>BiK82a1K11--04</v>
      </c>
      <c r="AS484" s="169" t="str">
        <f t="shared" ref="AS484:AS547" si="177">IF(OR(A484&lt;&gt;AR484),"DIFF","")</f>
        <v/>
      </c>
      <c r="AT484">
        <f t="shared" ref="AT484:AT547" si="178">LEN(AR484)</f>
        <v>14</v>
      </c>
      <c r="AU484" s="170" t="str">
        <f t="shared" ref="AU484:AU547" si="179">IF(D484="","",IF(OR(A484="",ISERROR(SEARCH("erstmals 201",D484))),D484,LEFT(D484,SEARCH("erstmals 201",D484)+8) &amp; AH484 &amp; MID(D484,SEARCH("erstmals 201",D484)+13,255)))</f>
        <v>0,15-0,5 MW, Bonusregeln a1 und K erstmals 2011</v>
      </c>
      <c r="AV484" s="169" t="str">
        <f t="shared" ref="AV484:AV547" si="180">IF(OR(D484&lt;&gt;AU484),"DIFF","")</f>
        <v/>
      </c>
      <c r="AW484" s="170" t="str">
        <f t="shared" ref="AW484:AW547" si="181">IF(E484="","",IF(OR(E484="",ISERROR(SEARCH("erstmals 201",E484))),E484,LEFT(E484,SEARCH("erstmals 201",E484)+8) &amp; AH484 &amp; MID(E484,SEARCH("erstmals 201",E484)+13,255)))</f>
        <v>Anteil KWK, erstmals 2011</v>
      </c>
      <c r="AX484" s="169" t="str">
        <f t="shared" ref="AX484:AX547" si="182">IF(OR(E484&lt;&gt;AW484),"DIFF","")</f>
        <v/>
      </c>
      <c r="AY484" t="str">
        <f t="shared" ref="AY484:AY547" si="183">IF(AH484="2011","x",IF(AH484="2012","","" &amp; S484))</f>
        <v>x</v>
      </c>
      <c r="AZ484" t="str">
        <f t="shared" ref="AZ484:AZ547" si="184">IF(AH484="2012","x",IF(AH484="2011","","" &amp; T484))</f>
        <v/>
      </c>
    </row>
    <row r="485" spans="1:52" x14ac:dyDescent="0.35">
      <c r="A485" s="511" t="s">
        <v>1519</v>
      </c>
      <c r="B485" s="173" t="s">
        <v>5547</v>
      </c>
      <c r="C485" s="173" t="s">
        <v>4808</v>
      </c>
      <c r="D485" s="173" t="s">
        <v>7105</v>
      </c>
      <c r="E485" s="173" t="s">
        <v>1980</v>
      </c>
      <c r="F485" s="374">
        <f t="shared" si="161"/>
        <v>18.810000000000002</v>
      </c>
      <c r="G485" s="431">
        <v>18.810000000000002</v>
      </c>
      <c r="H485" s="400">
        <f t="shared" si="162"/>
        <v>15.05</v>
      </c>
      <c r="I485" s="577"/>
      <c r="J485" s="549" t="s">
        <v>5804</v>
      </c>
      <c r="K485" s="11"/>
      <c r="M485" s="37">
        <f t="shared" si="163"/>
        <v>18.810000000000002</v>
      </c>
      <c r="N485" s="29">
        <v>9.9</v>
      </c>
      <c r="O485" s="41"/>
      <c r="P485" s="11"/>
      <c r="S485" t="s">
        <v>4179</v>
      </c>
      <c r="T485" t="s">
        <v>1017</v>
      </c>
      <c r="U485" s="42"/>
      <c r="V485" t="s">
        <v>1017</v>
      </c>
      <c r="W485" s="50"/>
      <c r="X485" s="50"/>
      <c r="Z485" s="50"/>
      <c r="AC485" s="50"/>
      <c r="AE485" s="75"/>
      <c r="AF485" s="50"/>
      <c r="AG485" s="50"/>
      <c r="AH485" s="171" t="s">
        <v>4178</v>
      </c>
      <c r="AI485" s="168" t="str">
        <f t="shared" ref="AI485:AI548" si="185">IF(AND($AH485&lt;&gt;"",AH485 =AH484),"Gleich","")</f>
        <v/>
      </c>
      <c r="AJ485" s="168" t="str">
        <f t="shared" ref="AJ485:AJ548" si="186">IF(AND($AH485&lt;&gt;"",A485 =A484),"Gleich","")</f>
        <v/>
      </c>
      <c r="AK485" s="168" t="str">
        <f t="shared" ref="AK485:AK548" si="187">IF(AND($AH485&lt;&gt;"",D485 =D484),"Gleich","")</f>
        <v/>
      </c>
      <c r="AL485" s="168" t="str">
        <f t="shared" ref="AL485:AL548" si="188">IF(AND($AH485&lt;&gt;"",E485 =E484),"Gleich","")</f>
        <v/>
      </c>
      <c r="AM485" s="168" t="str">
        <f t="shared" ref="AM485:AM548" si="189">IF(AND($AH485&lt;&gt;"",F485 =F484),"Gleich","")</f>
        <v/>
      </c>
      <c r="AN485" s="167" t="str">
        <f t="shared" si="172"/>
        <v>2012</v>
      </c>
      <c r="AO485" s="167" t="str">
        <f t="shared" si="173"/>
        <v>2012</v>
      </c>
      <c r="AP485" s="167" t="str">
        <f t="shared" si="174"/>
        <v>2012</v>
      </c>
      <c r="AQ485" s="169" t="str">
        <f t="shared" si="175"/>
        <v/>
      </c>
      <c r="AR485" s="170" t="str">
        <f t="shared" si="176"/>
        <v>BiK82a1K12--04</v>
      </c>
      <c r="AS485" s="169" t="str">
        <f t="shared" si="177"/>
        <v/>
      </c>
      <c r="AT485">
        <f t="shared" si="178"/>
        <v>14</v>
      </c>
      <c r="AU485" s="170" t="str">
        <f t="shared" si="179"/>
        <v>0,15-0,5 MW, Bonusregeln a1 und K erstmals 2012</v>
      </c>
      <c r="AV485" s="169" t="str">
        <f t="shared" si="180"/>
        <v/>
      </c>
      <c r="AW485" s="170" t="str">
        <f t="shared" si="181"/>
        <v>Anteil KWK, erstmals 2012</v>
      </c>
      <c r="AX485" s="169" t="str">
        <f t="shared" si="182"/>
        <v/>
      </c>
      <c r="AY485" t="str">
        <f t="shared" si="183"/>
        <v/>
      </c>
      <c r="AZ485" t="str">
        <f t="shared" si="184"/>
        <v>x</v>
      </c>
    </row>
    <row r="486" spans="1:52" x14ac:dyDescent="0.35">
      <c r="A486" s="497" t="s">
        <v>1361</v>
      </c>
      <c r="B486" s="13" t="s">
        <v>5547</v>
      </c>
      <c r="C486" s="13" t="s">
        <v>4808</v>
      </c>
      <c r="D486" s="13" t="s">
        <v>7106</v>
      </c>
      <c r="E486" s="13" t="s">
        <v>4809</v>
      </c>
      <c r="F486" s="373">
        <f t="shared" si="161"/>
        <v>16.899999999999999</v>
      </c>
      <c r="G486" s="430">
        <v>16.899999999999999</v>
      </c>
      <c r="H486" s="399">
        <f t="shared" si="162"/>
        <v>13.52</v>
      </c>
      <c r="I486" s="576"/>
      <c r="J486" s="549" t="s">
        <v>5804</v>
      </c>
      <c r="K486" s="11"/>
      <c r="M486" s="37">
        <f t="shared" si="163"/>
        <v>16.899999999999999</v>
      </c>
      <c r="N486" s="29">
        <v>9.9</v>
      </c>
      <c r="O486" s="41"/>
      <c r="P486" s="11"/>
      <c r="S486" t="s">
        <v>4179</v>
      </c>
      <c r="T486" t="s">
        <v>4179</v>
      </c>
      <c r="U486" s="42" t="s">
        <v>1017</v>
      </c>
      <c r="V486" t="s">
        <v>1017</v>
      </c>
      <c r="W486" s="50"/>
      <c r="X486" s="50"/>
      <c r="Z486" s="50"/>
      <c r="AC486" s="50"/>
      <c r="AE486" s="75"/>
      <c r="AF486" s="50"/>
      <c r="AG486" s="50"/>
      <c r="AH486" s="166" t="str">
        <f t="shared" ref="AH486:AH491" si="190">IF(ISERROR(SEARCH("K erstmals 201",D486)),"",RIGHT(D486,4))</f>
        <v/>
      </c>
      <c r="AI486" s="168" t="str">
        <f t="shared" si="185"/>
        <v/>
      </c>
      <c r="AJ486" s="168" t="str">
        <f t="shared" si="186"/>
        <v/>
      </c>
      <c r="AK486" s="168" t="str">
        <f t="shared" si="187"/>
        <v/>
      </c>
      <c r="AL486" s="168" t="str">
        <f t="shared" si="188"/>
        <v/>
      </c>
      <c r="AM486" s="168" t="str">
        <f t="shared" si="189"/>
        <v/>
      </c>
      <c r="AN486" s="167" t="str">
        <f t="shared" si="172"/>
        <v/>
      </c>
      <c r="AO486" s="167" t="str">
        <f t="shared" si="173"/>
        <v/>
      </c>
      <c r="AP486" s="167" t="str">
        <f t="shared" si="174"/>
        <v/>
      </c>
      <c r="AQ486" s="169" t="str">
        <f t="shared" si="175"/>
        <v/>
      </c>
      <c r="AR486" s="170" t="str">
        <f t="shared" si="176"/>
        <v>BiK82a1y----04</v>
      </c>
      <c r="AS486" s="169" t="str">
        <f t="shared" si="177"/>
        <v/>
      </c>
      <c r="AT486">
        <f t="shared" si="178"/>
        <v>14</v>
      </c>
      <c r="AU486" s="170" t="str">
        <f t="shared" si="179"/>
        <v>0,15-0,5 MW, Bonusregeln a1, y</v>
      </c>
      <c r="AV486" s="169" t="str">
        <f t="shared" si="180"/>
        <v/>
      </c>
      <c r="AW486" s="170" t="str">
        <f t="shared" si="181"/>
        <v>Anteil Nicht-KWK</v>
      </c>
      <c r="AX486" s="169" t="str">
        <f t="shared" si="182"/>
        <v/>
      </c>
      <c r="AY486" t="str">
        <f t="shared" si="183"/>
        <v/>
      </c>
      <c r="AZ486" t="str">
        <f t="shared" si="184"/>
        <v/>
      </c>
    </row>
    <row r="487" spans="1:52" x14ac:dyDescent="0.35">
      <c r="A487" s="497" t="s">
        <v>1362</v>
      </c>
      <c r="B487" s="13" t="s">
        <v>5547</v>
      </c>
      <c r="C487" s="13" t="s">
        <v>4808</v>
      </c>
      <c r="D487" s="13" t="s">
        <v>7107</v>
      </c>
      <c r="E487" s="13" t="s">
        <v>4811</v>
      </c>
      <c r="F487" s="373">
        <f t="shared" si="161"/>
        <v>18.899999999999999</v>
      </c>
      <c r="G487" s="430">
        <v>18.899999999999999</v>
      </c>
      <c r="H487" s="399">
        <f t="shared" si="162"/>
        <v>15.12</v>
      </c>
      <c r="I487" s="576"/>
      <c r="J487" s="549" t="s">
        <v>5804</v>
      </c>
      <c r="K487" s="11"/>
      <c r="M487" s="37">
        <f t="shared" si="163"/>
        <v>18.899999999999999</v>
      </c>
      <c r="N487" s="29">
        <v>9.9</v>
      </c>
      <c r="O487" s="41" t="s">
        <v>1017</v>
      </c>
      <c r="P487" s="11"/>
      <c r="S487" t="s">
        <v>4179</v>
      </c>
      <c r="T487" t="s">
        <v>4179</v>
      </c>
      <c r="U487" s="42" t="s">
        <v>1017</v>
      </c>
      <c r="V487" t="s">
        <v>1017</v>
      </c>
      <c r="W487" s="50"/>
      <c r="X487" s="50"/>
      <c r="Z487" s="50"/>
      <c r="AC487" s="50"/>
      <c r="AE487" s="75"/>
      <c r="AF487" s="50"/>
      <c r="AG487" s="50"/>
      <c r="AH487" s="166" t="str">
        <f t="shared" si="190"/>
        <v/>
      </c>
      <c r="AI487" s="168" t="str">
        <f t="shared" si="185"/>
        <v/>
      </c>
      <c r="AJ487" s="168" t="str">
        <f t="shared" si="186"/>
        <v/>
      </c>
      <c r="AK487" s="168" t="str">
        <f t="shared" si="187"/>
        <v/>
      </c>
      <c r="AL487" s="168" t="str">
        <f t="shared" si="188"/>
        <v/>
      </c>
      <c r="AM487" s="168" t="str">
        <f t="shared" si="189"/>
        <v/>
      </c>
      <c r="AN487" s="167" t="str">
        <f t="shared" si="172"/>
        <v/>
      </c>
      <c r="AO487" s="167" t="str">
        <f t="shared" si="173"/>
        <v/>
      </c>
      <c r="AP487" s="167" t="str">
        <f t="shared" si="174"/>
        <v/>
      </c>
      <c r="AQ487" s="169" t="str">
        <f t="shared" si="175"/>
        <v/>
      </c>
      <c r="AR487" s="170" t="str">
        <f t="shared" si="176"/>
        <v>BiK82a1KWKy-04</v>
      </c>
      <c r="AS487" s="169" t="str">
        <f t="shared" si="177"/>
        <v/>
      </c>
      <c r="AT487">
        <f t="shared" si="178"/>
        <v>14</v>
      </c>
      <c r="AU487" s="170" t="str">
        <f t="shared" si="179"/>
        <v>0,15-0,5 MW, Bonusregeln a1, y und KWK</v>
      </c>
      <c r="AV487" s="169" t="str">
        <f t="shared" si="180"/>
        <v/>
      </c>
      <c r="AW487" s="170" t="str">
        <f t="shared" si="181"/>
        <v>Anteil KWK</v>
      </c>
      <c r="AX487" s="169" t="str">
        <f t="shared" si="182"/>
        <v/>
      </c>
      <c r="AY487" t="str">
        <f t="shared" si="183"/>
        <v/>
      </c>
      <c r="AZ487" t="str">
        <f t="shared" si="184"/>
        <v/>
      </c>
    </row>
    <row r="488" spans="1:52" x14ac:dyDescent="0.35">
      <c r="A488" s="497" t="s">
        <v>1363</v>
      </c>
      <c r="B488" s="13" t="s">
        <v>5547</v>
      </c>
      <c r="C488" s="13" t="s">
        <v>4808</v>
      </c>
      <c r="D488" s="13" t="s">
        <v>7108</v>
      </c>
      <c r="E488" s="13" t="s">
        <v>4330</v>
      </c>
      <c r="F488" s="373">
        <f t="shared" si="161"/>
        <v>19.899999999999999</v>
      </c>
      <c r="G488" s="430">
        <v>19.899999999999999</v>
      </c>
      <c r="H488" s="399">
        <f t="shared" si="162"/>
        <v>15.92</v>
      </c>
      <c r="I488" s="576"/>
      <c r="J488" s="549" t="s">
        <v>5804</v>
      </c>
      <c r="K488" s="11"/>
      <c r="M488" s="37">
        <f t="shared" si="163"/>
        <v>19.899999999999999</v>
      </c>
      <c r="N488" s="29">
        <v>9.9</v>
      </c>
      <c r="O488" s="41"/>
      <c r="P488" t="s">
        <v>1017</v>
      </c>
      <c r="S488" t="s">
        <v>4179</v>
      </c>
      <c r="T488" t="s">
        <v>4179</v>
      </c>
      <c r="U488" s="42" t="s">
        <v>1017</v>
      </c>
      <c r="V488" t="s">
        <v>1017</v>
      </c>
      <c r="W488" s="50"/>
      <c r="X488" s="50"/>
      <c r="Z488" s="50"/>
      <c r="AC488" s="50"/>
      <c r="AE488" s="75"/>
      <c r="AF488" s="50"/>
      <c r="AG488" s="50"/>
      <c r="AH488" s="166" t="str">
        <f t="shared" si="190"/>
        <v/>
      </c>
      <c r="AI488" s="168" t="str">
        <f t="shared" si="185"/>
        <v/>
      </c>
      <c r="AJ488" s="168" t="str">
        <f t="shared" si="186"/>
        <v/>
      </c>
      <c r="AK488" s="168" t="str">
        <f t="shared" si="187"/>
        <v/>
      </c>
      <c r="AL488" s="168" t="str">
        <f t="shared" si="188"/>
        <v/>
      </c>
      <c r="AM488" s="168" t="str">
        <f t="shared" si="189"/>
        <v/>
      </c>
      <c r="AN488" s="167" t="str">
        <f t="shared" si="172"/>
        <v/>
      </c>
      <c r="AO488" s="167" t="str">
        <f t="shared" si="173"/>
        <v/>
      </c>
      <c r="AP488" s="167" t="str">
        <f t="shared" si="174"/>
        <v/>
      </c>
      <c r="AQ488" s="169" t="str">
        <f t="shared" si="175"/>
        <v/>
      </c>
      <c r="AR488" s="170" t="str">
        <f t="shared" si="176"/>
        <v>BiK82a1KA3y-04</v>
      </c>
      <c r="AS488" s="169" t="str">
        <f t="shared" si="177"/>
        <v/>
      </c>
      <c r="AT488">
        <f t="shared" si="178"/>
        <v>14</v>
      </c>
      <c r="AU488" s="170" t="str">
        <f t="shared" si="179"/>
        <v>0,15-0,5 MW, Bonusregeln a1, y und K wenn Anlage 3 erfüllt</v>
      </c>
      <c r="AV488" s="169" t="str">
        <f t="shared" si="180"/>
        <v/>
      </c>
      <c r="AW488" s="170" t="str">
        <f t="shared" si="181"/>
        <v>Anteil KWK gemäß Anlage 3</v>
      </c>
      <c r="AX488" s="169" t="str">
        <f t="shared" si="182"/>
        <v/>
      </c>
      <c r="AY488" t="str">
        <f t="shared" si="183"/>
        <v/>
      </c>
      <c r="AZ488" t="str">
        <f t="shared" si="184"/>
        <v/>
      </c>
    </row>
    <row r="489" spans="1:52" x14ac:dyDescent="0.35">
      <c r="A489" s="497" t="s">
        <v>1364</v>
      </c>
      <c r="B489" s="13" t="s">
        <v>5547</v>
      </c>
      <c r="C489" s="13" t="s">
        <v>4808</v>
      </c>
      <c r="D489" s="13" t="s">
        <v>7109</v>
      </c>
      <c r="E489" s="13" t="s">
        <v>674</v>
      </c>
      <c r="F489" s="373">
        <f t="shared" ref="F489:F552" si="191">M489</f>
        <v>19.899999999999999</v>
      </c>
      <c r="G489" s="430">
        <v>19.899999999999999</v>
      </c>
      <c r="H489" s="399">
        <f t="shared" ref="H489:H552" si="192">IF(ISNUMBER(G489),ROUND(0.8*G489,2),"")</f>
        <v>15.92</v>
      </c>
      <c r="I489" s="576"/>
      <c r="J489" s="549" t="s">
        <v>5804</v>
      </c>
      <c r="K489" s="11"/>
      <c r="M489" s="37">
        <f t="shared" ref="M489:M552" si="193">N489+SUMIF(O489:AG489,"x",O$296:AG$296)</f>
        <v>19.899999999999999</v>
      </c>
      <c r="N489" s="29">
        <v>9.9</v>
      </c>
      <c r="O489" s="41"/>
      <c r="P489" s="11"/>
      <c r="Q489" t="s">
        <v>1017</v>
      </c>
      <c r="S489" t="s">
        <v>4179</v>
      </c>
      <c r="T489" t="s">
        <v>4179</v>
      </c>
      <c r="U489" s="42" t="s">
        <v>1017</v>
      </c>
      <c r="V489" t="s">
        <v>1017</v>
      </c>
      <c r="W489" s="50"/>
      <c r="X489" s="50"/>
      <c r="Z489" s="50"/>
      <c r="AC489" s="50"/>
      <c r="AE489" s="75"/>
      <c r="AF489" s="50"/>
      <c r="AG489" s="50"/>
      <c r="AH489" s="166" t="str">
        <f t="shared" si="190"/>
        <v/>
      </c>
      <c r="AI489" s="168" t="str">
        <f t="shared" si="185"/>
        <v/>
      </c>
      <c r="AJ489" s="168" t="str">
        <f t="shared" si="186"/>
        <v/>
      </c>
      <c r="AK489" s="168" t="str">
        <f t="shared" si="187"/>
        <v/>
      </c>
      <c r="AL489" s="168" t="str">
        <f t="shared" si="188"/>
        <v/>
      </c>
      <c r="AM489" s="168" t="str">
        <f t="shared" si="189"/>
        <v/>
      </c>
      <c r="AN489" s="167" t="str">
        <f t="shared" si="172"/>
        <v/>
      </c>
      <c r="AO489" s="167" t="str">
        <f t="shared" si="173"/>
        <v/>
      </c>
      <c r="AP489" s="167" t="str">
        <f t="shared" si="174"/>
        <v/>
      </c>
      <c r="AQ489" s="169" t="str">
        <f t="shared" si="175"/>
        <v/>
      </c>
      <c r="AR489" s="170" t="str">
        <f t="shared" si="176"/>
        <v>BiK82a1K09y-04</v>
      </c>
      <c r="AS489" s="169" t="str">
        <f t="shared" si="177"/>
        <v/>
      </c>
      <c r="AT489">
        <f t="shared" si="178"/>
        <v>14</v>
      </c>
      <c r="AU489" s="170" t="str">
        <f t="shared" si="179"/>
        <v>0,15-0,5 MW, Bonusregeln a1, y und K erstmals 2009</v>
      </c>
      <c r="AV489" s="169" t="str">
        <f t="shared" si="180"/>
        <v/>
      </c>
      <c r="AW489" s="170" t="str">
        <f t="shared" si="181"/>
        <v>Anteil KWK, erstmals 2009</v>
      </c>
      <c r="AX489" s="169" t="str">
        <f t="shared" si="182"/>
        <v/>
      </c>
      <c r="AY489" t="str">
        <f t="shared" si="183"/>
        <v/>
      </c>
      <c r="AZ489" t="str">
        <f t="shared" si="184"/>
        <v/>
      </c>
    </row>
    <row r="490" spans="1:52" x14ac:dyDescent="0.35">
      <c r="A490" s="497" t="s">
        <v>1448</v>
      </c>
      <c r="B490" s="13" t="s">
        <v>5547</v>
      </c>
      <c r="C490" s="13" t="s">
        <v>4808</v>
      </c>
      <c r="D490" s="13" t="s">
        <v>7110</v>
      </c>
      <c r="E490" s="13" t="s">
        <v>3566</v>
      </c>
      <c r="F490" s="373">
        <f t="shared" si="191"/>
        <v>19.87</v>
      </c>
      <c r="G490" s="430">
        <v>19.87</v>
      </c>
      <c r="H490" s="399">
        <f t="shared" si="192"/>
        <v>15.9</v>
      </c>
      <c r="I490" s="576"/>
      <c r="J490" s="549" t="s">
        <v>5804</v>
      </c>
      <c r="K490" s="11"/>
      <c r="M490" s="37">
        <f t="shared" si="193"/>
        <v>19.87</v>
      </c>
      <c r="N490" s="29">
        <v>9.9</v>
      </c>
      <c r="O490" s="41"/>
      <c r="P490" s="11"/>
      <c r="R490" t="s">
        <v>1017</v>
      </c>
      <c r="S490" t="s">
        <v>4179</v>
      </c>
      <c r="T490" t="s">
        <v>4179</v>
      </c>
      <c r="U490" s="42" t="s">
        <v>1017</v>
      </c>
      <c r="V490" t="s">
        <v>1017</v>
      </c>
      <c r="W490" s="50"/>
      <c r="X490" s="50"/>
      <c r="Z490" s="50"/>
      <c r="AC490" s="50"/>
      <c r="AE490" s="75"/>
      <c r="AF490" s="50"/>
      <c r="AG490" s="50"/>
      <c r="AH490" s="166" t="str">
        <f t="shared" si="190"/>
        <v>2010</v>
      </c>
      <c r="AI490" s="168" t="str">
        <f t="shared" si="185"/>
        <v/>
      </c>
      <c r="AJ490" s="168" t="str">
        <f t="shared" si="186"/>
        <v/>
      </c>
      <c r="AK490" s="168" t="str">
        <f t="shared" si="187"/>
        <v/>
      </c>
      <c r="AL490" s="168" t="str">
        <f t="shared" si="188"/>
        <v/>
      </c>
      <c r="AM490" s="168" t="str">
        <f t="shared" si="189"/>
        <v/>
      </c>
      <c r="AN490" s="167" t="str">
        <f t="shared" si="172"/>
        <v>2010</v>
      </c>
      <c r="AO490" s="167" t="str">
        <f t="shared" si="173"/>
        <v>2010</v>
      </c>
      <c r="AP490" s="167" t="str">
        <f t="shared" si="174"/>
        <v>2010</v>
      </c>
      <c r="AQ490" s="169" t="str">
        <f t="shared" si="175"/>
        <v/>
      </c>
      <c r="AR490" s="170" t="str">
        <f t="shared" si="176"/>
        <v>BiK82a1K10y-04</v>
      </c>
      <c r="AS490" s="169" t="str">
        <f t="shared" si="177"/>
        <v/>
      </c>
      <c r="AT490">
        <f t="shared" si="178"/>
        <v>14</v>
      </c>
      <c r="AU490" s="170" t="str">
        <f t="shared" si="179"/>
        <v>0,15-0,5 MW, Bonusregeln a1, y und K erstmals 2010</v>
      </c>
      <c r="AV490" s="169" t="str">
        <f t="shared" si="180"/>
        <v/>
      </c>
      <c r="AW490" s="170" t="str">
        <f t="shared" si="181"/>
        <v>Anteil KWK, erstmals 2010</v>
      </c>
      <c r="AX490" s="169" t="str">
        <f t="shared" si="182"/>
        <v/>
      </c>
      <c r="AY490" t="str">
        <f t="shared" si="183"/>
        <v/>
      </c>
      <c r="AZ490" t="str">
        <f t="shared" si="184"/>
        <v/>
      </c>
    </row>
    <row r="491" spans="1:52" x14ac:dyDescent="0.35">
      <c r="A491" s="497" t="s">
        <v>5269</v>
      </c>
      <c r="B491" s="13" t="s">
        <v>5547</v>
      </c>
      <c r="C491" s="13" t="s">
        <v>4808</v>
      </c>
      <c r="D491" s="13" t="s">
        <v>7111</v>
      </c>
      <c r="E491" s="13" t="s">
        <v>3054</v>
      </c>
      <c r="F491" s="373">
        <f t="shared" si="191"/>
        <v>19.84</v>
      </c>
      <c r="G491" s="430">
        <v>19.84</v>
      </c>
      <c r="H491" s="399">
        <f t="shared" si="192"/>
        <v>15.87</v>
      </c>
      <c r="I491" s="576"/>
      <c r="J491" s="549" t="s">
        <v>5804</v>
      </c>
      <c r="K491" s="11"/>
      <c r="M491" s="37">
        <f t="shared" si="193"/>
        <v>19.84</v>
      </c>
      <c r="N491" s="29">
        <v>9.9</v>
      </c>
      <c r="O491" s="41"/>
      <c r="P491" s="11"/>
      <c r="S491" t="s">
        <v>1017</v>
      </c>
      <c r="T491" t="s">
        <v>4179</v>
      </c>
      <c r="U491" s="42" t="s">
        <v>1017</v>
      </c>
      <c r="V491" t="s">
        <v>1017</v>
      </c>
      <c r="W491" s="50"/>
      <c r="X491" s="50"/>
      <c r="Z491" s="50"/>
      <c r="AC491" s="50"/>
      <c r="AE491" s="75"/>
      <c r="AF491" s="50"/>
      <c r="AG491" s="50"/>
      <c r="AH491" s="166" t="str">
        <f t="shared" si="190"/>
        <v>2011</v>
      </c>
      <c r="AI491" s="168" t="str">
        <f t="shared" si="185"/>
        <v/>
      </c>
      <c r="AJ491" s="168" t="str">
        <f t="shared" si="186"/>
        <v/>
      </c>
      <c r="AK491" s="168" t="str">
        <f t="shared" si="187"/>
        <v/>
      </c>
      <c r="AL491" s="168" t="str">
        <f t="shared" si="188"/>
        <v/>
      </c>
      <c r="AM491" s="168" t="str">
        <f t="shared" si="189"/>
        <v/>
      </c>
      <c r="AN491" s="167" t="str">
        <f t="shared" si="172"/>
        <v>2011</v>
      </c>
      <c r="AO491" s="167" t="str">
        <f t="shared" si="173"/>
        <v>2011</v>
      </c>
      <c r="AP491" s="167" t="str">
        <f t="shared" si="174"/>
        <v>2011</v>
      </c>
      <c r="AQ491" s="169" t="str">
        <f t="shared" si="175"/>
        <v/>
      </c>
      <c r="AR491" s="170" t="str">
        <f t="shared" si="176"/>
        <v>BiK82a1K11y-04</v>
      </c>
      <c r="AS491" s="169" t="str">
        <f t="shared" si="177"/>
        <v/>
      </c>
      <c r="AT491">
        <f t="shared" si="178"/>
        <v>14</v>
      </c>
      <c r="AU491" s="170" t="str">
        <f t="shared" si="179"/>
        <v>0,15-0,5 MW, Bonusregeln a1, y und K erstmals 2011</v>
      </c>
      <c r="AV491" s="169" t="str">
        <f t="shared" si="180"/>
        <v/>
      </c>
      <c r="AW491" s="170" t="str">
        <f t="shared" si="181"/>
        <v>Anteil KWK, erstmals 2011</v>
      </c>
      <c r="AX491" s="169" t="str">
        <f t="shared" si="182"/>
        <v/>
      </c>
      <c r="AY491" t="str">
        <f t="shared" si="183"/>
        <v>x</v>
      </c>
      <c r="AZ491" t="str">
        <f t="shared" si="184"/>
        <v/>
      </c>
    </row>
    <row r="492" spans="1:52" x14ac:dyDescent="0.35">
      <c r="A492" s="511" t="s">
        <v>1520</v>
      </c>
      <c r="B492" s="173" t="s">
        <v>5547</v>
      </c>
      <c r="C492" s="173" t="s">
        <v>4808</v>
      </c>
      <c r="D492" s="173" t="s">
        <v>7112</v>
      </c>
      <c r="E492" s="173" t="s">
        <v>1980</v>
      </c>
      <c r="F492" s="374">
        <f t="shared" si="191"/>
        <v>19.810000000000002</v>
      </c>
      <c r="G492" s="431">
        <v>19.810000000000002</v>
      </c>
      <c r="H492" s="400">
        <f t="shared" si="192"/>
        <v>15.85</v>
      </c>
      <c r="I492" s="577"/>
      <c r="J492" s="549" t="s">
        <v>5804</v>
      </c>
      <c r="K492" s="11"/>
      <c r="M492" s="37">
        <f t="shared" si="193"/>
        <v>19.810000000000002</v>
      </c>
      <c r="N492" s="29">
        <v>9.9</v>
      </c>
      <c r="O492" s="41"/>
      <c r="P492" s="11"/>
      <c r="S492" t="s">
        <v>4179</v>
      </c>
      <c r="T492" t="s">
        <v>1017</v>
      </c>
      <c r="U492" s="42" t="s">
        <v>1017</v>
      </c>
      <c r="V492" t="s">
        <v>1017</v>
      </c>
      <c r="W492" s="50"/>
      <c r="X492" s="50"/>
      <c r="Z492" s="50"/>
      <c r="AC492" s="50"/>
      <c r="AE492" s="75"/>
      <c r="AF492" s="50"/>
      <c r="AG492" s="50"/>
      <c r="AH492" s="171" t="s">
        <v>4178</v>
      </c>
      <c r="AI492" s="168" t="str">
        <f t="shared" si="185"/>
        <v/>
      </c>
      <c r="AJ492" s="168" t="str">
        <f t="shared" si="186"/>
        <v/>
      </c>
      <c r="AK492" s="168" t="str">
        <f t="shared" si="187"/>
        <v/>
      </c>
      <c r="AL492" s="168" t="str">
        <f t="shared" si="188"/>
        <v/>
      </c>
      <c r="AM492" s="168" t="str">
        <f t="shared" si="189"/>
        <v/>
      </c>
      <c r="AN492" s="167" t="str">
        <f t="shared" si="172"/>
        <v>2012</v>
      </c>
      <c r="AO492" s="167" t="str">
        <f t="shared" si="173"/>
        <v>2012</v>
      </c>
      <c r="AP492" s="167" t="str">
        <f t="shared" si="174"/>
        <v>2012</v>
      </c>
      <c r="AQ492" s="169" t="str">
        <f t="shared" si="175"/>
        <v/>
      </c>
      <c r="AR492" s="170" t="str">
        <f t="shared" si="176"/>
        <v>BiK82a1K12y-04</v>
      </c>
      <c r="AS492" s="169" t="str">
        <f t="shared" si="177"/>
        <v/>
      </c>
      <c r="AT492">
        <f t="shared" si="178"/>
        <v>14</v>
      </c>
      <c r="AU492" s="170" t="str">
        <f t="shared" si="179"/>
        <v>0,15-0,5 MW, Bonusregeln a1, y und K erstmals 2012</v>
      </c>
      <c r="AV492" s="169" t="str">
        <f t="shared" si="180"/>
        <v/>
      </c>
      <c r="AW492" s="170" t="str">
        <f t="shared" si="181"/>
        <v>Anteil KWK, erstmals 2012</v>
      </c>
      <c r="AX492" s="169" t="str">
        <f t="shared" si="182"/>
        <v/>
      </c>
      <c r="AY492" t="str">
        <f t="shared" si="183"/>
        <v/>
      </c>
      <c r="AZ492" t="str">
        <f t="shared" si="184"/>
        <v>x</v>
      </c>
    </row>
    <row r="493" spans="1:52" x14ac:dyDescent="0.35">
      <c r="A493" s="497" t="s">
        <v>2377</v>
      </c>
      <c r="B493" s="13" t="s">
        <v>5547</v>
      </c>
      <c r="C493" s="13" t="s">
        <v>4808</v>
      </c>
      <c r="D493" s="13" t="s">
        <v>7029</v>
      </c>
      <c r="E493" s="13" t="s">
        <v>4809</v>
      </c>
      <c r="F493" s="373">
        <f t="shared" si="191"/>
        <v>16.899999999999999</v>
      </c>
      <c r="G493" s="430">
        <v>16.899999999999999</v>
      </c>
      <c r="H493" s="399">
        <f t="shared" si="192"/>
        <v>13.52</v>
      </c>
      <c r="I493" s="576"/>
      <c r="J493" s="549" t="s">
        <v>5804</v>
      </c>
      <c r="K493" s="11"/>
      <c r="M493" s="37">
        <f t="shared" si="193"/>
        <v>16.899999999999999</v>
      </c>
      <c r="N493" s="29">
        <v>9.9</v>
      </c>
      <c r="O493" s="149"/>
      <c r="P493" s="144"/>
      <c r="Q493" s="145"/>
      <c r="R493" s="145"/>
      <c r="S493" s="145" t="s">
        <v>4179</v>
      </c>
      <c r="T493" t="s">
        <v>4179</v>
      </c>
      <c r="U493" s="146"/>
      <c r="V493" s="145"/>
      <c r="W493" s="147"/>
      <c r="X493" s="147"/>
      <c r="Y493" s="145" t="s">
        <v>1017</v>
      </c>
      <c r="Z493" s="147"/>
      <c r="AA493" s="145"/>
      <c r="AB493" s="145"/>
      <c r="AC493" s="147"/>
      <c r="AD493" s="145"/>
      <c r="AE493" s="148"/>
      <c r="AF493" s="147"/>
      <c r="AG493" s="147"/>
      <c r="AH493" s="166" t="str">
        <f t="shared" ref="AH493:AH498" si="194">IF(ISERROR(SEARCH("K erstmals 201",D493)),"",RIGHT(D493,4))</f>
        <v/>
      </c>
      <c r="AI493" s="168" t="str">
        <f t="shared" si="185"/>
        <v/>
      </c>
      <c r="AJ493" s="168" t="str">
        <f t="shared" si="186"/>
        <v/>
      </c>
      <c r="AK493" s="168" t="str">
        <f t="shared" si="187"/>
        <v/>
      </c>
      <c r="AL493" s="168" t="str">
        <f t="shared" si="188"/>
        <v/>
      </c>
      <c r="AM493" s="168" t="str">
        <f t="shared" si="189"/>
        <v/>
      </c>
      <c r="AN493" s="167" t="str">
        <f t="shared" si="172"/>
        <v/>
      </c>
      <c r="AO493" s="167" t="str">
        <f t="shared" si="173"/>
        <v/>
      </c>
      <c r="AP493" s="167" t="str">
        <f t="shared" si="174"/>
        <v/>
      </c>
      <c r="AQ493" s="169" t="str">
        <f t="shared" si="175"/>
        <v/>
      </c>
      <c r="AR493" s="170" t="str">
        <f t="shared" si="176"/>
        <v>BiK82G------04</v>
      </c>
      <c r="AS493" s="169" t="str">
        <f t="shared" si="177"/>
        <v/>
      </c>
      <c r="AT493">
        <f t="shared" si="178"/>
        <v>14</v>
      </c>
      <c r="AU493" s="170" t="str">
        <f t="shared" si="179"/>
        <v>0,15-0,5 MW, Bonusregel G</v>
      </c>
      <c r="AV493" s="169" t="str">
        <f t="shared" si="180"/>
        <v/>
      </c>
      <c r="AW493" s="170" t="str">
        <f t="shared" si="181"/>
        <v>Anteil Nicht-KWK</v>
      </c>
      <c r="AX493" s="169" t="str">
        <f t="shared" si="182"/>
        <v/>
      </c>
      <c r="AY493" t="str">
        <f t="shared" si="183"/>
        <v/>
      </c>
      <c r="AZ493" t="str">
        <f t="shared" si="184"/>
        <v/>
      </c>
    </row>
    <row r="494" spans="1:52" x14ac:dyDescent="0.35">
      <c r="A494" s="497" t="s">
        <v>4275</v>
      </c>
      <c r="B494" s="13" t="s">
        <v>5547</v>
      </c>
      <c r="C494" s="13" t="s">
        <v>4808</v>
      </c>
      <c r="D494" s="13" t="s">
        <v>7113</v>
      </c>
      <c r="E494" s="13" t="s">
        <v>4811</v>
      </c>
      <c r="F494" s="373">
        <f t="shared" si="191"/>
        <v>18.899999999999999</v>
      </c>
      <c r="G494" s="430">
        <v>18.899999999999999</v>
      </c>
      <c r="H494" s="399">
        <f t="shared" si="192"/>
        <v>15.12</v>
      </c>
      <c r="I494" s="576"/>
      <c r="J494" s="549" t="s">
        <v>5804</v>
      </c>
      <c r="K494" s="11"/>
      <c r="M494" s="37">
        <f t="shared" si="193"/>
        <v>18.899999999999999</v>
      </c>
      <c r="N494" s="29">
        <v>9.9</v>
      </c>
      <c r="O494" s="149" t="s">
        <v>1017</v>
      </c>
      <c r="P494" s="144"/>
      <c r="Q494" s="145"/>
      <c r="R494" s="145"/>
      <c r="S494" s="145" t="s">
        <v>4179</v>
      </c>
      <c r="T494" t="s">
        <v>4179</v>
      </c>
      <c r="U494" s="146"/>
      <c r="V494" s="145"/>
      <c r="W494" s="147"/>
      <c r="X494" s="147"/>
      <c r="Y494" s="145" t="s">
        <v>1017</v>
      </c>
      <c r="Z494" s="147"/>
      <c r="AA494" s="145"/>
      <c r="AB494" s="145"/>
      <c r="AC494" s="147"/>
      <c r="AD494" s="145"/>
      <c r="AE494" s="148"/>
      <c r="AF494" s="147"/>
      <c r="AG494" s="147"/>
      <c r="AH494" s="166" t="str">
        <f t="shared" si="194"/>
        <v/>
      </c>
      <c r="AI494" s="168" t="str">
        <f t="shared" si="185"/>
        <v/>
      </c>
      <c r="AJ494" s="168" t="str">
        <f t="shared" si="186"/>
        <v/>
      </c>
      <c r="AK494" s="168" t="str">
        <f t="shared" si="187"/>
        <v/>
      </c>
      <c r="AL494" s="168" t="str">
        <f t="shared" si="188"/>
        <v/>
      </c>
      <c r="AM494" s="168" t="str">
        <f t="shared" si="189"/>
        <v/>
      </c>
      <c r="AN494" s="167" t="str">
        <f t="shared" si="172"/>
        <v/>
      </c>
      <c r="AO494" s="167" t="str">
        <f t="shared" si="173"/>
        <v/>
      </c>
      <c r="AP494" s="167" t="str">
        <f t="shared" si="174"/>
        <v/>
      </c>
      <c r="AQ494" s="169" t="str">
        <f t="shared" si="175"/>
        <v/>
      </c>
      <c r="AR494" s="170" t="str">
        <f t="shared" si="176"/>
        <v>BiK82GKWK---04</v>
      </c>
      <c r="AS494" s="169" t="str">
        <f t="shared" si="177"/>
        <v/>
      </c>
      <c r="AT494">
        <f t="shared" si="178"/>
        <v>14</v>
      </c>
      <c r="AU494" s="170" t="str">
        <f t="shared" si="179"/>
        <v>0,15-0,5 MW, Bonusregeln G und KWK</v>
      </c>
      <c r="AV494" s="169" t="str">
        <f t="shared" si="180"/>
        <v/>
      </c>
      <c r="AW494" s="170" t="str">
        <f t="shared" si="181"/>
        <v>Anteil KWK</v>
      </c>
      <c r="AX494" s="169" t="str">
        <f t="shared" si="182"/>
        <v/>
      </c>
      <c r="AY494" t="str">
        <f t="shared" si="183"/>
        <v/>
      </c>
      <c r="AZ494" t="str">
        <f t="shared" si="184"/>
        <v/>
      </c>
    </row>
    <row r="495" spans="1:52" x14ac:dyDescent="0.35">
      <c r="A495" s="497" t="s">
        <v>4276</v>
      </c>
      <c r="B495" s="13" t="s">
        <v>5547</v>
      </c>
      <c r="C495" s="13" t="s">
        <v>4808</v>
      </c>
      <c r="D495" s="13" t="s">
        <v>7030</v>
      </c>
      <c r="E495" s="13" t="s">
        <v>4330</v>
      </c>
      <c r="F495" s="373">
        <f t="shared" si="191"/>
        <v>19.899999999999999</v>
      </c>
      <c r="G495" s="430">
        <v>19.899999999999999</v>
      </c>
      <c r="H495" s="399">
        <f t="shared" si="192"/>
        <v>15.92</v>
      </c>
      <c r="I495" s="576"/>
      <c r="J495" s="549" t="s">
        <v>5804</v>
      </c>
      <c r="K495" s="11"/>
      <c r="M495" s="37">
        <f t="shared" si="193"/>
        <v>19.899999999999999</v>
      </c>
      <c r="N495" s="29">
        <v>9.9</v>
      </c>
      <c r="O495" s="149"/>
      <c r="P495" s="145" t="s">
        <v>1017</v>
      </c>
      <c r="Q495" s="145"/>
      <c r="R495" s="145"/>
      <c r="S495" s="145" t="s">
        <v>4179</v>
      </c>
      <c r="T495" t="s">
        <v>4179</v>
      </c>
      <c r="U495" s="146"/>
      <c r="V495" s="145"/>
      <c r="W495" s="147"/>
      <c r="X495" s="147"/>
      <c r="Y495" s="145" t="s">
        <v>1017</v>
      </c>
      <c r="Z495" s="147"/>
      <c r="AA495" s="145"/>
      <c r="AB495" s="145"/>
      <c r="AC495" s="147"/>
      <c r="AD495" s="145"/>
      <c r="AE495" s="148"/>
      <c r="AF495" s="147"/>
      <c r="AG495" s="147"/>
      <c r="AH495" s="166" t="str">
        <f t="shared" si="194"/>
        <v/>
      </c>
      <c r="AI495" s="168" t="str">
        <f t="shared" si="185"/>
        <v/>
      </c>
      <c r="AJ495" s="168" t="str">
        <f t="shared" si="186"/>
        <v/>
      </c>
      <c r="AK495" s="168" t="str">
        <f t="shared" si="187"/>
        <v/>
      </c>
      <c r="AL495" s="168" t="str">
        <f t="shared" si="188"/>
        <v/>
      </c>
      <c r="AM495" s="168" t="str">
        <f t="shared" si="189"/>
        <v/>
      </c>
      <c r="AN495" s="167" t="str">
        <f t="shared" si="172"/>
        <v/>
      </c>
      <c r="AO495" s="167" t="str">
        <f t="shared" si="173"/>
        <v/>
      </c>
      <c r="AP495" s="167" t="str">
        <f t="shared" si="174"/>
        <v/>
      </c>
      <c r="AQ495" s="169" t="str">
        <f t="shared" si="175"/>
        <v/>
      </c>
      <c r="AR495" s="170" t="str">
        <f t="shared" si="176"/>
        <v>BiK82GKA3---04</v>
      </c>
      <c r="AS495" s="169" t="str">
        <f t="shared" si="177"/>
        <v/>
      </c>
      <c r="AT495">
        <f t="shared" si="178"/>
        <v>14</v>
      </c>
      <c r="AU495" s="170" t="str">
        <f t="shared" si="179"/>
        <v>0,15-0,5 MW, Bonusregeln G und K wenn Anlage 3 erfüllt</v>
      </c>
      <c r="AV495" s="169" t="str">
        <f t="shared" si="180"/>
        <v/>
      </c>
      <c r="AW495" s="170" t="str">
        <f t="shared" si="181"/>
        <v>Anteil KWK gemäß Anlage 3</v>
      </c>
      <c r="AX495" s="169" t="str">
        <f t="shared" si="182"/>
        <v/>
      </c>
      <c r="AY495" t="str">
        <f t="shared" si="183"/>
        <v/>
      </c>
      <c r="AZ495" t="str">
        <f t="shared" si="184"/>
        <v/>
      </c>
    </row>
    <row r="496" spans="1:52" x14ac:dyDescent="0.35">
      <c r="A496" s="497" t="s">
        <v>4277</v>
      </c>
      <c r="B496" s="13" t="s">
        <v>5547</v>
      </c>
      <c r="C496" s="13" t="s">
        <v>4808</v>
      </c>
      <c r="D496" s="13" t="s">
        <v>7031</v>
      </c>
      <c r="E496" s="13" t="s">
        <v>674</v>
      </c>
      <c r="F496" s="373">
        <f t="shared" si="191"/>
        <v>19.899999999999999</v>
      </c>
      <c r="G496" s="430">
        <v>19.899999999999999</v>
      </c>
      <c r="H496" s="399">
        <f t="shared" si="192"/>
        <v>15.92</v>
      </c>
      <c r="I496" s="576"/>
      <c r="J496" s="549" t="s">
        <v>5804</v>
      </c>
      <c r="K496" s="11"/>
      <c r="M496" s="37">
        <f t="shared" si="193"/>
        <v>19.899999999999999</v>
      </c>
      <c r="N496" s="29">
        <v>9.9</v>
      </c>
      <c r="O496" s="149"/>
      <c r="P496" s="144"/>
      <c r="Q496" s="145" t="s">
        <v>1017</v>
      </c>
      <c r="R496" s="145"/>
      <c r="S496" s="145" t="s">
        <v>4179</v>
      </c>
      <c r="T496" t="s">
        <v>4179</v>
      </c>
      <c r="U496" s="146"/>
      <c r="V496" s="145"/>
      <c r="W496" s="147"/>
      <c r="X496" s="147"/>
      <c r="Y496" s="145" t="s">
        <v>1017</v>
      </c>
      <c r="Z496" s="147"/>
      <c r="AA496" s="145"/>
      <c r="AB496" s="145"/>
      <c r="AC496" s="147"/>
      <c r="AD496" s="145"/>
      <c r="AE496" s="148"/>
      <c r="AF496" s="147"/>
      <c r="AG496" s="147"/>
      <c r="AH496" s="166" t="str">
        <f t="shared" si="194"/>
        <v/>
      </c>
      <c r="AI496" s="168" t="str">
        <f t="shared" si="185"/>
        <v/>
      </c>
      <c r="AJ496" s="168" t="str">
        <f t="shared" si="186"/>
        <v/>
      </c>
      <c r="AK496" s="168" t="str">
        <f t="shared" si="187"/>
        <v/>
      </c>
      <c r="AL496" s="168" t="str">
        <f t="shared" si="188"/>
        <v/>
      </c>
      <c r="AM496" s="168" t="str">
        <f t="shared" si="189"/>
        <v/>
      </c>
      <c r="AN496" s="167" t="str">
        <f t="shared" si="172"/>
        <v/>
      </c>
      <c r="AO496" s="167" t="str">
        <f t="shared" si="173"/>
        <v/>
      </c>
      <c r="AP496" s="167" t="str">
        <f t="shared" si="174"/>
        <v/>
      </c>
      <c r="AQ496" s="169" t="str">
        <f t="shared" si="175"/>
        <v/>
      </c>
      <c r="AR496" s="170" t="str">
        <f t="shared" si="176"/>
        <v>BiK82GK09---04</v>
      </c>
      <c r="AS496" s="169" t="str">
        <f t="shared" si="177"/>
        <v/>
      </c>
      <c r="AT496">
        <f t="shared" si="178"/>
        <v>14</v>
      </c>
      <c r="AU496" s="170" t="str">
        <f t="shared" si="179"/>
        <v>0,15-0,5 MW, Bonusregeln G und K erstmals 2009</v>
      </c>
      <c r="AV496" s="169" t="str">
        <f t="shared" si="180"/>
        <v/>
      </c>
      <c r="AW496" s="170" t="str">
        <f t="shared" si="181"/>
        <v>Anteil KWK, erstmals 2009</v>
      </c>
      <c r="AX496" s="169" t="str">
        <f t="shared" si="182"/>
        <v/>
      </c>
      <c r="AY496" t="str">
        <f t="shared" si="183"/>
        <v/>
      </c>
      <c r="AZ496" t="str">
        <f t="shared" si="184"/>
        <v/>
      </c>
    </row>
    <row r="497" spans="1:52" x14ac:dyDescent="0.35">
      <c r="A497" s="497" t="s">
        <v>1449</v>
      </c>
      <c r="B497" s="13" t="s">
        <v>5547</v>
      </c>
      <c r="C497" s="13" t="s">
        <v>4808</v>
      </c>
      <c r="D497" s="13" t="s">
        <v>7032</v>
      </c>
      <c r="E497" s="13" t="s">
        <v>3566</v>
      </c>
      <c r="F497" s="373">
        <f t="shared" si="191"/>
        <v>19.87</v>
      </c>
      <c r="G497" s="430">
        <v>19.87</v>
      </c>
      <c r="H497" s="399">
        <f t="shared" si="192"/>
        <v>15.9</v>
      </c>
      <c r="I497" s="576"/>
      <c r="J497" s="549" t="s">
        <v>5804</v>
      </c>
      <c r="K497" s="11"/>
      <c r="M497" s="37">
        <f t="shared" si="193"/>
        <v>19.87</v>
      </c>
      <c r="N497" s="29">
        <v>9.9</v>
      </c>
      <c r="O497" s="149"/>
      <c r="P497" s="144"/>
      <c r="Q497" s="145"/>
      <c r="R497" s="145" t="s">
        <v>1017</v>
      </c>
      <c r="S497" s="145" t="s">
        <v>4179</v>
      </c>
      <c r="T497" t="s">
        <v>4179</v>
      </c>
      <c r="U497" s="146"/>
      <c r="V497" s="145"/>
      <c r="W497" s="147"/>
      <c r="X497" s="147"/>
      <c r="Y497" s="145" t="s">
        <v>1017</v>
      </c>
      <c r="Z497" s="147"/>
      <c r="AA497" s="145"/>
      <c r="AB497" s="145"/>
      <c r="AC497" s="147"/>
      <c r="AD497" s="145"/>
      <c r="AE497" s="148"/>
      <c r="AF497" s="147"/>
      <c r="AG497" s="147"/>
      <c r="AH497" s="166" t="str">
        <f t="shared" si="194"/>
        <v>2010</v>
      </c>
      <c r="AI497" s="168" t="str">
        <f t="shared" si="185"/>
        <v/>
      </c>
      <c r="AJ497" s="168" t="str">
        <f t="shared" si="186"/>
        <v/>
      </c>
      <c r="AK497" s="168" t="str">
        <f t="shared" si="187"/>
        <v/>
      </c>
      <c r="AL497" s="168" t="str">
        <f t="shared" si="188"/>
        <v/>
      </c>
      <c r="AM497" s="168" t="str">
        <f t="shared" si="189"/>
        <v/>
      </c>
      <c r="AN497" s="167" t="str">
        <f t="shared" si="172"/>
        <v>2010</v>
      </c>
      <c r="AO497" s="167" t="str">
        <f t="shared" si="173"/>
        <v>2010</v>
      </c>
      <c r="AP497" s="167" t="str">
        <f t="shared" si="174"/>
        <v>2010</v>
      </c>
      <c r="AQ497" s="169" t="str">
        <f t="shared" si="175"/>
        <v/>
      </c>
      <c r="AR497" s="170" t="str">
        <f t="shared" si="176"/>
        <v>BiK82GK10---04</v>
      </c>
      <c r="AS497" s="169" t="str">
        <f t="shared" si="177"/>
        <v/>
      </c>
      <c r="AT497">
        <f t="shared" si="178"/>
        <v>14</v>
      </c>
      <c r="AU497" s="170" t="str">
        <f t="shared" si="179"/>
        <v>0,15-0,5 MW, Bonusregeln G und K erstmals 2010</v>
      </c>
      <c r="AV497" s="169" t="str">
        <f t="shared" si="180"/>
        <v/>
      </c>
      <c r="AW497" s="170" t="str">
        <f t="shared" si="181"/>
        <v>Anteil KWK, erstmals 2010</v>
      </c>
      <c r="AX497" s="169" t="str">
        <f t="shared" si="182"/>
        <v/>
      </c>
      <c r="AY497" t="str">
        <f t="shared" si="183"/>
        <v/>
      </c>
      <c r="AZ497" t="str">
        <f t="shared" si="184"/>
        <v/>
      </c>
    </row>
    <row r="498" spans="1:52" x14ac:dyDescent="0.35">
      <c r="A498" s="497" t="s">
        <v>5270</v>
      </c>
      <c r="B498" s="13" t="s">
        <v>5547</v>
      </c>
      <c r="C498" s="13" t="s">
        <v>4808</v>
      </c>
      <c r="D498" s="13" t="s">
        <v>7033</v>
      </c>
      <c r="E498" s="13" t="s">
        <v>3054</v>
      </c>
      <c r="F498" s="373">
        <f t="shared" si="191"/>
        <v>19.84</v>
      </c>
      <c r="G498" s="430">
        <v>19.84</v>
      </c>
      <c r="H498" s="399">
        <f t="shared" si="192"/>
        <v>15.87</v>
      </c>
      <c r="I498" s="576"/>
      <c r="J498" s="549" t="s">
        <v>5804</v>
      </c>
      <c r="K498" s="11"/>
      <c r="M498" s="37">
        <f t="shared" si="193"/>
        <v>19.84</v>
      </c>
      <c r="N498" s="29">
        <v>9.9</v>
      </c>
      <c r="O498" s="149"/>
      <c r="P498" s="144"/>
      <c r="Q498" s="145"/>
      <c r="R498" s="145"/>
      <c r="S498" s="145" t="s">
        <v>1017</v>
      </c>
      <c r="T498" t="s">
        <v>4179</v>
      </c>
      <c r="U498" s="146"/>
      <c r="V498" s="145"/>
      <c r="W498" s="147"/>
      <c r="X498" s="147"/>
      <c r="Y498" s="145" t="s">
        <v>1017</v>
      </c>
      <c r="Z498" s="147"/>
      <c r="AA498" s="145"/>
      <c r="AB498" s="145"/>
      <c r="AC498" s="147"/>
      <c r="AD498" s="145"/>
      <c r="AE498" s="148"/>
      <c r="AF498" s="147"/>
      <c r="AG498" s="147"/>
      <c r="AH498" s="166" t="str">
        <f t="shared" si="194"/>
        <v>2011</v>
      </c>
      <c r="AI498" s="168" t="str">
        <f t="shared" si="185"/>
        <v/>
      </c>
      <c r="AJ498" s="168" t="str">
        <f t="shared" si="186"/>
        <v/>
      </c>
      <c r="AK498" s="168" t="str">
        <f t="shared" si="187"/>
        <v/>
      </c>
      <c r="AL498" s="168" t="str">
        <f t="shared" si="188"/>
        <v/>
      </c>
      <c r="AM498" s="168" t="str">
        <f t="shared" si="189"/>
        <v/>
      </c>
      <c r="AN498" s="167" t="str">
        <f t="shared" si="172"/>
        <v>2011</v>
      </c>
      <c r="AO498" s="167" t="str">
        <f t="shared" si="173"/>
        <v>2011</v>
      </c>
      <c r="AP498" s="167" t="str">
        <f t="shared" si="174"/>
        <v>2011</v>
      </c>
      <c r="AQ498" s="169" t="str">
        <f t="shared" si="175"/>
        <v/>
      </c>
      <c r="AR498" s="170" t="str">
        <f t="shared" si="176"/>
        <v>BiK82GK11---04</v>
      </c>
      <c r="AS498" s="169" t="str">
        <f t="shared" si="177"/>
        <v/>
      </c>
      <c r="AT498">
        <f t="shared" si="178"/>
        <v>14</v>
      </c>
      <c r="AU498" s="170" t="str">
        <f t="shared" si="179"/>
        <v>0,15-0,5 MW, Bonusregeln G und K erstmals 2011</v>
      </c>
      <c r="AV498" s="169" t="str">
        <f t="shared" si="180"/>
        <v/>
      </c>
      <c r="AW498" s="170" t="str">
        <f t="shared" si="181"/>
        <v>Anteil KWK, erstmals 2011</v>
      </c>
      <c r="AX498" s="169" t="str">
        <f t="shared" si="182"/>
        <v/>
      </c>
      <c r="AY498" t="str">
        <f t="shared" si="183"/>
        <v>x</v>
      </c>
      <c r="AZ498" t="str">
        <f t="shared" si="184"/>
        <v/>
      </c>
    </row>
    <row r="499" spans="1:52" x14ac:dyDescent="0.35">
      <c r="A499" s="511" t="s">
        <v>1521</v>
      </c>
      <c r="B499" s="173" t="s">
        <v>5547</v>
      </c>
      <c r="C499" s="173" t="s">
        <v>4808</v>
      </c>
      <c r="D499" s="173" t="s">
        <v>7034</v>
      </c>
      <c r="E499" s="173" t="s">
        <v>1980</v>
      </c>
      <c r="F499" s="374">
        <f t="shared" si="191"/>
        <v>19.810000000000002</v>
      </c>
      <c r="G499" s="431">
        <v>19.810000000000002</v>
      </c>
      <c r="H499" s="400">
        <f t="shared" si="192"/>
        <v>15.85</v>
      </c>
      <c r="I499" s="577"/>
      <c r="J499" s="549" t="s">
        <v>5804</v>
      </c>
      <c r="K499" s="11"/>
      <c r="M499" s="37">
        <f t="shared" si="193"/>
        <v>19.810000000000002</v>
      </c>
      <c r="N499" s="29">
        <v>9.9</v>
      </c>
      <c r="O499" s="149"/>
      <c r="P499" s="144"/>
      <c r="Q499" s="145"/>
      <c r="R499" s="145"/>
      <c r="S499" s="145" t="s">
        <v>4179</v>
      </c>
      <c r="T499" t="s">
        <v>1017</v>
      </c>
      <c r="U499" s="146"/>
      <c r="V499" s="145"/>
      <c r="W499" s="147"/>
      <c r="X499" s="147"/>
      <c r="Y499" s="145" t="s">
        <v>1017</v>
      </c>
      <c r="Z499" s="147"/>
      <c r="AA499" s="145"/>
      <c r="AB499" s="145"/>
      <c r="AC499" s="147"/>
      <c r="AD499" s="145"/>
      <c r="AE499" s="148"/>
      <c r="AF499" s="147"/>
      <c r="AG499" s="147"/>
      <c r="AH499" s="171" t="s">
        <v>4178</v>
      </c>
      <c r="AI499" s="168" t="str">
        <f t="shared" si="185"/>
        <v/>
      </c>
      <c r="AJ499" s="168" t="str">
        <f t="shared" si="186"/>
        <v/>
      </c>
      <c r="AK499" s="168" t="str">
        <f t="shared" si="187"/>
        <v/>
      </c>
      <c r="AL499" s="168" t="str">
        <f t="shared" si="188"/>
        <v/>
      </c>
      <c r="AM499" s="168" t="str">
        <f t="shared" si="189"/>
        <v/>
      </c>
      <c r="AN499" s="167" t="str">
        <f t="shared" si="172"/>
        <v>2012</v>
      </c>
      <c r="AO499" s="167" t="str">
        <f t="shared" si="173"/>
        <v>2012</v>
      </c>
      <c r="AP499" s="167" t="str">
        <f t="shared" si="174"/>
        <v>2012</v>
      </c>
      <c r="AQ499" s="169" t="str">
        <f t="shared" si="175"/>
        <v/>
      </c>
      <c r="AR499" s="170" t="str">
        <f t="shared" si="176"/>
        <v>BiK82GK12---04</v>
      </c>
      <c r="AS499" s="169" t="str">
        <f t="shared" si="177"/>
        <v/>
      </c>
      <c r="AT499">
        <f t="shared" si="178"/>
        <v>14</v>
      </c>
      <c r="AU499" s="170" t="str">
        <f t="shared" si="179"/>
        <v>0,15-0,5 MW, Bonusregeln G und K erstmals 2012</v>
      </c>
      <c r="AV499" s="169" t="str">
        <f t="shared" si="180"/>
        <v/>
      </c>
      <c r="AW499" s="170" t="str">
        <f t="shared" si="181"/>
        <v>Anteil KWK, erstmals 2012</v>
      </c>
      <c r="AX499" s="169" t="str">
        <f t="shared" si="182"/>
        <v/>
      </c>
      <c r="AY499" t="str">
        <f t="shared" si="183"/>
        <v/>
      </c>
      <c r="AZ499" t="str">
        <f t="shared" si="184"/>
        <v>x</v>
      </c>
    </row>
    <row r="500" spans="1:52" x14ac:dyDescent="0.35">
      <c r="A500" s="497" t="s">
        <v>1959</v>
      </c>
      <c r="B500" s="13" t="s">
        <v>5547</v>
      </c>
      <c r="C500" s="13" t="s">
        <v>4808</v>
      </c>
      <c r="D500" s="13" t="s">
        <v>7035</v>
      </c>
      <c r="E500" s="13" t="s">
        <v>4809</v>
      </c>
      <c r="F500" s="373">
        <f t="shared" si="191"/>
        <v>17.899999999999999</v>
      </c>
      <c r="G500" s="430">
        <v>17.899999999999999</v>
      </c>
      <c r="H500" s="399">
        <f t="shared" si="192"/>
        <v>14.32</v>
      </c>
      <c r="I500" s="576"/>
      <c r="J500" s="549" t="s">
        <v>5804</v>
      </c>
      <c r="K500" s="11"/>
      <c r="M500" s="37">
        <f t="shared" si="193"/>
        <v>17.899999999999999</v>
      </c>
      <c r="N500" s="29">
        <v>9.9</v>
      </c>
      <c r="O500" s="149"/>
      <c r="P500" s="144"/>
      <c r="Q500" s="145"/>
      <c r="R500" s="145"/>
      <c r="S500" s="145" t="s">
        <v>4179</v>
      </c>
      <c r="T500" t="s">
        <v>4179</v>
      </c>
      <c r="U500" s="146" t="s">
        <v>1017</v>
      </c>
      <c r="V500" s="145"/>
      <c r="W500" s="147"/>
      <c r="X500" s="147"/>
      <c r="Y500" s="145" t="s">
        <v>1017</v>
      </c>
      <c r="Z500" s="147"/>
      <c r="AA500" s="145"/>
      <c r="AB500" s="145"/>
      <c r="AC500" s="147"/>
      <c r="AD500" s="145"/>
      <c r="AE500" s="148"/>
      <c r="AF500" s="147"/>
      <c r="AG500" s="147"/>
      <c r="AH500" s="166" t="str">
        <f t="shared" ref="AH500:AH505" si="195">IF(ISERROR(SEARCH("K erstmals 201",D500)),"",RIGHT(D500,4))</f>
        <v/>
      </c>
      <c r="AI500" s="168" t="str">
        <f t="shared" si="185"/>
        <v/>
      </c>
      <c r="AJ500" s="168" t="str">
        <f t="shared" si="186"/>
        <v/>
      </c>
      <c r="AK500" s="168" t="str">
        <f t="shared" si="187"/>
        <v/>
      </c>
      <c r="AL500" s="168" t="str">
        <f t="shared" si="188"/>
        <v/>
      </c>
      <c r="AM500" s="168" t="str">
        <f t="shared" si="189"/>
        <v/>
      </c>
      <c r="AN500" s="167" t="str">
        <f t="shared" si="172"/>
        <v/>
      </c>
      <c r="AO500" s="167" t="str">
        <f t="shared" si="173"/>
        <v/>
      </c>
      <c r="AP500" s="167" t="str">
        <f t="shared" si="174"/>
        <v/>
      </c>
      <c r="AQ500" s="169" t="str">
        <f t="shared" si="175"/>
        <v/>
      </c>
      <c r="AR500" s="170" t="str">
        <f t="shared" si="176"/>
        <v>BiK82Gy-----04</v>
      </c>
      <c r="AS500" s="169" t="str">
        <f t="shared" si="177"/>
        <v/>
      </c>
      <c r="AT500">
        <f t="shared" si="178"/>
        <v>14</v>
      </c>
      <c r="AU500" s="170" t="str">
        <f t="shared" si="179"/>
        <v>0,15-0,5 MW, Bonusregel G, y</v>
      </c>
      <c r="AV500" s="169" t="str">
        <f t="shared" si="180"/>
        <v/>
      </c>
      <c r="AW500" s="170" t="str">
        <f t="shared" si="181"/>
        <v>Anteil Nicht-KWK</v>
      </c>
      <c r="AX500" s="169" t="str">
        <f t="shared" si="182"/>
        <v/>
      </c>
      <c r="AY500" t="str">
        <f t="shared" si="183"/>
        <v/>
      </c>
      <c r="AZ500" t="str">
        <f t="shared" si="184"/>
        <v/>
      </c>
    </row>
    <row r="501" spans="1:52" x14ac:dyDescent="0.35">
      <c r="A501" s="497" t="s">
        <v>1960</v>
      </c>
      <c r="B501" s="13" t="s">
        <v>5547</v>
      </c>
      <c r="C501" s="13" t="s">
        <v>4808</v>
      </c>
      <c r="D501" s="13" t="s">
        <v>7114</v>
      </c>
      <c r="E501" s="13" t="s">
        <v>4811</v>
      </c>
      <c r="F501" s="373">
        <f t="shared" si="191"/>
        <v>19.899999999999999</v>
      </c>
      <c r="G501" s="430">
        <v>19.899999999999999</v>
      </c>
      <c r="H501" s="399">
        <f t="shared" si="192"/>
        <v>15.92</v>
      </c>
      <c r="I501" s="576"/>
      <c r="J501" s="549" t="s">
        <v>5804</v>
      </c>
      <c r="K501" s="11"/>
      <c r="M501" s="37">
        <f t="shared" si="193"/>
        <v>19.899999999999999</v>
      </c>
      <c r="N501" s="29">
        <v>9.9</v>
      </c>
      <c r="O501" s="149" t="s">
        <v>1017</v>
      </c>
      <c r="P501" s="144"/>
      <c r="Q501" s="145"/>
      <c r="R501" s="145"/>
      <c r="S501" s="145" t="s">
        <v>4179</v>
      </c>
      <c r="T501" t="s">
        <v>4179</v>
      </c>
      <c r="U501" s="146" t="s">
        <v>1017</v>
      </c>
      <c r="V501" s="145"/>
      <c r="W501" s="147"/>
      <c r="X501" s="147"/>
      <c r="Y501" s="145" t="s">
        <v>1017</v>
      </c>
      <c r="Z501" s="147"/>
      <c r="AA501" s="145"/>
      <c r="AB501" s="145"/>
      <c r="AC501" s="147"/>
      <c r="AD501" s="145"/>
      <c r="AE501" s="148"/>
      <c r="AF501" s="147"/>
      <c r="AG501" s="147"/>
      <c r="AH501" s="166" t="str">
        <f t="shared" si="195"/>
        <v/>
      </c>
      <c r="AI501" s="168" t="str">
        <f t="shared" si="185"/>
        <v/>
      </c>
      <c r="AJ501" s="168" t="str">
        <f t="shared" si="186"/>
        <v/>
      </c>
      <c r="AK501" s="168" t="str">
        <f t="shared" si="187"/>
        <v/>
      </c>
      <c r="AL501" s="168" t="str">
        <f t="shared" si="188"/>
        <v/>
      </c>
      <c r="AM501" s="168" t="str">
        <f t="shared" si="189"/>
        <v/>
      </c>
      <c r="AN501" s="167" t="str">
        <f t="shared" si="172"/>
        <v/>
      </c>
      <c r="AO501" s="167" t="str">
        <f t="shared" si="173"/>
        <v/>
      </c>
      <c r="AP501" s="167" t="str">
        <f t="shared" si="174"/>
        <v/>
      </c>
      <c r="AQ501" s="169" t="str">
        <f t="shared" si="175"/>
        <v/>
      </c>
      <c r="AR501" s="170" t="str">
        <f t="shared" si="176"/>
        <v>BiK82GKWKy--04</v>
      </c>
      <c r="AS501" s="169" t="str">
        <f t="shared" si="177"/>
        <v/>
      </c>
      <c r="AT501">
        <f t="shared" si="178"/>
        <v>14</v>
      </c>
      <c r="AU501" s="170" t="str">
        <f t="shared" si="179"/>
        <v>0,15-0,5 MW, Bonusregeln G, y und KWK</v>
      </c>
      <c r="AV501" s="169" t="str">
        <f t="shared" si="180"/>
        <v/>
      </c>
      <c r="AW501" s="170" t="str">
        <f t="shared" si="181"/>
        <v>Anteil KWK</v>
      </c>
      <c r="AX501" s="169" t="str">
        <f t="shared" si="182"/>
        <v/>
      </c>
      <c r="AY501" t="str">
        <f t="shared" si="183"/>
        <v/>
      </c>
      <c r="AZ501" t="str">
        <f t="shared" si="184"/>
        <v/>
      </c>
    </row>
    <row r="502" spans="1:52" x14ac:dyDescent="0.35">
      <c r="A502" s="497" t="s">
        <v>1961</v>
      </c>
      <c r="B502" s="13" t="s">
        <v>5547</v>
      </c>
      <c r="C502" s="13" t="s">
        <v>4808</v>
      </c>
      <c r="D502" s="88" t="s">
        <v>7036</v>
      </c>
      <c r="E502" s="13" t="s">
        <v>4330</v>
      </c>
      <c r="F502" s="373">
        <f t="shared" si="191"/>
        <v>20.9</v>
      </c>
      <c r="G502" s="430">
        <v>20.9</v>
      </c>
      <c r="H502" s="399">
        <f t="shared" si="192"/>
        <v>16.72</v>
      </c>
      <c r="I502" s="576"/>
      <c r="J502" s="549" t="s">
        <v>5804</v>
      </c>
      <c r="K502" s="11"/>
      <c r="M502" s="37">
        <f t="shared" si="193"/>
        <v>20.9</v>
      </c>
      <c r="N502" s="29">
        <v>9.9</v>
      </c>
      <c r="O502" s="149"/>
      <c r="P502" s="145" t="s">
        <v>1017</v>
      </c>
      <c r="Q502" s="145"/>
      <c r="R502" s="145"/>
      <c r="S502" s="145" t="s">
        <v>4179</v>
      </c>
      <c r="T502" t="s">
        <v>4179</v>
      </c>
      <c r="U502" s="146" t="s">
        <v>1017</v>
      </c>
      <c r="V502" s="145"/>
      <c r="W502" s="147"/>
      <c r="X502" s="147"/>
      <c r="Y502" s="145" t="s">
        <v>1017</v>
      </c>
      <c r="Z502" s="147"/>
      <c r="AA502" s="145"/>
      <c r="AB502" s="145"/>
      <c r="AC502" s="147"/>
      <c r="AD502" s="145"/>
      <c r="AE502" s="148"/>
      <c r="AF502" s="147"/>
      <c r="AG502" s="147"/>
      <c r="AH502" s="166" t="str">
        <f t="shared" si="195"/>
        <v/>
      </c>
      <c r="AI502" s="168" t="str">
        <f t="shared" si="185"/>
        <v/>
      </c>
      <c r="AJ502" s="168" t="str">
        <f t="shared" si="186"/>
        <v/>
      </c>
      <c r="AK502" s="168" t="str">
        <f t="shared" si="187"/>
        <v/>
      </c>
      <c r="AL502" s="168" t="str">
        <f t="shared" si="188"/>
        <v/>
      </c>
      <c r="AM502" s="168" t="str">
        <f t="shared" si="189"/>
        <v/>
      </c>
      <c r="AN502" s="167" t="str">
        <f t="shared" si="172"/>
        <v/>
      </c>
      <c r="AO502" s="167" t="str">
        <f t="shared" si="173"/>
        <v/>
      </c>
      <c r="AP502" s="167" t="str">
        <f t="shared" si="174"/>
        <v/>
      </c>
      <c r="AQ502" s="169" t="str">
        <f t="shared" si="175"/>
        <v/>
      </c>
      <c r="AR502" s="170" t="str">
        <f t="shared" si="176"/>
        <v>BiK82GKA3y--04</v>
      </c>
      <c r="AS502" s="169" t="str">
        <f t="shared" si="177"/>
        <v/>
      </c>
      <c r="AT502">
        <f t="shared" si="178"/>
        <v>14</v>
      </c>
      <c r="AU502" s="170" t="str">
        <f t="shared" si="179"/>
        <v>0,15-0,5 MW, Bonusregeln G, y und K wenn Anlage 3 erfüllt</v>
      </c>
      <c r="AV502" s="169" t="str">
        <f t="shared" si="180"/>
        <v/>
      </c>
      <c r="AW502" s="170" t="str">
        <f t="shared" si="181"/>
        <v>Anteil KWK gemäß Anlage 3</v>
      </c>
      <c r="AX502" s="169" t="str">
        <f t="shared" si="182"/>
        <v/>
      </c>
      <c r="AY502" t="str">
        <f t="shared" si="183"/>
        <v/>
      </c>
      <c r="AZ502" t="str">
        <f t="shared" si="184"/>
        <v/>
      </c>
    </row>
    <row r="503" spans="1:52" x14ac:dyDescent="0.35">
      <c r="A503" s="497" t="s">
        <v>1962</v>
      </c>
      <c r="B503" s="13" t="s">
        <v>5547</v>
      </c>
      <c r="C503" s="13" t="s">
        <v>4808</v>
      </c>
      <c r="D503" s="13" t="s">
        <v>7037</v>
      </c>
      <c r="E503" s="13" t="s">
        <v>674</v>
      </c>
      <c r="F503" s="373">
        <f t="shared" si="191"/>
        <v>20.9</v>
      </c>
      <c r="G503" s="430">
        <v>20.9</v>
      </c>
      <c r="H503" s="399">
        <f t="shared" si="192"/>
        <v>16.72</v>
      </c>
      <c r="I503" s="576"/>
      <c r="J503" s="549" t="s">
        <v>5804</v>
      </c>
      <c r="K503" s="11"/>
      <c r="M503" s="37">
        <f t="shared" si="193"/>
        <v>20.9</v>
      </c>
      <c r="N503" s="29">
        <v>9.9</v>
      </c>
      <c r="O503" s="149"/>
      <c r="P503" s="144"/>
      <c r="Q503" s="145" t="s">
        <v>1017</v>
      </c>
      <c r="R503" s="145"/>
      <c r="S503" s="145" t="s">
        <v>4179</v>
      </c>
      <c r="T503" t="s">
        <v>4179</v>
      </c>
      <c r="U503" s="146" t="s">
        <v>1017</v>
      </c>
      <c r="V503" s="145"/>
      <c r="W503" s="147"/>
      <c r="X503" s="147"/>
      <c r="Y503" s="145" t="s">
        <v>1017</v>
      </c>
      <c r="Z503" s="147"/>
      <c r="AA503" s="145"/>
      <c r="AB503" s="145"/>
      <c r="AC503" s="147"/>
      <c r="AD503" s="145"/>
      <c r="AE503" s="148"/>
      <c r="AF503" s="147"/>
      <c r="AG503" s="147"/>
      <c r="AH503" s="166" t="str">
        <f t="shared" si="195"/>
        <v/>
      </c>
      <c r="AI503" s="168" t="str">
        <f t="shared" si="185"/>
        <v/>
      </c>
      <c r="AJ503" s="168" t="str">
        <f t="shared" si="186"/>
        <v/>
      </c>
      <c r="AK503" s="168" t="str">
        <f t="shared" si="187"/>
        <v/>
      </c>
      <c r="AL503" s="168" t="str">
        <f t="shared" si="188"/>
        <v/>
      </c>
      <c r="AM503" s="168" t="str">
        <f t="shared" si="189"/>
        <v/>
      </c>
      <c r="AN503" s="167" t="str">
        <f t="shared" si="172"/>
        <v/>
      </c>
      <c r="AO503" s="167" t="str">
        <f t="shared" si="173"/>
        <v/>
      </c>
      <c r="AP503" s="167" t="str">
        <f t="shared" si="174"/>
        <v/>
      </c>
      <c r="AQ503" s="169" t="str">
        <f t="shared" si="175"/>
        <v/>
      </c>
      <c r="AR503" s="170" t="str">
        <f t="shared" si="176"/>
        <v>BiK82GK09y--04</v>
      </c>
      <c r="AS503" s="169" t="str">
        <f t="shared" si="177"/>
        <v/>
      </c>
      <c r="AT503">
        <f t="shared" si="178"/>
        <v>14</v>
      </c>
      <c r="AU503" s="170" t="str">
        <f t="shared" si="179"/>
        <v>0,15-0,5 MW, Bonusregeln G, y und K erstmals 2009</v>
      </c>
      <c r="AV503" s="169" t="str">
        <f t="shared" si="180"/>
        <v/>
      </c>
      <c r="AW503" s="170" t="str">
        <f t="shared" si="181"/>
        <v>Anteil KWK, erstmals 2009</v>
      </c>
      <c r="AX503" s="169" t="str">
        <f t="shared" si="182"/>
        <v/>
      </c>
      <c r="AY503" t="str">
        <f t="shared" si="183"/>
        <v/>
      </c>
      <c r="AZ503" t="str">
        <f t="shared" si="184"/>
        <v/>
      </c>
    </row>
    <row r="504" spans="1:52" x14ac:dyDescent="0.35">
      <c r="A504" s="497" t="s">
        <v>1450</v>
      </c>
      <c r="B504" s="13" t="s">
        <v>5547</v>
      </c>
      <c r="C504" s="13" t="s">
        <v>4808</v>
      </c>
      <c r="D504" s="13" t="s">
        <v>7038</v>
      </c>
      <c r="E504" s="13" t="s">
        <v>3566</v>
      </c>
      <c r="F504" s="373">
        <f t="shared" si="191"/>
        <v>20.87</v>
      </c>
      <c r="G504" s="430">
        <v>20.87</v>
      </c>
      <c r="H504" s="399">
        <f t="shared" si="192"/>
        <v>16.7</v>
      </c>
      <c r="I504" s="576"/>
      <c r="J504" s="549" t="s">
        <v>5804</v>
      </c>
      <c r="K504" s="11"/>
      <c r="M504" s="37">
        <f t="shared" si="193"/>
        <v>20.87</v>
      </c>
      <c r="N504" s="29">
        <v>9.9</v>
      </c>
      <c r="O504" s="149"/>
      <c r="P504" s="144"/>
      <c r="Q504" s="145"/>
      <c r="R504" s="145" t="s">
        <v>1017</v>
      </c>
      <c r="S504" s="145" t="s">
        <v>4179</v>
      </c>
      <c r="T504" t="s">
        <v>4179</v>
      </c>
      <c r="U504" s="146" t="s">
        <v>1017</v>
      </c>
      <c r="V504" s="145"/>
      <c r="W504" s="147"/>
      <c r="X504" s="147"/>
      <c r="Y504" s="145" t="s">
        <v>1017</v>
      </c>
      <c r="Z504" s="147"/>
      <c r="AA504" s="145"/>
      <c r="AB504" s="145"/>
      <c r="AC504" s="147"/>
      <c r="AD504" s="145"/>
      <c r="AE504" s="148"/>
      <c r="AF504" s="147"/>
      <c r="AG504" s="147"/>
      <c r="AH504" s="166" t="str">
        <f t="shared" si="195"/>
        <v>2010</v>
      </c>
      <c r="AI504" s="168" t="str">
        <f t="shared" si="185"/>
        <v/>
      </c>
      <c r="AJ504" s="168" t="str">
        <f t="shared" si="186"/>
        <v/>
      </c>
      <c r="AK504" s="168" t="str">
        <f t="shared" si="187"/>
        <v/>
      </c>
      <c r="AL504" s="168" t="str">
        <f t="shared" si="188"/>
        <v/>
      </c>
      <c r="AM504" s="168" t="str">
        <f t="shared" si="189"/>
        <v/>
      </c>
      <c r="AN504" s="167" t="str">
        <f t="shared" si="172"/>
        <v>2010</v>
      </c>
      <c r="AO504" s="167" t="str">
        <f t="shared" si="173"/>
        <v>2010</v>
      </c>
      <c r="AP504" s="167" t="str">
        <f t="shared" si="174"/>
        <v>2010</v>
      </c>
      <c r="AQ504" s="169" t="str">
        <f t="shared" si="175"/>
        <v/>
      </c>
      <c r="AR504" s="170" t="str">
        <f t="shared" si="176"/>
        <v>BiK82GK10y--04</v>
      </c>
      <c r="AS504" s="169" t="str">
        <f t="shared" si="177"/>
        <v/>
      </c>
      <c r="AT504">
        <f t="shared" si="178"/>
        <v>14</v>
      </c>
      <c r="AU504" s="170" t="str">
        <f t="shared" si="179"/>
        <v>0,15-0,5 MW, Bonusregeln G, y und K erstmals 2010</v>
      </c>
      <c r="AV504" s="169" t="str">
        <f t="shared" si="180"/>
        <v/>
      </c>
      <c r="AW504" s="170" t="str">
        <f t="shared" si="181"/>
        <v>Anteil KWK, erstmals 2010</v>
      </c>
      <c r="AX504" s="169" t="str">
        <f t="shared" si="182"/>
        <v/>
      </c>
      <c r="AY504" t="str">
        <f t="shared" si="183"/>
        <v/>
      </c>
      <c r="AZ504" t="str">
        <f t="shared" si="184"/>
        <v/>
      </c>
    </row>
    <row r="505" spans="1:52" x14ac:dyDescent="0.35">
      <c r="A505" s="497" t="s">
        <v>5271</v>
      </c>
      <c r="B505" s="13" t="s">
        <v>5547</v>
      </c>
      <c r="C505" s="13" t="s">
        <v>4808</v>
      </c>
      <c r="D505" s="13" t="s">
        <v>7039</v>
      </c>
      <c r="E505" s="13" t="s">
        <v>3054</v>
      </c>
      <c r="F505" s="373">
        <f t="shared" si="191"/>
        <v>20.84</v>
      </c>
      <c r="G505" s="430">
        <v>20.84</v>
      </c>
      <c r="H505" s="399">
        <f t="shared" si="192"/>
        <v>16.670000000000002</v>
      </c>
      <c r="I505" s="576"/>
      <c r="J505" s="549" t="s">
        <v>5804</v>
      </c>
      <c r="K505" s="11"/>
      <c r="M505" s="37">
        <f t="shared" si="193"/>
        <v>20.84</v>
      </c>
      <c r="N505" s="29">
        <v>9.9</v>
      </c>
      <c r="O505" s="149"/>
      <c r="P505" s="144"/>
      <c r="Q505" s="145"/>
      <c r="R505" s="145"/>
      <c r="S505" s="145" t="s">
        <v>1017</v>
      </c>
      <c r="T505" t="s">
        <v>4179</v>
      </c>
      <c r="U505" s="146" t="s">
        <v>1017</v>
      </c>
      <c r="V505" s="145"/>
      <c r="W505" s="147"/>
      <c r="X505" s="147"/>
      <c r="Y505" s="145" t="s">
        <v>1017</v>
      </c>
      <c r="Z505" s="147"/>
      <c r="AA505" s="145"/>
      <c r="AB505" s="145"/>
      <c r="AC505" s="147"/>
      <c r="AD505" s="145"/>
      <c r="AE505" s="148"/>
      <c r="AF505" s="147"/>
      <c r="AG505" s="147"/>
      <c r="AH505" s="166" t="str">
        <f t="shared" si="195"/>
        <v>2011</v>
      </c>
      <c r="AI505" s="168" t="str">
        <f t="shared" si="185"/>
        <v/>
      </c>
      <c r="AJ505" s="168" t="str">
        <f t="shared" si="186"/>
        <v/>
      </c>
      <c r="AK505" s="168" t="str">
        <f t="shared" si="187"/>
        <v/>
      </c>
      <c r="AL505" s="168" t="str">
        <f t="shared" si="188"/>
        <v/>
      </c>
      <c r="AM505" s="168" t="str">
        <f t="shared" si="189"/>
        <v/>
      </c>
      <c r="AN505" s="167" t="str">
        <f t="shared" si="172"/>
        <v>2011</v>
      </c>
      <c r="AO505" s="167" t="str">
        <f t="shared" si="173"/>
        <v>2011</v>
      </c>
      <c r="AP505" s="167" t="str">
        <f t="shared" si="174"/>
        <v>2011</v>
      </c>
      <c r="AQ505" s="169" t="str">
        <f t="shared" si="175"/>
        <v/>
      </c>
      <c r="AR505" s="170" t="str">
        <f t="shared" si="176"/>
        <v>BiK82GK11y--04</v>
      </c>
      <c r="AS505" s="169" t="str">
        <f t="shared" si="177"/>
        <v/>
      </c>
      <c r="AT505">
        <f t="shared" si="178"/>
        <v>14</v>
      </c>
      <c r="AU505" s="170" t="str">
        <f t="shared" si="179"/>
        <v>0,15-0,5 MW, Bonusregeln G, y und K erstmals 2011</v>
      </c>
      <c r="AV505" s="169" t="str">
        <f t="shared" si="180"/>
        <v/>
      </c>
      <c r="AW505" s="170" t="str">
        <f t="shared" si="181"/>
        <v>Anteil KWK, erstmals 2011</v>
      </c>
      <c r="AX505" s="169" t="str">
        <f t="shared" si="182"/>
        <v/>
      </c>
      <c r="AY505" t="str">
        <f t="shared" si="183"/>
        <v>x</v>
      </c>
      <c r="AZ505" t="str">
        <f t="shared" si="184"/>
        <v/>
      </c>
    </row>
    <row r="506" spans="1:52" x14ac:dyDescent="0.35">
      <c r="A506" s="511" t="s">
        <v>1522</v>
      </c>
      <c r="B506" s="173" t="s">
        <v>5547</v>
      </c>
      <c r="C506" s="173" t="s">
        <v>4808</v>
      </c>
      <c r="D506" s="173" t="s">
        <v>7040</v>
      </c>
      <c r="E506" s="173" t="s">
        <v>1980</v>
      </c>
      <c r="F506" s="374">
        <f t="shared" si="191"/>
        <v>20.810000000000002</v>
      </c>
      <c r="G506" s="431">
        <v>20.810000000000002</v>
      </c>
      <c r="H506" s="400">
        <f t="shared" si="192"/>
        <v>16.649999999999999</v>
      </c>
      <c r="I506" s="577"/>
      <c r="J506" s="549" t="s">
        <v>5804</v>
      </c>
      <c r="K506" s="11"/>
      <c r="M506" s="37">
        <f t="shared" si="193"/>
        <v>20.810000000000002</v>
      </c>
      <c r="N506" s="29">
        <v>9.9</v>
      </c>
      <c r="O506" s="149"/>
      <c r="P506" s="144"/>
      <c r="Q506" s="145"/>
      <c r="R506" s="145"/>
      <c r="S506" s="145" t="s">
        <v>4179</v>
      </c>
      <c r="T506" t="s">
        <v>1017</v>
      </c>
      <c r="U506" s="146" t="s">
        <v>1017</v>
      </c>
      <c r="V506" s="145"/>
      <c r="W506" s="147"/>
      <c r="X506" s="147"/>
      <c r="Y506" s="145" t="s">
        <v>1017</v>
      </c>
      <c r="Z506" s="147"/>
      <c r="AA506" s="145"/>
      <c r="AB506" s="145"/>
      <c r="AC506" s="147"/>
      <c r="AD506" s="145"/>
      <c r="AE506" s="148"/>
      <c r="AF506" s="147"/>
      <c r="AG506" s="147"/>
      <c r="AH506" s="171" t="s">
        <v>4178</v>
      </c>
      <c r="AI506" s="168" t="str">
        <f t="shared" si="185"/>
        <v/>
      </c>
      <c r="AJ506" s="168" t="str">
        <f t="shared" si="186"/>
        <v/>
      </c>
      <c r="AK506" s="168" t="str">
        <f t="shared" si="187"/>
        <v/>
      </c>
      <c r="AL506" s="168" t="str">
        <f t="shared" si="188"/>
        <v/>
      </c>
      <c r="AM506" s="168" t="str">
        <f t="shared" si="189"/>
        <v/>
      </c>
      <c r="AN506" s="167" t="str">
        <f t="shared" si="172"/>
        <v>2012</v>
      </c>
      <c r="AO506" s="167" t="str">
        <f t="shared" si="173"/>
        <v>2012</v>
      </c>
      <c r="AP506" s="167" t="str">
        <f t="shared" si="174"/>
        <v>2012</v>
      </c>
      <c r="AQ506" s="169" t="str">
        <f t="shared" si="175"/>
        <v/>
      </c>
      <c r="AR506" s="170" t="str">
        <f t="shared" si="176"/>
        <v>BiK82GK12y--04</v>
      </c>
      <c r="AS506" s="169" t="str">
        <f t="shared" si="177"/>
        <v/>
      </c>
      <c r="AT506">
        <f t="shared" si="178"/>
        <v>14</v>
      </c>
      <c r="AU506" s="170" t="str">
        <f t="shared" si="179"/>
        <v>0,15-0,5 MW, Bonusregeln G, y und K erstmals 2012</v>
      </c>
      <c r="AV506" s="169" t="str">
        <f t="shared" si="180"/>
        <v/>
      </c>
      <c r="AW506" s="170" t="str">
        <f t="shared" si="181"/>
        <v>Anteil KWK, erstmals 2012</v>
      </c>
      <c r="AX506" s="169" t="str">
        <f t="shared" si="182"/>
        <v/>
      </c>
      <c r="AY506" t="str">
        <f t="shared" si="183"/>
        <v/>
      </c>
      <c r="AZ506" t="str">
        <f t="shared" si="184"/>
        <v>x</v>
      </c>
    </row>
    <row r="507" spans="1:52" x14ac:dyDescent="0.35">
      <c r="A507" s="497" t="s">
        <v>1963</v>
      </c>
      <c r="B507" s="13" t="s">
        <v>5547</v>
      </c>
      <c r="C507" s="13" t="s">
        <v>4808</v>
      </c>
      <c r="D507" s="13" t="s">
        <v>7041</v>
      </c>
      <c r="E507" s="13" t="s">
        <v>4809</v>
      </c>
      <c r="F507" s="373">
        <f t="shared" si="191"/>
        <v>17.899999999999999</v>
      </c>
      <c r="G507" s="430">
        <v>17.899999999999999</v>
      </c>
      <c r="H507" s="399">
        <f t="shared" si="192"/>
        <v>14.32</v>
      </c>
      <c r="I507" s="576"/>
      <c r="J507" s="549" t="s">
        <v>5804</v>
      </c>
      <c r="K507" s="11"/>
      <c r="M507" s="37">
        <f t="shared" si="193"/>
        <v>17.899999999999999</v>
      </c>
      <c r="N507" s="29">
        <v>9.9</v>
      </c>
      <c r="O507" s="149"/>
      <c r="P507" s="144"/>
      <c r="Q507" s="145"/>
      <c r="R507" s="145"/>
      <c r="S507" s="145" t="s">
        <v>4179</v>
      </c>
      <c r="T507" t="s">
        <v>4179</v>
      </c>
      <c r="U507" s="146"/>
      <c r="V507" s="145"/>
      <c r="W507" s="147"/>
      <c r="X507" s="147"/>
      <c r="Y507" s="145"/>
      <c r="Z507" s="147"/>
      <c r="AA507" s="145" t="s">
        <v>1017</v>
      </c>
      <c r="AB507" s="145"/>
      <c r="AC507" s="147"/>
      <c r="AD507" s="145"/>
      <c r="AE507" s="148"/>
      <c r="AF507" s="147"/>
      <c r="AG507" s="147"/>
      <c r="AH507" s="166" t="str">
        <f t="shared" ref="AH507:AH512" si="196">IF(ISERROR(SEARCH("K erstmals 201",D507)),"",RIGHT(D507,4))</f>
        <v/>
      </c>
      <c r="AI507" s="168" t="str">
        <f t="shared" si="185"/>
        <v/>
      </c>
      <c r="AJ507" s="168" t="str">
        <f t="shared" si="186"/>
        <v/>
      </c>
      <c r="AK507" s="168" t="str">
        <f t="shared" si="187"/>
        <v/>
      </c>
      <c r="AL507" s="168" t="str">
        <f t="shared" si="188"/>
        <v/>
      </c>
      <c r="AM507" s="168" t="str">
        <f t="shared" si="189"/>
        <v/>
      </c>
      <c r="AN507" s="167" t="str">
        <f t="shared" si="172"/>
        <v/>
      </c>
      <c r="AO507" s="167" t="str">
        <f t="shared" si="173"/>
        <v/>
      </c>
      <c r="AP507" s="167" t="str">
        <f t="shared" si="174"/>
        <v/>
      </c>
      <c r="AQ507" s="169" t="str">
        <f t="shared" si="175"/>
        <v/>
      </c>
      <c r="AR507" s="170" t="str">
        <f t="shared" si="176"/>
        <v>BiK82M2-----04</v>
      </c>
      <c r="AS507" s="169" t="str">
        <f t="shared" si="177"/>
        <v/>
      </c>
      <c r="AT507">
        <f t="shared" si="178"/>
        <v>14</v>
      </c>
      <c r="AU507" s="170" t="str">
        <f t="shared" si="179"/>
        <v>0,15-0,5 MW, Bonusregel M2</v>
      </c>
      <c r="AV507" s="169" t="str">
        <f t="shared" si="180"/>
        <v/>
      </c>
      <c r="AW507" s="170" t="str">
        <f t="shared" si="181"/>
        <v>Anteil Nicht-KWK</v>
      </c>
      <c r="AX507" s="169" t="str">
        <f t="shared" si="182"/>
        <v/>
      </c>
      <c r="AY507" t="str">
        <f t="shared" si="183"/>
        <v/>
      </c>
      <c r="AZ507" t="str">
        <f t="shared" si="184"/>
        <v/>
      </c>
    </row>
    <row r="508" spans="1:52" x14ac:dyDescent="0.35">
      <c r="A508" s="497" t="s">
        <v>1964</v>
      </c>
      <c r="B508" s="13" t="s">
        <v>5547</v>
      </c>
      <c r="C508" s="13" t="s">
        <v>4808</v>
      </c>
      <c r="D508" s="13" t="s">
        <v>7115</v>
      </c>
      <c r="E508" s="13" t="s">
        <v>4811</v>
      </c>
      <c r="F508" s="373">
        <f t="shared" si="191"/>
        <v>19.899999999999999</v>
      </c>
      <c r="G508" s="430">
        <v>19.899999999999999</v>
      </c>
      <c r="H508" s="399">
        <f t="shared" si="192"/>
        <v>15.92</v>
      </c>
      <c r="I508" s="576"/>
      <c r="J508" s="549" t="s">
        <v>5804</v>
      </c>
      <c r="K508" s="11"/>
      <c r="M508" s="37">
        <f t="shared" si="193"/>
        <v>19.899999999999999</v>
      </c>
      <c r="N508" s="29">
        <v>9.9</v>
      </c>
      <c r="O508" s="149" t="s">
        <v>1017</v>
      </c>
      <c r="P508" s="144"/>
      <c r="Q508" s="145"/>
      <c r="R508" s="145"/>
      <c r="S508" s="145" t="s">
        <v>4179</v>
      </c>
      <c r="T508" t="s">
        <v>4179</v>
      </c>
      <c r="U508" s="146"/>
      <c r="V508" s="145"/>
      <c r="W508" s="147"/>
      <c r="X508" s="147"/>
      <c r="Y508" s="145"/>
      <c r="Z508" s="147"/>
      <c r="AA508" s="145" t="s">
        <v>1017</v>
      </c>
      <c r="AB508" s="145"/>
      <c r="AC508" s="147"/>
      <c r="AD508" s="145"/>
      <c r="AE508" s="148"/>
      <c r="AF508" s="147"/>
      <c r="AG508" s="147"/>
      <c r="AH508" s="166" t="str">
        <f t="shared" si="196"/>
        <v/>
      </c>
      <c r="AI508" s="168" t="str">
        <f t="shared" si="185"/>
        <v/>
      </c>
      <c r="AJ508" s="168" t="str">
        <f t="shared" si="186"/>
        <v/>
      </c>
      <c r="AK508" s="168" t="str">
        <f t="shared" si="187"/>
        <v/>
      </c>
      <c r="AL508" s="168" t="str">
        <f t="shared" si="188"/>
        <v/>
      </c>
      <c r="AM508" s="168" t="str">
        <f t="shared" si="189"/>
        <v/>
      </c>
      <c r="AN508" s="167" t="str">
        <f t="shared" si="172"/>
        <v/>
      </c>
      <c r="AO508" s="167" t="str">
        <f t="shared" si="173"/>
        <v/>
      </c>
      <c r="AP508" s="167" t="str">
        <f t="shared" si="174"/>
        <v/>
      </c>
      <c r="AQ508" s="169" t="str">
        <f t="shared" si="175"/>
        <v/>
      </c>
      <c r="AR508" s="170" t="str">
        <f t="shared" si="176"/>
        <v>BiK82M2KWK--04</v>
      </c>
      <c r="AS508" s="169" t="str">
        <f t="shared" si="177"/>
        <v/>
      </c>
      <c r="AT508">
        <f t="shared" si="178"/>
        <v>14</v>
      </c>
      <c r="AU508" s="170" t="str">
        <f t="shared" si="179"/>
        <v>0,15-0,5 MW, Bonusregeln M2 und KWK</v>
      </c>
      <c r="AV508" s="169" t="str">
        <f t="shared" si="180"/>
        <v/>
      </c>
      <c r="AW508" s="170" t="str">
        <f t="shared" si="181"/>
        <v>Anteil KWK</v>
      </c>
      <c r="AX508" s="169" t="str">
        <f t="shared" si="182"/>
        <v/>
      </c>
      <c r="AY508" t="str">
        <f t="shared" si="183"/>
        <v/>
      </c>
      <c r="AZ508" t="str">
        <f t="shared" si="184"/>
        <v/>
      </c>
    </row>
    <row r="509" spans="1:52" x14ac:dyDescent="0.35">
      <c r="A509" s="497" t="s">
        <v>1965</v>
      </c>
      <c r="B509" s="13" t="s">
        <v>5547</v>
      </c>
      <c r="C509" s="13" t="s">
        <v>4808</v>
      </c>
      <c r="D509" s="13" t="s">
        <v>7042</v>
      </c>
      <c r="E509" s="13" t="s">
        <v>4330</v>
      </c>
      <c r="F509" s="373">
        <f t="shared" si="191"/>
        <v>20.9</v>
      </c>
      <c r="G509" s="430">
        <v>20.9</v>
      </c>
      <c r="H509" s="399">
        <f t="shared" si="192"/>
        <v>16.72</v>
      </c>
      <c r="I509" s="576"/>
      <c r="J509" s="549" t="s">
        <v>5804</v>
      </c>
      <c r="K509" s="11"/>
      <c r="M509" s="37">
        <f t="shared" si="193"/>
        <v>20.9</v>
      </c>
      <c r="N509" s="29">
        <v>9.9</v>
      </c>
      <c r="O509" s="149"/>
      <c r="P509" s="145" t="s">
        <v>1017</v>
      </c>
      <c r="Q509" s="145"/>
      <c r="R509" s="145"/>
      <c r="S509" s="145" t="s">
        <v>4179</v>
      </c>
      <c r="T509" t="s">
        <v>4179</v>
      </c>
      <c r="U509" s="146"/>
      <c r="V509" s="145"/>
      <c r="W509" s="147"/>
      <c r="X509" s="147"/>
      <c r="Y509" s="145"/>
      <c r="Z509" s="147"/>
      <c r="AA509" s="145" t="s">
        <v>1017</v>
      </c>
      <c r="AB509" s="145"/>
      <c r="AC509" s="147"/>
      <c r="AD509" s="145"/>
      <c r="AE509" s="148"/>
      <c r="AF509" s="147"/>
      <c r="AG509" s="147"/>
      <c r="AH509" s="166" t="str">
        <f t="shared" si="196"/>
        <v/>
      </c>
      <c r="AI509" s="168" t="str">
        <f t="shared" si="185"/>
        <v/>
      </c>
      <c r="AJ509" s="168" t="str">
        <f t="shared" si="186"/>
        <v/>
      </c>
      <c r="AK509" s="168" t="str">
        <f t="shared" si="187"/>
        <v/>
      </c>
      <c r="AL509" s="168" t="str">
        <f t="shared" si="188"/>
        <v/>
      </c>
      <c r="AM509" s="168" t="str">
        <f t="shared" si="189"/>
        <v/>
      </c>
      <c r="AN509" s="167" t="str">
        <f t="shared" si="172"/>
        <v/>
      </c>
      <c r="AO509" s="167" t="str">
        <f t="shared" si="173"/>
        <v/>
      </c>
      <c r="AP509" s="167" t="str">
        <f t="shared" si="174"/>
        <v/>
      </c>
      <c r="AQ509" s="169" t="str">
        <f t="shared" si="175"/>
        <v/>
      </c>
      <c r="AR509" s="170" t="str">
        <f t="shared" si="176"/>
        <v>BiK82M2KA3--04</v>
      </c>
      <c r="AS509" s="169" t="str">
        <f t="shared" si="177"/>
        <v/>
      </c>
      <c r="AT509">
        <f t="shared" si="178"/>
        <v>14</v>
      </c>
      <c r="AU509" s="170" t="str">
        <f t="shared" si="179"/>
        <v>0,15-0,5 MW, Bonusregeln M2 und K wenn Anlage 3 erfüllt</v>
      </c>
      <c r="AV509" s="169" t="str">
        <f t="shared" si="180"/>
        <v/>
      </c>
      <c r="AW509" s="170" t="str">
        <f t="shared" si="181"/>
        <v>Anteil KWK gemäß Anlage 3</v>
      </c>
      <c r="AX509" s="169" t="str">
        <f t="shared" si="182"/>
        <v/>
      </c>
      <c r="AY509" t="str">
        <f t="shared" si="183"/>
        <v/>
      </c>
      <c r="AZ509" t="str">
        <f t="shared" si="184"/>
        <v/>
      </c>
    </row>
    <row r="510" spans="1:52" x14ac:dyDescent="0.35">
      <c r="A510" s="497" t="s">
        <v>1966</v>
      </c>
      <c r="B510" s="13" t="s">
        <v>5547</v>
      </c>
      <c r="C510" s="13" t="s">
        <v>4808</v>
      </c>
      <c r="D510" s="13" t="s">
        <v>7116</v>
      </c>
      <c r="E510" s="13" t="s">
        <v>674</v>
      </c>
      <c r="F510" s="373">
        <f t="shared" si="191"/>
        <v>20.9</v>
      </c>
      <c r="G510" s="430">
        <v>20.9</v>
      </c>
      <c r="H510" s="399">
        <f t="shared" si="192"/>
        <v>16.72</v>
      </c>
      <c r="I510" s="576"/>
      <c r="J510" s="549" t="s">
        <v>5804</v>
      </c>
      <c r="K510" s="11"/>
      <c r="M510" s="37">
        <f t="shared" si="193"/>
        <v>20.9</v>
      </c>
      <c r="N510" s="29">
        <v>9.9</v>
      </c>
      <c r="O510" s="149"/>
      <c r="P510" s="144"/>
      <c r="Q510" s="145" t="s">
        <v>1017</v>
      </c>
      <c r="R510" s="145"/>
      <c r="S510" s="145" t="s">
        <v>4179</v>
      </c>
      <c r="T510" t="s">
        <v>4179</v>
      </c>
      <c r="U510" s="146"/>
      <c r="V510" s="145"/>
      <c r="W510" s="147"/>
      <c r="X510" s="147"/>
      <c r="Y510" s="145"/>
      <c r="Z510" s="147"/>
      <c r="AA510" s="145" t="s">
        <v>1017</v>
      </c>
      <c r="AB510" s="145"/>
      <c r="AC510" s="147"/>
      <c r="AD510" s="145"/>
      <c r="AE510" s="148"/>
      <c r="AF510" s="147"/>
      <c r="AG510" s="147"/>
      <c r="AH510" s="166" t="str">
        <f t="shared" si="196"/>
        <v/>
      </c>
      <c r="AI510" s="168" t="str">
        <f t="shared" si="185"/>
        <v/>
      </c>
      <c r="AJ510" s="168" t="str">
        <f t="shared" si="186"/>
        <v/>
      </c>
      <c r="AK510" s="168" t="str">
        <f t="shared" si="187"/>
        <v/>
      </c>
      <c r="AL510" s="168" t="str">
        <f t="shared" si="188"/>
        <v/>
      </c>
      <c r="AM510" s="168" t="str">
        <f t="shared" si="189"/>
        <v/>
      </c>
      <c r="AN510" s="167" t="str">
        <f t="shared" si="172"/>
        <v/>
      </c>
      <c r="AO510" s="167" t="str">
        <f t="shared" si="173"/>
        <v/>
      </c>
      <c r="AP510" s="167" t="str">
        <f t="shared" si="174"/>
        <v/>
      </c>
      <c r="AQ510" s="169" t="str">
        <f t="shared" si="175"/>
        <v/>
      </c>
      <c r="AR510" s="170" t="str">
        <f t="shared" si="176"/>
        <v>BiK82M2K09--04</v>
      </c>
      <c r="AS510" s="169" t="str">
        <f t="shared" si="177"/>
        <v/>
      </c>
      <c r="AT510">
        <f t="shared" si="178"/>
        <v>14</v>
      </c>
      <c r="AU510" s="170" t="str">
        <f t="shared" si="179"/>
        <v>0,15-0,5 MW, Bonusregeln M2, K erstmals 2009</v>
      </c>
      <c r="AV510" s="169" t="str">
        <f t="shared" si="180"/>
        <v/>
      </c>
      <c r="AW510" s="170" t="str">
        <f t="shared" si="181"/>
        <v>Anteil KWK, erstmals 2009</v>
      </c>
      <c r="AX510" s="169" t="str">
        <f t="shared" si="182"/>
        <v/>
      </c>
      <c r="AY510" t="str">
        <f t="shared" si="183"/>
        <v/>
      </c>
      <c r="AZ510" t="str">
        <f t="shared" si="184"/>
        <v/>
      </c>
    </row>
    <row r="511" spans="1:52" x14ac:dyDescent="0.35">
      <c r="A511" s="497" t="s">
        <v>1451</v>
      </c>
      <c r="B511" s="13" t="s">
        <v>5547</v>
      </c>
      <c r="C511" s="13" t="s">
        <v>4808</v>
      </c>
      <c r="D511" s="13" t="s">
        <v>7117</v>
      </c>
      <c r="E511" s="13" t="s">
        <v>3566</v>
      </c>
      <c r="F511" s="373">
        <f t="shared" si="191"/>
        <v>20.87</v>
      </c>
      <c r="G511" s="430">
        <v>20.87</v>
      </c>
      <c r="H511" s="399">
        <f t="shared" si="192"/>
        <v>16.7</v>
      </c>
      <c r="I511" s="576"/>
      <c r="J511" s="549" t="s">
        <v>5804</v>
      </c>
      <c r="K511" s="11"/>
      <c r="M511" s="37">
        <f t="shared" si="193"/>
        <v>20.87</v>
      </c>
      <c r="N511" s="29">
        <v>9.9</v>
      </c>
      <c r="O511" s="149"/>
      <c r="P511" s="144"/>
      <c r="Q511" s="145"/>
      <c r="R511" s="145" t="s">
        <v>1017</v>
      </c>
      <c r="S511" s="145" t="s">
        <v>4179</v>
      </c>
      <c r="T511" t="s">
        <v>4179</v>
      </c>
      <c r="U511" s="146"/>
      <c r="V511" s="145"/>
      <c r="W511" s="147"/>
      <c r="X511" s="147"/>
      <c r="Y511" s="145"/>
      <c r="Z511" s="147"/>
      <c r="AA511" s="145" t="s">
        <v>1017</v>
      </c>
      <c r="AB511" s="145"/>
      <c r="AC511" s="147"/>
      <c r="AD511" s="145"/>
      <c r="AE511" s="148"/>
      <c r="AF511" s="147"/>
      <c r="AG511" s="147"/>
      <c r="AH511" s="166" t="str">
        <f t="shared" si="196"/>
        <v>2010</v>
      </c>
      <c r="AI511" s="168" t="str">
        <f t="shared" si="185"/>
        <v/>
      </c>
      <c r="AJ511" s="168" t="str">
        <f t="shared" si="186"/>
        <v/>
      </c>
      <c r="AK511" s="168" t="str">
        <f t="shared" si="187"/>
        <v/>
      </c>
      <c r="AL511" s="168" t="str">
        <f t="shared" si="188"/>
        <v/>
      </c>
      <c r="AM511" s="168" t="str">
        <f t="shared" si="189"/>
        <v/>
      </c>
      <c r="AN511" s="167" t="str">
        <f t="shared" si="172"/>
        <v>2010</v>
      </c>
      <c r="AO511" s="167" t="str">
        <f t="shared" si="173"/>
        <v>2010</v>
      </c>
      <c r="AP511" s="167" t="str">
        <f t="shared" si="174"/>
        <v>2010</v>
      </c>
      <c r="AQ511" s="169" t="str">
        <f t="shared" si="175"/>
        <v/>
      </c>
      <c r="AR511" s="170" t="str">
        <f t="shared" si="176"/>
        <v>BiK82M2K10--04</v>
      </c>
      <c r="AS511" s="169" t="str">
        <f t="shared" si="177"/>
        <v/>
      </c>
      <c r="AT511">
        <f t="shared" si="178"/>
        <v>14</v>
      </c>
      <c r="AU511" s="170" t="str">
        <f t="shared" si="179"/>
        <v>0,15-0,5 MW, Bonusregeln M2, K erstmals 2010</v>
      </c>
      <c r="AV511" s="169" t="str">
        <f t="shared" si="180"/>
        <v/>
      </c>
      <c r="AW511" s="170" t="str">
        <f t="shared" si="181"/>
        <v>Anteil KWK, erstmals 2010</v>
      </c>
      <c r="AX511" s="169" t="str">
        <f t="shared" si="182"/>
        <v/>
      </c>
      <c r="AY511" t="str">
        <f t="shared" si="183"/>
        <v/>
      </c>
      <c r="AZ511" t="str">
        <f t="shared" si="184"/>
        <v/>
      </c>
    </row>
    <row r="512" spans="1:52" x14ac:dyDescent="0.35">
      <c r="A512" s="497" t="s">
        <v>5272</v>
      </c>
      <c r="B512" s="13" t="s">
        <v>5547</v>
      </c>
      <c r="C512" s="13" t="s">
        <v>4808</v>
      </c>
      <c r="D512" s="13" t="s">
        <v>7118</v>
      </c>
      <c r="E512" s="13" t="s">
        <v>3054</v>
      </c>
      <c r="F512" s="373">
        <f t="shared" si="191"/>
        <v>20.84</v>
      </c>
      <c r="G512" s="430">
        <v>20.84</v>
      </c>
      <c r="H512" s="399">
        <f t="shared" si="192"/>
        <v>16.670000000000002</v>
      </c>
      <c r="I512" s="576"/>
      <c r="J512" s="549" t="s">
        <v>5804</v>
      </c>
      <c r="K512" s="11"/>
      <c r="M512" s="37">
        <f t="shared" si="193"/>
        <v>20.84</v>
      </c>
      <c r="N512" s="29">
        <v>9.9</v>
      </c>
      <c r="O512" s="149"/>
      <c r="P512" s="144"/>
      <c r="Q512" s="145"/>
      <c r="R512" s="145"/>
      <c r="S512" s="145" t="s">
        <v>1017</v>
      </c>
      <c r="T512" t="s">
        <v>4179</v>
      </c>
      <c r="U512" s="146"/>
      <c r="V512" s="145"/>
      <c r="W512" s="147"/>
      <c r="X512" s="147"/>
      <c r="Y512" s="145"/>
      <c r="Z512" s="147"/>
      <c r="AA512" s="145" t="s">
        <v>1017</v>
      </c>
      <c r="AB512" s="145"/>
      <c r="AC512" s="147"/>
      <c r="AD512" s="145"/>
      <c r="AE512" s="148"/>
      <c r="AF512" s="147"/>
      <c r="AG512" s="147"/>
      <c r="AH512" s="166" t="str">
        <f t="shared" si="196"/>
        <v>2011</v>
      </c>
      <c r="AI512" s="168" t="str">
        <f t="shared" si="185"/>
        <v/>
      </c>
      <c r="AJ512" s="168" t="str">
        <f t="shared" si="186"/>
        <v/>
      </c>
      <c r="AK512" s="168" t="str">
        <f t="shared" si="187"/>
        <v/>
      </c>
      <c r="AL512" s="168" t="str">
        <f t="shared" si="188"/>
        <v/>
      </c>
      <c r="AM512" s="168" t="str">
        <f t="shared" si="189"/>
        <v/>
      </c>
      <c r="AN512" s="167" t="str">
        <f t="shared" si="172"/>
        <v>2011</v>
      </c>
      <c r="AO512" s="167" t="str">
        <f t="shared" si="173"/>
        <v>2011</v>
      </c>
      <c r="AP512" s="167" t="str">
        <f t="shared" si="174"/>
        <v>2011</v>
      </c>
      <c r="AQ512" s="169" t="str">
        <f t="shared" si="175"/>
        <v/>
      </c>
      <c r="AR512" s="170" t="str">
        <f t="shared" si="176"/>
        <v>BiK82M2K11--04</v>
      </c>
      <c r="AS512" s="169" t="str">
        <f t="shared" si="177"/>
        <v/>
      </c>
      <c r="AT512">
        <f t="shared" si="178"/>
        <v>14</v>
      </c>
      <c r="AU512" s="170" t="str">
        <f t="shared" si="179"/>
        <v>0,15-0,5 MW, Bonusregeln M2, K erstmals 2011</v>
      </c>
      <c r="AV512" s="169" t="str">
        <f t="shared" si="180"/>
        <v/>
      </c>
      <c r="AW512" s="170" t="str">
        <f t="shared" si="181"/>
        <v>Anteil KWK, erstmals 2011</v>
      </c>
      <c r="AX512" s="169" t="str">
        <f t="shared" si="182"/>
        <v/>
      </c>
      <c r="AY512" t="str">
        <f t="shared" si="183"/>
        <v>x</v>
      </c>
      <c r="AZ512" t="str">
        <f t="shared" si="184"/>
        <v/>
      </c>
    </row>
    <row r="513" spans="1:52" x14ac:dyDescent="0.35">
      <c r="A513" s="511" t="s">
        <v>1523</v>
      </c>
      <c r="B513" s="173" t="s">
        <v>5547</v>
      </c>
      <c r="C513" s="173" t="s">
        <v>4808</v>
      </c>
      <c r="D513" s="173" t="s">
        <v>7119</v>
      </c>
      <c r="E513" s="173" t="s">
        <v>1980</v>
      </c>
      <c r="F513" s="374">
        <f t="shared" si="191"/>
        <v>20.810000000000002</v>
      </c>
      <c r="G513" s="431">
        <v>20.810000000000002</v>
      </c>
      <c r="H513" s="400">
        <f t="shared" si="192"/>
        <v>16.649999999999999</v>
      </c>
      <c r="I513" s="577"/>
      <c r="J513" s="549" t="s">
        <v>5804</v>
      </c>
      <c r="K513" s="11"/>
      <c r="M513" s="37">
        <f t="shared" si="193"/>
        <v>20.810000000000002</v>
      </c>
      <c r="N513" s="29">
        <v>9.9</v>
      </c>
      <c r="O513" s="149"/>
      <c r="P513" s="144"/>
      <c r="Q513" s="145"/>
      <c r="R513" s="145"/>
      <c r="S513" s="145" t="s">
        <v>4179</v>
      </c>
      <c r="T513" t="s">
        <v>1017</v>
      </c>
      <c r="U513" s="146"/>
      <c r="V513" s="145"/>
      <c r="W513" s="147"/>
      <c r="X513" s="147"/>
      <c r="Y513" s="145"/>
      <c r="Z513" s="147"/>
      <c r="AA513" s="145" t="s">
        <v>1017</v>
      </c>
      <c r="AB513" s="145"/>
      <c r="AC513" s="147"/>
      <c r="AD513" s="145"/>
      <c r="AE513" s="148"/>
      <c r="AF513" s="147"/>
      <c r="AG513" s="147"/>
      <c r="AH513" s="171" t="s">
        <v>4178</v>
      </c>
      <c r="AI513" s="168" t="str">
        <f t="shared" si="185"/>
        <v/>
      </c>
      <c r="AJ513" s="168" t="str">
        <f t="shared" si="186"/>
        <v/>
      </c>
      <c r="AK513" s="168" t="str">
        <f t="shared" si="187"/>
        <v/>
      </c>
      <c r="AL513" s="168" t="str">
        <f t="shared" si="188"/>
        <v/>
      </c>
      <c r="AM513" s="168" t="str">
        <f t="shared" si="189"/>
        <v/>
      </c>
      <c r="AN513" s="167" t="str">
        <f t="shared" si="172"/>
        <v>2012</v>
      </c>
      <c r="AO513" s="167" t="str">
        <f t="shared" si="173"/>
        <v>2012</v>
      </c>
      <c r="AP513" s="167" t="str">
        <f t="shared" si="174"/>
        <v>2012</v>
      </c>
      <c r="AQ513" s="169" t="str">
        <f t="shared" si="175"/>
        <v/>
      </c>
      <c r="AR513" s="170" t="str">
        <f t="shared" si="176"/>
        <v>BiK82M2K12--04</v>
      </c>
      <c r="AS513" s="169" t="str">
        <f t="shared" si="177"/>
        <v/>
      </c>
      <c r="AT513">
        <f t="shared" si="178"/>
        <v>14</v>
      </c>
      <c r="AU513" s="170" t="str">
        <f t="shared" si="179"/>
        <v>0,15-0,5 MW, Bonusregeln M2, K erstmals 2012</v>
      </c>
      <c r="AV513" s="169" t="str">
        <f t="shared" si="180"/>
        <v/>
      </c>
      <c r="AW513" s="170" t="str">
        <f t="shared" si="181"/>
        <v>Anteil KWK, erstmals 2012</v>
      </c>
      <c r="AX513" s="169" t="str">
        <f t="shared" si="182"/>
        <v/>
      </c>
      <c r="AY513" t="str">
        <f t="shared" si="183"/>
        <v/>
      </c>
      <c r="AZ513" t="str">
        <f t="shared" si="184"/>
        <v>x</v>
      </c>
    </row>
    <row r="514" spans="1:52" x14ac:dyDescent="0.35">
      <c r="A514" s="497" t="s">
        <v>1967</v>
      </c>
      <c r="B514" s="13" t="s">
        <v>5547</v>
      </c>
      <c r="C514" s="13" t="s">
        <v>4808</v>
      </c>
      <c r="D514" s="13" t="s">
        <v>7047</v>
      </c>
      <c r="E514" s="13" t="s">
        <v>4809</v>
      </c>
      <c r="F514" s="373">
        <f t="shared" si="191"/>
        <v>18.899999999999999</v>
      </c>
      <c r="G514" s="430">
        <v>18.899999999999999</v>
      </c>
      <c r="H514" s="399">
        <f t="shared" si="192"/>
        <v>15.12</v>
      </c>
      <c r="I514" s="576"/>
      <c r="J514" s="549" t="s">
        <v>5804</v>
      </c>
      <c r="K514" s="11"/>
      <c r="M514" s="37">
        <f t="shared" si="193"/>
        <v>18.899999999999999</v>
      </c>
      <c r="N514" s="29">
        <v>9.9</v>
      </c>
      <c r="O514" s="149"/>
      <c r="P514" s="144"/>
      <c r="Q514" s="145"/>
      <c r="R514" s="145"/>
      <c r="S514" s="145" t="s">
        <v>4179</v>
      </c>
      <c r="T514" t="s">
        <v>4179</v>
      </c>
      <c r="U514" s="146" t="s">
        <v>1017</v>
      </c>
      <c r="V514" s="145"/>
      <c r="W514" s="147"/>
      <c r="X514" s="147"/>
      <c r="Y514" s="145"/>
      <c r="Z514" s="147"/>
      <c r="AA514" s="145" t="s">
        <v>1017</v>
      </c>
      <c r="AB514" s="145"/>
      <c r="AC514" s="147"/>
      <c r="AD514" s="145"/>
      <c r="AE514" s="148"/>
      <c r="AF514" s="147"/>
      <c r="AG514" s="147"/>
      <c r="AH514" s="166" t="str">
        <f t="shared" ref="AH514:AH519" si="197">IF(ISERROR(SEARCH("K erstmals 201",D514)),"",RIGHT(D514,4))</f>
        <v/>
      </c>
      <c r="AI514" s="168" t="str">
        <f t="shared" si="185"/>
        <v/>
      </c>
      <c r="AJ514" s="168" t="str">
        <f t="shared" si="186"/>
        <v/>
      </c>
      <c r="AK514" s="168" t="str">
        <f t="shared" si="187"/>
        <v/>
      </c>
      <c r="AL514" s="168" t="str">
        <f t="shared" si="188"/>
        <v/>
      </c>
      <c r="AM514" s="168" t="str">
        <f t="shared" si="189"/>
        <v/>
      </c>
      <c r="AN514" s="167" t="str">
        <f t="shared" si="172"/>
        <v/>
      </c>
      <c r="AO514" s="167" t="str">
        <f t="shared" si="173"/>
        <v/>
      </c>
      <c r="AP514" s="167" t="str">
        <f t="shared" si="174"/>
        <v/>
      </c>
      <c r="AQ514" s="169" t="str">
        <f t="shared" si="175"/>
        <v/>
      </c>
      <c r="AR514" s="170" t="str">
        <f t="shared" si="176"/>
        <v>BiK82M2y----04</v>
      </c>
      <c r="AS514" s="169" t="str">
        <f t="shared" si="177"/>
        <v/>
      </c>
      <c r="AT514">
        <f t="shared" si="178"/>
        <v>14</v>
      </c>
      <c r="AU514" s="170" t="str">
        <f t="shared" si="179"/>
        <v>0,15-0,5 MW, Bonusregeln M2, y</v>
      </c>
      <c r="AV514" s="169" t="str">
        <f t="shared" si="180"/>
        <v/>
      </c>
      <c r="AW514" s="170" t="str">
        <f t="shared" si="181"/>
        <v>Anteil Nicht-KWK</v>
      </c>
      <c r="AX514" s="169" t="str">
        <f t="shared" si="182"/>
        <v/>
      </c>
      <c r="AY514" t="str">
        <f t="shared" si="183"/>
        <v/>
      </c>
      <c r="AZ514" t="str">
        <f t="shared" si="184"/>
        <v/>
      </c>
    </row>
    <row r="515" spans="1:52" x14ac:dyDescent="0.35">
      <c r="A515" s="497" t="s">
        <v>1968</v>
      </c>
      <c r="B515" s="13" t="s">
        <v>5547</v>
      </c>
      <c r="C515" s="13" t="s">
        <v>4808</v>
      </c>
      <c r="D515" s="13" t="s">
        <v>7120</v>
      </c>
      <c r="E515" s="13" t="s">
        <v>4811</v>
      </c>
      <c r="F515" s="373">
        <f t="shared" si="191"/>
        <v>20.9</v>
      </c>
      <c r="G515" s="430">
        <v>20.9</v>
      </c>
      <c r="H515" s="399">
        <f t="shared" si="192"/>
        <v>16.72</v>
      </c>
      <c r="I515" s="576"/>
      <c r="J515" s="549" t="s">
        <v>5804</v>
      </c>
      <c r="K515" s="11"/>
      <c r="M515" s="37">
        <f t="shared" si="193"/>
        <v>20.9</v>
      </c>
      <c r="N515" s="29">
        <v>9.9</v>
      </c>
      <c r="O515" s="149" t="s">
        <v>1017</v>
      </c>
      <c r="P515" s="144"/>
      <c r="Q515" s="145"/>
      <c r="R515" s="145"/>
      <c r="S515" s="145" t="s">
        <v>4179</v>
      </c>
      <c r="T515" t="s">
        <v>4179</v>
      </c>
      <c r="U515" s="146" t="s">
        <v>1017</v>
      </c>
      <c r="V515" s="145"/>
      <c r="W515" s="147"/>
      <c r="X515" s="147"/>
      <c r="Y515" s="145"/>
      <c r="Z515" s="147"/>
      <c r="AA515" s="145" t="s">
        <v>1017</v>
      </c>
      <c r="AB515" s="145"/>
      <c r="AC515" s="147"/>
      <c r="AD515" s="145"/>
      <c r="AE515" s="148"/>
      <c r="AF515" s="147"/>
      <c r="AG515" s="147"/>
      <c r="AH515" s="166" t="str">
        <f t="shared" si="197"/>
        <v/>
      </c>
      <c r="AI515" s="168" t="str">
        <f t="shared" si="185"/>
        <v/>
      </c>
      <c r="AJ515" s="168" t="str">
        <f t="shared" si="186"/>
        <v/>
      </c>
      <c r="AK515" s="168" t="str">
        <f t="shared" si="187"/>
        <v/>
      </c>
      <c r="AL515" s="168" t="str">
        <f t="shared" si="188"/>
        <v/>
      </c>
      <c r="AM515" s="168" t="str">
        <f t="shared" si="189"/>
        <v/>
      </c>
      <c r="AN515" s="167" t="str">
        <f t="shared" si="172"/>
        <v/>
      </c>
      <c r="AO515" s="167" t="str">
        <f t="shared" si="173"/>
        <v/>
      </c>
      <c r="AP515" s="167" t="str">
        <f t="shared" si="174"/>
        <v/>
      </c>
      <c r="AQ515" s="169" t="str">
        <f t="shared" si="175"/>
        <v/>
      </c>
      <c r="AR515" s="170" t="str">
        <f t="shared" si="176"/>
        <v>BiK82M2KWKy-04</v>
      </c>
      <c r="AS515" s="169" t="str">
        <f t="shared" si="177"/>
        <v/>
      </c>
      <c r="AT515">
        <f t="shared" si="178"/>
        <v>14</v>
      </c>
      <c r="AU515" s="170" t="str">
        <f t="shared" si="179"/>
        <v>0,15-0,5 MW, Bonusregeln M2, y und KWK</v>
      </c>
      <c r="AV515" s="169" t="str">
        <f t="shared" si="180"/>
        <v/>
      </c>
      <c r="AW515" s="170" t="str">
        <f t="shared" si="181"/>
        <v>Anteil KWK</v>
      </c>
      <c r="AX515" s="169" t="str">
        <f t="shared" si="182"/>
        <v/>
      </c>
      <c r="AY515" t="str">
        <f t="shared" si="183"/>
        <v/>
      </c>
      <c r="AZ515" t="str">
        <f t="shared" si="184"/>
        <v/>
      </c>
    </row>
    <row r="516" spans="1:52" x14ac:dyDescent="0.35">
      <c r="A516" s="497" t="s">
        <v>1969</v>
      </c>
      <c r="B516" s="13" t="s">
        <v>5547</v>
      </c>
      <c r="C516" s="13" t="s">
        <v>4808</v>
      </c>
      <c r="D516" s="88" t="s">
        <v>7048</v>
      </c>
      <c r="E516" s="13" t="s">
        <v>4330</v>
      </c>
      <c r="F516" s="373">
        <f t="shared" si="191"/>
        <v>21.9</v>
      </c>
      <c r="G516" s="430">
        <v>21.9</v>
      </c>
      <c r="H516" s="399">
        <f t="shared" si="192"/>
        <v>17.52</v>
      </c>
      <c r="I516" s="576"/>
      <c r="J516" s="549" t="s">
        <v>5804</v>
      </c>
      <c r="K516" s="11"/>
      <c r="M516" s="37">
        <f t="shared" si="193"/>
        <v>21.9</v>
      </c>
      <c r="N516" s="29">
        <v>9.9</v>
      </c>
      <c r="O516" s="149"/>
      <c r="P516" s="145" t="s">
        <v>1017</v>
      </c>
      <c r="Q516" s="145"/>
      <c r="R516" s="145"/>
      <c r="S516" s="145" t="s">
        <v>4179</v>
      </c>
      <c r="T516" t="s">
        <v>4179</v>
      </c>
      <c r="U516" s="146" t="s">
        <v>1017</v>
      </c>
      <c r="V516" s="145"/>
      <c r="W516" s="147"/>
      <c r="X516" s="147"/>
      <c r="Y516" s="145"/>
      <c r="Z516" s="147"/>
      <c r="AA516" s="145" t="s">
        <v>1017</v>
      </c>
      <c r="AB516" s="145"/>
      <c r="AC516" s="147"/>
      <c r="AD516" s="145"/>
      <c r="AE516" s="148"/>
      <c r="AF516" s="147"/>
      <c r="AG516" s="147"/>
      <c r="AH516" s="166" t="str">
        <f t="shared" si="197"/>
        <v/>
      </c>
      <c r="AI516" s="168" t="str">
        <f t="shared" si="185"/>
        <v/>
      </c>
      <c r="AJ516" s="168" t="str">
        <f t="shared" si="186"/>
        <v/>
      </c>
      <c r="AK516" s="168" t="str">
        <f t="shared" si="187"/>
        <v/>
      </c>
      <c r="AL516" s="168" t="str">
        <f t="shared" si="188"/>
        <v/>
      </c>
      <c r="AM516" s="168" t="str">
        <f t="shared" si="189"/>
        <v/>
      </c>
      <c r="AN516" s="167" t="str">
        <f t="shared" si="172"/>
        <v/>
      </c>
      <c r="AO516" s="167" t="str">
        <f t="shared" si="173"/>
        <v/>
      </c>
      <c r="AP516" s="167" t="str">
        <f t="shared" si="174"/>
        <v/>
      </c>
      <c r="AQ516" s="169" t="str">
        <f t="shared" si="175"/>
        <v/>
      </c>
      <c r="AR516" s="170" t="str">
        <f t="shared" si="176"/>
        <v>BiK82M2KA3y-04</v>
      </c>
      <c r="AS516" s="169" t="str">
        <f t="shared" si="177"/>
        <v/>
      </c>
      <c r="AT516">
        <f t="shared" si="178"/>
        <v>14</v>
      </c>
      <c r="AU516" s="170" t="str">
        <f t="shared" si="179"/>
        <v>0,15-0,5 MW, Bonusregeln M2, y und K wenn Anlage 3 erfüllt</v>
      </c>
      <c r="AV516" s="169" t="str">
        <f t="shared" si="180"/>
        <v/>
      </c>
      <c r="AW516" s="170" t="str">
        <f t="shared" si="181"/>
        <v>Anteil KWK gemäß Anlage 3</v>
      </c>
      <c r="AX516" s="169" t="str">
        <f t="shared" si="182"/>
        <v/>
      </c>
      <c r="AY516" t="str">
        <f t="shared" si="183"/>
        <v/>
      </c>
      <c r="AZ516" t="str">
        <f t="shared" si="184"/>
        <v/>
      </c>
    </row>
    <row r="517" spans="1:52" x14ac:dyDescent="0.35">
      <c r="A517" s="497" t="s">
        <v>1970</v>
      </c>
      <c r="B517" s="13" t="s">
        <v>5547</v>
      </c>
      <c r="C517" s="13" t="s">
        <v>4808</v>
      </c>
      <c r="D517" s="13" t="s">
        <v>7049</v>
      </c>
      <c r="E517" s="13" t="s">
        <v>674</v>
      </c>
      <c r="F517" s="373">
        <f t="shared" si="191"/>
        <v>21.9</v>
      </c>
      <c r="G517" s="430">
        <v>21.9</v>
      </c>
      <c r="H517" s="399">
        <f t="shared" si="192"/>
        <v>17.52</v>
      </c>
      <c r="I517" s="576"/>
      <c r="J517" s="549" t="s">
        <v>5804</v>
      </c>
      <c r="K517" s="11"/>
      <c r="M517" s="37">
        <f t="shared" si="193"/>
        <v>21.9</v>
      </c>
      <c r="N517" s="29">
        <v>9.9</v>
      </c>
      <c r="O517" s="149"/>
      <c r="P517" s="144"/>
      <c r="Q517" s="145" t="s">
        <v>1017</v>
      </c>
      <c r="R517" s="145"/>
      <c r="S517" s="145" t="s">
        <v>4179</v>
      </c>
      <c r="T517" t="s">
        <v>4179</v>
      </c>
      <c r="U517" s="146" t="s">
        <v>1017</v>
      </c>
      <c r="V517" s="145"/>
      <c r="W517" s="147"/>
      <c r="X517" s="147"/>
      <c r="Y517" s="145"/>
      <c r="Z517" s="147"/>
      <c r="AA517" s="145" t="s">
        <v>1017</v>
      </c>
      <c r="AB517" s="145"/>
      <c r="AC517" s="147"/>
      <c r="AD517" s="145"/>
      <c r="AE517" s="148"/>
      <c r="AF517" s="147"/>
      <c r="AG517" s="147"/>
      <c r="AH517" s="166" t="str">
        <f t="shared" si="197"/>
        <v/>
      </c>
      <c r="AI517" s="168" t="str">
        <f t="shared" si="185"/>
        <v/>
      </c>
      <c r="AJ517" s="168" t="str">
        <f t="shared" si="186"/>
        <v/>
      </c>
      <c r="AK517" s="168" t="str">
        <f t="shared" si="187"/>
        <v/>
      </c>
      <c r="AL517" s="168" t="str">
        <f t="shared" si="188"/>
        <v/>
      </c>
      <c r="AM517" s="168" t="str">
        <f t="shared" si="189"/>
        <v/>
      </c>
      <c r="AN517" s="167" t="str">
        <f t="shared" si="172"/>
        <v/>
      </c>
      <c r="AO517" s="167" t="str">
        <f t="shared" si="173"/>
        <v/>
      </c>
      <c r="AP517" s="167" t="str">
        <f t="shared" si="174"/>
        <v/>
      </c>
      <c r="AQ517" s="169" t="str">
        <f t="shared" si="175"/>
        <v/>
      </c>
      <c r="AR517" s="170" t="str">
        <f t="shared" si="176"/>
        <v>BiK82M2K09y-04</v>
      </c>
      <c r="AS517" s="169" t="str">
        <f t="shared" si="177"/>
        <v/>
      </c>
      <c r="AT517">
        <f t="shared" si="178"/>
        <v>14</v>
      </c>
      <c r="AU517" s="170" t="str">
        <f t="shared" si="179"/>
        <v>0,15-0,5 MW, Bonusregeln M2, y und K erstmals 2009</v>
      </c>
      <c r="AV517" s="169" t="str">
        <f t="shared" si="180"/>
        <v/>
      </c>
      <c r="AW517" s="170" t="str">
        <f t="shared" si="181"/>
        <v>Anteil KWK, erstmals 2009</v>
      </c>
      <c r="AX517" s="169" t="str">
        <f t="shared" si="182"/>
        <v/>
      </c>
      <c r="AY517" t="str">
        <f t="shared" si="183"/>
        <v/>
      </c>
      <c r="AZ517" t="str">
        <f t="shared" si="184"/>
        <v/>
      </c>
    </row>
    <row r="518" spans="1:52" x14ac:dyDescent="0.35">
      <c r="A518" s="497" t="s">
        <v>1452</v>
      </c>
      <c r="B518" s="13" t="s">
        <v>5547</v>
      </c>
      <c r="C518" s="13" t="s">
        <v>4808</v>
      </c>
      <c r="D518" s="13" t="s">
        <v>7050</v>
      </c>
      <c r="E518" s="13" t="s">
        <v>3566</v>
      </c>
      <c r="F518" s="373">
        <f t="shared" si="191"/>
        <v>21.87</v>
      </c>
      <c r="G518" s="430">
        <v>21.87</v>
      </c>
      <c r="H518" s="399">
        <f t="shared" si="192"/>
        <v>17.5</v>
      </c>
      <c r="I518" s="576"/>
      <c r="J518" s="549" t="s">
        <v>5804</v>
      </c>
      <c r="K518" s="11"/>
      <c r="M518" s="37">
        <f t="shared" si="193"/>
        <v>21.87</v>
      </c>
      <c r="N518" s="29">
        <v>9.9</v>
      </c>
      <c r="O518" s="149"/>
      <c r="P518" s="144"/>
      <c r="Q518" s="145"/>
      <c r="R518" s="145" t="s">
        <v>1017</v>
      </c>
      <c r="S518" s="145" t="s">
        <v>4179</v>
      </c>
      <c r="T518" t="s">
        <v>4179</v>
      </c>
      <c r="U518" s="146" t="s">
        <v>1017</v>
      </c>
      <c r="V518" s="145"/>
      <c r="W518" s="147"/>
      <c r="X518" s="147"/>
      <c r="Y518" s="145"/>
      <c r="Z518" s="147"/>
      <c r="AA518" s="145" t="s">
        <v>1017</v>
      </c>
      <c r="AB518" s="145"/>
      <c r="AC518" s="147"/>
      <c r="AD518" s="145"/>
      <c r="AE518" s="148"/>
      <c r="AF518" s="147"/>
      <c r="AG518" s="147"/>
      <c r="AH518" s="166" t="str">
        <f t="shared" si="197"/>
        <v>2010</v>
      </c>
      <c r="AI518" s="168" t="str">
        <f t="shared" si="185"/>
        <v/>
      </c>
      <c r="AJ518" s="168" t="str">
        <f t="shared" si="186"/>
        <v/>
      </c>
      <c r="AK518" s="168" t="str">
        <f t="shared" si="187"/>
        <v/>
      </c>
      <c r="AL518" s="168" t="str">
        <f t="shared" si="188"/>
        <v/>
      </c>
      <c r="AM518" s="168" t="str">
        <f t="shared" si="189"/>
        <v/>
      </c>
      <c r="AN518" s="167" t="str">
        <f t="shared" si="172"/>
        <v>2010</v>
      </c>
      <c r="AO518" s="167" t="str">
        <f t="shared" si="173"/>
        <v>2010</v>
      </c>
      <c r="AP518" s="167" t="str">
        <f t="shared" si="174"/>
        <v>2010</v>
      </c>
      <c r="AQ518" s="169" t="str">
        <f t="shared" si="175"/>
        <v/>
      </c>
      <c r="AR518" s="170" t="str">
        <f t="shared" si="176"/>
        <v>BiK82M2K10y-04</v>
      </c>
      <c r="AS518" s="169" t="str">
        <f t="shared" si="177"/>
        <v/>
      </c>
      <c r="AT518">
        <f t="shared" si="178"/>
        <v>14</v>
      </c>
      <c r="AU518" s="170" t="str">
        <f t="shared" si="179"/>
        <v>0,15-0,5 MW, Bonusregeln M2, y und K erstmals 2010</v>
      </c>
      <c r="AV518" s="169" t="str">
        <f t="shared" si="180"/>
        <v/>
      </c>
      <c r="AW518" s="170" t="str">
        <f t="shared" si="181"/>
        <v>Anteil KWK, erstmals 2010</v>
      </c>
      <c r="AX518" s="169" t="str">
        <f t="shared" si="182"/>
        <v/>
      </c>
      <c r="AY518" t="str">
        <f t="shared" si="183"/>
        <v/>
      </c>
      <c r="AZ518" t="str">
        <f t="shared" si="184"/>
        <v/>
      </c>
    </row>
    <row r="519" spans="1:52" x14ac:dyDescent="0.35">
      <c r="A519" s="497" t="s">
        <v>5273</v>
      </c>
      <c r="B519" s="13" t="s">
        <v>5547</v>
      </c>
      <c r="C519" s="13" t="s">
        <v>4808</v>
      </c>
      <c r="D519" s="13" t="s">
        <v>7051</v>
      </c>
      <c r="E519" s="13" t="s">
        <v>3054</v>
      </c>
      <c r="F519" s="373">
        <f t="shared" si="191"/>
        <v>21.84</v>
      </c>
      <c r="G519" s="430">
        <v>21.84</v>
      </c>
      <c r="H519" s="399">
        <f t="shared" si="192"/>
        <v>17.47</v>
      </c>
      <c r="I519" s="576"/>
      <c r="J519" s="549" t="s">
        <v>5804</v>
      </c>
      <c r="K519" s="11"/>
      <c r="M519" s="37">
        <f t="shared" si="193"/>
        <v>21.84</v>
      </c>
      <c r="N519" s="29">
        <v>9.9</v>
      </c>
      <c r="O519" s="149"/>
      <c r="P519" s="144"/>
      <c r="Q519" s="145"/>
      <c r="R519" s="145"/>
      <c r="S519" s="145" t="s">
        <v>1017</v>
      </c>
      <c r="T519" t="s">
        <v>4179</v>
      </c>
      <c r="U519" s="146" t="s">
        <v>1017</v>
      </c>
      <c r="V519" s="145"/>
      <c r="W519" s="147"/>
      <c r="X519" s="147"/>
      <c r="Y519" s="145"/>
      <c r="Z519" s="147"/>
      <c r="AA519" s="145" t="s">
        <v>1017</v>
      </c>
      <c r="AB519" s="145"/>
      <c r="AC519" s="147"/>
      <c r="AD519" s="145"/>
      <c r="AE519" s="148"/>
      <c r="AF519" s="147"/>
      <c r="AG519" s="147"/>
      <c r="AH519" s="166" t="str">
        <f t="shared" si="197"/>
        <v>2011</v>
      </c>
      <c r="AI519" s="168" t="str">
        <f t="shared" si="185"/>
        <v/>
      </c>
      <c r="AJ519" s="168" t="str">
        <f t="shared" si="186"/>
        <v/>
      </c>
      <c r="AK519" s="168" t="str">
        <f t="shared" si="187"/>
        <v/>
      </c>
      <c r="AL519" s="168" t="str">
        <f t="shared" si="188"/>
        <v/>
      </c>
      <c r="AM519" s="168" t="str">
        <f t="shared" si="189"/>
        <v/>
      </c>
      <c r="AN519" s="167" t="str">
        <f t="shared" si="172"/>
        <v>2011</v>
      </c>
      <c r="AO519" s="167" t="str">
        <f t="shared" si="173"/>
        <v>2011</v>
      </c>
      <c r="AP519" s="167" t="str">
        <f t="shared" si="174"/>
        <v>2011</v>
      </c>
      <c r="AQ519" s="169" t="str">
        <f t="shared" si="175"/>
        <v/>
      </c>
      <c r="AR519" s="170" t="str">
        <f t="shared" si="176"/>
        <v>BiK82M2K11y-04</v>
      </c>
      <c r="AS519" s="169" t="str">
        <f t="shared" si="177"/>
        <v/>
      </c>
      <c r="AT519">
        <f t="shared" si="178"/>
        <v>14</v>
      </c>
      <c r="AU519" s="170" t="str">
        <f t="shared" si="179"/>
        <v>0,15-0,5 MW, Bonusregeln M2, y und K erstmals 2011</v>
      </c>
      <c r="AV519" s="169" t="str">
        <f t="shared" si="180"/>
        <v/>
      </c>
      <c r="AW519" s="170" t="str">
        <f t="shared" si="181"/>
        <v>Anteil KWK, erstmals 2011</v>
      </c>
      <c r="AX519" s="169" t="str">
        <f t="shared" si="182"/>
        <v/>
      </c>
      <c r="AY519" t="str">
        <f t="shared" si="183"/>
        <v>x</v>
      </c>
      <c r="AZ519" t="str">
        <f t="shared" si="184"/>
        <v/>
      </c>
    </row>
    <row r="520" spans="1:52" x14ac:dyDescent="0.35">
      <c r="A520" s="511" t="s">
        <v>1524</v>
      </c>
      <c r="B520" s="173" t="s">
        <v>5547</v>
      </c>
      <c r="C520" s="173" t="s">
        <v>4808</v>
      </c>
      <c r="D520" s="173" t="s">
        <v>7052</v>
      </c>
      <c r="E520" s="173" t="s">
        <v>1980</v>
      </c>
      <c r="F520" s="374">
        <f t="shared" si="191"/>
        <v>21.810000000000002</v>
      </c>
      <c r="G520" s="431">
        <v>21.810000000000002</v>
      </c>
      <c r="H520" s="400">
        <f t="shared" si="192"/>
        <v>17.45</v>
      </c>
      <c r="I520" s="577"/>
      <c r="J520" s="549" t="s">
        <v>5804</v>
      </c>
      <c r="K520" s="11"/>
      <c r="M520" s="37">
        <f t="shared" si="193"/>
        <v>21.810000000000002</v>
      </c>
      <c r="N520" s="29">
        <v>9.9</v>
      </c>
      <c r="O520" s="149"/>
      <c r="P520" s="144"/>
      <c r="Q520" s="145"/>
      <c r="R520" s="145"/>
      <c r="S520" s="145" t="s">
        <v>4179</v>
      </c>
      <c r="T520" t="s">
        <v>1017</v>
      </c>
      <c r="U520" s="146" t="s">
        <v>1017</v>
      </c>
      <c r="V520" s="145"/>
      <c r="W520" s="147"/>
      <c r="X520" s="147"/>
      <c r="Y520" s="145"/>
      <c r="Z520" s="147"/>
      <c r="AA520" s="145" t="s">
        <v>1017</v>
      </c>
      <c r="AB520" s="145"/>
      <c r="AC520" s="147"/>
      <c r="AD520" s="145"/>
      <c r="AE520" s="148"/>
      <c r="AF520" s="147"/>
      <c r="AG520" s="147"/>
      <c r="AH520" s="171" t="s">
        <v>4178</v>
      </c>
      <c r="AI520" s="168" t="str">
        <f t="shared" si="185"/>
        <v/>
      </c>
      <c r="AJ520" s="168" t="str">
        <f t="shared" si="186"/>
        <v/>
      </c>
      <c r="AK520" s="168" t="str">
        <f t="shared" si="187"/>
        <v/>
      </c>
      <c r="AL520" s="168" t="str">
        <f t="shared" si="188"/>
        <v/>
      </c>
      <c r="AM520" s="168" t="str">
        <f t="shared" si="189"/>
        <v/>
      </c>
      <c r="AN520" s="167" t="str">
        <f t="shared" si="172"/>
        <v>2012</v>
      </c>
      <c r="AO520" s="167" t="str">
        <f t="shared" si="173"/>
        <v>2012</v>
      </c>
      <c r="AP520" s="167" t="str">
        <f t="shared" si="174"/>
        <v>2012</v>
      </c>
      <c r="AQ520" s="169" t="str">
        <f t="shared" si="175"/>
        <v/>
      </c>
      <c r="AR520" s="170" t="str">
        <f t="shared" si="176"/>
        <v>BiK82M2K12y-04</v>
      </c>
      <c r="AS520" s="169" t="str">
        <f t="shared" si="177"/>
        <v/>
      </c>
      <c r="AT520">
        <f t="shared" si="178"/>
        <v>14</v>
      </c>
      <c r="AU520" s="170" t="str">
        <f t="shared" si="179"/>
        <v>0,15-0,5 MW, Bonusregeln M2, y und K erstmals 2012</v>
      </c>
      <c r="AV520" s="169" t="str">
        <f t="shared" si="180"/>
        <v/>
      </c>
      <c r="AW520" s="170" t="str">
        <f t="shared" si="181"/>
        <v>Anteil KWK, erstmals 2012</v>
      </c>
      <c r="AX520" s="169" t="str">
        <f t="shared" si="182"/>
        <v/>
      </c>
      <c r="AY520" t="str">
        <f t="shared" si="183"/>
        <v/>
      </c>
      <c r="AZ520" t="str">
        <f t="shared" si="184"/>
        <v>x</v>
      </c>
    </row>
    <row r="521" spans="1:52" ht="17.25" customHeight="1" x14ac:dyDescent="0.35">
      <c r="A521" s="497" t="s">
        <v>994</v>
      </c>
      <c r="B521" s="13" t="s">
        <v>5547</v>
      </c>
      <c r="C521" s="13" t="s">
        <v>4808</v>
      </c>
      <c r="D521" s="13" t="s">
        <v>7053</v>
      </c>
      <c r="E521" s="13" t="s">
        <v>4809</v>
      </c>
      <c r="F521" s="373">
        <f t="shared" si="191"/>
        <v>18.899999999999999</v>
      </c>
      <c r="G521" s="430">
        <v>18.899999999999999</v>
      </c>
      <c r="H521" s="399">
        <f t="shared" si="192"/>
        <v>15.12</v>
      </c>
      <c r="I521" s="576"/>
      <c r="J521" s="549" t="s">
        <v>5804</v>
      </c>
      <c r="K521" s="11"/>
      <c r="M521" s="37">
        <f t="shared" si="193"/>
        <v>18.899999999999999</v>
      </c>
      <c r="N521" s="29">
        <v>9.9</v>
      </c>
      <c r="O521" s="149"/>
      <c r="P521" s="144"/>
      <c r="Q521" s="145"/>
      <c r="R521" s="145"/>
      <c r="S521" s="145" t="s">
        <v>4179</v>
      </c>
      <c r="T521" t="s">
        <v>4179</v>
      </c>
      <c r="U521" s="146"/>
      <c r="V521" s="145"/>
      <c r="W521" s="147"/>
      <c r="X521" s="147"/>
      <c r="Y521" s="145"/>
      <c r="Z521" s="147"/>
      <c r="AA521" s="145"/>
      <c r="AB521" s="145" t="s">
        <v>1017</v>
      </c>
      <c r="AC521" s="147"/>
      <c r="AD521" s="145"/>
      <c r="AE521" s="148"/>
      <c r="AF521" s="147"/>
      <c r="AG521" s="147"/>
      <c r="AH521" s="166" t="str">
        <f t="shared" ref="AH521:AH526" si="198">IF(ISERROR(SEARCH("K erstmals 201",D521)),"",RIGHT(D521,4))</f>
        <v/>
      </c>
      <c r="AI521" s="168" t="str">
        <f t="shared" si="185"/>
        <v/>
      </c>
      <c r="AJ521" s="168" t="str">
        <f t="shared" si="186"/>
        <v/>
      </c>
      <c r="AK521" s="168" t="str">
        <f t="shared" si="187"/>
        <v/>
      </c>
      <c r="AL521" s="168" t="str">
        <f t="shared" si="188"/>
        <v/>
      </c>
      <c r="AM521" s="168" t="str">
        <f t="shared" si="189"/>
        <v/>
      </c>
      <c r="AN521" s="167" t="str">
        <f t="shared" si="172"/>
        <v/>
      </c>
      <c r="AO521" s="167" t="str">
        <f t="shared" si="173"/>
        <v/>
      </c>
      <c r="AP521" s="167" t="str">
        <f t="shared" si="174"/>
        <v/>
      </c>
      <c r="AQ521" s="169" t="str">
        <f t="shared" si="175"/>
        <v/>
      </c>
      <c r="AR521" s="170" t="str">
        <f t="shared" si="176"/>
        <v>BiK82L------04</v>
      </c>
      <c r="AS521" s="169" t="str">
        <f t="shared" si="177"/>
        <v/>
      </c>
      <c r="AT521">
        <f t="shared" si="178"/>
        <v>14</v>
      </c>
      <c r="AU521" s="170" t="str">
        <f t="shared" si="179"/>
        <v>0,15-0,5 MW, Bonusregel L</v>
      </c>
      <c r="AV521" s="169" t="str">
        <f t="shared" si="180"/>
        <v/>
      </c>
      <c r="AW521" s="170" t="str">
        <f t="shared" si="181"/>
        <v>Anteil Nicht-KWK</v>
      </c>
      <c r="AX521" s="169" t="str">
        <f t="shared" si="182"/>
        <v/>
      </c>
      <c r="AY521" t="str">
        <f t="shared" si="183"/>
        <v/>
      </c>
      <c r="AZ521" t="str">
        <f t="shared" si="184"/>
        <v/>
      </c>
    </row>
    <row r="522" spans="1:52" x14ac:dyDescent="0.35">
      <c r="A522" s="497" t="s">
        <v>995</v>
      </c>
      <c r="B522" s="13" t="s">
        <v>5547</v>
      </c>
      <c r="C522" s="13" t="s">
        <v>4808</v>
      </c>
      <c r="D522" s="13" t="s">
        <v>7121</v>
      </c>
      <c r="E522" s="13" t="s">
        <v>4811</v>
      </c>
      <c r="F522" s="373">
        <f t="shared" si="191"/>
        <v>20.9</v>
      </c>
      <c r="G522" s="430">
        <v>20.9</v>
      </c>
      <c r="H522" s="399">
        <f t="shared" si="192"/>
        <v>16.72</v>
      </c>
      <c r="I522" s="576"/>
      <c r="J522" s="549" t="s">
        <v>5804</v>
      </c>
      <c r="K522" s="11"/>
      <c r="M522" s="37">
        <f t="shared" si="193"/>
        <v>20.9</v>
      </c>
      <c r="N522" s="29">
        <v>9.9</v>
      </c>
      <c r="O522" s="149" t="s">
        <v>1017</v>
      </c>
      <c r="P522" s="144"/>
      <c r="Q522" s="145"/>
      <c r="R522" s="145"/>
      <c r="S522" s="145" t="s">
        <v>4179</v>
      </c>
      <c r="T522" t="s">
        <v>4179</v>
      </c>
      <c r="U522" s="146"/>
      <c r="V522" s="145"/>
      <c r="W522" s="147"/>
      <c r="X522" s="147"/>
      <c r="Y522" s="145"/>
      <c r="Z522" s="147"/>
      <c r="AA522" s="145"/>
      <c r="AB522" s="145" t="s">
        <v>1017</v>
      </c>
      <c r="AC522" s="147"/>
      <c r="AD522" s="145"/>
      <c r="AE522" s="148"/>
      <c r="AF522" s="147"/>
      <c r="AG522" s="147"/>
      <c r="AH522" s="166" t="str">
        <f t="shared" si="198"/>
        <v/>
      </c>
      <c r="AI522" s="168" t="str">
        <f t="shared" si="185"/>
        <v/>
      </c>
      <c r="AJ522" s="168" t="str">
        <f t="shared" si="186"/>
        <v/>
      </c>
      <c r="AK522" s="168" t="str">
        <f t="shared" si="187"/>
        <v/>
      </c>
      <c r="AL522" s="168" t="str">
        <f t="shared" si="188"/>
        <v/>
      </c>
      <c r="AM522" s="168" t="str">
        <f t="shared" si="189"/>
        <v/>
      </c>
      <c r="AN522" s="167" t="str">
        <f t="shared" si="172"/>
        <v/>
      </c>
      <c r="AO522" s="167" t="str">
        <f t="shared" si="173"/>
        <v/>
      </c>
      <c r="AP522" s="167" t="str">
        <f t="shared" si="174"/>
        <v/>
      </c>
      <c r="AQ522" s="169" t="str">
        <f t="shared" si="175"/>
        <v/>
      </c>
      <c r="AR522" s="170" t="str">
        <f t="shared" si="176"/>
        <v>BiK82LKWK---04</v>
      </c>
      <c r="AS522" s="169" t="str">
        <f t="shared" si="177"/>
        <v/>
      </c>
      <c r="AT522">
        <f t="shared" si="178"/>
        <v>14</v>
      </c>
      <c r="AU522" s="170" t="str">
        <f t="shared" si="179"/>
        <v>0,15-0,5 MW, Bonusregeln L und KWK</v>
      </c>
      <c r="AV522" s="169" t="str">
        <f t="shared" si="180"/>
        <v/>
      </c>
      <c r="AW522" s="170" t="str">
        <f t="shared" si="181"/>
        <v>Anteil KWK</v>
      </c>
      <c r="AX522" s="169" t="str">
        <f t="shared" si="182"/>
        <v/>
      </c>
      <c r="AY522" t="str">
        <f t="shared" si="183"/>
        <v/>
      </c>
      <c r="AZ522" t="str">
        <f t="shared" si="184"/>
        <v/>
      </c>
    </row>
    <row r="523" spans="1:52" x14ac:dyDescent="0.35">
      <c r="A523" s="497" t="s">
        <v>996</v>
      </c>
      <c r="B523" s="13" t="s">
        <v>5547</v>
      </c>
      <c r="C523" s="13" t="s">
        <v>4808</v>
      </c>
      <c r="D523" s="13" t="s">
        <v>7054</v>
      </c>
      <c r="E523" s="13" t="s">
        <v>4330</v>
      </c>
      <c r="F523" s="373">
        <f t="shared" si="191"/>
        <v>21.9</v>
      </c>
      <c r="G523" s="430">
        <v>21.9</v>
      </c>
      <c r="H523" s="399">
        <f t="shared" si="192"/>
        <v>17.52</v>
      </c>
      <c r="I523" s="576"/>
      <c r="J523" s="549" t="s">
        <v>5804</v>
      </c>
      <c r="K523" s="11"/>
      <c r="M523" s="37">
        <f t="shared" si="193"/>
        <v>21.9</v>
      </c>
      <c r="N523" s="29">
        <v>9.9</v>
      </c>
      <c r="O523" s="149"/>
      <c r="P523" s="145" t="s">
        <v>1017</v>
      </c>
      <c r="Q523" s="145"/>
      <c r="R523" s="145"/>
      <c r="S523" s="145" t="s">
        <v>4179</v>
      </c>
      <c r="T523" t="s">
        <v>4179</v>
      </c>
      <c r="U523" s="146"/>
      <c r="V523" s="145"/>
      <c r="W523" s="147"/>
      <c r="X523" s="147"/>
      <c r="Y523" s="145"/>
      <c r="Z523" s="147"/>
      <c r="AA523" s="145"/>
      <c r="AB523" s="145" t="s">
        <v>1017</v>
      </c>
      <c r="AC523" s="147"/>
      <c r="AD523" s="145"/>
      <c r="AE523" s="148"/>
      <c r="AF523" s="147"/>
      <c r="AG523" s="147"/>
      <c r="AH523" s="166" t="str">
        <f t="shared" si="198"/>
        <v/>
      </c>
      <c r="AI523" s="168" t="str">
        <f t="shared" si="185"/>
        <v/>
      </c>
      <c r="AJ523" s="168" t="str">
        <f t="shared" si="186"/>
        <v/>
      </c>
      <c r="AK523" s="168" t="str">
        <f t="shared" si="187"/>
        <v/>
      </c>
      <c r="AL523" s="168" t="str">
        <f t="shared" si="188"/>
        <v/>
      </c>
      <c r="AM523" s="168" t="str">
        <f t="shared" si="189"/>
        <v/>
      </c>
      <c r="AN523" s="167" t="str">
        <f t="shared" si="172"/>
        <v/>
      </c>
      <c r="AO523" s="167" t="str">
        <f t="shared" si="173"/>
        <v/>
      </c>
      <c r="AP523" s="167" t="str">
        <f t="shared" si="174"/>
        <v/>
      </c>
      <c r="AQ523" s="169" t="str">
        <f t="shared" si="175"/>
        <v/>
      </c>
      <c r="AR523" s="170" t="str">
        <f t="shared" si="176"/>
        <v>BiK82LKA3---04</v>
      </c>
      <c r="AS523" s="169" t="str">
        <f t="shared" si="177"/>
        <v/>
      </c>
      <c r="AT523">
        <f t="shared" si="178"/>
        <v>14</v>
      </c>
      <c r="AU523" s="170" t="str">
        <f t="shared" si="179"/>
        <v>0,15-0,5 MW, Bonusregeln L und K wenn Anlage 3 erfüllt</v>
      </c>
      <c r="AV523" s="169" t="str">
        <f t="shared" si="180"/>
        <v/>
      </c>
      <c r="AW523" s="170" t="str">
        <f t="shared" si="181"/>
        <v>Anteil KWK gemäß Anlage 3</v>
      </c>
      <c r="AX523" s="169" t="str">
        <f t="shared" si="182"/>
        <v/>
      </c>
      <c r="AY523" t="str">
        <f t="shared" si="183"/>
        <v/>
      </c>
      <c r="AZ523" t="str">
        <f t="shared" si="184"/>
        <v/>
      </c>
    </row>
    <row r="524" spans="1:52" x14ac:dyDescent="0.35">
      <c r="A524" s="497" t="s">
        <v>997</v>
      </c>
      <c r="B524" s="13" t="s">
        <v>5547</v>
      </c>
      <c r="C524" s="13" t="s">
        <v>4808</v>
      </c>
      <c r="D524" s="13" t="s">
        <v>7055</v>
      </c>
      <c r="E524" s="13" t="s">
        <v>674</v>
      </c>
      <c r="F524" s="373">
        <f t="shared" si="191"/>
        <v>21.9</v>
      </c>
      <c r="G524" s="430">
        <v>21.9</v>
      </c>
      <c r="H524" s="399">
        <f t="shared" si="192"/>
        <v>17.52</v>
      </c>
      <c r="I524" s="576"/>
      <c r="J524" s="549" t="s">
        <v>5804</v>
      </c>
      <c r="K524" s="11"/>
      <c r="M524" s="37">
        <f t="shared" si="193"/>
        <v>21.9</v>
      </c>
      <c r="N524" s="29">
        <v>9.9</v>
      </c>
      <c r="O524" s="149"/>
      <c r="P524" s="144"/>
      <c r="Q524" s="145" t="s">
        <v>1017</v>
      </c>
      <c r="R524" s="145"/>
      <c r="S524" s="145" t="s">
        <v>4179</v>
      </c>
      <c r="T524" t="s">
        <v>4179</v>
      </c>
      <c r="U524" s="146"/>
      <c r="V524" s="145"/>
      <c r="W524" s="147"/>
      <c r="X524" s="147"/>
      <c r="Y524" s="145"/>
      <c r="Z524" s="147"/>
      <c r="AA524" s="145"/>
      <c r="AB524" s="145" t="s">
        <v>1017</v>
      </c>
      <c r="AC524" s="147"/>
      <c r="AD524" s="145"/>
      <c r="AE524" s="148"/>
      <c r="AF524" s="147"/>
      <c r="AG524" s="147"/>
      <c r="AH524" s="166" t="str">
        <f t="shared" si="198"/>
        <v/>
      </c>
      <c r="AI524" s="168" t="str">
        <f t="shared" si="185"/>
        <v/>
      </c>
      <c r="AJ524" s="168" t="str">
        <f t="shared" si="186"/>
        <v/>
      </c>
      <c r="AK524" s="168" t="str">
        <f t="shared" si="187"/>
        <v/>
      </c>
      <c r="AL524" s="168" t="str">
        <f t="shared" si="188"/>
        <v/>
      </c>
      <c r="AM524" s="168" t="str">
        <f t="shared" si="189"/>
        <v/>
      </c>
      <c r="AN524" s="167" t="str">
        <f t="shared" si="172"/>
        <v/>
      </c>
      <c r="AO524" s="167" t="str">
        <f t="shared" si="173"/>
        <v/>
      </c>
      <c r="AP524" s="167" t="str">
        <f t="shared" si="174"/>
        <v/>
      </c>
      <c r="AQ524" s="169" t="str">
        <f t="shared" si="175"/>
        <v/>
      </c>
      <c r="AR524" s="170" t="str">
        <f t="shared" si="176"/>
        <v>BiK82LK09---04</v>
      </c>
      <c r="AS524" s="169" t="str">
        <f t="shared" si="177"/>
        <v/>
      </c>
      <c r="AT524">
        <f t="shared" si="178"/>
        <v>14</v>
      </c>
      <c r="AU524" s="170" t="str">
        <f t="shared" si="179"/>
        <v>0,15-0,5 MW, Bonusregeln L und K erstmals 2009</v>
      </c>
      <c r="AV524" s="169" t="str">
        <f t="shared" si="180"/>
        <v/>
      </c>
      <c r="AW524" s="170" t="str">
        <f t="shared" si="181"/>
        <v>Anteil KWK, erstmals 2009</v>
      </c>
      <c r="AX524" s="169" t="str">
        <f t="shared" si="182"/>
        <v/>
      </c>
      <c r="AY524" t="str">
        <f t="shared" si="183"/>
        <v/>
      </c>
      <c r="AZ524" t="str">
        <f t="shared" si="184"/>
        <v/>
      </c>
    </row>
    <row r="525" spans="1:52" x14ac:dyDescent="0.35">
      <c r="A525" s="497" t="s">
        <v>1453</v>
      </c>
      <c r="B525" s="13" t="s">
        <v>5547</v>
      </c>
      <c r="C525" s="13" t="s">
        <v>4808</v>
      </c>
      <c r="D525" s="13" t="s">
        <v>7056</v>
      </c>
      <c r="E525" s="13" t="s">
        <v>3566</v>
      </c>
      <c r="F525" s="373">
        <f t="shared" si="191"/>
        <v>21.87</v>
      </c>
      <c r="G525" s="430">
        <v>21.87</v>
      </c>
      <c r="H525" s="399">
        <f t="shared" si="192"/>
        <v>17.5</v>
      </c>
      <c r="I525" s="576"/>
      <c r="J525" s="549" t="s">
        <v>5804</v>
      </c>
      <c r="K525" s="11"/>
      <c r="M525" s="37">
        <f t="shared" si="193"/>
        <v>21.87</v>
      </c>
      <c r="N525" s="29">
        <v>9.9</v>
      </c>
      <c r="O525" s="149"/>
      <c r="P525" s="144"/>
      <c r="Q525" s="145"/>
      <c r="R525" s="145" t="s">
        <v>1017</v>
      </c>
      <c r="S525" s="145" t="s">
        <v>4179</v>
      </c>
      <c r="T525" t="s">
        <v>4179</v>
      </c>
      <c r="U525" s="146"/>
      <c r="V525" s="145"/>
      <c r="W525" s="147"/>
      <c r="X525" s="147"/>
      <c r="Y525" s="145"/>
      <c r="Z525" s="147"/>
      <c r="AA525" s="145"/>
      <c r="AB525" s="145" t="s">
        <v>1017</v>
      </c>
      <c r="AC525" s="147"/>
      <c r="AD525" s="145"/>
      <c r="AE525" s="148"/>
      <c r="AF525" s="147"/>
      <c r="AG525" s="147"/>
      <c r="AH525" s="166" t="str">
        <f t="shared" si="198"/>
        <v>2010</v>
      </c>
      <c r="AI525" s="168" t="str">
        <f t="shared" si="185"/>
        <v/>
      </c>
      <c r="AJ525" s="168" t="str">
        <f t="shared" si="186"/>
        <v/>
      </c>
      <c r="AK525" s="168" t="str">
        <f t="shared" si="187"/>
        <v/>
      </c>
      <c r="AL525" s="168" t="str">
        <f t="shared" si="188"/>
        <v/>
      </c>
      <c r="AM525" s="168" t="str">
        <f t="shared" si="189"/>
        <v/>
      </c>
      <c r="AN525" s="167" t="str">
        <f t="shared" si="172"/>
        <v>2010</v>
      </c>
      <c r="AO525" s="167" t="str">
        <f t="shared" si="173"/>
        <v>2010</v>
      </c>
      <c r="AP525" s="167" t="str">
        <f t="shared" si="174"/>
        <v>2010</v>
      </c>
      <c r="AQ525" s="169" t="str">
        <f t="shared" si="175"/>
        <v/>
      </c>
      <c r="AR525" s="170" t="str">
        <f t="shared" si="176"/>
        <v>BiK82LK10---04</v>
      </c>
      <c r="AS525" s="169" t="str">
        <f t="shared" si="177"/>
        <v/>
      </c>
      <c r="AT525">
        <f t="shared" si="178"/>
        <v>14</v>
      </c>
      <c r="AU525" s="170" t="str">
        <f t="shared" si="179"/>
        <v>0,15-0,5 MW, Bonusregeln L und K erstmals 2010</v>
      </c>
      <c r="AV525" s="169" t="str">
        <f t="shared" si="180"/>
        <v/>
      </c>
      <c r="AW525" s="170" t="str">
        <f t="shared" si="181"/>
        <v>Anteil KWK, erstmals 2010</v>
      </c>
      <c r="AX525" s="169" t="str">
        <f t="shared" si="182"/>
        <v/>
      </c>
      <c r="AY525" t="str">
        <f t="shared" si="183"/>
        <v/>
      </c>
      <c r="AZ525" t="str">
        <f t="shared" si="184"/>
        <v/>
      </c>
    </row>
    <row r="526" spans="1:52" x14ac:dyDescent="0.35">
      <c r="A526" s="497" t="s">
        <v>5274</v>
      </c>
      <c r="B526" s="13" t="s">
        <v>5547</v>
      </c>
      <c r="C526" s="13" t="s">
        <v>4808</v>
      </c>
      <c r="D526" s="13" t="s">
        <v>7057</v>
      </c>
      <c r="E526" s="13" t="s">
        <v>3054</v>
      </c>
      <c r="F526" s="373">
        <f t="shared" si="191"/>
        <v>21.84</v>
      </c>
      <c r="G526" s="430">
        <v>21.84</v>
      </c>
      <c r="H526" s="399">
        <f t="shared" si="192"/>
        <v>17.47</v>
      </c>
      <c r="I526" s="576"/>
      <c r="J526" s="549" t="s">
        <v>5804</v>
      </c>
      <c r="K526" s="11"/>
      <c r="M526" s="37">
        <f t="shared" si="193"/>
        <v>21.84</v>
      </c>
      <c r="N526" s="29">
        <v>9.9</v>
      </c>
      <c r="O526" s="149"/>
      <c r="P526" s="144"/>
      <c r="Q526" s="145"/>
      <c r="R526" s="145"/>
      <c r="S526" s="145" t="s">
        <v>1017</v>
      </c>
      <c r="T526" t="s">
        <v>4179</v>
      </c>
      <c r="U526" s="146"/>
      <c r="V526" s="145"/>
      <c r="W526" s="147"/>
      <c r="X526" s="147"/>
      <c r="Y526" s="145"/>
      <c r="Z526" s="147"/>
      <c r="AA526" s="145"/>
      <c r="AB526" s="145" t="s">
        <v>1017</v>
      </c>
      <c r="AC526" s="147"/>
      <c r="AD526" s="145"/>
      <c r="AE526" s="148"/>
      <c r="AF526" s="147"/>
      <c r="AG526" s="147"/>
      <c r="AH526" s="166" t="str">
        <f t="shared" si="198"/>
        <v>2011</v>
      </c>
      <c r="AI526" s="168" t="str">
        <f t="shared" si="185"/>
        <v/>
      </c>
      <c r="AJ526" s="168" t="str">
        <f t="shared" si="186"/>
        <v/>
      </c>
      <c r="AK526" s="168" t="str">
        <f t="shared" si="187"/>
        <v/>
      </c>
      <c r="AL526" s="168" t="str">
        <f t="shared" si="188"/>
        <v/>
      </c>
      <c r="AM526" s="168" t="str">
        <f t="shared" si="189"/>
        <v/>
      </c>
      <c r="AN526" s="167" t="str">
        <f t="shared" si="172"/>
        <v>2011</v>
      </c>
      <c r="AO526" s="167" t="str">
        <f t="shared" si="173"/>
        <v>2011</v>
      </c>
      <c r="AP526" s="167" t="str">
        <f t="shared" si="174"/>
        <v>2011</v>
      </c>
      <c r="AQ526" s="169" t="str">
        <f t="shared" si="175"/>
        <v/>
      </c>
      <c r="AR526" s="170" t="str">
        <f t="shared" si="176"/>
        <v>BiK82LK11---04</v>
      </c>
      <c r="AS526" s="169" t="str">
        <f t="shared" si="177"/>
        <v/>
      </c>
      <c r="AT526">
        <f t="shared" si="178"/>
        <v>14</v>
      </c>
      <c r="AU526" s="170" t="str">
        <f t="shared" si="179"/>
        <v>0,15-0,5 MW, Bonusregeln L und K erstmals 2011</v>
      </c>
      <c r="AV526" s="169" t="str">
        <f t="shared" si="180"/>
        <v/>
      </c>
      <c r="AW526" s="170" t="str">
        <f t="shared" si="181"/>
        <v>Anteil KWK, erstmals 2011</v>
      </c>
      <c r="AX526" s="169" t="str">
        <f t="shared" si="182"/>
        <v/>
      </c>
      <c r="AY526" t="str">
        <f t="shared" si="183"/>
        <v>x</v>
      </c>
      <c r="AZ526" t="str">
        <f t="shared" si="184"/>
        <v/>
      </c>
    </row>
    <row r="527" spans="1:52" x14ac:dyDescent="0.35">
      <c r="A527" s="511" t="s">
        <v>1525</v>
      </c>
      <c r="B527" s="173" t="s">
        <v>5547</v>
      </c>
      <c r="C527" s="173" t="s">
        <v>4808</v>
      </c>
      <c r="D527" s="173" t="s">
        <v>7058</v>
      </c>
      <c r="E527" s="173" t="s">
        <v>1980</v>
      </c>
      <c r="F527" s="374">
        <f t="shared" si="191"/>
        <v>21.810000000000002</v>
      </c>
      <c r="G527" s="431">
        <v>21.810000000000002</v>
      </c>
      <c r="H527" s="400">
        <f t="shared" si="192"/>
        <v>17.45</v>
      </c>
      <c r="I527" s="577"/>
      <c r="J527" s="549" t="s">
        <v>5804</v>
      </c>
      <c r="K527" s="11"/>
      <c r="M527" s="37">
        <f t="shared" si="193"/>
        <v>21.810000000000002</v>
      </c>
      <c r="N527" s="29">
        <v>9.9</v>
      </c>
      <c r="O527" s="149"/>
      <c r="P527" s="144"/>
      <c r="Q527" s="145"/>
      <c r="R527" s="145"/>
      <c r="S527" s="145" t="s">
        <v>4179</v>
      </c>
      <c r="T527" t="s">
        <v>1017</v>
      </c>
      <c r="U527" s="146"/>
      <c r="V527" s="145"/>
      <c r="W527" s="147"/>
      <c r="X527" s="147"/>
      <c r="Y527" s="145"/>
      <c r="Z527" s="147"/>
      <c r="AA527" s="145"/>
      <c r="AB527" s="145" t="s">
        <v>1017</v>
      </c>
      <c r="AC527" s="147"/>
      <c r="AD527" s="145"/>
      <c r="AE527" s="148"/>
      <c r="AF527" s="147"/>
      <c r="AG527" s="147"/>
      <c r="AH527" s="171" t="s">
        <v>4178</v>
      </c>
      <c r="AI527" s="168" t="str">
        <f t="shared" si="185"/>
        <v/>
      </c>
      <c r="AJ527" s="168" t="str">
        <f t="shared" si="186"/>
        <v/>
      </c>
      <c r="AK527" s="168" t="str">
        <f t="shared" si="187"/>
        <v/>
      </c>
      <c r="AL527" s="168" t="str">
        <f t="shared" si="188"/>
        <v/>
      </c>
      <c r="AM527" s="168" t="str">
        <f t="shared" si="189"/>
        <v/>
      </c>
      <c r="AN527" s="167" t="str">
        <f t="shared" si="172"/>
        <v>2012</v>
      </c>
      <c r="AO527" s="167" t="str">
        <f t="shared" si="173"/>
        <v>2012</v>
      </c>
      <c r="AP527" s="167" t="str">
        <f t="shared" si="174"/>
        <v>2012</v>
      </c>
      <c r="AQ527" s="169" t="str">
        <f t="shared" si="175"/>
        <v/>
      </c>
      <c r="AR527" s="170" t="str">
        <f t="shared" si="176"/>
        <v>BiK82LK12---04</v>
      </c>
      <c r="AS527" s="169" t="str">
        <f t="shared" si="177"/>
        <v/>
      </c>
      <c r="AT527">
        <f t="shared" si="178"/>
        <v>14</v>
      </c>
      <c r="AU527" s="170" t="str">
        <f t="shared" si="179"/>
        <v>0,15-0,5 MW, Bonusregeln L und K erstmals 2012</v>
      </c>
      <c r="AV527" s="169" t="str">
        <f t="shared" si="180"/>
        <v/>
      </c>
      <c r="AW527" s="170" t="str">
        <f t="shared" si="181"/>
        <v>Anteil KWK, erstmals 2012</v>
      </c>
      <c r="AX527" s="169" t="str">
        <f t="shared" si="182"/>
        <v/>
      </c>
      <c r="AY527" t="str">
        <f t="shared" si="183"/>
        <v/>
      </c>
      <c r="AZ527" t="str">
        <f t="shared" si="184"/>
        <v>x</v>
      </c>
    </row>
    <row r="528" spans="1:52" x14ac:dyDescent="0.35">
      <c r="A528" s="497" t="s">
        <v>998</v>
      </c>
      <c r="B528" s="13" t="s">
        <v>5547</v>
      </c>
      <c r="C528" s="13" t="s">
        <v>4808</v>
      </c>
      <c r="D528" s="13" t="s">
        <v>7059</v>
      </c>
      <c r="E528" s="13" t="s">
        <v>4809</v>
      </c>
      <c r="F528" s="373">
        <f t="shared" si="191"/>
        <v>19.899999999999999</v>
      </c>
      <c r="G528" s="430">
        <v>19.899999999999999</v>
      </c>
      <c r="H528" s="399">
        <f t="shared" si="192"/>
        <v>15.92</v>
      </c>
      <c r="I528" s="576"/>
      <c r="J528" s="549" t="s">
        <v>5804</v>
      </c>
      <c r="K528" s="11"/>
      <c r="M528" s="37">
        <f t="shared" si="193"/>
        <v>19.899999999999999</v>
      </c>
      <c r="N528" s="29">
        <v>9.9</v>
      </c>
      <c r="O528" s="149"/>
      <c r="P528" s="144"/>
      <c r="Q528" s="145"/>
      <c r="R528" s="145"/>
      <c r="S528" s="145" t="s">
        <v>4179</v>
      </c>
      <c r="T528" t="s">
        <v>4179</v>
      </c>
      <c r="U528" s="146" t="s">
        <v>1017</v>
      </c>
      <c r="V528" s="145"/>
      <c r="W528" s="147"/>
      <c r="X528" s="147"/>
      <c r="Y528" s="145"/>
      <c r="Z528" s="147"/>
      <c r="AA528" s="145"/>
      <c r="AB528" s="145" t="s">
        <v>1017</v>
      </c>
      <c r="AC528" s="147"/>
      <c r="AD528" s="145"/>
      <c r="AE528" s="148"/>
      <c r="AF528" s="147"/>
      <c r="AG528" s="147"/>
      <c r="AH528" s="166" t="str">
        <f t="shared" ref="AH528:AH533" si="199">IF(ISERROR(SEARCH("K erstmals 201",D528)),"",RIGHT(D528,4))</f>
        <v/>
      </c>
      <c r="AI528" s="168" t="str">
        <f t="shared" si="185"/>
        <v/>
      </c>
      <c r="AJ528" s="168" t="str">
        <f t="shared" si="186"/>
        <v/>
      </c>
      <c r="AK528" s="168" t="str">
        <f t="shared" si="187"/>
        <v/>
      </c>
      <c r="AL528" s="168" t="str">
        <f t="shared" si="188"/>
        <v/>
      </c>
      <c r="AM528" s="168" t="str">
        <f t="shared" si="189"/>
        <v/>
      </c>
      <c r="AN528" s="167" t="str">
        <f t="shared" si="172"/>
        <v/>
      </c>
      <c r="AO528" s="167" t="str">
        <f t="shared" si="173"/>
        <v/>
      </c>
      <c r="AP528" s="167" t="str">
        <f t="shared" si="174"/>
        <v/>
      </c>
      <c r="AQ528" s="169" t="str">
        <f t="shared" si="175"/>
        <v/>
      </c>
      <c r="AR528" s="170" t="str">
        <f t="shared" si="176"/>
        <v>BiK82Ly-----04</v>
      </c>
      <c r="AS528" s="169" t="str">
        <f t="shared" si="177"/>
        <v/>
      </c>
      <c r="AT528">
        <f t="shared" si="178"/>
        <v>14</v>
      </c>
      <c r="AU528" s="170" t="str">
        <f t="shared" si="179"/>
        <v>0,15-0,5 MW, Bonusregeln L, y</v>
      </c>
      <c r="AV528" s="169" t="str">
        <f t="shared" si="180"/>
        <v/>
      </c>
      <c r="AW528" s="170" t="str">
        <f t="shared" si="181"/>
        <v>Anteil Nicht-KWK</v>
      </c>
      <c r="AX528" s="169" t="str">
        <f t="shared" si="182"/>
        <v/>
      </c>
      <c r="AY528" t="str">
        <f t="shared" si="183"/>
        <v/>
      </c>
      <c r="AZ528" t="str">
        <f t="shared" si="184"/>
        <v/>
      </c>
    </row>
    <row r="529" spans="1:52" x14ac:dyDescent="0.35">
      <c r="A529" s="497" t="s">
        <v>999</v>
      </c>
      <c r="B529" s="13" t="s">
        <v>5547</v>
      </c>
      <c r="C529" s="13" t="s">
        <v>4808</v>
      </c>
      <c r="D529" s="13" t="s">
        <v>7122</v>
      </c>
      <c r="E529" s="13" t="s">
        <v>4811</v>
      </c>
      <c r="F529" s="373">
        <f t="shared" si="191"/>
        <v>21.9</v>
      </c>
      <c r="G529" s="430">
        <v>21.9</v>
      </c>
      <c r="H529" s="399">
        <f t="shared" si="192"/>
        <v>17.52</v>
      </c>
      <c r="I529" s="576"/>
      <c r="J529" s="549" t="s">
        <v>5804</v>
      </c>
      <c r="K529" s="11"/>
      <c r="M529" s="37">
        <f t="shared" si="193"/>
        <v>21.9</v>
      </c>
      <c r="N529" s="29">
        <v>9.9</v>
      </c>
      <c r="O529" s="149" t="s">
        <v>1017</v>
      </c>
      <c r="P529" s="144"/>
      <c r="Q529" s="145"/>
      <c r="R529" s="145"/>
      <c r="S529" s="145" t="s">
        <v>4179</v>
      </c>
      <c r="T529" t="s">
        <v>4179</v>
      </c>
      <c r="U529" s="146" t="s">
        <v>1017</v>
      </c>
      <c r="V529" s="145"/>
      <c r="W529" s="147"/>
      <c r="X529" s="147"/>
      <c r="Y529" s="145"/>
      <c r="Z529" s="147"/>
      <c r="AA529" s="145"/>
      <c r="AB529" s="145" t="s">
        <v>1017</v>
      </c>
      <c r="AC529" s="147"/>
      <c r="AD529" s="145"/>
      <c r="AE529" s="148"/>
      <c r="AF529" s="147"/>
      <c r="AG529" s="147"/>
      <c r="AH529" s="166" t="str">
        <f t="shared" si="199"/>
        <v/>
      </c>
      <c r="AI529" s="168" t="str">
        <f t="shared" si="185"/>
        <v/>
      </c>
      <c r="AJ529" s="168" t="str">
        <f t="shared" si="186"/>
        <v/>
      </c>
      <c r="AK529" s="168" t="str">
        <f t="shared" si="187"/>
        <v/>
      </c>
      <c r="AL529" s="168" t="str">
        <f t="shared" si="188"/>
        <v/>
      </c>
      <c r="AM529" s="168" t="str">
        <f t="shared" si="189"/>
        <v/>
      </c>
      <c r="AN529" s="167" t="str">
        <f t="shared" si="172"/>
        <v/>
      </c>
      <c r="AO529" s="167" t="str">
        <f t="shared" si="173"/>
        <v/>
      </c>
      <c r="AP529" s="167" t="str">
        <f t="shared" si="174"/>
        <v/>
      </c>
      <c r="AQ529" s="169" t="str">
        <f t="shared" si="175"/>
        <v/>
      </c>
      <c r="AR529" s="170" t="str">
        <f t="shared" si="176"/>
        <v>BiK82LKWKy--04</v>
      </c>
      <c r="AS529" s="169" t="str">
        <f t="shared" si="177"/>
        <v/>
      </c>
      <c r="AT529">
        <f t="shared" si="178"/>
        <v>14</v>
      </c>
      <c r="AU529" s="170" t="str">
        <f t="shared" si="179"/>
        <v>0,15-0,5 MW, Bonusregeln L, y und KWK</v>
      </c>
      <c r="AV529" s="169" t="str">
        <f t="shared" si="180"/>
        <v/>
      </c>
      <c r="AW529" s="170" t="str">
        <f t="shared" si="181"/>
        <v>Anteil KWK</v>
      </c>
      <c r="AX529" s="169" t="str">
        <f t="shared" si="182"/>
        <v/>
      </c>
      <c r="AY529" t="str">
        <f t="shared" si="183"/>
        <v/>
      </c>
      <c r="AZ529" t="str">
        <f t="shared" si="184"/>
        <v/>
      </c>
    </row>
    <row r="530" spans="1:52" x14ac:dyDescent="0.35">
      <c r="A530" s="497" t="s">
        <v>1000</v>
      </c>
      <c r="B530" s="13" t="s">
        <v>5547</v>
      </c>
      <c r="C530" s="13" t="s">
        <v>4808</v>
      </c>
      <c r="D530" s="88" t="s">
        <v>7060</v>
      </c>
      <c r="E530" s="13" t="s">
        <v>4330</v>
      </c>
      <c r="F530" s="373">
        <f t="shared" si="191"/>
        <v>22.9</v>
      </c>
      <c r="G530" s="430">
        <v>22.9</v>
      </c>
      <c r="H530" s="399">
        <f t="shared" si="192"/>
        <v>18.32</v>
      </c>
      <c r="I530" s="576"/>
      <c r="J530" s="549" t="s">
        <v>5804</v>
      </c>
      <c r="K530" s="11"/>
      <c r="M530" s="37">
        <f t="shared" si="193"/>
        <v>22.9</v>
      </c>
      <c r="N530" s="29">
        <v>9.9</v>
      </c>
      <c r="O530" s="149"/>
      <c r="P530" s="145" t="s">
        <v>1017</v>
      </c>
      <c r="Q530" s="145"/>
      <c r="R530" s="145"/>
      <c r="S530" s="145" t="s">
        <v>4179</v>
      </c>
      <c r="T530" t="s">
        <v>4179</v>
      </c>
      <c r="U530" s="146" t="s">
        <v>1017</v>
      </c>
      <c r="V530" s="145"/>
      <c r="W530" s="147"/>
      <c r="X530" s="147"/>
      <c r="Y530" s="145"/>
      <c r="Z530" s="147"/>
      <c r="AA530" s="145"/>
      <c r="AB530" s="145" t="s">
        <v>1017</v>
      </c>
      <c r="AC530" s="147"/>
      <c r="AD530" s="145"/>
      <c r="AE530" s="148"/>
      <c r="AF530" s="147"/>
      <c r="AG530" s="147"/>
      <c r="AH530" s="166" t="str">
        <f t="shared" si="199"/>
        <v/>
      </c>
      <c r="AI530" s="168" t="str">
        <f t="shared" si="185"/>
        <v/>
      </c>
      <c r="AJ530" s="168" t="str">
        <f t="shared" si="186"/>
        <v/>
      </c>
      <c r="AK530" s="168" t="str">
        <f t="shared" si="187"/>
        <v/>
      </c>
      <c r="AL530" s="168" t="str">
        <f t="shared" si="188"/>
        <v/>
      </c>
      <c r="AM530" s="168" t="str">
        <f t="shared" si="189"/>
        <v/>
      </c>
      <c r="AN530" s="167" t="str">
        <f t="shared" si="172"/>
        <v/>
      </c>
      <c r="AO530" s="167" t="str">
        <f t="shared" si="173"/>
        <v/>
      </c>
      <c r="AP530" s="167" t="str">
        <f t="shared" si="174"/>
        <v/>
      </c>
      <c r="AQ530" s="169" t="str">
        <f t="shared" si="175"/>
        <v/>
      </c>
      <c r="AR530" s="170" t="str">
        <f t="shared" si="176"/>
        <v>BiK82LKA3y--04</v>
      </c>
      <c r="AS530" s="169" t="str">
        <f t="shared" si="177"/>
        <v/>
      </c>
      <c r="AT530">
        <f t="shared" si="178"/>
        <v>14</v>
      </c>
      <c r="AU530" s="170" t="str">
        <f t="shared" si="179"/>
        <v>0,15-0,5 MW, Bonusregeln L, y und K wenn Anlage 3 erfüllt</v>
      </c>
      <c r="AV530" s="169" t="str">
        <f t="shared" si="180"/>
        <v/>
      </c>
      <c r="AW530" s="170" t="str">
        <f t="shared" si="181"/>
        <v>Anteil KWK gemäß Anlage 3</v>
      </c>
      <c r="AX530" s="169" t="str">
        <f t="shared" si="182"/>
        <v/>
      </c>
      <c r="AY530" t="str">
        <f t="shared" si="183"/>
        <v/>
      </c>
      <c r="AZ530" t="str">
        <f t="shared" si="184"/>
        <v/>
      </c>
    </row>
    <row r="531" spans="1:52" x14ac:dyDescent="0.35">
      <c r="A531" s="497" t="s">
        <v>1001</v>
      </c>
      <c r="B531" s="13" t="s">
        <v>5547</v>
      </c>
      <c r="C531" s="13" t="s">
        <v>4808</v>
      </c>
      <c r="D531" s="13" t="s">
        <v>7061</v>
      </c>
      <c r="E531" s="13" t="s">
        <v>674</v>
      </c>
      <c r="F531" s="373">
        <f t="shared" si="191"/>
        <v>22.9</v>
      </c>
      <c r="G531" s="430">
        <v>22.9</v>
      </c>
      <c r="H531" s="399">
        <f t="shared" si="192"/>
        <v>18.32</v>
      </c>
      <c r="I531" s="576"/>
      <c r="J531" s="549" t="s">
        <v>5804</v>
      </c>
      <c r="K531" s="11"/>
      <c r="M531" s="37">
        <f t="shared" si="193"/>
        <v>22.9</v>
      </c>
      <c r="N531" s="29">
        <v>9.9</v>
      </c>
      <c r="O531" s="149"/>
      <c r="P531" s="144"/>
      <c r="Q531" s="145" t="s">
        <v>1017</v>
      </c>
      <c r="R531" s="145"/>
      <c r="S531" s="145" t="s">
        <v>4179</v>
      </c>
      <c r="T531" t="s">
        <v>4179</v>
      </c>
      <c r="U531" s="146" t="s">
        <v>1017</v>
      </c>
      <c r="V531" s="145"/>
      <c r="W531" s="147"/>
      <c r="X531" s="147"/>
      <c r="Y531" s="145"/>
      <c r="Z531" s="147"/>
      <c r="AA531" s="145"/>
      <c r="AB531" s="145" t="s">
        <v>1017</v>
      </c>
      <c r="AC531" s="147"/>
      <c r="AD531" s="145"/>
      <c r="AE531" s="148"/>
      <c r="AF531" s="147"/>
      <c r="AG531" s="147"/>
      <c r="AH531" s="166" t="str">
        <f t="shared" si="199"/>
        <v/>
      </c>
      <c r="AI531" s="168" t="str">
        <f t="shared" si="185"/>
        <v/>
      </c>
      <c r="AJ531" s="168" t="str">
        <f t="shared" si="186"/>
        <v/>
      </c>
      <c r="AK531" s="168" t="str">
        <f t="shared" si="187"/>
        <v/>
      </c>
      <c r="AL531" s="168" t="str">
        <f t="shared" si="188"/>
        <v/>
      </c>
      <c r="AM531" s="168" t="str">
        <f t="shared" si="189"/>
        <v/>
      </c>
      <c r="AN531" s="167" t="str">
        <f t="shared" si="172"/>
        <v/>
      </c>
      <c r="AO531" s="167" t="str">
        <f t="shared" si="173"/>
        <v/>
      </c>
      <c r="AP531" s="167" t="str">
        <f t="shared" si="174"/>
        <v/>
      </c>
      <c r="AQ531" s="169" t="str">
        <f t="shared" si="175"/>
        <v/>
      </c>
      <c r="AR531" s="170" t="str">
        <f t="shared" si="176"/>
        <v>BiK82LK09y--04</v>
      </c>
      <c r="AS531" s="169" t="str">
        <f t="shared" si="177"/>
        <v/>
      </c>
      <c r="AT531">
        <f t="shared" si="178"/>
        <v>14</v>
      </c>
      <c r="AU531" s="170" t="str">
        <f t="shared" si="179"/>
        <v>0,15-0,5 MW, Bonusregeln L, y und K erstmals 2009</v>
      </c>
      <c r="AV531" s="169" t="str">
        <f t="shared" si="180"/>
        <v/>
      </c>
      <c r="AW531" s="170" t="str">
        <f t="shared" si="181"/>
        <v>Anteil KWK, erstmals 2009</v>
      </c>
      <c r="AX531" s="169" t="str">
        <f t="shared" si="182"/>
        <v/>
      </c>
      <c r="AY531" t="str">
        <f t="shared" si="183"/>
        <v/>
      </c>
      <c r="AZ531" t="str">
        <f t="shared" si="184"/>
        <v/>
      </c>
    </row>
    <row r="532" spans="1:52" x14ac:dyDescent="0.35">
      <c r="A532" s="497" t="s">
        <v>1454</v>
      </c>
      <c r="B532" s="13" t="s">
        <v>5547</v>
      </c>
      <c r="C532" s="13" t="s">
        <v>4808</v>
      </c>
      <c r="D532" s="13" t="s">
        <v>7062</v>
      </c>
      <c r="E532" s="13" t="s">
        <v>3566</v>
      </c>
      <c r="F532" s="373">
        <f t="shared" si="191"/>
        <v>22.87</v>
      </c>
      <c r="G532" s="430">
        <v>22.87</v>
      </c>
      <c r="H532" s="399">
        <f t="shared" si="192"/>
        <v>18.3</v>
      </c>
      <c r="I532" s="576"/>
      <c r="J532" s="549" t="s">
        <v>5804</v>
      </c>
      <c r="K532" s="11"/>
      <c r="M532" s="37">
        <f t="shared" si="193"/>
        <v>22.87</v>
      </c>
      <c r="N532" s="29">
        <v>9.9</v>
      </c>
      <c r="O532" s="149"/>
      <c r="P532" s="144"/>
      <c r="Q532" s="145"/>
      <c r="R532" s="145" t="s">
        <v>1017</v>
      </c>
      <c r="S532" s="145" t="s">
        <v>4179</v>
      </c>
      <c r="T532" t="s">
        <v>4179</v>
      </c>
      <c r="U532" s="146" t="s">
        <v>1017</v>
      </c>
      <c r="V532" s="145"/>
      <c r="W532" s="147"/>
      <c r="X532" s="147"/>
      <c r="Y532" s="145"/>
      <c r="Z532" s="147"/>
      <c r="AA532" s="145"/>
      <c r="AB532" s="145" t="s">
        <v>1017</v>
      </c>
      <c r="AC532" s="147"/>
      <c r="AD532" s="145"/>
      <c r="AE532" s="148"/>
      <c r="AF532" s="147"/>
      <c r="AG532" s="147"/>
      <c r="AH532" s="166" t="str">
        <f t="shared" si="199"/>
        <v>2010</v>
      </c>
      <c r="AI532" s="168" t="str">
        <f t="shared" si="185"/>
        <v/>
      </c>
      <c r="AJ532" s="168" t="str">
        <f t="shared" si="186"/>
        <v/>
      </c>
      <c r="AK532" s="168" t="str">
        <f t="shared" si="187"/>
        <v/>
      </c>
      <c r="AL532" s="168" t="str">
        <f t="shared" si="188"/>
        <v/>
      </c>
      <c r="AM532" s="168" t="str">
        <f t="shared" si="189"/>
        <v/>
      </c>
      <c r="AN532" s="167" t="str">
        <f t="shared" si="172"/>
        <v>2010</v>
      </c>
      <c r="AO532" s="167" t="str">
        <f t="shared" si="173"/>
        <v>2010</v>
      </c>
      <c r="AP532" s="167" t="str">
        <f t="shared" si="174"/>
        <v>2010</v>
      </c>
      <c r="AQ532" s="169" t="str">
        <f t="shared" si="175"/>
        <v/>
      </c>
      <c r="AR532" s="170" t="str">
        <f t="shared" si="176"/>
        <v>BiK82LK10y--04</v>
      </c>
      <c r="AS532" s="169" t="str">
        <f t="shared" si="177"/>
        <v/>
      </c>
      <c r="AT532">
        <f t="shared" si="178"/>
        <v>14</v>
      </c>
      <c r="AU532" s="170" t="str">
        <f t="shared" si="179"/>
        <v>0,15-0,5 MW, Bonusregeln L, y und K erstmals 2010</v>
      </c>
      <c r="AV532" s="169" t="str">
        <f t="shared" si="180"/>
        <v/>
      </c>
      <c r="AW532" s="170" t="str">
        <f t="shared" si="181"/>
        <v>Anteil KWK, erstmals 2010</v>
      </c>
      <c r="AX532" s="169" t="str">
        <f t="shared" si="182"/>
        <v/>
      </c>
      <c r="AY532" t="str">
        <f t="shared" si="183"/>
        <v/>
      </c>
      <c r="AZ532" t="str">
        <f t="shared" si="184"/>
        <v/>
      </c>
    </row>
    <row r="533" spans="1:52" x14ac:dyDescent="0.35">
      <c r="A533" s="497" t="s">
        <v>5275</v>
      </c>
      <c r="B533" s="13" t="s">
        <v>5547</v>
      </c>
      <c r="C533" s="13" t="s">
        <v>4808</v>
      </c>
      <c r="D533" s="13" t="s">
        <v>7063</v>
      </c>
      <c r="E533" s="13" t="s">
        <v>3054</v>
      </c>
      <c r="F533" s="373">
        <f t="shared" si="191"/>
        <v>22.84</v>
      </c>
      <c r="G533" s="430">
        <v>22.84</v>
      </c>
      <c r="H533" s="399">
        <f t="shared" si="192"/>
        <v>18.27</v>
      </c>
      <c r="I533" s="576"/>
      <c r="J533" s="549" t="s">
        <v>5804</v>
      </c>
      <c r="K533" s="11"/>
      <c r="M533" s="37">
        <f t="shared" si="193"/>
        <v>22.84</v>
      </c>
      <c r="N533" s="29">
        <v>9.9</v>
      </c>
      <c r="O533" s="149"/>
      <c r="P533" s="144"/>
      <c r="Q533" s="145"/>
      <c r="R533" s="145"/>
      <c r="S533" s="145" t="s">
        <v>1017</v>
      </c>
      <c r="T533" t="s">
        <v>4179</v>
      </c>
      <c r="U533" s="146" t="s">
        <v>1017</v>
      </c>
      <c r="V533" s="145"/>
      <c r="W533" s="147"/>
      <c r="X533" s="147"/>
      <c r="Y533" s="145"/>
      <c r="Z533" s="147"/>
      <c r="AA533" s="145"/>
      <c r="AB533" s="145" t="s">
        <v>1017</v>
      </c>
      <c r="AC533" s="147"/>
      <c r="AD533" s="145"/>
      <c r="AE533" s="148"/>
      <c r="AF533" s="147"/>
      <c r="AG533" s="147"/>
      <c r="AH533" s="166" t="str">
        <f t="shared" si="199"/>
        <v>2011</v>
      </c>
      <c r="AI533" s="168" t="str">
        <f t="shared" si="185"/>
        <v/>
      </c>
      <c r="AJ533" s="168" t="str">
        <f t="shared" si="186"/>
        <v/>
      </c>
      <c r="AK533" s="168" t="str">
        <f t="shared" si="187"/>
        <v/>
      </c>
      <c r="AL533" s="168" t="str">
        <f t="shared" si="188"/>
        <v/>
      </c>
      <c r="AM533" s="168" t="str">
        <f t="shared" si="189"/>
        <v/>
      </c>
      <c r="AN533" s="167" t="str">
        <f t="shared" si="172"/>
        <v>2011</v>
      </c>
      <c r="AO533" s="167" t="str">
        <f t="shared" si="173"/>
        <v>2011</v>
      </c>
      <c r="AP533" s="167" t="str">
        <f t="shared" si="174"/>
        <v>2011</v>
      </c>
      <c r="AQ533" s="169" t="str">
        <f t="shared" si="175"/>
        <v/>
      </c>
      <c r="AR533" s="170" t="str">
        <f t="shared" si="176"/>
        <v>BiK82LK11y--04</v>
      </c>
      <c r="AS533" s="169" t="str">
        <f t="shared" si="177"/>
        <v/>
      </c>
      <c r="AT533">
        <f t="shared" si="178"/>
        <v>14</v>
      </c>
      <c r="AU533" s="170" t="str">
        <f t="shared" si="179"/>
        <v>0,15-0,5 MW, Bonusregeln L, y und K erstmals 2011</v>
      </c>
      <c r="AV533" s="169" t="str">
        <f t="shared" si="180"/>
        <v/>
      </c>
      <c r="AW533" s="170" t="str">
        <f t="shared" si="181"/>
        <v>Anteil KWK, erstmals 2011</v>
      </c>
      <c r="AX533" s="169" t="str">
        <f t="shared" si="182"/>
        <v/>
      </c>
      <c r="AY533" t="str">
        <f t="shared" si="183"/>
        <v>x</v>
      </c>
      <c r="AZ533" t="str">
        <f t="shared" si="184"/>
        <v/>
      </c>
    </row>
    <row r="534" spans="1:52" x14ac:dyDescent="0.35">
      <c r="A534" s="511" t="s">
        <v>1526</v>
      </c>
      <c r="B534" s="173" t="s">
        <v>5547</v>
      </c>
      <c r="C534" s="173" t="s">
        <v>4808</v>
      </c>
      <c r="D534" s="173" t="s">
        <v>7064</v>
      </c>
      <c r="E534" s="173" t="s">
        <v>1980</v>
      </c>
      <c r="F534" s="374">
        <f t="shared" si="191"/>
        <v>22.810000000000002</v>
      </c>
      <c r="G534" s="431">
        <v>22.810000000000002</v>
      </c>
      <c r="H534" s="400">
        <f t="shared" si="192"/>
        <v>18.25</v>
      </c>
      <c r="I534" s="577"/>
      <c r="J534" s="549" t="s">
        <v>5804</v>
      </c>
      <c r="K534" s="11"/>
      <c r="M534" s="37">
        <f t="shared" si="193"/>
        <v>22.810000000000002</v>
      </c>
      <c r="N534" s="29">
        <v>9.9</v>
      </c>
      <c r="O534" s="149"/>
      <c r="P534" s="144"/>
      <c r="Q534" s="145"/>
      <c r="R534" s="145"/>
      <c r="S534" s="145" t="s">
        <v>4179</v>
      </c>
      <c r="T534" t="s">
        <v>1017</v>
      </c>
      <c r="U534" s="146" t="s">
        <v>1017</v>
      </c>
      <c r="V534" s="145"/>
      <c r="W534" s="147"/>
      <c r="X534" s="147"/>
      <c r="Y534" s="145"/>
      <c r="Z534" s="147"/>
      <c r="AA534" s="145"/>
      <c r="AB534" s="145" t="s">
        <v>1017</v>
      </c>
      <c r="AC534" s="147"/>
      <c r="AD534" s="145"/>
      <c r="AE534" s="148"/>
      <c r="AF534" s="147"/>
      <c r="AG534" s="147"/>
      <c r="AH534" s="171" t="s">
        <v>4178</v>
      </c>
      <c r="AI534" s="168" t="str">
        <f t="shared" si="185"/>
        <v/>
      </c>
      <c r="AJ534" s="168" t="str">
        <f t="shared" si="186"/>
        <v/>
      </c>
      <c r="AK534" s="168" t="str">
        <f t="shared" si="187"/>
        <v/>
      </c>
      <c r="AL534" s="168" t="str">
        <f t="shared" si="188"/>
        <v/>
      </c>
      <c r="AM534" s="168" t="str">
        <f t="shared" si="189"/>
        <v/>
      </c>
      <c r="AN534" s="167" t="str">
        <f t="shared" si="172"/>
        <v>2012</v>
      </c>
      <c r="AO534" s="167" t="str">
        <f t="shared" si="173"/>
        <v>2012</v>
      </c>
      <c r="AP534" s="167" t="str">
        <f t="shared" si="174"/>
        <v>2012</v>
      </c>
      <c r="AQ534" s="169" t="str">
        <f t="shared" si="175"/>
        <v/>
      </c>
      <c r="AR534" s="170" t="str">
        <f t="shared" si="176"/>
        <v>BiK82LK12y--04</v>
      </c>
      <c r="AS534" s="169" t="str">
        <f t="shared" si="177"/>
        <v/>
      </c>
      <c r="AT534">
        <f t="shared" si="178"/>
        <v>14</v>
      </c>
      <c r="AU534" s="170" t="str">
        <f t="shared" si="179"/>
        <v>0,15-0,5 MW, Bonusregeln L, y und K erstmals 2012</v>
      </c>
      <c r="AV534" s="169" t="str">
        <f t="shared" si="180"/>
        <v/>
      </c>
      <c r="AW534" s="170" t="str">
        <f t="shared" si="181"/>
        <v>Anteil KWK, erstmals 2012</v>
      </c>
      <c r="AX534" s="169" t="str">
        <f t="shared" si="182"/>
        <v/>
      </c>
      <c r="AY534" t="str">
        <f t="shared" si="183"/>
        <v/>
      </c>
      <c r="AZ534" t="str">
        <f t="shared" si="184"/>
        <v>x</v>
      </c>
    </row>
    <row r="535" spans="1:52" x14ac:dyDescent="0.35">
      <c r="A535" s="497" t="s">
        <v>1002</v>
      </c>
      <c r="B535" s="13" t="s">
        <v>5547</v>
      </c>
      <c r="C535" s="13" t="s">
        <v>4808</v>
      </c>
      <c r="D535" s="13" t="s">
        <v>7065</v>
      </c>
      <c r="E535" s="13" t="s">
        <v>4809</v>
      </c>
      <c r="F535" s="373">
        <f t="shared" si="191"/>
        <v>19.899999999999999</v>
      </c>
      <c r="G535" s="430">
        <v>19.899999999999999</v>
      </c>
      <c r="H535" s="399">
        <f t="shared" si="192"/>
        <v>15.92</v>
      </c>
      <c r="I535" s="576"/>
      <c r="J535" s="549" t="s">
        <v>5804</v>
      </c>
      <c r="K535" s="11"/>
      <c r="M535" s="37">
        <f t="shared" si="193"/>
        <v>19.899999999999999</v>
      </c>
      <c r="N535" s="29">
        <v>9.9</v>
      </c>
      <c r="O535" s="149"/>
      <c r="P535" s="144"/>
      <c r="Q535" s="145"/>
      <c r="R535" s="145"/>
      <c r="S535" s="145" t="s">
        <v>4179</v>
      </c>
      <c r="T535" t="s">
        <v>4179</v>
      </c>
      <c r="U535" s="146"/>
      <c r="V535" s="145"/>
      <c r="W535" s="147"/>
      <c r="X535" s="147"/>
      <c r="Y535" s="145"/>
      <c r="Z535" s="147"/>
      <c r="AA535" s="145"/>
      <c r="AB535" s="145"/>
      <c r="AC535" s="147"/>
      <c r="AD535" s="145" t="s">
        <v>1017</v>
      </c>
      <c r="AE535" s="148"/>
      <c r="AF535" s="147"/>
      <c r="AG535" s="147"/>
      <c r="AH535" s="166" t="str">
        <f t="shared" ref="AH535:AH540" si="200">IF(ISERROR(SEARCH("K erstmals 201",D535)),"",RIGHT(D535,4))</f>
        <v/>
      </c>
      <c r="AI535" s="168" t="str">
        <f t="shared" si="185"/>
        <v/>
      </c>
      <c r="AJ535" s="168" t="str">
        <f t="shared" si="186"/>
        <v/>
      </c>
      <c r="AK535" s="168" t="str">
        <f t="shared" si="187"/>
        <v/>
      </c>
      <c r="AL535" s="168" t="str">
        <f t="shared" si="188"/>
        <v/>
      </c>
      <c r="AM535" s="168" t="str">
        <f t="shared" si="189"/>
        <v/>
      </c>
      <c r="AN535" s="167" t="str">
        <f t="shared" si="172"/>
        <v/>
      </c>
      <c r="AO535" s="167" t="str">
        <f t="shared" si="173"/>
        <v/>
      </c>
      <c r="AP535" s="167" t="str">
        <f t="shared" si="174"/>
        <v/>
      </c>
      <c r="AQ535" s="169" t="str">
        <f t="shared" si="175"/>
        <v/>
      </c>
      <c r="AR535" s="170" t="str">
        <f t="shared" si="176"/>
        <v>BiK82X2-----04</v>
      </c>
      <c r="AS535" s="169" t="str">
        <f t="shared" si="177"/>
        <v/>
      </c>
      <c r="AT535">
        <f t="shared" si="178"/>
        <v>14</v>
      </c>
      <c r="AU535" s="170" t="str">
        <f t="shared" si="179"/>
        <v>0,15-0,5 MW, Bonusregel X2</v>
      </c>
      <c r="AV535" s="169" t="str">
        <f t="shared" si="180"/>
        <v/>
      </c>
      <c r="AW535" s="170" t="str">
        <f t="shared" si="181"/>
        <v>Anteil Nicht-KWK</v>
      </c>
      <c r="AX535" s="169" t="str">
        <f t="shared" si="182"/>
        <v/>
      </c>
      <c r="AY535" t="str">
        <f t="shared" si="183"/>
        <v/>
      </c>
      <c r="AZ535" t="str">
        <f t="shared" si="184"/>
        <v/>
      </c>
    </row>
    <row r="536" spans="1:52" x14ac:dyDescent="0.35">
      <c r="A536" s="497" t="s">
        <v>1003</v>
      </c>
      <c r="B536" s="13" t="s">
        <v>5547</v>
      </c>
      <c r="C536" s="13" t="s">
        <v>4808</v>
      </c>
      <c r="D536" s="13" t="s">
        <v>7123</v>
      </c>
      <c r="E536" s="13" t="s">
        <v>4811</v>
      </c>
      <c r="F536" s="373">
        <f t="shared" si="191"/>
        <v>21.9</v>
      </c>
      <c r="G536" s="430">
        <v>21.9</v>
      </c>
      <c r="H536" s="399">
        <f t="shared" si="192"/>
        <v>17.52</v>
      </c>
      <c r="I536" s="576"/>
      <c r="J536" s="549" t="s">
        <v>5804</v>
      </c>
      <c r="K536" s="11"/>
      <c r="M536" s="37">
        <f t="shared" si="193"/>
        <v>21.9</v>
      </c>
      <c r="N536" s="29">
        <v>9.9</v>
      </c>
      <c r="O536" s="149" t="s">
        <v>1017</v>
      </c>
      <c r="P536" s="144"/>
      <c r="Q536" s="145"/>
      <c r="R536" s="145"/>
      <c r="S536" s="145" t="s">
        <v>4179</v>
      </c>
      <c r="T536" t="s">
        <v>4179</v>
      </c>
      <c r="U536" s="146"/>
      <c r="V536" s="145"/>
      <c r="W536" s="147"/>
      <c r="X536" s="147"/>
      <c r="Y536" s="145"/>
      <c r="Z536" s="147"/>
      <c r="AA536" s="145"/>
      <c r="AB536" s="145"/>
      <c r="AC536" s="147"/>
      <c r="AD536" s="145" t="s">
        <v>1017</v>
      </c>
      <c r="AE536" s="148"/>
      <c r="AF536" s="147"/>
      <c r="AG536" s="147"/>
      <c r="AH536" s="166" t="str">
        <f t="shared" si="200"/>
        <v/>
      </c>
      <c r="AI536" s="168" t="str">
        <f t="shared" si="185"/>
        <v/>
      </c>
      <c r="AJ536" s="168" t="str">
        <f t="shared" si="186"/>
        <v/>
      </c>
      <c r="AK536" s="168" t="str">
        <f t="shared" si="187"/>
        <v/>
      </c>
      <c r="AL536" s="168" t="str">
        <f t="shared" si="188"/>
        <v/>
      </c>
      <c r="AM536" s="168" t="str">
        <f t="shared" si="189"/>
        <v/>
      </c>
      <c r="AN536" s="167" t="str">
        <f t="shared" si="172"/>
        <v/>
      </c>
      <c r="AO536" s="167" t="str">
        <f t="shared" si="173"/>
        <v/>
      </c>
      <c r="AP536" s="167" t="str">
        <f t="shared" si="174"/>
        <v/>
      </c>
      <c r="AQ536" s="169" t="str">
        <f t="shared" si="175"/>
        <v/>
      </c>
      <c r="AR536" s="170" t="str">
        <f t="shared" si="176"/>
        <v>BiK82X2KWK--04</v>
      </c>
      <c r="AS536" s="169" t="str">
        <f t="shared" si="177"/>
        <v/>
      </c>
      <c r="AT536">
        <f t="shared" si="178"/>
        <v>14</v>
      </c>
      <c r="AU536" s="170" t="str">
        <f t="shared" si="179"/>
        <v>0,15-0,5 MW, Bonusregeln X2 und KWK</v>
      </c>
      <c r="AV536" s="169" t="str">
        <f t="shared" si="180"/>
        <v/>
      </c>
      <c r="AW536" s="170" t="str">
        <f t="shared" si="181"/>
        <v>Anteil KWK</v>
      </c>
      <c r="AX536" s="169" t="str">
        <f t="shared" si="182"/>
        <v/>
      </c>
      <c r="AY536" t="str">
        <f t="shared" si="183"/>
        <v/>
      </c>
      <c r="AZ536" t="str">
        <f t="shared" si="184"/>
        <v/>
      </c>
    </row>
    <row r="537" spans="1:52" x14ac:dyDescent="0.35">
      <c r="A537" s="497" t="s">
        <v>1004</v>
      </c>
      <c r="B537" s="13" t="s">
        <v>5547</v>
      </c>
      <c r="C537" s="13" t="s">
        <v>4808</v>
      </c>
      <c r="D537" s="13" t="s">
        <v>7066</v>
      </c>
      <c r="E537" s="13" t="s">
        <v>4330</v>
      </c>
      <c r="F537" s="373">
        <f t="shared" si="191"/>
        <v>22.9</v>
      </c>
      <c r="G537" s="430">
        <v>22.9</v>
      </c>
      <c r="H537" s="399">
        <f t="shared" si="192"/>
        <v>18.32</v>
      </c>
      <c r="I537" s="576"/>
      <c r="J537" s="549" t="s">
        <v>5804</v>
      </c>
      <c r="K537" s="11"/>
      <c r="M537" s="37">
        <f t="shared" si="193"/>
        <v>22.9</v>
      </c>
      <c r="N537" s="29">
        <v>9.9</v>
      </c>
      <c r="O537" s="149"/>
      <c r="P537" s="145" t="s">
        <v>1017</v>
      </c>
      <c r="Q537" s="145"/>
      <c r="R537" s="145"/>
      <c r="S537" s="145" t="s">
        <v>4179</v>
      </c>
      <c r="T537" t="s">
        <v>4179</v>
      </c>
      <c r="U537" s="146"/>
      <c r="V537" s="145"/>
      <c r="W537" s="147"/>
      <c r="X537" s="147"/>
      <c r="Y537" s="145"/>
      <c r="Z537" s="147"/>
      <c r="AA537" s="145"/>
      <c r="AB537" s="145"/>
      <c r="AC537" s="147"/>
      <c r="AD537" s="145" t="s">
        <v>1017</v>
      </c>
      <c r="AE537" s="148"/>
      <c r="AF537" s="147"/>
      <c r="AG537" s="147"/>
      <c r="AH537" s="166" t="str">
        <f t="shared" si="200"/>
        <v/>
      </c>
      <c r="AI537" s="168" t="str">
        <f t="shared" si="185"/>
        <v/>
      </c>
      <c r="AJ537" s="168" t="str">
        <f t="shared" si="186"/>
        <v/>
      </c>
      <c r="AK537" s="168" t="str">
        <f t="shared" si="187"/>
        <v/>
      </c>
      <c r="AL537" s="168" t="str">
        <f t="shared" si="188"/>
        <v/>
      </c>
      <c r="AM537" s="168" t="str">
        <f t="shared" si="189"/>
        <v/>
      </c>
      <c r="AN537" s="167" t="str">
        <f t="shared" si="172"/>
        <v/>
      </c>
      <c r="AO537" s="167" t="str">
        <f t="shared" si="173"/>
        <v/>
      </c>
      <c r="AP537" s="167" t="str">
        <f t="shared" si="174"/>
        <v/>
      </c>
      <c r="AQ537" s="169" t="str">
        <f t="shared" si="175"/>
        <v/>
      </c>
      <c r="AR537" s="170" t="str">
        <f t="shared" si="176"/>
        <v>BiK82X2KA3--04</v>
      </c>
      <c r="AS537" s="169" t="str">
        <f t="shared" si="177"/>
        <v/>
      </c>
      <c r="AT537">
        <f t="shared" si="178"/>
        <v>14</v>
      </c>
      <c r="AU537" s="170" t="str">
        <f t="shared" si="179"/>
        <v>0,15-0,5 MW, Bonusregeln X2 und K wenn Anlage 3 erfüllt</v>
      </c>
      <c r="AV537" s="169" t="str">
        <f t="shared" si="180"/>
        <v/>
      </c>
      <c r="AW537" s="170" t="str">
        <f t="shared" si="181"/>
        <v>Anteil KWK gemäß Anlage 3</v>
      </c>
      <c r="AX537" s="169" t="str">
        <f t="shared" si="182"/>
        <v/>
      </c>
      <c r="AY537" t="str">
        <f t="shared" si="183"/>
        <v/>
      </c>
      <c r="AZ537" t="str">
        <f t="shared" si="184"/>
        <v/>
      </c>
    </row>
    <row r="538" spans="1:52" x14ac:dyDescent="0.35">
      <c r="A538" s="497" t="s">
        <v>1005</v>
      </c>
      <c r="B538" s="13" t="s">
        <v>5547</v>
      </c>
      <c r="C538" s="13" t="s">
        <v>4808</v>
      </c>
      <c r="D538" s="13" t="s">
        <v>7067</v>
      </c>
      <c r="E538" s="13" t="s">
        <v>674</v>
      </c>
      <c r="F538" s="373">
        <f t="shared" si="191"/>
        <v>22.9</v>
      </c>
      <c r="G538" s="430">
        <v>22.9</v>
      </c>
      <c r="H538" s="399">
        <f t="shared" si="192"/>
        <v>18.32</v>
      </c>
      <c r="I538" s="576"/>
      <c r="J538" s="549" t="s">
        <v>5804</v>
      </c>
      <c r="K538" s="11"/>
      <c r="M538" s="37">
        <f t="shared" si="193"/>
        <v>22.9</v>
      </c>
      <c r="N538" s="29">
        <v>9.9</v>
      </c>
      <c r="O538" s="149"/>
      <c r="P538" s="144"/>
      <c r="Q538" s="145" t="s">
        <v>1017</v>
      </c>
      <c r="R538" s="145"/>
      <c r="S538" s="145" t="s">
        <v>4179</v>
      </c>
      <c r="T538" t="s">
        <v>4179</v>
      </c>
      <c r="U538" s="146"/>
      <c r="V538" s="145"/>
      <c r="W538" s="147"/>
      <c r="X538" s="147"/>
      <c r="Y538" s="145"/>
      <c r="Z538" s="147"/>
      <c r="AA538" s="145"/>
      <c r="AB538" s="145"/>
      <c r="AC538" s="147"/>
      <c r="AD538" s="145" t="s">
        <v>1017</v>
      </c>
      <c r="AE538" s="148"/>
      <c r="AF538" s="147"/>
      <c r="AG538" s="147"/>
      <c r="AH538" s="166" t="str">
        <f t="shared" si="200"/>
        <v/>
      </c>
      <c r="AI538" s="168" t="str">
        <f t="shared" si="185"/>
        <v/>
      </c>
      <c r="AJ538" s="168" t="str">
        <f t="shared" si="186"/>
        <v/>
      </c>
      <c r="AK538" s="168" t="str">
        <f t="shared" si="187"/>
        <v/>
      </c>
      <c r="AL538" s="168" t="str">
        <f t="shared" si="188"/>
        <v/>
      </c>
      <c r="AM538" s="168" t="str">
        <f t="shared" si="189"/>
        <v/>
      </c>
      <c r="AN538" s="167" t="str">
        <f t="shared" si="172"/>
        <v/>
      </c>
      <c r="AO538" s="167" t="str">
        <f t="shared" si="173"/>
        <v/>
      </c>
      <c r="AP538" s="167" t="str">
        <f t="shared" si="174"/>
        <v/>
      </c>
      <c r="AQ538" s="169" t="str">
        <f t="shared" si="175"/>
        <v/>
      </c>
      <c r="AR538" s="170" t="str">
        <f t="shared" si="176"/>
        <v>BiK82X2K09--04</v>
      </c>
      <c r="AS538" s="169" t="str">
        <f t="shared" si="177"/>
        <v/>
      </c>
      <c r="AT538">
        <f t="shared" si="178"/>
        <v>14</v>
      </c>
      <c r="AU538" s="170" t="str">
        <f t="shared" si="179"/>
        <v>0,15-0,5 MW, Bonusregeln X2 und K erstmals 2009</v>
      </c>
      <c r="AV538" s="169" t="str">
        <f t="shared" si="180"/>
        <v/>
      </c>
      <c r="AW538" s="170" t="str">
        <f t="shared" si="181"/>
        <v>Anteil KWK, erstmals 2009</v>
      </c>
      <c r="AX538" s="169" t="str">
        <f t="shared" si="182"/>
        <v/>
      </c>
      <c r="AY538" t="str">
        <f t="shared" si="183"/>
        <v/>
      </c>
      <c r="AZ538" t="str">
        <f t="shared" si="184"/>
        <v/>
      </c>
    </row>
    <row r="539" spans="1:52" x14ac:dyDescent="0.35">
      <c r="A539" s="497" t="s">
        <v>1455</v>
      </c>
      <c r="B539" s="13" t="s">
        <v>5547</v>
      </c>
      <c r="C539" s="13" t="s">
        <v>4808</v>
      </c>
      <c r="D539" s="13" t="s">
        <v>7068</v>
      </c>
      <c r="E539" s="13" t="s">
        <v>3566</v>
      </c>
      <c r="F539" s="373">
        <f t="shared" si="191"/>
        <v>22.87</v>
      </c>
      <c r="G539" s="430">
        <v>22.87</v>
      </c>
      <c r="H539" s="399">
        <f t="shared" si="192"/>
        <v>18.3</v>
      </c>
      <c r="I539" s="576"/>
      <c r="J539" s="549" t="s">
        <v>5804</v>
      </c>
      <c r="K539" s="11"/>
      <c r="M539" s="37">
        <f t="shared" si="193"/>
        <v>22.87</v>
      </c>
      <c r="N539" s="29">
        <v>9.9</v>
      </c>
      <c r="O539" s="149"/>
      <c r="P539" s="144"/>
      <c r="Q539" s="145"/>
      <c r="R539" s="145" t="s">
        <v>1017</v>
      </c>
      <c r="S539" s="145" t="s">
        <v>4179</v>
      </c>
      <c r="T539" t="s">
        <v>4179</v>
      </c>
      <c r="U539" s="146"/>
      <c r="V539" s="145"/>
      <c r="W539" s="147"/>
      <c r="X539" s="147"/>
      <c r="Y539" s="145"/>
      <c r="Z539" s="147"/>
      <c r="AA539" s="145"/>
      <c r="AB539" s="145"/>
      <c r="AC539" s="147"/>
      <c r="AD539" s="145" t="s">
        <v>1017</v>
      </c>
      <c r="AE539" s="148"/>
      <c r="AF539" s="147"/>
      <c r="AG539" s="147"/>
      <c r="AH539" s="166" t="str">
        <f t="shared" si="200"/>
        <v>2010</v>
      </c>
      <c r="AI539" s="168" t="str">
        <f t="shared" si="185"/>
        <v/>
      </c>
      <c r="AJ539" s="168" t="str">
        <f t="shared" si="186"/>
        <v/>
      </c>
      <c r="AK539" s="168" t="str">
        <f t="shared" si="187"/>
        <v/>
      </c>
      <c r="AL539" s="168" t="str">
        <f t="shared" si="188"/>
        <v/>
      </c>
      <c r="AM539" s="168" t="str">
        <f t="shared" si="189"/>
        <v/>
      </c>
      <c r="AN539" s="167" t="str">
        <f t="shared" si="172"/>
        <v>2010</v>
      </c>
      <c r="AO539" s="167" t="str">
        <f t="shared" si="173"/>
        <v>2010</v>
      </c>
      <c r="AP539" s="167" t="str">
        <f t="shared" si="174"/>
        <v>2010</v>
      </c>
      <c r="AQ539" s="169" t="str">
        <f t="shared" si="175"/>
        <v/>
      </c>
      <c r="AR539" s="170" t="str">
        <f t="shared" si="176"/>
        <v>BiK82X2K10--04</v>
      </c>
      <c r="AS539" s="169" t="str">
        <f t="shared" si="177"/>
        <v/>
      </c>
      <c r="AT539">
        <f t="shared" si="178"/>
        <v>14</v>
      </c>
      <c r="AU539" s="170" t="str">
        <f t="shared" si="179"/>
        <v>0,15-0,5 MW, Bonusregeln X2 und K erstmals 2010</v>
      </c>
      <c r="AV539" s="169" t="str">
        <f t="shared" si="180"/>
        <v/>
      </c>
      <c r="AW539" s="170" t="str">
        <f t="shared" si="181"/>
        <v>Anteil KWK, erstmals 2010</v>
      </c>
      <c r="AX539" s="169" t="str">
        <f t="shared" si="182"/>
        <v/>
      </c>
      <c r="AY539" t="str">
        <f t="shared" si="183"/>
        <v/>
      </c>
      <c r="AZ539" t="str">
        <f t="shared" si="184"/>
        <v/>
      </c>
    </row>
    <row r="540" spans="1:52" x14ac:dyDescent="0.35">
      <c r="A540" s="497" t="s">
        <v>5276</v>
      </c>
      <c r="B540" s="13" t="s">
        <v>5547</v>
      </c>
      <c r="C540" s="13" t="s">
        <v>4808</v>
      </c>
      <c r="D540" s="13" t="s">
        <v>7069</v>
      </c>
      <c r="E540" s="13" t="s">
        <v>3054</v>
      </c>
      <c r="F540" s="373">
        <f t="shared" si="191"/>
        <v>22.84</v>
      </c>
      <c r="G540" s="430">
        <v>22.84</v>
      </c>
      <c r="H540" s="399">
        <f t="shared" si="192"/>
        <v>18.27</v>
      </c>
      <c r="I540" s="576"/>
      <c r="J540" s="549" t="s">
        <v>5804</v>
      </c>
      <c r="K540" s="11"/>
      <c r="M540" s="37">
        <f t="shared" si="193"/>
        <v>22.84</v>
      </c>
      <c r="N540" s="29">
        <v>9.9</v>
      </c>
      <c r="O540" s="149"/>
      <c r="P540" s="144"/>
      <c r="Q540" s="145"/>
      <c r="R540" s="145"/>
      <c r="S540" s="145" t="s">
        <v>1017</v>
      </c>
      <c r="T540" t="s">
        <v>4179</v>
      </c>
      <c r="U540" s="146"/>
      <c r="V540" s="145"/>
      <c r="W540" s="147"/>
      <c r="X540" s="147"/>
      <c r="Y540" s="145"/>
      <c r="Z540" s="147"/>
      <c r="AA540" s="145"/>
      <c r="AB540" s="145"/>
      <c r="AC540" s="147"/>
      <c r="AD540" s="145" t="s">
        <v>1017</v>
      </c>
      <c r="AE540" s="148"/>
      <c r="AF540" s="147"/>
      <c r="AG540" s="147"/>
      <c r="AH540" s="166" t="str">
        <f t="shared" si="200"/>
        <v>2011</v>
      </c>
      <c r="AI540" s="168" t="str">
        <f t="shared" si="185"/>
        <v/>
      </c>
      <c r="AJ540" s="168" t="str">
        <f t="shared" si="186"/>
        <v/>
      </c>
      <c r="AK540" s="168" t="str">
        <f t="shared" si="187"/>
        <v/>
      </c>
      <c r="AL540" s="168" t="str">
        <f t="shared" si="188"/>
        <v/>
      </c>
      <c r="AM540" s="168" t="str">
        <f t="shared" si="189"/>
        <v/>
      </c>
      <c r="AN540" s="167" t="str">
        <f t="shared" si="172"/>
        <v>2011</v>
      </c>
      <c r="AO540" s="167" t="str">
        <f t="shared" si="173"/>
        <v>2011</v>
      </c>
      <c r="AP540" s="167" t="str">
        <f t="shared" si="174"/>
        <v>2011</v>
      </c>
      <c r="AQ540" s="169" t="str">
        <f t="shared" si="175"/>
        <v/>
      </c>
      <c r="AR540" s="170" t="str">
        <f t="shared" si="176"/>
        <v>BiK82X2K11--04</v>
      </c>
      <c r="AS540" s="169" t="str">
        <f t="shared" si="177"/>
        <v/>
      </c>
      <c r="AT540">
        <f t="shared" si="178"/>
        <v>14</v>
      </c>
      <c r="AU540" s="170" t="str">
        <f t="shared" si="179"/>
        <v>0,15-0,5 MW, Bonusregeln X2 und K erstmals 2011</v>
      </c>
      <c r="AV540" s="169" t="str">
        <f t="shared" si="180"/>
        <v/>
      </c>
      <c r="AW540" s="170" t="str">
        <f t="shared" si="181"/>
        <v>Anteil KWK, erstmals 2011</v>
      </c>
      <c r="AX540" s="169" t="str">
        <f t="shared" si="182"/>
        <v/>
      </c>
      <c r="AY540" t="str">
        <f t="shared" si="183"/>
        <v>x</v>
      </c>
      <c r="AZ540" t="str">
        <f t="shared" si="184"/>
        <v/>
      </c>
    </row>
    <row r="541" spans="1:52" x14ac:dyDescent="0.35">
      <c r="A541" s="511" t="s">
        <v>1527</v>
      </c>
      <c r="B541" s="173" t="s">
        <v>5547</v>
      </c>
      <c r="C541" s="173" t="s">
        <v>4808</v>
      </c>
      <c r="D541" s="173" t="s">
        <v>7070</v>
      </c>
      <c r="E541" s="173" t="s">
        <v>1980</v>
      </c>
      <c r="F541" s="374">
        <f t="shared" si="191"/>
        <v>22.810000000000002</v>
      </c>
      <c r="G541" s="431">
        <v>22.810000000000002</v>
      </c>
      <c r="H541" s="400">
        <f t="shared" si="192"/>
        <v>18.25</v>
      </c>
      <c r="I541" s="577"/>
      <c r="J541" s="549" t="s">
        <v>5804</v>
      </c>
      <c r="K541" s="11"/>
      <c r="M541" s="37">
        <f t="shared" si="193"/>
        <v>22.810000000000002</v>
      </c>
      <c r="N541" s="29">
        <v>9.9</v>
      </c>
      <c r="O541" s="149"/>
      <c r="P541" s="144"/>
      <c r="Q541" s="145"/>
      <c r="R541" s="145"/>
      <c r="S541" s="145" t="s">
        <v>4179</v>
      </c>
      <c r="T541" t="s">
        <v>1017</v>
      </c>
      <c r="U541" s="146"/>
      <c r="V541" s="145"/>
      <c r="W541" s="147"/>
      <c r="X541" s="147"/>
      <c r="Y541" s="145"/>
      <c r="Z541" s="147"/>
      <c r="AA541" s="145"/>
      <c r="AB541" s="145"/>
      <c r="AC541" s="147"/>
      <c r="AD541" s="145" t="s">
        <v>1017</v>
      </c>
      <c r="AE541" s="148"/>
      <c r="AF541" s="147"/>
      <c r="AG541" s="147"/>
      <c r="AH541" s="171" t="s">
        <v>4178</v>
      </c>
      <c r="AI541" s="168" t="str">
        <f t="shared" si="185"/>
        <v/>
      </c>
      <c r="AJ541" s="168" t="str">
        <f t="shared" si="186"/>
        <v/>
      </c>
      <c r="AK541" s="168" t="str">
        <f t="shared" si="187"/>
        <v/>
      </c>
      <c r="AL541" s="168" t="str">
        <f t="shared" si="188"/>
        <v/>
      </c>
      <c r="AM541" s="168" t="str">
        <f t="shared" si="189"/>
        <v/>
      </c>
      <c r="AN541" s="167" t="str">
        <f t="shared" si="172"/>
        <v>2012</v>
      </c>
      <c r="AO541" s="167" t="str">
        <f t="shared" si="173"/>
        <v>2012</v>
      </c>
      <c r="AP541" s="167" t="str">
        <f t="shared" si="174"/>
        <v>2012</v>
      </c>
      <c r="AQ541" s="169" t="str">
        <f t="shared" si="175"/>
        <v/>
      </c>
      <c r="AR541" s="170" t="str">
        <f t="shared" si="176"/>
        <v>BiK82X2K12--04</v>
      </c>
      <c r="AS541" s="169" t="str">
        <f t="shared" si="177"/>
        <v/>
      </c>
      <c r="AT541">
        <f t="shared" si="178"/>
        <v>14</v>
      </c>
      <c r="AU541" s="170" t="str">
        <f t="shared" si="179"/>
        <v>0,15-0,5 MW, Bonusregeln X2 und K erstmals 2012</v>
      </c>
      <c r="AV541" s="169" t="str">
        <f t="shared" si="180"/>
        <v/>
      </c>
      <c r="AW541" s="170" t="str">
        <f t="shared" si="181"/>
        <v>Anteil KWK, erstmals 2012</v>
      </c>
      <c r="AX541" s="169" t="str">
        <f t="shared" si="182"/>
        <v/>
      </c>
      <c r="AY541" t="str">
        <f t="shared" si="183"/>
        <v/>
      </c>
      <c r="AZ541" t="str">
        <f t="shared" si="184"/>
        <v>x</v>
      </c>
    </row>
    <row r="542" spans="1:52" x14ac:dyDescent="0.35">
      <c r="A542" s="497" t="s">
        <v>3687</v>
      </c>
      <c r="B542" s="13" t="s">
        <v>5547</v>
      </c>
      <c r="C542" s="13" t="s">
        <v>4808</v>
      </c>
      <c r="D542" s="13" t="s">
        <v>7071</v>
      </c>
      <c r="E542" s="13" t="s">
        <v>4809</v>
      </c>
      <c r="F542" s="373">
        <f t="shared" si="191"/>
        <v>20.9</v>
      </c>
      <c r="G542" s="430">
        <v>20.9</v>
      </c>
      <c r="H542" s="399">
        <f t="shared" si="192"/>
        <v>16.72</v>
      </c>
      <c r="I542" s="576"/>
      <c r="J542" s="549" t="s">
        <v>5804</v>
      </c>
      <c r="K542" s="11"/>
      <c r="M542" s="37">
        <f t="shared" si="193"/>
        <v>20.9</v>
      </c>
      <c r="N542" s="29">
        <v>9.9</v>
      </c>
      <c r="O542" s="149"/>
      <c r="P542" s="144"/>
      <c r="Q542" s="145"/>
      <c r="R542" s="145"/>
      <c r="S542" s="145" t="s">
        <v>4179</v>
      </c>
      <c r="T542" t="s">
        <v>4179</v>
      </c>
      <c r="U542" s="146" t="s">
        <v>1017</v>
      </c>
      <c r="V542" s="145"/>
      <c r="W542" s="147"/>
      <c r="X542" s="147"/>
      <c r="Y542" s="145"/>
      <c r="Z542" s="147"/>
      <c r="AA542" s="145"/>
      <c r="AB542" s="145"/>
      <c r="AC542" s="147"/>
      <c r="AD542" s="145" t="s">
        <v>1017</v>
      </c>
      <c r="AE542" s="148"/>
      <c r="AF542" s="147"/>
      <c r="AG542" s="147"/>
      <c r="AH542" s="166" t="str">
        <f t="shared" ref="AH542:AH547" si="201">IF(ISERROR(SEARCH("K erstmals 201",D542)),"",RIGHT(D542,4))</f>
        <v/>
      </c>
      <c r="AI542" s="168" t="str">
        <f t="shared" si="185"/>
        <v/>
      </c>
      <c r="AJ542" s="168" t="str">
        <f t="shared" si="186"/>
        <v/>
      </c>
      <c r="AK542" s="168" t="str">
        <f t="shared" si="187"/>
        <v/>
      </c>
      <c r="AL542" s="168" t="str">
        <f t="shared" si="188"/>
        <v/>
      </c>
      <c r="AM542" s="168" t="str">
        <f t="shared" si="189"/>
        <v/>
      </c>
      <c r="AN542" s="167" t="str">
        <f t="shared" si="172"/>
        <v/>
      </c>
      <c r="AO542" s="167" t="str">
        <f t="shared" si="173"/>
        <v/>
      </c>
      <c r="AP542" s="167" t="str">
        <f t="shared" si="174"/>
        <v/>
      </c>
      <c r="AQ542" s="169" t="str">
        <f t="shared" si="175"/>
        <v/>
      </c>
      <c r="AR542" s="170" t="str">
        <f t="shared" si="176"/>
        <v>BiK82X2y----04</v>
      </c>
      <c r="AS542" s="169" t="str">
        <f t="shared" si="177"/>
        <v/>
      </c>
      <c r="AT542">
        <f t="shared" si="178"/>
        <v>14</v>
      </c>
      <c r="AU542" s="170" t="str">
        <f t="shared" si="179"/>
        <v>0,15-0,5 MW, Bonusregeln X2, y</v>
      </c>
      <c r="AV542" s="169" t="str">
        <f t="shared" si="180"/>
        <v/>
      </c>
      <c r="AW542" s="170" t="str">
        <f t="shared" si="181"/>
        <v>Anteil Nicht-KWK</v>
      </c>
      <c r="AX542" s="169" t="str">
        <f t="shared" si="182"/>
        <v/>
      </c>
      <c r="AY542" t="str">
        <f t="shared" si="183"/>
        <v/>
      </c>
      <c r="AZ542" t="str">
        <f t="shared" si="184"/>
        <v/>
      </c>
    </row>
    <row r="543" spans="1:52" x14ac:dyDescent="0.35">
      <c r="A543" s="497" t="s">
        <v>4553</v>
      </c>
      <c r="B543" s="13" t="s">
        <v>5547</v>
      </c>
      <c r="C543" s="13" t="s">
        <v>4808</v>
      </c>
      <c r="D543" s="13" t="s">
        <v>7124</v>
      </c>
      <c r="E543" s="13" t="s">
        <v>4811</v>
      </c>
      <c r="F543" s="373">
        <f t="shared" si="191"/>
        <v>22.9</v>
      </c>
      <c r="G543" s="430">
        <v>22.9</v>
      </c>
      <c r="H543" s="399">
        <f t="shared" si="192"/>
        <v>18.32</v>
      </c>
      <c r="I543" s="576"/>
      <c r="J543" s="549" t="s">
        <v>5804</v>
      </c>
      <c r="K543" s="11"/>
      <c r="M543" s="37">
        <f t="shared" si="193"/>
        <v>22.9</v>
      </c>
      <c r="N543" s="29">
        <v>9.9</v>
      </c>
      <c r="O543" s="149" t="s">
        <v>1017</v>
      </c>
      <c r="P543" s="144"/>
      <c r="Q543" s="145"/>
      <c r="R543" s="145"/>
      <c r="S543" s="145" t="s">
        <v>4179</v>
      </c>
      <c r="T543" t="s">
        <v>4179</v>
      </c>
      <c r="U543" s="146" t="s">
        <v>1017</v>
      </c>
      <c r="V543" s="145"/>
      <c r="W543" s="147"/>
      <c r="X543" s="147"/>
      <c r="Y543" s="145"/>
      <c r="Z543" s="147"/>
      <c r="AA543" s="145"/>
      <c r="AB543" s="145"/>
      <c r="AC543" s="147"/>
      <c r="AD543" s="145" t="s">
        <v>1017</v>
      </c>
      <c r="AE543" s="148"/>
      <c r="AF543" s="147"/>
      <c r="AG543" s="147"/>
      <c r="AH543" s="166" t="str">
        <f t="shared" si="201"/>
        <v/>
      </c>
      <c r="AI543" s="168" t="str">
        <f t="shared" si="185"/>
        <v/>
      </c>
      <c r="AJ543" s="168" t="str">
        <f t="shared" si="186"/>
        <v/>
      </c>
      <c r="AK543" s="168" t="str">
        <f t="shared" si="187"/>
        <v/>
      </c>
      <c r="AL543" s="168" t="str">
        <f t="shared" si="188"/>
        <v/>
      </c>
      <c r="AM543" s="168" t="str">
        <f t="shared" si="189"/>
        <v/>
      </c>
      <c r="AN543" s="167" t="str">
        <f t="shared" si="172"/>
        <v/>
      </c>
      <c r="AO543" s="167" t="str">
        <f t="shared" si="173"/>
        <v/>
      </c>
      <c r="AP543" s="167" t="str">
        <f t="shared" si="174"/>
        <v/>
      </c>
      <c r="AQ543" s="169" t="str">
        <f t="shared" si="175"/>
        <v/>
      </c>
      <c r="AR543" s="170" t="str">
        <f t="shared" si="176"/>
        <v>BiK82X2KWKy-04</v>
      </c>
      <c r="AS543" s="169" t="str">
        <f t="shared" si="177"/>
        <v/>
      </c>
      <c r="AT543">
        <f t="shared" si="178"/>
        <v>14</v>
      </c>
      <c r="AU543" s="170" t="str">
        <f t="shared" si="179"/>
        <v>0,15-0,5 MW, Bonusregeln X2, y und KWK</v>
      </c>
      <c r="AV543" s="169" t="str">
        <f t="shared" si="180"/>
        <v/>
      </c>
      <c r="AW543" s="170" t="str">
        <f t="shared" si="181"/>
        <v>Anteil KWK</v>
      </c>
      <c r="AX543" s="169" t="str">
        <f t="shared" si="182"/>
        <v/>
      </c>
      <c r="AY543" t="str">
        <f t="shared" si="183"/>
        <v/>
      </c>
      <c r="AZ543" t="str">
        <f t="shared" si="184"/>
        <v/>
      </c>
    </row>
    <row r="544" spans="1:52" x14ac:dyDescent="0.35">
      <c r="A544" s="497" t="s">
        <v>4554</v>
      </c>
      <c r="B544" s="13" t="s">
        <v>5547</v>
      </c>
      <c r="C544" s="13" t="s">
        <v>4808</v>
      </c>
      <c r="D544" s="88" t="s">
        <v>7072</v>
      </c>
      <c r="E544" s="13" t="s">
        <v>4330</v>
      </c>
      <c r="F544" s="373">
        <f t="shared" si="191"/>
        <v>23.9</v>
      </c>
      <c r="G544" s="430">
        <v>23.9</v>
      </c>
      <c r="H544" s="399">
        <f t="shared" si="192"/>
        <v>19.12</v>
      </c>
      <c r="I544" s="576"/>
      <c r="J544" s="549" t="s">
        <v>5804</v>
      </c>
      <c r="K544" s="11"/>
      <c r="M544" s="37">
        <f t="shared" si="193"/>
        <v>23.9</v>
      </c>
      <c r="N544" s="29">
        <v>9.9</v>
      </c>
      <c r="O544" s="149"/>
      <c r="P544" s="145" t="s">
        <v>1017</v>
      </c>
      <c r="Q544" s="145"/>
      <c r="R544" s="145"/>
      <c r="S544" s="145" t="s">
        <v>4179</v>
      </c>
      <c r="T544" t="s">
        <v>4179</v>
      </c>
      <c r="U544" s="146" t="s">
        <v>1017</v>
      </c>
      <c r="V544" s="145"/>
      <c r="W544" s="147"/>
      <c r="X544" s="147"/>
      <c r="Y544" s="145"/>
      <c r="Z544" s="147"/>
      <c r="AA544" s="145"/>
      <c r="AB544" s="145"/>
      <c r="AC544" s="147"/>
      <c r="AD544" s="145" t="s">
        <v>1017</v>
      </c>
      <c r="AE544" s="148"/>
      <c r="AF544" s="147"/>
      <c r="AG544" s="147"/>
      <c r="AH544" s="166" t="str">
        <f t="shared" si="201"/>
        <v/>
      </c>
      <c r="AI544" s="168" t="str">
        <f t="shared" si="185"/>
        <v/>
      </c>
      <c r="AJ544" s="168" t="str">
        <f t="shared" si="186"/>
        <v/>
      </c>
      <c r="AK544" s="168" t="str">
        <f t="shared" si="187"/>
        <v/>
      </c>
      <c r="AL544" s="168" t="str">
        <f t="shared" si="188"/>
        <v/>
      </c>
      <c r="AM544" s="168" t="str">
        <f t="shared" si="189"/>
        <v/>
      </c>
      <c r="AN544" s="167" t="str">
        <f t="shared" si="172"/>
        <v/>
      </c>
      <c r="AO544" s="167" t="str">
        <f t="shared" si="173"/>
        <v/>
      </c>
      <c r="AP544" s="167" t="str">
        <f t="shared" si="174"/>
        <v/>
      </c>
      <c r="AQ544" s="169" t="str">
        <f t="shared" si="175"/>
        <v/>
      </c>
      <c r="AR544" s="170" t="str">
        <f t="shared" si="176"/>
        <v>BiK82X2KA3y-04</v>
      </c>
      <c r="AS544" s="169" t="str">
        <f t="shared" si="177"/>
        <v/>
      </c>
      <c r="AT544">
        <f t="shared" si="178"/>
        <v>14</v>
      </c>
      <c r="AU544" s="170" t="str">
        <f t="shared" si="179"/>
        <v>0,15-0,5 MW, Bonusregeln X2, y und K wenn Anlage 3 erfüllt</v>
      </c>
      <c r="AV544" s="169" t="str">
        <f t="shared" si="180"/>
        <v/>
      </c>
      <c r="AW544" s="170" t="str">
        <f t="shared" si="181"/>
        <v>Anteil KWK gemäß Anlage 3</v>
      </c>
      <c r="AX544" s="169" t="str">
        <f t="shared" si="182"/>
        <v/>
      </c>
      <c r="AY544" t="str">
        <f t="shared" si="183"/>
        <v/>
      </c>
      <c r="AZ544" t="str">
        <f t="shared" si="184"/>
        <v/>
      </c>
    </row>
    <row r="545" spans="1:52" x14ac:dyDescent="0.35">
      <c r="A545" s="497" t="s">
        <v>4555</v>
      </c>
      <c r="B545" s="13" t="s">
        <v>5547</v>
      </c>
      <c r="C545" s="13" t="s">
        <v>4808</v>
      </c>
      <c r="D545" s="13" t="s">
        <v>7073</v>
      </c>
      <c r="E545" s="13" t="s">
        <v>674</v>
      </c>
      <c r="F545" s="373">
        <f t="shared" si="191"/>
        <v>23.9</v>
      </c>
      <c r="G545" s="430">
        <v>23.9</v>
      </c>
      <c r="H545" s="399">
        <f t="shared" si="192"/>
        <v>19.12</v>
      </c>
      <c r="I545" s="576"/>
      <c r="J545" s="549" t="s">
        <v>5804</v>
      </c>
      <c r="K545" s="11"/>
      <c r="M545" s="37">
        <f t="shared" si="193"/>
        <v>23.9</v>
      </c>
      <c r="N545" s="29">
        <v>9.9</v>
      </c>
      <c r="O545" s="149"/>
      <c r="P545" s="144"/>
      <c r="Q545" s="145" t="s">
        <v>1017</v>
      </c>
      <c r="R545" s="145"/>
      <c r="S545" s="145" t="s">
        <v>4179</v>
      </c>
      <c r="T545" t="s">
        <v>4179</v>
      </c>
      <c r="U545" s="146" t="s">
        <v>1017</v>
      </c>
      <c r="V545" s="145"/>
      <c r="W545" s="147"/>
      <c r="X545" s="147"/>
      <c r="Y545" s="145"/>
      <c r="Z545" s="147"/>
      <c r="AA545" s="145"/>
      <c r="AB545" s="145"/>
      <c r="AC545" s="147"/>
      <c r="AD545" s="145" t="s">
        <v>1017</v>
      </c>
      <c r="AE545" s="148"/>
      <c r="AF545" s="147"/>
      <c r="AG545" s="147"/>
      <c r="AH545" s="166" t="str">
        <f t="shared" si="201"/>
        <v/>
      </c>
      <c r="AI545" s="168" t="str">
        <f t="shared" si="185"/>
        <v/>
      </c>
      <c r="AJ545" s="168" t="str">
        <f t="shared" si="186"/>
        <v/>
      </c>
      <c r="AK545" s="168" t="str">
        <f t="shared" si="187"/>
        <v/>
      </c>
      <c r="AL545" s="168" t="str">
        <f t="shared" si="188"/>
        <v/>
      </c>
      <c r="AM545" s="168" t="str">
        <f t="shared" si="189"/>
        <v/>
      </c>
      <c r="AN545" s="167" t="str">
        <f t="shared" si="172"/>
        <v/>
      </c>
      <c r="AO545" s="167" t="str">
        <f t="shared" si="173"/>
        <v/>
      </c>
      <c r="AP545" s="167" t="str">
        <f t="shared" si="174"/>
        <v/>
      </c>
      <c r="AQ545" s="169" t="str">
        <f t="shared" si="175"/>
        <v/>
      </c>
      <c r="AR545" s="170" t="str">
        <f t="shared" si="176"/>
        <v>BiK82X2K09y-04</v>
      </c>
      <c r="AS545" s="169" t="str">
        <f t="shared" si="177"/>
        <v/>
      </c>
      <c r="AT545">
        <f t="shared" si="178"/>
        <v>14</v>
      </c>
      <c r="AU545" s="170" t="str">
        <f t="shared" si="179"/>
        <v>0,15-0,5 MW, Bonusregeln X2, y und K erstmals 2009</v>
      </c>
      <c r="AV545" s="169" t="str">
        <f t="shared" si="180"/>
        <v/>
      </c>
      <c r="AW545" s="170" t="str">
        <f t="shared" si="181"/>
        <v>Anteil KWK, erstmals 2009</v>
      </c>
      <c r="AX545" s="169" t="str">
        <f t="shared" si="182"/>
        <v/>
      </c>
      <c r="AY545" t="str">
        <f t="shared" si="183"/>
        <v/>
      </c>
      <c r="AZ545" t="str">
        <f t="shared" si="184"/>
        <v/>
      </c>
    </row>
    <row r="546" spans="1:52" x14ac:dyDescent="0.35">
      <c r="A546" s="497" t="s">
        <v>1456</v>
      </c>
      <c r="B546" s="13" t="s">
        <v>5547</v>
      </c>
      <c r="C546" s="13" t="s">
        <v>4808</v>
      </c>
      <c r="D546" s="13" t="s">
        <v>7074</v>
      </c>
      <c r="E546" s="13" t="s">
        <v>3566</v>
      </c>
      <c r="F546" s="373">
        <f t="shared" si="191"/>
        <v>23.87</v>
      </c>
      <c r="G546" s="430">
        <v>23.87</v>
      </c>
      <c r="H546" s="399">
        <f t="shared" si="192"/>
        <v>19.100000000000001</v>
      </c>
      <c r="I546" s="576"/>
      <c r="J546" s="549" t="s">
        <v>5804</v>
      </c>
      <c r="K546" s="11"/>
      <c r="M546" s="37">
        <f t="shared" si="193"/>
        <v>23.87</v>
      </c>
      <c r="N546" s="29">
        <v>9.9</v>
      </c>
      <c r="O546" s="149"/>
      <c r="P546" s="144"/>
      <c r="Q546" s="145"/>
      <c r="R546" s="145" t="s">
        <v>1017</v>
      </c>
      <c r="S546" s="145" t="s">
        <v>4179</v>
      </c>
      <c r="T546" t="s">
        <v>4179</v>
      </c>
      <c r="U546" s="146" t="s">
        <v>1017</v>
      </c>
      <c r="V546" s="145"/>
      <c r="W546" s="147"/>
      <c r="X546" s="147"/>
      <c r="Y546" s="145"/>
      <c r="Z546" s="147"/>
      <c r="AA546" s="145"/>
      <c r="AB546" s="145"/>
      <c r="AC546" s="147"/>
      <c r="AD546" s="145" t="s">
        <v>1017</v>
      </c>
      <c r="AE546" s="148"/>
      <c r="AF546" s="147"/>
      <c r="AG546" s="147"/>
      <c r="AH546" s="166" t="str">
        <f t="shared" si="201"/>
        <v>2010</v>
      </c>
      <c r="AI546" s="168" t="str">
        <f t="shared" si="185"/>
        <v/>
      </c>
      <c r="AJ546" s="168" t="str">
        <f t="shared" si="186"/>
        <v/>
      </c>
      <c r="AK546" s="168" t="str">
        <f t="shared" si="187"/>
        <v/>
      </c>
      <c r="AL546" s="168" t="str">
        <f t="shared" si="188"/>
        <v/>
      </c>
      <c r="AM546" s="168" t="str">
        <f t="shared" si="189"/>
        <v/>
      </c>
      <c r="AN546" s="167" t="str">
        <f t="shared" si="172"/>
        <v>2010</v>
      </c>
      <c r="AO546" s="167" t="str">
        <f t="shared" si="173"/>
        <v>2010</v>
      </c>
      <c r="AP546" s="167" t="str">
        <f t="shared" si="174"/>
        <v>2010</v>
      </c>
      <c r="AQ546" s="169" t="str">
        <f t="shared" si="175"/>
        <v/>
      </c>
      <c r="AR546" s="170" t="str">
        <f t="shared" si="176"/>
        <v>BiK82X2K10y-04</v>
      </c>
      <c r="AS546" s="169" t="str">
        <f t="shared" si="177"/>
        <v/>
      </c>
      <c r="AT546">
        <f t="shared" si="178"/>
        <v>14</v>
      </c>
      <c r="AU546" s="170" t="str">
        <f t="shared" si="179"/>
        <v>0,15-0,5 MW, Bonusregeln X2, y und K erstmals 2010</v>
      </c>
      <c r="AV546" s="169" t="str">
        <f t="shared" si="180"/>
        <v/>
      </c>
      <c r="AW546" s="170" t="str">
        <f t="shared" si="181"/>
        <v>Anteil KWK, erstmals 2010</v>
      </c>
      <c r="AX546" s="169" t="str">
        <f t="shared" si="182"/>
        <v/>
      </c>
      <c r="AY546" t="str">
        <f t="shared" si="183"/>
        <v/>
      </c>
      <c r="AZ546" t="str">
        <f t="shared" si="184"/>
        <v/>
      </c>
    </row>
    <row r="547" spans="1:52" x14ac:dyDescent="0.35">
      <c r="A547" s="497" t="s">
        <v>5277</v>
      </c>
      <c r="B547" s="13" t="s">
        <v>5547</v>
      </c>
      <c r="C547" s="13" t="s">
        <v>4808</v>
      </c>
      <c r="D547" s="13" t="s">
        <v>7075</v>
      </c>
      <c r="E547" s="13" t="s">
        <v>3054</v>
      </c>
      <c r="F547" s="373">
        <f t="shared" si="191"/>
        <v>23.84</v>
      </c>
      <c r="G547" s="430">
        <v>23.84</v>
      </c>
      <c r="H547" s="399">
        <f t="shared" si="192"/>
        <v>19.07</v>
      </c>
      <c r="I547" s="576"/>
      <c r="J547" s="549" t="s">
        <v>5804</v>
      </c>
      <c r="K547" s="11"/>
      <c r="M547" s="37">
        <f t="shared" si="193"/>
        <v>23.84</v>
      </c>
      <c r="N547" s="29">
        <v>9.9</v>
      </c>
      <c r="O547" s="149"/>
      <c r="P547" s="144"/>
      <c r="Q547" s="145"/>
      <c r="R547" s="145"/>
      <c r="S547" s="145" t="s">
        <v>1017</v>
      </c>
      <c r="T547" t="s">
        <v>4179</v>
      </c>
      <c r="U547" s="146" t="s">
        <v>1017</v>
      </c>
      <c r="V547" s="145"/>
      <c r="W547" s="147"/>
      <c r="X547" s="147"/>
      <c r="Y547" s="145"/>
      <c r="Z547" s="147"/>
      <c r="AA547" s="145"/>
      <c r="AB547" s="145"/>
      <c r="AC547" s="147"/>
      <c r="AD547" s="145" t="s">
        <v>1017</v>
      </c>
      <c r="AE547" s="148"/>
      <c r="AF547" s="147"/>
      <c r="AG547" s="147"/>
      <c r="AH547" s="166" t="str">
        <f t="shared" si="201"/>
        <v>2011</v>
      </c>
      <c r="AI547" s="168" t="str">
        <f t="shared" si="185"/>
        <v/>
      </c>
      <c r="AJ547" s="168" t="str">
        <f t="shared" si="186"/>
        <v/>
      </c>
      <c r="AK547" s="168" t="str">
        <f t="shared" si="187"/>
        <v/>
      </c>
      <c r="AL547" s="168" t="str">
        <f t="shared" si="188"/>
        <v/>
      </c>
      <c r="AM547" s="168" t="str">
        <f t="shared" si="189"/>
        <v/>
      </c>
      <c r="AN547" s="167" t="str">
        <f t="shared" si="172"/>
        <v>2011</v>
      </c>
      <c r="AO547" s="167" t="str">
        <f t="shared" si="173"/>
        <v>2011</v>
      </c>
      <c r="AP547" s="167" t="str">
        <f t="shared" si="174"/>
        <v>2011</v>
      </c>
      <c r="AQ547" s="169" t="str">
        <f t="shared" si="175"/>
        <v/>
      </c>
      <c r="AR547" s="170" t="str">
        <f t="shared" si="176"/>
        <v>BiK82X2K11y-04</v>
      </c>
      <c r="AS547" s="169" t="str">
        <f t="shared" si="177"/>
        <v/>
      </c>
      <c r="AT547">
        <f t="shared" si="178"/>
        <v>14</v>
      </c>
      <c r="AU547" s="170" t="str">
        <f t="shared" si="179"/>
        <v>0,15-0,5 MW, Bonusregeln X2, y und K erstmals 2011</v>
      </c>
      <c r="AV547" s="169" t="str">
        <f t="shared" si="180"/>
        <v/>
      </c>
      <c r="AW547" s="170" t="str">
        <f t="shared" si="181"/>
        <v>Anteil KWK, erstmals 2011</v>
      </c>
      <c r="AX547" s="169" t="str">
        <f t="shared" si="182"/>
        <v/>
      </c>
      <c r="AY547" t="str">
        <f t="shared" si="183"/>
        <v>x</v>
      </c>
      <c r="AZ547" t="str">
        <f t="shared" si="184"/>
        <v/>
      </c>
    </row>
    <row r="548" spans="1:52" x14ac:dyDescent="0.35">
      <c r="A548" s="511" t="s">
        <v>1528</v>
      </c>
      <c r="B548" s="173" t="s">
        <v>5547</v>
      </c>
      <c r="C548" s="173" t="s">
        <v>4808</v>
      </c>
      <c r="D548" s="173" t="s">
        <v>7076</v>
      </c>
      <c r="E548" s="173" t="s">
        <v>1980</v>
      </c>
      <c r="F548" s="374">
        <f t="shared" si="191"/>
        <v>23.810000000000002</v>
      </c>
      <c r="G548" s="431">
        <v>23.810000000000002</v>
      </c>
      <c r="H548" s="400">
        <f t="shared" si="192"/>
        <v>19.05</v>
      </c>
      <c r="I548" s="577"/>
      <c r="J548" s="549" t="s">
        <v>5804</v>
      </c>
      <c r="K548" s="11"/>
      <c r="M548" s="37">
        <f t="shared" si="193"/>
        <v>23.810000000000002</v>
      </c>
      <c r="N548" s="29">
        <v>9.9</v>
      </c>
      <c r="O548" s="149"/>
      <c r="P548" s="144"/>
      <c r="Q548" s="145"/>
      <c r="R548" s="145"/>
      <c r="S548" s="145" t="s">
        <v>4179</v>
      </c>
      <c r="T548" t="s">
        <v>1017</v>
      </c>
      <c r="U548" s="146" t="s">
        <v>1017</v>
      </c>
      <c r="V548" s="145"/>
      <c r="W548" s="147"/>
      <c r="X548" s="147"/>
      <c r="Y548" s="145"/>
      <c r="Z548" s="147"/>
      <c r="AA548" s="145"/>
      <c r="AB548" s="145"/>
      <c r="AC548" s="147"/>
      <c r="AD548" s="145" t="s">
        <v>1017</v>
      </c>
      <c r="AE548" s="148"/>
      <c r="AF548" s="147"/>
      <c r="AG548" s="147"/>
      <c r="AH548" s="171" t="s">
        <v>4178</v>
      </c>
      <c r="AI548" s="168" t="str">
        <f t="shared" si="185"/>
        <v/>
      </c>
      <c r="AJ548" s="168" t="str">
        <f t="shared" si="186"/>
        <v/>
      </c>
      <c r="AK548" s="168" t="str">
        <f t="shared" si="187"/>
        <v/>
      </c>
      <c r="AL548" s="168" t="str">
        <f t="shared" si="188"/>
        <v/>
      </c>
      <c r="AM548" s="168" t="str">
        <f t="shared" si="189"/>
        <v/>
      </c>
      <c r="AN548" s="167" t="str">
        <f t="shared" ref="AN548:AN611" si="202">IF(ISERROR(SEARCH("K1",A548)),"","20"&amp;MID(A548,SEARCH("K1",A548)+1,2))</f>
        <v>2012</v>
      </c>
      <c r="AO548" s="167" t="str">
        <f t="shared" ref="AO548:AO611" si="203">IF(ISERROR(SEARCH("erstmals 201",E548)),"",MID(E548,SEARCH("erstmals ",E548)+9,4))</f>
        <v>2012</v>
      </c>
      <c r="AP548" s="167" t="str">
        <f t="shared" ref="AP548:AP611" si="204">IF(R548="x","2010",IF(S548="x","2011",IF(T548="x","2012","")))</f>
        <v>2012</v>
      </c>
      <c r="AQ548" s="169" t="str">
        <f t="shared" ref="AQ548:AQ611" si="205">IF(OR(AH548&lt;&gt;AN548,AH548&lt;&gt;AO548,AH548&lt;&gt;AP548),"DIFF","")</f>
        <v/>
      </c>
      <c r="AR548" s="170" t="str">
        <f t="shared" ref="AR548:AR611" si="206">IF(A548="","",IF(ISERROR(SEARCH("K1",A548)),A548,LEFT(A548,SEARCH("K1",A548)+1)&amp;RIGHT(AH548,1)&amp;MID(A548,SEARCH("K1",A548)+3,14)))</f>
        <v>BiK82X2K12y-04</v>
      </c>
      <c r="AS548" s="169" t="str">
        <f t="shared" ref="AS548:AS611" si="207">IF(OR(A548&lt;&gt;AR548),"DIFF","")</f>
        <v/>
      </c>
      <c r="AT548">
        <f t="shared" ref="AT548:AT611" si="208">LEN(AR548)</f>
        <v>14</v>
      </c>
      <c r="AU548" s="170" t="str">
        <f t="shared" ref="AU548:AU611" si="209">IF(D548="","",IF(OR(A548="",ISERROR(SEARCH("erstmals 201",D548))),D548,LEFT(D548,SEARCH("erstmals 201",D548)+8) &amp; AH548 &amp; MID(D548,SEARCH("erstmals 201",D548)+13,255)))</f>
        <v>0,15-0,5 MW, Bonusregeln X2, y und K erstmals 2012</v>
      </c>
      <c r="AV548" s="169" t="str">
        <f t="shared" ref="AV548:AV611" si="210">IF(OR(D548&lt;&gt;AU548),"DIFF","")</f>
        <v/>
      </c>
      <c r="AW548" s="170" t="str">
        <f t="shared" ref="AW548:AW611" si="211">IF(E548="","",IF(OR(E548="",ISERROR(SEARCH("erstmals 201",E548))),E548,LEFT(E548,SEARCH("erstmals 201",E548)+8) &amp; AH548 &amp; MID(E548,SEARCH("erstmals 201",E548)+13,255)))</f>
        <v>Anteil KWK, erstmals 2012</v>
      </c>
      <c r="AX548" s="169" t="str">
        <f t="shared" ref="AX548:AX611" si="212">IF(OR(E548&lt;&gt;AW548),"DIFF","")</f>
        <v/>
      </c>
      <c r="AY548" t="str">
        <f t="shared" ref="AY548:AY611" si="213">IF(AH548="2011","x",IF(AH548="2012","","" &amp; S548))</f>
        <v/>
      </c>
      <c r="AZ548" t="str">
        <f t="shared" ref="AZ548:AZ611" si="214">IF(AH548="2012","x",IF(AH548="2011","","" &amp; T548))</f>
        <v>x</v>
      </c>
    </row>
    <row r="549" spans="1:52" x14ac:dyDescent="0.35">
      <c r="A549" s="496" t="s">
        <v>4129</v>
      </c>
      <c r="B549" s="1" t="s">
        <v>5547</v>
      </c>
      <c r="C549" s="1" t="s">
        <v>4808</v>
      </c>
      <c r="D549" s="1" t="s">
        <v>7125</v>
      </c>
      <c r="E549" s="1" t="s">
        <v>4809</v>
      </c>
      <c r="F549" s="375">
        <f t="shared" si="191"/>
        <v>11.9</v>
      </c>
      <c r="G549" s="432">
        <v>11.9</v>
      </c>
      <c r="H549" s="401">
        <f t="shared" si="192"/>
        <v>9.52</v>
      </c>
      <c r="I549" s="578"/>
      <c r="J549" s="549" t="s">
        <v>5804</v>
      </c>
      <c r="K549" s="11"/>
      <c r="M549" s="37">
        <f t="shared" si="193"/>
        <v>11.9</v>
      </c>
      <c r="N549" s="29">
        <v>9.9</v>
      </c>
      <c r="O549" s="41"/>
      <c r="P549" s="11"/>
      <c r="S549" t="s">
        <v>4179</v>
      </c>
      <c r="T549" t="s">
        <v>4179</v>
      </c>
      <c r="U549" s="42"/>
      <c r="W549" s="50"/>
      <c r="X549" s="50"/>
      <c r="Z549" s="50"/>
      <c r="AC549" s="50"/>
      <c r="AE549" s="75" t="s">
        <v>1017</v>
      </c>
      <c r="AF549" s="50"/>
      <c r="AG549" s="50"/>
      <c r="AH549" s="166" t="str">
        <f t="shared" ref="AH549:AH554" si="215">IF(ISERROR(SEARCH("K erstmals 201",D549)),"",RIGHT(D549,4))</f>
        <v/>
      </c>
      <c r="AI549" s="168" t="str">
        <f t="shared" ref="AI549:AI612" si="216">IF(AND($AH549&lt;&gt;"",AH549 =AH548),"Gleich","")</f>
        <v/>
      </c>
      <c r="AJ549" s="168" t="str">
        <f t="shared" ref="AJ549:AJ612" si="217">IF(AND($AH549&lt;&gt;"",A549 =A548),"Gleich","")</f>
        <v/>
      </c>
      <c r="AK549" s="168" t="str">
        <f t="shared" ref="AK549:AK612" si="218">IF(AND($AH549&lt;&gt;"",D549 =D548),"Gleich","")</f>
        <v/>
      </c>
      <c r="AL549" s="168" t="str">
        <f t="shared" ref="AL549:AL612" si="219">IF(AND($AH549&lt;&gt;"",E549 =E548),"Gleich","")</f>
        <v/>
      </c>
      <c r="AM549" s="168" t="str">
        <f t="shared" ref="AM549:AM612" si="220">IF(AND($AH549&lt;&gt;"",F549 =F548),"Gleich","")</f>
        <v/>
      </c>
      <c r="AN549" s="167" t="str">
        <f t="shared" si="202"/>
        <v/>
      </c>
      <c r="AO549" s="167" t="str">
        <f t="shared" si="203"/>
        <v/>
      </c>
      <c r="AP549" s="167" t="str">
        <f t="shared" si="204"/>
        <v/>
      </c>
      <c r="AQ549" s="169" t="str">
        <f t="shared" si="205"/>
        <v/>
      </c>
      <c r="AR549" s="170" t="str">
        <f t="shared" si="206"/>
        <v>BiK82b------04</v>
      </c>
      <c r="AS549" s="169" t="str">
        <f t="shared" si="207"/>
        <v/>
      </c>
      <c r="AT549">
        <f t="shared" si="208"/>
        <v>14</v>
      </c>
      <c r="AU549" s="170" t="str">
        <f t="shared" si="209"/>
        <v>0,15-0,5 MW, Bonusregel b</v>
      </c>
      <c r="AV549" s="169" t="str">
        <f t="shared" si="210"/>
        <v/>
      </c>
      <c r="AW549" s="170" t="str">
        <f t="shared" si="211"/>
        <v>Anteil Nicht-KWK</v>
      </c>
      <c r="AX549" s="169" t="str">
        <f t="shared" si="212"/>
        <v/>
      </c>
      <c r="AY549" t="str">
        <f t="shared" si="213"/>
        <v/>
      </c>
      <c r="AZ549" t="str">
        <f t="shared" si="214"/>
        <v/>
      </c>
    </row>
    <row r="550" spans="1:52" s="145" customFormat="1" x14ac:dyDescent="0.35">
      <c r="A550" s="496" t="s">
        <v>4130</v>
      </c>
      <c r="B550" s="1" t="s">
        <v>5547</v>
      </c>
      <c r="C550" s="1" t="s">
        <v>4808</v>
      </c>
      <c r="D550" s="1" t="s">
        <v>7126</v>
      </c>
      <c r="E550" s="1" t="s">
        <v>4811</v>
      </c>
      <c r="F550" s="375">
        <f t="shared" si="191"/>
        <v>13.9</v>
      </c>
      <c r="G550" s="432">
        <v>13.9</v>
      </c>
      <c r="H550" s="401">
        <f t="shared" si="192"/>
        <v>11.12</v>
      </c>
      <c r="I550" s="578"/>
      <c r="J550" s="549" t="s">
        <v>5804</v>
      </c>
      <c r="K550" s="11"/>
      <c r="L550"/>
      <c r="M550" s="37">
        <f t="shared" si="193"/>
        <v>13.9</v>
      </c>
      <c r="N550" s="29">
        <v>9.9</v>
      </c>
      <c r="O550" s="41" t="s">
        <v>1017</v>
      </c>
      <c r="P550" s="11"/>
      <c r="Q550"/>
      <c r="R550"/>
      <c r="S550" t="s">
        <v>4179</v>
      </c>
      <c r="T550" s="145" t="s">
        <v>4179</v>
      </c>
      <c r="U550" s="42"/>
      <c r="V550"/>
      <c r="W550" s="50"/>
      <c r="X550" s="50"/>
      <c r="Y550"/>
      <c r="Z550" s="50"/>
      <c r="AA550"/>
      <c r="AB550"/>
      <c r="AC550" s="50"/>
      <c r="AD550"/>
      <c r="AE550" s="75" t="s">
        <v>1017</v>
      </c>
      <c r="AF550" s="50"/>
      <c r="AG550" s="50"/>
      <c r="AH550" s="166" t="str">
        <f t="shared" si="215"/>
        <v/>
      </c>
      <c r="AI550" s="168" t="str">
        <f t="shared" si="216"/>
        <v/>
      </c>
      <c r="AJ550" s="168" t="str">
        <f t="shared" si="217"/>
        <v/>
      </c>
      <c r="AK550" s="168" t="str">
        <f t="shared" si="218"/>
        <v/>
      </c>
      <c r="AL550" s="168" t="str">
        <f t="shared" si="219"/>
        <v/>
      </c>
      <c r="AM550" s="168" t="str">
        <f t="shared" si="220"/>
        <v/>
      </c>
      <c r="AN550" s="167" t="str">
        <f t="shared" si="202"/>
        <v/>
      </c>
      <c r="AO550" s="167" t="str">
        <f t="shared" si="203"/>
        <v/>
      </c>
      <c r="AP550" s="167" t="str">
        <f t="shared" si="204"/>
        <v/>
      </c>
      <c r="AQ550" s="169" t="str">
        <f t="shared" si="205"/>
        <v/>
      </c>
      <c r="AR550" s="170" t="str">
        <f t="shared" si="206"/>
        <v>BiK82bKWK---04</v>
      </c>
      <c r="AS550" s="169" t="str">
        <f t="shared" si="207"/>
        <v/>
      </c>
      <c r="AT550">
        <f t="shared" si="208"/>
        <v>14</v>
      </c>
      <c r="AU550" s="170" t="str">
        <f t="shared" si="209"/>
        <v>0,15-0,5 MW, Bonusregeln b und KWK</v>
      </c>
      <c r="AV550" s="169" t="str">
        <f t="shared" si="210"/>
        <v/>
      </c>
      <c r="AW550" s="170" t="str">
        <f t="shared" si="211"/>
        <v>Anteil KWK</v>
      </c>
      <c r="AX550" s="169" t="str">
        <f t="shared" si="212"/>
        <v/>
      </c>
      <c r="AY550" t="str">
        <f t="shared" si="213"/>
        <v/>
      </c>
      <c r="AZ550" t="str">
        <f t="shared" si="214"/>
        <v/>
      </c>
    </row>
    <row r="551" spans="1:52" s="145" customFormat="1" x14ac:dyDescent="0.35">
      <c r="A551" s="497" t="s">
        <v>4340</v>
      </c>
      <c r="B551" s="13" t="s">
        <v>5547</v>
      </c>
      <c r="C551" s="13" t="s">
        <v>4808</v>
      </c>
      <c r="D551" s="13" t="s">
        <v>7127</v>
      </c>
      <c r="E551" s="13" t="s">
        <v>4330</v>
      </c>
      <c r="F551" s="373">
        <f t="shared" si="191"/>
        <v>14.9</v>
      </c>
      <c r="G551" s="430">
        <v>14.9</v>
      </c>
      <c r="H551" s="399">
        <f t="shared" si="192"/>
        <v>11.92</v>
      </c>
      <c r="I551" s="576"/>
      <c r="J551" s="549" t="s">
        <v>5804</v>
      </c>
      <c r="K551" s="11"/>
      <c r="L551"/>
      <c r="M551" s="37">
        <f t="shared" si="193"/>
        <v>14.9</v>
      </c>
      <c r="N551" s="29">
        <v>9.9</v>
      </c>
      <c r="O551" s="41"/>
      <c r="P551" t="s">
        <v>1017</v>
      </c>
      <c r="Q551"/>
      <c r="R551"/>
      <c r="S551" t="s">
        <v>4179</v>
      </c>
      <c r="T551" s="145" t="s">
        <v>4179</v>
      </c>
      <c r="U551" s="42"/>
      <c r="V551"/>
      <c r="W551" s="50"/>
      <c r="X551" s="50"/>
      <c r="Y551"/>
      <c r="Z551" s="50"/>
      <c r="AA551"/>
      <c r="AB551"/>
      <c r="AC551" s="50"/>
      <c r="AD551"/>
      <c r="AE551" s="75" t="s">
        <v>1017</v>
      </c>
      <c r="AF551" s="50"/>
      <c r="AG551" s="50"/>
      <c r="AH551" s="166" t="str">
        <f t="shared" si="215"/>
        <v/>
      </c>
      <c r="AI551" s="168" t="str">
        <f t="shared" si="216"/>
        <v/>
      </c>
      <c r="AJ551" s="168" t="str">
        <f t="shared" si="217"/>
        <v/>
      </c>
      <c r="AK551" s="168" t="str">
        <f t="shared" si="218"/>
        <v/>
      </c>
      <c r="AL551" s="168" t="str">
        <f t="shared" si="219"/>
        <v/>
      </c>
      <c r="AM551" s="168" t="str">
        <f t="shared" si="220"/>
        <v/>
      </c>
      <c r="AN551" s="167" t="str">
        <f t="shared" si="202"/>
        <v/>
      </c>
      <c r="AO551" s="167" t="str">
        <f t="shared" si="203"/>
        <v/>
      </c>
      <c r="AP551" s="167" t="str">
        <f t="shared" si="204"/>
        <v/>
      </c>
      <c r="AQ551" s="169" t="str">
        <f t="shared" si="205"/>
        <v/>
      </c>
      <c r="AR551" s="170" t="str">
        <f t="shared" si="206"/>
        <v>BiK82bKA3---04</v>
      </c>
      <c r="AS551" s="169" t="str">
        <f t="shared" si="207"/>
        <v/>
      </c>
      <c r="AT551">
        <f t="shared" si="208"/>
        <v>14</v>
      </c>
      <c r="AU551" s="170" t="str">
        <f t="shared" si="209"/>
        <v>0,15-0,5 MW, Bonusregeln b und K wenn Anlage 3 erfüllt</v>
      </c>
      <c r="AV551" s="169" t="str">
        <f t="shared" si="210"/>
        <v/>
      </c>
      <c r="AW551" s="170" t="str">
        <f t="shared" si="211"/>
        <v>Anteil KWK gemäß Anlage 3</v>
      </c>
      <c r="AX551" s="169" t="str">
        <f t="shared" si="212"/>
        <v/>
      </c>
      <c r="AY551" t="str">
        <f t="shared" si="213"/>
        <v/>
      </c>
      <c r="AZ551" t="str">
        <f t="shared" si="214"/>
        <v/>
      </c>
    </row>
    <row r="552" spans="1:52" s="145" customFormat="1" x14ac:dyDescent="0.35">
      <c r="A552" s="497" t="s">
        <v>5040</v>
      </c>
      <c r="B552" s="13" t="s">
        <v>5547</v>
      </c>
      <c r="C552" s="13" t="s">
        <v>4808</v>
      </c>
      <c r="D552" s="13" t="s">
        <v>7128</v>
      </c>
      <c r="E552" s="13" t="s">
        <v>674</v>
      </c>
      <c r="F552" s="373">
        <f t="shared" si="191"/>
        <v>14.9</v>
      </c>
      <c r="G552" s="430">
        <v>14.9</v>
      </c>
      <c r="H552" s="399">
        <f t="shared" si="192"/>
        <v>11.92</v>
      </c>
      <c r="I552" s="576"/>
      <c r="J552" s="549" t="s">
        <v>5804</v>
      </c>
      <c r="K552" s="11"/>
      <c r="L552"/>
      <c r="M552" s="37">
        <f t="shared" si="193"/>
        <v>14.9</v>
      </c>
      <c r="N552" s="29">
        <v>9.9</v>
      </c>
      <c r="O552" s="41"/>
      <c r="P552" s="11"/>
      <c r="Q552" t="s">
        <v>1017</v>
      </c>
      <c r="R552"/>
      <c r="S552" t="s">
        <v>4179</v>
      </c>
      <c r="T552" s="145" t="s">
        <v>4179</v>
      </c>
      <c r="U552" s="42"/>
      <c r="V552"/>
      <c r="W552" s="50"/>
      <c r="X552" s="50"/>
      <c r="Y552"/>
      <c r="Z552" s="50"/>
      <c r="AA552"/>
      <c r="AB552"/>
      <c r="AC552" s="50"/>
      <c r="AD552"/>
      <c r="AE552" s="75" t="s">
        <v>1017</v>
      </c>
      <c r="AF552" s="50"/>
      <c r="AG552" s="50"/>
      <c r="AH552" s="166" t="str">
        <f t="shared" si="215"/>
        <v/>
      </c>
      <c r="AI552" s="168" t="str">
        <f t="shared" si="216"/>
        <v/>
      </c>
      <c r="AJ552" s="168" t="str">
        <f t="shared" si="217"/>
        <v/>
      </c>
      <c r="AK552" s="168" t="str">
        <f t="shared" si="218"/>
        <v/>
      </c>
      <c r="AL552" s="168" t="str">
        <f t="shared" si="219"/>
        <v/>
      </c>
      <c r="AM552" s="168" t="str">
        <f t="shared" si="220"/>
        <v/>
      </c>
      <c r="AN552" s="167" t="str">
        <f t="shared" si="202"/>
        <v/>
      </c>
      <c r="AO552" s="167" t="str">
        <f t="shared" si="203"/>
        <v/>
      </c>
      <c r="AP552" s="167" t="str">
        <f t="shared" si="204"/>
        <v/>
      </c>
      <c r="AQ552" s="169" t="str">
        <f t="shared" si="205"/>
        <v/>
      </c>
      <c r="AR552" s="170" t="str">
        <f t="shared" si="206"/>
        <v>BiK82bK09---04</v>
      </c>
      <c r="AS552" s="169" t="str">
        <f t="shared" si="207"/>
        <v/>
      </c>
      <c r="AT552">
        <f t="shared" si="208"/>
        <v>14</v>
      </c>
      <c r="AU552" s="170" t="str">
        <f t="shared" si="209"/>
        <v>0,15-0,5 MW, Bonusregeln b und K erstmals 2009</v>
      </c>
      <c r="AV552" s="169" t="str">
        <f t="shared" si="210"/>
        <v/>
      </c>
      <c r="AW552" s="170" t="str">
        <f t="shared" si="211"/>
        <v>Anteil KWK, erstmals 2009</v>
      </c>
      <c r="AX552" s="169" t="str">
        <f t="shared" si="212"/>
        <v/>
      </c>
      <c r="AY552" t="str">
        <f t="shared" si="213"/>
        <v/>
      </c>
      <c r="AZ552" t="str">
        <f t="shared" si="214"/>
        <v/>
      </c>
    </row>
    <row r="553" spans="1:52" s="145" customFormat="1" x14ac:dyDescent="0.35">
      <c r="A553" s="497" t="s">
        <v>1457</v>
      </c>
      <c r="B553" s="13" t="s">
        <v>5547</v>
      </c>
      <c r="C553" s="13" t="s">
        <v>4808</v>
      </c>
      <c r="D553" s="13" t="s">
        <v>7129</v>
      </c>
      <c r="E553" s="13" t="s">
        <v>3566</v>
      </c>
      <c r="F553" s="373">
        <f t="shared" ref="F553:F616" si="221">M553</f>
        <v>14.870000000000001</v>
      </c>
      <c r="G553" s="430">
        <v>14.870000000000001</v>
      </c>
      <c r="H553" s="399">
        <f t="shared" ref="H553:H616" si="222">IF(ISNUMBER(G553),ROUND(0.8*G553,2),"")</f>
        <v>11.9</v>
      </c>
      <c r="I553" s="576"/>
      <c r="J553" s="549" t="s">
        <v>5804</v>
      </c>
      <c r="K553" s="11"/>
      <c r="L553"/>
      <c r="M553" s="37">
        <f t="shared" ref="M553:M616" si="223">N553+SUMIF(O553:AG553,"x",O$296:AG$296)</f>
        <v>14.870000000000001</v>
      </c>
      <c r="N553" s="29">
        <v>9.9</v>
      </c>
      <c r="O553" s="41"/>
      <c r="P553" s="11"/>
      <c r="Q553"/>
      <c r="R553" t="s">
        <v>1017</v>
      </c>
      <c r="S553" t="s">
        <v>4179</v>
      </c>
      <c r="T553" s="145" t="s">
        <v>4179</v>
      </c>
      <c r="U553" s="42"/>
      <c r="V553"/>
      <c r="W553" s="50"/>
      <c r="X553" s="50"/>
      <c r="Y553"/>
      <c r="Z553" s="50"/>
      <c r="AA553"/>
      <c r="AB553"/>
      <c r="AC553" s="50"/>
      <c r="AD553"/>
      <c r="AE553" s="75" t="s">
        <v>1017</v>
      </c>
      <c r="AF553" s="50"/>
      <c r="AG553" s="50"/>
      <c r="AH553" s="166" t="str">
        <f t="shared" si="215"/>
        <v>2010</v>
      </c>
      <c r="AI553" s="168" t="str">
        <f t="shared" si="216"/>
        <v/>
      </c>
      <c r="AJ553" s="168" t="str">
        <f t="shared" si="217"/>
        <v/>
      </c>
      <c r="AK553" s="168" t="str">
        <f t="shared" si="218"/>
        <v/>
      </c>
      <c r="AL553" s="168" t="str">
        <f t="shared" si="219"/>
        <v/>
      </c>
      <c r="AM553" s="168" t="str">
        <f t="shared" si="220"/>
        <v/>
      </c>
      <c r="AN553" s="167" t="str">
        <f t="shared" si="202"/>
        <v>2010</v>
      </c>
      <c r="AO553" s="167" t="str">
        <f t="shared" si="203"/>
        <v>2010</v>
      </c>
      <c r="AP553" s="167" t="str">
        <f t="shared" si="204"/>
        <v>2010</v>
      </c>
      <c r="AQ553" s="169" t="str">
        <f t="shared" si="205"/>
        <v/>
      </c>
      <c r="AR553" s="170" t="str">
        <f t="shared" si="206"/>
        <v>BiK82bK10---04</v>
      </c>
      <c r="AS553" s="169" t="str">
        <f t="shared" si="207"/>
        <v/>
      </c>
      <c r="AT553">
        <f t="shared" si="208"/>
        <v>14</v>
      </c>
      <c r="AU553" s="170" t="str">
        <f t="shared" si="209"/>
        <v>0,15-0,5 MW, Bonusregeln b und K erstmals 2010</v>
      </c>
      <c r="AV553" s="169" t="str">
        <f t="shared" si="210"/>
        <v/>
      </c>
      <c r="AW553" s="170" t="str">
        <f t="shared" si="211"/>
        <v>Anteil KWK, erstmals 2010</v>
      </c>
      <c r="AX553" s="169" t="str">
        <f t="shared" si="212"/>
        <v/>
      </c>
      <c r="AY553" t="str">
        <f t="shared" si="213"/>
        <v/>
      </c>
      <c r="AZ553" t="str">
        <f t="shared" si="214"/>
        <v/>
      </c>
    </row>
    <row r="554" spans="1:52" s="145" customFormat="1" x14ac:dyDescent="0.35">
      <c r="A554" s="497" t="s">
        <v>5278</v>
      </c>
      <c r="B554" s="13" t="s">
        <v>5547</v>
      </c>
      <c r="C554" s="13" t="s">
        <v>4808</v>
      </c>
      <c r="D554" s="13" t="s">
        <v>7130</v>
      </c>
      <c r="E554" s="13" t="s">
        <v>3054</v>
      </c>
      <c r="F554" s="373">
        <f t="shared" si="221"/>
        <v>14.84</v>
      </c>
      <c r="G554" s="430">
        <v>14.84</v>
      </c>
      <c r="H554" s="399">
        <f t="shared" si="222"/>
        <v>11.87</v>
      </c>
      <c r="I554" s="576"/>
      <c r="J554" s="549" t="s">
        <v>5804</v>
      </c>
      <c r="K554" s="11"/>
      <c r="L554"/>
      <c r="M554" s="37">
        <f t="shared" si="223"/>
        <v>14.84</v>
      </c>
      <c r="N554" s="29">
        <v>9.9</v>
      </c>
      <c r="O554" s="41"/>
      <c r="P554" s="11"/>
      <c r="Q554"/>
      <c r="R554"/>
      <c r="S554" t="s">
        <v>1017</v>
      </c>
      <c r="T554" s="145" t="s">
        <v>4179</v>
      </c>
      <c r="U554" s="42"/>
      <c r="V554"/>
      <c r="W554" s="50"/>
      <c r="X554" s="50"/>
      <c r="Y554"/>
      <c r="Z554" s="50"/>
      <c r="AA554"/>
      <c r="AB554"/>
      <c r="AC554" s="50"/>
      <c r="AD554"/>
      <c r="AE554" s="75" t="s">
        <v>1017</v>
      </c>
      <c r="AF554" s="50"/>
      <c r="AG554" s="50"/>
      <c r="AH554" s="166" t="str">
        <f t="shared" si="215"/>
        <v>2011</v>
      </c>
      <c r="AI554" s="168" t="str">
        <f t="shared" si="216"/>
        <v/>
      </c>
      <c r="AJ554" s="168" t="str">
        <f t="shared" si="217"/>
        <v/>
      </c>
      <c r="AK554" s="168" t="str">
        <f t="shared" si="218"/>
        <v/>
      </c>
      <c r="AL554" s="168" t="str">
        <f t="shared" si="219"/>
        <v/>
      </c>
      <c r="AM554" s="168" t="str">
        <f t="shared" si="220"/>
        <v/>
      </c>
      <c r="AN554" s="167" t="str">
        <f t="shared" si="202"/>
        <v>2011</v>
      </c>
      <c r="AO554" s="167" t="str">
        <f t="shared" si="203"/>
        <v>2011</v>
      </c>
      <c r="AP554" s="167" t="str">
        <f t="shared" si="204"/>
        <v>2011</v>
      </c>
      <c r="AQ554" s="169" t="str">
        <f t="shared" si="205"/>
        <v/>
      </c>
      <c r="AR554" s="170" t="str">
        <f t="shared" si="206"/>
        <v>BiK82bK11---04</v>
      </c>
      <c r="AS554" s="169" t="str">
        <f t="shared" si="207"/>
        <v/>
      </c>
      <c r="AT554">
        <f t="shared" si="208"/>
        <v>14</v>
      </c>
      <c r="AU554" s="170" t="str">
        <f t="shared" si="209"/>
        <v>0,15-0,5 MW, Bonusregeln b und K erstmals 2011</v>
      </c>
      <c r="AV554" s="169" t="str">
        <f t="shared" si="210"/>
        <v/>
      </c>
      <c r="AW554" s="170" t="str">
        <f t="shared" si="211"/>
        <v>Anteil KWK, erstmals 2011</v>
      </c>
      <c r="AX554" s="169" t="str">
        <f t="shared" si="212"/>
        <v/>
      </c>
      <c r="AY554" t="str">
        <f t="shared" si="213"/>
        <v>x</v>
      </c>
      <c r="AZ554" t="str">
        <f t="shared" si="214"/>
        <v/>
      </c>
    </row>
    <row r="555" spans="1:52" s="145" customFormat="1" x14ac:dyDescent="0.35">
      <c r="A555" s="511" t="s">
        <v>1529</v>
      </c>
      <c r="B555" s="173" t="s">
        <v>5547</v>
      </c>
      <c r="C555" s="173" t="s">
        <v>4808</v>
      </c>
      <c r="D555" s="173" t="s">
        <v>7131</v>
      </c>
      <c r="E555" s="173" t="s">
        <v>1980</v>
      </c>
      <c r="F555" s="374">
        <f t="shared" si="221"/>
        <v>14.81</v>
      </c>
      <c r="G555" s="431">
        <v>14.81</v>
      </c>
      <c r="H555" s="400">
        <f t="shared" si="222"/>
        <v>11.85</v>
      </c>
      <c r="I555" s="577"/>
      <c r="J555" s="549" t="s">
        <v>5804</v>
      </c>
      <c r="K555" s="11"/>
      <c r="L555"/>
      <c r="M555" s="37">
        <f t="shared" si="223"/>
        <v>14.81</v>
      </c>
      <c r="N555" s="29">
        <v>9.9</v>
      </c>
      <c r="O555" s="41"/>
      <c r="P555" s="11"/>
      <c r="Q555"/>
      <c r="R555"/>
      <c r="S555" t="s">
        <v>4179</v>
      </c>
      <c r="T555" s="145" t="s">
        <v>1017</v>
      </c>
      <c r="U555" s="42"/>
      <c r="V555"/>
      <c r="W555" s="50"/>
      <c r="X555" s="50"/>
      <c r="Y555"/>
      <c r="Z555" s="50"/>
      <c r="AA555"/>
      <c r="AB555"/>
      <c r="AC555" s="50"/>
      <c r="AD555"/>
      <c r="AE555" s="75" t="s">
        <v>1017</v>
      </c>
      <c r="AF555" s="50"/>
      <c r="AG555" s="50"/>
      <c r="AH555" s="171" t="s">
        <v>4178</v>
      </c>
      <c r="AI555" s="168" t="str">
        <f t="shared" si="216"/>
        <v/>
      </c>
      <c r="AJ555" s="168" t="str">
        <f t="shared" si="217"/>
        <v/>
      </c>
      <c r="AK555" s="168" t="str">
        <f t="shared" si="218"/>
        <v/>
      </c>
      <c r="AL555" s="168" t="str">
        <f t="shared" si="219"/>
        <v/>
      </c>
      <c r="AM555" s="168" t="str">
        <f t="shared" si="220"/>
        <v/>
      </c>
      <c r="AN555" s="167" t="str">
        <f t="shared" si="202"/>
        <v>2012</v>
      </c>
      <c r="AO555" s="167" t="str">
        <f t="shared" si="203"/>
        <v>2012</v>
      </c>
      <c r="AP555" s="167" t="str">
        <f t="shared" si="204"/>
        <v>2012</v>
      </c>
      <c r="AQ555" s="169" t="str">
        <f t="shared" si="205"/>
        <v/>
      </c>
      <c r="AR555" s="170" t="str">
        <f t="shared" si="206"/>
        <v>BiK82bK12---04</v>
      </c>
      <c r="AS555" s="169" t="str">
        <f t="shared" si="207"/>
        <v/>
      </c>
      <c r="AT555">
        <f t="shared" si="208"/>
        <v>14</v>
      </c>
      <c r="AU555" s="170" t="str">
        <f t="shared" si="209"/>
        <v>0,15-0,5 MW, Bonusregeln b und K erstmals 2012</v>
      </c>
      <c r="AV555" s="169" t="str">
        <f t="shared" si="210"/>
        <v/>
      </c>
      <c r="AW555" s="170" t="str">
        <f t="shared" si="211"/>
        <v>Anteil KWK, erstmals 2012</v>
      </c>
      <c r="AX555" s="169" t="str">
        <f t="shared" si="212"/>
        <v/>
      </c>
      <c r="AY555" t="str">
        <f t="shared" si="213"/>
        <v/>
      </c>
      <c r="AZ555" t="str">
        <f t="shared" si="214"/>
        <v>x</v>
      </c>
    </row>
    <row r="556" spans="1:52" s="145" customFormat="1" x14ac:dyDescent="0.35">
      <c r="A556" s="497" t="s">
        <v>1365</v>
      </c>
      <c r="B556" s="13" t="s">
        <v>5547</v>
      </c>
      <c r="C556" s="13" t="s">
        <v>4808</v>
      </c>
      <c r="D556" s="13" t="s">
        <v>7132</v>
      </c>
      <c r="E556" s="13" t="s">
        <v>4809</v>
      </c>
      <c r="F556" s="373">
        <f t="shared" si="221"/>
        <v>12.9</v>
      </c>
      <c r="G556" s="430">
        <v>12.9</v>
      </c>
      <c r="H556" s="399">
        <f t="shared" si="222"/>
        <v>10.32</v>
      </c>
      <c r="I556" s="576"/>
      <c r="J556" s="549" t="s">
        <v>5804</v>
      </c>
      <c r="K556" s="11"/>
      <c r="L556"/>
      <c r="M556" s="37">
        <f t="shared" si="223"/>
        <v>12.9</v>
      </c>
      <c r="N556" s="29">
        <v>9.9</v>
      </c>
      <c r="O556" s="41"/>
      <c r="P556" s="11"/>
      <c r="Q556"/>
      <c r="R556"/>
      <c r="S556" t="s">
        <v>4179</v>
      </c>
      <c r="T556" s="145" t="s">
        <v>4179</v>
      </c>
      <c r="U556" s="42" t="s">
        <v>1017</v>
      </c>
      <c r="V556"/>
      <c r="W556" s="50"/>
      <c r="X556" s="50"/>
      <c r="Y556"/>
      <c r="Z556" s="50"/>
      <c r="AA556"/>
      <c r="AB556"/>
      <c r="AC556" s="50"/>
      <c r="AD556"/>
      <c r="AE556" s="75" t="s">
        <v>1017</v>
      </c>
      <c r="AF556" s="50"/>
      <c r="AG556" s="50"/>
      <c r="AH556" s="166" t="str">
        <f t="shared" ref="AH556:AH561" si="224">IF(ISERROR(SEARCH("K erstmals 201",D556)),"",RIGHT(D556,4))</f>
        <v/>
      </c>
      <c r="AI556" s="168" t="str">
        <f t="shared" si="216"/>
        <v/>
      </c>
      <c r="AJ556" s="168" t="str">
        <f t="shared" si="217"/>
        <v/>
      </c>
      <c r="AK556" s="168" t="str">
        <f t="shared" si="218"/>
        <v/>
      </c>
      <c r="AL556" s="168" t="str">
        <f t="shared" si="219"/>
        <v/>
      </c>
      <c r="AM556" s="168" t="str">
        <f t="shared" si="220"/>
        <v/>
      </c>
      <c r="AN556" s="167" t="str">
        <f t="shared" si="202"/>
        <v/>
      </c>
      <c r="AO556" s="167" t="str">
        <f t="shared" si="203"/>
        <v/>
      </c>
      <c r="AP556" s="167" t="str">
        <f t="shared" si="204"/>
        <v/>
      </c>
      <c r="AQ556" s="169" t="str">
        <f t="shared" si="205"/>
        <v/>
      </c>
      <c r="AR556" s="170" t="str">
        <f t="shared" si="206"/>
        <v>BiK82by-----04</v>
      </c>
      <c r="AS556" s="169" t="str">
        <f t="shared" si="207"/>
        <v/>
      </c>
      <c r="AT556">
        <f t="shared" si="208"/>
        <v>14</v>
      </c>
      <c r="AU556" s="170" t="str">
        <f t="shared" si="209"/>
        <v>0,15-0,5 MW, Bonusregeln b, y</v>
      </c>
      <c r="AV556" s="169" t="str">
        <f t="shared" si="210"/>
        <v/>
      </c>
      <c r="AW556" s="170" t="str">
        <f t="shared" si="211"/>
        <v>Anteil Nicht-KWK</v>
      </c>
      <c r="AX556" s="169" t="str">
        <f t="shared" si="212"/>
        <v/>
      </c>
      <c r="AY556" t="str">
        <f t="shared" si="213"/>
        <v/>
      </c>
      <c r="AZ556" t="str">
        <f t="shared" si="214"/>
        <v/>
      </c>
    </row>
    <row r="557" spans="1:52" s="145" customFormat="1" x14ac:dyDescent="0.35">
      <c r="A557" s="497" t="s">
        <v>1366</v>
      </c>
      <c r="B557" s="13" t="s">
        <v>5547</v>
      </c>
      <c r="C557" s="13" t="s">
        <v>4808</v>
      </c>
      <c r="D557" s="13" t="s">
        <v>7133</v>
      </c>
      <c r="E557" s="13" t="s">
        <v>4811</v>
      </c>
      <c r="F557" s="373">
        <f t="shared" si="221"/>
        <v>14.9</v>
      </c>
      <c r="G557" s="430">
        <v>14.9</v>
      </c>
      <c r="H557" s="399">
        <f t="shared" si="222"/>
        <v>11.92</v>
      </c>
      <c r="I557" s="576"/>
      <c r="J557" s="549" t="s">
        <v>5804</v>
      </c>
      <c r="K557" s="11"/>
      <c r="L557"/>
      <c r="M557" s="37">
        <f t="shared" si="223"/>
        <v>14.9</v>
      </c>
      <c r="N557" s="29">
        <v>9.9</v>
      </c>
      <c r="O557" s="41" t="s">
        <v>1017</v>
      </c>
      <c r="P557" s="11"/>
      <c r="Q557"/>
      <c r="R557"/>
      <c r="S557" t="s">
        <v>4179</v>
      </c>
      <c r="T557" s="145" t="s">
        <v>4179</v>
      </c>
      <c r="U557" s="42" t="s">
        <v>1017</v>
      </c>
      <c r="V557"/>
      <c r="W557" s="50"/>
      <c r="X557" s="50"/>
      <c r="Y557"/>
      <c r="Z557" s="50"/>
      <c r="AA557"/>
      <c r="AB557"/>
      <c r="AC557" s="50"/>
      <c r="AD557"/>
      <c r="AE557" s="75" t="s">
        <v>1017</v>
      </c>
      <c r="AF557" s="50"/>
      <c r="AG557" s="50"/>
      <c r="AH557" s="166" t="str">
        <f t="shared" si="224"/>
        <v/>
      </c>
      <c r="AI557" s="168" t="str">
        <f t="shared" si="216"/>
        <v/>
      </c>
      <c r="AJ557" s="168" t="str">
        <f t="shared" si="217"/>
        <v/>
      </c>
      <c r="AK557" s="168" t="str">
        <f t="shared" si="218"/>
        <v/>
      </c>
      <c r="AL557" s="168" t="str">
        <f t="shared" si="219"/>
        <v/>
      </c>
      <c r="AM557" s="168" t="str">
        <f t="shared" si="220"/>
        <v/>
      </c>
      <c r="AN557" s="167" t="str">
        <f t="shared" si="202"/>
        <v/>
      </c>
      <c r="AO557" s="167" t="str">
        <f t="shared" si="203"/>
        <v/>
      </c>
      <c r="AP557" s="167" t="str">
        <f t="shared" si="204"/>
        <v/>
      </c>
      <c r="AQ557" s="169" t="str">
        <f t="shared" si="205"/>
        <v/>
      </c>
      <c r="AR557" s="170" t="str">
        <f t="shared" si="206"/>
        <v>BiK82bKWKy--04</v>
      </c>
      <c r="AS557" s="169" t="str">
        <f t="shared" si="207"/>
        <v/>
      </c>
      <c r="AT557">
        <f t="shared" si="208"/>
        <v>14</v>
      </c>
      <c r="AU557" s="170" t="str">
        <f t="shared" si="209"/>
        <v>0,15-0,5 MW, Bonusregeln b, y und KWK</v>
      </c>
      <c r="AV557" s="169" t="str">
        <f t="shared" si="210"/>
        <v/>
      </c>
      <c r="AW557" s="170" t="str">
        <f t="shared" si="211"/>
        <v>Anteil KWK</v>
      </c>
      <c r="AX557" s="169" t="str">
        <f t="shared" si="212"/>
        <v/>
      </c>
      <c r="AY557" t="str">
        <f t="shared" si="213"/>
        <v/>
      </c>
      <c r="AZ557" t="str">
        <f t="shared" si="214"/>
        <v/>
      </c>
    </row>
    <row r="558" spans="1:52" s="145" customFormat="1" x14ac:dyDescent="0.35">
      <c r="A558" s="497" t="s">
        <v>1367</v>
      </c>
      <c r="B558" s="13" t="s">
        <v>5547</v>
      </c>
      <c r="C558" s="13" t="s">
        <v>4808</v>
      </c>
      <c r="D558" s="13" t="s">
        <v>7134</v>
      </c>
      <c r="E558" s="13" t="s">
        <v>4330</v>
      </c>
      <c r="F558" s="373">
        <f t="shared" si="221"/>
        <v>15.9</v>
      </c>
      <c r="G558" s="430">
        <v>15.9</v>
      </c>
      <c r="H558" s="399">
        <f t="shared" si="222"/>
        <v>12.72</v>
      </c>
      <c r="I558" s="576"/>
      <c r="J558" s="549" t="s">
        <v>5804</v>
      </c>
      <c r="K558" s="11"/>
      <c r="L558"/>
      <c r="M558" s="37">
        <f t="shared" si="223"/>
        <v>15.9</v>
      </c>
      <c r="N558" s="29">
        <v>9.9</v>
      </c>
      <c r="O558" s="41"/>
      <c r="P558" t="s">
        <v>1017</v>
      </c>
      <c r="Q558"/>
      <c r="R558"/>
      <c r="S558" t="s">
        <v>4179</v>
      </c>
      <c r="T558" s="145" t="s">
        <v>4179</v>
      </c>
      <c r="U558" s="42" t="s">
        <v>1017</v>
      </c>
      <c r="V558"/>
      <c r="W558" s="50"/>
      <c r="X558" s="50"/>
      <c r="Y558"/>
      <c r="Z558" s="50"/>
      <c r="AA558"/>
      <c r="AB558"/>
      <c r="AC558" s="50"/>
      <c r="AD558"/>
      <c r="AE558" s="75" t="s">
        <v>1017</v>
      </c>
      <c r="AF558" s="50"/>
      <c r="AG558" s="50"/>
      <c r="AH558" s="166" t="str">
        <f t="shared" si="224"/>
        <v/>
      </c>
      <c r="AI558" s="168" t="str">
        <f t="shared" si="216"/>
        <v/>
      </c>
      <c r="AJ558" s="168" t="str">
        <f t="shared" si="217"/>
        <v/>
      </c>
      <c r="AK558" s="168" t="str">
        <f t="shared" si="218"/>
        <v/>
      </c>
      <c r="AL558" s="168" t="str">
        <f t="shared" si="219"/>
        <v/>
      </c>
      <c r="AM558" s="168" t="str">
        <f t="shared" si="220"/>
        <v/>
      </c>
      <c r="AN558" s="167" t="str">
        <f t="shared" si="202"/>
        <v/>
      </c>
      <c r="AO558" s="167" t="str">
        <f t="shared" si="203"/>
        <v/>
      </c>
      <c r="AP558" s="167" t="str">
        <f t="shared" si="204"/>
        <v/>
      </c>
      <c r="AQ558" s="169" t="str">
        <f t="shared" si="205"/>
        <v/>
      </c>
      <c r="AR558" s="170" t="str">
        <f t="shared" si="206"/>
        <v>BiK82bKA3y--04</v>
      </c>
      <c r="AS558" s="169" t="str">
        <f t="shared" si="207"/>
        <v/>
      </c>
      <c r="AT558">
        <f t="shared" si="208"/>
        <v>14</v>
      </c>
      <c r="AU558" s="170" t="str">
        <f t="shared" si="209"/>
        <v>0,15-0,5 MW, Bonusregeln b, y und K wenn Anlage 3 erfüllt</v>
      </c>
      <c r="AV558" s="169" t="str">
        <f t="shared" si="210"/>
        <v/>
      </c>
      <c r="AW558" s="170" t="str">
        <f t="shared" si="211"/>
        <v>Anteil KWK gemäß Anlage 3</v>
      </c>
      <c r="AX558" s="169" t="str">
        <f t="shared" si="212"/>
        <v/>
      </c>
      <c r="AY558" t="str">
        <f t="shared" si="213"/>
        <v/>
      </c>
      <c r="AZ558" t="str">
        <f t="shared" si="214"/>
        <v/>
      </c>
    </row>
    <row r="559" spans="1:52" s="145" customFormat="1" x14ac:dyDescent="0.35">
      <c r="A559" s="497" t="s">
        <v>1368</v>
      </c>
      <c r="B559" s="13" t="s">
        <v>5547</v>
      </c>
      <c r="C559" s="13" t="s">
        <v>4808</v>
      </c>
      <c r="D559" s="13" t="s">
        <v>7135</v>
      </c>
      <c r="E559" s="13" t="s">
        <v>674</v>
      </c>
      <c r="F559" s="373">
        <f t="shared" si="221"/>
        <v>15.9</v>
      </c>
      <c r="G559" s="430">
        <v>15.9</v>
      </c>
      <c r="H559" s="399">
        <f t="shared" si="222"/>
        <v>12.72</v>
      </c>
      <c r="I559" s="576"/>
      <c r="J559" s="549" t="s">
        <v>5804</v>
      </c>
      <c r="K559" s="11"/>
      <c r="L559"/>
      <c r="M559" s="37">
        <f t="shared" si="223"/>
        <v>15.9</v>
      </c>
      <c r="N559" s="29">
        <v>9.9</v>
      </c>
      <c r="O559" s="41"/>
      <c r="P559" s="11"/>
      <c r="Q559" t="s">
        <v>1017</v>
      </c>
      <c r="R559"/>
      <c r="S559" t="s">
        <v>4179</v>
      </c>
      <c r="T559" s="145" t="s">
        <v>4179</v>
      </c>
      <c r="U559" s="42" t="s">
        <v>1017</v>
      </c>
      <c r="V559"/>
      <c r="W559" s="50"/>
      <c r="X559" s="50"/>
      <c r="Y559"/>
      <c r="Z559" s="50"/>
      <c r="AA559"/>
      <c r="AB559"/>
      <c r="AC559" s="50"/>
      <c r="AD559"/>
      <c r="AE559" s="75" t="s">
        <v>1017</v>
      </c>
      <c r="AF559" s="50"/>
      <c r="AG559" s="50"/>
      <c r="AH559" s="166" t="str">
        <f t="shared" si="224"/>
        <v/>
      </c>
      <c r="AI559" s="168" t="str">
        <f t="shared" si="216"/>
        <v/>
      </c>
      <c r="AJ559" s="168" t="str">
        <f t="shared" si="217"/>
        <v/>
      </c>
      <c r="AK559" s="168" t="str">
        <f t="shared" si="218"/>
        <v/>
      </c>
      <c r="AL559" s="168" t="str">
        <f t="shared" si="219"/>
        <v/>
      </c>
      <c r="AM559" s="168" t="str">
        <f t="shared" si="220"/>
        <v/>
      </c>
      <c r="AN559" s="167" t="str">
        <f t="shared" si="202"/>
        <v/>
      </c>
      <c r="AO559" s="167" t="str">
        <f t="shared" si="203"/>
        <v/>
      </c>
      <c r="AP559" s="167" t="str">
        <f t="shared" si="204"/>
        <v/>
      </c>
      <c r="AQ559" s="169" t="str">
        <f t="shared" si="205"/>
        <v/>
      </c>
      <c r="AR559" s="170" t="str">
        <f t="shared" si="206"/>
        <v>BiK82bK09y--04</v>
      </c>
      <c r="AS559" s="169" t="str">
        <f t="shared" si="207"/>
        <v/>
      </c>
      <c r="AT559">
        <f t="shared" si="208"/>
        <v>14</v>
      </c>
      <c r="AU559" s="170" t="str">
        <f t="shared" si="209"/>
        <v>0,15-0,5 MW, Bonusregeln b, y und K erstmals 2009</v>
      </c>
      <c r="AV559" s="169" t="str">
        <f t="shared" si="210"/>
        <v/>
      </c>
      <c r="AW559" s="170" t="str">
        <f t="shared" si="211"/>
        <v>Anteil KWK, erstmals 2009</v>
      </c>
      <c r="AX559" s="169" t="str">
        <f t="shared" si="212"/>
        <v/>
      </c>
      <c r="AY559" t="str">
        <f t="shared" si="213"/>
        <v/>
      </c>
      <c r="AZ559" t="str">
        <f t="shared" si="214"/>
        <v/>
      </c>
    </row>
    <row r="560" spans="1:52" s="145" customFormat="1" x14ac:dyDescent="0.35">
      <c r="A560" s="497" t="s">
        <v>1458</v>
      </c>
      <c r="B560" s="13" t="s">
        <v>5547</v>
      </c>
      <c r="C560" s="13" t="s">
        <v>4808</v>
      </c>
      <c r="D560" s="13" t="s">
        <v>7136</v>
      </c>
      <c r="E560" s="13" t="s">
        <v>3566</v>
      </c>
      <c r="F560" s="373">
        <f t="shared" si="221"/>
        <v>15.870000000000001</v>
      </c>
      <c r="G560" s="430">
        <v>15.870000000000001</v>
      </c>
      <c r="H560" s="399">
        <f t="shared" si="222"/>
        <v>12.7</v>
      </c>
      <c r="I560" s="576"/>
      <c r="J560" s="549" t="s">
        <v>5804</v>
      </c>
      <c r="K560" s="11"/>
      <c r="L560"/>
      <c r="M560" s="37">
        <f t="shared" si="223"/>
        <v>15.870000000000001</v>
      </c>
      <c r="N560" s="29">
        <v>9.9</v>
      </c>
      <c r="O560" s="41"/>
      <c r="P560" s="11"/>
      <c r="Q560"/>
      <c r="R560" t="s">
        <v>1017</v>
      </c>
      <c r="S560" t="s">
        <v>4179</v>
      </c>
      <c r="T560" s="145" t="s">
        <v>4179</v>
      </c>
      <c r="U560" s="42" t="s">
        <v>1017</v>
      </c>
      <c r="V560"/>
      <c r="W560" s="50"/>
      <c r="X560" s="50"/>
      <c r="Y560"/>
      <c r="Z560" s="50"/>
      <c r="AA560"/>
      <c r="AB560"/>
      <c r="AC560" s="50"/>
      <c r="AD560"/>
      <c r="AE560" s="75" t="s">
        <v>1017</v>
      </c>
      <c r="AF560" s="50"/>
      <c r="AG560" s="50"/>
      <c r="AH560" s="166" t="str">
        <f t="shared" si="224"/>
        <v>2010</v>
      </c>
      <c r="AI560" s="168" t="str">
        <f t="shared" si="216"/>
        <v/>
      </c>
      <c r="AJ560" s="168" t="str">
        <f t="shared" si="217"/>
        <v/>
      </c>
      <c r="AK560" s="168" t="str">
        <f t="shared" si="218"/>
        <v/>
      </c>
      <c r="AL560" s="168" t="str">
        <f t="shared" si="219"/>
        <v/>
      </c>
      <c r="AM560" s="168" t="str">
        <f t="shared" si="220"/>
        <v/>
      </c>
      <c r="AN560" s="167" t="str">
        <f t="shared" si="202"/>
        <v>2010</v>
      </c>
      <c r="AO560" s="167" t="str">
        <f t="shared" si="203"/>
        <v>2010</v>
      </c>
      <c r="AP560" s="167" t="str">
        <f t="shared" si="204"/>
        <v>2010</v>
      </c>
      <c r="AQ560" s="169" t="str">
        <f t="shared" si="205"/>
        <v/>
      </c>
      <c r="AR560" s="170" t="str">
        <f t="shared" si="206"/>
        <v>BiK82bK10y--04</v>
      </c>
      <c r="AS560" s="169" t="str">
        <f t="shared" si="207"/>
        <v/>
      </c>
      <c r="AT560">
        <f t="shared" si="208"/>
        <v>14</v>
      </c>
      <c r="AU560" s="170" t="str">
        <f t="shared" si="209"/>
        <v>0,15-0,5 MW, Bonusregeln b, y und K erstmals 2010</v>
      </c>
      <c r="AV560" s="169" t="str">
        <f t="shared" si="210"/>
        <v/>
      </c>
      <c r="AW560" s="170" t="str">
        <f t="shared" si="211"/>
        <v>Anteil KWK, erstmals 2010</v>
      </c>
      <c r="AX560" s="169" t="str">
        <f t="shared" si="212"/>
        <v/>
      </c>
      <c r="AY560" t="str">
        <f t="shared" si="213"/>
        <v/>
      </c>
      <c r="AZ560" t="str">
        <f t="shared" si="214"/>
        <v/>
      </c>
    </row>
    <row r="561" spans="1:52" s="145" customFormat="1" x14ac:dyDescent="0.35">
      <c r="A561" s="497" t="s">
        <v>5279</v>
      </c>
      <c r="B561" s="13" t="s">
        <v>5547</v>
      </c>
      <c r="C561" s="13" t="s">
        <v>4808</v>
      </c>
      <c r="D561" s="13" t="s">
        <v>7137</v>
      </c>
      <c r="E561" s="13" t="s">
        <v>3054</v>
      </c>
      <c r="F561" s="373">
        <f t="shared" si="221"/>
        <v>15.84</v>
      </c>
      <c r="G561" s="430">
        <v>15.84</v>
      </c>
      <c r="H561" s="399">
        <f t="shared" si="222"/>
        <v>12.67</v>
      </c>
      <c r="I561" s="576"/>
      <c r="J561" s="549" t="s">
        <v>5804</v>
      </c>
      <c r="K561" s="11"/>
      <c r="L561"/>
      <c r="M561" s="37">
        <f t="shared" si="223"/>
        <v>15.84</v>
      </c>
      <c r="N561" s="29">
        <v>9.9</v>
      </c>
      <c r="O561" s="41"/>
      <c r="P561" s="11"/>
      <c r="Q561"/>
      <c r="R561"/>
      <c r="S561" t="s">
        <v>1017</v>
      </c>
      <c r="T561" s="145" t="s">
        <v>4179</v>
      </c>
      <c r="U561" s="42" t="s">
        <v>1017</v>
      </c>
      <c r="V561"/>
      <c r="W561" s="50"/>
      <c r="X561" s="50"/>
      <c r="Y561"/>
      <c r="Z561" s="50"/>
      <c r="AA561"/>
      <c r="AB561"/>
      <c r="AC561" s="50"/>
      <c r="AD561"/>
      <c r="AE561" s="75" t="s">
        <v>1017</v>
      </c>
      <c r="AF561" s="50"/>
      <c r="AG561" s="50"/>
      <c r="AH561" s="166" t="str">
        <f t="shared" si="224"/>
        <v>2011</v>
      </c>
      <c r="AI561" s="168" t="str">
        <f t="shared" si="216"/>
        <v/>
      </c>
      <c r="AJ561" s="168" t="str">
        <f t="shared" si="217"/>
        <v/>
      </c>
      <c r="AK561" s="168" t="str">
        <f t="shared" si="218"/>
        <v/>
      </c>
      <c r="AL561" s="168" t="str">
        <f t="shared" si="219"/>
        <v/>
      </c>
      <c r="AM561" s="168" t="str">
        <f t="shared" si="220"/>
        <v/>
      </c>
      <c r="AN561" s="167" t="str">
        <f t="shared" si="202"/>
        <v>2011</v>
      </c>
      <c r="AO561" s="167" t="str">
        <f t="shared" si="203"/>
        <v>2011</v>
      </c>
      <c r="AP561" s="167" t="str">
        <f t="shared" si="204"/>
        <v>2011</v>
      </c>
      <c r="AQ561" s="169" t="str">
        <f t="shared" si="205"/>
        <v/>
      </c>
      <c r="AR561" s="170" t="str">
        <f t="shared" si="206"/>
        <v>BiK82bK11y--04</v>
      </c>
      <c r="AS561" s="169" t="str">
        <f t="shared" si="207"/>
        <v/>
      </c>
      <c r="AT561">
        <f t="shared" si="208"/>
        <v>14</v>
      </c>
      <c r="AU561" s="170" t="str">
        <f t="shared" si="209"/>
        <v>0,15-0,5 MW, Bonusregeln b, y und K erstmals 2011</v>
      </c>
      <c r="AV561" s="169" t="str">
        <f t="shared" si="210"/>
        <v/>
      </c>
      <c r="AW561" s="170" t="str">
        <f t="shared" si="211"/>
        <v>Anteil KWK, erstmals 2011</v>
      </c>
      <c r="AX561" s="169" t="str">
        <f t="shared" si="212"/>
        <v/>
      </c>
      <c r="AY561" t="str">
        <f t="shared" si="213"/>
        <v>x</v>
      </c>
      <c r="AZ561" t="str">
        <f t="shared" si="214"/>
        <v/>
      </c>
    </row>
    <row r="562" spans="1:52" s="145" customFormat="1" x14ac:dyDescent="0.35">
      <c r="A562" s="511" t="s">
        <v>1530</v>
      </c>
      <c r="B562" s="173" t="s">
        <v>5547</v>
      </c>
      <c r="C562" s="173" t="s">
        <v>4808</v>
      </c>
      <c r="D562" s="173" t="s">
        <v>7138</v>
      </c>
      <c r="E562" s="173" t="s">
        <v>1980</v>
      </c>
      <c r="F562" s="374">
        <f t="shared" si="221"/>
        <v>15.81</v>
      </c>
      <c r="G562" s="431">
        <v>15.81</v>
      </c>
      <c r="H562" s="400">
        <f t="shared" si="222"/>
        <v>12.65</v>
      </c>
      <c r="I562" s="577"/>
      <c r="J562" s="549" t="s">
        <v>5804</v>
      </c>
      <c r="K562" s="11"/>
      <c r="L562"/>
      <c r="M562" s="37">
        <f t="shared" si="223"/>
        <v>15.81</v>
      </c>
      <c r="N562" s="29">
        <v>9.9</v>
      </c>
      <c r="O562" s="41"/>
      <c r="P562" s="11"/>
      <c r="Q562"/>
      <c r="R562"/>
      <c r="S562" t="s">
        <v>4179</v>
      </c>
      <c r="T562" s="145" t="s">
        <v>1017</v>
      </c>
      <c r="U562" s="42" t="s">
        <v>1017</v>
      </c>
      <c r="V562"/>
      <c r="W562" s="50"/>
      <c r="X562" s="50"/>
      <c r="Y562"/>
      <c r="Z562" s="50"/>
      <c r="AA562"/>
      <c r="AB562"/>
      <c r="AC562" s="50"/>
      <c r="AD562"/>
      <c r="AE562" s="75" t="s">
        <v>1017</v>
      </c>
      <c r="AF562" s="50"/>
      <c r="AG562" s="50"/>
      <c r="AH562" s="171" t="s">
        <v>4178</v>
      </c>
      <c r="AI562" s="168" t="str">
        <f t="shared" si="216"/>
        <v/>
      </c>
      <c r="AJ562" s="168" t="str">
        <f t="shared" si="217"/>
        <v/>
      </c>
      <c r="AK562" s="168" t="str">
        <f t="shared" si="218"/>
        <v/>
      </c>
      <c r="AL562" s="168" t="str">
        <f t="shared" si="219"/>
        <v/>
      </c>
      <c r="AM562" s="168" t="str">
        <f t="shared" si="220"/>
        <v/>
      </c>
      <c r="AN562" s="167" t="str">
        <f t="shared" si="202"/>
        <v>2012</v>
      </c>
      <c r="AO562" s="167" t="str">
        <f t="shared" si="203"/>
        <v>2012</v>
      </c>
      <c r="AP562" s="167" t="str">
        <f t="shared" si="204"/>
        <v>2012</v>
      </c>
      <c r="AQ562" s="169" t="str">
        <f t="shared" si="205"/>
        <v/>
      </c>
      <c r="AR562" s="170" t="str">
        <f t="shared" si="206"/>
        <v>BiK82bK12y--04</v>
      </c>
      <c r="AS562" s="169" t="str">
        <f t="shared" si="207"/>
        <v/>
      </c>
      <c r="AT562">
        <f t="shared" si="208"/>
        <v>14</v>
      </c>
      <c r="AU562" s="170" t="str">
        <f t="shared" si="209"/>
        <v>0,15-0,5 MW, Bonusregeln b, y und K erstmals 2012</v>
      </c>
      <c r="AV562" s="169" t="str">
        <f t="shared" si="210"/>
        <v/>
      </c>
      <c r="AW562" s="170" t="str">
        <f t="shared" si="211"/>
        <v>Anteil KWK, erstmals 2012</v>
      </c>
      <c r="AX562" s="169" t="str">
        <f t="shared" si="212"/>
        <v/>
      </c>
      <c r="AY562" t="str">
        <f t="shared" si="213"/>
        <v/>
      </c>
      <c r="AZ562" t="str">
        <f t="shared" si="214"/>
        <v>x</v>
      </c>
    </row>
    <row r="563" spans="1:52" s="145" customFormat="1" x14ac:dyDescent="0.35">
      <c r="A563" s="496" t="s">
        <v>4131</v>
      </c>
      <c r="B563" s="1" t="s">
        <v>5547</v>
      </c>
      <c r="C563" s="1" t="s">
        <v>4808</v>
      </c>
      <c r="D563" s="1" t="s">
        <v>7139</v>
      </c>
      <c r="E563" s="1" t="s">
        <v>4809</v>
      </c>
      <c r="F563" s="375">
        <f t="shared" si="221"/>
        <v>17.899999999999999</v>
      </c>
      <c r="G563" s="432">
        <v>17.899999999999999</v>
      </c>
      <c r="H563" s="401">
        <f t="shared" si="222"/>
        <v>14.32</v>
      </c>
      <c r="I563" s="578"/>
      <c r="J563" s="549" t="s">
        <v>5804</v>
      </c>
      <c r="K563" s="11"/>
      <c r="L563"/>
      <c r="M563" s="37">
        <f t="shared" si="223"/>
        <v>17.899999999999999</v>
      </c>
      <c r="N563" s="29">
        <v>9.9</v>
      </c>
      <c r="O563" s="41"/>
      <c r="P563" s="11"/>
      <c r="Q563"/>
      <c r="R563"/>
      <c r="S563" t="s">
        <v>4179</v>
      </c>
      <c r="T563" s="145" t="s">
        <v>4179</v>
      </c>
      <c r="U563" s="42"/>
      <c r="V563" t="s">
        <v>1017</v>
      </c>
      <c r="W563" s="50"/>
      <c r="X563" s="50"/>
      <c r="Y563"/>
      <c r="Z563" s="50"/>
      <c r="AA563"/>
      <c r="AB563"/>
      <c r="AC563" s="50"/>
      <c r="AD563"/>
      <c r="AE563" s="75" t="s">
        <v>1017</v>
      </c>
      <c r="AF563" s="50"/>
      <c r="AG563" s="50"/>
      <c r="AH563" s="166" t="str">
        <f t="shared" ref="AH563:AH568" si="225">IF(ISERROR(SEARCH("K erstmals 201",D563)),"",RIGHT(D563,4))</f>
        <v/>
      </c>
      <c r="AI563" s="168" t="str">
        <f t="shared" si="216"/>
        <v/>
      </c>
      <c r="AJ563" s="168" t="str">
        <f t="shared" si="217"/>
        <v/>
      </c>
      <c r="AK563" s="168" t="str">
        <f t="shared" si="218"/>
        <v/>
      </c>
      <c r="AL563" s="168" t="str">
        <f t="shared" si="219"/>
        <v/>
      </c>
      <c r="AM563" s="168" t="str">
        <f t="shared" si="220"/>
        <v/>
      </c>
      <c r="AN563" s="167" t="str">
        <f t="shared" si="202"/>
        <v/>
      </c>
      <c r="AO563" s="167" t="str">
        <f t="shared" si="203"/>
        <v/>
      </c>
      <c r="AP563" s="167" t="str">
        <f t="shared" si="204"/>
        <v/>
      </c>
      <c r="AQ563" s="169" t="str">
        <f t="shared" si="205"/>
        <v/>
      </c>
      <c r="AR563" s="170" t="str">
        <f t="shared" si="206"/>
        <v>BiK82a1b----04</v>
      </c>
      <c r="AS563" s="169" t="str">
        <f t="shared" si="207"/>
        <v/>
      </c>
      <c r="AT563">
        <f t="shared" si="208"/>
        <v>14</v>
      </c>
      <c r="AU563" s="170" t="str">
        <f t="shared" si="209"/>
        <v>0,15-0,5 MW, Bonusregeln a1 und b</v>
      </c>
      <c r="AV563" s="169" t="str">
        <f t="shared" si="210"/>
        <v/>
      </c>
      <c r="AW563" s="170" t="str">
        <f t="shared" si="211"/>
        <v>Anteil Nicht-KWK</v>
      </c>
      <c r="AX563" s="169" t="str">
        <f t="shared" si="212"/>
        <v/>
      </c>
      <c r="AY563" t="str">
        <f t="shared" si="213"/>
        <v/>
      </c>
      <c r="AZ563" t="str">
        <f t="shared" si="214"/>
        <v/>
      </c>
    </row>
    <row r="564" spans="1:52" s="145" customFormat="1" x14ac:dyDescent="0.35">
      <c r="A564" s="496" t="s">
        <v>4490</v>
      </c>
      <c r="B564" s="1" t="s">
        <v>5547</v>
      </c>
      <c r="C564" s="1" t="s">
        <v>4808</v>
      </c>
      <c r="D564" s="1" t="s">
        <v>7140</v>
      </c>
      <c r="E564" s="1" t="s">
        <v>4811</v>
      </c>
      <c r="F564" s="375">
        <f t="shared" si="221"/>
        <v>19.899999999999999</v>
      </c>
      <c r="G564" s="432">
        <v>19.899999999999999</v>
      </c>
      <c r="H564" s="401">
        <f t="shared" si="222"/>
        <v>15.92</v>
      </c>
      <c r="I564" s="578"/>
      <c r="J564" s="549" t="s">
        <v>5804</v>
      </c>
      <c r="K564" s="11"/>
      <c r="L564"/>
      <c r="M564" s="37">
        <f t="shared" si="223"/>
        <v>19.899999999999999</v>
      </c>
      <c r="N564" s="29">
        <v>9.9</v>
      </c>
      <c r="O564" s="41" t="s">
        <v>1017</v>
      </c>
      <c r="P564" s="11"/>
      <c r="Q564"/>
      <c r="R564"/>
      <c r="S564" t="s">
        <v>4179</v>
      </c>
      <c r="T564" s="145" t="s">
        <v>4179</v>
      </c>
      <c r="U564" s="42"/>
      <c r="V564" t="s">
        <v>1017</v>
      </c>
      <c r="W564" s="50"/>
      <c r="X564" s="50"/>
      <c r="Y564"/>
      <c r="Z564" s="50"/>
      <c r="AA564"/>
      <c r="AB564"/>
      <c r="AC564" s="50"/>
      <c r="AD564"/>
      <c r="AE564" s="75" t="s">
        <v>1017</v>
      </c>
      <c r="AF564" s="50"/>
      <c r="AG564" s="50"/>
      <c r="AH564" s="166" t="str">
        <f t="shared" si="225"/>
        <v/>
      </c>
      <c r="AI564" s="168" t="str">
        <f t="shared" si="216"/>
        <v/>
      </c>
      <c r="AJ564" s="168" t="str">
        <f t="shared" si="217"/>
        <v/>
      </c>
      <c r="AK564" s="168" t="str">
        <f t="shared" si="218"/>
        <v/>
      </c>
      <c r="AL564" s="168" t="str">
        <f t="shared" si="219"/>
        <v/>
      </c>
      <c r="AM564" s="168" t="str">
        <f t="shared" si="220"/>
        <v/>
      </c>
      <c r="AN564" s="167" t="str">
        <f t="shared" si="202"/>
        <v/>
      </c>
      <c r="AO564" s="167" t="str">
        <f t="shared" si="203"/>
        <v/>
      </c>
      <c r="AP564" s="167" t="str">
        <f t="shared" si="204"/>
        <v/>
      </c>
      <c r="AQ564" s="169" t="str">
        <f t="shared" si="205"/>
        <v/>
      </c>
      <c r="AR564" s="170" t="str">
        <f t="shared" si="206"/>
        <v>BiK82a1bKWK-04</v>
      </c>
      <c r="AS564" s="169" t="str">
        <f t="shared" si="207"/>
        <v/>
      </c>
      <c r="AT564">
        <f t="shared" si="208"/>
        <v>14</v>
      </c>
      <c r="AU564" s="170" t="str">
        <f t="shared" si="209"/>
        <v>0,15-0,5 MW, Bonusregeln a1, b und KWK</v>
      </c>
      <c r="AV564" s="169" t="str">
        <f t="shared" si="210"/>
        <v/>
      </c>
      <c r="AW564" s="170" t="str">
        <f t="shared" si="211"/>
        <v>Anteil KWK</v>
      </c>
      <c r="AX564" s="169" t="str">
        <f t="shared" si="212"/>
        <v/>
      </c>
      <c r="AY564" t="str">
        <f t="shared" si="213"/>
        <v/>
      </c>
      <c r="AZ564" t="str">
        <f t="shared" si="214"/>
        <v/>
      </c>
    </row>
    <row r="565" spans="1:52" s="145" customFormat="1" x14ac:dyDescent="0.35">
      <c r="A565" s="497" t="s">
        <v>4339</v>
      </c>
      <c r="B565" s="13" t="s">
        <v>5547</v>
      </c>
      <c r="C565" s="13" t="s">
        <v>4808</v>
      </c>
      <c r="D565" s="13" t="s">
        <v>7141</v>
      </c>
      <c r="E565" s="13" t="s">
        <v>4330</v>
      </c>
      <c r="F565" s="373">
        <f t="shared" si="221"/>
        <v>20.9</v>
      </c>
      <c r="G565" s="430">
        <v>20.9</v>
      </c>
      <c r="H565" s="399">
        <f t="shared" si="222"/>
        <v>16.72</v>
      </c>
      <c r="I565" s="576"/>
      <c r="J565" s="549" t="s">
        <v>5804</v>
      </c>
      <c r="K565" s="11"/>
      <c r="L565"/>
      <c r="M565" s="37">
        <f t="shared" si="223"/>
        <v>20.9</v>
      </c>
      <c r="N565" s="29">
        <v>9.9</v>
      </c>
      <c r="O565" s="41"/>
      <c r="P565" t="s">
        <v>1017</v>
      </c>
      <c r="Q565"/>
      <c r="R565"/>
      <c r="S565" t="s">
        <v>4179</v>
      </c>
      <c r="T565" s="145" t="s">
        <v>4179</v>
      </c>
      <c r="U565" s="42"/>
      <c r="V565" t="s">
        <v>1017</v>
      </c>
      <c r="W565" s="50"/>
      <c r="X565" s="50"/>
      <c r="Y565"/>
      <c r="Z565" s="50"/>
      <c r="AA565"/>
      <c r="AB565"/>
      <c r="AC565" s="50"/>
      <c r="AD565"/>
      <c r="AE565" s="75" t="s">
        <v>1017</v>
      </c>
      <c r="AF565" s="50"/>
      <c r="AG565" s="50"/>
      <c r="AH565" s="166" t="str">
        <f t="shared" si="225"/>
        <v/>
      </c>
      <c r="AI565" s="168" t="str">
        <f t="shared" si="216"/>
        <v/>
      </c>
      <c r="AJ565" s="168" t="str">
        <f t="shared" si="217"/>
        <v/>
      </c>
      <c r="AK565" s="168" t="str">
        <f t="shared" si="218"/>
        <v/>
      </c>
      <c r="AL565" s="168" t="str">
        <f t="shared" si="219"/>
        <v/>
      </c>
      <c r="AM565" s="168" t="str">
        <f t="shared" si="220"/>
        <v/>
      </c>
      <c r="AN565" s="167" t="str">
        <f t="shared" si="202"/>
        <v/>
      </c>
      <c r="AO565" s="167" t="str">
        <f t="shared" si="203"/>
        <v/>
      </c>
      <c r="AP565" s="167" t="str">
        <f t="shared" si="204"/>
        <v/>
      </c>
      <c r="AQ565" s="169" t="str">
        <f t="shared" si="205"/>
        <v/>
      </c>
      <c r="AR565" s="170" t="str">
        <f t="shared" si="206"/>
        <v>BiK82a1bKA3-04</v>
      </c>
      <c r="AS565" s="169" t="str">
        <f t="shared" si="207"/>
        <v/>
      </c>
      <c r="AT565">
        <f t="shared" si="208"/>
        <v>14</v>
      </c>
      <c r="AU565" s="170" t="str">
        <f t="shared" si="209"/>
        <v>0,15-0,5 MW, Bonusregeln a1, b und K wenn Anlage 3 erfüllt</v>
      </c>
      <c r="AV565" s="169" t="str">
        <f t="shared" si="210"/>
        <v/>
      </c>
      <c r="AW565" s="170" t="str">
        <f t="shared" si="211"/>
        <v>Anteil KWK gemäß Anlage 3</v>
      </c>
      <c r="AX565" s="169" t="str">
        <f t="shared" si="212"/>
        <v/>
      </c>
      <c r="AY565" t="str">
        <f t="shared" si="213"/>
        <v/>
      </c>
      <c r="AZ565" t="str">
        <f t="shared" si="214"/>
        <v/>
      </c>
    </row>
    <row r="566" spans="1:52" s="145" customFormat="1" x14ac:dyDescent="0.35">
      <c r="A566" s="497" t="s">
        <v>5042</v>
      </c>
      <c r="B566" s="13" t="s">
        <v>5547</v>
      </c>
      <c r="C566" s="13" t="s">
        <v>4808</v>
      </c>
      <c r="D566" s="13" t="s">
        <v>7142</v>
      </c>
      <c r="E566" s="13" t="s">
        <v>674</v>
      </c>
      <c r="F566" s="373">
        <f t="shared" si="221"/>
        <v>20.9</v>
      </c>
      <c r="G566" s="430">
        <v>20.9</v>
      </c>
      <c r="H566" s="399">
        <f t="shared" si="222"/>
        <v>16.72</v>
      </c>
      <c r="I566" s="576"/>
      <c r="J566" s="549" t="s">
        <v>5804</v>
      </c>
      <c r="K566" s="11"/>
      <c r="L566"/>
      <c r="M566" s="37">
        <f t="shared" si="223"/>
        <v>20.9</v>
      </c>
      <c r="N566" s="29">
        <v>9.9</v>
      </c>
      <c r="O566" s="41"/>
      <c r="P566" s="11"/>
      <c r="Q566" t="s">
        <v>1017</v>
      </c>
      <c r="R566"/>
      <c r="S566" t="s">
        <v>4179</v>
      </c>
      <c r="T566" s="145" t="s">
        <v>4179</v>
      </c>
      <c r="U566" s="42"/>
      <c r="V566" t="s">
        <v>1017</v>
      </c>
      <c r="W566" s="50"/>
      <c r="X566" s="50"/>
      <c r="Y566"/>
      <c r="Z566" s="50"/>
      <c r="AA566"/>
      <c r="AB566"/>
      <c r="AC566" s="50"/>
      <c r="AD566"/>
      <c r="AE566" s="75" t="s">
        <v>1017</v>
      </c>
      <c r="AF566" s="50"/>
      <c r="AG566" s="50"/>
      <c r="AH566" s="166" t="str">
        <f t="shared" si="225"/>
        <v/>
      </c>
      <c r="AI566" s="168" t="str">
        <f t="shared" si="216"/>
        <v/>
      </c>
      <c r="AJ566" s="168" t="str">
        <f t="shared" si="217"/>
        <v/>
      </c>
      <c r="AK566" s="168" t="str">
        <f t="shared" si="218"/>
        <v/>
      </c>
      <c r="AL566" s="168" t="str">
        <f t="shared" si="219"/>
        <v/>
      </c>
      <c r="AM566" s="168" t="str">
        <f t="shared" si="220"/>
        <v/>
      </c>
      <c r="AN566" s="167" t="str">
        <f t="shared" si="202"/>
        <v/>
      </c>
      <c r="AO566" s="167" t="str">
        <f t="shared" si="203"/>
        <v/>
      </c>
      <c r="AP566" s="167" t="str">
        <f t="shared" si="204"/>
        <v/>
      </c>
      <c r="AQ566" s="169" t="str">
        <f t="shared" si="205"/>
        <v/>
      </c>
      <c r="AR566" s="170" t="str">
        <f t="shared" si="206"/>
        <v>BiK82a1bK09-04</v>
      </c>
      <c r="AS566" s="169" t="str">
        <f t="shared" si="207"/>
        <v/>
      </c>
      <c r="AT566">
        <f t="shared" si="208"/>
        <v>14</v>
      </c>
      <c r="AU566" s="170" t="str">
        <f t="shared" si="209"/>
        <v>0,15-0,5 MW, Bonusregeln a1, b und K erstmals 2009</v>
      </c>
      <c r="AV566" s="169" t="str">
        <f t="shared" si="210"/>
        <v/>
      </c>
      <c r="AW566" s="170" t="str">
        <f t="shared" si="211"/>
        <v>Anteil KWK, erstmals 2009</v>
      </c>
      <c r="AX566" s="169" t="str">
        <f t="shared" si="212"/>
        <v/>
      </c>
      <c r="AY566" t="str">
        <f t="shared" si="213"/>
        <v/>
      </c>
      <c r="AZ566" t="str">
        <f t="shared" si="214"/>
        <v/>
      </c>
    </row>
    <row r="567" spans="1:52" s="145" customFormat="1" x14ac:dyDescent="0.35">
      <c r="A567" s="497" t="s">
        <v>1459</v>
      </c>
      <c r="B567" s="13" t="s">
        <v>5547</v>
      </c>
      <c r="C567" s="13" t="s">
        <v>4808</v>
      </c>
      <c r="D567" s="13" t="s">
        <v>7143</v>
      </c>
      <c r="E567" s="13" t="s">
        <v>3566</v>
      </c>
      <c r="F567" s="373">
        <f t="shared" si="221"/>
        <v>20.87</v>
      </c>
      <c r="G567" s="430">
        <v>20.87</v>
      </c>
      <c r="H567" s="399">
        <f t="shared" si="222"/>
        <v>16.7</v>
      </c>
      <c r="I567" s="576"/>
      <c r="J567" s="549" t="s">
        <v>5804</v>
      </c>
      <c r="K567" s="11"/>
      <c r="L567"/>
      <c r="M567" s="37">
        <f t="shared" si="223"/>
        <v>20.87</v>
      </c>
      <c r="N567" s="29">
        <v>9.9</v>
      </c>
      <c r="O567" s="41"/>
      <c r="P567" s="11"/>
      <c r="Q567"/>
      <c r="R567" t="s">
        <v>1017</v>
      </c>
      <c r="S567" t="s">
        <v>4179</v>
      </c>
      <c r="T567" s="145" t="s">
        <v>4179</v>
      </c>
      <c r="U567" s="42"/>
      <c r="V567" t="s">
        <v>1017</v>
      </c>
      <c r="W567" s="50"/>
      <c r="X567" s="50"/>
      <c r="Y567"/>
      <c r="Z567" s="50"/>
      <c r="AA567"/>
      <c r="AB567"/>
      <c r="AC567" s="50"/>
      <c r="AD567"/>
      <c r="AE567" s="75" t="s">
        <v>1017</v>
      </c>
      <c r="AF567" s="50"/>
      <c r="AG567" s="50"/>
      <c r="AH567" s="166" t="str">
        <f t="shared" si="225"/>
        <v>2010</v>
      </c>
      <c r="AI567" s="168" t="str">
        <f t="shared" si="216"/>
        <v/>
      </c>
      <c r="AJ567" s="168" t="str">
        <f t="shared" si="217"/>
        <v/>
      </c>
      <c r="AK567" s="168" t="str">
        <f t="shared" si="218"/>
        <v/>
      </c>
      <c r="AL567" s="168" t="str">
        <f t="shared" si="219"/>
        <v/>
      </c>
      <c r="AM567" s="168" t="str">
        <f t="shared" si="220"/>
        <v/>
      </c>
      <c r="AN567" s="167" t="str">
        <f t="shared" si="202"/>
        <v>2010</v>
      </c>
      <c r="AO567" s="167" t="str">
        <f t="shared" si="203"/>
        <v>2010</v>
      </c>
      <c r="AP567" s="167" t="str">
        <f t="shared" si="204"/>
        <v>2010</v>
      </c>
      <c r="AQ567" s="169" t="str">
        <f t="shared" si="205"/>
        <v/>
      </c>
      <c r="AR567" s="170" t="str">
        <f t="shared" si="206"/>
        <v>BiK82a1bK10-04</v>
      </c>
      <c r="AS567" s="169" t="str">
        <f t="shared" si="207"/>
        <v/>
      </c>
      <c r="AT567">
        <f t="shared" si="208"/>
        <v>14</v>
      </c>
      <c r="AU567" s="170" t="str">
        <f t="shared" si="209"/>
        <v>0,15-0,5 MW, Bonusregeln a1, b und K erstmals 2010</v>
      </c>
      <c r="AV567" s="169" t="str">
        <f t="shared" si="210"/>
        <v/>
      </c>
      <c r="AW567" s="170" t="str">
        <f t="shared" si="211"/>
        <v>Anteil KWK, erstmals 2010</v>
      </c>
      <c r="AX567" s="169" t="str">
        <f t="shared" si="212"/>
        <v/>
      </c>
      <c r="AY567" t="str">
        <f t="shared" si="213"/>
        <v/>
      </c>
      <c r="AZ567" t="str">
        <f t="shared" si="214"/>
        <v/>
      </c>
    </row>
    <row r="568" spans="1:52" s="145" customFormat="1" x14ac:dyDescent="0.35">
      <c r="A568" s="497" t="s">
        <v>5280</v>
      </c>
      <c r="B568" s="13" t="s">
        <v>5547</v>
      </c>
      <c r="C568" s="13" t="s">
        <v>4808</v>
      </c>
      <c r="D568" s="13" t="s">
        <v>7144</v>
      </c>
      <c r="E568" s="13" t="s">
        <v>3054</v>
      </c>
      <c r="F568" s="373">
        <f t="shared" si="221"/>
        <v>20.84</v>
      </c>
      <c r="G568" s="430">
        <v>20.84</v>
      </c>
      <c r="H568" s="399">
        <f t="shared" si="222"/>
        <v>16.670000000000002</v>
      </c>
      <c r="I568" s="576"/>
      <c r="J568" s="549" t="s">
        <v>5804</v>
      </c>
      <c r="K568" s="11"/>
      <c r="L568"/>
      <c r="M568" s="37">
        <f t="shared" si="223"/>
        <v>20.84</v>
      </c>
      <c r="N568" s="29">
        <v>9.9</v>
      </c>
      <c r="O568" s="41"/>
      <c r="P568" s="11"/>
      <c r="Q568"/>
      <c r="R568"/>
      <c r="S568" t="s">
        <v>1017</v>
      </c>
      <c r="T568" s="145" t="s">
        <v>4179</v>
      </c>
      <c r="U568" s="42"/>
      <c r="V568" t="s">
        <v>1017</v>
      </c>
      <c r="W568" s="50"/>
      <c r="X568" s="50"/>
      <c r="Y568"/>
      <c r="Z568" s="50"/>
      <c r="AA568"/>
      <c r="AB568"/>
      <c r="AC568" s="50"/>
      <c r="AD568"/>
      <c r="AE568" s="75" t="s">
        <v>1017</v>
      </c>
      <c r="AF568" s="50"/>
      <c r="AG568" s="50"/>
      <c r="AH568" s="166" t="str">
        <f t="shared" si="225"/>
        <v>2011</v>
      </c>
      <c r="AI568" s="168" t="str">
        <f t="shared" si="216"/>
        <v/>
      </c>
      <c r="AJ568" s="168" t="str">
        <f t="shared" si="217"/>
        <v/>
      </c>
      <c r="AK568" s="168" t="str">
        <f t="shared" si="218"/>
        <v/>
      </c>
      <c r="AL568" s="168" t="str">
        <f t="shared" si="219"/>
        <v/>
      </c>
      <c r="AM568" s="168" t="str">
        <f t="shared" si="220"/>
        <v/>
      </c>
      <c r="AN568" s="167" t="str">
        <f t="shared" si="202"/>
        <v>2011</v>
      </c>
      <c r="AO568" s="167" t="str">
        <f t="shared" si="203"/>
        <v>2011</v>
      </c>
      <c r="AP568" s="167" t="str">
        <f t="shared" si="204"/>
        <v>2011</v>
      </c>
      <c r="AQ568" s="169" t="str">
        <f t="shared" si="205"/>
        <v/>
      </c>
      <c r="AR568" s="170" t="str">
        <f t="shared" si="206"/>
        <v>BiK82a1bK11-04</v>
      </c>
      <c r="AS568" s="169" t="str">
        <f t="shared" si="207"/>
        <v/>
      </c>
      <c r="AT568">
        <f t="shared" si="208"/>
        <v>14</v>
      </c>
      <c r="AU568" s="170" t="str">
        <f t="shared" si="209"/>
        <v>0,15-0,5 MW, Bonusregeln a1, b und K erstmals 2011</v>
      </c>
      <c r="AV568" s="169" t="str">
        <f t="shared" si="210"/>
        <v/>
      </c>
      <c r="AW568" s="170" t="str">
        <f t="shared" si="211"/>
        <v>Anteil KWK, erstmals 2011</v>
      </c>
      <c r="AX568" s="169" t="str">
        <f t="shared" si="212"/>
        <v/>
      </c>
      <c r="AY568" t="str">
        <f t="shared" si="213"/>
        <v>x</v>
      </c>
      <c r="AZ568" t="str">
        <f t="shared" si="214"/>
        <v/>
      </c>
    </row>
    <row r="569" spans="1:52" s="145" customFormat="1" x14ac:dyDescent="0.35">
      <c r="A569" s="511" t="s">
        <v>1531</v>
      </c>
      <c r="B569" s="173" t="s">
        <v>5547</v>
      </c>
      <c r="C569" s="173" t="s">
        <v>4808</v>
      </c>
      <c r="D569" s="173" t="s">
        <v>7145</v>
      </c>
      <c r="E569" s="173" t="s">
        <v>1980</v>
      </c>
      <c r="F569" s="374">
        <f t="shared" si="221"/>
        <v>20.810000000000002</v>
      </c>
      <c r="G569" s="431">
        <v>20.810000000000002</v>
      </c>
      <c r="H569" s="400">
        <f t="shared" si="222"/>
        <v>16.649999999999999</v>
      </c>
      <c r="I569" s="577"/>
      <c r="J569" s="549" t="s">
        <v>5804</v>
      </c>
      <c r="K569" s="11"/>
      <c r="L569"/>
      <c r="M569" s="37">
        <f t="shared" si="223"/>
        <v>20.810000000000002</v>
      </c>
      <c r="N569" s="29">
        <v>9.9</v>
      </c>
      <c r="O569" s="41"/>
      <c r="P569" s="11"/>
      <c r="Q569"/>
      <c r="R569"/>
      <c r="S569" t="s">
        <v>4179</v>
      </c>
      <c r="T569" s="145" t="s">
        <v>1017</v>
      </c>
      <c r="U569" s="42"/>
      <c r="V569" t="s">
        <v>1017</v>
      </c>
      <c r="W569" s="50"/>
      <c r="X569" s="50"/>
      <c r="Y569"/>
      <c r="Z569" s="50"/>
      <c r="AA569"/>
      <c r="AB569"/>
      <c r="AC569" s="50"/>
      <c r="AD569"/>
      <c r="AE569" s="75" t="s">
        <v>1017</v>
      </c>
      <c r="AF569" s="50"/>
      <c r="AG569" s="50"/>
      <c r="AH569" s="171" t="s">
        <v>4178</v>
      </c>
      <c r="AI569" s="168" t="str">
        <f t="shared" si="216"/>
        <v/>
      </c>
      <c r="AJ569" s="168" t="str">
        <f t="shared" si="217"/>
        <v/>
      </c>
      <c r="AK569" s="168" t="str">
        <f t="shared" si="218"/>
        <v/>
      </c>
      <c r="AL569" s="168" t="str">
        <f t="shared" si="219"/>
        <v/>
      </c>
      <c r="AM569" s="168" t="str">
        <f t="shared" si="220"/>
        <v/>
      </c>
      <c r="AN569" s="167" t="str">
        <f t="shared" si="202"/>
        <v>2012</v>
      </c>
      <c r="AO569" s="167" t="str">
        <f t="shared" si="203"/>
        <v>2012</v>
      </c>
      <c r="AP569" s="167" t="str">
        <f t="shared" si="204"/>
        <v>2012</v>
      </c>
      <c r="AQ569" s="169" t="str">
        <f t="shared" si="205"/>
        <v/>
      </c>
      <c r="AR569" s="170" t="str">
        <f t="shared" si="206"/>
        <v>BiK82a1bK12-04</v>
      </c>
      <c r="AS569" s="169" t="str">
        <f t="shared" si="207"/>
        <v/>
      </c>
      <c r="AT569">
        <f t="shared" si="208"/>
        <v>14</v>
      </c>
      <c r="AU569" s="170" t="str">
        <f t="shared" si="209"/>
        <v>0,15-0,5 MW, Bonusregeln a1, b und K erstmals 2012</v>
      </c>
      <c r="AV569" s="169" t="str">
        <f t="shared" si="210"/>
        <v/>
      </c>
      <c r="AW569" s="170" t="str">
        <f t="shared" si="211"/>
        <v>Anteil KWK, erstmals 2012</v>
      </c>
      <c r="AX569" s="169" t="str">
        <f t="shared" si="212"/>
        <v/>
      </c>
      <c r="AY569" t="str">
        <f t="shared" si="213"/>
        <v/>
      </c>
      <c r="AZ569" t="str">
        <f t="shared" si="214"/>
        <v>x</v>
      </c>
    </row>
    <row r="570" spans="1:52" s="145" customFormat="1" x14ac:dyDescent="0.35">
      <c r="A570" s="497" t="s">
        <v>1369</v>
      </c>
      <c r="B570" s="13" t="s">
        <v>5547</v>
      </c>
      <c r="C570" s="13" t="s">
        <v>4808</v>
      </c>
      <c r="D570" s="13" t="s">
        <v>7146</v>
      </c>
      <c r="E570" s="13" t="s">
        <v>4809</v>
      </c>
      <c r="F570" s="373">
        <f t="shared" si="221"/>
        <v>18.899999999999999</v>
      </c>
      <c r="G570" s="430">
        <v>18.899999999999999</v>
      </c>
      <c r="H570" s="399">
        <f t="shared" si="222"/>
        <v>15.12</v>
      </c>
      <c r="I570" s="576"/>
      <c r="J570" s="549" t="s">
        <v>5804</v>
      </c>
      <c r="K570" s="11"/>
      <c r="L570"/>
      <c r="M570" s="37">
        <f t="shared" si="223"/>
        <v>18.899999999999999</v>
      </c>
      <c r="N570" s="29">
        <v>9.9</v>
      </c>
      <c r="O570" s="41"/>
      <c r="P570" s="11"/>
      <c r="Q570"/>
      <c r="R570"/>
      <c r="S570" t="s">
        <v>4179</v>
      </c>
      <c r="T570" s="145" t="s">
        <v>4179</v>
      </c>
      <c r="U570" s="42" t="s">
        <v>1017</v>
      </c>
      <c r="V570" t="s">
        <v>1017</v>
      </c>
      <c r="W570" s="50"/>
      <c r="X570" s="50"/>
      <c r="Y570"/>
      <c r="Z570" s="50"/>
      <c r="AA570"/>
      <c r="AB570"/>
      <c r="AC570" s="50"/>
      <c r="AD570"/>
      <c r="AE570" s="75" t="s">
        <v>1017</v>
      </c>
      <c r="AF570" s="50"/>
      <c r="AG570" s="50"/>
      <c r="AH570" s="166" t="str">
        <f t="shared" ref="AH570:AH575" si="226">IF(ISERROR(SEARCH("K erstmals 201",D570)),"",RIGHT(D570,4))</f>
        <v/>
      </c>
      <c r="AI570" s="168" t="str">
        <f t="shared" si="216"/>
        <v/>
      </c>
      <c r="AJ570" s="168" t="str">
        <f t="shared" si="217"/>
        <v/>
      </c>
      <c r="AK570" s="168" t="str">
        <f t="shared" si="218"/>
        <v/>
      </c>
      <c r="AL570" s="168" t="str">
        <f t="shared" si="219"/>
        <v/>
      </c>
      <c r="AM570" s="168" t="str">
        <f t="shared" si="220"/>
        <v/>
      </c>
      <c r="AN570" s="167" t="str">
        <f t="shared" si="202"/>
        <v/>
      </c>
      <c r="AO570" s="167" t="str">
        <f t="shared" si="203"/>
        <v/>
      </c>
      <c r="AP570" s="167" t="str">
        <f t="shared" si="204"/>
        <v/>
      </c>
      <c r="AQ570" s="169" t="str">
        <f t="shared" si="205"/>
        <v/>
      </c>
      <c r="AR570" s="170" t="str">
        <f t="shared" si="206"/>
        <v>BiK82a1by---04</v>
      </c>
      <c r="AS570" s="169" t="str">
        <f t="shared" si="207"/>
        <v/>
      </c>
      <c r="AT570">
        <f t="shared" si="208"/>
        <v>14</v>
      </c>
      <c r="AU570" s="170" t="str">
        <f t="shared" si="209"/>
        <v>0,15-0,5 MW, Bonusregeln a1, b, y</v>
      </c>
      <c r="AV570" s="169" t="str">
        <f t="shared" si="210"/>
        <v/>
      </c>
      <c r="AW570" s="170" t="str">
        <f t="shared" si="211"/>
        <v>Anteil Nicht-KWK</v>
      </c>
      <c r="AX570" s="169" t="str">
        <f t="shared" si="212"/>
        <v/>
      </c>
      <c r="AY570" t="str">
        <f t="shared" si="213"/>
        <v/>
      </c>
      <c r="AZ570" t="str">
        <f t="shared" si="214"/>
        <v/>
      </c>
    </row>
    <row r="571" spans="1:52" s="145" customFormat="1" x14ac:dyDescent="0.35">
      <c r="A571" s="497" t="s">
        <v>1370</v>
      </c>
      <c r="B571" s="13" t="s">
        <v>5547</v>
      </c>
      <c r="C571" s="13" t="s">
        <v>4808</v>
      </c>
      <c r="D571" s="13" t="s">
        <v>7147</v>
      </c>
      <c r="E571" s="13" t="s">
        <v>4811</v>
      </c>
      <c r="F571" s="373">
        <f t="shared" si="221"/>
        <v>20.9</v>
      </c>
      <c r="G571" s="430">
        <v>20.9</v>
      </c>
      <c r="H571" s="399">
        <f t="shared" si="222"/>
        <v>16.72</v>
      </c>
      <c r="I571" s="576"/>
      <c r="J571" s="549" t="s">
        <v>5804</v>
      </c>
      <c r="K571" s="11"/>
      <c r="L571"/>
      <c r="M571" s="37">
        <f t="shared" si="223"/>
        <v>20.9</v>
      </c>
      <c r="N571" s="29">
        <v>9.9</v>
      </c>
      <c r="O571" s="41" t="s">
        <v>1017</v>
      </c>
      <c r="P571" s="11"/>
      <c r="Q571"/>
      <c r="R571"/>
      <c r="S571" t="s">
        <v>4179</v>
      </c>
      <c r="T571" s="145" t="s">
        <v>4179</v>
      </c>
      <c r="U571" s="42" t="s">
        <v>1017</v>
      </c>
      <c r="V571" t="s">
        <v>1017</v>
      </c>
      <c r="W571" s="50"/>
      <c r="X571" s="50"/>
      <c r="Y571"/>
      <c r="Z571" s="50"/>
      <c r="AA571"/>
      <c r="AB571"/>
      <c r="AC571" s="50"/>
      <c r="AD571"/>
      <c r="AE571" s="75" t="s">
        <v>1017</v>
      </c>
      <c r="AF571" s="50"/>
      <c r="AG571" s="50"/>
      <c r="AH571" s="166" t="str">
        <f t="shared" si="226"/>
        <v/>
      </c>
      <c r="AI571" s="168" t="str">
        <f t="shared" si="216"/>
        <v/>
      </c>
      <c r="AJ571" s="168" t="str">
        <f t="shared" si="217"/>
        <v/>
      </c>
      <c r="AK571" s="168" t="str">
        <f t="shared" si="218"/>
        <v/>
      </c>
      <c r="AL571" s="168" t="str">
        <f t="shared" si="219"/>
        <v/>
      </c>
      <c r="AM571" s="168" t="str">
        <f t="shared" si="220"/>
        <v/>
      </c>
      <c r="AN571" s="167" t="str">
        <f t="shared" si="202"/>
        <v/>
      </c>
      <c r="AO571" s="167" t="str">
        <f t="shared" si="203"/>
        <v/>
      </c>
      <c r="AP571" s="167" t="str">
        <f t="shared" si="204"/>
        <v/>
      </c>
      <c r="AQ571" s="169" t="str">
        <f t="shared" si="205"/>
        <v/>
      </c>
      <c r="AR571" s="170" t="str">
        <f t="shared" si="206"/>
        <v>BiK82a1bKWKy04</v>
      </c>
      <c r="AS571" s="169" t="str">
        <f t="shared" si="207"/>
        <v/>
      </c>
      <c r="AT571">
        <f t="shared" si="208"/>
        <v>14</v>
      </c>
      <c r="AU571" s="170" t="str">
        <f t="shared" si="209"/>
        <v>0,15-0,5 MW, Bonusregeln a1, b, y und KWK</v>
      </c>
      <c r="AV571" s="169" t="str">
        <f t="shared" si="210"/>
        <v/>
      </c>
      <c r="AW571" s="170" t="str">
        <f t="shared" si="211"/>
        <v>Anteil KWK</v>
      </c>
      <c r="AX571" s="169" t="str">
        <f t="shared" si="212"/>
        <v/>
      </c>
      <c r="AY571" t="str">
        <f t="shared" si="213"/>
        <v/>
      </c>
      <c r="AZ571" t="str">
        <f t="shared" si="214"/>
        <v/>
      </c>
    </row>
    <row r="572" spans="1:52" s="145" customFormat="1" x14ac:dyDescent="0.35">
      <c r="A572" s="497" t="s">
        <v>1371</v>
      </c>
      <c r="B572" s="13" t="s">
        <v>5547</v>
      </c>
      <c r="C572" s="13" t="s">
        <v>4808</v>
      </c>
      <c r="D572" s="13" t="s">
        <v>7148</v>
      </c>
      <c r="E572" s="13" t="s">
        <v>4330</v>
      </c>
      <c r="F572" s="373">
        <f t="shared" si="221"/>
        <v>21.9</v>
      </c>
      <c r="G572" s="430">
        <v>21.9</v>
      </c>
      <c r="H572" s="399">
        <f t="shared" si="222"/>
        <v>17.52</v>
      </c>
      <c r="I572" s="576"/>
      <c r="J572" s="549" t="s">
        <v>5804</v>
      </c>
      <c r="K572" s="11"/>
      <c r="L572"/>
      <c r="M572" s="37">
        <f t="shared" si="223"/>
        <v>21.9</v>
      </c>
      <c r="N572" s="29">
        <v>9.9</v>
      </c>
      <c r="O572" s="41"/>
      <c r="P572" t="s">
        <v>1017</v>
      </c>
      <c r="Q572"/>
      <c r="R572"/>
      <c r="S572" t="s">
        <v>4179</v>
      </c>
      <c r="T572" s="145" t="s">
        <v>4179</v>
      </c>
      <c r="U572" s="42" t="s">
        <v>1017</v>
      </c>
      <c r="V572" t="s">
        <v>1017</v>
      </c>
      <c r="W572" s="50"/>
      <c r="X572" s="50"/>
      <c r="Y572"/>
      <c r="Z572" s="50"/>
      <c r="AA572"/>
      <c r="AB572"/>
      <c r="AC572" s="50"/>
      <c r="AD572"/>
      <c r="AE572" s="75" t="s">
        <v>1017</v>
      </c>
      <c r="AF572" s="50"/>
      <c r="AG572" s="50"/>
      <c r="AH572" s="166" t="str">
        <f t="shared" si="226"/>
        <v/>
      </c>
      <c r="AI572" s="168" t="str">
        <f t="shared" si="216"/>
        <v/>
      </c>
      <c r="AJ572" s="168" t="str">
        <f t="shared" si="217"/>
        <v/>
      </c>
      <c r="AK572" s="168" t="str">
        <f t="shared" si="218"/>
        <v/>
      </c>
      <c r="AL572" s="168" t="str">
        <f t="shared" si="219"/>
        <v/>
      </c>
      <c r="AM572" s="168" t="str">
        <f t="shared" si="220"/>
        <v/>
      </c>
      <c r="AN572" s="167" t="str">
        <f t="shared" si="202"/>
        <v/>
      </c>
      <c r="AO572" s="167" t="str">
        <f t="shared" si="203"/>
        <v/>
      </c>
      <c r="AP572" s="167" t="str">
        <f t="shared" si="204"/>
        <v/>
      </c>
      <c r="AQ572" s="169" t="str">
        <f t="shared" si="205"/>
        <v/>
      </c>
      <c r="AR572" s="170" t="str">
        <f t="shared" si="206"/>
        <v>BiK82a1bKA3y04</v>
      </c>
      <c r="AS572" s="169" t="str">
        <f t="shared" si="207"/>
        <v/>
      </c>
      <c r="AT572">
        <f t="shared" si="208"/>
        <v>14</v>
      </c>
      <c r="AU572" s="170" t="str">
        <f t="shared" si="209"/>
        <v>0,15-0,5 MW, Bonusregeln a1, b, y und K wenn Anlage 3 erfüllt</v>
      </c>
      <c r="AV572" s="169" t="str">
        <f t="shared" si="210"/>
        <v/>
      </c>
      <c r="AW572" s="170" t="str">
        <f t="shared" si="211"/>
        <v>Anteil KWK gemäß Anlage 3</v>
      </c>
      <c r="AX572" s="169" t="str">
        <f t="shared" si="212"/>
        <v/>
      </c>
      <c r="AY572" t="str">
        <f t="shared" si="213"/>
        <v/>
      </c>
      <c r="AZ572" t="str">
        <f t="shared" si="214"/>
        <v/>
      </c>
    </row>
    <row r="573" spans="1:52" s="145" customFormat="1" x14ac:dyDescent="0.35">
      <c r="A573" s="497" t="s">
        <v>1372</v>
      </c>
      <c r="B573" s="13" t="s">
        <v>5547</v>
      </c>
      <c r="C573" s="13" t="s">
        <v>4808</v>
      </c>
      <c r="D573" s="13" t="s">
        <v>7149</v>
      </c>
      <c r="E573" s="13" t="s">
        <v>674</v>
      </c>
      <c r="F573" s="373">
        <f t="shared" si="221"/>
        <v>21.9</v>
      </c>
      <c r="G573" s="430">
        <v>21.9</v>
      </c>
      <c r="H573" s="399">
        <f t="shared" si="222"/>
        <v>17.52</v>
      </c>
      <c r="I573" s="576"/>
      <c r="J573" s="549" t="s">
        <v>5804</v>
      </c>
      <c r="K573" s="11"/>
      <c r="L573"/>
      <c r="M573" s="37">
        <f t="shared" si="223"/>
        <v>21.9</v>
      </c>
      <c r="N573" s="29">
        <v>9.9</v>
      </c>
      <c r="O573" s="41"/>
      <c r="P573" s="11"/>
      <c r="Q573" t="s">
        <v>1017</v>
      </c>
      <c r="R573"/>
      <c r="S573" t="s">
        <v>4179</v>
      </c>
      <c r="T573" s="145" t="s">
        <v>4179</v>
      </c>
      <c r="U573" s="42" t="s">
        <v>1017</v>
      </c>
      <c r="V573" t="s">
        <v>1017</v>
      </c>
      <c r="W573" s="50"/>
      <c r="X573" s="50"/>
      <c r="Y573"/>
      <c r="Z573" s="50"/>
      <c r="AA573"/>
      <c r="AB573"/>
      <c r="AC573" s="50"/>
      <c r="AD573"/>
      <c r="AE573" s="75" t="s">
        <v>1017</v>
      </c>
      <c r="AF573" s="50"/>
      <c r="AG573" s="50"/>
      <c r="AH573" s="166" t="str">
        <f t="shared" si="226"/>
        <v/>
      </c>
      <c r="AI573" s="168" t="str">
        <f t="shared" si="216"/>
        <v/>
      </c>
      <c r="AJ573" s="168" t="str">
        <f t="shared" si="217"/>
        <v/>
      </c>
      <c r="AK573" s="168" t="str">
        <f t="shared" si="218"/>
        <v/>
      </c>
      <c r="AL573" s="168" t="str">
        <f t="shared" si="219"/>
        <v/>
      </c>
      <c r="AM573" s="168" t="str">
        <f t="shared" si="220"/>
        <v/>
      </c>
      <c r="AN573" s="167" t="str">
        <f t="shared" si="202"/>
        <v/>
      </c>
      <c r="AO573" s="167" t="str">
        <f t="shared" si="203"/>
        <v/>
      </c>
      <c r="AP573" s="167" t="str">
        <f t="shared" si="204"/>
        <v/>
      </c>
      <c r="AQ573" s="169" t="str">
        <f t="shared" si="205"/>
        <v/>
      </c>
      <c r="AR573" s="170" t="str">
        <f t="shared" si="206"/>
        <v>BiK82a1bK09y04</v>
      </c>
      <c r="AS573" s="169" t="str">
        <f t="shared" si="207"/>
        <v/>
      </c>
      <c r="AT573">
        <f t="shared" si="208"/>
        <v>14</v>
      </c>
      <c r="AU573" s="170" t="str">
        <f t="shared" si="209"/>
        <v>0,15-0,5 MW, Bonusregeln a1, b, y und K erstmals 2009</v>
      </c>
      <c r="AV573" s="169" t="str">
        <f t="shared" si="210"/>
        <v/>
      </c>
      <c r="AW573" s="170" t="str">
        <f t="shared" si="211"/>
        <v>Anteil KWK, erstmals 2009</v>
      </c>
      <c r="AX573" s="169" t="str">
        <f t="shared" si="212"/>
        <v/>
      </c>
      <c r="AY573" t="str">
        <f t="shared" si="213"/>
        <v/>
      </c>
      <c r="AZ573" t="str">
        <f t="shared" si="214"/>
        <v/>
      </c>
    </row>
    <row r="574" spans="1:52" s="145" customFormat="1" x14ac:dyDescent="0.35">
      <c r="A574" s="497" t="s">
        <v>1460</v>
      </c>
      <c r="B574" s="13" t="s">
        <v>5547</v>
      </c>
      <c r="C574" s="13" t="s">
        <v>4808</v>
      </c>
      <c r="D574" s="13" t="s">
        <v>7150</v>
      </c>
      <c r="E574" s="13" t="s">
        <v>3566</v>
      </c>
      <c r="F574" s="373">
        <f t="shared" si="221"/>
        <v>21.87</v>
      </c>
      <c r="G574" s="430">
        <v>21.87</v>
      </c>
      <c r="H574" s="399">
        <f t="shared" si="222"/>
        <v>17.5</v>
      </c>
      <c r="I574" s="576"/>
      <c r="J574" s="549" t="s">
        <v>5804</v>
      </c>
      <c r="K574" s="11"/>
      <c r="L574"/>
      <c r="M574" s="37">
        <f t="shared" si="223"/>
        <v>21.87</v>
      </c>
      <c r="N574" s="29">
        <v>9.9</v>
      </c>
      <c r="O574" s="41"/>
      <c r="P574" s="11"/>
      <c r="Q574"/>
      <c r="R574" t="s">
        <v>1017</v>
      </c>
      <c r="S574" t="s">
        <v>4179</v>
      </c>
      <c r="T574" s="145" t="s">
        <v>4179</v>
      </c>
      <c r="U574" s="42" t="s">
        <v>1017</v>
      </c>
      <c r="V574" t="s">
        <v>1017</v>
      </c>
      <c r="W574" s="50"/>
      <c r="X574" s="50"/>
      <c r="Y574"/>
      <c r="Z574" s="50"/>
      <c r="AA574"/>
      <c r="AB574"/>
      <c r="AC574" s="50"/>
      <c r="AD574"/>
      <c r="AE574" s="75" t="s">
        <v>1017</v>
      </c>
      <c r="AF574" s="50"/>
      <c r="AG574" s="50"/>
      <c r="AH574" s="166" t="str">
        <f t="shared" si="226"/>
        <v>2010</v>
      </c>
      <c r="AI574" s="168" t="str">
        <f t="shared" si="216"/>
        <v/>
      </c>
      <c r="AJ574" s="168" t="str">
        <f t="shared" si="217"/>
        <v/>
      </c>
      <c r="AK574" s="168" t="str">
        <f t="shared" si="218"/>
        <v/>
      </c>
      <c r="AL574" s="168" t="str">
        <f t="shared" si="219"/>
        <v/>
      </c>
      <c r="AM574" s="168" t="str">
        <f t="shared" si="220"/>
        <v/>
      </c>
      <c r="AN574" s="167" t="str">
        <f t="shared" si="202"/>
        <v>2010</v>
      </c>
      <c r="AO574" s="167" t="str">
        <f t="shared" si="203"/>
        <v>2010</v>
      </c>
      <c r="AP574" s="167" t="str">
        <f t="shared" si="204"/>
        <v>2010</v>
      </c>
      <c r="AQ574" s="169" t="str">
        <f t="shared" si="205"/>
        <v/>
      </c>
      <c r="AR574" s="170" t="str">
        <f t="shared" si="206"/>
        <v>BiK82a1bK10y04</v>
      </c>
      <c r="AS574" s="169" t="str">
        <f t="shared" si="207"/>
        <v/>
      </c>
      <c r="AT574">
        <f t="shared" si="208"/>
        <v>14</v>
      </c>
      <c r="AU574" s="170" t="str">
        <f t="shared" si="209"/>
        <v>0,15-0,5 MW, Bonusregeln a1, b, y und K erstmals 2010</v>
      </c>
      <c r="AV574" s="169" t="str">
        <f t="shared" si="210"/>
        <v/>
      </c>
      <c r="AW574" s="170" t="str">
        <f t="shared" si="211"/>
        <v>Anteil KWK, erstmals 2010</v>
      </c>
      <c r="AX574" s="169" t="str">
        <f t="shared" si="212"/>
        <v/>
      </c>
      <c r="AY574" t="str">
        <f t="shared" si="213"/>
        <v/>
      </c>
      <c r="AZ574" t="str">
        <f t="shared" si="214"/>
        <v/>
      </c>
    </row>
    <row r="575" spans="1:52" s="145" customFormat="1" x14ac:dyDescent="0.35">
      <c r="A575" s="497" t="s">
        <v>5281</v>
      </c>
      <c r="B575" s="13" t="s">
        <v>5547</v>
      </c>
      <c r="C575" s="13" t="s">
        <v>4808</v>
      </c>
      <c r="D575" s="13" t="s">
        <v>7151</v>
      </c>
      <c r="E575" s="13" t="s">
        <v>3054</v>
      </c>
      <c r="F575" s="373">
        <f t="shared" si="221"/>
        <v>21.84</v>
      </c>
      <c r="G575" s="430">
        <v>21.84</v>
      </c>
      <c r="H575" s="399">
        <f t="shared" si="222"/>
        <v>17.47</v>
      </c>
      <c r="I575" s="576"/>
      <c r="J575" s="549" t="s">
        <v>5804</v>
      </c>
      <c r="K575" s="11"/>
      <c r="L575"/>
      <c r="M575" s="37">
        <f t="shared" si="223"/>
        <v>21.84</v>
      </c>
      <c r="N575" s="29">
        <v>9.9</v>
      </c>
      <c r="O575" s="41"/>
      <c r="P575" s="11"/>
      <c r="Q575"/>
      <c r="R575"/>
      <c r="S575" t="s">
        <v>1017</v>
      </c>
      <c r="T575" s="145" t="s">
        <v>4179</v>
      </c>
      <c r="U575" s="42" t="s">
        <v>1017</v>
      </c>
      <c r="V575" t="s">
        <v>1017</v>
      </c>
      <c r="W575" s="50"/>
      <c r="X575" s="50"/>
      <c r="Y575"/>
      <c r="Z575" s="50"/>
      <c r="AA575"/>
      <c r="AB575"/>
      <c r="AC575" s="50"/>
      <c r="AD575"/>
      <c r="AE575" s="75" t="s">
        <v>1017</v>
      </c>
      <c r="AF575" s="50"/>
      <c r="AG575" s="50"/>
      <c r="AH575" s="166" t="str">
        <f t="shared" si="226"/>
        <v>2011</v>
      </c>
      <c r="AI575" s="168" t="str">
        <f t="shared" si="216"/>
        <v/>
      </c>
      <c r="AJ575" s="168" t="str">
        <f t="shared" si="217"/>
        <v/>
      </c>
      <c r="AK575" s="168" t="str">
        <f t="shared" si="218"/>
        <v/>
      </c>
      <c r="AL575" s="168" t="str">
        <f t="shared" si="219"/>
        <v/>
      </c>
      <c r="AM575" s="168" t="str">
        <f t="shared" si="220"/>
        <v/>
      </c>
      <c r="AN575" s="167" t="str">
        <f t="shared" si="202"/>
        <v>2011</v>
      </c>
      <c r="AO575" s="167" t="str">
        <f t="shared" si="203"/>
        <v>2011</v>
      </c>
      <c r="AP575" s="167" t="str">
        <f t="shared" si="204"/>
        <v>2011</v>
      </c>
      <c r="AQ575" s="169" t="str">
        <f t="shared" si="205"/>
        <v/>
      </c>
      <c r="AR575" s="170" t="str">
        <f t="shared" si="206"/>
        <v>BiK82a1bK11y04</v>
      </c>
      <c r="AS575" s="169" t="str">
        <f t="shared" si="207"/>
        <v/>
      </c>
      <c r="AT575">
        <f t="shared" si="208"/>
        <v>14</v>
      </c>
      <c r="AU575" s="170" t="str">
        <f t="shared" si="209"/>
        <v>0,15-0,5 MW, Bonusregeln a1, b, y und K erstmals 2011</v>
      </c>
      <c r="AV575" s="169" t="str">
        <f t="shared" si="210"/>
        <v/>
      </c>
      <c r="AW575" s="170" t="str">
        <f t="shared" si="211"/>
        <v>Anteil KWK, erstmals 2011</v>
      </c>
      <c r="AX575" s="169" t="str">
        <f t="shared" si="212"/>
        <v/>
      </c>
      <c r="AY575" t="str">
        <f t="shared" si="213"/>
        <v>x</v>
      </c>
      <c r="AZ575" t="str">
        <f t="shared" si="214"/>
        <v/>
      </c>
    </row>
    <row r="576" spans="1:52" s="145" customFormat="1" x14ac:dyDescent="0.35">
      <c r="A576" s="511" t="s">
        <v>1532</v>
      </c>
      <c r="B576" s="173" t="s">
        <v>5547</v>
      </c>
      <c r="C576" s="173" t="s">
        <v>4808</v>
      </c>
      <c r="D576" s="173" t="s">
        <v>7152</v>
      </c>
      <c r="E576" s="173" t="s">
        <v>1980</v>
      </c>
      <c r="F576" s="374">
        <f t="shared" si="221"/>
        <v>21.810000000000002</v>
      </c>
      <c r="G576" s="431">
        <v>21.810000000000002</v>
      </c>
      <c r="H576" s="400">
        <f t="shared" si="222"/>
        <v>17.45</v>
      </c>
      <c r="I576" s="577"/>
      <c r="J576" s="549" t="s">
        <v>5804</v>
      </c>
      <c r="K576" s="11"/>
      <c r="L576"/>
      <c r="M576" s="37">
        <f t="shared" si="223"/>
        <v>21.810000000000002</v>
      </c>
      <c r="N576" s="29">
        <v>9.9</v>
      </c>
      <c r="O576" s="41"/>
      <c r="P576" s="11"/>
      <c r="Q576"/>
      <c r="R576"/>
      <c r="S576" t="s">
        <v>4179</v>
      </c>
      <c r="T576" s="145" t="s">
        <v>1017</v>
      </c>
      <c r="U576" s="42" t="s">
        <v>1017</v>
      </c>
      <c r="V576" t="s">
        <v>1017</v>
      </c>
      <c r="W576" s="50"/>
      <c r="X576" s="50"/>
      <c r="Y576"/>
      <c r="Z576" s="50"/>
      <c r="AA576"/>
      <c r="AB576"/>
      <c r="AC576" s="50"/>
      <c r="AD576"/>
      <c r="AE576" s="75" t="s">
        <v>1017</v>
      </c>
      <c r="AF576" s="50"/>
      <c r="AG576" s="50"/>
      <c r="AH576" s="171" t="s">
        <v>4178</v>
      </c>
      <c r="AI576" s="168" t="str">
        <f t="shared" si="216"/>
        <v/>
      </c>
      <c r="AJ576" s="168" t="str">
        <f t="shared" si="217"/>
        <v/>
      </c>
      <c r="AK576" s="168" t="str">
        <f t="shared" si="218"/>
        <v/>
      </c>
      <c r="AL576" s="168" t="str">
        <f t="shared" si="219"/>
        <v/>
      </c>
      <c r="AM576" s="168" t="str">
        <f t="shared" si="220"/>
        <v/>
      </c>
      <c r="AN576" s="167" t="str">
        <f t="shared" si="202"/>
        <v>2012</v>
      </c>
      <c r="AO576" s="167" t="str">
        <f t="shared" si="203"/>
        <v>2012</v>
      </c>
      <c r="AP576" s="167" t="str">
        <f t="shared" si="204"/>
        <v>2012</v>
      </c>
      <c r="AQ576" s="169" t="str">
        <f t="shared" si="205"/>
        <v/>
      </c>
      <c r="AR576" s="170" t="str">
        <f t="shared" si="206"/>
        <v>BiK82a1bK12y04</v>
      </c>
      <c r="AS576" s="169" t="str">
        <f t="shared" si="207"/>
        <v/>
      </c>
      <c r="AT576">
        <f t="shared" si="208"/>
        <v>14</v>
      </c>
      <c r="AU576" s="170" t="str">
        <f t="shared" si="209"/>
        <v>0,15-0,5 MW, Bonusregeln a1, b, y und K erstmals 2012</v>
      </c>
      <c r="AV576" s="169" t="str">
        <f t="shared" si="210"/>
        <v/>
      </c>
      <c r="AW576" s="170" t="str">
        <f t="shared" si="211"/>
        <v>Anteil KWK, erstmals 2012</v>
      </c>
      <c r="AX576" s="169" t="str">
        <f t="shared" si="212"/>
        <v/>
      </c>
      <c r="AY576" t="str">
        <f t="shared" si="213"/>
        <v/>
      </c>
      <c r="AZ576" t="str">
        <f t="shared" si="214"/>
        <v>x</v>
      </c>
    </row>
    <row r="577" spans="1:52" s="145" customFormat="1" x14ac:dyDescent="0.35">
      <c r="A577" s="497" t="s">
        <v>4366</v>
      </c>
      <c r="B577" s="13" t="s">
        <v>5547</v>
      </c>
      <c r="C577" s="13" t="s">
        <v>4808</v>
      </c>
      <c r="D577" s="13" t="s">
        <v>7153</v>
      </c>
      <c r="E577" s="13" t="s">
        <v>4809</v>
      </c>
      <c r="F577" s="373">
        <f t="shared" si="221"/>
        <v>18.899999999999999</v>
      </c>
      <c r="G577" s="430">
        <v>18.899999999999999</v>
      </c>
      <c r="H577" s="399">
        <f t="shared" si="222"/>
        <v>15.12</v>
      </c>
      <c r="I577" s="576"/>
      <c r="J577" s="549" t="s">
        <v>5804</v>
      </c>
      <c r="K577" s="11"/>
      <c r="L577"/>
      <c r="M577" s="37">
        <f t="shared" si="223"/>
        <v>18.899999999999999</v>
      </c>
      <c r="N577" s="29">
        <v>9.9</v>
      </c>
      <c r="O577" s="149"/>
      <c r="P577" s="144"/>
      <c r="S577" s="145" t="s">
        <v>4179</v>
      </c>
      <c r="T577" s="145" t="s">
        <v>4179</v>
      </c>
      <c r="U577" s="146"/>
      <c r="W577" s="147"/>
      <c r="X577" s="147"/>
      <c r="Y577" s="145" t="s">
        <v>1017</v>
      </c>
      <c r="Z577" s="147"/>
      <c r="AC577" s="147"/>
      <c r="AE577" s="148" t="s">
        <v>1017</v>
      </c>
      <c r="AF577" s="147"/>
      <c r="AG577" s="147"/>
      <c r="AH577" s="166" t="str">
        <f t="shared" ref="AH577:AH582" si="227">IF(ISERROR(SEARCH("K erstmals 201",D577)),"",RIGHT(D577,4))</f>
        <v/>
      </c>
      <c r="AI577" s="168" t="str">
        <f t="shared" si="216"/>
        <v/>
      </c>
      <c r="AJ577" s="168" t="str">
        <f t="shared" si="217"/>
        <v/>
      </c>
      <c r="AK577" s="168" t="str">
        <f t="shared" si="218"/>
        <v/>
      </c>
      <c r="AL577" s="168" t="str">
        <f t="shared" si="219"/>
        <v/>
      </c>
      <c r="AM577" s="168" t="str">
        <f t="shared" si="220"/>
        <v/>
      </c>
      <c r="AN577" s="167" t="str">
        <f t="shared" si="202"/>
        <v/>
      </c>
      <c r="AO577" s="167" t="str">
        <f t="shared" si="203"/>
        <v/>
      </c>
      <c r="AP577" s="167" t="str">
        <f t="shared" si="204"/>
        <v/>
      </c>
      <c r="AQ577" s="169" t="str">
        <f t="shared" si="205"/>
        <v/>
      </c>
      <c r="AR577" s="170" t="str">
        <f t="shared" si="206"/>
        <v>BiK82Gb-----04</v>
      </c>
      <c r="AS577" s="169" t="str">
        <f t="shared" si="207"/>
        <v/>
      </c>
      <c r="AT577">
        <f t="shared" si="208"/>
        <v>14</v>
      </c>
      <c r="AU577" s="170" t="str">
        <f t="shared" si="209"/>
        <v>0,15-0,5 MW, Bonusregeln G, b</v>
      </c>
      <c r="AV577" s="169" t="str">
        <f t="shared" si="210"/>
        <v/>
      </c>
      <c r="AW577" s="170" t="str">
        <f t="shared" si="211"/>
        <v>Anteil Nicht-KWK</v>
      </c>
      <c r="AX577" s="169" t="str">
        <f t="shared" si="212"/>
        <v/>
      </c>
      <c r="AY577" t="str">
        <f t="shared" si="213"/>
        <v/>
      </c>
      <c r="AZ577" t="str">
        <f t="shared" si="214"/>
        <v/>
      </c>
    </row>
    <row r="578" spans="1:52" s="145" customFormat="1" x14ac:dyDescent="0.35">
      <c r="A578" s="497" t="s">
        <v>4367</v>
      </c>
      <c r="B578" s="13" t="s">
        <v>5547</v>
      </c>
      <c r="C578" s="13" t="s">
        <v>4808</v>
      </c>
      <c r="D578" s="13" t="s">
        <v>7154</v>
      </c>
      <c r="E578" s="13" t="s">
        <v>4811</v>
      </c>
      <c r="F578" s="373">
        <f t="shared" si="221"/>
        <v>20.9</v>
      </c>
      <c r="G578" s="430">
        <v>20.9</v>
      </c>
      <c r="H578" s="399">
        <f t="shared" si="222"/>
        <v>16.72</v>
      </c>
      <c r="I578" s="576"/>
      <c r="J578" s="549" t="s">
        <v>5804</v>
      </c>
      <c r="K578" s="11"/>
      <c r="L578"/>
      <c r="M578" s="37">
        <f t="shared" si="223"/>
        <v>20.9</v>
      </c>
      <c r="N578" s="29">
        <v>9.9</v>
      </c>
      <c r="O578" s="149" t="s">
        <v>1017</v>
      </c>
      <c r="P578" s="144"/>
      <c r="S578" s="145" t="s">
        <v>4179</v>
      </c>
      <c r="T578" s="145" t="s">
        <v>4179</v>
      </c>
      <c r="U578" s="146"/>
      <c r="W578" s="147"/>
      <c r="X578" s="147"/>
      <c r="Y578" s="145" t="s">
        <v>1017</v>
      </c>
      <c r="Z578" s="147"/>
      <c r="AC578" s="147"/>
      <c r="AE578" s="148" t="s">
        <v>1017</v>
      </c>
      <c r="AF578" s="147"/>
      <c r="AG578" s="147"/>
      <c r="AH578" s="166" t="str">
        <f t="shared" si="227"/>
        <v/>
      </c>
      <c r="AI578" s="168" t="str">
        <f t="shared" si="216"/>
        <v/>
      </c>
      <c r="AJ578" s="168" t="str">
        <f t="shared" si="217"/>
        <v/>
      </c>
      <c r="AK578" s="168" t="str">
        <f t="shared" si="218"/>
        <v/>
      </c>
      <c r="AL578" s="168" t="str">
        <f t="shared" si="219"/>
        <v/>
      </c>
      <c r="AM578" s="168" t="str">
        <f t="shared" si="220"/>
        <v/>
      </c>
      <c r="AN578" s="167" t="str">
        <f t="shared" si="202"/>
        <v/>
      </c>
      <c r="AO578" s="167" t="str">
        <f t="shared" si="203"/>
        <v/>
      </c>
      <c r="AP578" s="167" t="str">
        <f t="shared" si="204"/>
        <v/>
      </c>
      <c r="AQ578" s="169" t="str">
        <f t="shared" si="205"/>
        <v/>
      </c>
      <c r="AR578" s="170" t="str">
        <f t="shared" si="206"/>
        <v>BiK82GbKWK--04</v>
      </c>
      <c r="AS578" s="169" t="str">
        <f t="shared" si="207"/>
        <v/>
      </c>
      <c r="AT578">
        <f t="shared" si="208"/>
        <v>14</v>
      </c>
      <c r="AU578" s="170" t="str">
        <f t="shared" si="209"/>
        <v>0,15-0,5 MW, Bonusregeln G, b und KWK</v>
      </c>
      <c r="AV578" s="169" t="str">
        <f t="shared" si="210"/>
        <v/>
      </c>
      <c r="AW578" s="170" t="str">
        <f t="shared" si="211"/>
        <v>Anteil KWK</v>
      </c>
      <c r="AX578" s="169" t="str">
        <f t="shared" si="212"/>
        <v/>
      </c>
      <c r="AY578" t="str">
        <f t="shared" si="213"/>
        <v/>
      </c>
      <c r="AZ578" t="str">
        <f t="shared" si="214"/>
        <v/>
      </c>
    </row>
    <row r="579" spans="1:52" s="145" customFormat="1" x14ac:dyDescent="0.35">
      <c r="A579" s="497" t="s">
        <v>4368</v>
      </c>
      <c r="B579" s="13" t="s">
        <v>5547</v>
      </c>
      <c r="C579" s="13" t="s">
        <v>4808</v>
      </c>
      <c r="D579" s="13" t="s">
        <v>7155</v>
      </c>
      <c r="E579" s="13" t="s">
        <v>4330</v>
      </c>
      <c r="F579" s="373">
        <f t="shared" si="221"/>
        <v>21.9</v>
      </c>
      <c r="G579" s="430">
        <v>21.9</v>
      </c>
      <c r="H579" s="399">
        <f t="shared" si="222"/>
        <v>17.52</v>
      </c>
      <c r="I579" s="576"/>
      <c r="J579" s="549" t="s">
        <v>5804</v>
      </c>
      <c r="K579" s="11"/>
      <c r="L579"/>
      <c r="M579" s="37">
        <f t="shared" si="223"/>
        <v>21.9</v>
      </c>
      <c r="N579" s="29">
        <v>9.9</v>
      </c>
      <c r="O579" s="149"/>
      <c r="P579" s="145" t="s">
        <v>1017</v>
      </c>
      <c r="S579" s="145" t="s">
        <v>4179</v>
      </c>
      <c r="T579" s="145" t="s">
        <v>4179</v>
      </c>
      <c r="U579" s="146"/>
      <c r="W579" s="147"/>
      <c r="X579" s="147"/>
      <c r="Y579" s="145" t="s">
        <v>1017</v>
      </c>
      <c r="Z579" s="147"/>
      <c r="AC579" s="147"/>
      <c r="AE579" s="148" t="s">
        <v>1017</v>
      </c>
      <c r="AF579" s="147"/>
      <c r="AG579" s="147"/>
      <c r="AH579" s="166" t="str">
        <f t="shared" si="227"/>
        <v/>
      </c>
      <c r="AI579" s="168" t="str">
        <f t="shared" si="216"/>
        <v/>
      </c>
      <c r="AJ579" s="168" t="str">
        <f t="shared" si="217"/>
        <v/>
      </c>
      <c r="AK579" s="168" t="str">
        <f t="shared" si="218"/>
        <v/>
      </c>
      <c r="AL579" s="168" t="str">
        <f t="shared" si="219"/>
        <v/>
      </c>
      <c r="AM579" s="168" t="str">
        <f t="shared" si="220"/>
        <v/>
      </c>
      <c r="AN579" s="167" t="str">
        <f t="shared" si="202"/>
        <v/>
      </c>
      <c r="AO579" s="167" t="str">
        <f t="shared" si="203"/>
        <v/>
      </c>
      <c r="AP579" s="167" t="str">
        <f t="shared" si="204"/>
        <v/>
      </c>
      <c r="AQ579" s="169" t="str">
        <f t="shared" si="205"/>
        <v/>
      </c>
      <c r="AR579" s="170" t="str">
        <f t="shared" si="206"/>
        <v>BiK82GbKA3--04</v>
      </c>
      <c r="AS579" s="169" t="str">
        <f t="shared" si="207"/>
        <v/>
      </c>
      <c r="AT579">
        <f t="shared" si="208"/>
        <v>14</v>
      </c>
      <c r="AU579" s="170" t="str">
        <f t="shared" si="209"/>
        <v>0,15-0,5 MW, Bonusregeln G, b und K wenn Anlage 3 erfüllt</v>
      </c>
      <c r="AV579" s="169" t="str">
        <f t="shared" si="210"/>
        <v/>
      </c>
      <c r="AW579" s="170" t="str">
        <f t="shared" si="211"/>
        <v>Anteil KWK gemäß Anlage 3</v>
      </c>
      <c r="AX579" s="169" t="str">
        <f t="shared" si="212"/>
        <v/>
      </c>
      <c r="AY579" t="str">
        <f t="shared" si="213"/>
        <v/>
      </c>
      <c r="AZ579" t="str">
        <f t="shared" si="214"/>
        <v/>
      </c>
    </row>
    <row r="580" spans="1:52" s="145" customFormat="1" x14ac:dyDescent="0.35">
      <c r="A580" s="497" t="s">
        <v>4369</v>
      </c>
      <c r="B580" s="13" t="s">
        <v>5547</v>
      </c>
      <c r="C580" s="13" t="s">
        <v>4808</v>
      </c>
      <c r="D580" s="13" t="s">
        <v>7156</v>
      </c>
      <c r="E580" s="13" t="s">
        <v>674</v>
      </c>
      <c r="F580" s="373">
        <f t="shared" si="221"/>
        <v>21.9</v>
      </c>
      <c r="G580" s="430">
        <v>21.9</v>
      </c>
      <c r="H580" s="399">
        <f t="shared" si="222"/>
        <v>17.52</v>
      </c>
      <c r="I580" s="576"/>
      <c r="J580" s="549" t="s">
        <v>5804</v>
      </c>
      <c r="K580" s="11"/>
      <c r="L580"/>
      <c r="M580" s="37">
        <f t="shared" si="223"/>
        <v>21.9</v>
      </c>
      <c r="N580" s="29">
        <v>9.9</v>
      </c>
      <c r="O580" s="149"/>
      <c r="P580" s="144"/>
      <c r="Q580" s="145" t="s">
        <v>1017</v>
      </c>
      <c r="S580" s="145" t="s">
        <v>4179</v>
      </c>
      <c r="T580" s="145" t="s">
        <v>4179</v>
      </c>
      <c r="U580" s="146"/>
      <c r="W580" s="147"/>
      <c r="X580" s="147"/>
      <c r="Y580" s="145" t="s">
        <v>1017</v>
      </c>
      <c r="Z580" s="147"/>
      <c r="AC580" s="147"/>
      <c r="AE580" s="148" t="s">
        <v>1017</v>
      </c>
      <c r="AF580" s="147"/>
      <c r="AG580" s="147"/>
      <c r="AH580" s="166" t="str">
        <f t="shared" si="227"/>
        <v/>
      </c>
      <c r="AI580" s="168" t="str">
        <f t="shared" si="216"/>
        <v/>
      </c>
      <c r="AJ580" s="168" t="str">
        <f t="shared" si="217"/>
        <v/>
      </c>
      <c r="AK580" s="168" t="str">
        <f t="shared" si="218"/>
        <v/>
      </c>
      <c r="AL580" s="168" t="str">
        <f t="shared" si="219"/>
        <v/>
      </c>
      <c r="AM580" s="168" t="str">
        <f t="shared" si="220"/>
        <v/>
      </c>
      <c r="AN580" s="167" t="str">
        <f t="shared" si="202"/>
        <v/>
      </c>
      <c r="AO580" s="167" t="str">
        <f t="shared" si="203"/>
        <v/>
      </c>
      <c r="AP580" s="167" t="str">
        <f t="shared" si="204"/>
        <v/>
      </c>
      <c r="AQ580" s="169" t="str">
        <f t="shared" si="205"/>
        <v/>
      </c>
      <c r="AR580" s="170" t="str">
        <f t="shared" si="206"/>
        <v>BiK82GbK09--04</v>
      </c>
      <c r="AS580" s="169" t="str">
        <f t="shared" si="207"/>
        <v/>
      </c>
      <c r="AT580">
        <f t="shared" si="208"/>
        <v>14</v>
      </c>
      <c r="AU580" s="170" t="str">
        <f t="shared" si="209"/>
        <v>0,15-0,5 MW, Bonusregeln G, b und K erstmals 2009</v>
      </c>
      <c r="AV580" s="169" t="str">
        <f t="shared" si="210"/>
        <v/>
      </c>
      <c r="AW580" s="170" t="str">
        <f t="shared" si="211"/>
        <v>Anteil KWK, erstmals 2009</v>
      </c>
      <c r="AX580" s="169" t="str">
        <f t="shared" si="212"/>
        <v/>
      </c>
      <c r="AY580" t="str">
        <f t="shared" si="213"/>
        <v/>
      </c>
      <c r="AZ580" t="str">
        <f t="shared" si="214"/>
        <v/>
      </c>
    </row>
    <row r="581" spans="1:52" s="145" customFormat="1" x14ac:dyDescent="0.35">
      <c r="A581" s="497" t="s">
        <v>1461</v>
      </c>
      <c r="B581" s="13" t="s">
        <v>5547</v>
      </c>
      <c r="C581" s="13" t="s">
        <v>4808</v>
      </c>
      <c r="D581" s="13" t="s">
        <v>7157</v>
      </c>
      <c r="E581" s="13" t="s">
        <v>3566</v>
      </c>
      <c r="F581" s="373">
        <f t="shared" si="221"/>
        <v>21.87</v>
      </c>
      <c r="G581" s="430">
        <v>21.87</v>
      </c>
      <c r="H581" s="399">
        <f t="shared" si="222"/>
        <v>17.5</v>
      </c>
      <c r="I581" s="576"/>
      <c r="J581" s="549" t="s">
        <v>5804</v>
      </c>
      <c r="K581" s="11"/>
      <c r="L581"/>
      <c r="M581" s="37">
        <f t="shared" si="223"/>
        <v>21.87</v>
      </c>
      <c r="N581" s="29">
        <v>9.9</v>
      </c>
      <c r="O581" s="149"/>
      <c r="P581" s="144"/>
      <c r="R581" s="145" t="s">
        <v>1017</v>
      </c>
      <c r="S581" s="145" t="s">
        <v>4179</v>
      </c>
      <c r="T581" s="145" t="s">
        <v>4179</v>
      </c>
      <c r="U581" s="146"/>
      <c r="W581" s="147"/>
      <c r="X581" s="147"/>
      <c r="Y581" s="145" t="s">
        <v>1017</v>
      </c>
      <c r="Z581" s="147"/>
      <c r="AC581" s="147"/>
      <c r="AE581" s="148" t="s">
        <v>1017</v>
      </c>
      <c r="AF581" s="147"/>
      <c r="AG581" s="147"/>
      <c r="AH581" s="166" t="str">
        <f t="shared" si="227"/>
        <v>2010</v>
      </c>
      <c r="AI581" s="168" t="str">
        <f t="shared" si="216"/>
        <v/>
      </c>
      <c r="AJ581" s="168" t="str">
        <f t="shared" si="217"/>
        <v/>
      </c>
      <c r="AK581" s="168" t="str">
        <f t="shared" si="218"/>
        <v/>
      </c>
      <c r="AL581" s="168" t="str">
        <f t="shared" si="219"/>
        <v/>
      </c>
      <c r="AM581" s="168" t="str">
        <f t="shared" si="220"/>
        <v/>
      </c>
      <c r="AN581" s="167" t="str">
        <f t="shared" si="202"/>
        <v>2010</v>
      </c>
      <c r="AO581" s="167" t="str">
        <f t="shared" si="203"/>
        <v>2010</v>
      </c>
      <c r="AP581" s="167" t="str">
        <f t="shared" si="204"/>
        <v>2010</v>
      </c>
      <c r="AQ581" s="169" t="str">
        <f t="shared" si="205"/>
        <v/>
      </c>
      <c r="AR581" s="170" t="str">
        <f t="shared" si="206"/>
        <v>BiK82GbK10--04</v>
      </c>
      <c r="AS581" s="169" t="str">
        <f t="shared" si="207"/>
        <v/>
      </c>
      <c r="AT581">
        <f t="shared" si="208"/>
        <v>14</v>
      </c>
      <c r="AU581" s="170" t="str">
        <f t="shared" si="209"/>
        <v>0,15-0,5 MW, Bonusregeln G, b und K erstmals 2010</v>
      </c>
      <c r="AV581" s="169" t="str">
        <f t="shared" si="210"/>
        <v/>
      </c>
      <c r="AW581" s="170" t="str">
        <f t="shared" si="211"/>
        <v>Anteil KWK, erstmals 2010</v>
      </c>
      <c r="AX581" s="169" t="str">
        <f t="shared" si="212"/>
        <v/>
      </c>
      <c r="AY581" t="str">
        <f t="shared" si="213"/>
        <v/>
      </c>
      <c r="AZ581" t="str">
        <f t="shared" si="214"/>
        <v/>
      </c>
    </row>
    <row r="582" spans="1:52" s="145" customFormat="1" x14ac:dyDescent="0.35">
      <c r="A582" s="497" t="s">
        <v>5282</v>
      </c>
      <c r="B582" s="13" t="s">
        <v>5547</v>
      </c>
      <c r="C582" s="13" t="s">
        <v>4808</v>
      </c>
      <c r="D582" s="13" t="s">
        <v>7158</v>
      </c>
      <c r="E582" s="13" t="s">
        <v>3054</v>
      </c>
      <c r="F582" s="373">
        <f t="shared" si="221"/>
        <v>21.84</v>
      </c>
      <c r="G582" s="430">
        <v>21.84</v>
      </c>
      <c r="H582" s="399">
        <f t="shared" si="222"/>
        <v>17.47</v>
      </c>
      <c r="I582" s="576"/>
      <c r="J582" s="549" t="s">
        <v>5804</v>
      </c>
      <c r="K582" s="11"/>
      <c r="L582"/>
      <c r="M582" s="37">
        <f t="shared" si="223"/>
        <v>21.84</v>
      </c>
      <c r="N582" s="29">
        <v>9.9</v>
      </c>
      <c r="O582" s="149"/>
      <c r="P582" s="144"/>
      <c r="S582" s="145" t="s">
        <v>1017</v>
      </c>
      <c r="T582" s="145" t="s">
        <v>4179</v>
      </c>
      <c r="U582" s="146"/>
      <c r="W582" s="147"/>
      <c r="X582" s="147"/>
      <c r="Y582" s="145" t="s">
        <v>1017</v>
      </c>
      <c r="Z582" s="147"/>
      <c r="AC582" s="147"/>
      <c r="AE582" s="148" t="s">
        <v>1017</v>
      </c>
      <c r="AF582" s="147"/>
      <c r="AG582" s="147"/>
      <c r="AH582" s="166" t="str">
        <f t="shared" si="227"/>
        <v>2011</v>
      </c>
      <c r="AI582" s="168" t="str">
        <f t="shared" si="216"/>
        <v/>
      </c>
      <c r="AJ582" s="168" t="str">
        <f t="shared" si="217"/>
        <v/>
      </c>
      <c r="AK582" s="168" t="str">
        <f t="shared" si="218"/>
        <v/>
      </c>
      <c r="AL582" s="168" t="str">
        <f t="shared" si="219"/>
        <v/>
      </c>
      <c r="AM582" s="168" t="str">
        <f t="shared" si="220"/>
        <v/>
      </c>
      <c r="AN582" s="167" t="str">
        <f t="shared" si="202"/>
        <v>2011</v>
      </c>
      <c r="AO582" s="167" t="str">
        <f t="shared" si="203"/>
        <v>2011</v>
      </c>
      <c r="AP582" s="167" t="str">
        <f t="shared" si="204"/>
        <v>2011</v>
      </c>
      <c r="AQ582" s="169" t="str">
        <f t="shared" si="205"/>
        <v/>
      </c>
      <c r="AR582" s="170" t="str">
        <f t="shared" si="206"/>
        <v>BiK82GbK11--04</v>
      </c>
      <c r="AS582" s="169" t="str">
        <f t="shared" si="207"/>
        <v/>
      </c>
      <c r="AT582">
        <f t="shared" si="208"/>
        <v>14</v>
      </c>
      <c r="AU582" s="170" t="str">
        <f t="shared" si="209"/>
        <v>0,15-0,5 MW, Bonusregeln G, b und K erstmals 2011</v>
      </c>
      <c r="AV582" s="169" t="str">
        <f t="shared" si="210"/>
        <v/>
      </c>
      <c r="AW582" s="170" t="str">
        <f t="shared" si="211"/>
        <v>Anteil KWK, erstmals 2011</v>
      </c>
      <c r="AX582" s="169" t="str">
        <f t="shared" si="212"/>
        <v/>
      </c>
      <c r="AY582" t="str">
        <f t="shared" si="213"/>
        <v>x</v>
      </c>
      <c r="AZ582" t="str">
        <f t="shared" si="214"/>
        <v/>
      </c>
    </row>
    <row r="583" spans="1:52" s="145" customFormat="1" x14ac:dyDescent="0.35">
      <c r="A583" s="511" t="s">
        <v>1533</v>
      </c>
      <c r="B583" s="173" t="s">
        <v>5547</v>
      </c>
      <c r="C583" s="173" t="s">
        <v>4808</v>
      </c>
      <c r="D583" s="173" t="s">
        <v>7159</v>
      </c>
      <c r="E583" s="173" t="s">
        <v>1980</v>
      </c>
      <c r="F583" s="374">
        <f t="shared" si="221"/>
        <v>21.810000000000002</v>
      </c>
      <c r="G583" s="431">
        <v>21.810000000000002</v>
      </c>
      <c r="H583" s="400">
        <f t="shared" si="222"/>
        <v>17.45</v>
      </c>
      <c r="I583" s="577"/>
      <c r="J583" s="549" t="s">
        <v>5804</v>
      </c>
      <c r="K583" s="11"/>
      <c r="L583"/>
      <c r="M583" s="37">
        <f t="shared" si="223"/>
        <v>21.810000000000002</v>
      </c>
      <c r="N583" s="29">
        <v>9.9</v>
      </c>
      <c r="O583" s="149"/>
      <c r="P583" s="144"/>
      <c r="S583" s="145" t="s">
        <v>4179</v>
      </c>
      <c r="T583" s="145" t="s">
        <v>1017</v>
      </c>
      <c r="U583" s="146"/>
      <c r="W583" s="147"/>
      <c r="X583" s="147"/>
      <c r="Y583" s="145" t="s">
        <v>1017</v>
      </c>
      <c r="Z583" s="147"/>
      <c r="AC583" s="147"/>
      <c r="AE583" s="148" t="s">
        <v>1017</v>
      </c>
      <c r="AF583" s="147"/>
      <c r="AG583" s="147"/>
      <c r="AH583" s="171" t="s">
        <v>4178</v>
      </c>
      <c r="AI583" s="168" t="str">
        <f t="shared" si="216"/>
        <v/>
      </c>
      <c r="AJ583" s="168" t="str">
        <f t="shared" si="217"/>
        <v/>
      </c>
      <c r="AK583" s="168" t="str">
        <f t="shared" si="218"/>
        <v/>
      </c>
      <c r="AL583" s="168" t="str">
        <f t="shared" si="219"/>
        <v/>
      </c>
      <c r="AM583" s="168" t="str">
        <f t="shared" si="220"/>
        <v/>
      </c>
      <c r="AN583" s="167" t="str">
        <f t="shared" si="202"/>
        <v>2012</v>
      </c>
      <c r="AO583" s="167" t="str">
        <f t="shared" si="203"/>
        <v>2012</v>
      </c>
      <c r="AP583" s="167" t="str">
        <f t="shared" si="204"/>
        <v>2012</v>
      </c>
      <c r="AQ583" s="169" t="str">
        <f t="shared" si="205"/>
        <v/>
      </c>
      <c r="AR583" s="170" t="str">
        <f t="shared" si="206"/>
        <v>BiK82GbK12--04</v>
      </c>
      <c r="AS583" s="169" t="str">
        <f t="shared" si="207"/>
        <v/>
      </c>
      <c r="AT583">
        <f t="shared" si="208"/>
        <v>14</v>
      </c>
      <c r="AU583" s="170" t="str">
        <f t="shared" si="209"/>
        <v>0,15-0,5 MW, Bonusregeln G, b und K erstmals 2012</v>
      </c>
      <c r="AV583" s="169" t="str">
        <f t="shared" si="210"/>
        <v/>
      </c>
      <c r="AW583" s="170" t="str">
        <f t="shared" si="211"/>
        <v>Anteil KWK, erstmals 2012</v>
      </c>
      <c r="AX583" s="169" t="str">
        <f t="shared" si="212"/>
        <v/>
      </c>
      <c r="AY583" t="str">
        <f t="shared" si="213"/>
        <v/>
      </c>
      <c r="AZ583" t="str">
        <f t="shared" si="214"/>
        <v>x</v>
      </c>
    </row>
    <row r="584" spans="1:52" s="145" customFormat="1" x14ac:dyDescent="0.35">
      <c r="A584" s="497" t="s">
        <v>4370</v>
      </c>
      <c r="B584" s="13" t="s">
        <v>5547</v>
      </c>
      <c r="C584" s="13" t="s">
        <v>4808</v>
      </c>
      <c r="D584" s="13" t="s">
        <v>7160</v>
      </c>
      <c r="E584" s="13" t="s">
        <v>4809</v>
      </c>
      <c r="F584" s="373">
        <f t="shared" si="221"/>
        <v>19.899999999999999</v>
      </c>
      <c r="G584" s="430">
        <v>19.899999999999999</v>
      </c>
      <c r="H584" s="399">
        <f t="shared" si="222"/>
        <v>15.92</v>
      </c>
      <c r="I584" s="576"/>
      <c r="J584" s="549" t="s">
        <v>5804</v>
      </c>
      <c r="K584" s="11"/>
      <c r="L584"/>
      <c r="M584" s="37">
        <f t="shared" si="223"/>
        <v>19.899999999999999</v>
      </c>
      <c r="N584" s="29">
        <v>9.9</v>
      </c>
      <c r="O584" s="149"/>
      <c r="P584" s="144"/>
      <c r="S584" s="145" t="s">
        <v>4179</v>
      </c>
      <c r="T584" s="145" t="s">
        <v>4179</v>
      </c>
      <c r="U584" s="146" t="s">
        <v>1017</v>
      </c>
      <c r="W584" s="147"/>
      <c r="X584" s="147"/>
      <c r="Y584" s="145" t="s">
        <v>1017</v>
      </c>
      <c r="Z584" s="147"/>
      <c r="AC584" s="147"/>
      <c r="AE584" s="148" t="s">
        <v>1017</v>
      </c>
      <c r="AF584" s="147"/>
      <c r="AG584" s="147"/>
      <c r="AH584" s="166" t="str">
        <f t="shared" ref="AH584:AH589" si="228">IF(ISERROR(SEARCH("K erstmals 201",D584)),"",RIGHT(D584,4))</f>
        <v/>
      </c>
      <c r="AI584" s="168" t="str">
        <f t="shared" si="216"/>
        <v/>
      </c>
      <c r="AJ584" s="168" t="str">
        <f t="shared" si="217"/>
        <v/>
      </c>
      <c r="AK584" s="168" t="str">
        <f t="shared" si="218"/>
        <v/>
      </c>
      <c r="AL584" s="168" t="str">
        <f t="shared" si="219"/>
        <v/>
      </c>
      <c r="AM584" s="168" t="str">
        <f t="shared" si="220"/>
        <v/>
      </c>
      <c r="AN584" s="167" t="str">
        <f t="shared" si="202"/>
        <v/>
      </c>
      <c r="AO584" s="167" t="str">
        <f t="shared" si="203"/>
        <v/>
      </c>
      <c r="AP584" s="167" t="str">
        <f t="shared" si="204"/>
        <v/>
      </c>
      <c r="AQ584" s="169" t="str">
        <f t="shared" si="205"/>
        <v/>
      </c>
      <c r="AR584" s="170" t="str">
        <f t="shared" si="206"/>
        <v>BiK82Gby----04</v>
      </c>
      <c r="AS584" s="169" t="str">
        <f t="shared" si="207"/>
        <v/>
      </c>
      <c r="AT584">
        <f t="shared" si="208"/>
        <v>14</v>
      </c>
      <c r="AU584" s="170" t="str">
        <f t="shared" si="209"/>
        <v>0,15-0,5 MW, Bonusregeln G, y, b</v>
      </c>
      <c r="AV584" s="169" t="str">
        <f t="shared" si="210"/>
        <v/>
      </c>
      <c r="AW584" s="170" t="str">
        <f t="shared" si="211"/>
        <v>Anteil Nicht-KWK</v>
      </c>
      <c r="AX584" s="169" t="str">
        <f t="shared" si="212"/>
        <v/>
      </c>
      <c r="AY584" t="str">
        <f t="shared" si="213"/>
        <v/>
      </c>
      <c r="AZ584" t="str">
        <f t="shared" si="214"/>
        <v/>
      </c>
    </row>
    <row r="585" spans="1:52" s="145" customFormat="1" x14ac:dyDescent="0.35">
      <c r="A585" s="497" t="s">
        <v>4371</v>
      </c>
      <c r="B585" s="13" t="s">
        <v>5547</v>
      </c>
      <c r="C585" s="13" t="s">
        <v>4808</v>
      </c>
      <c r="D585" s="13" t="s">
        <v>7161</v>
      </c>
      <c r="E585" s="13" t="s">
        <v>4811</v>
      </c>
      <c r="F585" s="373">
        <f t="shared" si="221"/>
        <v>21.9</v>
      </c>
      <c r="G585" s="430">
        <v>21.9</v>
      </c>
      <c r="H585" s="399">
        <f t="shared" si="222"/>
        <v>17.52</v>
      </c>
      <c r="I585" s="576"/>
      <c r="J585" s="549" t="s">
        <v>5804</v>
      </c>
      <c r="K585" s="11"/>
      <c r="L585"/>
      <c r="M585" s="37">
        <f t="shared" si="223"/>
        <v>21.9</v>
      </c>
      <c r="N585" s="29">
        <v>9.9</v>
      </c>
      <c r="O585" s="149" t="s">
        <v>1017</v>
      </c>
      <c r="P585" s="144"/>
      <c r="S585" s="145" t="s">
        <v>4179</v>
      </c>
      <c r="T585" s="145" t="s">
        <v>4179</v>
      </c>
      <c r="U585" s="146" t="s">
        <v>1017</v>
      </c>
      <c r="W585" s="147"/>
      <c r="X585" s="147"/>
      <c r="Y585" s="145" t="s">
        <v>1017</v>
      </c>
      <c r="Z585" s="147"/>
      <c r="AC585" s="147"/>
      <c r="AE585" s="148" t="s">
        <v>1017</v>
      </c>
      <c r="AF585" s="147"/>
      <c r="AG585" s="147"/>
      <c r="AH585" s="166" t="str">
        <f t="shared" si="228"/>
        <v/>
      </c>
      <c r="AI585" s="168" t="str">
        <f t="shared" si="216"/>
        <v/>
      </c>
      <c r="AJ585" s="168" t="str">
        <f t="shared" si="217"/>
        <v/>
      </c>
      <c r="AK585" s="168" t="str">
        <f t="shared" si="218"/>
        <v/>
      </c>
      <c r="AL585" s="168" t="str">
        <f t="shared" si="219"/>
        <v/>
      </c>
      <c r="AM585" s="168" t="str">
        <f t="shared" si="220"/>
        <v/>
      </c>
      <c r="AN585" s="167" t="str">
        <f t="shared" si="202"/>
        <v/>
      </c>
      <c r="AO585" s="167" t="str">
        <f t="shared" si="203"/>
        <v/>
      </c>
      <c r="AP585" s="167" t="str">
        <f t="shared" si="204"/>
        <v/>
      </c>
      <c r="AQ585" s="169" t="str">
        <f t="shared" si="205"/>
        <v/>
      </c>
      <c r="AR585" s="170" t="str">
        <f t="shared" si="206"/>
        <v>BiK82GbKWKy-04</v>
      </c>
      <c r="AS585" s="169" t="str">
        <f t="shared" si="207"/>
        <v/>
      </c>
      <c r="AT585">
        <f t="shared" si="208"/>
        <v>14</v>
      </c>
      <c r="AU585" s="170" t="str">
        <f t="shared" si="209"/>
        <v>0,15-0,5 MW, Bonusregeln G, y, b und KWK</v>
      </c>
      <c r="AV585" s="169" t="str">
        <f t="shared" si="210"/>
        <v/>
      </c>
      <c r="AW585" s="170" t="str">
        <f t="shared" si="211"/>
        <v>Anteil KWK</v>
      </c>
      <c r="AX585" s="169" t="str">
        <f t="shared" si="212"/>
        <v/>
      </c>
      <c r="AY585" t="str">
        <f t="shared" si="213"/>
        <v/>
      </c>
      <c r="AZ585" t="str">
        <f t="shared" si="214"/>
        <v/>
      </c>
    </row>
    <row r="586" spans="1:52" s="145" customFormat="1" x14ac:dyDescent="0.35">
      <c r="A586" s="497" t="s">
        <v>4372</v>
      </c>
      <c r="B586" s="13" t="s">
        <v>5547</v>
      </c>
      <c r="C586" s="13" t="s">
        <v>4808</v>
      </c>
      <c r="D586" s="88" t="s">
        <v>7162</v>
      </c>
      <c r="E586" s="13" t="s">
        <v>4330</v>
      </c>
      <c r="F586" s="373">
        <f t="shared" si="221"/>
        <v>22.9</v>
      </c>
      <c r="G586" s="430">
        <v>22.9</v>
      </c>
      <c r="H586" s="399">
        <f t="shared" si="222"/>
        <v>18.32</v>
      </c>
      <c r="I586" s="576"/>
      <c r="J586" s="549" t="s">
        <v>5804</v>
      </c>
      <c r="K586" s="11"/>
      <c r="L586"/>
      <c r="M586" s="37">
        <f t="shared" si="223"/>
        <v>22.9</v>
      </c>
      <c r="N586" s="29">
        <v>9.9</v>
      </c>
      <c r="O586" s="149"/>
      <c r="P586" s="145" t="s">
        <v>1017</v>
      </c>
      <c r="S586" s="145" t="s">
        <v>4179</v>
      </c>
      <c r="T586" s="145" t="s">
        <v>4179</v>
      </c>
      <c r="U586" s="146" t="s">
        <v>1017</v>
      </c>
      <c r="W586" s="147"/>
      <c r="X586" s="147"/>
      <c r="Y586" s="145" t="s">
        <v>1017</v>
      </c>
      <c r="Z586" s="147"/>
      <c r="AC586" s="147"/>
      <c r="AE586" s="148" t="s">
        <v>1017</v>
      </c>
      <c r="AF586" s="147"/>
      <c r="AG586" s="147"/>
      <c r="AH586" s="166" t="str">
        <f t="shared" si="228"/>
        <v/>
      </c>
      <c r="AI586" s="168" t="str">
        <f t="shared" si="216"/>
        <v/>
      </c>
      <c r="AJ586" s="168" t="str">
        <f t="shared" si="217"/>
        <v/>
      </c>
      <c r="AK586" s="168" t="str">
        <f t="shared" si="218"/>
        <v/>
      </c>
      <c r="AL586" s="168" t="str">
        <f t="shared" si="219"/>
        <v/>
      </c>
      <c r="AM586" s="168" t="str">
        <f t="shared" si="220"/>
        <v/>
      </c>
      <c r="AN586" s="167" t="str">
        <f t="shared" si="202"/>
        <v/>
      </c>
      <c r="AO586" s="167" t="str">
        <f t="shared" si="203"/>
        <v/>
      </c>
      <c r="AP586" s="167" t="str">
        <f t="shared" si="204"/>
        <v/>
      </c>
      <c r="AQ586" s="169" t="str">
        <f t="shared" si="205"/>
        <v/>
      </c>
      <c r="AR586" s="170" t="str">
        <f t="shared" si="206"/>
        <v>BiK82GbKA3y-04</v>
      </c>
      <c r="AS586" s="169" t="str">
        <f t="shared" si="207"/>
        <v/>
      </c>
      <c r="AT586">
        <f t="shared" si="208"/>
        <v>14</v>
      </c>
      <c r="AU586" s="170" t="str">
        <f t="shared" si="209"/>
        <v>0,15-0,5 MW, Bonusregeln G, y, b und K wenn Anlage 3 erfüllt</v>
      </c>
      <c r="AV586" s="169" t="str">
        <f t="shared" si="210"/>
        <v/>
      </c>
      <c r="AW586" s="170" t="str">
        <f t="shared" si="211"/>
        <v>Anteil KWK gemäß Anlage 3</v>
      </c>
      <c r="AX586" s="169" t="str">
        <f t="shared" si="212"/>
        <v/>
      </c>
      <c r="AY586" t="str">
        <f t="shared" si="213"/>
        <v/>
      </c>
      <c r="AZ586" t="str">
        <f t="shared" si="214"/>
        <v/>
      </c>
    </row>
    <row r="587" spans="1:52" s="145" customFormat="1" x14ac:dyDescent="0.35">
      <c r="A587" s="497" t="s">
        <v>4373</v>
      </c>
      <c r="B587" s="13" t="s">
        <v>5547</v>
      </c>
      <c r="C587" s="13" t="s">
        <v>4808</v>
      </c>
      <c r="D587" s="13" t="s">
        <v>7163</v>
      </c>
      <c r="E587" s="13" t="s">
        <v>674</v>
      </c>
      <c r="F587" s="373">
        <f t="shared" si="221"/>
        <v>22.9</v>
      </c>
      <c r="G587" s="430">
        <v>22.9</v>
      </c>
      <c r="H587" s="399">
        <f t="shared" si="222"/>
        <v>18.32</v>
      </c>
      <c r="I587" s="576"/>
      <c r="J587" s="549" t="s">
        <v>5804</v>
      </c>
      <c r="K587" s="11"/>
      <c r="L587"/>
      <c r="M587" s="37">
        <f t="shared" si="223"/>
        <v>22.9</v>
      </c>
      <c r="N587" s="29">
        <v>9.9</v>
      </c>
      <c r="O587" s="149"/>
      <c r="P587" s="144"/>
      <c r="Q587" s="145" t="s">
        <v>1017</v>
      </c>
      <c r="S587" s="145" t="s">
        <v>4179</v>
      </c>
      <c r="T587" s="145" t="s">
        <v>4179</v>
      </c>
      <c r="U587" s="146" t="s">
        <v>1017</v>
      </c>
      <c r="W587" s="147"/>
      <c r="X587" s="147"/>
      <c r="Y587" s="145" t="s">
        <v>1017</v>
      </c>
      <c r="Z587" s="147"/>
      <c r="AC587" s="147"/>
      <c r="AE587" s="148" t="s">
        <v>1017</v>
      </c>
      <c r="AF587" s="147"/>
      <c r="AG587" s="147"/>
      <c r="AH587" s="166" t="str">
        <f t="shared" si="228"/>
        <v/>
      </c>
      <c r="AI587" s="168" t="str">
        <f t="shared" si="216"/>
        <v/>
      </c>
      <c r="AJ587" s="168" t="str">
        <f t="shared" si="217"/>
        <v/>
      </c>
      <c r="AK587" s="168" t="str">
        <f t="shared" si="218"/>
        <v/>
      </c>
      <c r="AL587" s="168" t="str">
        <f t="shared" si="219"/>
        <v/>
      </c>
      <c r="AM587" s="168" t="str">
        <f t="shared" si="220"/>
        <v/>
      </c>
      <c r="AN587" s="167" t="str">
        <f t="shared" si="202"/>
        <v/>
      </c>
      <c r="AO587" s="167" t="str">
        <f t="shared" si="203"/>
        <v/>
      </c>
      <c r="AP587" s="167" t="str">
        <f t="shared" si="204"/>
        <v/>
      </c>
      <c r="AQ587" s="169" t="str">
        <f t="shared" si="205"/>
        <v/>
      </c>
      <c r="AR587" s="170" t="str">
        <f t="shared" si="206"/>
        <v>BiK82GbK09y-04</v>
      </c>
      <c r="AS587" s="169" t="str">
        <f t="shared" si="207"/>
        <v/>
      </c>
      <c r="AT587">
        <f t="shared" si="208"/>
        <v>14</v>
      </c>
      <c r="AU587" s="170" t="str">
        <f t="shared" si="209"/>
        <v>0,15-0,5 MW, Bonusregeln G, y, b und K erstmals 2009</v>
      </c>
      <c r="AV587" s="169" t="str">
        <f t="shared" si="210"/>
        <v/>
      </c>
      <c r="AW587" s="170" t="str">
        <f t="shared" si="211"/>
        <v>Anteil KWK, erstmals 2009</v>
      </c>
      <c r="AX587" s="169" t="str">
        <f t="shared" si="212"/>
        <v/>
      </c>
      <c r="AY587" t="str">
        <f t="shared" si="213"/>
        <v/>
      </c>
      <c r="AZ587" t="str">
        <f t="shared" si="214"/>
        <v/>
      </c>
    </row>
    <row r="588" spans="1:52" s="145" customFormat="1" x14ac:dyDescent="0.35">
      <c r="A588" s="497" t="s">
        <v>1462</v>
      </c>
      <c r="B588" s="13" t="s">
        <v>5547</v>
      </c>
      <c r="C588" s="13" t="s">
        <v>4808</v>
      </c>
      <c r="D588" s="13" t="s">
        <v>7164</v>
      </c>
      <c r="E588" s="13" t="s">
        <v>3566</v>
      </c>
      <c r="F588" s="373">
        <f t="shared" si="221"/>
        <v>22.87</v>
      </c>
      <c r="G588" s="430">
        <v>22.87</v>
      </c>
      <c r="H588" s="399">
        <f t="shared" si="222"/>
        <v>18.3</v>
      </c>
      <c r="I588" s="576"/>
      <c r="J588" s="549" t="s">
        <v>5804</v>
      </c>
      <c r="K588" s="11"/>
      <c r="L588"/>
      <c r="M588" s="37">
        <f t="shared" si="223"/>
        <v>22.87</v>
      </c>
      <c r="N588" s="29">
        <v>9.9</v>
      </c>
      <c r="O588" s="149"/>
      <c r="P588" s="144"/>
      <c r="R588" s="145" t="s">
        <v>1017</v>
      </c>
      <c r="S588" s="145" t="s">
        <v>4179</v>
      </c>
      <c r="T588" s="145" t="s">
        <v>4179</v>
      </c>
      <c r="U588" s="146" t="s">
        <v>1017</v>
      </c>
      <c r="W588" s="147"/>
      <c r="X588" s="147"/>
      <c r="Y588" s="145" t="s">
        <v>1017</v>
      </c>
      <c r="Z588" s="147"/>
      <c r="AC588" s="147"/>
      <c r="AE588" s="148" t="s">
        <v>1017</v>
      </c>
      <c r="AF588" s="147"/>
      <c r="AG588" s="147"/>
      <c r="AH588" s="166" t="str">
        <f t="shared" si="228"/>
        <v>2010</v>
      </c>
      <c r="AI588" s="168" t="str">
        <f t="shared" si="216"/>
        <v/>
      </c>
      <c r="AJ588" s="168" t="str">
        <f t="shared" si="217"/>
        <v/>
      </c>
      <c r="AK588" s="168" t="str">
        <f t="shared" si="218"/>
        <v/>
      </c>
      <c r="AL588" s="168" t="str">
        <f t="shared" si="219"/>
        <v/>
      </c>
      <c r="AM588" s="168" t="str">
        <f t="shared" si="220"/>
        <v/>
      </c>
      <c r="AN588" s="167" t="str">
        <f t="shared" si="202"/>
        <v>2010</v>
      </c>
      <c r="AO588" s="167" t="str">
        <f t="shared" si="203"/>
        <v>2010</v>
      </c>
      <c r="AP588" s="167" t="str">
        <f t="shared" si="204"/>
        <v>2010</v>
      </c>
      <c r="AQ588" s="169" t="str">
        <f t="shared" si="205"/>
        <v/>
      </c>
      <c r="AR588" s="170" t="str">
        <f t="shared" si="206"/>
        <v>BiK82GbK10y-04</v>
      </c>
      <c r="AS588" s="169" t="str">
        <f t="shared" si="207"/>
        <v/>
      </c>
      <c r="AT588">
        <f t="shared" si="208"/>
        <v>14</v>
      </c>
      <c r="AU588" s="170" t="str">
        <f t="shared" si="209"/>
        <v>0,15-0,5 MW, Bonusregeln G, y, b und K erstmals 2010</v>
      </c>
      <c r="AV588" s="169" t="str">
        <f t="shared" si="210"/>
        <v/>
      </c>
      <c r="AW588" s="170" t="str">
        <f t="shared" si="211"/>
        <v>Anteil KWK, erstmals 2010</v>
      </c>
      <c r="AX588" s="169" t="str">
        <f t="shared" si="212"/>
        <v/>
      </c>
      <c r="AY588" t="str">
        <f t="shared" si="213"/>
        <v/>
      </c>
      <c r="AZ588" t="str">
        <f t="shared" si="214"/>
        <v/>
      </c>
    </row>
    <row r="589" spans="1:52" s="145" customFormat="1" x14ac:dyDescent="0.35">
      <c r="A589" s="497" t="s">
        <v>5283</v>
      </c>
      <c r="B589" s="13" t="s">
        <v>5547</v>
      </c>
      <c r="C589" s="13" t="s">
        <v>4808</v>
      </c>
      <c r="D589" s="13" t="s">
        <v>7165</v>
      </c>
      <c r="E589" s="13" t="s">
        <v>3054</v>
      </c>
      <c r="F589" s="373">
        <f t="shared" si="221"/>
        <v>22.84</v>
      </c>
      <c r="G589" s="430">
        <v>22.84</v>
      </c>
      <c r="H589" s="399">
        <f t="shared" si="222"/>
        <v>18.27</v>
      </c>
      <c r="I589" s="576"/>
      <c r="J589" s="549" t="s">
        <v>5804</v>
      </c>
      <c r="K589" s="11"/>
      <c r="L589"/>
      <c r="M589" s="37">
        <f t="shared" si="223"/>
        <v>22.84</v>
      </c>
      <c r="N589" s="29">
        <v>9.9</v>
      </c>
      <c r="O589" s="149"/>
      <c r="P589" s="144"/>
      <c r="S589" s="145" t="s">
        <v>1017</v>
      </c>
      <c r="T589" s="145" t="s">
        <v>4179</v>
      </c>
      <c r="U589" s="146" t="s">
        <v>1017</v>
      </c>
      <c r="W589" s="147"/>
      <c r="X589" s="147"/>
      <c r="Y589" s="145" t="s">
        <v>1017</v>
      </c>
      <c r="Z589" s="147"/>
      <c r="AC589" s="147"/>
      <c r="AE589" s="148" t="s">
        <v>1017</v>
      </c>
      <c r="AF589" s="147"/>
      <c r="AG589" s="147"/>
      <c r="AH589" s="166" t="str">
        <f t="shared" si="228"/>
        <v>2011</v>
      </c>
      <c r="AI589" s="168" t="str">
        <f t="shared" si="216"/>
        <v/>
      </c>
      <c r="AJ589" s="168" t="str">
        <f t="shared" si="217"/>
        <v/>
      </c>
      <c r="AK589" s="168" t="str">
        <f t="shared" si="218"/>
        <v/>
      </c>
      <c r="AL589" s="168" t="str">
        <f t="shared" si="219"/>
        <v/>
      </c>
      <c r="AM589" s="168" t="str">
        <f t="shared" si="220"/>
        <v/>
      </c>
      <c r="AN589" s="167" t="str">
        <f t="shared" si="202"/>
        <v>2011</v>
      </c>
      <c r="AO589" s="167" t="str">
        <f t="shared" si="203"/>
        <v>2011</v>
      </c>
      <c r="AP589" s="167" t="str">
        <f t="shared" si="204"/>
        <v>2011</v>
      </c>
      <c r="AQ589" s="169" t="str">
        <f t="shared" si="205"/>
        <v/>
      </c>
      <c r="AR589" s="170" t="str">
        <f t="shared" si="206"/>
        <v>BiK82GbK11y-04</v>
      </c>
      <c r="AS589" s="169" t="str">
        <f t="shared" si="207"/>
        <v/>
      </c>
      <c r="AT589">
        <f t="shared" si="208"/>
        <v>14</v>
      </c>
      <c r="AU589" s="170" t="str">
        <f t="shared" si="209"/>
        <v>0,15-0,5 MW, Bonusregeln G, y, b und K erstmals 2011</v>
      </c>
      <c r="AV589" s="169" t="str">
        <f t="shared" si="210"/>
        <v/>
      </c>
      <c r="AW589" s="170" t="str">
        <f t="shared" si="211"/>
        <v>Anteil KWK, erstmals 2011</v>
      </c>
      <c r="AX589" s="169" t="str">
        <f t="shared" si="212"/>
        <v/>
      </c>
      <c r="AY589" t="str">
        <f t="shared" si="213"/>
        <v>x</v>
      </c>
      <c r="AZ589" t="str">
        <f t="shared" si="214"/>
        <v/>
      </c>
    </row>
    <row r="590" spans="1:52" s="145" customFormat="1" x14ac:dyDescent="0.35">
      <c r="A590" s="511" t="s">
        <v>1534</v>
      </c>
      <c r="B590" s="173" t="s">
        <v>5547</v>
      </c>
      <c r="C590" s="173" t="s">
        <v>4808</v>
      </c>
      <c r="D590" s="173" t="s">
        <v>7166</v>
      </c>
      <c r="E590" s="173" t="s">
        <v>1980</v>
      </c>
      <c r="F590" s="374">
        <f t="shared" si="221"/>
        <v>22.810000000000002</v>
      </c>
      <c r="G590" s="431">
        <v>22.810000000000002</v>
      </c>
      <c r="H590" s="400">
        <f t="shared" si="222"/>
        <v>18.25</v>
      </c>
      <c r="I590" s="577"/>
      <c r="J590" s="549" t="s">
        <v>5804</v>
      </c>
      <c r="K590" s="11"/>
      <c r="L590"/>
      <c r="M590" s="37">
        <f t="shared" si="223"/>
        <v>22.810000000000002</v>
      </c>
      <c r="N590" s="29">
        <v>9.9</v>
      </c>
      <c r="O590" s="149"/>
      <c r="P590" s="144"/>
      <c r="S590" s="145" t="s">
        <v>4179</v>
      </c>
      <c r="T590" s="145" t="s">
        <v>1017</v>
      </c>
      <c r="U590" s="146" t="s">
        <v>1017</v>
      </c>
      <c r="W590" s="147"/>
      <c r="X590" s="147"/>
      <c r="Y590" s="145" t="s">
        <v>1017</v>
      </c>
      <c r="Z590" s="147"/>
      <c r="AC590" s="147"/>
      <c r="AE590" s="148" t="s">
        <v>1017</v>
      </c>
      <c r="AF590" s="147"/>
      <c r="AG590" s="147"/>
      <c r="AH590" s="171" t="s">
        <v>4178</v>
      </c>
      <c r="AI590" s="168" t="str">
        <f t="shared" si="216"/>
        <v/>
      </c>
      <c r="AJ590" s="168" t="str">
        <f t="shared" si="217"/>
        <v/>
      </c>
      <c r="AK590" s="168" t="str">
        <f t="shared" si="218"/>
        <v/>
      </c>
      <c r="AL590" s="168" t="str">
        <f t="shared" si="219"/>
        <v/>
      </c>
      <c r="AM590" s="168" t="str">
        <f t="shared" si="220"/>
        <v/>
      </c>
      <c r="AN590" s="167" t="str">
        <f t="shared" si="202"/>
        <v>2012</v>
      </c>
      <c r="AO590" s="167" t="str">
        <f t="shared" si="203"/>
        <v>2012</v>
      </c>
      <c r="AP590" s="167" t="str">
        <f t="shared" si="204"/>
        <v>2012</v>
      </c>
      <c r="AQ590" s="169" t="str">
        <f t="shared" si="205"/>
        <v/>
      </c>
      <c r="AR590" s="170" t="str">
        <f t="shared" si="206"/>
        <v>BiK82GbK12y-04</v>
      </c>
      <c r="AS590" s="169" t="str">
        <f t="shared" si="207"/>
        <v/>
      </c>
      <c r="AT590">
        <f t="shared" si="208"/>
        <v>14</v>
      </c>
      <c r="AU590" s="170" t="str">
        <f t="shared" si="209"/>
        <v>0,15-0,5 MW, Bonusregeln G, y, b und K erstmals 2012</v>
      </c>
      <c r="AV590" s="169" t="str">
        <f t="shared" si="210"/>
        <v/>
      </c>
      <c r="AW590" s="170" t="str">
        <f t="shared" si="211"/>
        <v>Anteil KWK, erstmals 2012</v>
      </c>
      <c r="AX590" s="169" t="str">
        <f t="shared" si="212"/>
        <v/>
      </c>
      <c r="AY590" t="str">
        <f t="shared" si="213"/>
        <v/>
      </c>
      <c r="AZ590" t="str">
        <f t="shared" si="214"/>
        <v>x</v>
      </c>
    </row>
    <row r="591" spans="1:52" s="145" customFormat="1" x14ac:dyDescent="0.35">
      <c r="A591" s="497" t="s">
        <v>5061</v>
      </c>
      <c r="B591" s="13" t="s">
        <v>5547</v>
      </c>
      <c r="C591" s="13" t="s">
        <v>4808</v>
      </c>
      <c r="D591" s="13" t="s">
        <v>7167</v>
      </c>
      <c r="E591" s="13" t="s">
        <v>4809</v>
      </c>
      <c r="F591" s="373">
        <f t="shared" si="221"/>
        <v>19.899999999999999</v>
      </c>
      <c r="G591" s="430">
        <v>19.899999999999999</v>
      </c>
      <c r="H591" s="399">
        <f t="shared" si="222"/>
        <v>15.92</v>
      </c>
      <c r="I591" s="576"/>
      <c r="J591" s="549" t="s">
        <v>5804</v>
      </c>
      <c r="K591" s="11"/>
      <c r="L591"/>
      <c r="M591" s="37">
        <f t="shared" si="223"/>
        <v>19.899999999999999</v>
      </c>
      <c r="N591" s="29">
        <v>9.9</v>
      </c>
      <c r="O591" s="149"/>
      <c r="P591" s="144"/>
      <c r="S591" s="145" t="s">
        <v>4179</v>
      </c>
      <c r="T591" s="145" t="s">
        <v>4179</v>
      </c>
      <c r="U591" s="146"/>
      <c r="W591" s="147"/>
      <c r="X591" s="147"/>
      <c r="Z591" s="147"/>
      <c r="AA591" s="145" t="s">
        <v>1017</v>
      </c>
      <c r="AC591" s="147"/>
      <c r="AE591" s="148" t="s">
        <v>1017</v>
      </c>
      <c r="AF591" s="147"/>
      <c r="AG591" s="147"/>
      <c r="AH591" s="166" t="str">
        <f t="shared" ref="AH591:AH596" si="229">IF(ISERROR(SEARCH("K erstmals 201",D591)),"",RIGHT(D591,4))</f>
        <v/>
      </c>
      <c r="AI591" s="168" t="str">
        <f t="shared" si="216"/>
        <v/>
      </c>
      <c r="AJ591" s="168" t="str">
        <f t="shared" si="217"/>
        <v/>
      </c>
      <c r="AK591" s="168" t="str">
        <f t="shared" si="218"/>
        <v/>
      </c>
      <c r="AL591" s="168" t="str">
        <f t="shared" si="219"/>
        <v/>
      </c>
      <c r="AM591" s="168" t="str">
        <f t="shared" si="220"/>
        <v/>
      </c>
      <c r="AN591" s="167" t="str">
        <f t="shared" si="202"/>
        <v/>
      </c>
      <c r="AO591" s="167" t="str">
        <f t="shared" si="203"/>
        <v/>
      </c>
      <c r="AP591" s="167" t="str">
        <f t="shared" si="204"/>
        <v/>
      </c>
      <c r="AQ591" s="169" t="str">
        <f t="shared" si="205"/>
        <v/>
      </c>
      <c r="AR591" s="170" t="str">
        <f t="shared" si="206"/>
        <v>BiK82M2b----04</v>
      </c>
      <c r="AS591" s="169" t="str">
        <f t="shared" si="207"/>
        <v/>
      </c>
      <c r="AT591">
        <f t="shared" si="208"/>
        <v>14</v>
      </c>
      <c r="AU591" s="170" t="str">
        <f t="shared" si="209"/>
        <v>0,15-0,5 MW, Bonusregeln M2, b</v>
      </c>
      <c r="AV591" s="169" t="str">
        <f t="shared" si="210"/>
        <v/>
      </c>
      <c r="AW591" s="170" t="str">
        <f t="shared" si="211"/>
        <v>Anteil Nicht-KWK</v>
      </c>
      <c r="AX591" s="169" t="str">
        <f t="shared" si="212"/>
        <v/>
      </c>
      <c r="AY591" t="str">
        <f t="shared" si="213"/>
        <v/>
      </c>
      <c r="AZ591" t="str">
        <f t="shared" si="214"/>
        <v/>
      </c>
    </row>
    <row r="592" spans="1:52" s="145" customFormat="1" x14ac:dyDescent="0.35">
      <c r="A592" s="497" t="s">
        <v>5062</v>
      </c>
      <c r="B592" s="13" t="s">
        <v>5547</v>
      </c>
      <c r="C592" s="13" t="s">
        <v>4808</v>
      </c>
      <c r="D592" s="13" t="s">
        <v>7168</v>
      </c>
      <c r="E592" s="13" t="s">
        <v>4811</v>
      </c>
      <c r="F592" s="373">
        <f t="shared" si="221"/>
        <v>21.9</v>
      </c>
      <c r="G592" s="430">
        <v>21.9</v>
      </c>
      <c r="H592" s="399">
        <f t="shared" si="222"/>
        <v>17.52</v>
      </c>
      <c r="I592" s="576"/>
      <c r="J592" s="549" t="s">
        <v>5804</v>
      </c>
      <c r="K592" s="11"/>
      <c r="L592"/>
      <c r="M592" s="37">
        <f t="shared" si="223"/>
        <v>21.9</v>
      </c>
      <c r="N592" s="29">
        <v>9.9</v>
      </c>
      <c r="O592" s="149" t="s">
        <v>1017</v>
      </c>
      <c r="P592" s="144"/>
      <c r="S592" s="145" t="s">
        <v>4179</v>
      </c>
      <c r="T592" s="145" t="s">
        <v>4179</v>
      </c>
      <c r="U592" s="146"/>
      <c r="W592" s="147"/>
      <c r="X592" s="147"/>
      <c r="Z592" s="147"/>
      <c r="AA592" s="145" t="s">
        <v>1017</v>
      </c>
      <c r="AC592" s="147"/>
      <c r="AE592" s="148" t="s">
        <v>1017</v>
      </c>
      <c r="AF592" s="147"/>
      <c r="AG592" s="147"/>
      <c r="AH592" s="166" t="str">
        <f t="shared" si="229"/>
        <v/>
      </c>
      <c r="AI592" s="168" t="str">
        <f t="shared" si="216"/>
        <v/>
      </c>
      <c r="AJ592" s="168" t="str">
        <f t="shared" si="217"/>
        <v/>
      </c>
      <c r="AK592" s="168" t="str">
        <f t="shared" si="218"/>
        <v/>
      </c>
      <c r="AL592" s="168" t="str">
        <f t="shared" si="219"/>
        <v/>
      </c>
      <c r="AM592" s="168" t="str">
        <f t="shared" si="220"/>
        <v/>
      </c>
      <c r="AN592" s="167" t="str">
        <f t="shared" si="202"/>
        <v/>
      </c>
      <c r="AO592" s="167" t="str">
        <f t="shared" si="203"/>
        <v/>
      </c>
      <c r="AP592" s="167" t="str">
        <f t="shared" si="204"/>
        <v/>
      </c>
      <c r="AQ592" s="169" t="str">
        <f t="shared" si="205"/>
        <v/>
      </c>
      <c r="AR592" s="170" t="str">
        <f t="shared" si="206"/>
        <v>BiK82M2bKWK-04</v>
      </c>
      <c r="AS592" s="169" t="str">
        <f t="shared" si="207"/>
        <v/>
      </c>
      <c r="AT592">
        <f t="shared" si="208"/>
        <v>14</v>
      </c>
      <c r="AU592" s="170" t="str">
        <f t="shared" si="209"/>
        <v>0,15-0,5 MW, Bonusregeln M2, b und KWK</v>
      </c>
      <c r="AV592" s="169" t="str">
        <f t="shared" si="210"/>
        <v/>
      </c>
      <c r="AW592" s="170" t="str">
        <f t="shared" si="211"/>
        <v>Anteil KWK</v>
      </c>
      <c r="AX592" s="169" t="str">
        <f t="shared" si="212"/>
        <v/>
      </c>
      <c r="AY592" t="str">
        <f t="shared" si="213"/>
        <v/>
      </c>
      <c r="AZ592" t="str">
        <f t="shared" si="214"/>
        <v/>
      </c>
    </row>
    <row r="593" spans="1:52" s="145" customFormat="1" x14ac:dyDescent="0.35">
      <c r="A593" s="497" t="s">
        <v>5063</v>
      </c>
      <c r="B593" s="13" t="s">
        <v>5547</v>
      </c>
      <c r="C593" s="13" t="s">
        <v>4808</v>
      </c>
      <c r="D593" s="13" t="s">
        <v>7169</v>
      </c>
      <c r="E593" s="13" t="s">
        <v>4330</v>
      </c>
      <c r="F593" s="373">
        <f t="shared" si="221"/>
        <v>22.9</v>
      </c>
      <c r="G593" s="430">
        <v>22.9</v>
      </c>
      <c r="H593" s="399">
        <f t="shared" si="222"/>
        <v>18.32</v>
      </c>
      <c r="I593" s="576"/>
      <c r="J593" s="549" t="s">
        <v>5804</v>
      </c>
      <c r="K593" s="11"/>
      <c r="L593"/>
      <c r="M593" s="37">
        <f t="shared" si="223"/>
        <v>22.9</v>
      </c>
      <c r="N593" s="29">
        <v>9.9</v>
      </c>
      <c r="O593" s="149"/>
      <c r="P593" s="145" t="s">
        <v>1017</v>
      </c>
      <c r="S593" s="145" t="s">
        <v>4179</v>
      </c>
      <c r="T593" s="145" t="s">
        <v>4179</v>
      </c>
      <c r="U593" s="146"/>
      <c r="W593" s="147"/>
      <c r="X593" s="147"/>
      <c r="Z593" s="147"/>
      <c r="AA593" s="145" t="s">
        <v>1017</v>
      </c>
      <c r="AC593" s="147"/>
      <c r="AE593" s="148" t="s">
        <v>1017</v>
      </c>
      <c r="AF593" s="147"/>
      <c r="AG593" s="147"/>
      <c r="AH593" s="166" t="str">
        <f t="shared" si="229"/>
        <v/>
      </c>
      <c r="AI593" s="168" t="str">
        <f t="shared" si="216"/>
        <v/>
      </c>
      <c r="AJ593" s="168" t="str">
        <f t="shared" si="217"/>
        <v/>
      </c>
      <c r="AK593" s="168" t="str">
        <f t="shared" si="218"/>
        <v/>
      </c>
      <c r="AL593" s="168" t="str">
        <f t="shared" si="219"/>
        <v/>
      </c>
      <c r="AM593" s="168" t="str">
        <f t="shared" si="220"/>
        <v/>
      </c>
      <c r="AN593" s="167" t="str">
        <f t="shared" si="202"/>
        <v/>
      </c>
      <c r="AO593" s="167" t="str">
        <f t="shared" si="203"/>
        <v/>
      </c>
      <c r="AP593" s="167" t="str">
        <f t="shared" si="204"/>
        <v/>
      </c>
      <c r="AQ593" s="169" t="str">
        <f t="shared" si="205"/>
        <v/>
      </c>
      <c r="AR593" s="170" t="str">
        <f t="shared" si="206"/>
        <v>BiK82M2bKA3-04</v>
      </c>
      <c r="AS593" s="169" t="str">
        <f t="shared" si="207"/>
        <v/>
      </c>
      <c r="AT593">
        <f t="shared" si="208"/>
        <v>14</v>
      </c>
      <c r="AU593" s="170" t="str">
        <f t="shared" si="209"/>
        <v>0,15-0,5 MW, Bonusregeln M2, b und K wenn Anlage 3 erfüllt</v>
      </c>
      <c r="AV593" s="169" t="str">
        <f t="shared" si="210"/>
        <v/>
      </c>
      <c r="AW593" s="170" t="str">
        <f t="shared" si="211"/>
        <v>Anteil KWK gemäß Anlage 3</v>
      </c>
      <c r="AX593" s="169" t="str">
        <f t="shared" si="212"/>
        <v/>
      </c>
      <c r="AY593" t="str">
        <f t="shared" si="213"/>
        <v/>
      </c>
      <c r="AZ593" t="str">
        <f t="shared" si="214"/>
        <v/>
      </c>
    </row>
    <row r="594" spans="1:52" s="145" customFormat="1" x14ac:dyDescent="0.35">
      <c r="A594" s="497" t="s">
        <v>5064</v>
      </c>
      <c r="B594" s="13" t="s">
        <v>5547</v>
      </c>
      <c r="C594" s="13" t="s">
        <v>4808</v>
      </c>
      <c r="D594" s="13" t="s">
        <v>7170</v>
      </c>
      <c r="E594" s="13" t="s">
        <v>674</v>
      </c>
      <c r="F594" s="373">
        <f t="shared" si="221"/>
        <v>22.9</v>
      </c>
      <c r="G594" s="430">
        <v>22.9</v>
      </c>
      <c r="H594" s="399">
        <f t="shared" si="222"/>
        <v>18.32</v>
      </c>
      <c r="I594" s="576"/>
      <c r="J594" s="549" t="s">
        <v>5804</v>
      </c>
      <c r="K594" s="11"/>
      <c r="L594"/>
      <c r="M594" s="37">
        <f t="shared" si="223"/>
        <v>22.9</v>
      </c>
      <c r="N594" s="29">
        <v>9.9</v>
      </c>
      <c r="O594" s="149"/>
      <c r="P594" s="144"/>
      <c r="Q594" s="145" t="s">
        <v>1017</v>
      </c>
      <c r="S594" s="145" t="s">
        <v>4179</v>
      </c>
      <c r="T594" s="145" t="s">
        <v>4179</v>
      </c>
      <c r="U594" s="146"/>
      <c r="W594" s="147"/>
      <c r="X594" s="147"/>
      <c r="Z594" s="147"/>
      <c r="AA594" s="145" t="s">
        <v>1017</v>
      </c>
      <c r="AC594" s="147"/>
      <c r="AE594" s="148" t="s">
        <v>1017</v>
      </c>
      <c r="AF594" s="147"/>
      <c r="AG594" s="147"/>
      <c r="AH594" s="166" t="str">
        <f t="shared" si="229"/>
        <v/>
      </c>
      <c r="AI594" s="168" t="str">
        <f t="shared" si="216"/>
        <v/>
      </c>
      <c r="AJ594" s="168" t="str">
        <f t="shared" si="217"/>
        <v/>
      </c>
      <c r="AK594" s="168" t="str">
        <f t="shared" si="218"/>
        <v/>
      </c>
      <c r="AL594" s="168" t="str">
        <f t="shared" si="219"/>
        <v/>
      </c>
      <c r="AM594" s="168" t="str">
        <f t="shared" si="220"/>
        <v/>
      </c>
      <c r="AN594" s="167" t="str">
        <f t="shared" si="202"/>
        <v/>
      </c>
      <c r="AO594" s="167" t="str">
        <f t="shared" si="203"/>
        <v/>
      </c>
      <c r="AP594" s="167" t="str">
        <f t="shared" si="204"/>
        <v/>
      </c>
      <c r="AQ594" s="169" t="str">
        <f t="shared" si="205"/>
        <v/>
      </c>
      <c r="AR594" s="170" t="str">
        <f t="shared" si="206"/>
        <v>BiK82M2bK09-04</v>
      </c>
      <c r="AS594" s="169" t="str">
        <f t="shared" si="207"/>
        <v/>
      </c>
      <c r="AT594">
        <f t="shared" si="208"/>
        <v>14</v>
      </c>
      <c r="AU594" s="170" t="str">
        <f t="shared" si="209"/>
        <v>0,15-0,5 MW, Bonusregeln M2, b und K erstmals 2009</v>
      </c>
      <c r="AV594" s="169" t="str">
        <f t="shared" si="210"/>
        <v/>
      </c>
      <c r="AW594" s="170" t="str">
        <f t="shared" si="211"/>
        <v>Anteil KWK, erstmals 2009</v>
      </c>
      <c r="AX594" s="169" t="str">
        <f t="shared" si="212"/>
        <v/>
      </c>
      <c r="AY594" t="str">
        <f t="shared" si="213"/>
        <v/>
      </c>
      <c r="AZ594" t="str">
        <f t="shared" si="214"/>
        <v/>
      </c>
    </row>
    <row r="595" spans="1:52" s="145" customFormat="1" x14ac:dyDescent="0.35">
      <c r="A595" s="497" t="s">
        <v>1463</v>
      </c>
      <c r="B595" s="13" t="s">
        <v>5547</v>
      </c>
      <c r="C595" s="13" t="s">
        <v>4808</v>
      </c>
      <c r="D595" s="13" t="s">
        <v>7171</v>
      </c>
      <c r="E595" s="13" t="s">
        <v>3566</v>
      </c>
      <c r="F595" s="373">
        <f t="shared" si="221"/>
        <v>22.87</v>
      </c>
      <c r="G595" s="430">
        <v>22.87</v>
      </c>
      <c r="H595" s="399">
        <f t="shared" si="222"/>
        <v>18.3</v>
      </c>
      <c r="I595" s="576"/>
      <c r="J595" s="549" t="s">
        <v>5804</v>
      </c>
      <c r="K595" s="11"/>
      <c r="L595"/>
      <c r="M595" s="37">
        <f t="shared" si="223"/>
        <v>22.87</v>
      </c>
      <c r="N595" s="29">
        <v>9.9</v>
      </c>
      <c r="O595" s="149"/>
      <c r="P595" s="144"/>
      <c r="R595" s="145" t="s">
        <v>1017</v>
      </c>
      <c r="S595" s="145" t="s">
        <v>4179</v>
      </c>
      <c r="T595" s="145" t="s">
        <v>4179</v>
      </c>
      <c r="U595" s="146"/>
      <c r="W595" s="147"/>
      <c r="X595" s="147"/>
      <c r="Z595" s="147"/>
      <c r="AA595" s="145" t="s">
        <v>1017</v>
      </c>
      <c r="AC595" s="147"/>
      <c r="AE595" s="148" t="s">
        <v>1017</v>
      </c>
      <c r="AF595" s="147"/>
      <c r="AG595" s="147"/>
      <c r="AH595" s="166" t="str">
        <f t="shared" si="229"/>
        <v>2010</v>
      </c>
      <c r="AI595" s="168" t="str">
        <f t="shared" si="216"/>
        <v/>
      </c>
      <c r="AJ595" s="168" t="str">
        <f t="shared" si="217"/>
        <v/>
      </c>
      <c r="AK595" s="168" t="str">
        <f t="shared" si="218"/>
        <v/>
      </c>
      <c r="AL595" s="168" t="str">
        <f t="shared" si="219"/>
        <v/>
      </c>
      <c r="AM595" s="168" t="str">
        <f t="shared" si="220"/>
        <v/>
      </c>
      <c r="AN595" s="167" t="str">
        <f t="shared" si="202"/>
        <v>2010</v>
      </c>
      <c r="AO595" s="167" t="str">
        <f t="shared" si="203"/>
        <v>2010</v>
      </c>
      <c r="AP595" s="167" t="str">
        <f t="shared" si="204"/>
        <v>2010</v>
      </c>
      <c r="AQ595" s="169" t="str">
        <f t="shared" si="205"/>
        <v/>
      </c>
      <c r="AR595" s="170" t="str">
        <f t="shared" si="206"/>
        <v>BiK82M2bK10-04</v>
      </c>
      <c r="AS595" s="169" t="str">
        <f t="shared" si="207"/>
        <v/>
      </c>
      <c r="AT595">
        <f t="shared" si="208"/>
        <v>14</v>
      </c>
      <c r="AU595" s="170" t="str">
        <f t="shared" si="209"/>
        <v>0,15-0,5 MW, Bonusregeln M2, b und K erstmals 2010</v>
      </c>
      <c r="AV595" s="169" t="str">
        <f t="shared" si="210"/>
        <v/>
      </c>
      <c r="AW595" s="170" t="str">
        <f t="shared" si="211"/>
        <v>Anteil KWK, erstmals 2010</v>
      </c>
      <c r="AX595" s="169" t="str">
        <f t="shared" si="212"/>
        <v/>
      </c>
      <c r="AY595" t="str">
        <f t="shared" si="213"/>
        <v/>
      </c>
      <c r="AZ595" t="str">
        <f t="shared" si="214"/>
        <v/>
      </c>
    </row>
    <row r="596" spans="1:52" x14ac:dyDescent="0.35">
      <c r="A596" s="497" t="s">
        <v>5284</v>
      </c>
      <c r="B596" s="13" t="s">
        <v>5547</v>
      </c>
      <c r="C596" s="13" t="s">
        <v>4808</v>
      </c>
      <c r="D596" s="13" t="s">
        <v>7172</v>
      </c>
      <c r="E596" s="13" t="s">
        <v>3054</v>
      </c>
      <c r="F596" s="373">
        <f t="shared" si="221"/>
        <v>22.84</v>
      </c>
      <c r="G596" s="430">
        <v>22.84</v>
      </c>
      <c r="H596" s="399">
        <f t="shared" si="222"/>
        <v>18.27</v>
      </c>
      <c r="I596" s="576"/>
      <c r="J596" s="549" t="s">
        <v>5804</v>
      </c>
      <c r="K596" s="11"/>
      <c r="M596" s="37">
        <f t="shared" si="223"/>
        <v>22.84</v>
      </c>
      <c r="N596" s="29">
        <v>9.9</v>
      </c>
      <c r="O596" s="149"/>
      <c r="P596" s="144"/>
      <c r="Q596" s="145"/>
      <c r="R596" s="145"/>
      <c r="S596" s="145" t="s">
        <v>1017</v>
      </c>
      <c r="T596" t="s">
        <v>4179</v>
      </c>
      <c r="U596" s="146"/>
      <c r="V596" s="145"/>
      <c r="W596" s="147"/>
      <c r="X596" s="147"/>
      <c r="Y596" s="145"/>
      <c r="Z596" s="147"/>
      <c r="AA596" s="145" t="s">
        <v>1017</v>
      </c>
      <c r="AB596" s="145"/>
      <c r="AC596" s="147"/>
      <c r="AD596" s="145"/>
      <c r="AE596" s="148" t="s">
        <v>1017</v>
      </c>
      <c r="AF596" s="147"/>
      <c r="AG596" s="147"/>
      <c r="AH596" s="166" t="str">
        <f t="shared" si="229"/>
        <v>2011</v>
      </c>
      <c r="AI596" s="168" t="str">
        <f t="shared" si="216"/>
        <v/>
      </c>
      <c r="AJ596" s="168" t="str">
        <f t="shared" si="217"/>
        <v/>
      </c>
      <c r="AK596" s="168" t="str">
        <f t="shared" si="218"/>
        <v/>
      </c>
      <c r="AL596" s="168" t="str">
        <f t="shared" si="219"/>
        <v/>
      </c>
      <c r="AM596" s="168" t="str">
        <f t="shared" si="220"/>
        <v/>
      </c>
      <c r="AN596" s="167" t="str">
        <f t="shared" si="202"/>
        <v>2011</v>
      </c>
      <c r="AO596" s="167" t="str">
        <f t="shared" si="203"/>
        <v>2011</v>
      </c>
      <c r="AP596" s="167" t="str">
        <f t="shared" si="204"/>
        <v>2011</v>
      </c>
      <c r="AQ596" s="169" t="str">
        <f t="shared" si="205"/>
        <v/>
      </c>
      <c r="AR596" s="170" t="str">
        <f t="shared" si="206"/>
        <v>BiK82M2bK11-04</v>
      </c>
      <c r="AS596" s="169" t="str">
        <f t="shared" si="207"/>
        <v/>
      </c>
      <c r="AT596">
        <f t="shared" si="208"/>
        <v>14</v>
      </c>
      <c r="AU596" s="170" t="str">
        <f t="shared" si="209"/>
        <v>0,15-0,5 MW, Bonusregeln M2, b und K erstmals 2011</v>
      </c>
      <c r="AV596" s="169" t="str">
        <f t="shared" si="210"/>
        <v/>
      </c>
      <c r="AW596" s="170" t="str">
        <f t="shared" si="211"/>
        <v>Anteil KWK, erstmals 2011</v>
      </c>
      <c r="AX596" s="169" t="str">
        <f t="shared" si="212"/>
        <v/>
      </c>
      <c r="AY596" t="str">
        <f t="shared" si="213"/>
        <v>x</v>
      </c>
      <c r="AZ596" t="str">
        <f t="shared" si="214"/>
        <v/>
      </c>
    </row>
    <row r="597" spans="1:52" x14ac:dyDescent="0.35">
      <c r="A597" s="511" t="s">
        <v>1535</v>
      </c>
      <c r="B597" s="173" t="s">
        <v>5547</v>
      </c>
      <c r="C597" s="173" t="s">
        <v>4808</v>
      </c>
      <c r="D597" s="173" t="s">
        <v>7173</v>
      </c>
      <c r="E597" s="173" t="s">
        <v>1980</v>
      </c>
      <c r="F597" s="374">
        <f t="shared" si="221"/>
        <v>22.810000000000002</v>
      </c>
      <c r="G597" s="431">
        <v>22.810000000000002</v>
      </c>
      <c r="H597" s="400">
        <f t="shared" si="222"/>
        <v>18.25</v>
      </c>
      <c r="I597" s="577"/>
      <c r="J597" s="549" t="s">
        <v>5804</v>
      </c>
      <c r="K597" s="11"/>
      <c r="M597" s="37">
        <f t="shared" si="223"/>
        <v>22.810000000000002</v>
      </c>
      <c r="N597" s="29">
        <v>9.9</v>
      </c>
      <c r="O597" s="149"/>
      <c r="P597" s="144"/>
      <c r="Q597" s="145"/>
      <c r="R597" s="145"/>
      <c r="S597" s="145" t="s">
        <v>4179</v>
      </c>
      <c r="T597" t="s">
        <v>1017</v>
      </c>
      <c r="U597" s="146"/>
      <c r="V597" s="145"/>
      <c r="W597" s="147"/>
      <c r="X597" s="147"/>
      <c r="Y597" s="145"/>
      <c r="Z597" s="147"/>
      <c r="AA597" s="145" t="s">
        <v>1017</v>
      </c>
      <c r="AB597" s="145"/>
      <c r="AC597" s="147"/>
      <c r="AD597" s="145"/>
      <c r="AE597" s="148" t="s">
        <v>1017</v>
      </c>
      <c r="AF597" s="147"/>
      <c r="AG597" s="147"/>
      <c r="AH597" s="171" t="s">
        <v>4178</v>
      </c>
      <c r="AI597" s="168" t="str">
        <f t="shared" si="216"/>
        <v/>
      </c>
      <c r="AJ597" s="168" t="str">
        <f t="shared" si="217"/>
        <v/>
      </c>
      <c r="AK597" s="168" t="str">
        <f t="shared" si="218"/>
        <v/>
      </c>
      <c r="AL597" s="168" t="str">
        <f t="shared" si="219"/>
        <v/>
      </c>
      <c r="AM597" s="168" t="str">
        <f t="shared" si="220"/>
        <v/>
      </c>
      <c r="AN597" s="167" t="str">
        <f t="shared" si="202"/>
        <v>2012</v>
      </c>
      <c r="AO597" s="167" t="str">
        <f t="shared" si="203"/>
        <v>2012</v>
      </c>
      <c r="AP597" s="167" t="str">
        <f t="shared" si="204"/>
        <v>2012</v>
      </c>
      <c r="AQ597" s="169" t="str">
        <f t="shared" si="205"/>
        <v/>
      </c>
      <c r="AR597" s="170" t="str">
        <f t="shared" si="206"/>
        <v>BiK82M2bK12-04</v>
      </c>
      <c r="AS597" s="169" t="str">
        <f t="shared" si="207"/>
        <v/>
      </c>
      <c r="AT597">
        <f t="shared" si="208"/>
        <v>14</v>
      </c>
      <c r="AU597" s="170" t="str">
        <f t="shared" si="209"/>
        <v>0,15-0,5 MW, Bonusregeln M2, b und K erstmals 2012</v>
      </c>
      <c r="AV597" s="169" t="str">
        <f t="shared" si="210"/>
        <v/>
      </c>
      <c r="AW597" s="170" t="str">
        <f t="shared" si="211"/>
        <v>Anteil KWK, erstmals 2012</v>
      </c>
      <c r="AX597" s="169" t="str">
        <f t="shared" si="212"/>
        <v/>
      </c>
      <c r="AY597" t="str">
        <f t="shared" si="213"/>
        <v/>
      </c>
      <c r="AZ597" t="str">
        <f t="shared" si="214"/>
        <v>x</v>
      </c>
    </row>
    <row r="598" spans="1:52" x14ac:dyDescent="0.35">
      <c r="A598" s="497" t="s">
        <v>5065</v>
      </c>
      <c r="B598" s="13" t="s">
        <v>5547</v>
      </c>
      <c r="C598" s="13" t="s">
        <v>4808</v>
      </c>
      <c r="D598" s="13" t="s">
        <v>7174</v>
      </c>
      <c r="E598" s="13" t="s">
        <v>4809</v>
      </c>
      <c r="F598" s="373">
        <f t="shared" si="221"/>
        <v>20.9</v>
      </c>
      <c r="G598" s="430">
        <v>20.9</v>
      </c>
      <c r="H598" s="399">
        <f t="shared" si="222"/>
        <v>16.72</v>
      </c>
      <c r="I598" s="576"/>
      <c r="J598" s="549" t="s">
        <v>5804</v>
      </c>
      <c r="K598" s="11"/>
      <c r="M598" s="37">
        <f t="shared" si="223"/>
        <v>20.9</v>
      </c>
      <c r="N598" s="29">
        <v>9.9</v>
      </c>
      <c r="O598" s="149"/>
      <c r="P598" s="144"/>
      <c r="Q598" s="145"/>
      <c r="R598" s="145"/>
      <c r="S598" s="145" t="s">
        <v>4179</v>
      </c>
      <c r="T598" t="s">
        <v>4179</v>
      </c>
      <c r="U598" s="146" t="s">
        <v>1017</v>
      </c>
      <c r="V598" s="145"/>
      <c r="W598" s="147"/>
      <c r="X598" s="147"/>
      <c r="Y598" s="145"/>
      <c r="Z598" s="147"/>
      <c r="AA598" s="145" t="s">
        <v>1017</v>
      </c>
      <c r="AB598" s="145"/>
      <c r="AC598" s="147"/>
      <c r="AD598" s="145"/>
      <c r="AE598" s="148" t="s">
        <v>1017</v>
      </c>
      <c r="AF598" s="147"/>
      <c r="AG598" s="147"/>
      <c r="AH598" s="166" t="str">
        <f t="shared" ref="AH598:AH603" si="230">IF(ISERROR(SEARCH("K erstmals 201",D598)),"",RIGHT(D598,4))</f>
        <v/>
      </c>
      <c r="AI598" s="168" t="str">
        <f t="shared" si="216"/>
        <v/>
      </c>
      <c r="AJ598" s="168" t="str">
        <f t="shared" si="217"/>
        <v/>
      </c>
      <c r="AK598" s="168" t="str">
        <f t="shared" si="218"/>
        <v/>
      </c>
      <c r="AL598" s="168" t="str">
        <f t="shared" si="219"/>
        <v/>
      </c>
      <c r="AM598" s="168" t="str">
        <f t="shared" si="220"/>
        <v/>
      </c>
      <c r="AN598" s="167" t="str">
        <f t="shared" si="202"/>
        <v/>
      </c>
      <c r="AO598" s="167" t="str">
        <f t="shared" si="203"/>
        <v/>
      </c>
      <c r="AP598" s="167" t="str">
        <f t="shared" si="204"/>
        <v/>
      </c>
      <c r="AQ598" s="169" t="str">
        <f t="shared" si="205"/>
        <v/>
      </c>
      <c r="AR598" s="170" t="str">
        <f t="shared" si="206"/>
        <v>BiK82M2by---04</v>
      </c>
      <c r="AS598" s="169" t="str">
        <f t="shared" si="207"/>
        <v/>
      </c>
      <c r="AT598">
        <f t="shared" si="208"/>
        <v>14</v>
      </c>
      <c r="AU598" s="170" t="str">
        <f t="shared" si="209"/>
        <v>0,15-0,5 MW, Bonusregeln M2, y, b</v>
      </c>
      <c r="AV598" s="169" t="str">
        <f t="shared" si="210"/>
        <v/>
      </c>
      <c r="AW598" s="170" t="str">
        <f t="shared" si="211"/>
        <v>Anteil Nicht-KWK</v>
      </c>
      <c r="AX598" s="169" t="str">
        <f t="shared" si="212"/>
        <v/>
      </c>
      <c r="AY598" t="str">
        <f t="shared" si="213"/>
        <v/>
      </c>
      <c r="AZ598" t="str">
        <f t="shared" si="214"/>
        <v/>
      </c>
    </row>
    <row r="599" spans="1:52" x14ac:dyDescent="0.35">
      <c r="A599" s="497" t="s">
        <v>5066</v>
      </c>
      <c r="B599" s="13" t="s">
        <v>5547</v>
      </c>
      <c r="C599" s="13" t="s">
        <v>4808</v>
      </c>
      <c r="D599" s="13" t="s">
        <v>7175</v>
      </c>
      <c r="E599" s="13" t="s">
        <v>4811</v>
      </c>
      <c r="F599" s="373">
        <f t="shared" si="221"/>
        <v>22.9</v>
      </c>
      <c r="G599" s="430">
        <v>22.9</v>
      </c>
      <c r="H599" s="399">
        <f t="shared" si="222"/>
        <v>18.32</v>
      </c>
      <c r="I599" s="576"/>
      <c r="J599" s="549" t="s">
        <v>5804</v>
      </c>
      <c r="K599" s="11"/>
      <c r="M599" s="37">
        <f t="shared" si="223"/>
        <v>22.9</v>
      </c>
      <c r="N599" s="29">
        <v>9.9</v>
      </c>
      <c r="O599" s="149" t="s">
        <v>1017</v>
      </c>
      <c r="P599" s="144"/>
      <c r="Q599" s="145"/>
      <c r="R599" s="145"/>
      <c r="S599" s="145" t="s">
        <v>4179</v>
      </c>
      <c r="T599" t="s">
        <v>4179</v>
      </c>
      <c r="U599" s="146" t="s">
        <v>1017</v>
      </c>
      <c r="V599" s="145"/>
      <c r="W599" s="147"/>
      <c r="X599" s="147"/>
      <c r="Y599" s="145"/>
      <c r="Z599" s="147"/>
      <c r="AA599" s="145" t="s">
        <v>1017</v>
      </c>
      <c r="AB599" s="145"/>
      <c r="AC599" s="147"/>
      <c r="AD599" s="145"/>
      <c r="AE599" s="148" t="s">
        <v>1017</v>
      </c>
      <c r="AF599" s="147"/>
      <c r="AG599" s="147"/>
      <c r="AH599" s="166" t="str">
        <f t="shared" si="230"/>
        <v/>
      </c>
      <c r="AI599" s="168" t="str">
        <f t="shared" si="216"/>
        <v/>
      </c>
      <c r="AJ599" s="168" t="str">
        <f t="shared" si="217"/>
        <v/>
      </c>
      <c r="AK599" s="168" t="str">
        <f t="shared" si="218"/>
        <v/>
      </c>
      <c r="AL599" s="168" t="str">
        <f t="shared" si="219"/>
        <v/>
      </c>
      <c r="AM599" s="168" t="str">
        <f t="shared" si="220"/>
        <v/>
      </c>
      <c r="AN599" s="167" t="str">
        <f t="shared" si="202"/>
        <v/>
      </c>
      <c r="AO599" s="167" t="str">
        <f t="shared" si="203"/>
        <v/>
      </c>
      <c r="AP599" s="167" t="str">
        <f t="shared" si="204"/>
        <v/>
      </c>
      <c r="AQ599" s="169" t="str">
        <f t="shared" si="205"/>
        <v/>
      </c>
      <c r="AR599" s="170" t="str">
        <f t="shared" si="206"/>
        <v>BiK82M2bKWKy04</v>
      </c>
      <c r="AS599" s="169" t="str">
        <f t="shared" si="207"/>
        <v/>
      </c>
      <c r="AT599">
        <f t="shared" si="208"/>
        <v>14</v>
      </c>
      <c r="AU599" s="170" t="str">
        <f t="shared" si="209"/>
        <v>0,15-0,5 MW, Bonusregeln M2, y, b und KWK</v>
      </c>
      <c r="AV599" s="169" t="str">
        <f t="shared" si="210"/>
        <v/>
      </c>
      <c r="AW599" s="170" t="str">
        <f t="shared" si="211"/>
        <v>Anteil KWK</v>
      </c>
      <c r="AX599" s="169" t="str">
        <f t="shared" si="212"/>
        <v/>
      </c>
      <c r="AY599" t="str">
        <f t="shared" si="213"/>
        <v/>
      </c>
      <c r="AZ599" t="str">
        <f t="shared" si="214"/>
        <v/>
      </c>
    </row>
    <row r="600" spans="1:52" x14ac:dyDescent="0.35">
      <c r="A600" s="497" t="s">
        <v>5067</v>
      </c>
      <c r="B600" s="13" t="s">
        <v>5547</v>
      </c>
      <c r="C600" s="13" t="s">
        <v>4808</v>
      </c>
      <c r="D600" s="88" t="s">
        <v>7176</v>
      </c>
      <c r="E600" s="13" t="s">
        <v>4330</v>
      </c>
      <c r="F600" s="373">
        <f t="shared" si="221"/>
        <v>23.9</v>
      </c>
      <c r="G600" s="430">
        <v>23.9</v>
      </c>
      <c r="H600" s="399">
        <f t="shared" si="222"/>
        <v>19.12</v>
      </c>
      <c r="I600" s="576"/>
      <c r="J600" s="549" t="s">
        <v>5804</v>
      </c>
      <c r="K600" s="11"/>
      <c r="M600" s="37">
        <f t="shared" si="223"/>
        <v>23.9</v>
      </c>
      <c r="N600" s="29">
        <v>9.9</v>
      </c>
      <c r="O600" s="149"/>
      <c r="P600" s="145" t="s">
        <v>1017</v>
      </c>
      <c r="Q600" s="145"/>
      <c r="R600" s="145"/>
      <c r="S600" s="145" t="s">
        <v>4179</v>
      </c>
      <c r="T600" t="s">
        <v>4179</v>
      </c>
      <c r="U600" s="146" t="s">
        <v>1017</v>
      </c>
      <c r="V600" s="145"/>
      <c r="W600" s="147"/>
      <c r="X600" s="147"/>
      <c r="Y600" s="145"/>
      <c r="Z600" s="147"/>
      <c r="AA600" s="145" t="s">
        <v>1017</v>
      </c>
      <c r="AB600" s="145"/>
      <c r="AC600" s="147"/>
      <c r="AD600" s="145"/>
      <c r="AE600" s="148" t="s">
        <v>1017</v>
      </c>
      <c r="AF600" s="147"/>
      <c r="AG600" s="147"/>
      <c r="AH600" s="166" t="str">
        <f t="shared" si="230"/>
        <v/>
      </c>
      <c r="AI600" s="168" t="str">
        <f t="shared" si="216"/>
        <v/>
      </c>
      <c r="AJ600" s="168" t="str">
        <f t="shared" si="217"/>
        <v/>
      </c>
      <c r="AK600" s="168" t="str">
        <f t="shared" si="218"/>
        <v/>
      </c>
      <c r="AL600" s="168" t="str">
        <f t="shared" si="219"/>
        <v/>
      </c>
      <c r="AM600" s="168" t="str">
        <f t="shared" si="220"/>
        <v/>
      </c>
      <c r="AN600" s="167" t="str">
        <f t="shared" si="202"/>
        <v/>
      </c>
      <c r="AO600" s="167" t="str">
        <f t="shared" si="203"/>
        <v/>
      </c>
      <c r="AP600" s="167" t="str">
        <f t="shared" si="204"/>
        <v/>
      </c>
      <c r="AQ600" s="169" t="str">
        <f t="shared" si="205"/>
        <v/>
      </c>
      <c r="AR600" s="170" t="str">
        <f t="shared" si="206"/>
        <v>BiK82M2bKA3y04</v>
      </c>
      <c r="AS600" s="169" t="str">
        <f t="shared" si="207"/>
        <v/>
      </c>
      <c r="AT600">
        <f t="shared" si="208"/>
        <v>14</v>
      </c>
      <c r="AU600" s="170" t="str">
        <f t="shared" si="209"/>
        <v>0,15-0,5 MW, Bonusregeln M2, y, b und K wenn Anlage 3 erfüllt</v>
      </c>
      <c r="AV600" s="169" t="str">
        <f t="shared" si="210"/>
        <v/>
      </c>
      <c r="AW600" s="170" t="str">
        <f t="shared" si="211"/>
        <v>Anteil KWK gemäß Anlage 3</v>
      </c>
      <c r="AX600" s="169" t="str">
        <f t="shared" si="212"/>
        <v/>
      </c>
      <c r="AY600" t="str">
        <f t="shared" si="213"/>
        <v/>
      </c>
      <c r="AZ600" t="str">
        <f t="shared" si="214"/>
        <v/>
      </c>
    </row>
    <row r="601" spans="1:52" x14ac:dyDescent="0.35">
      <c r="A601" s="497" t="s">
        <v>5068</v>
      </c>
      <c r="B601" s="13" t="s">
        <v>5547</v>
      </c>
      <c r="C601" s="13" t="s">
        <v>4808</v>
      </c>
      <c r="D601" s="13" t="s">
        <v>7177</v>
      </c>
      <c r="E601" s="13" t="s">
        <v>674</v>
      </c>
      <c r="F601" s="373">
        <f t="shared" si="221"/>
        <v>23.9</v>
      </c>
      <c r="G601" s="430">
        <v>23.9</v>
      </c>
      <c r="H601" s="399">
        <f t="shared" si="222"/>
        <v>19.12</v>
      </c>
      <c r="I601" s="576"/>
      <c r="J601" s="549" t="s">
        <v>5804</v>
      </c>
      <c r="K601" s="11"/>
      <c r="M601" s="37">
        <f t="shared" si="223"/>
        <v>23.9</v>
      </c>
      <c r="N601" s="29">
        <v>9.9</v>
      </c>
      <c r="O601" s="149"/>
      <c r="P601" s="144"/>
      <c r="Q601" s="145" t="s">
        <v>1017</v>
      </c>
      <c r="R601" s="145"/>
      <c r="S601" s="145" t="s">
        <v>4179</v>
      </c>
      <c r="T601" t="s">
        <v>4179</v>
      </c>
      <c r="U601" s="146" t="s">
        <v>1017</v>
      </c>
      <c r="V601" s="145"/>
      <c r="W601" s="147"/>
      <c r="X601" s="147"/>
      <c r="Y601" s="145"/>
      <c r="Z601" s="147"/>
      <c r="AA601" s="145" t="s">
        <v>1017</v>
      </c>
      <c r="AB601" s="145"/>
      <c r="AC601" s="147"/>
      <c r="AD601" s="145"/>
      <c r="AE601" s="148" t="s">
        <v>1017</v>
      </c>
      <c r="AF601" s="147"/>
      <c r="AG601" s="147"/>
      <c r="AH601" s="166" t="str">
        <f t="shared" si="230"/>
        <v/>
      </c>
      <c r="AI601" s="168" t="str">
        <f t="shared" si="216"/>
        <v/>
      </c>
      <c r="AJ601" s="168" t="str">
        <f t="shared" si="217"/>
        <v/>
      </c>
      <c r="AK601" s="168" t="str">
        <f t="shared" si="218"/>
        <v/>
      </c>
      <c r="AL601" s="168" t="str">
        <f t="shared" si="219"/>
        <v/>
      </c>
      <c r="AM601" s="168" t="str">
        <f t="shared" si="220"/>
        <v/>
      </c>
      <c r="AN601" s="167" t="str">
        <f t="shared" si="202"/>
        <v/>
      </c>
      <c r="AO601" s="167" t="str">
        <f t="shared" si="203"/>
        <v/>
      </c>
      <c r="AP601" s="167" t="str">
        <f t="shared" si="204"/>
        <v/>
      </c>
      <c r="AQ601" s="169" t="str">
        <f t="shared" si="205"/>
        <v/>
      </c>
      <c r="AR601" s="170" t="str">
        <f t="shared" si="206"/>
        <v>BiK82M2bK09y04</v>
      </c>
      <c r="AS601" s="169" t="str">
        <f t="shared" si="207"/>
        <v/>
      </c>
      <c r="AT601">
        <f t="shared" si="208"/>
        <v>14</v>
      </c>
      <c r="AU601" s="170" t="str">
        <f t="shared" si="209"/>
        <v>0,15-0,5 MW, Bonusregeln M2, y, b und K erstmals 2009</v>
      </c>
      <c r="AV601" s="169" t="str">
        <f t="shared" si="210"/>
        <v/>
      </c>
      <c r="AW601" s="170" t="str">
        <f t="shared" si="211"/>
        <v>Anteil KWK, erstmals 2009</v>
      </c>
      <c r="AX601" s="169" t="str">
        <f t="shared" si="212"/>
        <v/>
      </c>
      <c r="AY601" t="str">
        <f t="shared" si="213"/>
        <v/>
      </c>
      <c r="AZ601" t="str">
        <f t="shared" si="214"/>
        <v/>
      </c>
    </row>
    <row r="602" spans="1:52" x14ac:dyDescent="0.35">
      <c r="A602" s="497" t="s">
        <v>1464</v>
      </c>
      <c r="B602" s="13" t="s">
        <v>5547</v>
      </c>
      <c r="C602" s="13" t="s">
        <v>4808</v>
      </c>
      <c r="D602" s="13" t="s">
        <v>7178</v>
      </c>
      <c r="E602" s="13" t="s">
        <v>3566</v>
      </c>
      <c r="F602" s="373">
        <f t="shared" si="221"/>
        <v>23.87</v>
      </c>
      <c r="G602" s="430">
        <v>23.87</v>
      </c>
      <c r="H602" s="399">
        <f t="shared" si="222"/>
        <v>19.100000000000001</v>
      </c>
      <c r="I602" s="576"/>
      <c r="J602" s="549" t="s">
        <v>5804</v>
      </c>
      <c r="K602" s="11"/>
      <c r="M602" s="37">
        <f t="shared" si="223"/>
        <v>23.87</v>
      </c>
      <c r="N602" s="29">
        <v>9.9</v>
      </c>
      <c r="O602" s="149"/>
      <c r="P602" s="144"/>
      <c r="Q602" s="145"/>
      <c r="R602" s="145" t="s">
        <v>1017</v>
      </c>
      <c r="S602" s="145" t="s">
        <v>4179</v>
      </c>
      <c r="T602" t="s">
        <v>4179</v>
      </c>
      <c r="U602" s="146" t="s">
        <v>1017</v>
      </c>
      <c r="V602" s="145"/>
      <c r="W602" s="147"/>
      <c r="X602" s="147"/>
      <c r="Y602" s="145"/>
      <c r="Z602" s="147"/>
      <c r="AA602" s="145" t="s">
        <v>1017</v>
      </c>
      <c r="AB602" s="145"/>
      <c r="AC602" s="147"/>
      <c r="AD602" s="145"/>
      <c r="AE602" s="148" t="s">
        <v>1017</v>
      </c>
      <c r="AF602" s="147"/>
      <c r="AG602" s="147"/>
      <c r="AH602" s="166" t="str">
        <f t="shared" si="230"/>
        <v>2010</v>
      </c>
      <c r="AI602" s="168" t="str">
        <f t="shared" si="216"/>
        <v/>
      </c>
      <c r="AJ602" s="168" t="str">
        <f t="shared" si="217"/>
        <v/>
      </c>
      <c r="AK602" s="168" t="str">
        <f t="shared" si="218"/>
        <v/>
      </c>
      <c r="AL602" s="168" t="str">
        <f t="shared" si="219"/>
        <v/>
      </c>
      <c r="AM602" s="168" t="str">
        <f t="shared" si="220"/>
        <v/>
      </c>
      <c r="AN602" s="167" t="str">
        <f t="shared" si="202"/>
        <v>2010</v>
      </c>
      <c r="AO602" s="167" t="str">
        <f t="shared" si="203"/>
        <v>2010</v>
      </c>
      <c r="AP602" s="167" t="str">
        <f t="shared" si="204"/>
        <v>2010</v>
      </c>
      <c r="AQ602" s="169" t="str">
        <f t="shared" si="205"/>
        <v/>
      </c>
      <c r="AR602" s="170" t="str">
        <f t="shared" si="206"/>
        <v>BiK82M2bK10y04</v>
      </c>
      <c r="AS602" s="169" t="str">
        <f t="shared" si="207"/>
        <v/>
      </c>
      <c r="AT602">
        <f t="shared" si="208"/>
        <v>14</v>
      </c>
      <c r="AU602" s="170" t="str">
        <f t="shared" si="209"/>
        <v>0,15-0,5 MW, Bonusregeln M2, y, b und K erstmals 2010</v>
      </c>
      <c r="AV602" s="169" t="str">
        <f t="shared" si="210"/>
        <v/>
      </c>
      <c r="AW602" s="170" t="str">
        <f t="shared" si="211"/>
        <v>Anteil KWK, erstmals 2010</v>
      </c>
      <c r="AX602" s="169" t="str">
        <f t="shared" si="212"/>
        <v/>
      </c>
      <c r="AY602" t="str">
        <f t="shared" si="213"/>
        <v/>
      </c>
      <c r="AZ602" t="str">
        <f t="shared" si="214"/>
        <v/>
      </c>
    </row>
    <row r="603" spans="1:52" x14ac:dyDescent="0.35">
      <c r="A603" s="497" t="s">
        <v>5285</v>
      </c>
      <c r="B603" s="13" t="s">
        <v>5547</v>
      </c>
      <c r="C603" s="13" t="s">
        <v>4808</v>
      </c>
      <c r="D603" s="13" t="s">
        <v>7179</v>
      </c>
      <c r="E603" s="13" t="s">
        <v>3054</v>
      </c>
      <c r="F603" s="373">
        <f t="shared" si="221"/>
        <v>23.84</v>
      </c>
      <c r="G603" s="430">
        <v>23.84</v>
      </c>
      <c r="H603" s="399">
        <f t="shared" si="222"/>
        <v>19.07</v>
      </c>
      <c r="I603" s="576"/>
      <c r="J603" s="549" t="s">
        <v>5804</v>
      </c>
      <c r="K603" s="11"/>
      <c r="M603" s="37">
        <f t="shared" si="223"/>
        <v>23.84</v>
      </c>
      <c r="N603" s="29">
        <v>9.9</v>
      </c>
      <c r="O603" s="149"/>
      <c r="P603" s="144"/>
      <c r="Q603" s="145"/>
      <c r="R603" s="145"/>
      <c r="S603" s="145" t="s">
        <v>1017</v>
      </c>
      <c r="T603" t="s">
        <v>4179</v>
      </c>
      <c r="U603" s="146" t="s">
        <v>1017</v>
      </c>
      <c r="V603" s="145"/>
      <c r="W603" s="147"/>
      <c r="X603" s="147"/>
      <c r="Y603" s="145"/>
      <c r="Z603" s="147"/>
      <c r="AA603" s="145" t="s">
        <v>1017</v>
      </c>
      <c r="AB603" s="145"/>
      <c r="AC603" s="147"/>
      <c r="AD603" s="145"/>
      <c r="AE603" s="148" t="s">
        <v>1017</v>
      </c>
      <c r="AF603" s="147"/>
      <c r="AG603" s="147"/>
      <c r="AH603" s="166" t="str">
        <f t="shared" si="230"/>
        <v>2011</v>
      </c>
      <c r="AI603" s="168" t="str">
        <f t="shared" si="216"/>
        <v/>
      </c>
      <c r="AJ603" s="168" t="str">
        <f t="shared" si="217"/>
        <v/>
      </c>
      <c r="AK603" s="168" t="str">
        <f t="shared" si="218"/>
        <v/>
      </c>
      <c r="AL603" s="168" t="str">
        <f t="shared" si="219"/>
        <v/>
      </c>
      <c r="AM603" s="168" t="str">
        <f t="shared" si="220"/>
        <v/>
      </c>
      <c r="AN603" s="167" t="str">
        <f t="shared" si="202"/>
        <v>2011</v>
      </c>
      <c r="AO603" s="167" t="str">
        <f t="shared" si="203"/>
        <v>2011</v>
      </c>
      <c r="AP603" s="167" t="str">
        <f t="shared" si="204"/>
        <v>2011</v>
      </c>
      <c r="AQ603" s="169" t="str">
        <f t="shared" si="205"/>
        <v/>
      </c>
      <c r="AR603" s="170" t="str">
        <f t="shared" si="206"/>
        <v>BiK82M2bK11y04</v>
      </c>
      <c r="AS603" s="169" t="str">
        <f t="shared" si="207"/>
        <v/>
      </c>
      <c r="AT603">
        <f t="shared" si="208"/>
        <v>14</v>
      </c>
      <c r="AU603" s="170" t="str">
        <f t="shared" si="209"/>
        <v>0,15-0,5 MW, Bonusregeln M2, y, b und K erstmals 2011</v>
      </c>
      <c r="AV603" s="169" t="str">
        <f t="shared" si="210"/>
        <v/>
      </c>
      <c r="AW603" s="170" t="str">
        <f t="shared" si="211"/>
        <v>Anteil KWK, erstmals 2011</v>
      </c>
      <c r="AX603" s="169" t="str">
        <f t="shared" si="212"/>
        <v/>
      </c>
      <c r="AY603" t="str">
        <f t="shared" si="213"/>
        <v>x</v>
      </c>
      <c r="AZ603" t="str">
        <f t="shared" si="214"/>
        <v/>
      </c>
    </row>
    <row r="604" spans="1:52" x14ac:dyDescent="0.35">
      <c r="A604" s="511" t="s">
        <v>1536</v>
      </c>
      <c r="B604" s="173" t="s">
        <v>5547</v>
      </c>
      <c r="C604" s="173" t="s">
        <v>4808</v>
      </c>
      <c r="D604" s="173" t="s">
        <v>7180</v>
      </c>
      <c r="E604" s="173" t="s">
        <v>1980</v>
      </c>
      <c r="F604" s="374">
        <f t="shared" si="221"/>
        <v>23.810000000000002</v>
      </c>
      <c r="G604" s="431">
        <v>23.810000000000002</v>
      </c>
      <c r="H604" s="400">
        <f t="shared" si="222"/>
        <v>19.05</v>
      </c>
      <c r="I604" s="577"/>
      <c r="J604" s="549" t="s">
        <v>5804</v>
      </c>
      <c r="K604" s="11"/>
      <c r="M604" s="37">
        <f t="shared" si="223"/>
        <v>23.810000000000002</v>
      </c>
      <c r="N604" s="29">
        <v>9.9</v>
      </c>
      <c r="O604" s="149"/>
      <c r="P604" s="144"/>
      <c r="Q604" s="145"/>
      <c r="R604" s="145"/>
      <c r="S604" s="145" t="s">
        <v>4179</v>
      </c>
      <c r="T604" t="s">
        <v>1017</v>
      </c>
      <c r="U604" s="146" t="s">
        <v>1017</v>
      </c>
      <c r="V604" s="145"/>
      <c r="W604" s="147"/>
      <c r="X604" s="147"/>
      <c r="Y604" s="145"/>
      <c r="Z604" s="147"/>
      <c r="AA604" s="145" t="s">
        <v>1017</v>
      </c>
      <c r="AB604" s="145"/>
      <c r="AC604" s="147"/>
      <c r="AD604" s="145"/>
      <c r="AE604" s="148" t="s">
        <v>1017</v>
      </c>
      <c r="AF604" s="147"/>
      <c r="AG604" s="147"/>
      <c r="AH604" s="171" t="s">
        <v>4178</v>
      </c>
      <c r="AI604" s="168" t="str">
        <f t="shared" si="216"/>
        <v/>
      </c>
      <c r="AJ604" s="168" t="str">
        <f t="shared" si="217"/>
        <v/>
      </c>
      <c r="AK604" s="168" t="str">
        <f t="shared" si="218"/>
        <v/>
      </c>
      <c r="AL604" s="168" t="str">
        <f t="shared" si="219"/>
        <v/>
      </c>
      <c r="AM604" s="168" t="str">
        <f t="shared" si="220"/>
        <v/>
      </c>
      <c r="AN604" s="167" t="str">
        <f t="shared" si="202"/>
        <v>2012</v>
      </c>
      <c r="AO604" s="167" t="str">
        <f t="shared" si="203"/>
        <v>2012</v>
      </c>
      <c r="AP604" s="167" t="str">
        <f t="shared" si="204"/>
        <v>2012</v>
      </c>
      <c r="AQ604" s="169" t="str">
        <f t="shared" si="205"/>
        <v/>
      </c>
      <c r="AR604" s="170" t="str">
        <f t="shared" si="206"/>
        <v>BiK82M2bK12y04</v>
      </c>
      <c r="AS604" s="169" t="str">
        <f t="shared" si="207"/>
        <v/>
      </c>
      <c r="AT604">
        <f t="shared" si="208"/>
        <v>14</v>
      </c>
      <c r="AU604" s="170" t="str">
        <f t="shared" si="209"/>
        <v>0,15-0,5 MW, Bonusregeln M2, y, b und K erstmals 2012</v>
      </c>
      <c r="AV604" s="169" t="str">
        <f t="shared" si="210"/>
        <v/>
      </c>
      <c r="AW604" s="170" t="str">
        <f t="shared" si="211"/>
        <v>Anteil KWK, erstmals 2012</v>
      </c>
      <c r="AX604" s="169" t="str">
        <f t="shared" si="212"/>
        <v/>
      </c>
      <c r="AY604" t="str">
        <f t="shared" si="213"/>
        <v/>
      </c>
      <c r="AZ604" t="str">
        <f t="shared" si="214"/>
        <v>x</v>
      </c>
    </row>
    <row r="605" spans="1:52" x14ac:dyDescent="0.35">
      <c r="A605" s="497" t="s">
        <v>4374</v>
      </c>
      <c r="B605" s="13" t="s">
        <v>5547</v>
      </c>
      <c r="C605" s="13" t="s">
        <v>4808</v>
      </c>
      <c r="D605" s="13" t="s">
        <v>7181</v>
      </c>
      <c r="E605" s="13" t="s">
        <v>4809</v>
      </c>
      <c r="F605" s="373">
        <f t="shared" si="221"/>
        <v>20.9</v>
      </c>
      <c r="G605" s="430">
        <v>20.9</v>
      </c>
      <c r="H605" s="399">
        <f t="shared" si="222"/>
        <v>16.72</v>
      </c>
      <c r="I605" s="576"/>
      <c r="J605" s="549" t="s">
        <v>5804</v>
      </c>
      <c r="K605" s="11"/>
      <c r="M605" s="37">
        <f t="shared" si="223"/>
        <v>20.9</v>
      </c>
      <c r="N605" s="29">
        <v>9.9</v>
      </c>
      <c r="O605" s="149"/>
      <c r="P605" s="144"/>
      <c r="Q605" s="145"/>
      <c r="R605" s="145"/>
      <c r="S605" s="145" t="s">
        <v>4179</v>
      </c>
      <c r="T605" t="s">
        <v>4179</v>
      </c>
      <c r="U605" s="146"/>
      <c r="V605" s="145"/>
      <c r="W605" s="147"/>
      <c r="X605" s="147"/>
      <c r="Y605" s="145"/>
      <c r="Z605" s="147"/>
      <c r="AA605" s="145"/>
      <c r="AB605" s="145" t="s">
        <v>1017</v>
      </c>
      <c r="AC605" s="147"/>
      <c r="AD605" s="145"/>
      <c r="AE605" s="148" t="s">
        <v>1017</v>
      </c>
      <c r="AF605" s="147"/>
      <c r="AG605" s="147"/>
      <c r="AH605" s="166" t="str">
        <f t="shared" ref="AH605:AH610" si="231">IF(ISERROR(SEARCH("K erstmals 201",D605)),"",RIGHT(D605,4))</f>
        <v/>
      </c>
      <c r="AI605" s="168" t="str">
        <f t="shared" si="216"/>
        <v/>
      </c>
      <c r="AJ605" s="168" t="str">
        <f t="shared" si="217"/>
        <v/>
      </c>
      <c r="AK605" s="168" t="str">
        <f t="shared" si="218"/>
        <v/>
      </c>
      <c r="AL605" s="168" t="str">
        <f t="shared" si="219"/>
        <v/>
      </c>
      <c r="AM605" s="168" t="str">
        <f t="shared" si="220"/>
        <v/>
      </c>
      <c r="AN605" s="167" t="str">
        <f t="shared" si="202"/>
        <v/>
      </c>
      <c r="AO605" s="167" t="str">
        <f t="shared" si="203"/>
        <v/>
      </c>
      <c r="AP605" s="167" t="str">
        <f t="shared" si="204"/>
        <v/>
      </c>
      <c r="AQ605" s="169" t="str">
        <f t="shared" si="205"/>
        <v/>
      </c>
      <c r="AR605" s="170" t="str">
        <f t="shared" si="206"/>
        <v>BiK82Lb-----04</v>
      </c>
      <c r="AS605" s="169" t="str">
        <f t="shared" si="207"/>
        <v/>
      </c>
      <c r="AT605">
        <f t="shared" si="208"/>
        <v>14</v>
      </c>
      <c r="AU605" s="170" t="str">
        <f t="shared" si="209"/>
        <v>0,15-0,5 MW, Bonusregeln L, b</v>
      </c>
      <c r="AV605" s="169" t="str">
        <f t="shared" si="210"/>
        <v/>
      </c>
      <c r="AW605" s="170" t="str">
        <f t="shared" si="211"/>
        <v>Anteil Nicht-KWK</v>
      </c>
      <c r="AX605" s="169" t="str">
        <f t="shared" si="212"/>
        <v/>
      </c>
      <c r="AY605" t="str">
        <f t="shared" si="213"/>
        <v/>
      </c>
      <c r="AZ605" t="str">
        <f t="shared" si="214"/>
        <v/>
      </c>
    </row>
    <row r="606" spans="1:52" x14ac:dyDescent="0.35">
      <c r="A606" s="497" t="s">
        <v>4375</v>
      </c>
      <c r="B606" s="13" t="s">
        <v>5547</v>
      </c>
      <c r="C606" s="13" t="s">
        <v>4808</v>
      </c>
      <c r="D606" s="13" t="s">
        <v>7182</v>
      </c>
      <c r="E606" s="13" t="s">
        <v>4811</v>
      </c>
      <c r="F606" s="373">
        <f t="shared" si="221"/>
        <v>22.9</v>
      </c>
      <c r="G606" s="430">
        <v>22.9</v>
      </c>
      <c r="H606" s="399">
        <f t="shared" si="222"/>
        <v>18.32</v>
      </c>
      <c r="I606" s="576"/>
      <c r="J606" s="549" t="s">
        <v>5804</v>
      </c>
      <c r="K606" s="11"/>
      <c r="M606" s="37">
        <f t="shared" si="223"/>
        <v>22.9</v>
      </c>
      <c r="N606" s="29">
        <v>9.9</v>
      </c>
      <c r="O606" s="149" t="s">
        <v>1017</v>
      </c>
      <c r="P606" s="144"/>
      <c r="Q606" s="145"/>
      <c r="R606" s="145"/>
      <c r="S606" s="145" t="s">
        <v>4179</v>
      </c>
      <c r="T606" t="s">
        <v>4179</v>
      </c>
      <c r="U606" s="146"/>
      <c r="V606" s="145"/>
      <c r="W606" s="147"/>
      <c r="X606" s="147"/>
      <c r="Y606" s="145"/>
      <c r="Z606" s="147"/>
      <c r="AA606" s="145"/>
      <c r="AB606" s="145" t="s">
        <v>1017</v>
      </c>
      <c r="AC606" s="147"/>
      <c r="AD606" s="145"/>
      <c r="AE606" s="148" t="s">
        <v>1017</v>
      </c>
      <c r="AF606" s="147"/>
      <c r="AG606" s="147"/>
      <c r="AH606" s="166" t="str">
        <f t="shared" si="231"/>
        <v/>
      </c>
      <c r="AI606" s="168" t="str">
        <f t="shared" si="216"/>
        <v/>
      </c>
      <c r="AJ606" s="168" t="str">
        <f t="shared" si="217"/>
        <v/>
      </c>
      <c r="AK606" s="168" t="str">
        <f t="shared" si="218"/>
        <v/>
      </c>
      <c r="AL606" s="168" t="str">
        <f t="shared" si="219"/>
        <v/>
      </c>
      <c r="AM606" s="168" t="str">
        <f t="shared" si="220"/>
        <v/>
      </c>
      <c r="AN606" s="167" t="str">
        <f t="shared" si="202"/>
        <v/>
      </c>
      <c r="AO606" s="167" t="str">
        <f t="shared" si="203"/>
        <v/>
      </c>
      <c r="AP606" s="167" t="str">
        <f t="shared" si="204"/>
        <v/>
      </c>
      <c r="AQ606" s="169" t="str">
        <f t="shared" si="205"/>
        <v/>
      </c>
      <c r="AR606" s="170" t="str">
        <f t="shared" si="206"/>
        <v>BiK82LbKWK--04</v>
      </c>
      <c r="AS606" s="169" t="str">
        <f t="shared" si="207"/>
        <v/>
      </c>
      <c r="AT606">
        <f t="shared" si="208"/>
        <v>14</v>
      </c>
      <c r="AU606" s="170" t="str">
        <f t="shared" si="209"/>
        <v>0,15-0,5 MW, Bonusregeln L, b und KWK</v>
      </c>
      <c r="AV606" s="169" t="str">
        <f t="shared" si="210"/>
        <v/>
      </c>
      <c r="AW606" s="170" t="str">
        <f t="shared" si="211"/>
        <v>Anteil KWK</v>
      </c>
      <c r="AX606" s="169" t="str">
        <f t="shared" si="212"/>
        <v/>
      </c>
      <c r="AY606" t="str">
        <f t="shared" si="213"/>
        <v/>
      </c>
      <c r="AZ606" t="str">
        <f t="shared" si="214"/>
        <v/>
      </c>
    </row>
    <row r="607" spans="1:52" x14ac:dyDescent="0.35">
      <c r="A607" s="497" t="s">
        <v>4376</v>
      </c>
      <c r="B607" s="13" t="s">
        <v>5547</v>
      </c>
      <c r="C607" s="13" t="s">
        <v>4808</v>
      </c>
      <c r="D607" s="13" t="s">
        <v>7183</v>
      </c>
      <c r="E607" s="13" t="s">
        <v>4330</v>
      </c>
      <c r="F607" s="373">
        <f t="shared" si="221"/>
        <v>23.9</v>
      </c>
      <c r="G607" s="430">
        <v>23.9</v>
      </c>
      <c r="H607" s="399">
        <f t="shared" si="222"/>
        <v>19.12</v>
      </c>
      <c r="I607" s="576"/>
      <c r="J607" s="549" t="s">
        <v>5804</v>
      </c>
      <c r="K607" s="11"/>
      <c r="M607" s="37">
        <f t="shared" si="223"/>
        <v>23.9</v>
      </c>
      <c r="N607" s="29">
        <v>9.9</v>
      </c>
      <c r="O607" s="149"/>
      <c r="P607" s="145" t="s">
        <v>1017</v>
      </c>
      <c r="Q607" s="145"/>
      <c r="R607" s="145"/>
      <c r="S607" s="145" t="s">
        <v>4179</v>
      </c>
      <c r="T607" t="s">
        <v>4179</v>
      </c>
      <c r="U607" s="146"/>
      <c r="V607" s="145"/>
      <c r="W607" s="147"/>
      <c r="X607" s="147"/>
      <c r="Y607" s="145"/>
      <c r="Z607" s="147"/>
      <c r="AA607" s="145"/>
      <c r="AB607" s="145" t="s">
        <v>1017</v>
      </c>
      <c r="AC607" s="147"/>
      <c r="AD607" s="145"/>
      <c r="AE607" s="148" t="s">
        <v>1017</v>
      </c>
      <c r="AF607" s="147"/>
      <c r="AG607" s="147"/>
      <c r="AH607" s="166" t="str">
        <f t="shared" si="231"/>
        <v/>
      </c>
      <c r="AI607" s="168" t="str">
        <f t="shared" si="216"/>
        <v/>
      </c>
      <c r="AJ607" s="168" t="str">
        <f t="shared" si="217"/>
        <v/>
      </c>
      <c r="AK607" s="168" t="str">
        <f t="shared" si="218"/>
        <v/>
      </c>
      <c r="AL607" s="168" t="str">
        <f t="shared" si="219"/>
        <v/>
      </c>
      <c r="AM607" s="168" t="str">
        <f t="shared" si="220"/>
        <v/>
      </c>
      <c r="AN607" s="167" t="str">
        <f t="shared" si="202"/>
        <v/>
      </c>
      <c r="AO607" s="167" t="str">
        <f t="shared" si="203"/>
        <v/>
      </c>
      <c r="AP607" s="167" t="str">
        <f t="shared" si="204"/>
        <v/>
      </c>
      <c r="AQ607" s="169" t="str">
        <f t="shared" si="205"/>
        <v/>
      </c>
      <c r="AR607" s="170" t="str">
        <f t="shared" si="206"/>
        <v>BiK82LbKA3--04</v>
      </c>
      <c r="AS607" s="169" t="str">
        <f t="shared" si="207"/>
        <v/>
      </c>
      <c r="AT607">
        <f t="shared" si="208"/>
        <v>14</v>
      </c>
      <c r="AU607" s="170" t="str">
        <f t="shared" si="209"/>
        <v>0,15-0,5 MW, Bonusregeln L, b und K wenn Anlage 3 erfüllt</v>
      </c>
      <c r="AV607" s="169" t="str">
        <f t="shared" si="210"/>
        <v/>
      </c>
      <c r="AW607" s="170" t="str">
        <f t="shared" si="211"/>
        <v>Anteil KWK gemäß Anlage 3</v>
      </c>
      <c r="AX607" s="169" t="str">
        <f t="shared" si="212"/>
        <v/>
      </c>
      <c r="AY607" t="str">
        <f t="shared" si="213"/>
        <v/>
      </c>
      <c r="AZ607" t="str">
        <f t="shared" si="214"/>
        <v/>
      </c>
    </row>
    <row r="608" spans="1:52" x14ac:dyDescent="0.35">
      <c r="A608" s="497" t="s">
        <v>4377</v>
      </c>
      <c r="B608" s="13" t="s">
        <v>5547</v>
      </c>
      <c r="C608" s="13" t="s">
        <v>4808</v>
      </c>
      <c r="D608" s="13" t="s">
        <v>7184</v>
      </c>
      <c r="E608" s="13" t="s">
        <v>674</v>
      </c>
      <c r="F608" s="373">
        <f t="shared" si="221"/>
        <v>23.9</v>
      </c>
      <c r="G608" s="430">
        <v>23.9</v>
      </c>
      <c r="H608" s="399">
        <f t="shared" si="222"/>
        <v>19.12</v>
      </c>
      <c r="I608" s="576"/>
      <c r="J608" s="549" t="s">
        <v>5804</v>
      </c>
      <c r="K608" s="11"/>
      <c r="M608" s="37">
        <f t="shared" si="223"/>
        <v>23.9</v>
      </c>
      <c r="N608" s="29">
        <v>9.9</v>
      </c>
      <c r="O608" s="149"/>
      <c r="P608" s="144"/>
      <c r="Q608" s="145" t="s">
        <v>1017</v>
      </c>
      <c r="R608" s="145"/>
      <c r="S608" s="145" t="s">
        <v>4179</v>
      </c>
      <c r="T608" t="s">
        <v>4179</v>
      </c>
      <c r="U608" s="146"/>
      <c r="V608" s="145"/>
      <c r="W608" s="147"/>
      <c r="X608" s="147"/>
      <c r="Y608" s="145"/>
      <c r="Z608" s="147"/>
      <c r="AA608" s="145"/>
      <c r="AB608" s="145" t="s">
        <v>1017</v>
      </c>
      <c r="AC608" s="147"/>
      <c r="AD608" s="145"/>
      <c r="AE608" s="148" t="s">
        <v>1017</v>
      </c>
      <c r="AF608" s="147"/>
      <c r="AG608" s="147"/>
      <c r="AH608" s="166" t="str">
        <f t="shared" si="231"/>
        <v/>
      </c>
      <c r="AI608" s="168" t="str">
        <f t="shared" si="216"/>
        <v/>
      </c>
      <c r="AJ608" s="168" t="str">
        <f t="shared" si="217"/>
        <v/>
      </c>
      <c r="AK608" s="168" t="str">
        <f t="shared" si="218"/>
        <v/>
      </c>
      <c r="AL608" s="168" t="str">
        <f t="shared" si="219"/>
        <v/>
      </c>
      <c r="AM608" s="168" t="str">
        <f t="shared" si="220"/>
        <v/>
      </c>
      <c r="AN608" s="167" t="str">
        <f t="shared" si="202"/>
        <v/>
      </c>
      <c r="AO608" s="167" t="str">
        <f t="shared" si="203"/>
        <v/>
      </c>
      <c r="AP608" s="167" t="str">
        <f t="shared" si="204"/>
        <v/>
      </c>
      <c r="AQ608" s="169" t="str">
        <f t="shared" si="205"/>
        <v/>
      </c>
      <c r="AR608" s="170" t="str">
        <f t="shared" si="206"/>
        <v>BiK82LbK09--04</v>
      </c>
      <c r="AS608" s="169" t="str">
        <f t="shared" si="207"/>
        <v/>
      </c>
      <c r="AT608">
        <f t="shared" si="208"/>
        <v>14</v>
      </c>
      <c r="AU608" s="170" t="str">
        <f t="shared" si="209"/>
        <v>0,15-0,5 MW, Bonusregeln L, b und K erstmals 2009</v>
      </c>
      <c r="AV608" s="169" t="str">
        <f t="shared" si="210"/>
        <v/>
      </c>
      <c r="AW608" s="170" t="str">
        <f t="shared" si="211"/>
        <v>Anteil KWK, erstmals 2009</v>
      </c>
      <c r="AX608" s="169" t="str">
        <f t="shared" si="212"/>
        <v/>
      </c>
      <c r="AY608" t="str">
        <f t="shared" si="213"/>
        <v/>
      </c>
      <c r="AZ608" t="str">
        <f t="shared" si="214"/>
        <v/>
      </c>
    </row>
    <row r="609" spans="1:52" x14ac:dyDescent="0.35">
      <c r="A609" s="497" t="s">
        <v>1465</v>
      </c>
      <c r="B609" s="13" t="s">
        <v>5547</v>
      </c>
      <c r="C609" s="13" t="s">
        <v>4808</v>
      </c>
      <c r="D609" s="13" t="s">
        <v>7185</v>
      </c>
      <c r="E609" s="13" t="s">
        <v>3566</v>
      </c>
      <c r="F609" s="373">
        <f t="shared" si="221"/>
        <v>23.87</v>
      </c>
      <c r="G609" s="430">
        <v>23.87</v>
      </c>
      <c r="H609" s="399">
        <f t="shared" si="222"/>
        <v>19.100000000000001</v>
      </c>
      <c r="I609" s="576"/>
      <c r="J609" s="549" t="s">
        <v>5804</v>
      </c>
      <c r="K609" s="11"/>
      <c r="M609" s="37">
        <f t="shared" si="223"/>
        <v>23.87</v>
      </c>
      <c r="N609" s="29">
        <v>9.9</v>
      </c>
      <c r="O609" s="149"/>
      <c r="P609" s="144"/>
      <c r="Q609" s="145"/>
      <c r="R609" s="145" t="s">
        <v>1017</v>
      </c>
      <c r="S609" s="145" t="s">
        <v>4179</v>
      </c>
      <c r="T609" t="s">
        <v>4179</v>
      </c>
      <c r="U609" s="146"/>
      <c r="V609" s="145"/>
      <c r="W609" s="147"/>
      <c r="X609" s="147"/>
      <c r="Y609" s="145"/>
      <c r="Z609" s="147"/>
      <c r="AA609" s="145"/>
      <c r="AB609" s="145" t="s">
        <v>1017</v>
      </c>
      <c r="AC609" s="147"/>
      <c r="AD609" s="145"/>
      <c r="AE609" s="148" t="s">
        <v>1017</v>
      </c>
      <c r="AF609" s="147"/>
      <c r="AG609" s="147"/>
      <c r="AH609" s="166" t="str">
        <f t="shared" si="231"/>
        <v>2010</v>
      </c>
      <c r="AI609" s="168" t="str">
        <f t="shared" si="216"/>
        <v/>
      </c>
      <c r="AJ609" s="168" t="str">
        <f t="shared" si="217"/>
        <v/>
      </c>
      <c r="AK609" s="168" t="str">
        <f t="shared" si="218"/>
        <v/>
      </c>
      <c r="AL609" s="168" t="str">
        <f t="shared" si="219"/>
        <v/>
      </c>
      <c r="AM609" s="168" t="str">
        <f t="shared" si="220"/>
        <v/>
      </c>
      <c r="AN609" s="167" t="str">
        <f t="shared" si="202"/>
        <v>2010</v>
      </c>
      <c r="AO609" s="167" t="str">
        <f t="shared" si="203"/>
        <v>2010</v>
      </c>
      <c r="AP609" s="167" t="str">
        <f t="shared" si="204"/>
        <v>2010</v>
      </c>
      <c r="AQ609" s="169" t="str">
        <f t="shared" si="205"/>
        <v/>
      </c>
      <c r="AR609" s="170" t="str">
        <f t="shared" si="206"/>
        <v>BiK82LbK10--04</v>
      </c>
      <c r="AS609" s="169" t="str">
        <f t="shared" si="207"/>
        <v/>
      </c>
      <c r="AT609">
        <f t="shared" si="208"/>
        <v>14</v>
      </c>
      <c r="AU609" s="170" t="str">
        <f t="shared" si="209"/>
        <v>0,15-0,5 MW, Bonusregeln L, b und K erstmals 2010</v>
      </c>
      <c r="AV609" s="169" t="str">
        <f t="shared" si="210"/>
        <v/>
      </c>
      <c r="AW609" s="170" t="str">
        <f t="shared" si="211"/>
        <v>Anteil KWK, erstmals 2010</v>
      </c>
      <c r="AX609" s="169" t="str">
        <f t="shared" si="212"/>
        <v/>
      </c>
      <c r="AY609" t="str">
        <f t="shared" si="213"/>
        <v/>
      </c>
      <c r="AZ609" t="str">
        <f t="shared" si="214"/>
        <v/>
      </c>
    </row>
    <row r="610" spans="1:52" x14ac:dyDescent="0.35">
      <c r="A610" s="497" t="s">
        <v>5286</v>
      </c>
      <c r="B610" s="13" t="s">
        <v>5547</v>
      </c>
      <c r="C610" s="13" t="s">
        <v>4808</v>
      </c>
      <c r="D610" s="13" t="s">
        <v>7186</v>
      </c>
      <c r="E610" s="13" t="s">
        <v>3054</v>
      </c>
      <c r="F610" s="373">
        <f t="shared" si="221"/>
        <v>23.84</v>
      </c>
      <c r="G610" s="430">
        <v>23.84</v>
      </c>
      <c r="H610" s="399">
        <f t="shared" si="222"/>
        <v>19.07</v>
      </c>
      <c r="I610" s="576"/>
      <c r="J610" s="549" t="s">
        <v>5804</v>
      </c>
      <c r="K610" s="11"/>
      <c r="M610" s="37">
        <f t="shared" si="223"/>
        <v>23.84</v>
      </c>
      <c r="N610" s="29">
        <v>9.9</v>
      </c>
      <c r="O610" s="149"/>
      <c r="P610" s="144"/>
      <c r="Q610" s="145"/>
      <c r="R610" s="145"/>
      <c r="S610" s="145" t="s">
        <v>1017</v>
      </c>
      <c r="T610" t="s">
        <v>4179</v>
      </c>
      <c r="U610" s="146"/>
      <c r="V610" s="145"/>
      <c r="W610" s="147"/>
      <c r="X610" s="147"/>
      <c r="Y610" s="145"/>
      <c r="Z610" s="147"/>
      <c r="AA610" s="145"/>
      <c r="AB610" s="145" t="s">
        <v>1017</v>
      </c>
      <c r="AC610" s="147"/>
      <c r="AD610" s="145"/>
      <c r="AE610" s="148" t="s">
        <v>1017</v>
      </c>
      <c r="AF610" s="147"/>
      <c r="AG610" s="147"/>
      <c r="AH610" s="166" t="str">
        <f t="shared" si="231"/>
        <v>2011</v>
      </c>
      <c r="AI610" s="168" t="str">
        <f t="shared" si="216"/>
        <v/>
      </c>
      <c r="AJ610" s="168" t="str">
        <f t="shared" si="217"/>
        <v/>
      </c>
      <c r="AK610" s="168" t="str">
        <f t="shared" si="218"/>
        <v/>
      </c>
      <c r="AL610" s="168" t="str">
        <f t="shared" si="219"/>
        <v/>
      </c>
      <c r="AM610" s="168" t="str">
        <f t="shared" si="220"/>
        <v/>
      </c>
      <c r="AN610" s="167" t="str">
        <f t="shared" si="202"/>
        <v>2011</v>
      </c>
      <c r="AO610" s="167" t="str">
        <f t="shared" si="203"/>
        <v>2011</v>
      </c>
      <c r="AP610" s="167" t="str">
        <f t="shared" si="204"/>
        <v>2011</v>
      </c>
      <c r="AQ610" s="169" t="str">
        <f t="shared" si="205"/>
        <v/>
      </c>
      <c r="AR610" s="170" t="str">
        <f t="shared" si="206"/>
        <v>BiK82LbK11--04</v>
      </c>
      <c r="AS610" s="169" t="str">
        <f t="shared" si="207"/>
        <v/>
      </c>
      <c r="AT610">
        <f t="shared" si="208"/>
        <v>14</v>
      </c>
      <c r="AU610" s="170" t="str">
        <f t="shared" si="209"/>
        <v>0,15-0,5 MW, Bonusregeln L, b und K erstmals 2011</v>
      </c>
      <c r="AV610" s="169" t="str">
        <f t="shared" si="210"/>
        <v/>
      </c>
      <c r="AW610" s="170" t="str">
        <f t="shared" si="211"/>
        <v>Anteil KWK, erstmals 2011</v>
      </c>
      <c r="AX610" s="169" t="str">
        <f t="shared" si="212"/>
        <v/>
      </c>
      <c r="AY610" t="str">
        <f t="shared" si="213"/>
        <v>x</v>
      </c>
      <c r="AZ610" t="str">
        <f t="shared" si="214"/>
        <v/>
      </c>
    </row>
    <row r="611" spans="1:52" x14ac:dyDescent="0.35">
      <c r="A611" s="511" t="s">
        <v>1537</v>
      </c>
      <c r="B611" s="173" t="s">
        <v>5547</v>
      </c>
      <c r="C611" s="173" t="s">
        <v>4808</v>
      </c>
      <c r="D611" s="173" t="s">
        <v>7187</v>
      </c>
      <c r="E611" s="173" t="s">
        <v>1980</v>
      </c>
      <c r="F611" s="374">
        <f t="shared" si="221"/>
        <v>23.810000000000002</v>
      </c>
      <c r="G611" s="431">
        <v>23.810000000000002</v>
      </c>
      <c r="H611" s="400">
        <f t="shared" si="222"/>
        <v>19.05</v>
      </c>
      <c r="I611" s="577"/>
      <c r="J611" s="549" t="s">
        <v>5804</v>
      </c>
      <c r="K611" s="11"/>
      <c r="M611" s="37">
        <f t="shared" si="223"/>
        <v>23.810000000000002</v>
      </c>
      <c r="N611" s="29">
        <v>9.9</v>
      </c>
      <c r="O611" s="149"/>
      <c r="P611" s="144"/>
      <c r="Q611" s="145"/>
      <c r="R611" s="145"/>
      <c r="S611" s="145" t="s">
        <v>4179</v>
      </c>
      <c r="T611" t="s">
        <v>1017</v>
      </c>
      <c r="U611" s="146"/>
      <c r="V611" s="145"/>
      <c r="W611" s="147"/>
      <c r="X611" s="147"/>
      <c r="Y611" s="145"/>
      <c r="Z611" s="147"/>
      <c r="AA611" s="145"/>
      <c r="AB611" s="145" t="s">
        <v>1017</v>
      </c>
      <c r="AC611" s="147"/>
      <c r="AD611" s="145"/>
      <c r="AE611" s="148" t="s">
        <v>1017</v>
      </c>
      <c r="AF611" s="147"/>
      <c r="AG611" s="147"/>
      <c r="AH611" s="171" t="s">
        <v>4178</v>
      </c>
      <c r="AI611" s="168" t="str">
        <f t="shared" si="216"/>
        <v/>
      </c>
      <c r="AJ611" s="168" t="str">
        <f t="shared" si="217"/>
        <v/>
      </c>
      <c r="AK611" s="168" t="str">
        <f t="shared" si="218"/>
        <v/>
      </c>
      <c r="AL611" s="168" t="str">
        <f t="shared" si="219"/>
        <v/>
      </c>
      <c r="AM611" s="168" t="str">
        <f t="shared" si="220"/>
        <v/>
      </c>
      <c r="AN611" s="167" t="str">
        <f t="shared" si="202"/>
        <v>2012</v>
      </c>
      <c r="AO611" s="167" t="str">
        <f t="shared" si="203"/>
        <v>2012</v>
      </c>
      <c r="AP611" s="167" t="str">
        <f t="shared" si="204"/>
        <v>2012</v>
      </c>
      <c r="AQ611" s="169" t="str">
        <f t="shared" si="205"/>
        <v/>
      </c>
      <c r="AR611" s="170" t="str">
        <f t="shared" si="206"/>
        <v>BiK82LbK12--04</v>
      </c>
      <c r="AS611" s="169" t="str">
        <f t="shared" si="207"/>
        <v/>
      </c>
      <c r="AT611">
        <f t="shared" si="208"/>
        <v>14</v>
      </c>
      <c r="AU611" s="170" t="str">
        <f t="shared" si="209"/>
        <v>0,15-0,5 MW, Bonusregeln L, b und K erstmals 2012</v>
      </c>
      <c r="AV611" s="169" t="str">
        <f t="shared" si="210"/>
        <v/>
      </c>
      <c r="AW611" s="170" t="str">
        <f t="shared" si="211"/>
        <v>Anteil KWK, erstmals 2012</v>
      </c>
      <c r="AX611" s="169" t="str">
        <f t="shared" si="212"/>
        <v/>
      </c>
      <c r="AY611" t="str">
        <f t="shared" si="213"/>
        <v/>
      </c>
      <c r="AZ611" t="str">
        <f t="shared" si="214"/>
        <v>x</v>
      </c>
    </row>
    <row r="612" spans="1:52" x14ac:dyDescent="0.35">
      <c r="A612" s="497" t="s">
        <v>4378</v>
      </c>
      <c r="B612" s="13" t="s">
        <v>5547</v>
      </c>
      <c r="C612" s="13" t="s">
        <v>4808</v>
      </c>
      <c r="D612" s="13" t="s">
        <v>7188</v>
      </c>
      <c r="E612" s="13" t="s">
        <v>4809</v>
      </c>
      <c r="F612" s="373">
        <f t="shared" si="221"/>
        <v>21.9</v>
      </c>
      <c r="G612" s="430">
        <v>21.9</v>
      </c>
      <c r="H612" s="399">
        <f t="shared" si="222"/>
        <v>17.52</v>
      </c>
      <c r="I612" s="576"/>
      <c r="J612" s="549" t="s">
        <v>5804</v>
      </c>
      <c r="K612" s="11"/>
      <c r="M612" s="37">
        <f t="shared" si="223"/>
        <v>21.9</v>
      </c>
      <c r="N612" s="29">
        <v>9.9</v>
      </c>
      <c r="O612" s="149"/>
      <c r="P612" s="144"/>
      <c r="Q612" s="145"/>
      <c r="R612" s="145"/>
      <c r="S612" s="145" t="s">
        <v>4179</v>
      </c>
      <c r="T612" t="s">
        <v>4179</v>
      </c>
      <c r="U612" s="146" t="s">
        <v>1017</v>
      </c>
      <c r="V612" s="145"/>
      <c r="W612" s="147"/>
      <c r="X612" s="147"/>
      <c r="Y612" s="145"/>
      <c r="Z612" s="147"/>
      <c r="AA612" s="145"/>
      <c r="AB612" s="145" t="s">
        <v>1017</v>
      </c>
      <c r="AC612" s="147"/>
      <c r="AD612" s="145"/>
      <c r="AE612" s="148" t="s">
        <v>1017</v>
      </c>
      <c r="AF612" s="147"/>
      <c r="AG612" s="147"/>
      <c r="AH612" s="166" t="str">
        <f t="shared" ref="AH612:AH617" si="232">IF(ISERROR(SEARCH("K erstmals 201",D612)),"",RIGHT(D612,4))</f>
        <v/>
      </c>
      <c r="AI612" s="168" t="str">
        <f t="shared" si="216"/>
        <v/>
      </c>
      <c r="AJ612" s="168" t="str">
        <f t="shared" si="217"/>
        <v/>
      </c>
      <c r="AK612" s="168" t="str">
        <f t="shared" si="218"/>
        <v/>
      </c>
      <c r="AL612" s="168" t="str">
        <f t="shared" si="219"/>
        <v/>
      </c>
      <c r="AM612" s="168" t="str">
        <f t="shared" si="220"/>
        <v/>
      </c>
      <c r="AN612" s="167" t="str">
        <f t="shared" ref="AN612:AN680" si="233">IF(ISERROR(SEARCH("K1",A612)),"","20"&amp;MID(A612,SEARCH("K1",A612)+1,2))</f>
        <v/>
      </c>
      <c r="AO612" s="167" t="str">
        <f t="shared" ref="AO612:AO680" si="234">IF(ISERROR(SEARCH("erstmals 201",E612)),"",MID(E612,SEARCH("erstmals ",E612)+9,4))</f>
        <v/>
      </c>
      <c r="AP612" s="167" t="str">
        <f t="shared" ref="AP612:AP680" si="235">IF(R612="x","2010",IF(S612="x","2011",IF(T612="x","2012","")))</f>
        <v/>
      </c>
      <c r="AQ612" s="169" t="str">
        <f t="shared" ref="AQ612:AQ675" si="236">IF(OR(AH612&lt;&gt;AN612,AH612&lt;&gt;AO612,AH612&lt;&gt;AP612),"DIFF","")</f>
        <v/>
      </c>
      <c r="AR612" s="170" t="str">
        <f t="shared" ref="AR612:AR680" si="237">IF(A612="","",IF(ISERROR(SEARCH("K1",A612)),A612,LEFT(A612,SEARCH("K1",A612)+1)&amp;RIGHT(AH612,1)&amp;MID(A612,SEARCH("K1",A612)+3,14)))</f>
        <v>BiK82Lby----04</v>
      </c>
      <c r="AS612" s="169" t="str">
        <f t="shared" ref="AS612:AS675" si="238">IF(OR(A612&lt;&gt;AR612),"DIFF","")</f>
        <v/>
      </c>
      <c r="AT612">
        <f t="shared" ref="AT612:AT680" si="239">LEN(AR612)</f>
        <v>14</v>
      </c>
      <c r="AU612" s="170" t="str">
        <f t="shared" ref="AU612:AU680" si="240">IF(D612="","",IF(OR(A612="",ISERROR(SEARCH("erstmals 201",D612))),D612,LEFT(D612,SEARCH("erstmals 201",D612)+8) &amp; AH612 &amp; MID(D612,SEARCH("erstmals 201",D612)+13,255)))</f>
        <v>0,15-0,5 MW, Bonusregeln L, y, b</v>
      </c>
      <c r="AV612" s="169" t="str">
        <f t="shared" ref="AV612:AV675" si="241">IF(OR(D612&lt;&gt;AU612),"DIFF","")</f>
        <v/>
      </c>
      <c r="AW612" s="170" t="str">
        <f t="shared" ref="AW612:AW680" si="242">IF(E612="","",IF(OR(E612="",ISERROR(SEARCH("erstmals 201",E612))),E612,LEFT(E612,SEARCH("erstmals 201",E612)+8) &amp; AH612 &amp; MID(E612,SEARCH("erstmals 201",E612)+13,255)))</f>
        <v>Anteil Nicht-KWK</v>
      </c>
      <c r="AX612" s="169" t="str">
        <f t="shared" ref="AX612:AX675" si="243">IF(OR(E612&lt;&gt;AW612),"DIFF","")</f>
        <v/>
      </c>
      <c r="AY612" t="str">
        <f t="shared" ref="AY612:AY680" si="244">IF(AH612="2011","x",IF(AH612="2012","","" &amp; S612))</f>
        <v/>
      </c>
      <c r="AZ612" t="str">
        <f t="shared" ref="AZ612:AZ680" si="245">IF(AH612="2012","x",IF(AH612="2011","","" &amp; T612))</f>
        <v/>
      </c>
    </row>
    <row r="613" spans="1:52" x14ac:dyDescent="0.35">
      <c r="A613" s="497" t="s">
        <v>4379</v>
      </c>
      <c r="B613" s="13" t="s">
        <v>5547</v>
      </c>
      <c r="C613" s="13" t="s">
        <v>4808</v>
      </c>
      <c r="D613" s="13" t="s">
        <v>7189</v>
      </c>
      <c r="E613" s="13" t="s">
        <v>4811</v>
      </c>
      <c r="F613" s="373">
        <f t="shared" si="221"/>
        <v>23.9</v>
      </c>
      <c r="G613" s="430">
        <v>23.9</v>
      </c>
      <c r="H613" s="399">
        <f t="shared" si="222"/>
        <v>19.12</v>
      </c>
      <c r="I613" s="576"/>
      <c r="J613" s="549" t="s">
        <v>5804</v>
      </c>
      <c r="K613" s="11"/>
      <c r="M613" s="37">
        <f t="shared" si="223"/>
        <v>23.9</v>
      </c>
      <c r="N613" s="29">
        <v>9.9</v>
      </c>
      <c r="O613" s="149" t="s">
        <v>1017</v>
      </c>
      <c r="P613" s="144"/>
      <c r="Q613" s="145"/>
      <c r="R613" s="145"/>
      <c r="S613" s="145" t="s">
        <v>4179</v>
      </c>
      <c r="T613" t="s">
        <v>4179</v>
      </c>
      <c r="U613" s="146" t="s">
        <v>1017</v>
      </c>
      <c r="V613" s="145"/>
      <c r="W613" s="147"/>
      <c r="X613" s="147"/>
      <c r="Y613" s="145"/>
      <c r="Z613" s="147"/>
      <c r="AA613" s="145"/>
      <c r="AB613" s="145" t="s">
        <v>1017</v>
      </c>
      <c r="AC613" s="147"/>
      <c r="AD613" s="145"/>
      <c r="AE613" s="148" t="s">
        <v>1017</v>
      </c>
      <c r="AF613" s="147"/>
      <c r="AG613" s="147"/>
      <c r="AH613" s="166" t="str">
        <f t="shared" si="232"/>
        <v/>
      </c>
      <c r="AI613" s="168" t="str">
        <f t="shared" ref="AI613:AI676" si="246">IF(AND($AH613&lt;&gt;"",AH613 =AH612),"Gleich","")</f>
        <v/>
      </c>
      <c r="AJ613" s="168" t="str">
        <f t="shared" ref="AJ613:AJ679" si="247">IF(AND($AH613&lt;&gt;"",A613 =A612),"Gleich","")</f>
        <v/>
      </c>
      <c r="AK613" s="168" t="str">
        <f t="shared" ref="AK613:AK679" si="248">IF(AND($AH613&lt;&gt;"",D613 =D612),"Gleich","")</f>
        <v/>
      </c>
      <c r="AL613" s="168" t="str">
        <f t="shared" ref="AL613:AL679" si="249">IF(AND($AH613&lt;&gt;"",E613 =E612),"Gleich","")</f>
        <v/>
      </c>
      <c r="AM613" s="168" t="str">
        <f t="shared" ref="AM613:AM679" si="250">IF(AND($AH613&lt;&gt;"",F613 =F612),"Gleich","")</f>
        <v/>
      </c>
      <c r="AN613" s="167" t="str">
        <f t="shared" si="233"/>
        <v/>
      </c>
      <c r="AO613" s="167" t="str">
        <f t="shared" si="234"/>
        <v/>
      </c>
      <c r="AP613" s="167" t="str">
        <f t="shared" si="235"/>
        <v/>
      </c>
      <c r="AQ613" s="169" t="str">
        <f t="shared" si="236"/>
        <v/>
      </c>
      <c r="AR613" s="170" t="str">
        <f t="shared" si="237"/>
        <v>BiK82LbKWKy-04</v>
      </c>
      <c r="AS613" s="169" t="str">
        <f t="shared" si="238"/>
        <v/>
      </c>
      <c r="AT613">
        <f t="shared" si="239"/>
        <v>14</v>
      </c>
      <c r="AU613" s="170" t="str">
        <f t="shared" si="240"/>
        <v>0,15-0,5 MW, Bonusregeln L, y, b und KWK</v>
      </c>
      <c r="AV613" s="169" t="str">
        <f t="shared" si="241"/>
        <v/>
      </c>
      <c r="AW613" s="170" t="str">
        <f t="shared" si="242"/>
        <v>Anteil KWK</v>
      </c>
      <c r="AX613" s="169" t="str">
        <f t="shared" si="243"/>
        <v/>
      </c>
      <c r="AY613" t="str">
        <f t="shared" si="244"/>
        <v/>
      </c>
      <c r="AZ613" t="str">
        <f t="shared" si="245"/>
        <v/>
      </c>
    </row>
    <row r="614" spans="1:52" x14ac:dyDescent="0.35">
      <c r="A614" s="497" t="s">
        <v>4380</v>
      </c>
      <c r="B614" s="13" t="s">
        <v>5547</v>
      </c>
      <c r="C614" s="13" t="s">
        <v>4808</v>
      </c>
      <c r="D614" s="88" t="s">
        <v>7190</v>
      </c>
      <c r="E614" s="13" t="s">
        <v>4330</v>
      </c>
      <c r="F614" s="373">
        <f t="shared" si="221"/>
        <v>24.9</v>
      </c>
      <c r="G614" s="430">
        <v>24.9</v>
      </c>
      <c r="H614" s="399">
        <f t="shared" si="222"/>
        <v>19.920000000000002</v>
      </c>
      <c r="I614" s="576"/>
      <c r="J614" s="549" t="s">
        <v>5804</v>
      </c>
      <c r="K614" s="11"/>
      <c r="M614" s="37">
        <f t="shared" si="223"/>
        <v>24.9</v>
      </c>
      <c r="N614" s="29">
        <v>9.9</v>
      </c>
      <c r="O614" s="149"/>
      <c r="P614" s="145" t="s">
        <v>1017</v>
      </c>
      <c r="Q614" s="145"/>
      <c r="R614" s="145"/>
      <c r="S614" s="145" t="s">
        <v>4179</v>
      </c>
      <c r="T614" t="s">
        <v>4179</v>
      </c>
      <c r="U614" s="146" t="s">
        <v>1017</v>
      </c>
      <c r="V614" s="145"/>
      <c r="W614" s="147"/>
      <c r="X614" s="147"/>
      <c r="Y614" s="145"/>
      <c r="Z614" s="147"/>
      <c r="AA614" s="145"/>
      <c r="AB614" s="145" t="s">
        <v>1017</v>
      </c>
      <c r="AC614" s="147"/>
      <c r="AD614" s="145"/>
      <c r="AE614" s="148" t="s">
        <v>1017</v>
      </c>
      <c r="AF614" s="147"/>
      <c r="AG614" s="147"/>
      <c r="AH614" s="166" t="str">
        <f t="shared" si="232"/>
        <v/>
      </c>
      <c r="AI614" s="168" t="str">
        <f t="shared" si="246"/>
        <v/>
      </c>
      <c r="AJ614" s="168" t="str">
        <f t="shared" si="247"/>
        <v/>
      </c>
      <c r="AK614" s="168" t="str">
        <f t="shared" si="248"/>
        <v/>
      </c>
      <c r="AL614" s="168" t="str">
        <f t="shared" si="249"/>
        <v/>
      </c>
      <c r="AM614" s="168" t="str">
        <f t="shared" si="250"/>
        <v/>
      </c>
      <c r="AN614" s="167" t="str">
        <f t="shared" si="233"/>
        <v/>
      </c>
      <c r="AO614" s="167" t="str">
        <f t="shared" si="234"/>
        <v/>
      </c>
      <c r="AP614" s="167" t="str">
        <f t="shared" si="235"/>
        <v/>
      </c>
      <c r="AQ614" s="169" t="str">
        <f t="shared" si="236"/>
        <v/>
      </c>
      <c r="AR614" s="170" t="str">
        <f t="shared" si="237"/>
        <v>BiK82LbKA3y-04</v>
      </c>
      <c r="AS614" s="169" t="str">
        <f t="shared" si="238"/>
        <v/>
      </c>
      <c r="AT614">
        <f t="shared" si="239"/>
        <v>14</v>
      </c>
      <c r="AU614" s="170" t="str">
        <f t="shared" si="240"/>
        <v>0,15-0,5 MW, Bonusregeln L, y, b und K wenn Anlage 3 erfüllt</v>
      </c>
      <c r="AV614" s="169" t="str">
        <f t="shared" si="241"/>
        <v/>
      </c>
      <c r="AW614" s="170" t="str">
        <f t="shared" si="242"/>
        <v>Anteil KWK gemäß Anlage 3</v>
      </c>
      <c r="AX614" s="169" t="str">
        <f t="shared" si="243"/>
        <v/>
      </c>
      <c r="AY614" t="str">
        <f t="shared" si="244"/>
        <v/>
      </c>
      <c r="AZ614" t="str">
        <f t="shared" si="245"/>
        <v/>
      </c>
    </row>
    <row r="615" spans="1:52" x14ac:dyDescent="0.35">
      <c r="A615" s="497" t="s">
        <v>4381</v>
      </c>
      <c r="B615" s="13" t="s">
        <v>5547</v>
      </c>
      <c r="C615" s="13" t="s">
        <v>4808</v>
      </c>
      <c r="D615" s="13" t="s">
        <v>7191</v>
      </c>
      <c r="E615" s="13" t="s">
        <v>674</v>
      </c>
      <c r="F615" s="373">
        <f t="shared" si="221"/>
        <v>24.9</v>
      </c>
      <c r="G615" s="430">
        <v>24.9</v>
      </c>
      <c r="H615" s="399">
        <f t="shared" si="222"/>
        <v>19.920000000000002</v>
      </c>
      <c r="I615" s="576"/>
      <c r="J615" s="549" t="s">
        <v>5804</v>
      </c>
      <c r="K615" s="11"/>
      <c r="M615" s="37">
        <f t="shared" si="223"/>
        <v>24.9</v>
      </c>
      <c r="N615" s="29">
        <v>9.9</v>
      </c>
      <c r="O615" s="149"/>
      <c r="P615" s="144"/>
      <c r="Q615" s="145" t="s">
        <v>1017</v>
      </c>
      <c r="R615" s="145"/>
      <c r="S615" s="145" t="s">
        <v>4179</v>
      </c>
      <c r="T615" t="s">
        <v>4179</v>
      </c>
      <c r="U615" s="146" t="s">
        <v>1017</v>
      </c>
      <c r="V615" s="145"/>
      <c r="W615" s="147"/>
      <c r="X615" s="147"/>
      <c r="Y615" s="145"/>
      <c r="Z615" s="147"/>
      <c r="AA615" s="145"/>
      <c r="AB615" s="145" t="s">
        <v>1017</v>
      </c>
      <c r="AC615" s="147"/>
      <c r="AD615" s="145"/>
      <c r="AE615" s="148" t="s">
        <v>1017</v>
      </c>
      <c r="AF615" s="147"/>
      <c r="AG615" s="147"/>
      <c r="AH615" s="166" t="str">
        <f t="shared" si="232"/>
        <v/>
      </c>
      <c r="AI615" s="168" t="str">
        <f t="shared" si="246"/>
        <v/>
      </c>
      <c r="AJ615" s="168" t="str">
        <f t="shared" si="247"/>
        <v/>
      </c>
      <c r="AK615" s="168" t="str">
        <f t="shared" si="248"/>
        <v/>
      </c>
      <c r="AL615" s="168" t="str">
        <f t="shared" si="249"/>
        <v/>
      </c>
      <c r="AM615" s="168" t="str">
        <f t="shared" si="250"/>
        <v/>
      </c>
      <c r="AN615" s="167" t="str">
        <f t="shared" si="233"/>
        <v/>
      </c>
      <c r="AO615" s="167" t="str">
        <f t="shared" si="234"/>
        <v/>
      </c>
      <c r="AP615" s="167" t="str">
        <f t="shared" si="235"/>
        <v/>
      </c>
      <c r="AQ615" s="169" t="str">
        <f t="shared" si="236"/>
        <v/>
      </c>
      <c r="AR615" s="170" t="str">
        <f t="shared" si="237"/>
        <v>BiK82LbK09y-04</v>
      </c>
      <c r="AS615" s="169" t="str">
        <f t="shared" si="238"/>
        <v/>
      </c>
      <c r="AT615">
        <f t="shared" si="239"/>
        <v>14</v>
      </c>
      <c r="AU615" s="170" t="str">
        <f t="shared" si="240"/>
        <v>0,15-0,5 MW, Bonusregeln L, y, b und K erstmals 2009</v>
      </c>
      <c r="AV615" s="169" t="str">
        <f t="shared" si="241"/>
        <v/>
      </c>
      <c r="AW615" s="170" t="str">
        <f t="shared" si="242"/>
        <v>Anteil KWK, erstmals 2009</v>
      </c>
      <c r="AX615" s="169" t="str">
        <f t="shared" si="243"/>
        <v/>
      </c>
      <c r="AY615" t="str">
        <f t="shared" si="244"/>
        <v/>
      </c>
      <c r="AZ615" t="str">
        <f t="shared" si="245"/>
        <v/>
      </c>
    </row>
    <row r="616" spans="1:52" x14ac:dyDescent="0.35">
      <c r="A616" s="497" t="s">
        <v>1269</v>
      </c>
      <c r="B616" s="13" t="s">
        <v>5547</v>
      </c>
      <c r="C616" s="13" t="s">
        <v>4808</v>
      </c>
      <c r="D616" s="13" t="s">
        <v>7192</v>
      </c>
      <c r="E616" s="13" t="s">
        <v>3566</v>
      </c>
      <c r="F616" s="373">
        <f t="shared" si="221"/>
        <v>24.87</v>
      </c>
      <c r="G616" s="430">
        <v>24.87</v>
      </c>
      <c r="H616" s="399">
        <f t="shared" si="222"/>
        <v>19.899999999999999</v>
      </c>
      <c r="I616" s="576"/>
      <c r="J616" s="549" t="s">
        <v>5804</v>
      </c>
      <c r="K616" s="11"/>
      <c r="M616" s="37">
        <f t="shared" si="223"/>
        <v>24.87</v>
      </c>
      <c r="N616" s="29">
        <v>9.9</v>
      </c>
      <c r="O616" s="149"/>
      <c r="P616" s="144"/>
      <c r="Q616" s="145"/>
      <c r="R616" s="145" t="s">
        <v>1017</v>
      </c>
      <c r="S616" s="145" t="s">
        <v>4179</v>
      </c>
      <c r="T616" t="s">
        <v>4179</v>
      </c>
      <c r="U616" s="146" t="s">
        <v>1017</v>
      </c>
      <c r="V616" s="145"/>
      <c r="W616" s="147"/>
      <c r="X616" s="147"/>
      <c r="Y616" s="145"/>
      <c r="Z616" s="147"/>
      <c r="AA616" s="145"/>
      <c r="AB616" s="145" t="s">
        <v>1017</v>
      </c>
      <c r="AC616" s="147"/>
      <c r="AD616" s="145"/>
      <c r="AE616" s="148" t="s">
        <v>1017</v>
      </c>
      <c r="AF616" s="147"/>
      <c r="AG616" s="147"/>
      <c r="AH616" s="166" t="str">
        <f t="shared" si="232"/>
        <v>2010</v>
      </c>
      <c r="AI616" s="168" t="str">
        <f t="shared" si="246"/>
        <v/>
      </c>
      <c r="AJ616" s="168" t="str">
        <f t="shared" si="247"/>
        <v/>
      </c>
      <c r="AK616" s="168" t="str">
        <f t="shared" si="248"/>
        <v/>
      </c>
      <c r="AL616" s="168" t="str">
        <f t="shared" si="249"/>
        <v/>
      </c>
      <c r="AM616" s="168" t="str">
        <f t="shared" si="250"/>
        <v/>
      </c>
      <c r="AN616" s="167" t="str">
        <f t="shared" si="233"/>
        <v>2010</v>
      </c>
      <c r="AO616" s="167" t="str">
        <f t="shared" si="234"/>
        <v>2010</v>
      </c>
      <c r="AP616" s="167" t="str">
        <f t="shared" si="235"/>
        <v>2010</v>
      </c>
      <c r="AQ616" s="169" t="str">
        <f t="shared" si="236"/>
        <v/>
      </c>
      <c r="AR616" s="170" t="str">
        <f t="shared" si="237"/>
        <v>BiK82LbK10y-04</v>
      </c>
      <c r="AS616" s="169" t="str">
        <f t="shared" si="238"/>
        <v/>
      </c>
      <c r="AT616">
        <f t="shared" si="239"/>
        <v>14</v>
      </c>
      <c r="AU616" s="170" t="str">
        <f t="shared" si="240"/>
        <v>0,15-0,5 MW, Bonusregeln L, y, b und K erstmals 2010</v>
      </c>
      <c r="AV616" s="169" t="str">
        <f t="shared" si="241"/>
        <v/>
      </c>
      <c r="AW616" s="170" t="str">
        <f t="shared" si="242"/>
        <v>Anteil KWK, erstmals 2010</v>
      </c>
      <c r="AX616" s="169" t="str">
        <f t="shared" si="243"/>
        <v/>
      </c>
      <c r="AY616" t="str">
        <f t="shared" si="244"/>
        <v/>
      </c>
      <c r="AZ616" t="str">
        <f t="shared" si="245"/>
        <v/>
      </c>
    </row>
    <row r="617" spans="1:52" x14ac:dyDescent="0.35">
      <c r="A617" s="497" t="s">
        <v>5287</v>
      </c>
      <c r="B617" s="13" t="s">
        <v>5547</v>
      </c>
      <c r="C617" s="13" t="s">
        <v>4808</v>
      </c>
      <c r="D617" s="13" t="s">
        <v>7193</v>
      </c>
      <c r="E617" s="13" t="s">
        <v>3054</v>
      </c>
      <c r="F617" s="373">
        <f t="shared" ref="F617:F679" si="251">M617</f>
        <v>24.84</v>
      </c>
      <c r="G617" s="430">
        <v>24.84</v>
      </c>
      <c r="H617" s="399">
        <f t="shared" ref="H617:H680" si="252">IF(ISNUMBER(G617),ROUND(0.8*G617,2),"")</f>
        <v>19.87</v>
      </c>
      <c r="I617" s="576"/>
      <c r="J617" s="549" t="s">
        <v>5804</v>
      </c>
      <c r="K617" s="11"/>
      <c r="M617" s="37">
        <f t="shared" ref="M617:M679" si="253">N617+SUMIF(O617:AG617,"x",O$296:AG$296)</f>
        <v>24.84</v>
      </c>
      <c r="N617" s="29">
        <v>9.9</v>
      </c>
      <c r="O617" s="149"/>
      <c r="P617" s="144"/>
      <c r="Q617" s="145"/>
      <c r="R617" s="145"/>
      <c r="S617" s="145" t="s">
        <v>1017</v>
      </c>
      <c r="T617" t="s">
        <v>4179</v>
      </c>
      <c r="U617" s="146" t="s">
        <v>1017</v>
      </c>
      <c r="V617" s="145"/>
      <c r="W617" s="147"/>
      <c r="X617" s="147"/>
      <c r="Y617" s="145"/>
      <c r="Z617" s="147"/>
      <c r="AA617" s="145"/>
      <c r="AB617" s="145" t="s">
        <v>1017</v>
      </c>
      <c r="AC617" s="147"/>
      <c r="AD617" s="145"/>
      <c r="AE617" s="148" t="s">
        <v>1017</v>
      </c>
      <c r="AF617" s="147"/>
      <c r="AG617" s="147"/>
      <c r="AH617" s="166" t="str">
        <f t="shared" si="232"/>
        <v>2011</v>
      </c>
      <c r="AI617" s="168" t="str">
        <f t="shared" si="246"/>
        <v/>
      </c>
      <c r="AJ617" s="168" t="str">
        <f t="shared" si="247"/>
        <v/>
      </c>
      <c r="AK617" s="168" t="str">
        <f t="shared" si="248"/>
        <v/>
      </c>
      <c r="AL617" s="168" t="str">
        <f t="shared" si="249"/>
        <v/>
      </c>
      <c r="AM617" s="168" t="str">
        <f t="shared" si="250"/>
        <v/>
      </c>
      <c r="AN617" s="167" t="str">
        <f t="shared" si="233"/>
        <v>2011</v>
      </c>
      <c r="AO617" s="167" t="str">
        <f t="shared" si="234"/>
        <v>2011</v>
      </c>
      <c r="AP617" s="167" t="str">
        <f t="shared" si="235"/>
        <v>2011</v>
      </c>
      <c r="AQ617" s="169" t="str">
        <f t="shared" si="236"/>
        <v/>
      </c>
      <c r="AR617" s="170" t="str">
        <f t="shared" si="237"/>
        <v>BiK82LbK11y-04</v>
      </c>
      <c r="AS617" s="169" t="str">
        <f t="shared" si="238"/>
        <v/>
      </c>
      <c r="AT617">
        <f t="shared" si="239"/>
        <v>14</v>
      </c>
      <c r="AU617" s="170" t="str">
        <f t="shared" si="240"/>
        <v>0,15-0,5 MW, Bonusregeln L, y, b und K erstmals 2011</v>
      </c>
      <c r="AV617" s="169" t="str">
        <f t="shared" si="241"/>
        <v/>
      </c>
      <c r="AW617" s="170" t="str">
        <f t="shared" si="242"/>
        <v>Anteil KWK, erstmals 2011</v>
      </c>
      <c r="AX617" s="169" t="str">
        <f t="shared" si="243"/>
        <v/>
      </c>
      <c r="AY617" t="str">
        <f t="shared" si="244"/>
        <v>x</v>
      </c>
      <c r="AZ617" t="str">
        <f t="shared" si="245"/>
        <v/>
      </c>
    </row>
    <row r="618" spans="1:52" x14ac:dyDescent="0.35">
      <c r="A618" s="511" t="s">
        <v>1538</v>
      </c>
      <c r="B618" s="173" t="s">
        <v>5547</v>
      </c>
      <c r="C618" s="173" t="s">
        <v>4808</v>
      </c>
      <c r="D618" s="173" t="s">
        <v>7194</v>
      </c>
      <c r="E618" s="173" t="s">
        <v>1980</v>
      </c>
      <c r="F618" s="374">
        <f t="shared" si="251"/>
        <v>24.810000000000002</v>
      </c>
      <c r="G618" s="431">
        <v>24.810000000000002</v>
      </c>
      <c r="H618" s="400">
        <f t="shared" si="252"/>
        <v>19.850000000000001</v>
      </c>
      <c r="I618" s="577"/>
      <c r="J618" s="549" t="s">
        <v>5804</v>
      </c>
      <c r="K618" s="11"/>
      <c r="M618" s="37">
        <f t="shared" si="253"/>
        <v>24.810000000000002</v>
      </c>
      <c r="N618" s="29">
        <v>9.9</v>
      </c>
      <c r="O618" s="149"/>
      <c r="P618" s="144"/>
      <c r="Q618" s="145"/>
      <c r="R618" s="145"/>
      <c r="S618" s="145" t="s">
        <v>4179</v>
      </c>
      <c r="T618" t="s">
        <v>1017</v>
      </c>
      <c r="U618" s="146" t="s">
        <v>1017</v>
      </c>
      <c r="V618" s="145"/>
      <c r="W618" s="147"/>
      <c r="X618" s="147"/>
      <c r="Y618" s="145"/>
      <c r="Z618" s="147"/>
      <c r="AA618" s="145"/>
      <c r="AB618" s="145" t="s">
        <v>1017</v>
      </c>
      <c r="AC618" s="147"/>
      <c r="AD618" s="145"/>
      <c r="AE618" s="148" t="s">
        <v>1017</v>
      </c>
      <c r="AF618" s="147"/>
      <c r="AG618" s="147"/>
      <c r="AH618" s="171" t="s">
        <v>4178</v>
      </c>
      <c r="AI618" s="168" t="str">
        <f t="shared" si="246"/>
        <v/>
      </c>
      <c r="AJ618" s="168" t="str">
        <f t="shared" si="247"/>
        <v/>
      </c>
      <c r="AK618" s="168" t="str">
        <f t="shared" si="248"/>
        <v/>
      </c>
      <c r="AL618" s="168" t="str">
        <f t="shared" si="249"/>
        <v/>
      </c>
      <c r="AM618" s="168" t="str">
        <f t="shared" si="250"/>
        <v/>
      </c>
      <c r="AN618" s="167" t="str">
        <f t="shared" si="233"/>
        <v>2012</v>
      </c>
      <c r="AO618" s="167" t="str">
        <f t="shared" si="234"/>
        <v>2012</v>
      </c>
      <c r="AP618" s="167" t="str">
        <f t="shared" si="235"/>
        <v>2012</v>
      </c>
      <c r="AQ618" s="169" t="str">
        <f t="shared" si="236"/>
        <v/>
      </c>
      <c r="AR618" s="170" t="str">
        <f t="shared" si="237"/>
        <v>BiK82LbK12y-04</v>
      </c>
      <c r="AS618" s="169" t="str">
        <f t="shared" si="238"/>
        <v/>
      </c>
      <c r="AT618">
        <f t="shared" si="239"/>
        <v>14</v>
      </c>
      <c r="AU618" s="170" t="str">
        <f t="shared" si="240"/>
        <v>0,15-0,5 MW, Bonusregeln L, y, b und K erstmals 2012</v>
      </c>
      <c r="AV618" s="169" t="str">
        <f t="shared" si="241"/>
        <v/>
      </c>
      <c r="AW618" s="170" t="str">
        <f t="shared" si="242"/>
        <v>Anteil KWK, erstmals 2012</v>
      </c>
      <c r="AX618" s="169" t="str">
        <f t="shared" si="243"/>
        <v/>
      </c>
      <c r="AY618" t="str">
        <f t="shared" si="244"/>
        <v/>
      </c>
      <c r="AZ618" t="str">
        <f t="shared" si="245"/>
        <v>x</v>
      </c>
    </row>
    <row r="619" spans="1:52" x14ac:dyDescent="0.35">
      <c r="A619" s="497" t="s">
        <v>4403</v>
      </c>
      <c r="B619" s="13" t="s">
        <v>5547</v>
      </c>
      <c r="C619" s="13" t="s">
        <v>4808</v>
      </c>
      <c r="D619" s="13" t="s">
        <v>7195</v>
      </c>
      <c r="E619" s="13" t="s">
        <v>4809</v>
      </c>
      <c r="F619" s="373">
        <f t="shared" si="251"/>
        <v>21.9</v>
      </c>
      <c r="G619" s="430">
        <v>21.9</v>
      </c>
      <c r="H619" s="399">
        <f t="shared" si="252"/>
        <v>17.52</v>
      </c>
      <c r="I619" s="576"/>
      <c r="J619" s="549" t="s">
        <v>5804</v>
      </c>
      <c r="K619" s="11"/>
      <c r="M619" s="37">
        <f t="shared" si="253"/>
        <v>21.9</v>
      </c>
      <c r="N619" s="29">
        <v>9.9</v>
      </c>
      <c r="O619" s="149"/>
      <c r="P619" s="144"/>
      <c r="Q619" s="145"/>
      <c r="R619" s="145"/>
      <c r="S619" s="145" t="s">
        <v>4179</v>
      </c>
      <c r="T619" t="s">
        <v>4179</v>
      </c>
      <c r="U619" s="146"/>
      <c r="V619" s="145"/>
      <c r="W619" s="147"/>
      <c r="X619" s="147"/>
      <c r="Y619" s="145"/>
      <c r="Z619" s="147"/>
      <c r="AA619" s="145"/>
      <c r="AB619" s="145"/>
      <c r="AC619" s="147"/>
      <c r="AD619" s="145" t="s">
        <v>1017</v>
      </c>
      <c r="AE619" s="148" t="s">
        <v>1017</v>
      </c>
      <c r="AF619" s="147"/>
      <c r="AG619" s="147"/>
      <c r="AH619" s="166" t="str">
        <f t="shared" ref="AH619:AH624" si="254">IF(ISERROR(SEARCH("K erstmals 201",D619)),"",RIGHT(D619,4))</f>
        <v/>
      </c>
      <c r="AI619" s="168" t="str">
        <f t="shared" si="246"/>
        <v/>
      </c>
      <c r="AJ619" s="168" t="str">
        <f t="shared" si="247"/>
        <v/>
      </c>
      <c r="AK619" s="168" t="str">
        <f t="shared" si="248"/>
        <v/>
      </c>
      <c r="AL619" s="168" t="str">
        <f t="shared" si="249"/>
        <v/>
      </c>
      <c r="AM619" s="168" t="str">
        <f t="shared" si="250"/>
        <v/>
      </c>
      <c r="AN619" s="167" t="str">
        <f t="shared" si="233"/>
        <v/>
      </c>
      <c r="AO619" s="167" t="str">
        <f t="shared" si="234"/>
        <v/>
      </c>
      <c r="AP619" s="167" t="str">
        <f t="shared" si="235"/>
        <v/>
      </c>
      <c r="AQ619" s="169" t="str">
        <f t="shared" si="236"/>
        <v/>
      </c>
      <c r="AR619" s="170" t="str">
        <f t="shared" si="237"/>
        <v>BiK82X2b----04</v>
      </c>
      <c r="AS619" s="169" t="str">
        <f t="shared" si="238"/>
        <v/>
      </c>
      <c r="AT619">
        <f t="shared" si="239"/>
        <v>14</v>
      </c>
      <c r="AU619" s="170" t="str">
        <f t="shared" si="240"/>
        <v>0,15-0,5 MW, Bonusregeln X2, b</v>
      </c>
      <c r="AV619" s="169" t="str">
        <f t="shared" si="241"/>
        <v/>
      </c>
      <c r="AW619" s="170" t="str">
        <f t="shared" si="242"/>
        <v>Anteil Nicht-KWK</v>
      </c>
      <c r="AX619" s="169" t="str">
        <f t="shared" si="243"/>
        <v/>
      </c>
      <c r="AY619" t="str">
        <f t="shared" si="244"/>
        <v/>
      </c>
      <c r="AZ619" t="str">
        <f t="shared" si="245"/>
        <v/>
      </c>
    </row>
    <row r="620" spans="1:52" s="145" customFormat="1" x14ac:dyDescent="0.35">
      <c r="A620" s="497" t="s">
        <v>4404</v>
      </c>
      <c r="B620" s="13" t="s">
        <v>5547</v>
      </c>
      <c r="C620" s="13" t="s">
        <v>4808</v>
      </c>
      <c r="D620" s="13" t="s">
        <v>7196</v>
      </c>
      <c r="E620" s="13" t="s">
        <v>4811</v>
      </c>
      <c r="F620" s="373">
        <f t="shared" si="251"/>
        <v>23.9</v>
      </c>
      <c r="G620" s="430">
        <v>23.9</v>
      </c>
      <c r="H620" s="399">
        <f t="shared" si="252"/>
        <v>19.12</v>
      </c>
      <c r="I620" s="576"/>
      <c r="J620" s="549" t="s">
        <v>5804</v>
      </c>
      <c r="K620" s="11"/>
      <c r="L620"/>
      <c r="M620" s="37">
        <f t="shared" si="253"/>
        <v>23.9</v>
      </c>
      <c r="N620" s="29">
        <v>9.9</v>
      </c>
      <c r="O620" s="149" t="s">
        <v>1017</v>
      </c>
      <c r="P620" s="144"/>
      <c r="S620" s="145" t="s">
        <v>4179</v>
      </c>
      <c r="T620" s="145" t="s">
        <v>4179</v>
      </c>
      <c r="U620" s="146"/>
      <c r="W620" s="147"/>
      <c r="X620" s="147"/>
      <c r="Z620" s="147"/>
      <c r="AC620" s="147"/>
      <c r="AD620" s="145" t="s">
        <v>1017</v>
      </c>
      <c r="AE620" s="148" t="s">
        <v>1017</v>
      </c>
      <c r="AF620" s="147"/>
      <c r="AG620" s="147"/>
      <c r="AH620" s="166" t="str">
        <f t="shared" si="254"/>
        <v/>
      </c>
      <c r="AI620" s="168" t="str">
        <f t="shared" si="246"/>
        <v/>
      </c>
      <c r="AJ620" s="168" t="str">
        <f t="shared" si="247"/>
        <v/>
      </c>
      <c r="AK620" s="168" t="str">
        <f t="shared" si="248"/>
        <v/>
      </c>
      <c r="AL620" s="168" t="str">
        <f t="shared" si="249"/>
        <v/>
      </c>
      <c r="AM620" s="168" t="str">
        <f t="shared" si="250"/>
        <v/>
      </c>
      <c r="AN620" s="167" t="str">
        <f t="shared" si="233"/>
        <v/>
      </c>
      <c r="AO620" s="167" t="str">
        <f t="shared" si="234"/>
        <v/>
      </c>
      <c r="AP620" s="167" t="str">
        <f t="shared" si="235"/>
        <v/>
      </c>
      <c r="AQ620" s="169" t="str">
        <f t="shared" si="236"/>
        <v/>
      </c>
      <c r="AR620" s="170" t="str">
        <f t="shared" si="237"/>
        <v>BiK82X2bKWK-04</v>
      </c>
      <c r="AS620" s="169" t="str">
        <f t="shared" si="238"/>
        <v/>
      </c>
      <c r="AT620">
        <f t="shared" si="239"/>
        <v>14</v>
      </c>
      <c r="AU620" s="170" t="str">
        <f t="shared" si="240"/>
        <v>0,15-0,5 MW, Bonusregeln X2, b und KWK</v>
      </c>
      <c r="AV620" s="169" t="str">
        <f t="shared" si="241"/>
        <v/>
      </c>
      <c r="AW620" s="170" t="str">
        <f t="shared" si="242"/>
        <v>Anteil KWK</v>
      </c>
      <c r="AX620" s="169" t="str">
        <f t="shared" si="243"/>
        <v/>
      </c>
      <c r="AY620" t="str">
        <f t="shared" si="244"/>
        <v/>
      </c>
      <c r="AZ620" t="str">
        <f t="shared" si="245"/>
        <v/>
      </c>
    </row>
    <row r="621" spans="1:52" s="145" customFormat="1" x14ac:dyDescent="0.35">
      <c r="A621" s="497" t="s">
        <v>4405</v>
      </c>
      <c r="B621" s="13" t="s">
        <v>5547</v>
      </c>
      <c r="C621" s="13" t="s">
        <v>4808</v>
      </c>
      <c r="D621" s="13" t="s">
        <v>7197</v>
      </c>
      <c r="E621" s="13" t="s">
        <v>4330</v>
      </c>
      <c r="F621" s="373">
        <f t="shared" si="251"/>
        <v>24.9</v>
      </c>
      <c r="G621" s="430">
        <v>24.9</v>
      </c>
      <c r="H621" s="399">
        <f t="shared" si="252"/>
        <v>19.920000000000002</v>
      </c>
      <c r="I621" s="576"/>
      <c r="J621" s="549" t="s">
        <v>5804</v>
      </c>
      <c r="K621" s="11"/>
      <c r="L621"/>
      <c r="M621" s="37">
        <f t="shared" si="253"/>
        <v>24.9</v>
      </c>
      <c r="N621" s="29">
        <v>9.9</v>
      </c>
      <c r="O621" s="149"/>
      <c r="P621" s="145" t="s">
        <v>1017</v>
      </c>
      <c r="S621" s="145" t="s">
        <v>4179</v>
      </c>
      <c r="T621" s="145" t="s">
        <v>4179</v>
      </c>
      <c r="U621" s="146"/>
      <c r="W621" s="147"/>
      <c r="X621" s="147"/>
      <c r="Z621" s="147"/>
      <c r="AC621" s="147"/>
      <c r="AD621" s="145" t="s">
        <v>1017</v>
      </c>
      <c r="AE621" s="148" t="s">
        <v>1017</v>
      </c>
      <c r="AF621" s="147"/>
      <c r="AG621" s="147"/>
      <c r="AH621" s="166" t="str">
        <f t="shared" si="254"/>
        <v/>
      </c>
      <c r="AI621" s="168" t="str">
        <f t="shared" si="246"/>
        <v/>
      </c>
      <c r="AJ621" s="168" t="str">
        <f t="shared" si="247"/>
        <v/>
      </c>
      <c r="AK621" s="168" t="str">
        <f t="shared" si="248"/>
        <v/>
      </c>
      <c r="AL621" s="168" t="str">
        <f t="shared" si="249"/>
        <v/>
      </c>
      <c r="AM621" s="168" t="str">
        <f t="shared" si="250"/>
        <v/>
      </c>
      <c r="AN621" s="167" t="str">
        <f t="shared" si="233"/>
        <v/>
      </c>
      <c r="AO621" s="167" t="str">
        <f t="shared" si="234"/>
        <v/>
      </c>
      <c r="AP621" s="167" t="str">
        <f t="shared" si="235"/>
        <v/>
      </c>
      <c r="AQ621" s="169" t="str">
        <f t="shared" si="236"/>
        <v/>
      </c>
      <c r="AR621" s="170" t="str">
        <f t="shared" si="237"/>
        <v>BiK82X2bKA3-04</v>
      </c>
      <c r="AS621" s="169" t="str">
        <f t="shared" si="238"/>
        <v/>
      </c>
      <c r="AT621">
        <f t="shared" si="239"/>
        <v>14</v>
      </c>
      <c r="AU621" s="170" t="str">
        <f t="shared" si="240"/>
        <v>0,15-0,5 MW, Bonusregeln X2, b und K wenn Anlage 3 erfüllt</v>
      </c>
      <c r="AV621" s="169" t="str">
        <f t="shared" si="241"/>
        <v/>
      </c>
      <c r="AW621" s="170" t="str">
        <f t="shared" si="242"/>
        <v>Anteil KWK gemäß Anlage 3</v>
      </c>
      <c r="AX621" s="169" t="str">
        <f t="shared" si="243"/>
        <v/>
      </c>
      <c r="AY621" t="str">
        <f t="shared" si="244"/>
        <v/>
      </c>
      <c r="AZ621" t="str">
        <f t="shared" si="245"/>
        <v/>
      </c>
    </row>
    <row r="622" spans="1:52" s="145" customFormat="1" x14ac:dyDescent="0.35">
      <c r="A622" s="497" t="s">
        <v>4406</v>
      </c>
      <c r="B622" s="13" t="s">
        <v>5547</v>
      </c>
      <c r="C622" s="13" t="s">
        <v>4808</v>
      </c>
      <c r="D622" s="13" t="s">
        <v>7198</v>
      </c>
      <c r="E622" s="13" t="s">
        <v>674</v>
      </c>
      <c r="F622" s="373">
        <f t="shared" si="251"/>
        <v>24.9</v>
      </c>
      <c r="G622" s="430">
        <v>24.9</v>
      </c>
      <c r="H622" s="399">
        <f t="shared" si="252"/>
        <v>19.920000000000002</v>
      </c>
      <c r="I622" s="576"/>
      <c r="J622" s="549" t="s">
        <v>5804</v>
      </c>
      <c r="K622" s="11"/>
      <c r="L622"/>
      <c r="M622" s="37">
        <f t="shared" si="253"/>
        <v>24.9</v>
      </c>
      <c r="N622" s="29">
        <v>9.9</v>
      </c>
      <c r="O622" s="149"/>
      <c r="P622" s="144"/>
      <c r="Q622" s="145" t="s">
        <v>1017</v>
      </c>
      <c r="S622" s="145" t="s">
        <v>4179</v>
      </c>
      <c r="T622" s="145" t="s">
        <v>4179</v>
      </c>
      <c r="U622" s="146"/>
      <c r="W622" s="147"/>
      <c r="X622" s="147"/>
      <c r="Z622" s="147"/>
      <c r="AC622" s="147"/>
      <c r="AD622" s="145" t="s">
        <v>1017</v>
      </c>
      <c r="AE622" s="148" t="s">
        <v>1017</v>
      </c>
      <c r="AF622" s="147"/>
      <c r="AG622" s="147"/>
      <c r="AH622" s="166" t="str">
        <f t="shared" si="254"/>
        <v/>
      </c>
      <c r="AI622" s="168" t="str">
        <f t="shared" si="246"/>
        <v/>
      </c>
      <c r="AJ622" s="168" t="str">
        <f t="shared" si="247"/>
        <v/>
      </c>
      <c r="AK622" s="168" t="str">
        <f t="shared" si="248"/>
        <v/>
      </c>
      <c r="AL622" s="168" t="str">
        <f t="shared" si="249"/>
        <v/>
      </c>
      <c r="AM622" s="168" t="str">
        <f t="shared" si="250"/>
        <v/>
      </c>
      <c r="AN622" s="167" t="str">
        <f t="shared" si="233"/>
        <v/>
      </c>
      <c r="AO622" s="167" t="str">
        <f t="shared" si="234"/>
        <v/>
      </c>
      <c r="AP622" s="167" t="str">
        <f t="shared" si="235"/>
        <v/>
      </c>
      <c r="AQ622" s="169" t="str">
        <f t="shared" si="236"/>
        <v/>
      </c>
      <c r="AR622" s="170" t="str">
        <f t="shared" si="237"/>
        <v>BiK82X2bK09-04</v>
      </c>
      <c r="AS622" s="169" t="str">
        <f t="shared" si="238"/>
        <v/>
      </c>
      <c r="AT622">
        <f t="shared" si="239"/>
        <v>14</v>
      </c>
      <c r="AU622" s="170" t="str">
        <f t="shared" si="240"/>
        <v>0,15-0,5 MW, Bonusregeln X2, b und K erstmals 2009</v>
      </c>
      <c r="AV622" s="169" t="str">
        <f t="shared" si="241"/>
        <v/>
      </c>
      <c r="AW622" s="170" t="str">
        <f t="shared" si="242"/>
        <v>Anteil KWK, erstmals 2009</v>
      </c>
      <c r="AX622" s="169" t="str">
        <f t="shared" si="243"/>
        <v/>
      </c>
      <c r="AY622" t="str">
        <f t="shared" si="244"/>
        <v/>
      </c>
      <c r="AZ622" t="str">
        <f t="shared" si="245"/>
        <v/>
      </c>
    </row>
    <row r="623" spans="1:52" s="145" customFormat="1" x14ac:dyDescent="0.35">
      <c r="A623" s="497" t="s">
        <v>1270</v>
      </c>
      <c r="B623" s="13" t="s">
        <v>5547</v>
      </c>
      <c r="C623" s="13" t="s">
        <v>4808</v>
      </c>
      <c r="D623" s="13" t="s">
        <v>7199</v>
      </c>
      <c r="E623" s="13" t="s">
        <v>3566</v>
      </c>
      <c r="F623" s="373">
        <f t="shared" si="251"/>
        <v>24.87</v>
      </c>
      <c r="G623" s="430">
        <v>24.87</v>
      </c>
      <c r="H623" s="399">
        <f t="shared" si="252"/>
        <v>19.899999999999999</v>
      </c>
      <c r="I623" s="576"/>
      <c r="J623" s="549" t="s">
        <v>5804</v>
      </c>
      <c r="K623" s="11"/>
      <c r="L623"/>
      <c r="M623" s="37">
        <f t="shared" si="253"/>
        <v>24.87</v>
      </c>
      <c r="N623" s="29">
        <v>9.9</v>
      </c>
      <c r="O623" s="149"/>
      <c r="P623" s="144"/>
      <c r="R623" s="145" t="s">
        <v>1017</v>
      </c>
      <c r="S623" s="145" t="s">
        <v>4179</v>
      </c>
      <c r="T623" s="145" t="s">
        <v>4179</v>
      </c>
      <c r="U623" s="146"/>
      <c r="W623" s="147"/>
      <c r="X623" s="147"/>
      <c r="Z623" s="147"/>
      <c r="AC623" s="147"/>
      <c r="AD623" s="145" t="s">
        <v>1017</v>
      </c>
      <c r="AE623" s="148" t="s">
        <v>1017</v>
      </c>
      <c r="AF623" s="147"/>
      <c r="AG623" s="147"/>
      <c r="AH623" s="166" t="str">
        <f t="shared" si="254"/>
        <v>2010</v>
      </c>
      <c r="AI623" s="168" t="str">
        <f t="shared" si="246"/>
        <v/>
      </c>
      <c r="AJ623" s="168" t="str">
        <f t="shared" si="247"/>
        <v/>
      </c>
      <c r="AK623" s="168" t="str">
        <f t="shared" si="248"/>
        <v/>
      </c>
      <c r="AL623" s="168" t="str">
        <f t="shared" si="249"/>
        <v/>
      </c>
      <c r="AM623" s="168" t="str">
        <f t="shared" si="250"/>
        <v/>
      </c>
      <c r="AN623" s="167" t="str">
        <f t="shared" si="233"/>
        <v>2010</v>
      </c>
      <c r="AO623" s="167" t="str">
        <f t="shared" si="234"/>
        <v>2010</v>
      </c>
      <c r="AP623" s="167" t="str">
        <f t="shared" si="235"/>
        <v>2010</v>
      </c>
      <c r="AQ623" s="169" t="str">
        <f t="shared" si="236"/>
        <v/>
      </c>
      <c r="AR623" s="170" t="str">
        <f t="shared" si="237"/>
        <v>BiK82X2bK10-04</v>
      </c>
      <c r="AS623" s="169" t="str">
        <f t="shared" si="238"/>
        <v/>
      </c>
      <c r="AT623">
        <f t="shared" si="239"/>
        <v>14</v>
      </c>
      <c r="AU623" s="170" t="str">
        <f t="shared" si="240"/>
        <v>0,15-0,5 MW, Bonusregeln X2, b und K erstmals 2010</v>
      </c>
      <c r="AV623" s="169" t="str">
        <f t="shared" si="241"/>
        <v/>
      </c>
      <c r="AW623" s="170" t="str">
        <f t="shared" si="242"/>
        <v>Anteil KWK, erstmals 2010</v>
      </c>
      <c r="AX623" s="169" t="str">
        <f t="shared" si="243"/>
        <v/>
      </c>
      <c r="AY623" t="str">
        <f t="shared" si="244"/>
        <v/>
      </c>
      <c r="AZ623" t="str">
        <f t="shared" si="245"/>
        <v/>
      </c>
    </row>
    <row r="624" spans="1:52" s="145" customFormat="1" x14ac:dyDescent="0.35">
      <c r="A624" s="497" t="s">
        <v>5288</v>
      </c>
      <c r="B624" s="13" t="s">
        <v>5547</v>
      </c>
      <c r="C624" s="13" t="s">
        <v>4808</v>
      </c>
      <c r="D624" s="13" t="s">
        <v>7200</v>
      </c>
      <c r="E624" s="13" t="s">
        <v>3054</v>
      </c>
      <c r="F624" s="373">
        <f t="shared" si="251"/>
        <v>24.84</v>
      </c>
      <c r="G624" s="430">
        <v>24.84</v>
      </c>
      <c r="H624" s="399">
        <f t="shared" si="252"/>
        <v>19.87</v>
      </c>
      <c r="I624" s="576"/>
      <c r="J624" s="549" t="s">
        <v>5804</v>
      </c>
      <c r="K624" s="11"/>
      <c r="L624"/>
      <c r="M624" s="37">
        <f t="shared" si="253"/>
        <v>24.84</v>
      </c>
      <c r="N624" s="29">
        <v>9.9</v>
      </c>
      <c r="O624" s="149"/>
      <c r="P624" s="144"/>
      <c r="S624" s="145" t="s">
        <v>1017</v>
      </c>
      <c r="T624" s="145" t="s">
        <v>4179</v>
      </c>
      <c r="U624" s="146"/>
      <c r="W624" s="147"/>
      <c r="X624" s="147"/>
      <c r="Z624" s="147"/>
      <c r="AC624" s="147"/>
      <c r="AD624" s="145" t="s">
        <v>1017</v>
      </c>
      <c r="AE624" s="148" t="s">
        <v>1017</v>
      </c>
      <c r="AF624" s="147"/>
      <c r="AG624" s="147"/>
      <c r="AH624" s="166" t="str">
        <f t="shared" si="254"/>
        <v>2011</v>
      </c>
      <c r="AI624" s="168" t="str">
        <f t="shared" si="246"/>
        <v/>
      </c>
      <c r="AJ624" s="168" t="str">
        <f t="shared" si="247"/>
        <v/>
      </c>
      <c r="AK624" s="168" t="str">
        <f t="shared" si="248"/>
        <v/>
      </c>
      <c r="AL624" s="168" t="str">
        <f t="shared" si="249"/>
        <v/>
      </c>
      <c r="AM624" s="168" t="str">
        <f t="shared" si="250"/>
        <v/>
      </c>
      <c r="AN624" s="167" t="str">
        <f t="shared" si="233"/>
        <v>2011</v>
      </c>
      <c r="AO624" s="167" t="str">
        <f t="shared" si="234"/>
        <v>2011</v>
      </c>
      <c r="AP624" s="167" t="str">
        <f t="shared" si="235"/>
        <v>2011</v>
      </c>
      <c r="AQ624" s="169" t="str">
        <f t="shared" si="236"/>
        <v/>
      </c>
      <c r="AR624" s="170" t="str">
        <f t="shared" si="237"/>
        <v>BiK82X2bK11-04</v>
      </c>
      <c r="AS624" s="169" t="str">
        <f t="shared" si="238"/>
        <v/>
      </c>
      <c r="AT624">
        <f t="shared" si="239"/>
        <v>14</v>
      </c>
      <c r="AU624" s="170" t="str">
        <f t="shared" si="240"/>
        <v>0,15-0,5 MW, Bonusregeln X2, b und K erstmals 2011</v>
      </c>
      <c r="AV624" s="169" t="str">
        <f t="shared" si="241"/>
        <v/>
      </c>
      <c r="AW624" s="170" t="str">
        <f t="shared" si="242"/>
        <v>Anteil KWK, erstmals 2011</v>
      </c>
      <c r="AX624" s="169" t="str">
        <f t="shared" si="243"/>
        <v/>
      </c>
      <c r="AY624" t="str">
        <f t="shared" si="244"/>
        <v>x</v>
      </c>
      <c r="AZ624" t="str">
        <f t="shared" si="245"/>
        <v/>
      </c>
    </row>
    <row r="625" spans="1:52" s="145" customFormat="1" x14ac:dyDescent="0.35">
      <c r="A625" s="511" t="s">
        <v>1539</v>
      </c>
      <c r="B625" s="173" t="s">
        <v>5547</v>
      </c>
      <c r="C625" s="173" t="s">
        <v>4808</v>
      </c>
      <c r="D625" s="173" t="s">
        <v>7201</v>
      </c>
      <c r="E625" s="173" t="s">
        <v>1980</v>
      </c>
      <c r="F625" s="374">
        <f t="shared" si="251"/>
        <v>24.810000000000002</v>
      </c>
      <c r="G625" s="431">
        <v>24.810000000000002</v>
      </c>
      <c r="H625" s="400">
        <f t="shared" si="252"/>
        <v>19.850000000000001</v>
      </c>
      <c r="I625" s="577"/>
      <c r="J625" s="549" t="s">
        <v>5804</v>
      </c>
      <c r="K625" s="11"/>
      <c r="L625"/>
      <c r="M625" s="37">
        <f t="shared" si="253"/>
        <v>24.810000000000002</v>
      </c>
      <c r="N625" s="29">
        <v>9.9</v>
      </c>
      <c r="O625" s="149"/>
      <c r="P625" s="144"/>
      <c r="S625" s="145" t="s">
        <v>4179</v>
      </c>
      <c r="T625" s="145" t="s">
        <v>1017</v>
      </c>
      <c r="U625" s="146"/>
      <c r="W625" s="147"/>
      <c r="X625" s="147"/>
      <c r="Z625" s="147"/>
      <c r="AC625" s="147"/>
      <c r="AD625" s="145" t="s">
        <v>1017</v>
      </c>
      <c r="AE625" s="148" t="s">
        <v>1017</v>
      </c>
      <c r="AF625" s="147"/>
      <c r="AG625" s="147"/>
      <c r="AH625" s="171" t="s">
        <v>4178</v>
      </c>
      <c r="AI625" s="168" t="str">
        <f t="shared" si="246"/>
        <v/>
      </c>
      <c r="AJ625" s="168" t="str">
        <f t="shared" si="247"/>
        <v/>
      </c>
      <c r="AK625" s="168" t="str">
        <f t="shared" si="248"/>
        <v/>
      </c>
      <c r="AL625" s="168" t="str">
        <f t="shared" si="249"/>
        <v/>
      </c>
      <c r="AM625" s="168" t="str">
        <f t="shared" si="250"/>
        <v/>
      </c>
      <c r="AN625" s="167" t="str">
        <f t="shared" si="233"/>
        <v>2012</v>
      </c>
      <c r="AO625" s="167" t="str">
        <f t="shared" si="234"/>
        <v>2012</v>
      </c>
      <c r="AP625" s="167" t="str">
        <f t="shared" si="235"/>
        <v>2012</v>
      </c>
      <c r="AQ625" s="169" t="str">
        <f t="shared" si="236"/>
        <v/>
      </c>
      <c r="AR625" s="170" t="str">
        <f t="shared" si="237"/>
        <v>BiK82X2bK12-04</v>
      </c>
      <c r="AS625" s="169" t="str">
        <f t="shared" si="238"/>
        <v/>
      </c>
      <c r="AT625">
        <f t="shared" si="239"/>
        <v>14</v>
      </c>
      <c r="AU625" s="170" t="str">
        <f t="shared" si="240"/>
        <v>0,15-0,5 MW, Bonusregeln X2, b und K erstmals 2012</v>
      </c>
      <c r="AV625" s="169" t="str">
        <f t="shared" si="241"/>
        <v/>
      </c>
      <c r="AW625" s="170" t="str">
        <f t="shared" si="242"/>
        <v>Anteil KWK, erstmals 2012</v>
      </c>
      <c r="AX625" s="169" t="str">
        <f t="shared" si="243"/>
        <v/>
      </c>
      <c r="AY625" t="str">
        <f t="shared" si="244"/>
        <v/>
      </c>
      <c r="AZ625" t="str">
        <f t="shared" si="245"/>
        <v>x</v>
      </c>
    </row>
    <row r="626" spans="1:52" s="145" customFormat="1" x14ac:dyDescent="0.35">
      <c r="A626" s="497" t="s">
        <v>4407</v>
      </c>
      <c r="B626" s="13" t="s">
        <v>5547</v>
      </c>
      <c r="C626" s="13" t="s">
        <v>4808</v>
      </c>
      <c r="D626" s="13" t="s">
        <v>7202</v>
      </c>
      <c r="E626" s="13" t="s">
        <v>4809</v>
      </c>
      <c r="F626" s="373">
        <f t="shared" si="251"/>
        <v>22.9</v>
      </c>
      <c r="G626" s="430">
        <v>22.9</v>
      </c>
      <c r="H626" s="399">
        <f t="shared" si="252"/>
        <v>18.32</v>
      </c>
      <c r="I626" s="576"/>
      <c r="J626" s="549" t="s">
        <v>5804</v>
      </c>
      <c r="K626" s="11"/>
      <c r="L626"/>
      <c r="M626" s="37">
        <f t="shared" si="253"/>
        <v>22.9</v>
      </c>
      <c r="N626" s="29">
        <v>9.9</v>
      </c>
      <c r="O626" s="149"/>
      <c r="P626" s="144"/>
      <c r="S626" s="145" t="s">
        <v>4179</v>
      </c>
      <c r="T626" s="145" t="s">
        <v>4179</v>
      </c>
      <c r="U626" s="146" t="s">
        <v>1017</v>
      </c>
      <c r="W626" s="147"/>
      <c r="X626" s="147"/>
      <c r="Z626" s="147"/>
      <c r="AC626" s="147"/>
      <c r="AD626" s="145" t="s">
        <v>1017</v>
      </c>
      <c r="AE626" s="148" t="s">
        <v>1017</v>
      </c>
      <c r="AF626" s="147"/>
      <c r="AG626" s="147"/>
      <c r="AH626" s="166" t="str">
        <f t="shared" ref="AH626:AH631" si="255">IF(ISERROR(SEARCH("K erstmals 201",D626)),"",RIGHT(D626,4))</f>
        <v/>
      </c>
      <c r="AI626" s="168" t="str">
        <f t="shared" si="246"/>
        <v/>
      </c>
      <c r="AJ626" s="168" t="str">
        <f t="shared" si="247"/>
        <v/>
      </c>
      <c r="AK626" s="168" t="str">
        <f t="shared" si="248"/>
        <v/>
      </c>
      <c r="AL626" s="168" t="str">
        <f t="shared" si="249"/>
        <v/>
      </c>
      <c r="AM626" s="168" t="str">
        <f t="shared" si="250"/>
        <v/>
      </c>
      <c r="AN626" s="167" t="str">
        <f t="shared" si="233"/>
        <v/>
      </c>
      <c r="AO626" s="167" t="str">
        <f t="shared" si="234"/>
        <v/>
      </c>
      <c r="AP626" s="167" t="str">
        <f t="shared" si="235"/>
        <v/>
      </c>
      <c r="AQ626" s="169" t="str">
        <f t="shared" si="236"/>
        <v/>
      </c>
      <c r="AR626" s="170" t="str">
        <f t="shared" si="237"/>
        <v>BiK82X2by---04</v>
      </c>
      <c r="AS626" s="169" t="str">
        <f t="shared" si="238"/>
        <v/>
      </c>
      <c r="AT626">
        <f t="shared" si="239"/>
        <v>14</v>
      </c>
      <c r="AU626" s="170" t="str">
        <f t="shared" si="240"/>
        <v>0,15-0,5 MW, Bonusregeln X2, y, b</v>
      </c>
      <c r="AV626" s="169" t="str">
        <f t="shared" si="241"/>
        <v/>
      </c>
      <c r="AW626" s="170" t="str">
        <f t="shared" si="242"/>
        <v>Anteil Nicht-KWK</v>
      </c>
      <c r="AX626" s="169" t="str">
        <f t="shared" si="243"/>
        <v/>
      </c>
      <c r="AY626" t="str">
        <f t="shared" si="244"/>
        <v/>
      </c>
      <c r="AZ626" t="str">
        <f t="shared" si="245"/>
        <v/>
      </c>
    </row>
    <row r="627" spans="1:52" s="145" customFormat="1" x14ac:dyDescent="0.35">
      <c r="A627" s="497" t="s">
        <v>4408</v>
      </c>
      <c r="B627" s="13" t="s">
        <v>5547</v>
      </c>
      <c r="C627" s="13" t="s">
        <v>4808</v>
      </c>
      <c r="D627" s="13" t="s">
        <v>7203</v>
      </c>
      <c r="E627" s="13" t="s">
        <v>4811</v>
      </c>
      <c r="F627" s="373">
        <f t="shared" si="251"/>
        <v>24.9</v>
      </c>
      <c r="G627" s="430">
        <v>24.9</v>
      </c>
      <c r="H627" s="399">
        <f t="shared" si="252"/>
        <v>19.920000000000002</v>
      </c>
      <c r="I627" s="576"/>
      <c r="J627" s="549" t="s">
        <v>5804</v>
      </c>
      <c r="K627" s="11"/>
      <c r="L627"/>
      <c r="M627" s="37">
        <f t="shared" si="253"/>
        <v>24.9</v>
      </c>
      <c r="N627" s="29">
        <v>9.9</v>
      </c>
      <c r="O627" s="149" t="s">
        <v>1017</v>
      </c>
      <c r="P627" s="144"/>
      <c r="S627" s="145" t="s">
        <v>4179</v>
      </c>
      <c r="T627" s="145" t="s">
        <v>4179</v>
      </c>
      <c r="U627" s="146" t="s">
        <v>1017</v>
      </c>
      <c r="W627" s="147"/>
      <c r="X627" s="147"/>
      <c r="Z627" s="147"/>
      <c r="AC627" s="147"/>
      <c r="AD627" s="145" t="s">
        <v>1017</v>
      </c>
      <c r="AE627" s="148" t="s">
        <v>1017</v>
      </c>
      <c r="AF627" s="147"/>
      <c r="AG627" s="147"/>
      <c r="AH627" s="166" t="str">
        <f t="shared" si="255"/>
        <v/>
      </c>
      <c r="AI627" s="168" t="str">
        <f t="shared" si="246"/>
        <v/>
      </c>
      <c r="AJ627" s="168" t="str">
        <f t="shared" si="247"/>
        <v/>
      </c>
      <c r="AK627" s="168" t="str">
        <f t="shared" si="248"/>
        <v/>
      </c>
      <c r="AL627" s="168" t="str">
        <f t="shared" si="249"/>
        <v/>
      </c>
      <c r="AM627" s="168" t="str">
        <f t="shared" si="250"/>
        <v/>
      </c>
      <c r="AN627" s="167" t="str">
        <f t="shared" si="233"/>
        <v/>
      </c>
      <c r="AO627" s="167" t="str">
        <f t="shared" si="234"/>
        <v/>
      </c>
      <c r="AP627" s="167" t="str">
        <f t="shared" si="235"/>
        <v/>
      </c>
      <c r="AQ627" s="169" t="str">
        <f t="shared" si="236"/>
        <v/>
      </c>
      <c r="AR627" s="170" t="str">
        <f t="shared" si="237"/>
        <v>BiK82X2bKWKy04</v>
      </c>
      <c r="AS627" s="169" t="str">
        <f t="shared" si="238"/>
        <v/>
      </c>
      <c r="AT627">
        <f t="shared" si="239"/>
        <v>14</v>
      </c>
      <c r="AU627" s="170" t="str">
        <f t="shared" si="240"/>
        <v>0,15-0,5 MW, Bonusregeln X2, y, b und KWK</v>
      </c>
      <c r="AV627" s="169" t="str">
        <f t="shared" si="241"/>
        <v/>
      </c>
      <c r="AW627" s="170" t="str">
        <f t="shared" si="242"/>
        <v>Anteil KWK</v>
      </c>
      <c r="AX627" s="169" t="str">
        <f t="shared" si="243"/>
        <v/>
      </c>
      <c r="AY627" t="str">
        <f t="shared" si="244"/>
        <v/>
      </c>
      <c r="AZ627" t="str">
        <f t="shared" si="245"/>
        <v/>
      </c>
    </row>
    <row r="628" spans="1:52" s="145" customFormat="1" x14ac:dyDescent="0.35">
      <c r="A628" s="497" t="s">
        <v>4409</v>
      </c>
      <c r="B628" s="13" t="s">
        <v>5547</v>
      </c>
      <c r="C628" s="13" t="s">
        <v>4808</v>
      </c>
      <c r="D628" s="88" t="s">
        <v>7204</v>
      </c>
      <c r="E628" s="13" t="s">
        <v>4330</v>
      </c>
      <c r="F628" s="373">
        <f t="shared" si="251"/>
        <v>25.9</v>
      </c>
      <c r="G628" s="430">
        <v>25.9</v>
      </c>
      <c r="H628" s="399">
        <f t="shared" si="252"/>
        <v>20.72</v>
      </c>
      <c r="I628" s="576"/>
      <c r="J628" s="549" t="s">
        <v>5804</v>
      </c>
      <c r="K628" s="11"/>
      <c r="L628"/>
      <c r="M628" s="37">
        <f t="shared" si="253"/>
        <v>25.9</v>
      </c>
      <c r="N628" s="29">
        <v>9.9</v>
      </c>
      <c r="O628" s="149"/>
      <c r="P628" s="145" t="s">
        <v>1017</v>
      </c>
      <c r="S628" s="145" t="s">
        <v>4179</v>
      </c>
      <c r="T628" s="145" t="s">
        <v>4179</v>
      </c>
      <c r="U628" s="146" t="s">
        <v>1017</v>
      </c>
      <c r="W628" s="147"/>
      <c r="X628" s="147"/>
      <c r="Z628" s="147"/>
      <c r="AC628" s="147"/>
      <c r="AD628" s="145" t="s">
        <v>1017</v>
      </c>
      <c r="AE628" s="148" t="s">
        <v>1017</v>
      </c>
      <c r="AF628" s="147"/>
      <c r="AG628" s="147"/>
      <c r="AH628" s="166" t="str">
        <f t="shared" si="255"/>
        <v/>
      </c>
      <c r="AI628" s="168" t="str">
        <f t="shared" si="246"/>
        <v/>
      </c>
      <c r="AJ628" s="168" t="str">
        <f t="shared" si="247"/>
        <v/>
      </c>
      <c r="AK628" s="168" t="str">
        <f t="shared" si="248"/>
        <v/>
      </c>
      <c r="AL628" s="168" t="str">
        <f t="shared" si="249"/>
        <v/>
      </c>
      <c r="AM628" s="168" t="str">
        <f t="shared" si="250"/>
        <v/>
      </c>
      <c r="AN628" s="167" t="str">
        <f t="shared" si="233"/>
        <v/>
      </c>
      <c r="AO628" s="167" t="str">
        <f t="shared" si="234"/>
        <v/>
      </c>
      <c r="AP628" s="167" t="str">
        <f t="shared" si="235"/>
        <v/>
      </c>
      <c r="AQ628" s="169" t="str">
        <f t="shared" si="236"/>
        <v/>
      </c>
      <c r="AR628" s="170" t="str">
        <f t="shared" si="237"/>
        <v>BiK82X2bKA3y04</v>
      </c>
      <c r="AS628" s="169" t="str">
        <f t="shared" si="238"/>
        <v/>
      </c>
      <c r="AT628">
        <f t="shared" si="239"/>
        <v>14</v>
      </c>
      <c r="AU628" s="170" t="str">
        <f t="shared" si="240"/>
        <v>0,15-0,5 MW, Bonusregeln X2, y, b und K wenn Anlage 3 erfüllt</v>
      </c>
      <c r="AV628" s="169" t="str">
        <f t="shared" si="241"/>
        <v/>
      </c>
      <c r="AW628" s="170" t="str">
        <f t="shared" si="242"/>
        <v>Anteil KWK gemäß Anlage 3</v>
      </c>
      <c r="AX628" s="169" t="str">
        <f t="shared" si="243"/>
        <v/>
      </c>
      <c r="AY628" t="str">
        <f t="shared" si="244"/>
        <v/>
      </c>
      <c r="AZ628" t="str">
        <f t="shared" si="245"/>
        <v/>
      </c>
    </row>
    <row r="629" spans="1:52" s="145" customFormat="1" x14ac:dyDescent="0.35">
      <c r="A629" s="497" t="s">
        <v>4410</v>
      </c>
      <c r="B629" s="13" t="s">
        <v>5547</v>
      </c>
      <c r="C629" s="13" t="s">
        <v>4808</v>
      </c>
      <c r="D629" s="13" t="s">
        <v>7205</v>
      </c>
      <c r="E629" s="13" t="s">
        <v>674</v>
      </c>
      <c r="F629" s="373">
        <f t="shared" si="251"/>
        <v>25.9</v>
      </c>
      <c r="G629" s="430">
        <v>25.9</v>
      </c>
      <c r="H629" s="399">
        <f t="shared" si="252"/>
        <v>20.72</v>
      </c>
      <c r="I629" s="576"/>
      <c r="J629" s="549" t="s">
        <v>5804</v>
      </c>
      <c r="K629" s="11"/>
      <c r="L629"/>
      <c r="M629" s="37">
        <f t="shared" si="253"/>
        <v>25.9</v>
      </c>
      <c r="N629" s="29">
        <v>9.9</v>
      </c>
      <c r="O629" s="149"/>
      <c r="P629" s="144"/>
      <c r="Q629" s="145" t="s">
        <v>1017</v>
      </c>
      <c r="S629" s="145" t="s">
        <v>4179</v>
      </c>
      <c r="T629" s="145" t="s">
        <v>4179</v>
      </c>
      <c r="U629" s="146" t="s">
        <v>1017</v>
      </c>
      <c r="W629" s="147"/>
      <c r="X629" s="147"/>
      <c r="Z629" s="147"/>
      <c r="AC629" s="147"/>
      <c r="AD629" s="145" t="s">
        <v>1017</v>
      </c>
      <c r="AE629" s="148" t="s">
        <v>1017</v>
      </c>
      <c r="AF629" s="147"/>
      <c r="AG629" s="147"/>
      <c r="AH629" s="166" t="str">
        <f t="shared" si="255"/>
        <v/>
      </c>
      <c r="AI629" s="168" t="str">
        <f t="shared" si="246"/>
        <v/>
      </c>
      <c r="AJ629" s="168" t="str">
        <f t="shared" si="247"/>
        <v/>
      </c>
      <c r="AK629" s="168" t="str">
        <f t="shared" si="248"/>
        <v/>
      </c>
      <c r="AL629" s="168" t="str">
        <f t="shared" si="249"/>
        <v/>
      </c>
      <c r="AM629" s="168" t="str">
        <f t="shared" si="250"/>
        <v/>
      </c>
      <c r="AN629" s="167" t="str">
        <f t="shared" si="233"/>
        <v/>
      </c>
      <c r="AO629" s="167" t="str">
        <f t="shared" si="234"/>
        <v/>
      </c>
      <c r="AP629" s="167" t="str">
        <f t="shared" si="235"/>
        <v/>
      </c>
      <c r="AQ629" s="169" t="str">
        <f t="shared" si="236"/>
        <v/>
      </c>
      <c r="AR629" s="170" t="str">
        <f t="shared" si="237"/>
        <v>BiK82X2bK09y04</v>
      </c>
      <c r="AS629" s="169" t="str">
        <f t="shared" si="238"/>
        <v/>
      </c>
      <c r="AT629">
        <f t="shared" si="239"/>
        <v>14</v>
      </c>
      <c r="AU629" s="170" t="str">
        <f t="shared" si="240"/>
        <v>0,15-0,5 MW, Bonusregeln X2, y, b und K erstmals 2009</v>
      </c>
      <c r="AV629" s="169" t="str">
        <f t="shared" si="241"/>
        <v/>
      </c>
      <c r="AW629" s="170" t="str">
        <f t="shared" si="242"/>
        <v>Anteil KWK, erstmals 2009</v>
      </c>
      <c r="AX629" s="169" t="str">
        <f t="shared" si="243"/>
        <v/>
      </c>
      <c r="AY629" t="str">
        <f t="shared" si="244"/>
        <v/>
      </c>
      <c r="AZ629" t="str">
        <f t="shared" si="245"/>
        <v/>
      </c>
    </row>
    <row r="630" spans="1:52" s="145" customFormat="1" x14ac:dyDescent="0.35">
      <c r="A630" s="497" t="s">
        <v>1271</v>
      </c>
      <c r="B630" s="13" t="s">
        <v>5547</v>
      </c>
      <c r="C630" s="13" t="s">
        <v>4808</v>
      </c>
      <c r="D630" s="13" t="s">
        <v>7206</v>
      </c>
      <c r="E630" s="13" t="s">
        <v>3566</v>
      </c>
      <c r="F630" s="373">
        <f t="shared" si="251"/>
        <v>25.87</v>
      </c>
      <c r="G630" s="430">
        <v>25.87</v>
      </c>
      <c r="H630" s="399">
        <f t="shared" si="252"/>
        <v>20.7</v>
      </c>
      <c r="I630" s="576"/>
      <c r="J630" s="549" t="s">
        <v>5804</v>
      </c>
      <c r="K630" s="11"/>
      <c r="L630"/>
      <c r="M630" s="37">
        <f t="shared" si="253"/>
        <v>25.87</v>
      </c>
      <c r="N630" s="29">
        <v>9.9</v>
      </c>
      <c r="O630" s="149"/>
      <c r="P630" s="144"/>
      <c r="R630" s="145" t="s">
        <v>1017</v>
      </c>
      <c r="S630" s="145" t="s">
        <v>4179</v>
      </c>
      <c r="T630" s="145" t="s">
        <v>4179</v>
      </c>
      <c r="U630" s="146" t="s">
        <v>1017</v>
      </c>
      <c r="W630" s="147"/>
      <c r="X630" s="147"/>
      <c r="Z630" s="147"/>
      <c r="AC630" s="147"/>
      <c r="AD630" s="145" t="s">
        <v>1017</v>
      </c>
      <c r="AE630" s="148" t="s">
        <v>1017</v>
      </c>
      <c r="AF630" s="147"/>
      <c r="AG630" s="147"/>
      <c r="AH630" s="166" t="str">
        <f t="shared" si="255"/>
        <v>2010</v>
      </c>
      <c r="AI630" s="168" t="str">
        <f t="shared" si="246"/>
        <v/>
      </c>
      <c r="AJ630" s="168" t="str">
        <f t="shared" si="247"/>
        <v/>
      </c>
      <c r="AK630" s="168" t="str">
        <f t="shared" si="248"/>
        <v/>
      </c>
      <c r="AL630" s="168" t="str">
        <f t="shared" si="249"/>
        <v/>
      </c>
      <c r="AM630" s="168" t="str">
        <f t="shared" si="250"/>
        <v/>
      </c>
      <c r="AN630" s="167" t="str">
        <f t="shared" si="233"/>
        <v>2010</v>
      </c>
      <c r="AO630" s="167" t="str">
        <f t="shared" si="234"/>
        <v>2010</v>
      </c>
      <c r="AP630" s="167" t="str">
        <f t="shared" si="235"/>
        <v>2010</v>
      </c>
      <c r="AQ630" s="169" t="str">
        <f t="shared" si="236"/>
        <v/>
      </c>
      <c r="AR630" s="170" t="str">
        <f t="shared" si="237"/>
        <v>BiK82X2bK10y04</v>
      </c>
      <c r="AS630" s="169" t="str">
        <f t="shared" si="238"/>
        <v/>
      </c>
      <c r="AT630">
        <f t="shared" si="239"/>
        <v>14</v>
      </c>
      <c r="AU630" s="170" t="str">
        <f t="shared" si="240"/>
        <v>0,15-0,5 MW, Bonusregeln X2, y, b und K erstmals 2010</v>
      </c>
      <c r="AV630" s="169" t="str">
        <f t="shared" si="241"/>
        <v/>
      </c>
      <c r="AW630" s="170" t="str">
        <f t="shared" si="242"/>
        <v>Anteil KWK, erstmals 2010</v>
      </c>
      <c r="AX630" s="169" t="str">
        <f t="shared" si="243"/>
        <v/>
      </c>
      <c r="AY630" t="str">
        <f t="shared" si="244"/>
        <v/>
      </c>
      <c r="AZ630" t="str">
        <f t="shared" si="245"/>
        <v/>
      </c>
    </row>
    <row r="631" spans="1:52" s="145" customFormat="1" x14ac:dyDescent="0.35">
      <c r="A631" s="497" t="s">
        <v>5289</v>
      </c>
      <c r="B631" s="13" t="s">
        <v>5547</v>
      </c>
      <c r="C631" s="13" t="s">
        <v>4808</v>
      </c>
      <c r="D631" s="13" t="s">
        <v>7207</v>
      </c>
      <c r="E631" s="13" t="s">
        <v>3054</v>
      </c>
      <c r="F631" s="373">
        <f t="shared" si="251"/>
        <v>25.84</v>
      </c>
      <c r="G631" s="430">
        <v>25.84</v>
      </c>
      <c r="H631" s="399">
        <f t="shared" si="252"/>
        <v>20.67</v>
      </c>
      <c r="I631" s="576"/>
      <c r="J631" s="549" t="s">
        <v>5804</v>
      </c>
      <c r="K631" s="11"/>
      <c r="L631"/>
      <c r="M631" s="37">
        <f t="shared" si="253"/>
        <v>25.84</v>
      </c>
      <c r="N631" s="29">
        <v>9.9</v>
      </c>
      <c r="O631" s="149"/>
      <c r="P631" s="144"/>
      <c r="S631" s="145" t="s">
        <v>1017</v>
      </c>
      <c r="T631" s="145" t="s">
        <v>4179</v>
      </c>
      <c r="U631" s="146" t="s">
        <v>1017</v>
      </c>
      <c r="W631" s="147"/>
      <c r="X631" s="147"/>
      <c r="Z631" s="147"/>
      <c r="AC631" s="147"/>
      <c r="AD631" s="145" t="s">
        <v>1017</v>
      </c>
      <c r="AE631" s="148" t="s">
        <v>1017</v>
      </c>
      <c r="AF631" s="147"/>
      <c r="AG631" s="147"/>
      <c r="AH631" s="166" t="str">
        <f t="shared" si="255"/>
        <v>2011</v>
      </c>
      <c r="AI631" s="168" t="str">
        <f t="shared" si="246"/>
        <v/>
      </c>
      <c r="AJ631" s="168" t="str">
        <f t="shared" si="247"/>
        <v/>
      </c>
      <c r="AK631" s="168" t="str">
        <f t="shared" si="248"/>
        <v/>
      </c>
      <c r="AL631" s="168" t="str">
        <f t="shared" si="249"/>
        <v/>
      </c>
      <c r="AM631" s="168" t="str">
        <f t="shared" si="250"/>
        <v/>
      </c>
      <c r="AN631" s="167" t="str">
        <f t="shared" si="233"/>
        <v>2011</v>
      </c>
      <c r="AO631" s="167" t="str">
        <f t="shared" si="234"/>
        <v>2011</v>
      </c>
      <c r="AP631" s="167" t="str">
        <f t="shared" si="235"/>
        <v>2011</v>
      </c>
      <c r="AQ631" s="169" t="str">
        <f t="shared" si="236"/>
        <v/>
      </c>
      <c r="AR631" s="170" t="str">
        <f t="shared" si="237"/>
        <v>BiK82X2bK11y04</v>
      </c>
      <c r="AS631" s="169" t="str">
        <f t="shared" si="238"/>
        <v/>
      </c>
      <c r="AT631">
        <f t="shared" si="239"/>
        <v>14</v>
      </c>
      <c r="AU631" s="170" t="str">
        <f t="shared" si="240"/>
        <v>0,15-0,5 MW, Bonusregeln X2, y, b und K erstmals 2011</v>
      </c>
      <c r="AV631" s="169" t="str">
        <f t="shared" si="241"/>
        <v/>
      </c>
      <c r="AW631" s="170" t="str">
        <f t="shared" si="242"/>
        <v>Anteil KWK, erstmals 2011</v>
      </c>
      <c r="AX631" s="169" t="str">
        <f t="shared" si="243"/>
        <v/>
      </c>
      <c r="AY631" t="str">
        <f t="shared" si="244"/>
        <v>x</v>
      </c>
      <c r="AZ631" t="str">
        <f t="shared" si="245"/>
        <v/>
      </c>
    </row>
    <row r="632" spans="1:52" s="145" customFormat="1" x14ac:dyDescent="0.35">
      <c r="A632" s="511" t="s">
        <v>1540</v>
      </c>
      <c r="B632" s="173" t="s">
        <v>5547</v>
      </c>
      <c r="C632" s="173" t="s">
        <v>4808</v>
      </c>
      <c r="D632" s="173" t="s">
        <v>7208</v>
      </c>
      <c r="E632" s="173" t="s">
        <v>1980</v>
      </c>
      <c r="F632" s="374">
        <f t="shared" si="251"/>
        <v>25.810000000000002</v>
      </c>
      <c r="G632" s="431">
        <v>25.810000000000002</v>
      </c>
      <c r="H632" s="400">
        <f t="shared" si="252"/>
        <v>20.65</v>
      </c>
      <c r="I632" s="577"/>
      <c r="J632" s="549" t="s">
        <v>5804</v>
      </c>
      <c r="K632" s="11"/>
      <c r="L632"/>
      <c r="M632" s="37">
        <f t="shared" si="253"/>
        <v>25.810000000000002</v>
      </c>
      <c r="N632" s="29">
        <v>9.9</v>
      </c>
      <c r="O632" s="149"/>
      <c r="P632" s="144"/>
      <c r="S632" s="145" t="s">
        <v>4179</v>
      </c>
      <c r="T632" s="145" t="s">
        <v>1017</v>
      </c>
      <c r="U632" s="146" t="s">
        <v>1017</v>
      </c>
      <c r="W632" s="147"/>
      <c r="X632" s="147"/>
      <c r="Z632" s="147"/>
      <c r="AC632" s="147"/>
      <c r="AD632" s="145" t="s">
        <v>1017</v>
      </c>
      <c r="AE632" s="148" t="s">
        <v>1017</v>
      </c>
      <c r="AF632" s="147"/>
      <c r="AG632" s="147"/>
      <c r="AH632" s="171" t="s">
        <v>4178</v>
      </c>
      <c r="AI632" s="168" t="str">
        <f t="shared" si="246"/>
        <v/>
      </c>
      <c r="AJ632" s="168" t="str">
        <f t="shared" si="247"/>
        <v/>
      </c>
      <c r="AK632" s="168" t="str">
        <f t="shared" si="248"/>
        <v/>
      </c>
      <c r="AL632" s="168" t="str">
        <f t="shared" si="249"/>
        <v/>
      </c>
      <c r="AM632" s="168" t="str">
        <f t="shared" si="250"/>
        <v/>
      </c>
      <c r="AN632" s="167" t="str">
        <f t="shared" si="233"/>
        <v>2012</v>
      </c>
      <c r="AO632" s="167" t="str">
        <f t="shared" si="234"/>
        <v>2012</v>
      </c>
      <c r="AP632" s="167" t="str">
        <f t="shared" si="235"/>
        <v>2012</v>
      </c>
      <c r="AQ632" s="169" t="str">
        <f t="shared" si="236"/>
        <v/>
      </c>
      <c r="AR632" s="170" t="str">
        <f t="shared" si="237"/>
        <v>BiK82X2bK12y04</v>
      </c>
      <c r="AS632" s="169" t="str">
        <f t="shared" si="238"/>
        <v/>
      </c>
      <c r="AT632">
        <f t="shared" si="239"/>
        <v>14</v>
      </c>
      <c r="AU632" s="170" t="str">
        <f t="shared" si="240"/>
        <v>0,15-0,5 MW, Bonusregeln X2, y, b und K erstmals 2012</v>
      </c>
      <c r="AV632" s="169" t="str">
        <f t="shared" si="241"/>
        <v/>
      </c>
      <c r="AW632" s="170" t="str">
        <f t="shared" si="242"/>
        <v>Anteil KWK, erstmals 2012</v>
      </c>
      <c r="AX632" s="169" t="str">
        <f t="shared" si="243"/>
        <v/>
      </c>
      <c r="AY632" t="str">
        <f t="shared" si="244"/>
        <v/>
      </c>
      <c r="AZ632" t="str">
        <f t="shared" si="245"/>
        <v>x</v>
      </c>
    </row>
    <row r="633" spans="1:52" s="145" customFormat="1" x14ac:dyDescent="0.35">
      <c r="A633" s="496" t="s">
        <v>4491</v>
      </c>
      <c r="B633" s="1" t="s">
        <v>5547</v>
      </c>
      <c r="C633" s="1" t="s">
        <v>4808</v>
      </c>
      <c r="D633" s="1" t="s">
        <v>5407</v>
      </c>
      <c r="E633" s="1" t="s">
        <v>4809</v>
      </c>
      <c r="F633" s="375">
        <f t="shared" si="251"/>
        <v>8.9</v>
      </c>
      <c r="G633" s="432">
        <v>8.9</v>
      </c>
      <c r="H633" s="401">
        <f t="shared" si="252"/>
        <v>7.12</v>
      </c>
      <c r="I633" s="578"/>
      <c r="J633" s="549" t="s">
        <v>5804</v>
      </c>
      <c r="K633" s="11"/>
      <c r="L633"/>
      <c r="M633" s="37">
        <f t="shared" si="253"/>
        <v>8.9</v>
      </c>
      <c r="N633" s="29">
        <v>8.9</v>
      </c>
      <c r="O633" s="41"/>
      <c r="P633" s="59"/>
      <c r="Q633"/>
      <c r="R633"/>
      <c r="S633" t="s">
        <v>4179</v>
      </c>
      <c r="T633" s="145" t="s">
        <v>4179</v>
      </c>
      <c r="U633" s="60"/>
      <c r="V633" s="50"/>
      <c r="W633"/>
      <c r="X633"/>
      <c r="Y633" s="50"/>
      <c r="Z633" s="50"/>
      <c r="AA633" s="50"/>
      <c r="AB633" s="50"/>
      <c r="AC633" s="50"/>
      <c r="AD633" s="50"/>
      <c r="AE633" s="75"/>
      <c r="AF633" s="50"/>
      <c r="AG633" s="50"/>
      <c r="AH633" s="166" t="str">
        <f>IF(ISERROR(SEARCH("K erstmals 201",D633)),"",RIGHT(D633,4))</f>
        <v/>
      </c>
      <c r="AI633" s="168" t="str">
        <f t="shared" si="246"/>
        <v/>
      </c>
      <c r="AJ633" s="168" t="str">
        <f t="shared" si="247"/>
        <v/>
      </c>
      <c r="AK633" s="168" t="str">
        <f t="shared" si="248"/>
        <v/>
      </c>
      <c r="AL633" s="168" t="str">
        <f t="shared" si="249"/>
        <v/>
      </c>
      <c r="AM633" s="168" t="str">
        <f t="shared" si="250"/>
        <v/>
      </c>
      <c r="AN633" s="167" t="str">
        <f t="shared" si="233"/>
        <v/>
      </c>
      <c r="AO633" s="167" t="str">
        <f t="shared" si="234"/>
        <v/>
      </c>
      <c r="AP633" s="167" t="str">
        <f t="shared" si="235"/>
        <v/>
      </c>
      <c r="AQ633" s="169" t="str">
        <f t="shared" si="236"/>
        <v/>
      </c>
      <c r="AR633" s="170" t="str">
        <f t="shared" si="237"/>
        <v>BiK83-------04</v>
      </c>
      <c r="AS633" s="169" t="str">
        <f t="shared" si="238"/>
        <v/>
      </c>
      <c r="AT633">
        <f t="shared" si="239"/>
        <v>14</v>
      </c>
      <c r="AU633" s="170" t="str">
        <f t="shared" si="240"/>
        <v>0,5-5 MW</v>
      </c>
      <c r="AV633" s="169" t="str">
        <f t="shared" si="241"/>
        <v/>
      </c>
      <c r="AW633" s="170" t="str">
        <f t="shared" si="242"/>
        <v>Anteil Nicht-KWK</v>
      </c>
      <c r="AX633" s="169" t="str">
        <f t="shared" si="243"/>
        <v/>
      </c>
      <c r="AY633" t="str">
        <f t="shared" si="244"/>
        <v/>
      </c>
      <c r="AZ633" t="str">
        <f t="shared" si="245"/>
        <v/>
      </c>
    </row>
    <row r="634" spans="1:52" s="145" customFormat="1" x14ac:dyDescent="0.35">
      <c r="A634" s="496" t="s">
        <v>4492</v>
      </c>
      <c r="B634" s="1" t="s">
        <v>5547</v>
      </c>
      <c r="C634" s="1" t="s">
        <v>4808</v>
      </c>
      <c r="D634" s="1" t="s">
        <v>6769</v>
      </c>
      <c r="E634" s="1" t="s">
        <v>4811</v>
      </c>
      <c r="F634" s="375">
        <f t="shared" si="251"/>
        <v>10.9</v>
      </c>
      <c r="G634" s="432">
        <v>10.9</v>
      </c>
      <c r="H634" s="401">
        <f t="shared" si="252"/>
        <v>8.7200000000000006</v>
      </c>
      <c r="I634" s="578"/>
      <c r="J634" s="549" t="s">
        <v>5804</v>
      </c>
      <c r="K634" s="11"/>
      <c r="L634"/>
      <c r="M634" s="37">
        <f t="shared" si="253"/>
        <v>10.9</v>
      </c>
      <c r="N634" s="29">
        <v>8.9</v>
      </c>
      <c r="O634" s="41" t="s">
        <v>1017</v>
      </c>
      <c r="P634" s="59"/>
      <c r="Q634"/>
      <c r="R634"/>
      <c r="S634" t="s">
        <v>4179</v>
      </c>
      <c r="T634" s="145" t="s">
        <v>4179</v>
      </c>
      <c r="U634" s="60"/>
      <c r="V634" s="50"/>
      <c r="W634"/>
      <c r="X634"/>
      <c r="Y634" s="50"/>
      <c r="Z634" s="50"/>
      <c r="AA634" s="50"/>
      <c r="AB634" s="50"/>
      <c r="AC634" s="50"/>
      <c r="AD634" s="50"/>
      <c r="AE634" s="75"/>
      <c r="AF634" s="50"/>
      <c r="AG634" s="50"/>
      <c r="AH634" s="166" t="str">
        <f>IF(ISERROR(SEARCH("K erstmals 201",D634)),"",RIGHT(D634,4))</f>
        <v/>
      </c>
      <c r="AI634" s="168" t="str">
        <f t="shared" si="246"/>
        <v/>
      </c>
      <c r="AJ634" s="168" t="str">
        <f t="shared" si="247"/>
        <v/>
      </c>
      <c r="AK634" s="168" t="str">
        <f t="shared" si="248"/>
        <v/>
      </c>
      <c r="AL634" s="168" t="str">
        <f t="shared" si="249"/>
        <v/>
      </c>
      <c r="AM634" s="168" t="str">
        <f t="shared" si="250"/>
        <v/>
      </c>
      <c r="AN634" s="167" t="str">
        <f t="shared" si="233"/>
        <v/>
      </c>
      <c r="AO634" s="167" t="str">
        <f t="shared" si="234"/>
        <v/>
      </c>
      <c r="AP634" s="167" t="str">
        <f t="shared" si="235"/>
        <v/>
      </c>
      <c r="AQ634" s="169" t="str">
        <f t="shared" si="236"/>
        <v/>
      </c>
      <c r="AR634" s="170" t="str">
        <f t="shared" si="237"/>
        <v>BiK83KWK----04</v>
      </c>
      <c r="AS634" s="169" t="str">
        <f t="shared" si="238"/>
        <v/>
      </c>
      <c r="AT634">
        <f t="shared" si="239"/>
        <v>14</v>
      </c>
      <c r="AU634" s="170" t="str">
        <f t="shared" si="240"/>
        <v>0,5-5 MW, Bonusregel KWK</v>
      </c>
      <c r="AV634" s="169" t="str">
        <f t="shared" si="241"/>
        <v/>
      </c>
      <c r="AW634" s="170" t="str">
        <f t="shared" si="242"/>
        <v>Anteil KWK</v>
      </c>
      <c r="AX634" s="169" t="str">
        <f t="shared" si="243"/>
        <v/>
      </c>
      <c r="AY634" t="str">
        <f t="shared" si="244"/>
        <v/>
      </c>
      <c r="AZ634" t="str">
        <f t="shared" si="245"/>
        <v/>
      </c>
    </row>
    <row r="635" spans="1:52" s="145" customFormat="1" x14ac:dyDescent="0.35">
      <c r="A635" s="497" t="s">
        <v>2594</v>
      </c>
      <c r="B635" s="13" t="s">
        <v>5547</v>
      </c>
      <c r="C635" s="13" t="s">
        <v>4808</v>
      </c>
      <c r="D635" s="13" t="s">
        <v>6749</v>
      </c>
      <c r="E635" s="13" t="s">
        <v>674</v>
      </c>
      <c r="F635" s="373">
        <f t="shared" si="251"/>
        <v>11.9</v>
      </c>
      <c r="G635" s="430">
        <v>11.9</v>
      </c>
      <c r="H635" s="399">
        <f t="shared" si="252"/>
        <v>9.52</v>
      </c>
      <c r="I635" s="576"/>
      <c r="J635" s="549" t="s">
        <v>5804</v>
      </c>
      <c r="K635" s="11"/>
      <c r="L635"/>
      <c r="M635" s="37">
        <f t="shared" si="253"/>
        <v>11.9</v>
      </c>
      <c r="N635" s="29">
        <v>8.9</v>
      </c>
      <c r="O635" s="41"/>
      <c r="P635" s="59"/>
      <c r="Q635" t="s">
        <v>1017</v>
      </c>
      <c r="R635"/>
      <c r="S635" t="s">
        <v>4179</v>
      </c>
      <c r="T635" s="145" t="s">
        <v>4179</v>
      </c>
      <c r="U635" s="60"/>
      <c r="V635" s="50"/>
      <c r="W635"/>
      <c r="X635"/>
      <c r="Y635" s="50"/>
      <c r="Z635" s="50"/>
      <c r="AA635" s="50"/>
      <c r="AB635" s="50"/>
      <c r="AC635" s="50"/>
      <c r="AD635" s="50"/>
      <c r="AE635" s="75"/>
      <c r="AF635" s="50"/>
      <c r="AG635" s="50"/>
      <c r="AH635" s="166" t="str">
        <f>IF(ISERROR(SEARCH("K erstmals 201",D635)),"",RIGHT(D635,4))</f>
        <v/>
      </c>
      <c r="AI635" s="168" t="str">
        <f t="shared" si="246"/>
        <v/>
      </c>
      <c r="AJ635" s="168" t="str">
        <f t="shared" si="247"/>
        <v/>
      </c>
      <c r="AK635" s="168" t="str">
        <f t="shared" si="248"/>
        <v/>
      </c>
      <c r="AL635" s="168" t="str">
        <f t="shared" si="249"/>
        <v/>
      </c>
      <c r="AM635" s="168" t="str">
        <f t="shared" si="250"/>
        <v/>
      </c>
      <c r="AN635" s="167" t="str">
        <f t="shared" si="233"/>
        <v/>
      </c>
      <c r="AO635" s="167" t="str">
        <f t="shared" si="234"/>
        <v/>
      </c>
      <c r="AP635" s="167" t="str">
        <f t="shared" si="235"/>
        <v/>
      </c>
      <c r="AQ635" s="169" t="str">
        <f t="shared" si="236"/>
        <v/>
      </c>
      <c r="AR635" s="170" t="str">
        <f t="shared" si="237"/>
        <v>BiK83K09----04</v>
      </c>
      <c r="AS635" s="169" t="str">
        <f t="shared" si="238"/>
        <v/>
      </c>
      <c r="AT635">
        <f t="shared" si="239"/>
        <v>14</v>
      </c>
      <c r="AU635" s="170" t="str">
        <f t="shared" si="240"/>
        <v>0,5-5 MW, Bonusregel K erstmals 2009</v>
      </c>
      <c r="AV635" s="169" t="str">
        <f t="shared" si="241"/>
        <v/>
      </c>
      <c r="AW635" s="170" t="str">
        <f t="shared" si="242"/>
        <v>Anteil KWK, erstmals 2009</v>
      </c>
      <c r="AX635" s="169" t="str">
        <f t="shared" si="243"/>
        <v/>
      </c>
      <c r="AY635" t="str">
        <f t="shared" si="244"/>
        <v/>
      </c>
      <c r="AZ635" t="str">
        <f t="shared" si="245"/>
        <v/>
      </c>
    </row>
    <row r="636" spans="1:52" s="145" customFormat="1" x14ac:dyDescent="0.35">
      <c r="A636" s="497" t="s">
        <v>4037</v>
      </c>
      <c r="B636" s="13" t="s">
        <v>5547</v>
      </c>
      <c r="C636" s="13" t="s">
        <v>4808</v>
      </c>
      <c r="D636" s="13" t="s">
        <v>6750</v>
      </c>
      <c r="E636" s="13" t="s">
        <v>3566</v>
      </c>
      <c r="F636" s="373">
        <f t="shared" si="251"/>
        <v>11.870000000000001</v>
      </c>
      <c r="G636" s="430">
        <v>11.870000000000001</v>
      </c>
      <c r="H636" s="399">
        <f t="shared" si="252"/>
        <v>9.5</v>
      </c>
      <c r="I636" s="576"/>
      <c r="J636" s="549" t="s">
        <v>5804</v>
      </c>
      <c r="K636" s="11"/>
      <c r="L636"/>
      <c r="M636" s="37">
        <f t="shared" si="253"/>
        <v>11.870000000000001</v>
      </c>
      <c r="N636" s="29">
        <v>8.9</v>
      </c>
      <c r="O636" s="41"/>
      <c r="P636" s="59"/>
      <c r="Q636"/>
      <c r="R636" t="s">
        <v>1017</v>
      </c>
      <c r="S636" t="s">
        <v>4179</v>
      </c>
      <c r="T636" s="145" t="s">
        <v>4179</v>
      </c>
      <c r="U636" s="60"/>
      <c r="V636" s="50"/>
      <c r="W636"/>
      <c r="X636"/>
      <c r="Y636" s="50"/>
      <c r="Z636" s="50"/>
      <c r="AA636" s="50"/>
      <c r="AB636" s="50"/>
      <c r="AC636" s="50"/>
      <c r="AD636" s="50"/>
      <c r="AE636" s="75"/>
      <c r="AF636" s="50"/>
      <c r="AG636" s="50"/>
      <c r="AH636" s="166" t="str">
        <f>IF(ISERROR(SEARCH("K erstmals 201",D636)),"",RIGHT(D636,4))</f>
        <v>2010</v>
      </c>
      <c r="AI636" s="168" t="str">
        <f t="shared" si="246"/>
        <v/>
      </c>
      <c r="AJ636" s="168" t="str">
        <f t="shared" si="247"/>
        <v/>
      </c>
      <c r="AK636" s="168" t="str">
        <f t="shared" si="248"/>
        <v/>
      </c>
      <c r="AL636" s="168" t="str">
        <f t="shared" si="249"/>
        <v/>
      </c>
      <c r="AM636" s="168" t="str">
        <f t="shared" si="250"/>
        <v/>
      </c>
      <c r="AN636" s="167" t="str">
        <f t="shared" si="233"/>
        <v>2010</v>
      </c>
      <c r="AO636" s="167" t="str">
        <f t="shared" si="234"/>
        <v>2010</v>
      </c>
      <c r="AP636" s="167" t="str">
        <f t="shared" si="235"/>
        <v>2010</v>
      </c>
      <c r="AQ636" s="169" t="str">
        <f t="shared" si="236"/>
        <v/>
      </c>
      <c r="AR636" s="170" t="str">
        <f t="shared" si="237"/>
        <v>BiK83K10----04</v>
      </c>
      <c r="AS636" s="169" t="str">
        <f t="shared" si="238"/>
        <v/>
      </c>
      <c r="AT636">
        <f t="shared" si="239"/>
        <v>14</v>
      </c>
      <c r="AU636" s="170" t="str">
        <f t="shared" si="240"/>
        <v>0,5-5 MW, Bonusregel K erstmals 2010</v>
      </c>
      <c r="AV636" s="169" t="str">
        <f t="shared" si="241"/>
        <v/>
      </c>
      <c r="AW636" s="170" t="str">
        <f t="shared" si="242"/>
        <v>Anteil KWK, erstmals 2010</v>
      </c>
      <c r="AX636" s="169" t="str">
        <f t="shared" si="243"/>
        <v/>
      </c>
      <c r="AY636" t="str">
        <f t="shared" si="244"/>
        <v/>
      </c>
      <c r="AZ636" t="str">
        <f t="shared" si="245"/>
        <v/>
      </c>
    </row>
    <row r="637" spans="1:52" s="145" customFormat="1" x14ac:dyDescent="0.35">
      <c r="A637" s="497" t="s">
        <v>5290</v>
      </c>
      <c r="B637" s="13" t="s">
        <v>5547</v>
      </c>
      <c r="C637" s="13" t="s">
        <v>4808</v>
      </c>
      <c r="D637" s="13" t="s">
        <v>6751</v>
      </c>
      <c r="E637" s="13" t="s">
        <v>3054</v>
      </c>
      <c r="F637" s="373">
        <f t="shared" si="251"/>
        <v>11.84</v>
      </c>
      <c r="G637" s="430">
        <v>11.84</v>
      </c>
      <c r="H637" s="399">
        <f t="shared" si="252"/>
        <v>9.4700000000000006</v>
      </c>
      <c r="I637" s="576"/>
      <c r="J637" s="549" t="s">
        <v>5804</v>
      </c>
      <c r="K637" s="11"/>
      <c r="L637"/>
      <c r="M637" s="37">
        <f t="shared" si="253"/>
        <v>11.84</v>
      </c>
      <c r="N637" s="29">
        <v>8.9</v>
      </c>
      <c r="O637" s="41"/>
      <c r="P637" s="59"/>
      <c r="Q637"/>
      <c r="R637"/>
      <c r="S637" t="s">
        <v>1017</v>
      </c>
      <c r="T637" s="145" t="s">
        <v>4179</v>
      </c>
      <c r="U637" s="60"/>
      <c r="V637" s="50"/>
      <c r="W637"/>
      <c r="X637"/>
      <c r="Y637" s="50"/>
      <c r="Z637" s="50"/>
      <c r="AA637" s="50"/>
      <c r="AB637" s="50"/>
      <c r="AC637" s="50"/>
      <c r="AD637" s="50"/>
      <c r="AE637" s="75"/>
      <c r="AF637" s="50"/>
      <c r="AG637" s="50"/>
      <c r="AH637" s="166" t="str">
        <f>IF(ISERROR(SEARCH("K erstmals 201",D637)),"",RIGHT(D637,4))</f>
        <v>2011</v>
      </c>
      <c r="AI637" s="168" t="str">
        <f t="shared" si="246"/>
        <v/>
      </c>
      <c r="AJ637" s="168" t="str">
        <f t="shared" si="247"/>
        <v/>
      </c>
      <c r="AK637" s="168" t="str">
        <f t="shared" si="248"/>
        <v/>
      </c>
      <c r="AL637" s="168" t="str">
        <f t="shared" si="249"/>
        <v/>
      </c>
      <c r="AM637" s="168" t="str">
        <f t="shared" si="250"/>
        <v/>
      </c>
      <c r="AN637" s="167" t="str">
        <f t="shared" si="233"/>
        <v>2011</v>
      </c>
      <c r="AO637" s="167" t="str">
        <f t="shared" si="234"/>
        <v>2011</v>
      </c>
      <c r="AP637" s="167" t="str">
        <f t="shared" si="235"/>
        <v>2011</v>
      </c>
      <c r="AQ637" s="169" t="str">
        <f t="shared" si="236"/>
        <v/>
      </c>
      <c r="AR637" s="170" t="str">
        <f t="shared" si="237"/>
        <v>BiK83K11----04</v>
      </c>
      <c r="AS637" s="169" t="str">
        <f t="shared" si="238"/>
        <v/>
      </c>
      <c r="AT637">
        <f t="shared" si="239"/>
        <v>14</v>
      </c>
      <c r="AU637" s="170" t="str">
        <f t="shared" si="240"/>
        <v>0,5-5 MW, Bonusregel K erstmals 2011</v>
      </c>
      <c r="AV637" s="169" t="str">
        <f t="shared" si="241"/>
        <v/>
      </c>
      <c r="AW637" s="170" t="str">
        <f t="shared" si="242"/>
        <v>Anteil KWK, erstmals 2011</v>
      </c>
      <c r="AX637" s="169" t="str">
        <f t="shared" si="243"/>
        <v/>
      </c>
      <c r="AY637" t="str">
        <f t="shared" si="244"/>
        <v>x</v>
      </c>
      <c r="AZ637" t="str">
        <f t="shared" si="245"/>
        <v/>
      </c>
    </row>
    <row r="638" spans="1:52" s="145" customFormat="1" x14ac:dyDescent="0.35">
      <c r="A638" s="511" t="s">
        <v>1541</v>
      </c>
      <c r="B638" s="173" t="s">
        <v>5547</v>
      </c>
      <c r="C638" s="173" t="s">
        <v>4808</v>
      </c>
      <c r="D638" s="173" t="s">
        <v>6752</v>
      </c>
      <c r="E638" s="173" t="s">
        <v>1980</v>
      </c>
      <c r="F638" s="374">
        <f t="shared" si="251"/>
        <v>11.81</v>
      </c>
      <c r="G638" s="431">
        <v>11.81</v>
      </c>
      <c r="H638" s="400">
        <f t="shared" si="252"/>
        <v>9.4499999999999993</v>
      </c>
      <c r="I638" s="577"/>
      <c r="J638" s="549" t="s">
        <v>5804</v>
      </c>
      <c r="K638" s="11"/>
      <c r="L638"/>
      <c r="M638" s="37">
        <f t="shared" si="253"/>
        <v>11.81</v>
      </c>
      <c r="N638" s="29">
        <v>8.9</v>
      </c>
      <c r="O638" s="41"/>
      <c r="P638" s="59"/>
      <c r="Q638"/>
      <c r="R638"/>
      <c r="S638" t="s">
        <v>4179</v>
      </c>
      <c r="T638" s="145" t="s">
        <v>1017</v>
      </c>
      <c r="U638" s="60"/>
      <c r="V638" s="50"/>
      <c r="W638"/>
      <c r="X638"/>
      <c r="Y638" s="50"/>
      <c r="Z638" s="50"/>
      <c r="AA638" s="50"/>
      <c r="AB638" s="50"/>
      <c r="AC638" s="50"/>
      <c r="AD638" s="50"/>
      <c r="AE638" s="75"/>
      <c r="AF638" s="50"/>
      <c r="AG638" s="50"/>
      <c r="AH638" s="171" t="s">
        <v>4178</v>
      </c>
      <c r="AI638" s="168" t="str">
        <f t="shared" si="246"/>
        <v/>
      </c>
      <c r="AJ638" s="168" t="str">
        <f t="shared" si="247"/>
        <v/>
      </c>
      <c r="AK638" s="168" t="str">
        <f t="shared" si="248"/>
        <v/>
      </c>
      <c r="AL638" s="168" t="str">
        <f t="shared" si="249"/>
        <v/>
      </c>
      <c r="AM638" s="168" t="str">
        <f t="shared" si="250"/>
        <v/>
      </c>
      <c r="AN638" s="167" t="str">
        <f t="shared" si="233"/>
        <v>2012</v>
      </c>
      <c r="AO638" s="167" t="str">
        <f t="shared" si="234"/>
        <v>2012</v>
      </c>
      <c r="AP638" s="167" t="str">
        <f t="shared" si="235"/>
        <v>2012</v>
      </c>
      <c r="AQ638" s="169" t="str">
        <f t="shared" si="236"/>
        <v/>
      </c>
      <c r="AR638" s="170" t="str">
        <f t="shared" si="237"/>
        <v>BiK83K12----04</v>
      </c>
      <c r="AS638" s="169" t="str">
        <f t="shared" si="238"/>
        <v/>
      </c>
      <c r="AT638">
        <f t="shared" si="239"/>
        <v>14</v>
      </c>
      <c r="AU638" s="170" t="str">
        <f t="shared" si="240"/>
        <v>0,5-5 MW, Bonusregel K erstmals 2012</v>
      </c>
      <c r="AV638" s="169" t="str">
        <f t="shared" si="241"/>
        <v/>
      </c>
      <c r="AW638" s="170" t="str">
        <f t="shared" si="242"/>
        <v>Anteil KWK, erstmals 2012</v>
      </c>
      <c r="AX638" s="169" t="str">
        <f t="shared" si="243"/>
        <v/>
      </c>
      <c r="AY638" t="str">
        <f t="shared" si="244"/>
        <v/>
      </c>
      <c r="AZ638" t="str">
        <f t="shared" si="245"/>
        <v>x</v>
      </c>
    </row>
    <row r="639" spans="1:52" s="145" customFormat="1" x14ac:dyDescent="0.35">
      <c r="A639" s="496" t="s">
        <v>4493</v>
      </c>
      <c r="B639" s="1" t="s">
        <v>5547</v>
      </c>
      <c r="C639" s="1" t="s">
        <v>4808</v>
      </c>
      <c r="D639" s="1" t="s">
        <v>598</v>
      </c>
      <c r="E639" s="1" t="s">
        <v>4809</v>
      </c>
      <c r="F639" s="375">
        <f t="shared" si="251"/>
        <v>12.9</v>
      </c>
      <c r="G639" s="432">
        <v>12.9</v>
      </c>
      <c r="H639" s="401">
        <f t="shared" si="252"/>
        <v>10.32</v>
      </c>
      <c r="I639" s="578"/>
      <c r="J639" s="549" t="s">
        <v>5804</v>
      </c>
      <c r="K639" s="11"/>
      <c r="L639"/>
      <c r="M639" s="37">
        <f t="shared" si="253"/>
        <v>12.9</v>
      </c>
      <c r="N639" s="29">
        <v>8.9</v>
      </c>
      <c r="O639" s="41"/>
      <c r="P639" s="59"/>
      <c r="Q639"/>
      <c r="R639"/>
      <c r="S639" t="s">
        <v>4179</v>
      </c>
      <c r="T639" s="145" t="s">
        <v>4179</v>
      </c>
      <c r="U639" s="60"/>
      <c r="V639" s="50"/>
      <c r="W639" t="s">
        <v>1017</v>
      </c>
      <c r="X639"/>
      <c r="Y639" s="50"/>
      <c r="Z639" s="50"/>
      <c r="AA639" s="50"/>
      <c r="AB639" s="50"/>
      <c r="AC639" s="50"/>
      <c r="AD639" s="50"/>
      <c r="AE639" s="75"/>
      <c r="AF639" s="50"/>
      <c r="AG639" s="50"/>
      <c r="AH639" s="166" t="str">
        <f>IF(ISERROR(SEARCH("K erstmals 201",D639)),"",RIGHT(D639,4))</f>
        <v/>
      </c>
      <c r="AI639" s="168" t="str">
        <f t="shared" si="246"/>
        <v/>
      </c>
      <c r="AJ639" s="168" t="str">
        <f t="shared" si="247"/>
        <v/>
      </c>
      <c r="AK639" s="168" t="str">
        <f t="shared" si="248"/>
        <v/>
      </c>
      <c r="AL639" s="168" t="str">
        <f t="shared" si="249"/>
        <v/>
      </c>
      <c r="AM639" s="168" t="str">
        <f t="shared" si="250"/>
        <v/>
      </c>
      <c r="AN639" s="167" t="str">
        <f t="shared" si="233"/>
        <v/>
      </c>
      <c r="AO639" s="167" t="str">
        <f t="shared" si="234"/>
        <v/>
      </c>
      <c r="AP639" s="167" t="str">
        <f t="shared" si="235"/>
        <v/>
      </c>
      <c r="AQ639" s="169" t="str">
        <f t="shared" si="236"/>
        <v/>
      </c>
      <c r="AR639" s="170" t="str">
        <f t="shared" si="237"/>
        <v>BiK83a2-----04</v>
      </c>
      <c r="AS639" s="169" t="str">
        <f t="shared" si="238"/>
        <v/>
      </c>
      <c r="AT639">
        <f t="shared" si="239"/>
        <v>14</v>
      </c>
      <c r="AU639" s="170" t="str">
        <f t="shared" si="240"/>
        <v>0,5-5 MW, Bonusregel a2</v>
      </c>
      <c r="AV639" s="169" t="str">
        <f t="shared" si="241"/>
        <v/>
      </c>
      <c r="AW639" s="170" t="str">
        <f t="shared" si="242"/>
        <v>Anteil Nicht-KWK</v>
      </c>
      <c r="AX639" s="169" t="str">
        <f t="shared" si="243"/>
        <v/>
      </c>
      <c r="AY639" t="str">
        <f t="shared" si="244"/>
        <v/>
      </c>
      <c r="AZ639" t="str">
        <f t="shared" si="245"/>
        <v/>
      </c>
    </row>
    <row r="640" spans="1:52" s="145" customFormat="1" x14ac:dyDescent="0.35">
      <c r="A640" s="496" t="s">
        <v>4494</v>
      </c>
      <c r="B640" s="1" t="s">
        <v>5547</v>
      </c>
      <c r="C640" s="1" t="s">
        <v>4808</v>
      </c>
      <c r="D640" s="1" t="s">
        <v>6770</v>
      </c>
      <c r="E640" s="1" t="s">
        <v>4811</v>
      </c>
      <c r="F640" s="375">
        <f t="shared" si="251"/>
        <v>14.9</v>
      </c>
      <c r="G640" s="432">
        <v>14.9</v>
      </c>
      <c r="H640" s="401">
        <f t="shared" si="252"/>
        <v>11.92</v>
      </c>
      <c r="I640" s="578"/>
      <c r="J640" s="549" t="s">
        <v>5804</v>
      </c>
      <c r="K640" s="11"/>
      <c r="L640"/>
      <c r="M640" s="37">
        <f t="shared" si="253"/>
        <v>14.9</v>
      </c>
      <c r="N640" s="29">
        <v>8.9</v>
      </c>
      <c r="O640" s="41" t="s">
        <v>1017</v>
      </c>
      <c r="P640" s="59"/>
      <c r="Q640"/>
      <c r="R640"/>
      <c r="S640" t="s">
        <v>4179</v>
      </c>
      <c r="T640" s="145" t="s">
        <v>4179</v>
      </c>
      <c r="U640" s="60"/>
      <c r="V640" s="50"/>
      <c r="W640" t="s">
        <v>1017</v>
      </c>
      <c r="X640"/>
      <c r="Y640" s="50"/>
      <c r="Z640" s="50"/>
      <c r="AA640" s="50"/>
      <c r="AB640" s="50"/>
      <c r="AC640" s="50"/>
      <c r="AD640" s="50"/>
      <c r="AE640" s="75"/>
      <c r="AF640" s="50"/>
      <c r="AG640" s="50"/>
      <c r="AH640" s="166" t="str">
        <f>IF(ISERROR(SEARCH("K erstmals 201",D640)),"",RIGHT(D640,4))</f>
        <v/>
      </c>
      <c r="AI640" s="168" t="str">
        <f t="shared" si="246"/>
        <v/>
      </c>
      <c r="AJ640" s="168" t="str">
        <f t="shared" si="247"/>
        <v/>
      </c>
      <c r="AK640" s="168" t="str">
        <f t="shared" si="248"/>
        <v/>
      </c>
      <c r="AL640" s="168" t="str">
        <f t="shared" si="249"/>
        <v/>
      </c>
      <c r="AM640" s="168" t="str">
        <f t="shared" si="250"/>
        <v/>
      </c>
      <c r="AN640" s="167" t="str">
        <f t="shared" si="233"/>
        <v/>
      </c>
      <c r="AO640" s="167" t="str">
        <f t="shared" si="234"/>
        <v/>
      </c>
      <c r="AP640" s="167" t="str">
        <f t="shared" si="235"/>
        <v/>
      </c>
      <c r="AQ640" s="169" t="str">
        <f t="shared" si="236"/>
        <v/>
      </c>
      <c r="AR640" s="170" t="str">
        <f t="shared" si="237"/>
        <v>BiK83a2KWK--04</v>
      </c>
      <c r="AS640" s="169" t="str">
        <f t="shared" si="238"/>
        <v/>
      </c>
      <c r="AT640">
        <f t="shared" si="239"/>
        <v>14</v>
      </c>
      <c r="AU640" s="170" t="str">
        <f t="shared" si="240"/>
        <v>0,5-5 MW, Bonusregel a2 und KWK</v>
      </c>
      <c r="AV640" s="169" t="str">
        <f t="shared" si="241"/>
        <v/>
      </c>
      <c r="AW640" s="170" t="str">
        <f t="shared" si="242"/>
        <v>Anteil KWK</v>
      </c>
      <c r="AX640" s="169" t="str">
        <f t="shared" si="243"/>
        <v/>
      </c>
      <c r="AY640" t="str">
        <f t="shared" si="244"/>
        <v/>
      </c>
      <c r="AZ640" t="str">
        <f t="shared" si="245"/>
        <v/>
      </c>
    </row>
    <row r="641" spans="1:52" s="145" customFormat="1" x14ac:dyDescent="0.35">
      <c r="A641" s="497" t="s">
        <v>2595</v>
      </c>
      <c r="B641" s="13" t="s">
        <v>5547</v>
      </c>
      <c r="C641" s="13" t="s">
        <v>4808</v>
      </c>
      <c r="D641" s="13" t="s">
        <v>6771</v>
      </c>
      <c r="E641" s="13" t="s">
        <v>674</v>
      </c>
      <c r="F641" s="373">
        <f t="shared" si="251"/>
        <v>15.9</v>
      </c>
      <c r="G641" s="430">
        <v>15.9</v>
      </c>
      <c r="H641" s="399">
        <f t="shared" si="252"/>
        <v>12.72</v>
      </c>
      <c r="I641" s="576"/>
      <c r="J641" s="549" t="s">
        <v>5804</v>
      </c>
      <c r="K641" s="11"/>
      <c r="L641"/>
      <c r="M641" s="37">
        <f t="shared" si="253"/>
        <v>15.9</v>
      </c>
      <c r="N641" s="29">
        <v>8.9</v>
      </c>
      <c r="O641" s="41"/>
      <c r="P641" s="59"/>
      <c r="Q641" t="s">
        <v>1017</v>
      </c>
      <c r="R641"/>
      <c r="S641" t="s">
        <v>4179</v>
      </c>
      <c r="T641" s="145" t="s">
        <v>4179</v>
      </c>
      <c r="U641" s="60"/>
      <c r="V641" s="50"/>
      <c r="W641" t="s">
        <v>1017</v>
      </c>
      <c r="X641"/>
      <c r="Y641" s="50"/>
      <c r="Z641" s="50"/>
      <c r="AA641" s="50"/>
      <c r="AB641" s="50"/>
      <c r="AC641" s="50"/>
      <c r="AD641" s="50"/>
      <c r="AE641" s="75"/>
      <c r="AF641" s="50"/>
      <c r="AG641" s="50"/>
      <c r="AH641" s="166" t="str">
        <f>IF(ISERROR(SEARCH("K erstmals 201",D641)),"",RIGHT(D641,4))</f>
        <v/>
      </c>
      <c r="AI641" s="168" t="str">
        <f t="shared" si="246"/>
        <v/>
      </c>
      <c r="AJ641" s="168" t="str">
        <f t="shared" si="247"/>
        <v/>
      </c>
      <c r="AK641" s="168" t="str">
        <f t="shared" si="248"/>
        <v/>
      </c>
      <c r="AL641" s="168" t="str">
        <f t="shared" si="249"/>
        <v/>
      </c>
      <c r="AM641" s="168" t="str">
        <f t="shared" si="250"/>
        <v/>
      </c>
      <c r="AN641" s="167" t="str">
        <f t="shared" si="233"/>
        <v/>
      </c>
      <c r="AO641" s="167" t="str">
        <f t="shared" si="234"/>
        <v/>
      </c>
      <c r="AP641" s="167" t="str">
        <f t="shared" si="235"/>
        <v/>
      </c>
      <c r="AQ641" s="169" t="str">
        <f t="shared" si="236"/>
        <v/>
      </c>
      <c r="AR641" s="170" t="str">
        <f t="shared" si="237"/>
        <v>BiK83a2K09--04</v>
      </c>
      <c r="AS641" s="169" t="str">
        <f t="shared" si="238"/>
        <v/>
      </c>
      <c r="AT641">
        <f t="shared" si="239"/>
        <v>14</v>
      </c>
      <c r="AU641" s="170" t="str">
        <f t="shared" si="240"/>
        <v>0,5-5 MW, Bonusregeln a2 und K erstmals 2009</v>
      </c>
      <c r="AV641" s="169" t="str">
        <f t="shared" si="241"/>
        <v/>
      </c>
      <c r="AW641" s="170" t="str">
        <f t="shared" si="242"/>
        <v>Anteil KWK, erstmals 2009</v>
      </c>
      <c r="AX641" s="169" t="str">
        <f t="shared" si="243"/>
        <v/>
      </c>
      <c r="AY641" t="str">
        <f t="shared" si="244"/>
        <v/>
      </c>
      <c r="AZ641" t="str">
        <f t="shared" si="245"/>
        <v/>
      </c>
    </row>
    <row r="642" spans="1:52" s="145" customFormat="1" x14ac:dyDescent="0.35">
      <c r="A642" s="497" t="s">
        <v>4038</v>
      </c>
      <c r="B642" s="13" t="s">
        <v>5547</v>
      </c>
      <c r="C642" s="13" t="s">
        <v>4808</v>
      </c>
      <c r="D642" s="13" t="s">
        <v>6772</v>
      </c>
      <c r="E642" s="13" t="s">
        <v>3566</v>
      </c>
      <c r="F642" s="373">
        <f t="shared" si="251"/>
        <v>15.870000000000001</v>
      </c>
      <c r="G642" s="430">
        <v>15.870000000000001</v>
      </c>
      <c r="H642" s="399">
        <f t="shared" si="252"/>
        <v>12.7</v>
      </c>
      <c r="I642" s="576"/>
      <c r="J642" s="549" t="s">
        <v>5804</v>
      </c>
      <c r="K642" s="11"/>
      <c r="L642"/>
      <c r="M642" s="37">
        <f t="shared" si="253"/>
        <v>15.870000000000001</v>
      </c>
      <c r="N642" s="29">
        <v>8.9</v>
      </c>
      <c r="O642" s="41"/>
      <c r="P642" s="59"/>
      <c r="Q642"/>
      <c r="R642" t="s">
        <v>1017</v>
      </c>
      <c r="S642" t="s">
        <v>4179</v>
      </c>
      <c r="T642" s="145" t="s">
        <v>4179</v>
      </c>
      <c r="U642" s="60"/>
      <c r="V642" s="50"/>
      <c r="W642" t="s">
        <v>1017</v>
      </c>
      <c r="X642"/>
      <c r="Y642" s="50"/>
      <c r="Z642" s="50"/>
      <c r="AA642" s="50"/>
      <c r="AB642" s="50"/>
      <c r="AC642" s="50"/>
      <c r="AD642" s="50"/>
      <c r="AE642" s="75"/>
      <c r="AF642" s="50"/>
      <c r="AG642" s="50"/>
      <c r="AH642" s="166" t="str">
        <f>IF(ISERROR(SEARCH("K erstmals 201",D642)),"",RIGHT(D642,4))</f>
        <v>2010</v>
      </c>
      <c r="AI642" s="168" t="str">
        <f t="shared" si="246"/>
        <v/>
      </c>
      <c r="AJ642" s="168" t="str">
        <f t="shared" si="247"/>
        <v/>
      </c>
      <c r="AK642" s="168" t="str">
        <f t="shared" si="248"/>
        <v/>
      </c>
      <c r="AL642" s="168" t="str">
        <f t="shared" si="249"/>
        <v/>
      </c>
      <c r="AM642" s="168" t="str">
        <f t="shared" si="250"/>
        <v/>
      </c>
      <c r="AN642" s="167" t="str">
        <f t="shared" si="233"/>
        <v>2010</v>
      </c>
      <c r="AO642" s="167" t="str">
        <f t="shared" si="234"/>
        <v>2010</v>
      </c>
      <c r="AP642" s="167" t="str">
        <f t="shared" si="235"/>
        <v>2010</v>
      </c>
      <c r="AQ642" s="169" t="str">
        <f t="shared" si="236"/>
        <v/>
      </c>
      <c r="AR642" s="170" t="str">
        <f t="shared" si="237"/>
        <v>BiK83a2K10--04</v>
      </c>
      <c r="AS642" s="169" t="str">
        <f t="shared" si="238"/>
        <v/>
      </c>
      <c r="AT642">
        <f t="shared" si="239"/>
        <v>14</v>
      </c>
      <c r="AU642" s="170" t="str">
        <f t="shared" si="240"/>
        <v>0,5-5 MW, Bonusregeln a2 und K erstmals 2010</v>
      </c>
      <c r="AV642" s="169" t="str">
        <f t="shared" si="241"/>
        <v/>
      </c>
      <c r="AW642" s="170" t="str">
        <f t="shared" si="242"/>
        <v>Anteil KWK, erstmals 2010</v>
      </c>
      <c r="AX642" s="169" t="str">
        <f t="shared" si="243"/>
        <v/>
      </c>
      <c r="AY642" t="str">
        <f t="shared" si="244"/>
        <v/>
      </c>
      <c r="AZ642" t="str">
        <f t="shared" si="245"/>
        <v/>
      </c>
    </row>
    <row r="643" spans="1:52" s="145" customFormat="1" x14ac:dyDescent="0.35">
      <c r="A643" s="497" t="s">
        <v>5291</v>
      </c>
      <c r="B643" s="13" t="s">
        <v>5547</v>
      </c>
      <c r="C643" s="13" t="s">
        <v>4808</v>
      </c>
      <c r="D643" s="13" t="s">
        <v>6773</v>
      </c>
      <c r="E643" s="13" t="s">
        <v>3054</v>
      </c>
      <c r="F643" s="373">
        <f t="shared" si="251"/>
        <v>15.84</v>
      </c>
      <c r="G643" s="430">
        <v>15.84</v>
      </c>
      <c r="H643" s="399">
        <f t="shared" si="252"/>
        <v>12.67</v>
      </c>
      <c r="I643" s="576"/>
      <c r="J643" s="549" t="s">
        <v>5804</v>
      </c>
      <c r="K643" s="11"/>
      <c r="L643"/>
      <c r="M643" s="37">
        <f t="shared" si="253"/>
        <v>15.84</v>
      </c>
      <c r="N643" s="29">
        <v>8.9</v>
      </c>
      <c r="O643" s="41"/>
      <c r="P643" s="59"/>
      <c r="Q643"/>
      <c r="R643"/>
      <c r="S643" t="s">
        <v>1017</v>
      </c>
      <c r="T643" s="145" t="s">
        <v>4179</v>
      </c>
      <c r="U643" s="60"/>
      <c r="V643" s="50"/>
      <c r="W643" t="s">
        <v>1017</v>
      </c>
      <c r="X643"/>
      <c r="Y643" s="50"/>
      <c r="Z643" s="50"/>
      <c r="AA643" s="50"/>
      <c r="AB643" s="50"/>
      <c r="AC643" s="50"/>
      <c r="AD643" s="50"/>
      <c r="AE643" s="75"/>
      <c r="AF643" s="50"/>
      <c r="AG643" s="50"/>
      <c r="AH643" s="166" t="str">
        <f>IF(ISERROR(SEARCH("K erstmals 201",D643)),"",RIGHT(D643,4))</f>
        <v>2011</v>
      </c>
      <c r="AI643" s="168" t="str">
        <f t="shared" si="246"/>
        <v/>
      </c>
      <c r="AJ643" s="168" t="str">
        <f t="shared" si="247"/>
        <v/>
      </c>
      <c r="AK643" s="168" t="str">
        <f t="shared" si="248"/>
        <v/>
      </c>
      <c r="AL643" s="168" t="str">
        <f t="shared" si="249"/>
        <v/>
      </c>
      <c r="AM643" s="168" t="str">
        <f t="shared" si="250"/>
        <v/>
      </c>
      <c r="AN643" s="167" t="str">
        <f t="shared" si="233"/>
        <v>2011</v>
      </c>
      <c r="AO643" s="167" t="str">
        <f t="shared" si="234"/>
        <v>2011</v>
      </c>
      <c r="AP643" s="167" t="str">
        <f t="shared" si="235"/>
        <v>2011</v>
      </c>
      <c r="AQ643" s="169" t="str">
        <f t="shared" si="236"/>
        <v/>
      </c>
      <c r="AR643" s="170" t="str">
        <f t="shared" si="237"/>
        <v>BiK83a2K11--04</v>
      </c>
      <c r="AS643" s="169" t="str">
        <f t="shared" si="238"/>
        <v/>
      </c>
      <c r="AT643">
        <f t="shared" si="239"/>
        <v>14</v>
      </c>
      <c r="AU643" s="170" t="str">
        <f t="shared" si="240"/>
        <v>0,5-5 MW, Bonusregeln a2 und K erstmals 2011</v>
      </c>
      <c r="AV643" s="169" t="str">
        <f t="shared" si="241"/>
        <v/>
      </c>
      <c r="AW643" s="170" t="str">
        <f t="shared" si="242"/>
        <v>Anteil KWK, erstmals 2011</v>
      </c>
      <c r="AX643" s="169" t="str">
        <f t="shared" si="243"/>
        <v/>
      </c>
      <c r="AY643" t="str">
        <f t="shared" si="244"/>
        <v>x</v>
      </c>
      <c r="AZ643" t="str">
        <f t="shared" si="245"/>
        <v/>
      </c>
    </row>
    <row r="644" spans="1:52" s="145" customFormat="1" x14ac:dyDescent="0.35">
      <c r="A644" s="511" t="s">
        <v>1542</v>
      </c>
      <c r="B644" s="173" t="s">
        <v>5547</v>
      </c>
      <c r="C644" s="173" t="s">
        <v>4808</v>
      </c>
      <c r="D644" s="173" t="s">
        <v>6774</v>
      </c>
      <c r="E644" s="173" t="s">
        <v>1980</v>
      </c>
      <c r="F644" s="374">
        <f t="shared" si="251"/>
        <v>15.81</v>
      </c>
      <c r="G644" s="431">
        <v>15.81</v>
      </c>
      <c r="H644" s="400">
        <f t="shared" si="252"/>
        <v>12.65</v>
      </c>
      <c r="I644" s="577"/>
      <c r="J644" s="549" t="s">
        <v>5804</v>
      </c>
      <c r="K644" s="11"/>
      <c r="L644"/>
      <c r="M644" s="37">
        <f t="shared" si="253"/>
        <v>15.81</v>
      </c>
      <c r="N644" s="29">
        <v>8.9</v>
      </c>
      <c r="O644" s="41"/>
      <c r="P644" s="59"/>
      <c r="Q644"/>
      <c r="R644"/>
      <c r="S644" t="s">
        <v>4179</v>
      </c>
      <c r="T644" s="145" t="s">
        <v>1017</v>
      </c>
      <c r="U644" s="60"/>
      <c r="V644" s="50"/>
      <c r="W644" t="s">
        <v>1017</v>
      </c>
      <c r="X644"/>
      <c r="Y644" s="50"/>
      <c r="Z644" s="50"/>
      <c r="AA644" s="50"/>
      <c r="AB644" s="50"/>
      <c r="AC644" s="50"/>
      <c r="AD644" s="50"/>
      <c r="AE644" s="75"/>
      <c r="AF644" s="50"/>
      <c r="AG644" s="50"/>
      <c r="AH644" s="171" t="s">
        <v>4178</v>
      </c>
      <c r="AI644" s="168" t="str">
        <f t="shared" si="246"/>
        <v/>
      </c>
      <c r="AJ644" s="168" t="str">
        <f t="shared" si="247"/>
        <v/>
      </c>
      <c r="AK644" s="168" t="str">
        <f t="shared" si="248"/>
        <v/>
      </c>
      <c r="AL644" s="168" t="str">
        <f t="shared" si="249"/>
        <v/>
      </c>
      <c r="AM644" s="168" t="str">
        <f t="shared" si="250"/>
        <v/>
      </c>
      <c r="AN644" s="167" t="str">
        <f t="shared" si="233"/>
        <v>2012</v>
      </c>
      <c r="AO644" s="167" t="str">
        <f t="shared" si="234"/>
        <v>2012</v>
      </c>
      <c r="AP644" s="167" t="str">
        <f t="shared" si="235"/>
        <v>2012</v>
      </c>
      <c r="AQ644" s="169" t="str">
        <f t="shared" si="236"/>
        <v/>
      </c>
      <c r="AR644" s="170" t="str">
        <f t="shared" si="237"/>
        <v>BiK83a2K12--04</v>
      </c>
      <c r="AS644" s="169" t="str">
        <f t="shared" si="238"/>
        <v/>
      </c>
      <c r="AT644">
        <f t="shared" si="239"/>
        <v>14</v>
      </c>
      <c r="AU644" s="170" t="str">
        <f t="shared" si="240"/>
        <v>0,5-5 MW, Bonusregeln a2 und K erstmals 2012</v>
      </c>
      <c r="AV644" s="169" t="str">
        <f t="shared" si="241"/>
        <v/>
      </c>
      <c r="AW644" s="170" t="str">
        <f t="shared" si="242"/>
        <v>Anteil KWK, erstmals 2012</v>
      </c>
      <c r="AX644" s="169" t="str">
        <f t="shared" si="243"/>
        <v/>
      </c>
      <c r="AY644" t="str">
        <f t="shared" si="244"/>
        <v/>
      </c>
      <c r="AZ644" t="str">
        <f t="shared" si="245"/>
        <v>x</v>
      </c>
    </row>
    <row r="645" spans="1:52" s="145" customFormat="1" x14ac:dyDescent="0.35">
      <c r="A645" s="496" t="s">
        <v>4495</v>
      </c>
      <c r="B645" s="1" t="s">
        <v>5547</v>
      </c>
      <c r="C645" s="1" t="s">
        <v>4808</v>
      </c>
      <c r="D645" s="1" t="s">
        <v>6757</v>
      </c>
      <c r="E645" s="1" t="s">
        <v>4809</v>
      </c>
      <c r="F645" s="375">
        <f t="shared" si="251"/>
        <v>11.4</v>
      </c>
      <c r="G645" s="432">
        <v>11.4</v>
      </c>
      <c r="H645" s="401">
        <f t="shared" si="252"/>
        <v>9.1199999999999992</v>
      </c>
      <c r="I645" s="578"/>
      <c r="J645" s="549" t="s">
        <v>5804</v>
      </c>
      <c r="K645" s="11"/>
      <c r="L645"/>
      <c r="M645" s="37">
        <f t="shared" si="253"/>
        <v>11.4</v>
      </c>
      <c r="N645" s="29">
        <v>8.9</v>
      </c>
      <c r="O645" s="41"/>
      <c r="P645" s="59"/>
      <c r="Q645"/>
      <c r="R645"/>
      <c r="S645" t="s">
        <v>4179</v>
      </c>
      <c r="T645" s="145" t="s">
        <v>4179</v>
      </c>
      <c r="U645" s="60"/>
      <c r="V645" s="50"/>
      <c r="W645"/>
      <c r="X645" t="s">
        <v>1017</v>
      </c>
      <c r="Y645" s="50"/>
      <c r="Z645" s="50"/>
      <c r="AA645" s="50"/>
      <c r="AB645" s="50"/>
      <c r="AC645" s="50"/>
      <c r="AD645" s="50"/>
      <c r="AE645" s="75"/>
      <c r="AF645" s="50"/>
      <c r="AG645" s="50"/>
      <c r="AH645" s="166" t="str">
        <f>IF(ISERROR(SEARCH("K erstmals 201",D645)),"",RIGHT(D645,4))</f>
        <v/>
      </c>
      <c r="AI645" s="168" t="str">
        <f t="shared" si="246"/>
        <v/>
      </c>
      <c r="AJ645" s="168" t="str">
        <f t="shared" si="247"/>
        <v/>
      </c>
      <c r="AK645" s="168" t="str">
        <f t="shared" si="248"/>
        <v/>
      </c>
      <c r="AL645" s="168" t="str">
        <f t="shared" si="249"/>
        <v/>
      </c>
      <c r="AM645" s="168" t="str">
        <f t="shared" si="250"/>
        <v/>
      </c>
      <c r="AN645" s="167" t="str">
        <f t="shared" si="233"/>
        <v/>
      </c>
      <c r="AO645" s="167" t="str">
        <f t="shared" si="234"/>
        <v/>
      </c>
      <c r="AP645" s="167" t="str">
        <f t="shared" si="235"/>
        <v/>
      </c>
      <c r="AQ645" s="169" t="str">
        <f t="shared" si="236"/>
        <v/>
      </c>
      <c r="AR645" s="170" t="str">
        <f t="shared" si="237"/>
        <v>BiK83a3-----04</v>
      </c>
      <c r="AS645" s="169" t="str">
        <f t="shared" si="238"/>
        <v/>
      </c>
      <c r="AT645">
        <f t="shared" si="239"/>
        <v>14</v>
      </c>
      <c r="AU645" s="170" t="str">
        <f t="shared" si="240"/>
        <v>0,5-5 MW, Bonusregel a3</v>
      </c>
      <c r="AV645" s="169" t="str">
        <f t="shared" si="241"/>
        <v/>
      </c>
      <c r="AW645" s="170" t="str">
        <f t="shared" si="242"/>
        <v>Anteil Nicht-KWK</v>
      </c>
      <c r="AX645" s="169" t="str">
        <f t="shared" si="243"/>
        <v/>
      </c>
      <c r="AY645" t="str">
        <f t="shared" si="244"/>
        <v/>
      </c>
      <c r="AZ645" t="str">
        <f t="shared" si="245"/>
        <v/>
      </c>
    </row>
    <row r="646" spans="1:52" s="145" customFormat="1" x14ac:dyDescent="0.35">
      <c r="A646" s="496" t="s">
        <v>4496</v>
      </c>
      <c r="B646" s="1" t="s">
        <v>5547</v>
      </c>
      <c r="C646" s="1" t="s">
        <v>4808</v>
      </c>
      <c r="D646" s="1" t="s">
        <v>6775</v>
      </c>
      <c r="E646" s="1" t="s">
        <v>4811</v>
      </c>
      <c r="F646" s="375">
        <f t="shared" si="251"/>
        <v>13.4</v>
      </c>
      <c r="G646" s="432">
        <v>13.4</v>
      </c>
      <c r="H646" s="401">
        <f t="shared" si="252"/>
        <v>10.72</v>
      </c>
      <c r="I646" s="578"/>
      <c r="J646" s="549" t="s">
        <v>5804</v>
      </c>
      <c r="K646" s="11"/>
      <c r="L646"/>
      <c r="M646" s="37">
        <f t="shared" si="253"/>
        <v>13.4</v>
      </c>
      <c r="N646" s="29">
        <v>8.9</v>
      </c>
      <c r="O646" s="41" t="s">
        <v>1017</v>
      </c>
      <c r="P646" s="59"/>
      <c r="Q646"/>
      <c r="R646"/>
      <c r="S646" t="s">
        <v>4179</v>
      </c>
      <c r="T646" s="145" t="s">
        <v>4179</v>
      </c>
      <c r="U646" s="60"/>
      <c r="V646" s="50"/>
      <c r="W646"/>
      <c r="X646" t="s">
        <v>1017</v>
      </c>
      <c r="Y646" s="50"/>
      <c r="Z646" s="50"/>
      <c r="AA646" s="50"/>
      <c r="AB646" s="50"/>
      <c r="AC646" s="50"/>
      <c r="AD646" s="50"/>
      <c r="AE646" s="75"/>
      <c r="AF646" s="50"/>
      <c r="AG646" s="50"/>
      <c r="AH646" s="166" t="str">
        <f>IF(ISERROR(SEARCH("K erstmals 201",D646)),"",RIGHT(D646,4))</f>
        <v/>
      </c>
      <c r="AI646" s="168" t="str">
        <f t="shared" si="246"/>
        <v/>
      </c>
      <c r="AJ646" s="168" t="str">
        <f t="shared" si="247"/>
        <v/>
      </c>
      <c r="AK646" s="168" t="str">
        <f t="shared" si="248"/>
        <v/>
      </c>
      <c r="AL646" s="168" t="str">
        <f t="shared" si="249"/>
        <v/>
      </c>
      <c r="AM646" s="168" t="str">
        <f t="shared" si="250"/>
        <v/>
      </c>
      <c r="AN646" s="167" t="str">
        <f t="shared" si="233"/>
        <v/>
      </c>
      <c r="AO646" s="167" t="str">
        <f t="shared" si="234"/>
        <v/>
      </c>
      <c r="AP646" s="167" t="str">
        <f t="shared" si="235"/>
        <v/>
      </c>
      <c r="AQ646" s="169" t="str">
        <f t="shared" si="236"/>
        <v/>
      </c>
      <c r="AR646" s="170" t="str">
        <f t="shared" si="237"/>
        <v>BiK83a3KWK--04</v>
      </c>
      <c r="AS646" s="169" t="str">
        <f t="shared" si="238"/>
        <v/>
      </c>
      <c r="AT646">
        <f t="shared" si="239"/>
        <v>14</v>
      </c>
      <c r="AU646" s="170" t="str">
        <f t="shared" si="240"/>
        <v>0,5-5 MW, Bonusregel a3 und KWK</v>
      </c>
      <c r="AV646" s="169" t="str">
        <f t="shared" si="241"/>
        <v/>
      </c>
      <c r="AW646" s="170" t="str">
        <f t="shared" si="242"/>
        <v>Anteil KWK</v>
      </c>
      <c r="AX646" s="169" t="str">
        <f t="shared" si="243"/>
        <v/>
      </c>
      <c r="AY646" t="str">
        <f t="shared" si="244"/>
        <v/>
      </c>
      <c r="AZ646" t="str">
        <f t="shared" si="245"/>
        <v/>
      </c>
    </row>
    <row r="647" spans="1:52" s="145" customFormat="1" x14ac:dyDescent="0.35">
      <c r="A647" s="497" t="s">
        <v>4094</v>
      </c>
      <c r="B647" s="13" t="s">
        <v>5547</v>
      </c>
      <c r="C647" s="13" t="s">
        <v>4808</v>
      </c>
      <c r="D647" s="13" t="s">
        <v>6776</v>
      </c>
      <c r="E647" s="13" t="s">
        <v>674</v>
      </c>
      <c r="F647" s="373">
        <f t="shared" si="251"/>
        <v>14.4</v>
      </c>
      <c r="G647" s="430">
        <v>14.4</v>
      </c>
      <c r="H647" s="399">
        <f t="shared" si="252"/>
        <v>11.52</v>
      </c>
      <c r="I647" s="576"/>
      <c r="J647" s="549" t="s">
        <v>5804</v>
      </c>
      <c r="K647" s="11"/>
      <c r="L647"/>
      <c r="M647" s="37">
        <f t="shared" si="253"/>
        <v>14.4</v>
      </c>
      <c r="N647" s="29">
        <v>8.9</v>
      </c>
      <c r="O647" s="41"/>
      <c r="P647" s="59"/>
      <c r="Q647" t="s">
        <v>1017</v>
      </c>
      <c r="R647"/>
      <c r="S647" t="s">
        <v>4179</v>
      </c>
      <c r="T647" s="145" t="s">
        <v>4179</v>
      </c>
      <c r="U647" s="60"/>
      <c r="V647" s="50"/>
      <c r="W647"/>
      <c r="X647" t="s">
        <v>1017</v>
      </c>
      <c r="Y647" s="50"/>
      <c r="Z647" s="50"/>
      <c r="AA647" s="50"/>
      <c r="AB647" s="50"/>
      <c r="AC647" s="50"/>
      <c r="AD647" s="50"/>
      <c r="AE647" s="75"/>
      <c r="AF647" s="50"/>
      <c r="AG647" s="50"/>
      <c r="AH647" s="166" t="str">
        <f>IF(ISERROR(SEARCH("K erstmals 201",D647)),"",RIGHT(D647,4))</f>
        <v/>
      </c>
      <c r="AI647" s="168" t="str">
        <f t="shared" si="246"/>
        <v/>
      </c>
      <c r="AJ647" s="168" t="str">
        <f t="shared" si="247"/>
        <v/>
      </c>
      <c r="AK647" s="168" t="str">
        <f t="shared" si="248"/>
        <v/>
      </c>
      <c r="AL647" s="168" t="str">
        <f t="shared" si="249"/>
        <v/>
      </c>
      <c r="AM647" s="168" t="str">
        <f t="shared" si="250"/>
        <v/>
      </c>
      <c r="AN647" s="167" t="str">
        <f t="shared" si="233"/>
        <v/>
      </c>
      <c r="AO647" s="167" t="str">
        <f t="shared" si="234"/>
        <v/>
      </c>
      <c r="AP647" s="167" t="str">
        <f t="shared" si="235"/>
        <v/>
      </c>
      <c r="AQ647" s="169" t="str">
        <f t="shared" si="236"/>
        <v/>
      </c>
      <c r="AR647" s="170" t="str">
        <f t="shared" si="237"/>
        <v>BiK83a3K09--04</v>
      </c>
      <c r="AS647" s="169" t="str">
        <f t="shared" si="238"/>
        <v/>
      </c>
      <c r="AT647">
        <f t="shared" si="239"/>
        <v>14</v>
      </c>
      <c r="AU647" s="170" t="str">
        <f t="shared" si="240"/>
        <v>0,5-5 MW, Bonusregeln a3 und K erstmals 2009</v>
      </c>
      <c r="AV647" s="169" t="str">
        <f t="shared" si="241"/>
        <v/>
      </c>
      <c r="AW647" s="170" t="str">
        <f t="shared" si="242"/>
        <v>Anteil KWK, erstmals 2009</v>
      </c>
      <c r="AX647" s="169" t="str">
        <f t="shared" si="243"/>
        <v/>
      </c>
      <c r="AY647" t="str">
        <f t="shared" si="244"/>
        <v/>
      </c>
      <c r="AZ647" t="str">
        <f t="shared" si="245"/>
        <v/>
      </c>
    </row>
    <row r="648" spans="1:52" s="145" customFormat="1" x14ac:dyDescent="0.35">
      <c r="A648" s="497" t="s">
        <v>4039</v>
      </c>
      <c r="B648" s="13" t="s">
        <v>5547</v>
      </c>
      <c r="C648" s="13" t="s">
        <v>4808</v>
      </c>
      <c r="D648" s="13" t="s">
        <v>6777</v>
      </c>
      <c r="E648" s="13" t="s">
        <v>3566</v>
      </c>
      <c r="F648" s="373">
        <f t="shared" si="251"/>
        <v>14.370000000000001</v>
      </c>
      <c r="G648" s="430">
        <v>14.370000000000001</v>
      </c>
      <c r="H648" s="399">
        <f t="shared" si="252"/>
        <v>11.5</v>
      </c>
      <c r="I648" s="576"/>
      <c r="J648" s="549" t="s">
        <v>5804</v>
      </c>
      <c r="K648" s="11"/>
      <c r="L648"/>
      <c r="M648" s="37">
        <f t="shared" si="253"/>
        <v>14.370000000000001</v>
      </c>
      <c r="N648" s="29">
        <v>8.9</v>
      </c>
      <c r="O648" s="41"/>
      <c r="P648" s="59"/>
      <c r="Q648"/>
      <c r="R648" t="s">
        <v>1017</v>
      </c>
      <c r="S648" t="s">
        <v>4179</v>
      </c>
      <c r="T648" s="145" t="s">
        <v>4179</v>
      </c>
      <c r="U648" s="60"/>
      <c r="V648" s="50"/>
      <c r="W648"/>
      <c r="X648" t="s">
        <v>1017</v>
      </c>
      <c r="Y648" s="50"/>
      <c r="Z648" s="50"/>
      <c r="AA648" s="50"/>
      <c r="AB648" s="50"/>
      <c r="AC648" s="50"/>
      <c r="AD648" s="50"/>
      <c r="AE648" s="75"/>
      <c r="AF648" s="50"/>
      <c r="AG648" s="50"/>
      <c r="AH648" s="166" t="str">
        <f>IF(ISERROR(SEARCH("K erstmals 201",D648)),"",RIGHT(D648,4))</f>
        <v>2010</v>
      </c>
      <c r="AI648" s="168" t="str">
        <f t="shared" si="246"/>
        <v/>
      </c>
      <c r="AJ648" s="168" t="str">
        <f t="shared" si="247"/>
        <v/>
      </c>
      <c r="AK648" s="168" t="str">
        <f t="shared" si="248"/>
        <v/>
      </c>
      <c r="AL648" s="168" t="str">
        <f t="shared" si="249"/>
        <v/>
      </c>
      <c r="AM648" s="168" t="str">
        <f t="shared" si="250"/>
        <v/>
      </c>
      <c r="AN648" s="167" t="str">
        <f t="shared" si="233"/>
        <v>2010</v>
      </c>
      <c r="AO648" s="167" t="str">
        <f t="shared" si="234"/>
        <v>2010</v>
      </c>
      <c r="AP648" s="167" t="str">
        <f t="shared" si="235"/>
        <v>2010</v>
      </c>
      <c r="AQ648" s="169" t="str">
        <f t="shared" si="236"/>
        <v/>
      </c>
      <c r="AR648" s="170" t="str">
        <f t="shared" si="237"/>
        <v>BiK83a3K10--04</v>
      </c>
      <c r="AS648" s="169" t="str">
        <f t="shared" si="238"/>
        <v/>
      </c>
      <c r="AT648">
        <f t="shared" si="239"/>
        <v>14</v>
      </c>
      <c r="AU648" s="170" t="str">
        <f t="shared" si="240"/>
        <v>0,5-5 MW, Bonusregeln a3 und K erstmals 2010</v>
      </c>
      <c r="AV648" s="169" t="str">
        <f t="shared" si="241"/>
        <v/>
      </c>
      <c r="AW648" s="170" t="str">
        <f t="shared" si="242"/>
        <v>Anteil KWK, erstmals 2010</v>
      </c>
      <c r="AX648" s="169" t="str">
        <f t="shared" si="243"/>
        <v/>
      </c>
      <c r="AY648" t="str">
        <f t="shared" si="244"/>
        <v/>
      </c>
      <c r="AZ648" t="str">
        <f t="shared" si="245"/>
        <v/>
      </c>
    </row>
    <row r="649" spans="1:52" s="145" customFormat="1" x14ac:dyDescent="0.35">
      <c r="A649" s="497" t="s">
        <v>5292</v>
      </c>
      <c r="B649" s="13" t="s">
        <v>5547</v>
      </c>
      <c r="C649" s="13" t="s">
        <v>4808</v>
      </c>
      <c r="D649" s="13" t="s">
        <v>6778</v>
      </c>
      <c r="E649" s="13" t="s">
        <v>3054</v>
      </c>
      <c r="F649" s="373">
        <f t="shared" si="251"/>
        <v>14.34</v>
      </c>
      <c r="G649" s="430">
        <v>14.34</v>
      </c>
      <c r="H649" s="399">
        <f t="shared" si="252"/>
        <v>11.47</v>
      </c>
      <c r="I649" s="576"/>
      <c r="J649" s="549" t="s">
        <v>5804</v>
      </c>
      <c r="K649" s="11"/>
      <c r="L649"/>
      <c r="M649" s="37">
        <f t="shared" si="253"/>
        <v>14.34</v>
      </c>
      <c r="N649" s="29">
        <v>8.9</v>
      </c>
      <c r="O649" s="41"/>
      <c r="P649" s="59"/>
      <c r="Q649"/>
      <c r="R649"/>
      <c r="S649" t="s">
        <v>1017</v>
      </c>
      <c r="T649" s="145" t="s">
        <v>4179</v>
      </c>
      <c r="U649" s="60"/>
      <c r="V649" s="50"/>
      <c r="W649"/>
      <c r="X649" t="s">
        <v>1017</v>
      </c>
      <c r="Y649" s="50"/>
      <c r="Z649" s="50"/>
      <c r="AA649" s="50"/>
      <c r="AB649" s="50"/>
      <c r="AC649" s="50"/>
      <c r="AD649" s="50"/>
      <c r="AE649" s="75"/>
      <c r="AF649" s="50"/>
      <c r="AG649" s="50"/>
      <c r="AH649" s="166" t="str">
        <f>IF(ISERROR(SEARCH("K erstmals 201",D649)),"",RIGHT(D649,4))</f>
        <v>2011</v>
      </c>
      <c r="AI649" s="168" t="str">
        <f t="shared" si="246"/>
        <v/>
      </c>
      <c r="AJ649" s="168" t="str">
        <f t="shared" si="247"/>
        <v/>
      </c>
      <c r="AK649" s="168" t="str">
        <f t="shared" si="248"/>
        <v/>
      </c>
      <c r="AL649" s="168" t="str">
        <f t="shared" si="249"/>
        <v/>
      </c>
      <c r="AM649" s="168" t="str">
        <f t="shared" si="250"/>
        <v/>
      </c>
      <c r="AN649" s="167" t="str">
        <f t="shared" si="233"/>
        <v>2011</v>
      </c>
      <c r="AO649" s="167" t="str">
        <f t="shared" si="234"/>
        <v>2011</v>
      </c>
      <c r="AP649" s="167" t="str">
        <f t="shared" si="235"/>
        <v>2011</v>
      </c>
      <c r="AQ649" s="169" t="str">
        <f t="shared" si="236"/>
        <v/>
      </c>
      <c r="AR649" s="170" t="str">
        <f t="shared" si="237"/>
        <v>BiK83a3K11--04</v>
      </c>
      <c r="AS649" s="169" t="str">
        <f t="shared" si="238"/>
        <v/>
      </c>
      <c r="AT649">
        <f t="shared" si="239"/>
        <v>14</v>
      </c>
      <c r="AU649" s="170" t="str">
        <f t="shared" si="240"/>
        <v>0,5-5 MW, Bonusregeln a3 und K erstmals 2011</v>
      </c>
      <c r="AV649" s="169" t="str">
        <f t="shared" si="241"/>
        <v/>
      </c>
      <c r="AW649" s="170" t="str">
        <f t="shared" si="242"/>
        <v>Anteil KWK, erstmals 2011</v>
      </c>
      <c r="AX649" s="169" t="str">
        <f t="shared" si="243"/>
        <v/>
      </c>
      <c r="AY649" t="str">
        <f t="shared" si="244"/>
        <v>x</v>
      </c>
      <c r="AZ649" t="str">
        <f t="shared" si="245"/>
        <v/>
      </c>
    </row>
    <row r="650" spans="1:52" s="145" customFormat="1" x14ac:dyDescent="0.35">
      <c r="A650" s="511" t="s">
        <v>1543</v>
      </c>
      <c r="B650" s="173" t="s">
        <v>5547</v>
      </c>
      <c r="C650" s="173" t="s">
        <v>4808</v>
      </c>
      <c r="D650" s="173" t="s">
        <v>6779</v>
      </c>
      <c r="E650" s="173" t="s">
        <v>1980</v>
      </c>
      <c r="F650" s="374">
        <f t="shared" si="251"/>
        <v>14.31</v>
      </c>
      <c r="G650" s="431">
        <v>14.31</v>
      </c>
      <c r="H650" s="400">
        <f t="shared" si="252"/>
        <v>11.45</v>
      </c>
      <c r="I650" s="577"/>
      <c r="J650" s="549" t="s">
        <v>5804</v>
      </c>
      <c r="K650" s="11"/>
      <c r="L650"/>
      <c r="M650" s="37">
        <f t="shared" si="253"/>
        <v>14.31</v>
      </c>
      <c r="N650" s="29">
        <v>8.9</v>
      </c>
      <c r="O650" s="41"/>
      <c r="P650" s="59"/>
      <c r="Q650"/>
      <c r="R650"/>
      <c r="S650" t="s">
        <v>4179</v>
      </c>
      <c r="T650" s="145" t="s">
        <v>1017</v>
      </c>
      <c r="U650" s="60"/>
      <c r="V650" s="50"/>
      <c r="W650"/>
      <c r="X650" t="s">
        <v>1017</v>
      </c>
      <c r="Y650" s="50"/>
      <c r="Z650" s="50"/>
      <c r="AA650" s="50"/>
      <c r="AB650" s="50"/>
      <c r="AC650" s="50"/>
      <c r="AD650" s="50"/>
      <c r="AE650" s="75"/>
      <c r="AF650" s="50"/>
      <c r="AG650" s="50"/>
      <c r="AH650" s="171" t="s">
        <v>4178</v>
      </c>
      <c r="AI650" s="168" t="str">
        <f t="shared" si="246"/>
        <v/>
      </c>
      <c r="AJ650" s="168" t="str">
        <f t="shared" si="247"/>
        <v/>
      </c>
      <c r="AK650" s="168" t="str">
        <f t="shared" si="248"/>
        <v/>
      </c>
      <c r="AL650" s="168" t="str">
        <f t="shared" si="249"/>
        <v/>
      </c>
      <c r="AM650" s="168" t="str">
        <f t="shared" si="250"/>
        <v/>
      </c>
      <c r="AN650" s="167" t="str">
        <f t="shared" si="233"/>
        <v>2012</v>
      </c>
      <c r="AO650" s="167" t="str">
        <f t="shared" si="234"/>
        <v>2012</v>
      </c>
      <c r="AP650" s="167" t="str">
        <f t="shared" si="235"/>
        <v>2012</v>
      </c>
      <c r="AQ650" s="169" t="str">
        <f t="shared" si="236"/>
        <v/>
      </c>
      <c r="AR650" s="170" t="str">
        <f t="shared" si="237"/>
        <v>BiK83a3K12--04</v>
      </c>
      <c r="AS650" s="169" t="str">
        <f t="shared" si="238"/>
        <v/>
      </c>
      <c r="AT650">
        <f t="shared" si="239"/>
        <v>14</v>
      </c>
      <c r="AU650" s="170" t="str">
        <f t="shared" si="240"/>
        <v>0,5-5 MW, Bonusregeln a3 und K erstmals 2012</v>
      </c>
      <c r="AV650" s="169" t="str">
        <f t="shared" si="241"/>
        <v/>
      </c>
      <c r="AW650" s="170" t="str">
        <f t="shared" si="242"/>
        <v>Anteil KWK, erstmals 2012</v>
      </c>
      <c r="AX650" s="169" t="str">
        <f t="shared" si="243"/>
        <v/>
      </c>
      <c r="AY650" t="str">
        <f t="shared" si="244"/>
        <v/>
      </c>
      <c r="AZ650" t="str">
        <f t="shared" si="245"/>
        <v>x</v>
      </c>
    </row>
    <row r="651" spans="1:52" s="145" customFormat="1" x14ac:dyDescent="0.35">
      <c r="A651" s="496" t="s">
        <v>4497</v>
      </c>
      <c r="B651" s="1" t="s">
        <v>5547</v>
      </c>
      <c r="C651" s="1" t="s">
        <v>4808</v>
      </c>
      <c r="D651" s="1" t="s">
        <v>6780</v>
      </c>
      <c r="E651" s="1" t="s">
        <v>4809</v>
      </c>
      <c r="F651" s="375">
        <f t="shared" si="251"/>
        <v>10.9</v>
      </c>
      <c r="G651" s="432">
        <v>10.9</v>
      </c>
      <c r="H651" s="401">
        <f t="shared" si="252"/>
        <v>8.7200000000000006</v>
      </c>
      <c r="I651" s="578"/>
      <c r="J651" s="549" t="s">
        <v>5804</v>
      </c>
      <c r="K651" s="11"/>
      <c r="L651"/>
      <c r="M651" s="37">
        <f t="shared" si="253"/>
        <v>10.9</v>
      </c>
      <c r="N651" s="29">
        <v>8.9</v>
      </c>
      <c r="O651" s="41"/>
      <c r="P651" s="59"/>
      <c r="Q651"/>
      <c r="R651"/>
      <c r="S651" t="s">
        <v>4179</v>
      </c>
      <c r="T651" s="145" t="s">
        <v>4179</v>
      </c>
      <c r="U651" s="60"/>
      <c r="V651" s="50"/>
      <c r="W651"/>
      <c r="X651"/>
      <c r="Y651" s="50"/>
      <c r="Z651" s="50"/>
      <c r="AA651" s="50"/>
      <c r="AB651" s="50"/>
      <c r="AC651" s="50"/>
      <c r="AD651" s="50"/>
      <c r="AE651" s="75" t="s">
        <v>1017</v>
      </c>
      <c r="AF651" s="50"/>
      <c r="AG651" s="50"/>
      <c r="AH651" s="166" t="str">
        <f>IF(ISERROR(SEARCH("K erstmals 201",D651)),"",RIGHT(D651,4))</f>
        <v/>
      </c>
      <c r="AI651" s="168" t="str">
        <f t="shared" si="246"/>
        <v/>
      </c>
      <c r="AJ651" s="168" t="str">
        <f t="shared" si="247"/>
        <v/>
      </c>
      <c r="AK651" s="168" t="str">
        <f t="shared" si="248"/>
        <v/>
      </c>
      <c r="AL651" s="168" t="str">
        <f t="shared" si="249"/>
        <v/>
      </c>
      <c r="AM651" s="168" t="str">
        <f t="shared" si="250"/>
        <v/>
      </c>
      <c r="AN651" s="167" t="str">
        <f t="shared" si="233"/>
        <v/>
      </c>
      <c r="AO651" s="167" t="str">
        <f t="shared" si="234"/>
        <v/>
      </c>
      <c r="AP651" s="167" t="str">
        <f t="shared" si="235"/>
        <v/>
      </c>
      <c r="AQ651" s="169" t="str">
        <f t="shared" si="236"/>
        <v/>
      </c>
      <c r="AR651" s="170" t="str">
        <f t="shared" si="237"/>
        <v>BiK83b------04</v>
      </c>
      <c r="AS651" s="169" t="str">
        <f t="shared" si="238"/>
        <v/>
      </c>
      <c r="AT651">
        <f t="shared" si="239"/>
        <v>14</v>
      </c>
      <c r="AU651" s="170" t="str">
        <f t="shared" si="240"/>
        <v>0,5-5 MW, Bonusregel b</v>
      </c>
      <c r="AV651" s="169" t="str">
        <f t="shared" si="241"/>
        <v/>
      </c>
      <c r="AW651" s="170" t="str">
        <f t="shared" si="242"/>
        <v>Anteil Nicht-KWK</v>
      </c>
      <c r="AX651" s="169" t="str">
        <f t="shared" si="243"/>
        <v/>
      </c>
      <c r="AY651" t="str">
        <f t="shared" si="244"/>
        <v/>
      </c>
      <c r="AZ651" t="str">
        <f t="shared" si="245"/>
        <v/>
      </c>
    </row>
    <row r="652" spans="1:52" s="145" customFormat="1" x14ac:dyDescent="0.35">
      <c r="A652" s="496" t="s">
        <v>4498</v>
      </c>
      <c r="B652" s="1" t="s">
        <v>5547</v>
      </c>
      <c r="C652" s="1" t="s">
        <v>4808</v>
      </c>
      <c r="D652" s="1" t="s">
        <v>6781</v>
      </c>
      <c r="E652" s="1" t="s">
        <v>4811</v>
      </c>
      <c r="F652" s="375">
        <f t="shared" si="251"/>
        <v>12.9</v>
      </c>
      <c r="G652" s="432">
        <v>12.9</v>
      </c>
      <c r="H652" s="401">
        <f t="shared" si="252"/>
        <v>10.32</v>
      </c>
      <c r="I652" s="578"/>
      <c r="J652" s="549" t="s">
        <v>5804</v>
      </c>
      <c r="K652" s="11"/>
      <c r="L652"/>
      <c r="M652" s="37">
        <f t="shared" si="253"/>
        <v>12.9</v>
      </c>
      <c r="N652" s="29">
        <v>8.9</v>
      </c>
      <c r="O652" s="41" t="s">
        <v>1017</v>
      </c>
      <c r="P652" s="59"/>
      <c r="Q652"/>
      <c r="R652"/>
      <c r="S652" t="s">
        <v>4179</v>
      </c>
      <c r="T652" s="145" t="s">
        <v>4179</v>
      </c>
      <c r="U652" s="60"/>
      <c r="V652" s="50"/>
      <c r="W652"/>
      <c r="X652"/>
      <c r="Y652" s="50"/>
      <c r="Z652" s="50"/>
      <c r="AA652" s="50"/>
      <c r="AB652" s="50"/>
      <c r="AC652" s="50"/>
      <c r="AD652" s="50"/>
      <c r="AE652" s="75" t="s">
        <v>1017</v>
      </c>
      <c r="AF652" s="50"/>
      <c r="AG652" s="50"/>
      <c r="AH652" s="166" t="str">
        <f>IF(ISERROR(SEARCH("K erstmals 201",D652)),"",RIGHT(D652,4))</f>
        <v/>
      </c>
      <c r="AI652" s="168" t="str">
        <f t="shared" si="246"/>
        <v/>
      </c>
      <c r="AJ652" s="168" t="str">
        <f t="shared" si="247"/>
        <v/>
      </c>
      <c r="AK652" s="168" t="str">
        <f t="shared" si="248"/>
        <v/>
      </c>
      <c r="AL652" s="168" t="str">
        <f t="shared" si="249"/>
        <v/>
      </c>
      <c r="AM652" s="168" t="str">
        <f t="shared" si="250"/>
        <v/>
      </c>
      <c r="AN652" s="167" t="str">
        <f t="shared" si="233"/>
        <v/>
      </c>
      <c r="AO652" s="167" t="str">
        <f t="shared" si="234"/>
        <v/>
      </c>
      <c r="AP652" s="167" t="str">
        <f t="shared" si="235"/>
        <v/>
      </c>
      <c r="AQ652" s="169" t="str">
        <f t="shared" si="236"/>
        <v/>
      </c>
      <c r="AR652" s="170" t="str">
        <f t="shared" si="237"/>
        <v>BiK83bKWK---04</v>
      </c>
      <c r="AS652" s="169" t="str">
        <f t="shared" si="238"/>
        <v/>
      </c>
      <c r="AT652">
        <f t="shared" si="239"/>
        <v>14</v>
      </c>
      <c r="AU652" s="170" t="str">
        <f t="shared" si="240"/>
        <v>0,5-5 MW, Bonusregel b und KWK</v>
      </c>
      <c r="AV652" s="169" t="str">
        <f t="shared" si="241"/>
        <v/>
      </c>
      <c r="AW652" s="170" t="str">
        <f t="shared" si="242"/>
        <v>Anteil KWK</v>
      </c>
      <c r="AX652" s="169" t="str">
        <f t="shared" si="243"/>
        <v/>
      </c>
      <c r="AY652" t="str">
        <f t="shared" si="244"/>
        <v/>
      </c>
      <c r="AZ652" t="str">
        <f t="shared" si="245"/>
        <v/>
      </c>
    </row>
    <row r="653" spans="1:52" s="145" customFormat="1" x14ac:dyDescent="0.35">
      <c r="A653" s="497" t="s">
        <v>4024</v>
      </c>
      <c r="B653" s="13" t="s">
        <v>5547</v>
      </c>
      <c r="C653" s="13" t="s">
        <v>4808</v>
      </c>
      <c r="D653" s="13" t="s">
        <v>6782</v>
      </c>
      <c r="E653" s="13" t="s">
        <v>674</v>
      </c>
      <c r="F653" s="373">
        <f t="shared" si="251"/>
        <v>13.9</v>
      </c>
      <c r="G653" s="430">
        <v>13.9</v>
      </c>
      <c r="H653" s="399">
        <f t="shared" si="252"/>
        <v>11.12</v>
      </c>
      <c r="I653" s="576"/>
      <c r="J653" s="549" t="s">
        <v>5804</v>
      </c>
      <c r="K653" s="11"/>
      <c r="L653"/>
      <c r="M653" s="37">
        <f t="shared" si="253"/>
        <v>13.9</v>
      </c>
      <c r="N653" s="29">
        <v>8.9</v>
      </c>
      <c r="O653" s="41"/>
      <c r="P653" s="59"/>
      <c r="Q653" t="s">
        <v>1017</v>
      </c>
      <c r="R653"/>
      <c r="S653" t="s">
        <v>4179</v>
      </c>
      <c r="T653" s="145" t="s">
        <v>4179</v>
      </c>
      <c r="U653" s="60"/>
      <c r="V653" s="50"/>
      <c r="W653"/>
      <c r="X653"/>
      <c r="Y653" s="50"/>
      <c r="Z653" s="50"/>
      <c r="AA653" s="50"/>
      <c r="AB653" s="50"/>
      <c r="AC653" s="50"/>
      <c r="AD653" s="50"/>
      <c r="AE653" s="75" t="s">
        <v>1017</v>
      </c>
      <c r="AF653" s="50"/>
      <c r="AG653" s="50"/>
      <c r="AH653" s="166" t="str">
        <f>IF(ISERROR(SEARCH("K erstmals 201",D653)),"",RIGHT(D653,4))</f>
        <v/>
      </c>
      <c r="AI653" s="168" t="str">
        <f t="shared" si="246"/>
        <v/>
      </c>
      <c r="AJ653" s="168" t="str">
        <f t="shared" si="247"/>
        <v/>
      </c>
      <c r="AK653" s="168" t="str">
        <f t="shared" si="248"/>
        <v/>
      </c>
      <c r="AL653" s="168" t="str">
        <f t="shared" si="249"/>
        <v/>
      </c>
      <c r="AM653" s="168" t="str">
        <f t="shared" si="250"/>
        <v/>
      </c>
      <c r="AN653" s="167" t="str">
        <f t="shared" si="233"/>
        <v/>
      </c>
      <c r="AO653" s="167" t="str">
        <f t="shared" si="234"/>
        <v/>
      </c>
      <c r="AP653" s="167" t="str">
        <f t="shared" si="235"/>
        <v/>
      </c>
      <c r="AQ653" s="169" t="str">
        <f t="shared" si="236"/>
        <v/>
      </c>
      <c r="AR653" s="170" t="str">
        <f t="shared" si="237"/>
        <v>BiK83bK09---04</v>
      </c>
      <c r="AS653" s="169" t="str">
        <f t="shared" si="238"/>
        <v/>
      </c>
      <c r="AT653">
        <f t="shared" si="239"/>
        <v>14</v>
      </c>
      <c r="AU653" s="170" t="str">
        <f t="shared" si="240"/>
        <v>0,5-5 MW, Bonusregel b und K erstmals 2009</v>
      </c>
      <c r="AV653" s="169" t="str">
        <f t="shared" si="241"/>
        <v/>
      </c>
      <c r="AW653" s="170" t="str">
        <f t="shared" si="242"/>
        <v>Anteil KWK, erstmals 2009</v>
      </c>
      <c r="AX653" s="169" t="str">
        <f t="shared" si="243"/>
        <v/>
      </c>
      <c r="AY653" t="str">
        <f t="shared" si="244"/>
        <v/>
      </c>
      <c r="AZ653" t="str">
        <f t="shared" si="245"/>
        <v/>
      </c>
    </row>
    <row r="654" spans="1:52" s="145" customFormat="1" x14ac:dyDescent="0.35">
      <c r="A654" s="497" t="s">
        <v>4040</v>
      </c>
      <c r="B654" s="13" t="s">
        <v>5547</v>
      </c>
      <c r="C654" s="13" t="s">
        <v>4808</v>
      </c>
      <c r="D654" s="13" t="s">
        <v>6783</v>
      </c>
      <c r="E654" s="13" t="s">
        <v>3566</v>
      </c>
      <c r="F654" s="373">
        <f t="shared" si="251"/>
        <v>13.870000000000001</v>
      </c>
      <c r="G654" s="430">
        <v>13.870000000000001</v>
      </c>
      <c r="H654" s="399">
        <f t="shared" si="252"/>
        <v>11.1</v>
      </c>
      <c r="I654" s="576"/>
      <c r="J654" s="549" t="s">
        <v>5804</v>
      </c>
      <c r="K654" s="11"/>
      <c r="L654"/>
      <c r="M654" s="37">
        <f t="shared" si="253"/>
        <v>13.870000000000001</v>
      </c>
      <c r="N654" s="29">
        <v>8.9</v>
      </c>
      <c r="O654" s="41"/>
      <c r="P654" s="59"/>
      <c r="Q654"/>
      <c r="R654" t="s">
        <v>1017</v>
      </c>
      <c r="S654" t="s">
        <v>4179</v>
      </c>
      <c r="T654" s="145" t="s">
        <v>4179</v>
      </c>
      <c r="U654" s="60"/>
      <c r="V654" s="50"/>
      <c r="W654"/>
      <c r="X654"/>
      <c r="Y654" s="50"/>
      <c r="Z654" s="50"/>
      <c r="AA654" s="50"/>
      <c r="AB654" s="50"/>
      <c r="AC654" s="50"/>
      <c r="AD654" s="50"/>
      <c r="AE654" s="75" t="s">
        <v>1017</v>
      </c>
      <c r="AF654" s="50"/>
      <c r="AG654" s="50"/>
      <c r="AH654" s="166" t="str">
        <f>IF(ISERROR(SEARCH("K erstmals 201",D654)),"",RIGHT(D654,4))</f>
        <v>2010</v>
      </c>
      <c r="AI654" s="168" t="str">
        <f t="shared" si="246"/>
        <v/>
      </c>
      <c r="AJ654" s="168" t="str">
        <f t="shared" si="247"/>
        <v/>
      </c>
      <c r="AK654" s="168" t="str">
        <f t="shared" si="248"/>
        <v/>
      </c>
      <c r="AL654" s="168" t="str">
        <f t="shared" si="249"/>
        <v/>
      </c>
      <c r="AM654" s="168" t="str">
        <f t="shared" si="250"/>
        <v/>
      </c>
      <c r="AN654" s="167" t="str">
        <f t="shared" si="233"/>
        <v>2010</v>
      </c>
      <c r="AO654" s="167" t="str">
        <f t="shared" si="234"/>
        <v>2010</v>
      </c>
      <c r="AP654" s="167" t="str">
        <f t="shared" si="235"/>
        <v>2010</v>
      </c>
      <c r="AQ654" s="169" t="str">
        <f t="shared" si="236"/>
        <v/>
      </c>
      <c r="AR654" s="170" t="str">
        <f t="shared" si="237"/>
        <v>BiK83bK10---04</v>
      </c>
      <c r="AS654" s="169" t="str">
        <f t="shared" si="238"/>
        <v/>
      </c>
      <c r="AT654">
        <f t="shared" si="239"/>
        <v>14</v>
      </c>
      <c r="AU654" s="170" t="str">
        <f t="shared" si="240"/>
        <v>0,5-5 MW, Bonusregel b und K erstmals 2010</v>
      </c>
      <c r="AV654" s="169" t="str">
        <f t="shared" si="241"/>
        <v/>
      </c>
      <c r="AW654" s="170" t="str">
        <f t="shared" si="242"/>
        <v>Anteil KWK, erstmals 2010</v>
      </c>
      <c r="AX654" s="169" t="str">
        <f t="shared" si="243"/>
        <v/>
      </c>
      <c r="AY654" t="str">
        <f t="shared" si="244"/>
        <v/>
      </c>
      <c r="AZ654" t="str">
        <f t="shared" si="245"/>
        <v/>
      </c>
    </row>
    <row r="655" spans="1:52" s="145" customFormat="1" x14ac:dyDescent="0.35">
      <c r="A655" s="497" t="s">
        <v>5293</v>
      </c>
      <c r="B655" s="13" t="s">
        <v>5547</v>
      </c>
      <c r="C655" s="13" t="s">
        <v>4808</v>
      </c>
      <c r="D655" s="13" t="s">
        <v>6784</v>
      </c>
      <c r="E655" s="13" t="s">
        <v>3054</v>
      </c>
      <c r="F655" s="373">
        <f t="shared" si="251"/>
        <v>13.84</v>
      </c>
      <c r="G655" s="430">
        <v>13.84</v>
      </c>
      <c r="H655" s="399">
        <f t="shared" si="252"/>
        <v>11.07</v>
      </c>
      <c r="I655" s="576"/>
      <c r="J655" s="549" t="s">
        <v>5804</v>
      </c>
      <c r="K655" s="11"/>
      <c r="L655"/>
      <c r="M655" s="37">
        <f t="shared" si="253"/>
        <v>13.84</v>
      </c>
      <c r="N655" s="29">
        <v>8.9</v>
      </c>
      <c r="O655" s="41"/>
      <c r="P655" s="59"/>
      <c r="Q655"/>
      <c r="R655"/>
      <c r="S655" t="s">
        <v>1017</v>
      </c>
      <c r="T655" s="145" t="s">
        <v>4179</v>
      </c>
      <c r="U655" s="60"/>
      <c r="V655" s="50"/>
      <c r="W655"/>
      <c r="X655"/>
      <c r="Y655" s="50"/>
      <c r="Z655" s="50"/>
      <c r="AA655" s="50"/>
      <c r="AB655" s="50"/>
      <c r="AC655" s="50"/>
      <c r="AD655" s="50"/>
      <c r="AE655" s="75" t="s">
        <v>1017</v>
      </c>
      <c r="AF655" s="50"/>
      <c r="AG655" s="50"/>
      <c r="AH655" s="166" t="str">
        <f>IF(ISERROR(SEARCH("K erstmals 201",D655)),"",RIGHT(D655,4))</f>
        <v>2011</v>
      </c>
      <c r="AI655" s="168" t="str">
        <f t="shared" si="246"/>
        <v/>
      </c>
      <c r="AJ655" s="168" t="str">
        <f t="shared" si="247"/>
        <v/>
      </c>
      <c r="AK655" s="168" t="str">
        <f t="shared" si="248"/>
        <v/>
      </c>
      <c r="AL655" s="168" t="str">
        <f t="shared" si="249"/>
        <v/>
      </c>
      <c r="AM655" s="168" t="str">
        <f t="shared" si="250"/>
        <v/>
      </c>
      <c r="AN655" s="167" t="str">
        <f t="shared" si="233"/>
        <v>2011</v>
      </c>
      <c r="AO655" s="167" t="str">
        <f t="shared" si="234"/>
        <v>2011</v>
      </c>
      <c r="AP655" s="167" t="str">
        <f t="shared" si="235"/>
        <v>2011</v>
      </c>
      <c r="AQ655" s="169" t="str">
        <f t="shared" si="236"/>
        <v/>
      </c>
      <c r="AR655" s="170" t="str">
        <f t="shared" si="237"/>
        <v>BiK83bK11---04</v>
      </c>
      <c r="AS655" s="169" t="str">
        <f t="shared" si="238"/>
        <v/>
      </c>
      <c r="AT655">
        <f t="shared" si="239"/>
        <v>14</v>
      </c>
      <c r="AU655" s="170" t="str">
        <f t="shared" si="240"/>
        <v>0,5-5 MW, Bonusregel b und K erstmals 2011</v>
      </c>
      <c r="AV655" s="169" t="str">
        <f t="shared" si="241"/>
        <v/>
      </c>
      <c r="AW655" s="170" t="str">
        <f t="shared" si="242"/>
        <v>Anteil KWK, erstmals 2011</v>
      </c>
      <c r="AX655" s="169" t="str">
        <f t="shared" si="243"/>
        <v/>
      </c>
      <c r="AY655" t="str">
        <f t="shared" si="244"/>
        <v>x</v>
      </c>
      <c r="AZ655" t="str">
        <f t="shared" si="245"/>
        <v/>
      </c>
    </row>
    <row r="656" spans="1:52" s="145" customFormat="1" x14ac:dyDescent="0.35">
      <c r="A656" s="511" t="s">
        <v>1544</v>
      </c>
      <c r="B656" s="173" t="s">
        <v>5547</v>
      </c>
      <c r="C656" s="173" t="s">
        <v>4808</v>
      </c>
      <c r="D656" s="173" t="s">
        <v>6785</v>
      </c>
      <c r="E656" s="173" t="s">
        <v>1980</v>
      </c>
      <c r="F656" s="374">
        <f t="shared" si="251"/>
        <v>13.81</v>
      </c>
      <c r="G656" s="431">
        <v>13.81</v>
      </c>
      <c r="H656" s="400">
        <f t="shared" si="252"/>
        <v>11.05</v>
      </c>
      <c r="I656" s="577"/>
      <c r="J656" s="549" t="s">
        <v>5804</v>
      </c>
      <c r="K656" s="11"/>
      <c r="L656"/>
      <c r="M656" s="37">
        <f t="shared" si="253"/>
        <v>13.81</v>
      </c>
      <c r="N656" s="29">
        <v>8.9</v>
      </c>
      <c r="O656" s="41"/>
      <c r="P656" s="59"/>
      <c r="Q656"/>
      <c r="R656"/>
      <c r="S656" t="s">
        <v>4179</v>
      </c>
      <c r="T656" s="145" t="s">
        <v>1017</v>
      </c>
      <c r="U656" s="60"/>
      <c r="V656" s="50"/>
      <c r="W656"/>
      <c r="X656"/>
      <c r="Y656" s="50"/>
      <c r="Z656" s="50"/>
      <c r="AA656" s="50"/>
      <c r="AB656" s="50"/>
      <c r="AC656" s="50"/>
      <c r="AD656" s="50"/>
      <c r="AE656" s="75" t="s">
        <v>1017</v>
      </c>
      <c r="AF656" s="50"/>
      <c r="AG656" s="50"/>
      <c r="AH656" s="171" t="s">
        <v>4178</v>
      </c>
      <c r="AI656" s="168" t="str">
        <f t="shared" si="246"/>
        <v/>
      </c>
      <c r="AJ656" s="168" t="str">
        <f t="shared" si="247"/>
        <v/>
      </c>
      <c r="AK656" s="168" t="str">
        <f t="shared" si="248"/>
        <v/>
      </c>
      <c r="AL656" s="168" t="str">
        <f t="shared" si="249"/>
        <v/>
      </c>
      <c r="AM656" s="168" t="str">
        <f t="shared" si="250"/>
        <v/>
      </c>
      <c r="AN656" s="167" t="str">
        <f t="shared" si="233"/>
        <v>2012</v>
      </c>
      <c r="AO656" s="167" t="str">
        <f t="shared" si="234"/>
        <v>2012</v>
      </c>
      <c r="AP656" s="167" t="str">
        <f t="shared" si="235"/>
        <v>2012</v>
      </c>
      <c r="AQ656" s="169" t="str">
        <f t="shared" si="236"/>
        <v/>
      </c>
      <c r="AR656" s="170" t="str">
        <f t="shared" si="237"/>
        <v>BiK83bK12---04</v>
      </c>
      <c r="AS656" s="169" t="str">
        <f t="shared" si="238"/>
        <v/>
      </c>
      <c r="AT656">
        <f t="shared" si="239"/>
        <v>14</v>
      </c>
      <c r="AU656" s="170" t="str">
        <f t="shared" si="240"/>
        <v>0,5-5 MW, Bonusregel b und K erstmals 2012</v>
      </c>
      <c r="AV656" s="169" t="str">
        <f t="shared" si="241"/>
        <v/>
      </c>
      <c r="AW656" s="170" t="str">
        <f t="shared" si="242"/>
        <v>Anteil KWK, erstmals 2012</v>
      </c>
      <c r="AX656" s="169" t="str">
        <f t="shared" si="243"/>
        <v/>
      </c>
      <c r="AY656" t="str">
        <f t="shared" si="244"/>
        <v/>
      </c>
      <c r="AZ656" t="str">
        <f t="shared" si="245"/>
        <v>x</v>
      </c>
    </row>
    <row r="657" spans="1:52" s="145" customFormat="1" x14ac:dyDescent="0.35">
      <c r="A657" s="496" t="s">
        <v>4499</v>
      </c>
      <c r="B657" s="1" t="s">
        <v>5547</v>
      </c>
      <c r="C657" s="1" t="s">
        <v>4808</v>
      </c>
      <c r="D657" s="1" t="s">
        <v>6786</v>
      </c>
      <c r="E657" s="1" t="s">
        <v>4809</v>
      </c>
      <c r="F657" s="375">
        <f t="shared" si="251"/>
        <v>14.9</v>
      </c>
      <c r="G657" s="432">
        <v>14.9</v>
      </c>
      <c r="H657" s="401">
        <f t="shared" si="252"/>
        <v>11.92</v>
      </c>
      <c r="I657" s="578"/>
      <c r="J657" s="549" t="s">
        <v>5804</v>
      </c>
      <c r="K657" s="11"/>
      <c r="L657"/>
      <c r="M657" s="37">
        <f t="shared" si="253"/>
        <v>14.9</v>
      </c>
      <c r="N657" s="29">
        <v>8.9</v>
      </c>
      <c r="O657" s="41"/>
      <c r="P657" s="59"/>
      <c r="Q657"/>
      <c r="R657"/>
      <c r="S657" t="s">
        <v>4179</v>
      </c>
      <c r="T657" s="145" t="s">
        <v>4179</v>
      </c>
      <c r="U657" s="60"/>
      <c r="V657" s="50"/>
      <c r="W657" t="s">
        <v>1017</v>
      </c>
      <c r="X657"/>
      <c r="Y657" s="50"/>
      <c r="Z657" s="50"/>
      <c r="AA657" s="50"/>
      <c r="AB657" s="50"/>
      <c r="AC657" s="50"/>
      <c r="AD657" s="50"/>
      <c r="AE657" s="75" t="s">
        <v>1017</v>
      </c>
      <c r="AF657" s="50"/>
      <c r="AG657" s="50"/>
      <c r="AH657" s="166" t="str">
        <f>IF(ISERROR(SEARCH("K erstmals 201",D657)),"",RIGHT(D657,4))</f>
        <v/>
      </c>
      <c r="AI657" s="168" t="str">
        <f t="shared" si="246"/>
        <v/>
      </c>
      <c r="AJ657" s="168" t="str">
        <f t="shared" si="247"/>
        <v/>
      </c>
      <c r="AK657" s="168" t="str">
        <f t="shared" si="248"/>
        <v/>
      </c>
      <c r="AL657" s="168" t="str">
        <f t="shared" si="249"/>
        <v/>
      </c>
      <c r="AM657" s="168" t="str">
        <f t="shared" si="250"/>
        <v/>
      </c>
      <c r="AN657" s="167" t="str">
        <f t="shared" si="233"/>
        <v/>
      </c>
      <c r="AO657" s="167" t="str">
        <f t="shared" si="234"/>
        <v/>
      </c>
      <c r="AP657" s="167" t="str">
        <f t="shared" si="235"/>
        <v/>
      </c>
      <c r="AQ657" s="169" t="str">
        <f t="shared" si="236"/>
        <v/>
      </c>
      <c r="AR657" s="170" t="str">
        <f t="shared" si="237"/>
        <v>BiK83a2b----04</v>
      </c>
      <c r="AS657" s="169" t="str">
        <f t="shared" si="238"/>
        <v/>
      </c>
      <c r="AT657">
        <f t="shared" si="239"/>
        <v>14</v>
      </c>
      <c r="AU657" s="170" t="str">
        <f t="shared" si="240"/>
        <v>0,5-5 MW, Bonusregeln a2 und b</v>
      </c>
      <c r="AV657" s="169" t="str">
        <f t="shared" si="241"/>
        <v/>
      </c>
      <c r="AW657" s="170" t="str">
        <f t="shared" si="242"/>
        <v>Anteil Nicht-KWK</v>
      </c>
      <c r="AX657" s="169" t="str">
        <f t="shared" si="243"/>
        <v/>
      </c>
      <c r="AY657" t="str">
        <f t="shared" si="244"/>
        <v/>
      </c>
      <c r="AZ657" t="str">
        <f t="shared" si="245"/>
        <v/>
      </c>
    </row>
    <row r="658" spans="1:52" s="145" customFormat="1" x14ac:dyDescent="0.35">
      <c r="A658" s="496" t="s">
        <v>4500</v>
      </c>
      <c r="B658" s="1" t="s">
        <v>5547</v>
      </c>
      <c r="C658" s="1" t="s">
        <v>4808</v>
      </c>
      <c r="D658" s="1" t="s">
        <v>6787</v>
      </c>
      <c r="E658" s="1" t="s">
        <v>4811</v>
      </c>
      <c r="F658" s="375">
        <f t="shared" si="251"/>
        <v>16.899999999999999</v>
      </c>
      <c r="G658" s="432">
        <v>16.899999999999999</v>
      </c>
      <c r="H658" s="401">
        <f t="shared" si="252"/>
        <v>13.52</v>
      </c>
      <c r="I658" s="578"/>
      <c r="J658" s="549" t="s">
        <v>5804</v>
      </c>
      <c r="K658" s="11"/>
      <c r="L658"/>
      <c r="M658" s="37">
        <f t="shared" si="253"/>
        <v>16.899999999999999</v>
      </c>
      <c r="N658" s="29">
        <v>8.9</v>
      </c>
      <c r="O658" s="41" t="s">
        <v>1017</v>
      </c>
      <c r="P658" s="59"/>
      <c r="Q658"/>
      <c r="R658"/>
      <c r="S658" t="s">
        <v>4179</v>
      </c>
      <c r="T658" s="145" t="s">
        <v>4179</v>
      </c>
      <c r="U658" s="60"/>
      <c r="V658" s="50"/>
      <c r="W658" t="s">
        <v>1017</v>
      </c>
      <c r="X658"/>
      <c r="Y658" s="50"/>
      <c r="Z658" s="50"/>
      <c r="AA658" s="50"/>
      <c r="AB658" s="50"/>
      <c r="AC658" s="50"/>
      <c r="AD658" s="50"/>
      <c r="AE658" s="75" t="s">
        <v>1017</v>
      </c>
      <c r="AF658" s="50"/>
      <c r="AG658" s="50"/>
      <c r="AH658" s="166" t="str">
        <f>IF(ISERROR(SEARCH("K erstmals 201",D658)),"",RIGHT(D658,4))</f>
        <v/>
      </c>
      <c r="AI658" s="168" t="str">
        <f t="shared" si="246"/>
        <v/>
      </c>
      <c r="AJ658" s="168" t="str">
        <f t="shared" si="247"/>
        <v/>
      </c>
      <c r="AK658" s="168" t="str">
        <f t="shared" si="248"/>
        <v/>
      </c>
      <c r="AL658" s="168" t="str">
        <f t="shared" si="249"/>
        <v/>
      </c>
      <c r="AM658" s="168" t="str">
        <f t="shared" si="250"/>
        <v/>
      </c>
      <c r="AN658" s="167" t="str">
        <f t="shared" si="233"/>
        <v/>
      </c>
      <c r="AO658" s="167" t="str">
        <f t="shared" si="234"/>
        <v/>
      </c>
      <c r="AP658" s="167" t="str">
        <f t="shared" si="235"/>
        <v/>
      </c>
      <c r="AQ658" s="169" t="str">
        <f t="shared" si="236"/>
        <v/>
      </c>
      <c r="AR658" s="170" t="str">
        <f t="shared" si="237"/>
        <v>BiK83a2bKWK-04</v>
      </c>
      <c r="AS658" s="169" t="str">
        <f t="shared" si="238"/>
        <v/>
      </c>
      <c r="AT658">
        <f t="shared" si="239"/>
        <v>14</v>
      </c>
      <c r="AU658" s="170" t="str">
        <f t="shared" si="240"/>
        <v>0,5-5 MW, Bonusregeln a2, b und KWK</v>
      </c>
      <c r="AV658" s="169" t="str">
        <f t="shared" si="241"/>
        <v/>
      </c>
      <c r="AW658" s="170" t="str">
        <f t="shared" si="242"/>
        <v>Anteil KWK</v>
      </c>
      <c r="AX658" s="169" t="str">
        <f t="shared" si="243"/>
        <v/>
      </c>
      <c r="AY658" t="str">
        <f t="shared" si="244"/>
        <v/>
      </c>
      <c r="AZ658" t="str">
        <f t="shared" si="245"/>
        <v/>
      </c>
    </row>
    <row r="659" spans="1:52" s="145" customFormat="1" x14ac:dyDescent="0.35">
      <c r="A659" s="497" t="s">
        <v>4025</v>
      </c>
      <c r="B659" s="13" t="s">
        <v>5547</v>
      </c>
      <c r="C659" s="13" t="s">
        <v>4808</v>
      </c>
      <c r="D659" s="13" t="s">
        <v>6788</v>
      </c>
      <c r="E659" s="13" t="s">
        <v>674</v>
      </c>
      <c r="F659" s="373">
        <f t="shared" si="251"/>
        <v>17.899999999999999</v>
      </c>
      <c r="G659" s="430">
        <v>17.899999999999999</v>
      </c>
      <c r="H659" s="399">
        <f t="shared" si="252"/>
        <v>14.32</v>
      </c>
      <c r="I659" s="576"/>
      <c r="J659" s="549" t="s">
        <v>5804</v>
      </c>
      <c r="K659" s="11"/>
      <c r="L659"/>
      <c r="M659" s="37">
        <f t="shared" si="253"/>
        <v>17.899999999999999</v>
      </c>
      <c r="N659" s="29">
        <v>8.9</v>
      </c>
      <c r="O659" s="41"/>
      <c r="P659" s="59"/>
      <c r="Q659" t="s">
        <v>1017</v>
      </c>
      <c r="R659"/>
      <c r="S659" t="s">
        <v>4179</v>
      </c>
      <c r="T659" s="145" t="s">
        <v>4179</v>
      </c>
      <c r="U659" s="60"/>
      <c r="V659" s="50"/>
      <c r="W659" t="s">
        <v>1017</v>
      </c>
      <c r="X659"/>
      <c r="Y659" s="50"/>
      <c r="Z659" s="50"/>
      <c r="AA659" s="50"/>
      <c r="AB659" s="50"/>
      <c r="AC659" s="50"/>
      <c r="AD659" s="50"/>
      <c r="AE659" s="75" t="s">
        <v>1017</v>
      </c>
      <c r="AF659" s="50"/>
      <c r="AG659" s="50"/>
      <c r="AH659" s="166" t="str">
        <f>IF(ISERROR(SEARCH("K erstmals 201",D659)),"",RIGHT(D659,4))</f>
        <v/>
      </c>
      <c r="AI659" s="168" t="str">
        <f t="shared" si="246"/>
        <v/>
      </c>
      <c r="AJ659" s="168" t="str">
        <f t="shared" si="247"/>
        <v/>
      </c>
      <c r="AK659" s="168" t="str">
        <f t="shared" si="248"/>
        <v/>
      </c>
      <c r="AL659" s="168" t="str">
        <f t="shared" si="249"/>
        <v/>
      </c>
      <c r="AM659" s="168" t="str">
        <f t="shared" si="250"/>
        <v/>
      </c>
      <c r="AN659" s="167" t="str">
        <f t="shared" si="233"/>
        <v/>
      </c>
      <c r="AO659" s="167" t="str">
        <f t="shared" si="234"/>
        <v/>
      </c>
      <c r="AP659" s="167" t="str">
        <f t="shared" si="235"/>
        <v/>
      </c>
      <c r="AQ659" s="169" t="str">
        <f t="shared" si="236"/>
        <v/>
      </c>
      <c r="AR659" s="170" t="str">
        <f t="shared" si="237"/>
        <v>BiK83a2bK09-04</v>
      </c>
      <c r="AS659" s="169" t="str">
        <f t="shared" si="238"/>
        <v/>
      </c>
      <c r="AT659">
        <f t="shared" si="239"/>
        <v>14</v>
      </c>
      <c r="AU659" s="170" t="str">
        <f t="shared" si="240"/>
        <v>0,5-5 MW, Bonusregeln a2, b und K erstmals 2009</v>
      </c>
      <c r="AV659" s="169" t="str">
        <f t="shared" si="241"/>
        <v/>
      </c>
      <c r="AW659" s="170" t="str">
        <f t="shared" si="242"/>
        <v>Anteil KWK, erstmals 2009</v>
      </c>
      <c r="AX659" s="169" t="str">
        <f t="shared" si="243"/>
        <v/>
      </c>
      <c r="AY659" t="str">
        <f t="shared" si="244"/>
        <v/>
      </c>
      <c r="AZ659" t="str">
        <f t="shared" si="245"/>
        <v/>
      </c>
    </row>
    <row r="660" spans="1:52" s="145" customFormat="1" x14ac:dyDescent="0.35">
      <c r="A660" s="497" t="s">
        <v>4041</v>
      </c>
      <c r="B660" s="13" t="s">
        <v>5547</v>
      </c>
      <c r="C660" s="13" t="s">
        <v>4808</v>
      </c>
      <c r="D660" s="13" t="s">
        <v>6789</v>
      </c>
      <c r="E660" s="13" t="s">
        <v>3566</v>
      </c>
      <c r="F660" s="373">
        <f t="shared" si="251"/>
        <v>17.87</v>
      </c>
      <c r="G660" s="430">
        <v>17.87</v>
      </c>
      <c r="H660" s="399">
        <f t="shared" si="252"/>
        <v>14.3</v>
      </c>
      <c r="I660" s="576"/>
      <c r="J660" s="549" t="s">
        <v>5804</v>
      </c>
      <c r="K660" s="11"/>
      <c r="L660"/>
      <c r="M660" s="37">
        <f t="shared" si="253"/>
        <v>17.87</v>
      </c>
      <c r="N660" s="29">
        <v>8.9</v>
      </c>
      <c r="O660" s="41"/>
      <c r="P660" s="59"/>
      <c r="Q660"/>
      <c r="R660" t="s">
        <v>1017</v>
      </c>
      <c r="S660" t="s">
        <v>4179</v>
      </c>
      <c r="T660" s="145" t="s">
        <v>4179</v>
      </c>
      <c r="U660" s="60"/>
      <c r="V660" s="50"/>
      <c r="W660" t="s">
        <v>1017</v>
      </c>
      <c r="X660"/>
      <c r="Y660" s="50"/>
      <c r="Z660" s="50"/>
      <c r="AA660" s="50"/>
      <c r="AB660" s="50"/>
      <c r="AC660" s="50"/>
      <c r="AD660" s="50"/>
      <c r="AE660" s="75" t="s">
        <v>1017</v>
      </c>
      <c r="AF660" s="50"/>
      <c r="AG660" s="50"/>
      <c r="AH660" s="166" t="str">
        <f>IF(ISERROR(SEARCH("K erstmals 201",D660)),"",RIGHT(D660,4))</f>
        <v>2010</v>
      </c>
      <c r="AI660" s="168" t="str">
        <f t="shared" si="246"/>
        <v/>
      </c>
      <c r="AJ660" s="168" t="str">
        <f t="shared" si="247"/>
        <v/>
      </c>
      <c r="AK660" s="168" t="str">
        <f t="shared" si="248"/>
        <v/>
      </c>
      <c r="AL660" s="168" t="str">
        <f t="shared" si="249"/>
        <v/>
      </c>
      <c r="AM660" s="168" t="str">
        <f t="shared" si="250"/>
        <v/>
      </c>
      <c r="AN660" s="167" t="str">
        <f t="shared" si="233"/>
        <v>2010</v>
      </c>
      <c r="AO660" s="167" t="str">
        <f t="shared" si="234"/>
        <v>2010</v>
      </c>
      <c r="AP660" s="167" t="str">
        <f t="shared" si="235"/>
        <v>2010</v>
      </c>
      <c r="AQ660" s="169" t="str">
        <f t="shared" si="236"/>
        <v/>
      </c>
      <c r="AR660" s="170" t="str">
        <f t="shared" si="237"/>
        <v>BiK83a2bK10-04</v>
      </c>
      <c r="AS660" s="169" t="str">
        <f t="shared" si="238"/>
        <v/>
      </c>
      <c r="AT660">
        <f t="shared" si="239"/>
        <v>14</v>
      </c>
      <c r="AU660" s="170" t="str">
        <f t="shared" si="240"/>
        <v>0,5-5 MW, Bonusregeln a2, b und K erstmals 2010</v>
      </c>
      <c r="AV660" s="169" t="str">
        <f t="shared" si="241"/>
        <v/>
      </c>
      <c r="AW660" s="170" t="str">
        <f t="shared" si="242"/>
        <v>Anteil KWK, erstmals 2010</v>
      </c>
      <c r="AX660" s="169" t="str">
        <f t="shared" si="243"/>
        <v/>
      </c>
      <c r="AY660" t="str">
        <f t="shared" si="244"/>
        <v/>
      </c>
      <c r="AZ660" t="str">
        <f t="shared" si="245"/>
        <v/>
      </c>
    </row>
    <row r="661" spans="1:52" s="145" customFormat="1" x14ac:dyDescent="0.35">
      <c r="A661" s="497" t="s">
        <v>5294</v>
      </c>
      <c r="B661" s="13" t="s">
        <v>5547</v>
      </c>
      <c r="C661" s="13" t="s">
        <v>4808</v>
      </c>
      <c r="D661" s="13" t="s">
        <v>6790</v>
      </c>
      <c r="E661" s="13" t="s">
        <v>3054</v>
      </c>
      <c r="F661" s="373">
        <f t="shared" si="251"/>
        <v>17.84</v>
      </c>
      <c r="G661" s="430">
        <v>17.84</v>
      </c>
      <c r="H661" s="399">
        <f t="shared" si="252"/>
        <v>14.27</v>
      </c>
      <c r="I661" s="576"/>
      <c r="J661" s="549" t="s">
        <v>5804</v>
      </c>
      <c r="K661" s="11"/>
      <c r="L661"/>
      <c r="M661" s="37">
        <f t="shared" si="253"/>
        <v>17.84</v>
      </c>
      <c r="N661" s="29">
        <v>8.9</v>
      </c>
      <c r="O661" s="41"/>
      <c r="P661" s="59"/>
      <c r="Q661"/>
      <c r="R661"/>
      <c r="S661" t="s">
        <v>1017</v>
      </c>
      <c r="T661" s="145" t="s">
        <v>4179</v>
      </c>
      <c r="U661" s="60"/>
      <c r="V661" s="50"/>
      <c r="W661" t="s">
        <v>1017</v>
      </c>
      <c r="X661"/>
      <c r="Y661" s="50"/>
      <c r="Z661" s="50"/>
      <c r="AA661" s="50"/>
      <c r="AB661" s="50"/>
      <c r="AC661" s="50"/>
      <c r="AD661" s="50"/>
      <c r="AE661" s="75" t="s">
        <v>1017</v>
      </c>
      <c r="AF661" s="50"/>
      <c r="AG661" s="50"/>
      <c r="AH661" s="166" t="str">
        <f>IF(ISERROR(SEARCH("K erstmals 201",D661)),"",RIGHT(D661,4))</f>
        <v>2011</v>
      </c>
      <c r="AI661" s="168" t="str">
        <f t="shared" si="246"/>
        <v/>
      </c>
      <c r="AJ661" s="168" t="str">
        <f t="shared" si="247"/>
        <v/>
      </c>
      <c r="AK661" s="168" t="str">
        <f t="shared" si="248"/>
        <v/>
      </c>
      <c r="AL661" s="168" t="str">
        <f t="shared" si="249"/>
        <v/>
      </c>
      <c r="AM661" s="168" t="str">
        <f t="shared" si="250"/>
        <v/>
      </c>
      <c r="AN661" s="167" t="str">
        <f t="shared" si="233"/>
        <v>2011</v>
      </c>
      <c r="AO661" s="167" t="str">
        <f t="shared" si="234"/>
        <v>2011</v>
      </c>
      <c r="AP661" s="167" t="str">
        <f t="shared" si="235"/>
        <v>2011</v>
      </c>
      <c r="AQ661" s="169" t="str">
        <f t="shared" si="236"/>
        <v/>
      </c>
      <c r="AR661" s="170" t="str">
        <f t="shared" si="237"/>
        <v>BiK83a2bK11-04</v>
      </c>
      <c r="AS661" s="169" t="str">
        <f t="shared" si="238"/>
        <v/>
      </c>
      <c r="AT661">
        <f t="shared" si="239"/>
        <v>14</v>
      </c>
      <c r="AU661" s="170" t="str">
        <f t="shared" si="240"/>
        <v>0,5-5 MW, Bonusregeln a2, b und K erstmals 2011</v>
      </c>
      <c r="AV661" s="169" t="str">
        <f t="shared" si="241"/>
        <v/>
      </c>
      <c r="AW661" s="170" t="str">
        <f t="shared" si="242"/>
        <v>Anteil KWK, erstmals 2011</v>
      </c>
      <c r="AX661" s="169" t="str">
        <f t="shared" si="243"/>
        <v/>
      </c>
      <c r="AY661" t="str">
        <f t="shared" si="244"/>
        <v>x</v>
      </c>
      <c r="AZ661" t="str">
        <f t="shared" si="245"/>
        <v/>
      </c>
    </row>
    <row r="662" spans="1:52" s="145" customFormat="1" x14ac:dyDescent="0.35">
      <c r="A662" s="511" t="s">
        <v>1545</v>
      </c>
      <c r="B662" s="173" t="s">
        <v>5547</v>
      </c>
      <c r="C662" s="173" t="s">
        <v>4808</v>
      </c>
      <c r="D662" s="173" t="s">
        <v>6791</v>
      </c>
      <c r="E662" s="173" t="s">
        <v>1980</v>
      </c>
      <c r="F662" s="374">
        <f t="shared" si="251"/>
        <v>17.810000000000002</v>
      </c>
      <c r="G662" s="431">
        <v>17.810000000000002</v>
      </c>
      <c r="H662" s="400">
        <f t="shared" si="252"/>
        <v>14.25</v>
      </c>
      <c r="I662" s="577"/>
      <c r="J662" s="549" t="s">
        <v>5804</v>
      </c>
      <c r="K662" s="11"/>
      <c r="L662"/>
      <c r="M662" s="37">
        <f t="shared" si="253"/>
        <v>17.810000000000002</v>
      </c>
      <c r="N662" s="29">
        <v>8.9</v>
      </c>
      <c r="O662" s="41"/>
      <c r="P662" s="59"/>
      <c r="Q662"/>
      <c r="R662"/>
      <c r="S662" t="s">
        <v>4179</v>
      </c>
      <c r="T662" s="145" t="s">
        <v>1017</v>
      </c>
      <c r="U662" s="60"/>
      <c r="V662" s="50"/>
      <c r="W662" t="s">
        <v>1017</v>
      </c>
      <c r="X662"/>
      <c r="Y662" s="50"/>
      <c r="Z662" s="50"/>
      <c r="AA662" s="50"/>
      <c r="AB662" s="50"/>
      <c r="AC662" s="50"/>
      <c r="AD662" s="50"/>
      <c r="AE662" s="75" t="s">
        <v>1017</v>
      </c>
      <c r="AF662" s="50"/>
      <c r="AG662" s="50"/>
      <c r="AH662" s="171" t="s">
        <v>4178</v>
      </c>
      <c r="AI662" s="168" t="str">
        <f t="shared" si="246"/>
        <v/>
      </c>
      <c r="AJ662" s="168" t="str">
        <f t="shared" si="247"/>
        <v/>
      </c>
      <c r="AK662" s="168" t="str">
        <f t="shared" si="248"/>
        <v/>
      </c>
      <c r="AL662" s="168" t="str">
        <f t="shared" si="249"/>
        <v/>
      </c>
      <c r="AM662" s="168" t="str">
        <f t="shared" si="250"/>
        <v/>
      </c>
      <c r="AN662" s="167" t="str">
        <f t="shared" si="233"/>
        <v>2012</v>
      </c>
      <c r="AO662" s="167" t="str">
        <f t="shared" si="234"/>
        <v>2012</v>
      </c>
      <c r="AP662" s="167" t="str">
        <f t="shared" si="235"/>
        <v>2012</v>
      </c>
      <c r="AQ662" s="169" t="str">
        <f t="shared" si="236"/>
        <v/>
      </c>
      <c r="AR662" s="170" t="str">
        <f t="shared" si="237"/>
        <v>BiK83a2bK12-04</v>
      </c>
      <c r="AS662" s="169" t="str">
        <f t="shared" si="238"/>
        <v/>
      </c>
      <c r="AT662">
        <f t="shared" si="239"/>
        <v>14</v>
      </c>
      <c r="AU662" s="170" t="str">
        <f t="shared" si="240"/>
        <v>0,5-5 MW, Bonusregeln a2, b und K erstmals 2012</v>
      </c>
      <c r="AV662" s="169" t="str">
        <f t="shared" si="241"/>
        <v/>
      </c>
      <c r="AW662" s="170" t="str">
        <f t="shared" si="242"/>
        <v>Anteil KWK, erstmals 2012</v>
      </c>
      <c r="AX662" s="169" t="str">
        <f t="shared" si="243"/>
        <v/>
      </c>
      <c r="AY662" t="str">
        <f t="shared" si="244"/>
        <v/>
      </c>
      <c r="AZ662" t="str">
        <f t="shared" si="245"/>
        <v>x</v>
      </c>
    </row>
    <row r="663" spans="1:52" s="145" customFormat="1" x14ac:dyDescent="0.35">
      <c r="A663" s="496" t="s">
        <v>4501</v>
      </c>
      <c r="B663" s="1" t="s">
        <v>5547</v>
      </c>
      <c r="C663" s="1" t="s">
        <v>4808</v>
      </c>
      <c r="D663" s="1" t="s">
        <v>6792</v>
      </c>
      <c r="E663" s="1" t="s">
        <v>4809</v>
      </c>
      <c r="F663" s="375">
        <f t="shared" si="251"/>
        <v>13.4</v>
      </c>
      <c r="G663" s="432">
        <v>13.4</v>
      </c>
      <c r="H663" s="401">
        <f t="shared" si="252"/>
        <v>10.72</v>
      </c>
      <c r="I663" s="578"/>
      <c r="J663" s="549" t="s">
        <v>5804</v>
      </c>
      <c r="K663" s="11"/>
      <c r="L663"/>
      <c r="M663" s="37">
        <f t="shared" si="253"/>
        <v>13.4</v>
      </c>
      <c r="N663" s="29">
        <v>8.9</v>
      </c>
      <c r="O663" s="41"/>
      <c r="P663" s="59"/>
      <c r="Q663"/>
      <c r="R663"/>
      <c r="S663" t="s">
        <v>4179</v>
      </c>
      <c r="T663" s="145" t="s">
        <v>4179</v>
      </c>
      <c r="U663" s="60"/>
      <c r="V663" s="50"/>
      <c r="W663"/>
      <c r="X663" t="s">
        <v>1017</v>
      </c>
      <c r="Y663" s="50"/>
      <c r="Z663" s="50"/>
      <c r="AA663" s="50"/>
      <c r="AB663" s="50"/>
      <c r="AC663" s="50"/>
      <c r="AD663" s="50"/>
      <c r="AE663" s="75" t="s">
        <v>1017</v>
      </c>
      <c r="AF663" s="50"/>
      <c r="AG663" s="50"/>
      <c r="AH663" s="166" t="str">
        <f>IF(ISERROR(SEARCH("K erstmals 201",D663)),"",RIGHT(D663,4))</f>
        <v/>
      </c>
      <c r="AI663" s="168" t="str">
        <f t="shared" si="246"/>
        <v/>
      </c>
      <c r="AJ663" s="168" t="str">
        <f t="shared" si="247"/>
        <v/>
      </c>
      <c r="AK663" s="168" t="str">
        <f t="shared" si="248"/>
        <v/>
      </c>
      <c r="AL663" s="168" t="str">
        <f t="shared" si="249"/>
        <v/>
      </c>
      <c r="AM663" s="168" t="str">
        <f t="shared" si="250"/>
        <v/>
      </c>
      <c r="AN663" s="167" t="str">
        <f t="shared" si="233"/>
        <v/>
      </c>
      <c r="AO663" s="167" t="str">
        <f t="shared" si="234"/>
        <v/>
      </c>
      <c r="AP663" s="167" t="str">
        <f t="shared" si="235"/>
        <v/>
      </c>
      <c r="AQ663" s="169" t="str">
        <f t="shared" si="236"/>
        <v/>
      </c>
      <c r="AR663" s="170" t="str">
        <f t="shared" si="237"/>
        <v>BiK83a3b----04</v>
      </c>
      <c r="AS663" s="169" t="str">
        <f t="shared" si="238"/>
        <v/>
      </c>
      <c r="AT663">
        <f t="shared" si="239"/>
        <v>14</v>
      </c>
      <c r="AU663" s="170" t="str">
        <f t="shared" si="240"/>
        <v>0,5-5 MW, Bonusregeln a3 und b</v>
      </c>
      <c r="AV663" s="169" t="str">
        <f t="shared" si="241"/>
        <v/>
      </c>
      <c r="AW663" s="170" t="str">
        <f t="shared" si="242"/>
        <v>Anteil Nicht-KWK</v>
      </c>
      <c r="AX663" s="169" t="str">
        <f t="shared" si="243"/>
        <v/>
      </c>
      <c r="AY663" t="str">
        <f t="shared" si="244"/>
        <v/>
      </c>
      <c r="AZ663" t="str">
        <f t="shared" si="245"/>
        <v/>
      </c>
    </row>
    <row r="664" spans="1:52" s="145" customFormat="1" x14ac:dyDescent="0.35">
      <c r="A664" s="496" t="s">
        <v>4502</v>
      </c>
      <c r="B664" s="1" t="s">
        <v>5547</v>
      </c>
      <c r="C664" s="1" t="s">
        <v>4808</v>
      </c>
      <c r="D664" s="1" t="s">
        <v>6793</v>
      </c>
      <c r="E664" s="1" t="s">
        <v>4811</v>
      </c>
      <c r="F664" s="375">
        <f t="shared" si="251"/>
        <v>15.4</v>
      </c>
      <c r="G664" s="432">
        <v>15.4</v>
      </c>
      <c r="H664" s="401">
        <f t="shared" si="252"/>
        <v>12.32</v>
      </c>
      <c r="I664" s="578"/>
      <c r="J664" s="549" t="s">
        <v>5804</v>
      </c>
      <c r="K664" s="11"/>
      <c r="L664"/>
      <c r="M664" s="37">
        <f t="shared" si="253"/>
        <v>15.4</v>
      </c>
      <c r="N664" s="29">
        <v>8.9</v>
      </c>
      <c r="O664" s="41" t="s">
        <v>1017</v>
      </c>
      <c r="P664" s="59"/>
      <c r="Q664"/>
      <c r="R664"/>
      <c r="S664" t="s">
        <v>4179</v>
      </c>
      <c r="T664" s="145" t="s">
        <v>4179</v>
      </c>
      <c r="U664" s="60"/>
      <c r="V664" s="50"/>
      <c r="W664"/>
      <c r="X664" t="s">
        <v>1017</v>
      </c>
      <c r="Y664" s="50"/>
      <c r="Z664" s="50"/>
      <c r="AA664" s="50"/>
      <c r="AB664" s="50"/>
      <c r="AC664" s="50"/>
      <c r="AD664" s="50"/>
      <c r="AE664" s="75" t="s">
        <v>1017</v>
      </c>
      <c r="AF664" s="50"/>
      <c r="AG664" s="50"/>
      <c r="AH664" s="166" t="str">
        <f>IF(ISERROR(SEARCH("K erstmals 201",D664)),"",RIGHT(D664,4))</f>
        <v/>
      </c>
      <c r="AI664" s="168" t="str">
        <f t="shared" si="246"/>
        <v/>
      </c>
      <c r="AJ664" s="168" t="str">
        <f t="shared" si="247"/>
        <v/>
      </c>
      <c r="AK664" s="168" t="str">
        <f t="shared" si="248"/>
        <v/>
      </c>
      <c r="AL664" s="168" t="str">
        <f t="shared" si="249"/>
        <v/>
      </c>
      <c r="AM664" s="168" t="str">
        <f t="shared" si="250"/>
        <v/>
      </c>
      <c r="AN664" s="167" t="str">
        <f t="shared" si="233"/>
        <v/>
      </c>
      <c r="AO664" s="167" t="str">
        <f t="shared" si="234"/>
        <v/>
      </c>
      <c r="AP664" s="167" t="str">
        <f t="shared" si="235"/>
        <v/>
      </c>
      <c r="AQ664" s="169" t="str">
        <f t="shared" si="236"/>
        <v/>
      </c>
      <c r="AR664" s="170" t="str">
        <f t="shared" si="237"/>
        <v>BiK83a3bKWK-04</v>
      </c>
      <c r="AS664" s="169" t="str">
        <f t="shared" si="238"/>
        <v/>
      </c>
      <c r="AT664">
        <f t="shared" si="239"/>
        <v>14</v>
      </c>
      <c r="AU664" s="170" t="str">
        <f t="shared" si="240"/>
        <v>0,5-5 MW, Bonusregeln a3, b und KWK</v>
      </c>
      <c r="AV664" s="169" t="str">
        <f t="shared" si="241"/>
        <v/>
      </c>
      <c r="AW664" s="170" t="str">
        <f t="shared" si="242"/>
        <v>Anteil KWK</v>
      </c>
      <c r="AX664" s="169" t="str">
        <f t="shared" si="243"/>
        <v/>
      </c>
      <c r="AY664" t="str">
        <f t="shared" si="244"/>
        <v/>
      </c>
      <c r="AZ664" t="str">
        <f t="shared" si="245"/>
        <v/>
      </c>
    </row>
    <row r="665" spans="1:52" s="145" customFormat="1" x14ac:dyDescent="0.35">
      <c r="A665" s="497" t="s">
        <v>4026</v>
      </c>
      <c r="B665" s="13" t="s">
        <v>5547</v>
      </c>
      <c r="C665" s="13" t="s">
        <v>4808</v>
      </c>
      <c r="D665" s="13" t="s">
        <v>6794</v>
      </c>
      <c r="E665" s="13" t="s">
        <v>674</v>
      </c>
      <c r="F665" s="373">
        <f t="shared" si="251"/>
        <v>16.399999999999999</v>
      </c>
      <c r="G665" s="430">
        <v>16.399999999999999</v>
      </c>
      <c r="H665" s="399">
        <f t="shared" si="252"/>
        <v>13.12</v>
      </c>
      <c r="I665" s="576"/>
      <c r="J665" s="549" t="s">
        <v>5804</v>
      </c>
      <c r="K665" s="11"/>
      <c r="L665"/>
      <c r="M665" s="37">
        <f t="shared" si="253"/>
        <v>16.399999999999999</v>
      </c>
      <c r="N665" s="29">
        <v>8.9</v>
      </c>
      <c r="O665" s="41"/>
      <c r="P665" s="59"/>
      <c r="Q665" t="s">
        <v>1017</v>
      </c>
      <c r="R665"/>
      <c r="S665" t="s">
        <v>4179</v>
      </c>
      <c r="T665" s="145" t="s">
        <v>4179</v>
      </c>
      <c r="U665" s="60"/>
      <c r="V665" s="50"/>
      <c r="W665"/>
      <c r="X665" t="s">
        <v>1017</v>
      </c>
      <c r="Y665" s="50"/>
      <c r="Z665" s="50"/>
      <c r="AA665" s="50"/>
      <c r="AB665" s="50"/>
      <c r="AC665" s="50"/>
      <c r="AD665" s="50"/>
      <c r="AE665" s="75" t="s">
        <v>1017</v>
      </c>
      <c r="AF665" s="50"/>
      <c r="AG665" s="50"/>
      <c r="AH665" s="166" t="str">
        <f>IF(ISERROR(SEARCH("K erstmals 201",D665)),"",RIGHT(D665,4))</f>
        <v/>
      </c>
      <c r="AI665" s="168" t="str">
        <f t="shared" si="246"/>
        <v/>
      </c>
      <c r="AJ665" s="168" t="str">
        <f t="shared" si="247"/>
        <v/>
      </c>
      <c r="AK665" s="168" t="str">
        <f t="shared" si="248"/>
        <v/>
      </c>
      <c r="AL665" s="168" t="str">
        <f t="shared" si="249"/>
        <v/>
      </c>
      <c r="AM665" s="168" t="str">
        <f t="shared" si="250"/>
        <v/>
      </c>
      <c r="AN665" s="167" t="str">
        <f t="shared" si="233"/>
        <v/>
      </c>
      <c r="AO665" s="167" t="str">
        <f t="shared" si="234"/>
        <v/>
      </c>
      <c r="AP665" s="167" t="str">
        <f t="shared" si="235"/>
        <v/>
      </c>
      <c r="AQ665" s="169" t="str">
        <f t="shared" si="236"/>
        <v/>
      </c>
      <c r="AR665" s="170" t="str">
        <f t="shared" si="237"/>
        <v>BiK83a3bK09-04</v>
      </c>
      <c r="AS665" s="169" t="str">
        <f t="shared" si="238"/>
        <v/>
      </c>
      <c r="AT665">
        <f t="shared" si="239"/>
        <v>14</v>
      </c>
      <c r="AU665" s="170" t="str">
        <f t="shared" si="240"/>
        <v>0,5-5 MW, Bonusregeln a3, b und K erstmals 2009</v>
      </c>
      <c r="AV665" s="169" t="str">
        <f t="shared" si="241"/>
        <v/>
      </c>
      <c r="AW665" s="170" t="str">
        <f t="shared" si="242"/>
        <v>Anteil KWK, erstmals 2009</v>
      </c>
      <c r="AX665" s="169" t="str">
        <f t="shared" si="243"/>
        <v/>
      </c>
      <c r="AY665" t="str">
        <f t="shared" si="244"/>
        <v/>
      </c>
      <c r="AZ665" t="str">
        <f t="shared" si="245"/>
        <v/>
      </c>
    </row>
    <row r="666" spans="1:52" s="145" customFormat="1" x14ac:dyDescent="0.35">
      <c r="A666" s="497" t="s">
        <v>4042</v>
      </c>
      <c r="B666" s="13" t="s">
        <v>5547</v>
      </c>
      <c r="C666" s="13" t="s">
        <v>4808</v>
      </c>
      <c r="D666" s="13" t="s">
        <v>6795</v>
      </c>
      <c r="E666" s="13" t="s">
        <v>3566</v>
      </c>
      <c r="F666" s="373">
        <f t="shared" si="251"/>
        <v>16.37</v>
      </c>
      <c r="G666" s="430">
        <v>16.37</v>
      </c>
      <c r="H666" s="399">
        <f t="shared" si="252"/>
        <v>13.1</v>
      </c>
      <c r="I666" s="576"/>
      <c r="J666" s="549" t="s">
        <v>5804</v>
      </c>
      <c r="K666" s="11"/>
      <c r="L666"/>
      <c r="M666" s="37">
        <f t="shared" si="253"/>
        <v>16.37</v>
      </c>
      <c r="N666" s="29">
        <v>8.9</v>
      </c>
      <c r="O666" s="41"/>
      <c r="P666" s="59"/>
      <c r="Q666"/>
      <c r="R666" t="s">
        <v>1017</v>
      </c>
      <c r="S666" t="s">
        <v>4179</v>
      </c>
      <c r="T666" s="145" t="s">
        <v>4179</v>
      </c>
      <c r="U666" s="60"/>
      <c r="V666" s="50"/>
      <c r="W666"/>
      <c r="X666" t="s">
        <v>1017</v>
      </c>
      <c r="Y666" s="50"/>
      <c r="Z666" s="50"/>
      <c r="AA666" s="50"/>
      <c r="AB666" s="50"/>
      <c r="AC666" s="50"/>
      <c r="AD666" s="50"/>
      <c r="AE666" s="75" t="s">
        <v>1017</v>
      </c>
      <c r="AF666" s="50"/>
      <c r="AG666" s="50"/>
      <c r="AH666" s="166" t="str">
        <f>IF(ISERROR(SEARCH("K erstmals 201",D666)),"",RIGHT(D666,4))</f>
        <v>2010</v>
      </c>
      <c r="AI666" s="168" t="str">
        <f t="shared" si="246"/>
        <v/>
      </c>
      <c r="AJ666" s="168" t="str">
        <f t="shared" si="247"/>
        <v/>
      </c>
      <c r="AK666" s="168" t="str">
        <f t="shared" si="248"/>
        <v/>
      </c>
      <c r="AL666" s="168" t="str">
        <f t="shared" si="249"/>
        <v/>
      </c>
      <c r="AM666" s="168" t="str">
        <f t="shared" si="250"/>
        <v/>
      </c>
      <c r="AN666" s="167" t="str">
        <f t="shared" si="233"/>
        <v>2010</v>
      </c>
      <c r="AO666" s="167" t="str">
        <f t="shared" si="234"/>
        <v>2010</v>
      </c>
      <c r="AP666" s="167" t="str">
        <f t="shared" si="235"/>
        <v>2010</v>
      </c>
      <c r="AQ666" s="169" t="str">
        <f t="shared" si="236"/>
        <v/>
      </c>
      <c r="AR666" s="170" t="str">
        <f t="shared" si="237"/>
        <v>BiK83a3bK10-04</v>
      </c>
      <c r="AS666" s="169" t="str">
        <f t="shared" si="238"/>
        <v/>
      </c>
      <c r="AT666">
        <f t="shared" si="239"/>
        <v>14</v>
      </c>
      <c r="AU666" s="170" t="str">
        <f t="shared" si="240"/>
        <v>0,5-5 MW, Bonusregeln a3, b und K erstmals 2010</v>
      </c>
      <c r="AV666" s="169" t="str">
        <f t="shared" si="241"/>
        <v/>
      </c>
      <c r="AW666" s="170" t="str">
        <f t="shared" si="242"/>
        <v>Anteil KWK, erstmals 2010</v>
      </c>
      <c r="AX666" s="169" t="str">
        <f t="shared" si="243"/>
        <v/>
      </c>
      <c r="AY666" t="str">
        <f t="shared" si="244"/>
        <v/>
      </c>
      <c r="AZ666" t="str">
        <f t="shared" si="245"/>
        <v/>
      </c>
    </row>
    <row r="667" spans="1:52" x14ac:dyDescent="0.35">
      <c r="A667" s="497" t="s">
        <v>5295</v>
      </c>
      <c r="B667" s="13" t="s">
        <v>5547</v>
      </c>
      <c r="C667" s="13" t="s">
        <v>4808</v>
      </c>
      <c r="D667" s="13" t="s">
        <v>6796</v>
      </c>
      <c r="E667" s="13" t="s">
        <v>3054</v>
      </c>
      <c r="F667" s="373">
        <f t="shared" si="251"/>
        <v>16.34</v>
      </c>
      <c r="G667" s="430">
        <v>16.34</v>
      </c>
      <c r="H667" s="399">
        <f t="shared" si="252"/>
        <v>13.07</v>
      </c>
      <c r="I667" s="576"/>
      <c r="J667" s="549" t="s">
        <v>5804</v>
      </c>
      <c r="K667" s="11"/>
      <c r="M667" s="37">
        <f t="shared" si="253"/>
        <v>16.34</v>
      </c>
      <c r="N667" s="29">
        <v>8.9</v>
      </c>
      <c r="O667" s="41"/>
      <c r="P667" s="59"/>
      <c r="S667" t="s">
        <v>1017</v>
      </c>
      <c r="T667" t="s">
        <v>4179</v>
      </c>
      <c r="U667" s="60"/>
      <c r="V667" s="50"/>
      <c r="X667" t="s">
        <v>1017</v>
      </c>
      <c r="Y667" s="50"/>
      <c r="Z667" s="50"/>
      <c r="AA667" s="50"/>
      <c r="AB667" s="50"/>
      <c r="AC667" s="50"/>
      <c r="AD667" s="50"/>
      <c r="AE667" s="75" t="s">
        <v>1017</v>
      </c>
      <c r="AF667" s="50"/>
      <c r="AG667" s="50"/>
      <c r="AH667" s="166" t="str">
        <f>IF(ISERROR(SEARCH("K erstmals 201",D667)),"",RIGHT(D667,4))</f>
        <v>2011</v>
      </c>
      <c r="AI667" s="168" t="str">
        <f t="shared" si="246"/>
        <v/>
      </c>
      <c r="AJ667" s="168" t="str">
        <f t="shared" si="247"/>
        <v/>
      </c>
      <c r="AK667" s="168" t="str">
        <f t="shared" si="248"/>
        <v/>
      </c>
      <c r="AL667" s="168" t="str">
        <f t="shared" si="249"/>
        <v/>
      </c>
      <c r="AM667" s="168" t="str">
        <f t="shared" si="250"/>
        <v/>
      </c>
      <c r="AN667" s="167" t="str">
        <f t="shared" si="233"/>
        <v>2011</v>
      </c>
      <c r="AO667" s="167" t="str">
        <f t="shared" si="234"/>
        <v>2011</v>
      </c>
      <c r="AP667" s="167" t="str">
        <f t="shared" si="235"/>
        <v>2011</v>
      </c>
      <c r="AQ667" s="169" t="str">
        <f t="shared" si="236"/>
        <v/>
      </c>
      <c r="AR667" s="170" t="str">
        <f t="shared" si="237"/>
        <v>BiK83a3bK11-04</v>
      </c>
      <c r="AS667" s="169" t="str">
        <f t="shared" si="238"/>
        <v/>
      </c>
      <c r="AT667">
        <f t="shared" si="239"/>
        <v>14</v>
      </c>
      <c r="AU667" s="170" t="str">
        <f t="shared" si="240"/>
        <v>0,5-5 MW, Bonusregeln a3, b und K erstmals 2011</v>
      </c>
      <c r="AV667" s="169" t="str">
        <f t="shared" si="241"/>
        <v/>
      </c>
      <c r="AW667" s="170" t="str">
        <f t="shared" si="242"/>
        <v>Anteil KWK, erstmals 2011</v>
      </c>
      <c r="AX667" s="169" t="str">
        <f t="shared" si="243"/>
        <v/>
      </c>
      <c r="AY667" t="str">
        <f t="shared" si="244"/>
        <v>x</v>
      </c>
      <c r="AZ667" t="str">
        <f t="shared" si="245"/>
        <v/>
      </c>
    </row>
    <row r="668" spans="1:52" x14ac:dyDescent="0.35">
      <c r="A668" s="511" t="s">
        <v>1546</v>
      </c>
      <c r="B668" s="173" t="s">
        <v>5547</v>
      </c>
      <c r="C668" s="173" t="s">
        <v>4808</v>
      </c>
      <c r="D668" s="173" t="s">
        <v>6797</v>
      </c>
      <c r="E668" s="173" t="s">
        <v>1980</v>
      </c>
      <c r="F668" s="374">
        <f t="shared" si="251"/>
        <v>16.310000000000002</v>
      </c>
      <c r="G668" s="431">
        <v>16.310000000000002</v>
      </c>
      <c r="H668" s="400">
        <f t="shared" si="252"/>
        <v>13.05</v>
      </c>
      <c r="I668" s="577"/>
      <c r="J668" s="549" t="s">
        <v>5804</v>
      </c>
      <c r="K668" s="11"/>
      <c r="M668" s="37">
        <f t="shared" si="253"/>
        <v>16.310000000000002</v>
      </c>
      <c r="N668" s="29">
        <v>8.9</v>
      </c>
      <c r="O668" s="41"/>
      <c r="P668" s="59"/>
      <c r="S668" t="s">
        <v>4179</v>
      </c>
      <c r="T668" t="s">
        <v>1017</v>
      </c>
      <c r="U668" s="60"/>
      <c r="V668" s="50"/>
      <c r="X668" t="s">
        <v>1017</v>
      </c>
      <c r="Y668" s="50"/>
      <c r="Z668" s="50"/>
      <c r="AA668" s="50"/>
      <c r="AB668" s="50"/>
      <c r="AC668" s="50"/>
      <c r="AD668" s="50"/>
      <c r="AE668" s="75" t="s">
        <v>1017</v>
      </c>
      <c r="AF668" s="50"/>
      <c r="AG668" s="50"/>
      <c r="AH668" s="171" t="s">
        <v>4178</v>
      </c>
      <c r="AI668" s="168" t="str">
        <f t="shared" si="246"/>
        <v/>
      </c>
      <c r="AJ668" s="168" t="str">
        <f t="shared" si="247"/>
        <v/>
      </c>
      <c r="AK668" s="168" t="str">
        <f t="shared" si="248"/>
        <v/>
      </c>
      <c r="AL668" s="168" t="str">
        <f t="shared" si="249"/>
        <v/>
      </c>
      <c r="AM668" s="168" t="str">
        <f t="shared" si="250"/>
        <v/>
      </c>
      <c r="AN668" s="167" t="str">
        <f t="shared" si="233"/>
        <v>2012</v>
      </c>
      <c r="AO668" s="167" t="str">
        <f t="shared" si="234"/>
        <v>2012</v>
      </c>
      <c r="AP668" s="167" t="str">
        <f t="shared" si="235"/>
        <v>2012</v>
      </c>
      <c r="AQ668" s="169" t="str">
        <f t="shared" si="236"/>
        <v/>
      </c>
      <c r="AR668" s="170" t="str">
        <f t="shared" si="237"/>
        <v>BiK83a3bK12-04</v>
      </c>
      <c r="AS668" s="169" t="str">
        <f t="shared" si="238"/>
        <v/>
      </c>
      <c r="AT668">
        <f t="shared" si="239"/>
        <v>14</v>
      </c>
      <c r="AU668" s="170" t="str">
        <f t="shared" si="240"/>
        <v>0,5-5 MW, Bonusregeln a3, b und K erstmals 2012</v>
      </c>
      <c r="AV668" s="169" t="str">
        <f t="shared" si="241"/>
        <v/>
      </c>
      <c r="AW668" s="170" t="str">
        <f t="shared" si="242"/>
        <v>Anteil KWK, erstmals 2012</v>
      </c>
      <c r="AX668" s="169" t="str">
        <f t="shared" si="243"/>
        <v/>
      </c>
      <c r="AY668" t="str">
        <f t="shared" si="244"/>
        <v/>
      </c>
      <c r="AZ668" t="str">
        <f t="shared" si="245"/>
        <v>x</v>
      </c>
    </row>
    <row r="669" spans="1:52" x14ac:dyDescent="0.35">
      <c r="A669" s="496" t="s">
        <v>4503</v>
      </c>
      <c r="B669" s="1" t="s">
        <v>5547</v>
      </c>
      <c r="C669" s="1" t="s">
        <v>4808</v>
      </c>
      <c r="D669" s="1" t="s">
        <v>1776</v>
      </c>
      <c r="E669" s="1" t="s">
        <v>4809</v>
      </c>
      <c r="F669" s="375">
        <f t="shared" si="251"/>
        <v>8.4</v>
      </c>
      <c r="G669" s="432">
        <v>8.4</v>
      </c>
      <c r="H669" s="401">
        <f t="shared" si="252"/>
        <v>6.72</v>
      </c>
      <c r="I669" s="578"/>
      <c r="J669" s="549" t="s">
        <v>5804</v>
      </c>
      <c r="K669" s="11"/>
      <c r="M669" s="37">
        <f t="shared" si="253"/>
        <v>8.4</v>
      </c>
      <c r="N669" s="29">
        <v>8.4</v>
      </c>
      <c r="O669" s="41"/>
      <c r="P669" s="59"/>
      <c r="S669" t="s">
        <v>4179</v>
      </c>
      <c r="T669" t="s">
        <v>4179</v>
      </c>
      <c r="U669" s="60"/>
      <c r="V669" s="50"/>
      <c r="W669" s="50"/>
      <c r="X669" s="50"/>
      <c r="Y669" s="50"/>
      <c r="Z669" s="50"/>
      <c r="AA669" s="50"/>
      <c r="AB669" s="50"/>
      <c r="AC669" s="50"/>
      <c r="AD669" s="50"/>
      <c r="AE669" s="154"/>
      <c r="AF669" s="50"/>
      <c r="AG669" s="50"/>
      <c r="AH669" s="166" t="str">
        <f>IF(ISERROR(SEARCH("K erstmals 201",D669)),"",RIGHT(D669,4))</f>
        <v/>
      </c>
      <c r="AI669" s="168" t="str">
        <f t="shared" si="246"/>
        <v/>
      </c>
      <c r="AJ669" s="168" t="str">
        <f t="shared" si="247"/>
        <v/>
      </c>
      <c r="AK669" s="168" t="str">
        <f t="shared" si="248"/>
        <v/>
      </c>
      <c r="AL669" s="168" t="str">
        <f t="shared" si="249"/>
        <v/>
      </c>
      <c r="AM669" s="168" t="str">
        <f t="shared" si="250"/>
        <v/>
      </c>
      <c r="AN669" s="167" t="str">
        <f t="shared" si="233"/>
        <v/>
      </c>
      <c r="AO669" s="167" t="str">
        <f t="shared" si="234"/>
        <v/>
      </c>
      <c r="AP669" s="167" t="str">
        <f t="shared" si="235"/>
        <v/>
      </c>
      <c r="AQ669" s="169" t="str">
        <f t="shared" si="236"/>
        <v/>
      </c>
      <c r="AR669" s="170" t="str">
        <f t="shared" si="237"/>
        <v>BiK84-------04</v>
      </c>
      <c r="AS669" s="169" t="str">
        <f t="shared" si="238"/>
        <v/>
      </c>
      <c r="AT669">
        <f t="shared" si="239"/>
        <v>14</v>
      </c>
      <c r="AU669" s="170" t="str">
        <f t="shared" si="240"/>
        <v>5-20 MW</v>
      </c>
      <c r="AV669" s="169" t="str">
        <f t="shared" si="241"/>
        <v/>
      </c>
      <c r="AW669" s="170" t="str">
        <f t="shared" si="242"/>
        <v>Anteil Nicht-KWK</v>
      </c>
      <c r="AX669" s="169" t="str">
        <f t="shared" si="243"/>
        <v/>
      </c>
      <c r="AY669" t="str">
        <f t="shared" si="244"/>
        <v/>
      </c>
      <c r="AZ669" t="str">
        <f t="shared" si="245"/>
        <v/>
      </c>
    </row>
    <row r="670" spans="1:52" x14ac:dyDescent="0.35">
      <c r="A670" s="496" t="s">
        <v>4504</v>
      </c>
      <c r="B670" s="1" t="s">
        <v>5547</v>
      </c>
      <c r="C670" s="1" t="s">
        <v>4808</v>
      </c>
      <c r="D670" s="1" t="s">
        <v>7362</v>
      </c>
      <c r="E670" s="1" t="s">
        <v>4811</v>
      </c>
      <c r="F670" s="375">
        <f t="shared" si="251"/>
        <v>10.4</v>
      </c>
      <c r="G670" s="432">
        <v>10.4</v>
      </c>
      <c r="H670" s="401">
        <f t="shared" si="252"/>
        <v>8.32</v>
      </c>
      <c r="I670" s="578"/>
      <c r="J670" s="549" t="s">
        <v>5804</v>
      </c>
      <c r="K670" s="11"/>
      <c r="M670" s="37">
        <f t="shared" si="253"/>
        <v>10.4</v>
      </c>
      <c r="N670" s="29">
        <v>8.4</v>
      </c>
      <c r="O670" s="41" t="s">
        <v>1017</v>
      </c>
      <c r="P670" s="59"/>
      <c r="S670" t="s">
        <v>4179</v>
      </c>
      <c r="T670" t="s">
        <v>4179</v>
      </c>
      <c r="U670" s="60"/>
      <c r="V670" s="50"/>
      <c r="W670" s="50"/>
      <c r="X670" s="50"/>
      <c r="Y670" s="50"/>
      <c r="Z670" s="50"/>
      <c r="AA670" s="50"/>
      <c r="AB670" s="50"/>
      <c r="AC670" s="50"/>
      <c r="AD670" s="50"/>
      <c r="AE670" s="154"/>
      <c r="AF670" s="50"/>
      <c r="AG670" s="50"/>
      <c r="AH670" s="166" t="str">
        <f>IF(ISERROR(SEARCH("K erstmals 201",D670)),"",RIGHT(D670,4))</f>
        <v/>
      </c>
      <c r="AI670" s="168" t="str">
        <f t="shared" si="246"/>
        <v/>
      </c>
      <c r="AJ670" s="168" t="str">
        <f t="shared" si="247"/>
        <v/>
      </c>
      <c r="AK670" s="168" t="str">
        <f t="shared" si="248"/>
        <v/>
      </c>
      <c r="AL670" s="168" t="str">
        <f t="shared" si="249"/>
        <v/>
      </c>
      <c r="AM670" s="168" t="str">
        <f t="shared" si="250"/>
        <v/>
      </c>
      <c r="AN670" s="167" t="str">
        <f t="shared" si="233"/>
        <v/>
      </c>
      <c r="AO670" s="167" t="str">
        <f t="shared" si="234"/>
        <v/>
      </c>
      <c r="AP670" s="167" t="str">
        <f t="shared" si="235"/>
        <v/>
      </c>
      <c r="AQ670" s="169" t="str">
        <f t="shared" si="236"/>
        <v/>
      </c>
      <c r="AR670" s="170" t="str">
        <f t="shared" si="237"/>
        <v>BiK84KWK----04</v>
      </c>
      <c r="AS670" s="169" t="str">
        <f t="shared" si="238"/>
        <v/>
      </c>
      <c r="AT670">
        <f t="shared" si="239"/>
        <v>14</v>
      </c>
      <c r="AU670" s="170" t="str">
        <f t="shared" si="240"/>
        <v>5-20 MW, Bonusregel KWK</v>
      </c>
      <c r="AV670" s="169" t="str">
        <f t="shared" si="241"/>
        <v/>
      </c>
      <c r="AW670" s="170" t="str">
        <f t="shared" si="242"/>
        <v>Anteil KWK</v>
      </c>
      <c r="AX670" s="169" t="str">
        <f t="shared" si="243"/>
        <v/>
      </c>
      <c r="AY670" t="str">
        <f t="shared" si="244"/>
        <v/>
      </c>
      <c r="AZ670" t="str">
        <f t="shared" si="245"/>
        <v/>
      </c>
    </row>
    <row r="671" spans="1:52" x14ac:dyDescent="0.35">
      <c r="A671" s="497" t="s">
        <v>2343</v>
      </c>
      <c r="B671" s="13" t="s">
        <v>5547</v>
      </c>
      <c r="C671" s="13" t="s">
        <v>4808</v>
      </c>
      <c r="D671" s="13" t="s">
        <v>7358</v>
      </c>
      <c r="E671" s="13" t="s">
        <v>674</v>
      </c>
      <c r="F671" s="373">
        <f t="shared" si="251"/>
        <v>11.4</v>
      </c>
      <c r="G671" s="430">
        <v>11.4</v>
      </c>
      <c r="H671" s="399">
        <f t="shared" si="252"/>
        <v>9.1199999999999992</v>
      </c>
      <c r="I671" s="576"/>
      <c r="J671" s="549" t="s">
        <v>5804</v>
      </c>
      <c r="K671" s="11"/>
      <c r="M671" s="37">
        <f t="shared" si="253"/>
        <v>11.4</v>
      </c>
      <c r="N671" s="29">
        <v>8.4</v>
      </c>
      <c r="O671" s="41"/>
      <c r="P671" s="59"/>
      <c r="Q671" t="s">
        <v>1017</v>
      </c>
      <c r="S671" t="s">
        <v>4179</v>
      </c>
      <c r="T671" t="s">
        <v>4179</v>
      </c>
      <c r="U671" s="60"/>
      <c r="V671" s="50"/>
      <c r="W671" s="50"/>
      <c r="X671" s="50"/>
      <c r="Y671" s="50"/>
      <c r="Z671" s="50"/>
      <c r="AA671" s="50"/>
      <c r="AB671" s="50"/>
      <c r="AC671" s="50"/>
      <c r="AD671" s="50"/>
      <c r="AE671" s="154"/>
      <c r="AF671" s="50"/>
      <c r="AG671" s="50"/>
      <c r="AH671" s="166" t="str">
        <f>IF(ISERROR(SEARCH("K erstmals 201",D671)),"",RIGHT(D671,4))</f>
        <v/>
      </c>
      <c r="AI671" s="168" t="str">
        <f t="shared" si="246"/>
        <v/>
      </c>
      <c r="AJ671" s="168" t="str">
        <f t="shared" si="247"/>
        <v/>
      </c>
      <c r="AK671" s="168" t="str">
        <f t="shared" si="248"/>
        <v/>
      </c>
      <c r="AL671" s="168" t="str">
        <f t="shared" si="249"/>
        <v/>
      </c>
      <c r="AM671" s="168" t="str">
        <f t="shared" si="250"/>
        <v/>
      </c>
      <c r="AN671" s="167" t="str">
        <f t="shared" si="233"/>
        <v/>
      </c>
      <c r="AO671" s="167" t="str">
        <f t="shared" si="234"/>
        <v/>
      </c>
      <c r="AP671" s="167" t="str">
        <f t="shared" si="235"/>
        <v/>
      </c>
      <c r="AQ671" s="169" t="str">
        <f t="shared" si="236"/>
        <v/>
      </c>
      <c r="AR671" s="170" t="str">
        <f t="shared" si="237"/>
        <v>BiK84K09----04</v>
      </c>
      <c r="AS671" s="169" t="str">
        <f t="shared" si="238"/>
        <v/>
      </c>
      <c r="AT671">
        <f t="shared" si="239"/>
        <v>14</v>
      </c>
      <c r="AU671" s="170" t="str">
        <f t="shared" si="240"/>
        <v>5-20 MW, Bonusregel K erstmals 2009</v>
      </c>
      <c r="AV671" s="169" t="str">
        <f t="shared" si="241"/>
        <v/>
      </c>
      <c r="AW671" s="170" t="str">
        <f t="shared" si="242"/>
        <v>Anteil KWK, erstmals 2009</v>
      </c>
      <c r="AX671" s="169" t="str">
        <f t="shared" si="243"/>
        <v/>
      </c>
      <c r="AY671" t="str">
        <f t="shared" si="244"/>
        <v/>
      </c>
      <c r="AZ671" t="str">
        <f t="shared" si="245"/>
        <v/>
      </c>
    </row>
    <row r="672" spans="1:52" x14ac:dyDescent="0.35">
      <c r="A672" s="497" t="s">
        <v>4043</v>
      </c>
      <c r="B672" s="13" t="s">
        <v>5547</v>
      </c>
      <c r="C672" s="13" t="s">
        <v>4808</v>
      </c>
      <c r="D672" s="13" t="s">
        <v>7359</v>
      </c>
      <c r="E672" s="13" t="s">
        <v>3566</v>
      </c>
      <c r="F672" s="373">
        <f t="shared" si="251"/>
        <v>11.370000000000001</v>
      </c>
      <c r="G672" s="430">
        <v>11.370000000000001</v>
      </c>
      <c r="H672" s="399">
        <f t="shared" si="252"/>
        <v>9.1</v>
      </c>
      <c r="I672" s="576"/>
      <c r="J672" s="549" t="s">
        <v>5804</v>
      </c>
      <c r="K672" s="11"/>
      <c r="M672" s="37">
        <f t="shared" si="253"/>
        <v>11.370000000000001</v>
      </c>
      <c r="N672" s="29">
        <v>8.4</v>
      </c>
      <c r="O672" s="41"/>
      <c r="P672" s="59"/>
      <c r="R672" t="s">
        <v>1017</v>
      </c>
      <c r="S672" t="s">
        <v>4179</v>
      </c>
      <c r="T672" t="s">
        <v>4179</v>
      </c>
      <c r="U672" s="60"/>
      <c r="V672" s="50"/>
      <c r="W672" s="50"/>
      <c r="X672" s="50"/>
      <c r="Y672" s="50"/>
      <c r="Z672" s="50"/>
      <c r="AA672" s="50"/>
      <c r="AB672" s="50"/>
      <c r="AC672" s="50"/>
      <c r="AD672" s="50"/>
      <c r="AE672" s="154"/>
      <c r="AF672" s="50"/>
      <c r="AG672" s="50"/>
      <c r="AH672" s="166" t="str">
        <f>IF(ISERROR(SEARCH("K erstmals 201",D672)),"",RIGHT(D672,4))</f>
        <v>2010</v>
      </c>
      <c r="AI672" s="168" t="str">
        <f t="shared" si="246"/>
        <v/>
      </c>
      <c r="AJ672" s="168" t="str">
        <f t="shared" si="247"/>
        <v/>
      </c>
      <c r="AK672" s="168" t="str">
        <f t="shared" si="248"/>
        <v/>
      </c>
      <c r="AL672" s="168" t="str">
        <f t="shared" si="249"/>
        <v/>
      </c>
      <c r="AM672" s="168" t="str">
        <f t="shared" si="250"/>
        <v/>
      </c>
      <c r="AN672" s="167" t="str">
        <f t="shared" si="233"/>
        <v>2010</v>
      </c>
      <c r="AO672" s="167" t="str">
        <f t="shared" si="234"/>
        <v>2010</v>
      </c>
      <c r="AP672" s="167" t="str">
        <f t="shared" si="235"/>
        <v>2010</v>
      </c>
      <c r="AQ672" s="169" t="str">
        <f t="shared" si="236"/>
        <v/>
      </c>
      <c r="AR672" s="170" t="str">
        <f t="shared" si="237"/>
        <v>BiK84K10----04</v>
      </c>
      <c r="AS672" s="169" t="str">
        <f t="shared" si="238"/>
        <v/>
      </c>
      <c r="AT672">
        <f t="shared" si="239"/>
        <v>14</v>
      </c>
      <c r="AU672" s="170" t="str">
        <f t="shared" si="240"/>
        <v>5-20 MW, Bonusregel K erstmals 2010</v>
      </c>
      <c r="AV672" s="169" t="str">
        <f t="shared" si="241"/>
        <v/>
      </c>
      <c r="AW672" s="170" t="str">
        <f t="shared" si="242"/>
        <v>Anteil KWK, erstmals 2010</v>
      </c>
      <c r="AX672" s="169" t="str">
        <f t="shared" si="243"/>
        <v/>
      </c>
      <c r="AY672" t="str">
        <f t="shared" si="244"/>
        <v/>
      </c>
      <c r="AZ672" t="str">
        <f t="shared" si="245"/>
        <v/>
      </c>
    </row>
    <row r="673" spans="1:52" x14ac:dyDescent="0.35">
      <c r="A673" s="497" t="s">
        <v>5296</v>
      </c>
      <c r="B673" s="13" t="s">
        <v>5547</v>
      </c>
      <c r="C673" s="13" t="s">
        <v>4808</v>
      </c>
      <c r="D673" s="13" t="s">
        <v>7360</v>
      </c>
      <c r="E673" s="13" t="s">
        <v>3054</v>
      </c>
      <c r="F673" s="373">
        <f t="shared" si="251"/>
        <v>11.34</v>
      </c>
      <c r="G673" s="430">
        <v>11.34</v>
      </c>
      <c r="H673" s="399">
        <f t="shared" si="252"/>
        <v>9.07</v>
      </c>
      <c r="I673" s="576"/>
      <c r="J673" s="549" t="s">
        <v>5804</v>
      </c>
      <c r="K673" s="11"/>
      <c r="M673" s="37">
        <f t="shared" si="253"/>
        <v>11.34</v>
      </c>
      <c r="N673" s="29">
        <v>8.4</v>
      </c>
      <c r="O673" s="41"/>
      <c r="P673" s="59"/>
      <c r="S673" t="s">
        <v>1017</v>
      </c>
      <c r="T673" t="s">
        <v>4179</v>
      </c>
      <c r="U673" s="60"/>
      <c r="V673" s="50"/>
      <c r="W673" s="50"/>
      <c r="X673" s="50"/>
      <c r="Y673" s="50"/>
      <c r="Z673" s="50"/>
      <c r="AA673" s="50"/>
      <c r="AB673" s="50"/>
      <c r="AC673" s="50"/>
      <c r="AD673" s="50"/>
      <c r="AE673" s="154"/>
      <c r="AF673" s="50"/>
      <c r="AG673" s="50"/>
      <c r="AH673" s="166" t="str">
        <f>IF(ISERROR(SEARCH("K erstmals 201",D673)),"",RIGHT(D673,4))</f>
        <v>2011</v>
      </c>
      <c r="AI673" s="168" t="str">
        <f t="shared" si="246"/>
        <v/>
      </c>
      <c r="AJ673" s="168" t="str">
        <f t="shared" si="247"/>
        <v/>
      </c>
      <c r="AK673" s="168" t="str">
        <f t="shared" si="248"/>
        <v/>
      </c>
      <c r="AL673" s="168" t="str">
        <f t="shared" si="249"/>
        <v/>
      </c>
      <c r="AM673" s="168" t="str">
        <f t="shared" si="250"/>
        <v/>
      </c>
      <c r="AN673" s="167" t="str">
        <f t="shared" si="233"/>
        <v>2011</v>
      </c>
      <c r="AO673" s="167" t="str">
        <f t="shared" si="234"/>
        <v>2011</v>
      </c>
      <c r="AP673" s="167" t="str">
        <f t="shared" si="235"/>
        <v>2011</v>
      </c>
      <c r="AQ673" s="169" t="str">
        <f t="shared" si="236"/>
        <v/>
      </c>
      <c r="AR673" s="170" t="str">
        <f t="shared" si="237"/>
        <v>BiK84K11----04</v>
      </c>
      <c r="AS673" s="169" t="str">
        <f t="shared" si="238"/>
        <v/>
      </c>
      <c r="AT673">
        <f t="shared" si="239"/>
        <v>14</v>
      </c>
      <c r="AU673" s="170" t="str">
        <f t="shared" si="240"/>
        <v>5-20 MW, Bonusregel K erstmals 2011</v>
      </c>
      <c r="AV673" s="169" t="str">
        <f t="shared" si="241"/>
        <v/>
      </c>
      <c r="AW673" s="170" t="str">
        <f t="shared" si="242"/>
        <v>Anteil KWK, erstmals 2011</v>
      </c>
      <c r="AX673" s="169" t="str">
        <f t="shared" si="243"/>
        <v/>
      </c>
      <c r="AY673" t="str">
        <f t="shared" si="244"/>
        <v>x</v>
      </c>
      <c r="AZ673" t="str">
        <f t="shared" si="245"/>
        <v/>
      </c>
    </row>
    <row r="674" spans="1:52" x14ac:dyDescent="0.35">
      <c r="A674" s="511" t="s">
        <v>1547</v>
      </c>
      <c r="B674" s="173" t="s">
        <v>5547</v>
      </c>
      <c r="C674" s="173" t="s">
        <v>4808</v>
      </c>
      <c r="D674" s="173" t="s">
        <v>7361</v>
      </c>
      <c r="E674" s="173" t="s">
        <v>1980</v>
      </c>
      <c r="F674" s="374">
        <f t="shared" si="251"/>
        <v>11.31</v>
      </c>
      <c r="G674" s="431">
        <v>11.31</v>
      </c>
      <c r="H674" s="400">
        <f t="shared" si="252"/>
        <v>9.0500000000000007</v>
      </c>
      <c r="I674" s="577"/>
      <c r="J674" s="549" t="s">
        <v>5804</v>
      </c>
      <c r="K674" s="11"/>
      <c r="M674" s="37">
        <f t="shared" si="253"/>
        <v>11.31</v>
      </c>
      <c r="N674" s="29">
        <v>8.4</v>
      </c>
      <c r="O674" s="41"/>
      <c r="P674" s="59"/>
      <c r="S674" t="s">
        <v>4179</v>
      </c>
      <c r="T674" t="s">
        <v>1017</v>
      </c>
      <c r="U674" s="60"/>
      <c r="V674" s="50"/>
      <c r="W674" s="50"/>
      <c r="X674" s="50"/>
      <c r="Y674" s="50"/>
      <c r="Z674" s="50"/>
      <c r="AA674" s="50"/>
      <c r="AB674" s="50"/>
      <c r="AC674" s="50"/>
      <c r="AD674" s="50"/>
      <c r="AE674" s="154"/>
      <c r="AF674" s="50"/>
      <c r="AG674" s="50"/>
      <c r="AH674" s="171" t="s">
        <v>4178</v>
      </c>
      <c r="AI674" s="168" t="str">
        <f t="shared" si="246"/>
        <v/>
      </c>
      <c r="AJ674" s="168" t="str">
        <f t="shared" si="247"/>
        <v/>
      </c>
      <c r="AK674" s="168" t="str">
        <f t="shared" si="248"/>
        <v/>
      </c>
      <c r="AL674" s="168" t="str">
        <f t="shared" si="249"/>
        <v/>
      </c>
      <c r="AM674" s="168" t="str">
        <f t="shared" si="250"/>
        <v/>
      </c>
      <c r="AN674" s="167" t="str">
        <f t="shared" si="233"/>
        <v>2012</v>
      </c>
      <c r="AO674" s="167" t="str">
        <f t="shared" si="234"/>
        <v>2012</v>
      </c>
      <c r="AP674" s="167" t="str">
        <f t="shared" si="235"/>
        <v>2012</v>
      </c>
      <c r="AQ674" s="169" t="str">
        <f t="shared" si="236"/>
        <v/>
      </c>
      <c r="AR674" s="170" t="str">
        <f t="shared" si="237"/>
        <v>BiK84K12----04</v>
      </c>
      <c r="AS674" s="169" t="str">
        <f t="shared" si="238"/>
        <v/>
      </c>
      <c r="AT674">
        <f t="shared" si="239"/>
        <v>14</v>
      </c>
      <c r="AU674" s="170" t="str">
        <f t="shared" si="240"/>
        <v>5-20 MW, Bonusregel K erstmals 2012</v>
      </c>
      <c r="AV674" s="169" t="str">
        <f t="shared" si="241"/>
        <v/>
      </c>
      <c r="AW674" s="170" t="str">
        <f t="shared" si="242"/>
        <v>Anteil KWK, erstmals 2012</v>
      </c>
      <c r="AX674" s="169" t="str">
        <f t="shared" si="243"/>
        <v/>
      </c>
      <c r="AY674" t="str">
        <f t="shared" si="244"/>
        <v/>
      </c>
      <c r="AZ674" t="str">
        <f t="shared" si="245"/>
        <v>x</v>
      </c>
    </row>
    <row r="675" spans="1:52" x14ac:dyDescent="0.35">
      <c r="A675" s="497" t="s">
        <v>3296</v>
      </c>
      <c r="B675" s="17" t="s">
        <v>5547</v>
      </c>
      <c r="C675" s="17" t="s">
        <v>3295</v>
      </c>
      <c r="D675" s="13" t="s">
        <v>7377</v>
      </c>
      <c r="E675" s="13" t="s">
        <v>4179</v>
      </c>
      <c r="F675" s="373">
        <f t="shared" si="251"/>
        <v>7</v>
      </c>
      <c r="G675" s="430">
        <v>7</v>
      </c>
      <c r="H675" s="399">
        <f t="shared" si="252"/>
        <v>5.6</v>
      </c>
      <c r="I675" s="576"/>
      <c r="J675" s="549" t="s">
        <v>5804</v>
      </c>
      <c r="K675" s="11"/>
      <c r="M675" s="37">
        <f t="shared" si="253"/>
        <v>7</v>
      </c>
      <c r="N675" s="29">
        <v>7</v>
      </c>
      <c r="O675" s="71"/>
      <c r="P675" s="59"/>
      <c r="S675" t="s">
        <v>4179</v>
      </c>
      <c r="T675" t="s">
        <v>4179</v>
      </c>
      <c r="U675" s="60"/>
      <c r="V675" s="50"/>
      <c r="W675" s="50"/>
      <c r="X675" s="50"/>
      <c r="Y675" s="50"/>
      <c r="Z675" s="50"/>
      <c r="AA675" s="50"/>
      <c r="AB675" s="50"/>
      <c r="AC675" s="50"/>
      <c r="AD675" s="50"/>
      <c r="AE675" s="154"/>
      <c r="AF675" s="50"/>
      <c r="AG675" s="50"/>
      <c r="AH675" s="166" t="str">
        <f>IF(ISERROR(SEARCH("K erstmals 201",D675)),"",RIGHT(D675,4))</f>
        <v/>
      </c>
      <c r="AI675" s="168" t="str">
        <f t="shared" si="246"/>
        <v/>
      </c>
      <c r="AJ675" s="168" t="str">
        <f t="shared" si="247"/>
        <v/>
      </c>
      <c r="AK675" s="168" t="str">
        <f t="shared" si="248"/>
        <v/>
      </c>
      <c r="AL675" s="168" t="str">
        <f t="shared" si="249"/>
        <v/>
      </c>
      <c r="AM675" s="168" t="str">
        <f t="shared" si="250"/>
        <v/>
      </c>
      <c r="AN675" s="167" t="str">
        <f t="shared" si="233"/>
        <v/>
      </c>
      <c r="AO675" s="167" t="str">
        <f t="shared" si="234"/>
        <v/>
      </c>
      <c r="AP675" s="167" t="str">
        <f t="shared" si="235"/>
        <v/>
      </c>
      <c r="AQ675" s="169" t="str">
        <f t="shared" si="236"/>
        <v/>
      </c>
      <c r="AR675" s="170" t="str">
        <f t="shared" si="237"/>
        <v>BiK85-------04</v>
      </c>
      <c r="AS675" s="169" t="str">
        <f t="shared" si="238"/>
        <v/>
      </c>
      <c r="AT675">
        <f t="shared" si="239"/>
        <v>14</v>
      </c>
      <c r="AU675" s="170" t="str">
        <f t="shared" si="240"/>
        <v>&gt; 20 MW, 75% Schwarzlauge etc.</v>
      </c>
      <c r="AV675" s="169" t="str">
        <f t="shared" si="241"/>
        <v/>
      </c>
      <c r="AW675" s="170" t="str">
        <f t="shared" si="242"/>
        <v/>
      </c>
      <c r="AX675" s="169" t="str">
        <f t="shared" si="243"/>
        <v/>
      </c>
      <c r="AY675" t="str">
        <f t="shared" si="244"/>
        <v/>
      </c>
      <c r="AZ675" t="str">
        <f t="shared" si="245"/>
        <v/>
      </c>
    </row>
    <row r="676" spans="1:52" x14ac:dyDescent="0.35">
      <c r="A676" s="497" t="s">
        <v>3297</v>
      </c>
      <c r="B676" s="13" t="s">
        <v>5547</v>
      </c>
      <c r="C676" s="17" t="s">
        <v>3295</v>
      </c>
      <c r="D676" s="13" t="s">
        <v>7378</v>
      </c>
      <c r="E676" s="13" t="s">
        <v>674</v>
      </c>
      <c r="F676" s="373">
        <f t="shared" si="251"/>
        <v>10</v>
      </c>
      <c r="G676" s="430">
        <v>10</v>
      </c>
      <c r="H676" s="399">
        <f t="shared" si="252"/>
        <v>8</v>
      </c>
      <c r="I676" s="576"/>
      <c r="J676" s="549" t="s">
        <v>5804</v>
      </c>
      <c r="K676" s="11"/>
      <c r="M676" s="37">
        <f t="shared" si="253"/>
        <v>10</v>
      </c>
      <c r="N676" s="29">
        <v>7</v>
      </c>
      <c r="O676" s="154"/>
      <c r="P676" s="59"/>
      <c r="Q676" t="s">
        <v>1017</v>
      </c>
      <c r="S676" t="s">
        <v>4179</v>
      </c>
      <c r="T676" t="s">
        <v>4179</v>
      </c>
      <c r="U676" s="60"/>
      <c r="V676" s="50"/>
      <c r="W676" s="50"/>
      <c r="X676" s="50"/>
      <c r="Y676" s="50"/>
      <c r="Z676" s="50"/>
      <c r="AA676" s="50"/>
      <c r="AB676" s="50"/>
      <c r="AC676" s="50"/>
      <c r="AD676" s="50"/>
      <c r="AE676" s="154"/>
      <c r="AF676" s="50"/>
      <c r="AG676" s="50"/>
      <c r="AH676" s="166" t="str">
        <f>IF(ISERROR(SEARCH("K erstmals 201",D676)),"",RIGHT(D676,4))</f>
        <v/>
      </c>
      <c r="AI676" s="168" t="str">
        <f t="shared" si="246"/>
        <v/>
      </c>
      <c r="AJ676" s="168" t="str">
        <f t="shared" si="247"/>
        <v/>
      </c>
      <c r="AK676" s="168" t="str">
        <f t="shared" si="248"/>
        <v/>
      </c>
      <c r="AL676" s="168" t="str">
        <f t="shared" si="249"/>
        <v/>
      </c>
      <c r="AM676" s="168" t="str">
        <f t="shared" si="250"/>
        <v/>
      </c>
      <c r="AN676" s="167" t="str">
        <f t="shared" si="233"/>
        <v/>
      </c>
      <c r="AO676" s="167" t="str">
        <f t="shared" si="234"/>
        <v/>
      </c>
      <c r="AP676" s="167" t="str">
        <f t="shared" si="235"/>
        <v/>
      </c>
      <c r="AQ676" s="169" t="str">
        <f t="shared" ref="AQ676:AQ680" si="256">IF(OR(AH676&lt;&gt;AN676,AH676&lt;&gt;AO676,AH676&lt;&gt;AP676),"DIFF","")</f>
        <v/>
      </c>
      <c r="AR676" s="170" t="str">
        <f t="shared" si="237"/>
        <v>BiK85K09----04</v>
      </c>
      <c r="AS676" s="169" t="str">
        <f t="shared" ref="AS676:AS680" si="257">IF(OR(A676&lt;&gt;AR676),"DIFF","")</f>
        <v/>
      </c>
      <c r="AT676">
        <f t="shared" si="239"/>
        <v>14</v>
      </c>
      <c r="AU676" s="170" t="str">
        <f t="shared" si="240"/>
        <v>&gt; 20 MW, 75% Schwarzlauge etc., Bonusregel K erstmals 2009</v>
      </c>
      <c r="AV676" s="169" t="str">
        <f t="shared" ref="AV676:AV680" si="258">IF(OR(D676&lt;&gt;AU676),"DIFF","")</f>
        <v/>
      </c>
      <c r="AW676" s="170" t="str">
        <f t="shared" si="242"/>
        <v>Anteil KWK, erstmals 2009</v>
      </c>
      <c r="AX676" s="169" t="str">
        <f t="shared" ref="AX676:AX680" si="259">IF(OR(E676&lt;&gt;AW676),"DIFF","")</f>
        <v/>
      </c>
      <c r="AY676" t="str">
        <f t="shared" si="244"/>
        <v/>
      </c>
      <c r="AZ676" t="str">
        <f t="shared" si="245"/>
        <v/>
      </c>
    </row>
    <row r="677" spans="1:52" x14ac:dyDescent="0.35">
      <c r="A677" s="497" t="s">
        <v>4044</v>
      </c>
      <c r="B677" s="13" t="s">
        <v>5547</v>
      </c>
      <c r="C677" s="17" t="s">
        <v>3295</v>
      </c>
      <c r="D677" s="13" t="s">
        <v>7379</v>
      </c>
      <c r="E677" s="13" t="s">
        <v>3566</v>
      </c>
      <c r="F677" s="373">
        <f t="shared" si="251"/>
        <v>9.9700000000000006</v>
      </c>
      <c r="G677" s="430">
        <v>9.9700000000000006</v>
      </c>
      <c r="H677" s="399">
        <f t="shared" si="252"/>
        <v>7.98</v>
      </c>
      <c r="I677" s="576"/>
      <c r="J677" s="549" t="s">
        <v>5804</v>
      </c>
      <c r="K677" s="11"/>
      <c r="M677" s="37">
        <f t="shared" si="253"/>
        <v>9.9700000000000006</v>
      </c>
      <c r="N677" s="29">
        <v>7</v>
      </c>
      <c r="O677" s="154"/>
      <c r="P677" s="59"/>
      <c r="R677" t="s">
        <v>1017</v>
      </c>
      <c r="S677" t="s">
        <v>4179</v>
      </c>
      <c r="T677" t="s">
        <v>4179</v>
      </c>
      <c r="U677" s="60"/>
      <c r="V677" s="50"/>
      <c r="W677" s="50"/>
      <c r="X677" s="50"/>
      <c r="Y677" s="50"/>
      <c r="Z677" s="50"/>
      <c r="AA677" s="50"/>
      <c r="AB677" s="50"/>
      <c r="AC677" s="50"/>
      <c r="AD677" s="50"/>
      <c r="AE677" s="154"/>
      <c r="AF677" s="50"/>
      <c r="AG677" s="50"/>
      <c r="AH677" s="166" t="str">
        <f>IF(ISERROR(SEARCH("K erstmals 201",D677)),"",RIGHT(D677,4))</f>
        <v>2010</v>
      </c>
      <c r="AI677" s="168" t="str">
        <f t="shared" ref="AI677:AI679" si="260">IF(AND($AH677&lt;&gt;"",AH677 =AH676),"Gleich","")</f>
        <v/>
      </c>
      <c r="AJ677" s="168" t="str">
        <f t="shared" si="247"/>
        <v/>
      </c>
      <c r="AK677" s="168" t="str">
        <f t="shared" si="248"/>
        <v/>
      </c>
      <c r="AL677" s="168" t="str">
        <f t="shared" si="249"/>
        <v/>
      </c>
      <c r="AM677" s="168" t="str">
        <f t="shared" si="250"/>
        <v/>
      </c>
      <c r="AN677" s="167" t="str">
        <f t="shared" si="233"/>
        <v>2010</v>
      </c>
      <c r="AO677" s="167" t="str">
        <f t="shared" si="234"/>
        <v>2010</v>
      </c>
      <c r="AP677" s="167" t="str">
        <f t="shared" si="235"/>
        <v>2010</v>
      </c>
      <c r="AQ677" s="169" t="str">
        <f t="shared" si="256"/>
        <v/>
      </c>
      <c r="AR677" s="170" t="str">
        <f t="shared" si="237"/>
        <v>BiK85K10----04</v>
      </c>
      <c r="AS677" s="169" t="str">
        <f t="shared" si="257"/>
        <v/>
      </c>
      <c r="AT677">
        <f t="shared" si="239"/>
        <v>14</v>
      </c>
      <c r="AU677" s="170" t="str">
        <f t="shared" si="240"/>
        <v>&gt; 20 MW, 75% Schwarzlauge etc., Bonusregel K erstmals 2010</v>
      </c>
      <c r="AV677" s="169" t="str">
        <f t="shared" si="258"/>
        <v/>
      </c>
      <c r="AW677" s="170" t="str">
        <f t="shared" si="242"/>
        <v>Anteil KWK, erstmals 2010</v>
      </c>
      <c r="AX677" s="169" t="str">
        <f t="shared" si="259"/>
        <v/>
      </c>
      <c r="AY677" t="str">
        <f t="shared" si="244"/>
        <v/>
      </c>
      <c r="AZ677" t="str">
        <f t="shared" si="245"/>
        <v/>
      </c>
    </row>
    <row r="678" spans="1:52" x14ac:dyDescent="0.35">
      <c r="A678" s="497" t="s">
        <v>5297</v>
      </c>
      <c r="B678" s="13" t="s">
        <v>5547</v>
      </c>
      <c r="C678" s="17" t="s">
        <v>3295</v>
      </c>
      <c r="D678" s="13" t="s">
        <v>7380</v>
      </c>
      <c r="E678" s="13" t="s">
        <v>3054</v>
      </c>
      <c r="F678" s="373">
        <f t="shared" si="251"/>
        <v>9.94</v>
      </c>
      <c r="G678" s="430">
        <v>9.94</v>
      </c>
      <c r="H678" s="399">
        <f t="shared" si="252"/>
        <v>7.95</v>
      </c>
      <c r="I678" s="576"/>
      <c r="J678" s="549" t="s">
        <v>5804</v>
      </c>
      <c r="K678" s="11"/>
      <c r="M678" s="37">
        <f t="shared" si="253"/>
        <v>9.94</v>
      </c>
      <c r="N678" s="29">
        <v>7</v>
      </c>
      <c r="O678" s="154"/>
      <c r="P678" s="59"/>
      <c r="S678" t="s">
        <v>1017</v>
      </c>
      <c r="T678" t="s">
        <v>4179</v>
      </c>
      <c r="U678" s="60"/>
      <c r="V678" s="50"/>
      <c r="W678" s="50"/>
      <c r="X678" s="50"/>
      <c r="Y678" s="50"/>
      <c r="Z678" s="50"/>
      <c r="AA678" s="50"/>
      <c r="AB678" s="50"/>
      <c r="AC678" s="50"/>
      <c r="AD678" s="50"/>
      <c r="AE678" s="154"/>
      <c r="AF678" s="50"/>
      <c r="AG678" s="50"/>
      <c r="AH678" s="166" t="str">
        <f>IF(ISERROR(SEARCH("K erstmals 201",D678)),"",RIGHT(D678,4))</f>
        <v>2011</v>
      </c>
      <c r="AI678" s="168" t="str">
        <f t="shared" si="260"/>
        <v/>
      </c>
      <c r="AJ678" s="168" t="str">
        <f t="shared" si="247"/>
        <v/>
      </c>
      <c r="AK678" s="168" t="str">
        <f t="shared" si="248"/>
        <v/>
      </c>
      <c r="AL678" s="168" t="str">
        <f t="shared" si="249"/>
        <v/>
      </c>
      <c r="AM678" s="168" t="str">
        <f t="shared" si="250"/>
        <v/>
      </c>
      <c r="AN678" s="167" t="str">
        <f t="shared" si="233"/>
        <v>2011</v>
      </c>
      <c r="AO678" s="167" t="str">
        <f t="shared" si="234"/>
        <v>2011</v>
      </c>
      <c r="AP678" s="167" t="str">
        <f t="shared" si="235"/>
        <v>2011</v>
      </c>
      <c r="AQ678" s="169" t="str">
        <f t="shared" si="256"/>
        <v/>
      </c>
      <c r="AR678" s="170" t="str">
        <f t="shared" si="237"/>
        <v>BiK85K11----04</v>
      </c>
      <c r="AS678" s="169" t="str">
        <f t="shared" si="257"/>
        <v/>
      </c>
      <c r="AT678">
        <f t="shared" si="239"/>
        <v>14</v>
      </c>
      <c r="AU678" s="170" t="str">
        <f t="shared" si="240"/>
        <v>&gt; 20 MW, 75% Schwarzlauge etc., Bonusregel K erstmals 2011</v>
      </c>
      <c r="AV678" s="169" t="str">
        <f t="shared" si="258"/>
        <v/>
      </c>
      <c r="AW678" s="170" t="str">
        <f t="shared" si="242"/>
        <v>Anteil KWK, erstmals 2011</v>
      </c>
      <c r="AX678" s="169" t="str">
        <f t="shared" si="259"/>
        <v/>
      </c>
      <c r="AY678" t="str">
        <f t="shared" si="244"/>
        <v>x</v>
      </c>
      <c r="AZ678" t="str">
        <f t="shared" si="245"/>
        <v/>
      </c>
    </row>
    <row r="679" spans="1:52" x14ac:dyDescent="0.35">
      <c r="A679" s="511" t="s">
        <v>1548</v>
      </c>
      <c r="B679" s="173" t="s">
        <v>5547</v>
      </c>
      <c r="C679" s="174" t="s">
        <v>3295</v>
      </c>
      <c r="D679" s="173" t="s">
        <v>7381</v>
      </c>
      <c r="E679" s="173" t="s">
        <v>1980</v>
      </c>
      <c r="F679" s="374">
        <f t="shared" si="251"/>
        <v>9.91</v>
      </c>
      <c r="G679" s="431">
        <v>9.91</v>
      </c>
      <c r="H679" s="400">
        <f t="shared" si="252"/>
        <v>7.93</v>
      </c>
      <c r="I679" s="577"/>
      <c r="J679" s="549" t="s">
        <v>5804</v>
      </c>
      <c r="K679" s="11"/>
      <c r="M679" s="37">
        <f t="shared" si="253"/>
        <v>9.91</v>
      </c>
      <c r="N679" s="29">
        <v>7</v>
      </c>
      <c r="O679" s="154"/>
      <c r="P679" s="59"/>
      <c r="S679" t="s">
        <v>4179</v>
      </c>
      <c r="T679" t="s">
        <v>1017</v>
      </c>
      <c r="U679" s="60"/>
      <c r="V679" s="50"/>
      <c r="W679" s="50"/>
      <c r="X679" s="50"/>
      <c r="Y679" s="50"/>
      <c r="Z679" s="50"/>
      <c r="AA679" s="50"/>
      <c r="AB679" s="50"/>
      <c r="AC679" s="50"/>
      <c r="AD679" s="50"/>
      <c r="AE679" s="154"/>
      <c r="AF679" s="50"/>
      <c r="AG679" s="50"/>
      <c r="AH679" s="171" t="s">
        <v>4178</v>
      </c>
      <c r="AI679" s="168" t="str">
        <f t="shared" si="260"/>
        <v/>
      </c>
      <c r="AJ679" s="168" t="str">
        <f t="shared" si="247"/>
        <v/>
      </c>
      <c r="AK679" s="168" t="str">
        <f t="shared" si="248"/>
        <v/>
      </c>
      <c r="AL679" s="168" t="str">
        <f t="shared" si="249"/>
        <v/>
      </c>
      <c r="AM679" s="168" t="str">
        <f t="shared" si="250"/>
        <v/>
      </c>
      <c r="AN679" s="167" t="str">
        <f t="shared" si="233"/>
        <v>2012</v>
      </c>
      <c r="AO679" s="167" t="str">
        <f t="shared" si="234"/>
        <v>2012</v>
      </c>
      <c r="AP679" s="167" t="str">
        <f t="shared" si="235"/>
        <v>2012</v>
      </c>
      <c r="AQ679" s="169" t="str">
        <f t="shared" si="256"/>
        <v/>
      </c>
      <c r="AR679" s="170" t="str">
        <f t="shared" si="237"/>
        <v>BiK85K12----04</v>
      </c>
      <c r="AS679" s="169" t="str">
        <f t="shared" si="257"/>
        <v/>
      </c>
      <c r="AT679">
        <f t="shared" si="239"/>
        <v>14</v>
      </c>
      <c r="AU679" s="170" t="str">
        <f t="shared" si="240"/>
        <v>&gt; 20 MW, 75% Schwarzlauge etc., Bonusregel K erstmals 2012</v>
      </c>
      <c r="AV679" s="169" t="str">
        <f t="shared" si="258"/>
        <v/>
      </c>
      <c r="AW679" s="170" t="str">
        <f t="shared" si="242"/>
        <v>Anteil KWK, erstmals 2012</v>
      </c>
      <c r="AX679" s="169" t="str">
        <f t="shared" si="259"/>
        <v/>
      </c>
      <c r="AY679" t="str">
        <f t="shared" si="244"/>
        <v/>
      </c>
      <c r="AZ679" t="str">
        <f t="shared" si="245"/>
        <v>x</v>
      </c>
    </row>
    <row r="680" spans="1:52" s="145" customFormat="1" x14ac:dyDescent="0.35">
      <c r="A680" s="496" t="s">
        <v>4179</v>
      </c>
      <c r="B680" s="1"/>
      <c r="C680" s="1"/>
      <c r="D680" s="1" t="s">
        <v>4179</v>
      </c>
      <c r="E680" s="1" t="s">
        <v>4179</v>
      </c>
      <c r="F680" s="375"/>
      <c r="G680" s="425"/>
      <c r="H680" s="10" t="str">
        <f t="shared" si="252"/>
        <v/>
      </c>
      <c r="I680" s="566"/>
      <c r="J680" s="549" t="s">
        <v>4179</v>
      </c>
      <c r="K680" s="11"/>
      <c r="L680"/>
      <c r="M680"/>
      <c r="N680"/>
      <c r="O680" s="75"/>
      <c r="P680"/>
      <c r="Q680"/>
      <c r="R680"/>
      <c r="S680" t="s">
        <v>4179</v>
      </c>
      <c r="T680" s="145" t="s">
        <v>4179</v>
      </c>
      <c r="U680" s="42"/>
      <c r="V680"/>
      <c r="W680"/>
      <c r="X680"/>
      <c r="Y680"/>
      <c r="Z680"/>
      <c r="AA680"/>
      <c r="AB680"/>
      <c r="AC680"/>
      <c r="AD680"/>
      <c r="AE680" s="75"/>
      <c r="AF680"/>
      <c r="AG680"/>
      <c r="AH680" s="166" t="str">
        <f>IF(ISERROR(SEARCH("K erstmals 201",D680)),"",RIGHT(D680,4))</f>
        <v/>
      </c>
      <c r="AI680" s="168" t="str">
        <f>IF(AND($AH680&lt;&gt;"",AH680 =AH675),"Gleich","")</f>
        <v/>
      </c>
      <c r="AJ680" s="168" t="str">
        <f>IF(AND($AH680&lt;&gt;"",A680 =A675),"Gleich","")</f>
        <v/>
      </c>
      <c r="AK680" s="168" t="str">
        <f>IF(AND($AH680&lt;&gt;"",D680 =D675),"Gleich","")</f>
        <v/>
      </c>
      <c r="AL680" s="168" t="str">
        <f>IF(AND($AH680&lt;&gt;"",E680 =E675),"Gleich","")</f>
        <v/>
      </c>
      <c r="AM680" s="168" t="str">
        <f>IF(AND($AH680&lt;&gt;"",F680 =F675),"Gleich","")</f>
        <v/>
      </c>
      <c r="AN680" s="167" t="str">
        <f t="shared" si="233"/>
        <v/>
      </c>
      <c r="AO680" s="167" t="str">
        <f t="shared" si="234"/>
        <v/>
      </c>
      <c r="AP680" s="167" t="str">
        <f t="shared" si="235"/>
        <v/>
      </c>
      <c r="AQ680" s="169" t="str">
        <f t="shared" si="256"/>
        <v/>
      </c>
      <c r="AR680" s="170" t="str">
        <f t="shared" si="237"/>
        <v/>
      </c>
      <c r="AS680" s="169" t="str">
        <f t="shared" si="257"/>
        <v/>
      </c>
      <c r="AT680">
        <f t="shared" si="239"/>
        <v>0</v>
      </c>
      <c r="AU680" s="170" t="str">
        <f t="shared" si="240"/>
        <v/>
      </c>
      <c r="AV680" s="169" t="str">
        <f t="shared" si="258"/>
        <v/>
      </c>
      <c r="AW680" s="170" t="str">
        <f t="shared" si="242"/>
        <v/>
      </c>
      <c r="AX680" s="169" t="str">
        <f t="shared" si="259"/>
        <v/>
      </c>
      <c r="AY680" t="str">
        <f t="shared" si="244"/>
        <v/>
      </c>
      <c r="AZ680" t="str">
        <f t="shared" si="245"/>
        <v/>
      </c>
    </row>
    <row r="681" spans="1:52" x14ac:dyDescent="0.35">
      <c r="A681" s="502" t="s">
        <v>953</v>
      </c>
      <c r="B681" s="301" t="s">
        <v>5547</v>
      </c>
      <c r="C681" s="301" t="s">
        <v>4808</v>
      </c>
      <c r="D681" s="301" t="s">
        <v>6986</v>
      </c>
      <c r="E681" s="301" t="s">
        <v>2826</v>
      </c>
      <c r="F681" s="379">
        <f t="shared" ref="F681:F698" si="261">M681</f>
        <v>24.55</v>
      </c>
      <c r="G681" s="433">
        <f>F681</f>
        <v>24.55</v>
      </c>
      <c r="H681" s="402">
        <f t="shared" ref="H681:H698" si="262">IF(ISNUMBER(G681),ROUND(0.8*G681,2),"")</f>
        <v>19.64</v>
      </c>
      <c r="I681" s="579"/>
      <c r="J681" s="549" t="s">
        <v>5804</v>
      </c>
      <c r="M681" s="37">
        <f t="shared" ref="M681:M698" si="263">N681+SUMIF(U681:AG681,"x",U$704:AG$704)+T681</f>
        <v>24.55</v>
      </c>
      <c r="N681" s="29">
        <v>11.67</v>
      </c>
      <c r="O681" s="319"/>
      <c r="P681" s="97" t="s">
        <v>2827</v>
      </c>
      <c r="Q681" s="97"/>
      <c r="R681" s="97">
        <v>2013</v>
      </c>
      <c r="S681" s="97"/>
      <c r="T681" s="92">
        <v>2.88</v>
      </c>
      <c r="U681" s="146" t="s">
        <v>1017</v>
      </c>
      <c r="V681" s="145"/>
      <c r="W681" s="147"/>
      <c r="X681" s="147"/>
      <c r="Y681" s="145" t="s">
        <v>1017</v>
      </c>
      <c r="Z681" s="145"/>
      <c r="AA681" s="147"/>
      <c r="AB681" s="145"/>
      <c r="AC681" s="145"/>
      <c r="AD681" s="147"/>
      <c r="AE681" s="148" t="s">
        <v>1017</v>
      </c>
      <c r="AF681" s="147"/>
      <c r="AG681" s="147"/>
    </row>
    <row r="682" spans="1:52" s="145" customFormat="1" x14ac:dyDescent="0.35">
      <c r="A682" s="502" t="s">
        <v>6162</v>
      </c>
      <c r="B682" s="301" t="s">
        <v>5547</v>
      </c>
      <c r="C682" s="301" t="s">
        <v>4808</v>
      </c>
      <c r="D682" s="301" t="s">
        <v>6987</v>
      </c>
      <c r="E682" s="301" t="s">
        <v>2826</v>
      </c>
      <c r="F682" s="379">
        <f t="shared" si="261"/>
        <v>25.55</v>
      </c>
      <c r="G682" s="433">
        <v>25.55</v>
      </c>
      <c r="H682" s="303">
        <f t="shared" si="262"/>
        <v>20.440000000000001</v>
      </c>
      <c r="I682" s="579"/>
      <c r="J682" s="549">
        <v>42837</v>
      </c>
      <c r="K682" s="11"/>
      <c r="L682"/>
      <c r="M682" s="37">
        <f t="shared" si="263"/>
        <v>25.55</v>
      </c>
      <c r="N682" s="29">
        <v>11.67</v>
      </c>
      <c r="O682" s="319"/>
      <c r="P682" s="97" t="s">
        <v>2827</v>
      </c>
      <c r="Q682" s="97"/>
      <c r="R682" s="97">
        <v>2013</v>
      </c>
      <c r="S682" s="97"/>
      <c r="T682" s="92">
        <v>2.88</v>
      </c>
      <c r="U682" s="146"/>
      <c r="W682" s="147"/>
      <c r="X682" s="147"/>
      <c r="Z682" s="145" t="s">
        <v>1017</v>
      </c>
      <c r="AA682" s="147"/>
      <c r="AD682" s="147"/>
      <c r="AE682" s="148"/>
      <c r="AF682" s="147"/>
      <c r="AG682" s="147"/>
      <c r="AH682" s="171" t="s">
        <v>4178</v>
      </c>
      <c r="AI682" s="168" t="str">
        <f>IF(AND($AH682&lt;&gt;"",AH682 =AH683),"Gleich","")</f>
        <v/>
      </c>
      <c r="AJ682" s="168" t="str">
        <f>IF(AND($AH682&lt;&gt;"",A682 =A683),"Gleich","")</f>
        <v/>
      </c>
      <c r="AK682" s="168" t="str">
        <f>IF(AND($AH682&lt;&gt;"",D682 =D683),"Gleich","")</f>
        <v/>
      </c>
      <c r="AL682" s="168" t="str">
        <f>IF(AND($AH682&lt;&gt;"",E682 =E683),"Gleich","")</f>
        <v>Gleich</v>
      </c>
      <c r="AM682" s="168" t="str">
        <f>IF(AND($AH682&lt;&gt;"",F682 =F683),"Gleich","")</f>
        <v/>
      </c>
      <c r="AN682" s="167" t="str">
        <f>IF(ISERROR(SEARCH("K1",A682)),"","20"&amp;MID(A682,SEARCH("K1",A682)+1,2))</f>
        <v>2013</v>
      </c>
      <c r="AO682" s="167" t="str">
        <f>IF(ISERROR(SEARCH("erstmals 201",E682)),"",MID(E682,SEARCH("erstmals ",E682)+9,4))</f>
        <v>2013</v>
      </c>
      <c r="AP682" s="167" t="str">
        <f>IF(R682="x","2010",IF(S682="x","2011",IF(T682="x","2012","")))</f>
        <v/>
      </c>
      <c r="AQ682" s="169" t="str">
        <f>IF(OR(AH682&lt;&gt;AN682,AH682&lt;&gt;AO682,AH682&lt;&gt;AP682),"DIFF","")</f>
        <v>DIFF</v>
      </c>
      <c r="AR682" s="170" t="str">
        <f>IF(A682="","",IF(ISERROR(SEARCH("K1",A682)),A682,LEFT(A682,SEARCH("K1",A682)+1)&amp;RIGHT(AH682,1)&amp;MID(A682,SEARCH("K1",A682)+3,14)))</f>
        <v>BiK81M1K12--04</v>
      </c>
      <c r="AS682" s="169" t="str">
        <f>IF(OR(A682&lt;&gt;AR682),"DIFF","")</f>
        <v>DIFF</v>
      </c>
      <c r="AT682">
        <f>LEN(AR682)</f>
        <v>14</v>
      </c>
      <c r="AU682" s="170" t="str">
        <f>IF(D682="","",IF(OR(A682="",ISERROR(SEARCH("erstmals 201",D682))),D682,LEFT(D682,SEARCH("erstmals 201",D682)+8) &amp; AH682 &amp; MID(D682,SEARCH("erstmals 201",D682)+13,255)))</f>
        <v>0-0,15 MW, Bonusregeln M1, K erstmals 2012</v>
      </c>
      <c r="AV682" s="169" t="str">
        <f>IF(OR(D682&lt;&gt;AU682),"DIFF","")</f>
        <v>DIFF</v>
      </c>
      <c r="AW682" s="170" t="str">
        <f>IF(E682="","",IF(OR(E682="",ISERROR(SEARCH("erstmals 201",E682))),E682,LEFT(E682,SEARCH("erstmals 201",E682)+8) &amp; AH682 &amp; MID(E682,SEARCH("erstmals 201",E682)+13,255)))</f>
        <v>Anteil KWK, erstmals 2012</v>
      </c>
      <c r="AX682" s="169" t="str">
        <f>IF(OR(E682&lt;&gt;AW682),"DIFF","")</f>
        <v>DIFF</v>
      </c>
      <c r="AY682" t="str">
        <f>IF(AH682="2011","x",IF(AH682="2012","","" &amp; S682))</f>
        <v/>
      </c>
      <c r="AZ682" t="str">
        <f>IF(AH682="2012","x",IF(AH682="2011","","" &amp; T682))</f>
        <v>x</v>
      </c>
    </row>
    <row r="683" spans="1:52" s="145" customFormat="1" x14ac:dyDescent="0.35">
      <c r="A683" s="502" t="s">
        <v>5794</v>
      </c>
      <c r="B683" s="301" t="s">
        <v>5547</v>
      </c>
      <c r="C683" s="301" t="s">
        <v>4808</v>
      </c>
      <c r="D683" s="301" t="s">
        <v>6988</v>
      </c>
      <c r="E683" s="301" t="s">
        <v>2826</v>
      </c>
      <c r="F683" s="379">
        <f t="shared" si="261"/>
        <v>28.55</v>
      </c>
      <c r="G683" s="433">
        <f>F683</f>
        <v>28.55</v>
      </c>
      <c r="H683" s="303">
        <f t="shared" si="262"/>
        <v>22.84</v>
      </c>
      <c r="I683" s="579"/>
      <c r="J683" s="549" t="s">
        <v>5804</v>
      </c>
      <c r="K683" s="11"/>
      <c r="L683"/>
      <c r="M683" s="37">
        <f t="shared" si="263"/>
        <v>28.55</v>
      </c>
      <c r="N683" s="29">
        <v>11.67</v>
      </c>
      <c r="O683" s="319"/>
      <c r="P683" s="97" t="s">
        <v>2827</v>
      </c>
      <c r="Q683" s="97"/>
      <c r="R683" s="97">
        <v>2013</v>
      </c>
      <c r="S683" s="97"/>
      <c r="T683" s="92">
        <v>2.88</v>
      </c>
      <c r="U683" s="146" t="s">
        <v>1017</v>
      </c>
      <c r="W683" s="147"/>
      <c r="X683" s="147"/>
      <c r="Z683" s="145" t="s">
        <v>1017</v>
      </c>
      <c r="AA683" s="147"/>
      <c r="AD683" s="147"/>
      <c r="AE683" s="148" t="s">
        <v>1017</v>
      </c>
      <c r="AF683" s="147"/>
      <c r="AG683" s="147"/>
      <c r="AH683" s="171"/>
      <c r="AI683" s="168"/>
      <c r="AJ683" s="168"/>
      <c r="AK683" s="168"/>
      <c r="AL683" s="168"/>
      <c r="AM683" s="168"/>
      <c r="AN683" s="167"/>
      <c r="AO683" s="167"/>
      <c r="AP683" s="167"/>
      <c r="AQ683" s="169"/>
      <c r="AR683" s="170"/>
      <c r="AS683" s="169"/>
      <c r="AT683"/>
      <c r="AU683" s="170"/>
      <c r="AV683" s="169"/>
      <c r="AW683" s="170"/>
      <c r="AX683" s="169"/>
      <c r="AY683"/>
      <c r="AZ683"/>
    </row>
    <row r="684" spans="1:52" s="145" customFormat="1" x14ac:dyDescent="0.35">
      <c r="A684" s="502" t="s">
        <v>954</v>
      </c>
      <c r="B684" s="301" t="s">
        <v>5547</v>
      </c>
      <c r="C684" s="301" t="s">
        <v>4808</v>
      </c>
      <c r="D684" s="301" t="s">
        <v>7209</v>
      </c>
      <c r="E684" s="301" t="s">
        <v>2826</v>
      </c>
      <c r="F684" s="377">
        <f t="shared" si="261"/>
        <v>22.779999999999998</v>
      </c>
      <c r="G684" s="433">
        <f>F684</f>
        <v>22.779999999999998</v>
      </c>
      <c r="H684" s="402">
        <f t="shared" si="262"/>
        <v>18.22</v>
      </c>
      <c r="I684" s="579"/>
      <c r="J684" s="549" t="s">
        <v>5804</v>
      </c>
      <c r="K684" s="11"/>
      <c r="L684"/>
      <c r="M684" s="37">
        <f t="shared" si="263"/>
        <v>22.779999999999998</v>
      </c>
      <c r="N684" s="29">
        <v>9.9</v>
      </c>
      <c r="O684" s="319"/>
      <c r="P684" s="97" t="s">
        <v>2827</v>
      </c>
      <c r="Q684" s="97"/>
      <c r="R684" s="97">
        <v>2013</v>
      </c>
      <c r="S684" s="97"/>
      <c r="T684" s="92">
        <v>2.88</v>
      </c>
      <c r="U684" s="146" t="s">
        <v>1017</v>
      </c>
      <c r="W684" s="147"/>
      <c r="X684" s="147"/>
      <c r="Y684" s="145" t="s">
        <v>1017</v>
      </c>
      <c r="Z684" s="147"/>
      <c r="AC684" s="147"/>
      <c r="AE684" s="148" t="s">
        <v>1017</v>
      </c>
      <c r="AF684" s="147"/>
      <c r="AG684" s="147"/>
      <c r="AH684" s="171" t="s">
        <v>4178</v>
      </c>
      <c r="AI684" s="168" t="str">
        <f>IF(AND($AH684&lt;&gt;"",AH684 =AH681),"Gleich","")</f>
        <v/>
      </c>
      <c r="AJ684" s="168" t="str">
        <f>IF(AND($AH684&lt;&gt;"",A684 =A681),"Gleich","")</f>
        <v/>
      </c>
      <c r="AK684" s="168" t="str">
        <f>IF(AND($AH684&lt;&gt;"",D684 =D681),"Gleich","")</f>
        <v/>
      </c>
      <c r="AL684" s="168" t="str">
        <f>IF(AND($AH684&lt;&gt;"",E684 =E681),"Gleich","")</f>
        <v>Gleich</v>
      </c>
      <c r="AM684" s="168" t="str">
        <f>IF(AND($AH684&lt;&gt;"",F684 =F681),"Gleich","")</f>
        <v/>
      </c>
      <c r="AN684" s="167" t="str">
        <f>IF(ISERROR(SEARCH("K1",A684)),"","20"&amp;MID(A684,SEARCH("K1",A684)+1,2))</f>
        <v>2013</v>
      </c>
      <c r="AO684" s="167" t="str">
        <f>IF(ISERROR(SEARCH("erstmals 201",E684)),"",MID(E684,SEARCH("erstmals ",E684)+9,4))</f>
        <v>2013</v>
      </c>
      <c r="AP684" s="167" t="str">
        <f>IF(R684="x","2010",IF(S684="x","2011",IF(T684="x","2012","")))</f>
        <v/>
      </c>
      <c r="AQ684" s="169" t="str">
        <f>IF(OR(AH684&lt;&gt;AN684,AH684&lt;&gt;AO684,AH684&lt;&gt;AP684),"DIFF","")</f>
        <v>DIFF</v>
      </c>
      <c r="AR684" s="170" t="str">
        <f>IF(A684="","",IF(ISERROR(SEARCH("K1",A684)),A684,LEFT(A684,SEARCH("K1",A684)+1)&amp;RIGHT(AH684,1)&amp;MID(A684,SEARCH("K1",A684)+3,14)))</f>
        <v>BiK82GbK12y-04</v>
      </c>
      <c r="AS684" s="169" t="str">
        <f>IF(OR(A684&lt;&gt;AR684),"DIFF","")</f>
        <v>DIFF</v>
      </c>
      <c r="AT684">
        <f>LEN(AR684)</f>
        <v>14</v>
      </c>
      <c r="AU684" s="170" t="str">
        <f>IF(D684="","",IF(OR(A684="",ISERROR(SEARCH("erstmals 201",D684))),D684,LEFT(D684,SEARCH("erstmals 201",D684)+8) &amp; AH684 &amp; MID(D684,SEARCH("erstmals 201",D684)+13,255)))</f>
        <v>0,15-0,5 MW, Bonusregeln G, y, b und K erstmals 2012</v>
      </c>
      <c r="AV684" s="169" t="str">
        <f>IF(OR(D684&lt;&gt;AU684),"DIFF","")</f>
        <v>DIFF</v>
      </c>
      <c r="AW684" s="170" t="str">
        <f>IF(E684="","",IF(OR(E684="",ISERROR(SEARCH("erstmals 201",E684))),E684,LEFT(E684,SEARCH("erstmals 201",E684)+8) &amp; AH684 &amp; MID(E684,SEARCH("erstmals 201",E684)+13,255)))</f>
        <v>Anteil KWK, erstmals 2012</v>
      </c>
      <c r="AX684" s="169" t="str">
        <f>IF(OR(E684&lt;&gt;AW684),"DIFF","")</f>
        <v>DIFF</v>
      </c>
      <c r="AY684" t="str">
        <f>IF(AH684="2011","x",IF(AH684="2012","","" &amp; S684))</f>
        <v/>
      </c>
      <c r="AZ684" t="str">
        <f>IF(AH684="2012","x",IF(AH684="2011","","" &amp; T684))</f>
        <v>x</v>
      </c>
    </row>
    <row r="685" spans="1:52" s="145" customFormat="1" x14ac:dyDescent="0.35">
      <c r="A685" s="502" t="s">
        <v>6168</v>
      </c>
      <c r="B685" s="301" t="s">
        <v>5547</v>
      </c>
      <c r="C685" s="301" t="s">
        <v>4808</v>
      </c>
      <c r="D685" s="301" t="s">
        <v>7210</v>
      </c>
      <c r="E685" s="301" t="s">
        <v>2826</v>
      </c>
      <c r="F685" s="379">
        <f t="shared" si="261"/>
        <v>20.779999999999998</v>
      </c>
      <c r="G685" s="433">
        <v>20.78</v>
      </c>
      <c r="H685" s="303">
        <f t="shared" si="262"/>
        <v>16.62</v>
      </c>
      <c r="I685" s="579"/>
      <c r="J685" s="549">
        <v>42859</v>
      </c>
      <c r="K685" s="11"/>
      <c r="L685"/>
      <c r="M685" s="37">
        <f t="shared" si="263"/>
        <v>20.779999999999998</v>
      </c>
      <c r="N685" s="29">
        <v>9.9</v>
      </c>
      <c r="O685" s="319"/>
      <c r="P685" s="97" t="s">
        <v>2827</v>
      </c>
      <c r="Q685" s="97"/>
      <c r="R685" s="97">
        <v>2013</v>
      </c>
      <c r="S685" s="97"/>
      <c r="T685" s="92">
        <v>2.88</v>
      </c>
      <c r="U685" s="146"/>
      <c r="W685" s="147"/>
      <c r="X685" s="147"/>
      <c r="Z685" s="147"/>
      <c r="AA685" s="145" t="s">
        <v>1017</v>
      </c>
      <c r="AC685" s="147"/>
      <c r="AE685" s="148"/>
      <c r="AF685" s="147"/>
      <c r="AG685" s="147"/>
      <c r="AH685" s="171" t="s">
        <v>4178</v>
      </c>
      <c r="AI685" s="168" t="s">
        <v>4179</v>
      </c>
      <c r="AJ685" s="168" t="s">
        <v>4179</v>
      </c>
      <c r="AK685" s="168" t="s">
        <v>4179</v>
      </c>
      <c r="AL685" s="168" t="s">
        <v>4179</v>
      </c>
      <c r="AM685" s="168" t="s">
        <v>4179</v>
      </c>
      <c r="AN685" s="167" t="s">
        <v>4178</v>
      </c>
      <c r="AO685" s="167" t="s">
        <v>4178</v>
      </c>
      <c r="AP685" s="167" t="s">
        <v>4178</v>
      </c>
      <c r="AQ685" s="169" t="s">
        <v>4179</v>
      </c>
      <c r="AR685" s="170" t="s">
        <v>1523</v>
      </c>
      <c r="AS685" s="169" t="s">
        <v>4179</v>
      </c>
      <c r="AT685">
        <v>14</v>
      </c>
      <c r="AU685" s="170" t="s">
        <v>7119</v>
      </c>
      <c r="AV685" s="169" t="s">
        <v>4179</v>
      </c>
      <c r="AW685" s="170" t="s">
        <v>1980</v>
      </c>
      <c r="AX685" s="169" t="s">
        <v>4179</v>
      </c>
      <c r="AY685" t="s">
        <v>4179</v>
      </c>
      <c r="AZ685" t="s">
        <v>1017</v>
      </c>
    </row>
    <row r="686" spans="1:52" s="145" customFormat="1" x14ac:dyDescent="0.35">
      <c r="A686" s="502" t="s">
        <v>5795</v>
      </c>
      <c r="B686" s="301" t="s">
        <v>5547</v>
      </c>
      <c r="C686" s="301" t="s">
        <v>4808</v>
      </c>
      <c r="D686" s="301" t="s">
        <v>7211</v>
      </c>
      <c r="E686" s="301" t="s">
        <v>2826</v>
      </c>
      <c r="F686" s="379">
        <f t="shared" si="261"/>
        <v>23.779999999999998</v>
      </c>
      <c r="G686" s="433">
        <f t="shared" ref="G686:G698" si="264">F686</f>
        <v>23.779999999999998</v>
      </c>
      <c r="H686" s="303">
        <f t="shared" si="262"/>
        <v>19.02</v>
      </c>
      <c r="I686" s="579"/>
      <c r="J686" s="549" t="s">
        <v>5804</v>
      </c>
      <c r="K686" s="11"/>
      <c r="L686"/>
      <c r="M686" s="37">
        <f t="shared" si="263"/>
        <v>23.779999999999998</v>
      </c>
      <c r="N686" s="29">
        <v>9.9</v>
      </c>
      <c r="O686" s="319"/>
      <c r="P686" s="97" t="s">
        <v>2827</v>
      </c>
      <c r="Q686" s="97"/>
      <c r="R686" s="97">
        <v>2013</v>
      </c>
      <c r="S686" s="97"/>
      <c r="T686" s="92">
        <v>2.88</v>
      </c>
      <c r="U686" s="146" t="s">
        <v>1017</v>
      </c>
      <c r="W686" s="147"/>
      <c r="X686" s="147"/>
      <c r="Z686" s="147"/>
      <c r="AA686" s="145" t="s">
        <v>1017</v>
      </c>
      <c r="AC686" s="147"/>
      <c r="AE686" s="148" t="s">
        <v>1017</v>
      </c>
      <c r="AF686" s="147"/>
      <c r="AG686" s="147"/>
      <c r="AH686" s="171"/>
      <c r="AI686" s="168"/>
      <c r="AJ686" s="168"/>
      <c r="AK686" s="168"/>
      <c r="AL686" s="168"/>
      <c r="AM686" s="168"/>
      <c r="AN686" s="167"/>
      <c r="AO686" s="167"/>
      <c r="AP686" s="167"/>
      <c r="AQ686" s="169"/>
      <c r="AR686" s="170"/>
      <c r="AS686" s="169"/>
      <c r="AT686"/>
      <c r="AU686" s="170"/>
      <c r="AV686" s="169"/>
      <c r="AW686" s="170"/>
      <c r="AX686" s="169"/>
      <c r="AY686"/>
      <c r="AZ686"/>
    </row>
    <row r="687" spans="1:52" x14ac:dyDescent="0.35">
      <c r="A687" s="502" t="s">
        <v>955</v>
      </c>
      <c r="B687" s="301" t="s">
        <v>5547</v>
      </c>
      <c r="C687" s="301" t="s">
        <v>4808</v>
      </c>
      <c r="D687" s="301" t="s">
        <v>6798</v>
      </c>
      <c r="E687" s="301" t="s">
        <v>2826</v>
      </c>
      <c r="F687" s="379">
        <f t="shared" si="261"/>
        <v>17.78</v>
      </c>
      <c r="G687" s="433">
        <f t="shared" si="264"/>
        <v>17.78</v>
      </c>
      <c r="H687" s="402">
        <f t="shared" si="262"/>
        <v>14.22</v>
      </c>
      <c r="I687" s="579"/>
      <c r="J687" s="549" t="s">
        <v>5804</v>
      </c>
      <c r="K687" s="11"/>
      <c r="M687" s="37">
        <f t="shared" si="263"/>
        <v>17.78</v>
      </c>
      <c r="N687" s="29">
        <v>8.9</v>
      </c>
      <c r="O687" s="319"/>
      <c r="P687" s="97" t="s">
        <v>2827</v>
      </c>
      <c r="Q687" s="97"/>
      <c r="R687" s="97">
        <v>2013</v>
      </c>
      <c r="S687" s="97"/>
      <c r="T687" s="92">
        <v>2.88</v>
      </c>
      <c r="U687" s="60"/>
      <c r="V687" s="50"/>
      <c r="W687" t="s">
        <v>1017</v>
      </c>
      <c r="Y687" s="50"/>
      <c r="Z687" s="50"/>
      <c r="AA687" s="50"/>
      <c r="AB687" s="50"/>
      <c r="AC687" s="50"/>
      <c r="AD687" s="50"/>
      <c r="AE687" s="75" t="s">
        <v>1017</v>
      </c>
      <c r="AF687" s="50"/>
      <c r="AG687" s="50"/>
      <c r="AH687" s="171" t="s">
        <v>4178</v>
      </c>
      <c r="AI687" s="168" t="str">
        <f>IF(AND($AH687&lt;&gt;"",AH687 =AH701),"Gleich","")</f>
        <v/>
      </c>
      <c r="AJ687" s="168" t="str">
        <f>IF(AND($AH687&lt;&gt;"",A687 =A701),"Gleich","")</f>
        <v/>
      </c>
      <c r="AK687" s="168" t="str">
        <f t="shared" ref="AK687:AM688" si="265">IF(AND($AH687&lt;&gt;"",D687 =D701),"Gleich","")</f>
        <v/>
      </c>
      <c r="AL687" s="168" t="str">
        <f t="shared" si="265"/>
        <v/>
      </c>
      <c r="AM687" s="168" t="str">
        <f t="shared" si="265"/>
        <v/>
      </c>
      <c r="AN687" s="167" t="str">
        <f>IF(ISERROR(SEARCH("K1",A687)),"","20"&amp;MID(A687,SEARCH("K1",A687)+1,2))</f>
        <v>2013</v>
      </c>
      <c r="AO687" s="167" t="str">
        <f>IF(ISERROR(SEARCH("erstmals 201",E687)),"",MID(E687,SEARCH("erstmals ",E687)+9,4))</f>
        <v>2013</v>
      </c>
      <c r="AP687" s="167" t="str">
        <f>IF(R687="x","2010",IF(S687="x","2011",IF(T687="x","2012","")))</f>
        <v/>
      </c>
      <c r="AQ687" s="169" t="str">
        <f>IF(OR(AH687&lt;&gt;AN687,AH687&lt;&gt;AO687,AH687&lt;&gt;AP687),"DIFF","")</f>
        <v>DIFF</v>
      </c>
      <c r="AR687" s="170" t="str">
        <f>IF(A687="","",IF(ISERROR(SEARCH("K1",A687)),A687,LEFT(A687,SEARCH("K1",A687)+1)&amp;RIGHT(AH687,1)&amp;MID(A687,SEARCH("K1",A687)+3,14)))</f>
        <v>BiK83a2bK12-04</v>
      </c>
      <c r="AS687" s="169" t="str">
        <f>IF(OR(A687&lt;&gt;AR687),"DIFF","")</f>
        <v>DIFF</v>
      </c>
      <c r="AT687">
        <f>LEN(AR687)</f>
        <v>14</v>
      </c>
      <c r="AU687" s="170" t="str">
        <f>IF(D687="","",IF(OR(A687="",ISERROR(SEARCH("erstmals 201",D687))),D687,LEFT(D687,SEARCH("erstmals 201",D687)+8) &amp; AH687 &amp; MID(D687,SEARCH("erstmals 201",D687)+13,255)))</f>
        <v>0,5-5 MW, Bonusregeln a2, b und K erstmals 2012</v>
      </c>
      <c r="AV687" s="169" t="str">
        <f>IF(OR(D687&lt;&gt;AU687),"DIFF","")</f>
        <v>DIFF</v>
      </c>
      <c r="AW687" s="170" t="str">
        <f>IF(E687="","",IF(OR(E687="",ISERROR(SEARCH("erstmals 201",E687))),E687,LEFT(E687,SEARCH("erstmals 201",E687)+8) &amp; AH687 &amp; MID(E687,SEARCH("erstmals 201",E687)+13,255)))</f>
        <v>Anteil KWK, erstmals 2012</v>
      </c>
      <c r="AX687" s="169" t="str">
        <f>IF(OR(E687&lt;&gt;AW687),"DIFF","")</f>
        <v>DIFF</v>
      </c>
      <c r="AY687" t="str">
        <f>IF(AH687="2011","x",IF(AH687="2012","","" &amp; S687))</f>
        <v/>
      </c>
      <c r="AZ687" t="str">
        <f>IF(AH687="2012","x",IF(AH687="2011","","" &amp; T687))</f>
        <v>x</v>
      </c>
    </row>
    <row r="688" spans="1:52" x14ac:dyDescent="0.35">
      <c r="A688" s="502" t="s">
        <v>956</v>
      </c>
      <c r="B688" s="301" t="s">
        <v>5547</v>
      </c>
      <c r="C688" s="301" t="s">
        <v>4808</v>
      </c>
      <c r="D688" s="301" t="s">
        <v>7363</v>
      </c>
      <c r="E688" s="301" t="s">
        <v>2826</v>
      </c>
      <c r="F688" s="379">
        <f t="shared" si="261"/>
        <v>11.280000000000001</v>
      </c>
      <c r="G688" s="433">
        <f t="shared" si="264"/>
        <v>11.280000000000001</v>
      </c>
      <c r="H688" s="402">
        <f t="shared" si="262"/>
        <v>9.02</v>
      </c>
      <c r="I688" s="579"/>
      <c r="J688" s="549" t="s">
        <v>5804</v>
      </c>
      <c r="K688" s="11"/>
      <c r="M688" s="37">
        <f t="shared" si="263"/>
        <v>11.280000000000001</v>
      </c>
      <c r="N688" s="29">
        <v>8.4</v>
      </c>
      <c r="O688" s="319"/>
      <c r="P688" s="97" t="s">
        <v>2827</v>
      </c>
      <c r="Q688" s="97"/>
      <c r="R688" s="97">
        <v>2013</v>
      </c>
      <c r="S688" s="97"/>
      <c r="T688" s="92">
        <v>2.88</v>
      </c>
      <c r="U688" s="60"/>
      <c r="V688" s="50"/>
      <c r="W688" s="50"/>
      <c r="X688" s="50"/>
      <c r="Y688" s="50"/>
      <c r="Z688" s="50"/>
      <c r="AA688" s="50"/>
      <c r="AB688" s="50"/>
      <c r="AC688" s="50"/>
      <c r="AD688" s="50"/>
      <c r="AE688" s="154"/>
      <c r="AF688" s="50"/>
      <c r="AG688" s="50"/>
      <c r="AH688" s="171" t="s">
        <v>4178</v>
      </c>
      <c r="AI688" s="168" t="str">
        <f>IF(AND($AH688&lt;&gt;"",AH688 =AH702),"Gleich","")</f>
        <v/>
      </c>
      <c r="AJ688" s="168" t="str">
        <f>IF(AND($AH688&lt;&gt;"",A688 =A702),"Gleich","")</f>
        <v/>
      </c>
      <c r="AK688" s="168" t="str">
        <f t="shared" si="265"/>
        <v/>
      </c>
      <c r="AL688" s="168" t="str">
        <f t="shared" si="265"/>
        <v/>
      </c>
      <c r="AM688" s="168" t="str">
        <f t="shared" si="265"/>
        <v/>
      </c>
      <c r="AN688" s="167" t="str">
        <f>IF(ISERROR(SEARCH("K1",A688)),"","20"&amp;MID(A688,SEARCH("K1",A688)+1,2))</f>
        <v>2013</v>
      </c>
      <c r="AO688" s="167" t="str">
        <f>IF(ISERROR(SEARCH("erstmals 201",E688)),"",MID(E688,SEARCH("erstmals ",E688)+9,4))</f>
        <v>2013</v>
      </c>
      <c r="AP688" s="167" t="str">
        <f>IF(R688="x","2010",IF(S688="x","2011",IF(T688="x","2012","")))</f>
        <v/>
      </c>
      <c r="AQ688" s="169" t="str">
        <f>IF(OR(AH688&lt;&gt;AN688,AH688&lt;&gt;AO688,AH688&lt;&gt;AP688),"DIFF","")</f>
        <v>DIFF</v>
      </c>
      <c r="AR688" s="170" t="str">
        <f>IF(A688="","",IF(ISERROR(SEARCH("K1",A688)),A688,LEFT(A688,SEARCH("K1",A688)+1)&amp;RIGHT(AH688,1)&amp;MID(A688,SEARCH("K1",A688)+3,14)))</f>
        <v>BiK84K12----04</v>
      </c>
      <c r="AS688" s="169" t="str">
        <f>IF(OR(A688&lt;&gt;AR688),"DIFF","")</f>
        <v>DIFF</v>
      </c>
      <c r="AT688">
        <f>LEN(AR688)</f>
        <v>14</v>
      </c>
      <c r="AU688" s="170" t="str">
        <f>IF(D688="","",IF(OR(A688="",ISERROR(SEARCH("erstmals 201",D688))),D688,LEFT(D688,SEARCH("erstmals 201",D688)+8) &amp; AH688 &amp; MID(D688,SEARCH("erstmals 201",D688)+13,255)))</f>
        <v>5-20 MW, Bonusregel K erstmals 2012</v>
      </c>
      <c r="AV688" s="169" t="str">
        <f>IF(OR(D688&lt;&gt;AU688),"DIFF","")</f>
        <v>DIFF</v>
      </c>
      <c r="AW688" s="170" t="str">
        <f>IF(E688="","",IF(OR(E688="",ISERROR(SEARCH("erstmals 201",E688))),E688,LEFT(E688,SEARCH("erstmals 201",E688)+8) &amp; AH688 &amp; MID(E688,SEARCH("erstmals 201",E688)+13,255)))</f>
        <v>Anteil KWK, erstmals 2012</v>
      </c>
      <c r="AX688" s="169" t="str">
        <f>IF(OR(E688&lt;&gt;AW688),"DIFF","")</f>
        <v>DIFF</v>
      </c>
      <c r="AY688" t="str">
        <f>IF(AH688="2011","x",IF(AH688="2012","","" &amp; S688))</f>
        <v/>
      </c>
      <c r="AZ688" t="str">
        <f>IF(AH688="2012","x",IF(AH688="2011","","" &amp; T688))</f>
        <v>x</v>
      </c>
    </row>
    <row r="689" spans="1:52" x14ac:dyDescent="0.35">
      <c r="A689" s="502" t="s">
        <v>5620</v>
      </c>
      <c r="B689" s="301" t="s">
        <v>5547</v>
      </c>
      <c r="C689" s="301" t="s">
        <v>4808</v>
      </c>
      <c r="D689" s="301" t="s">
        <v>5811</v>
      </c>
      <c r="E689" s="301" t="s">
        <v>314</v>
      </c>
      <c r="F689" s="379">
        <f t="shared" si="261"/>
        <v>26.520000000000003</v>
      </c>
      <c r="G689" s="433">
        <f t="shared" si="264"/>
        <v>26.520000000000003</v>
      </c>
      <c r="H689" s="402">
        <f t="shared" si="262"/>
        <v>21.22</v>
      </c>
      <c r="I689" s="579"/>
      <c r="J689" s="549" t="s">
        <v>5804</v>
      </c>
      <c r="M689" s="37">
        <f t="shared" si="263"/>
        <v>26.520000000000003</v>
      </c>
      <c r="N689" s="29">
        <v>11.67</v>
      </c>
      <c r="O689" s="319"/>
      <c r="P689" s="97" t="s">
        <v>2827</v>
      </c>
      <c r="Q689" s="97"/>
      <c r="R689" s="97">
        <v>2014</v>
      </c>
      <c r="S689" s="97"/>
      <c r="T689" s="92">
        <v>2.85</v>
      </c>
      <c r="U689" s="146" t="s">
        <v>1017</v>
      </c>
      <c r="V689" s="145"/>
      <c r="W689" s="147"/>
      <c r="X689" s="147"/>
      <c r="Y689" s="145"/>
      <c r="Z689" s="145" t="s">
        <v>1017</v>
      </c>
      <c r="AA689" s="147"/>
      <c r="AB689" s="145"/>
      <c r="AC689" s="145"/>
      <c r="AD689" s="147"/>
      <c r="AE689" s="148"/>
      <c r="AF689" s="147"/>
      <c r="AG689" s="147"/>
    </row>
    <row r="690" spans="1:52" s="145" customFormat="1" x14ac:dyDescent="0.35">
      <c r="A690" s="502" t="s">
        <v>5619</v>
      </c>
      <c r="B690" s="301" t="s">
        <v>5547</v>
      </c>
      <c r="C690" s="301" t="s">
        <v>4808</v>
      </c>
      <c r="D690" s="301" t="s">
        <v>5812</v>
      </c>
      <c r="E690" s="301" t="s">
        <v>314</v>
      </c>
      <c r="F690" s="379">
        <f t="shared" si="261"/>
        <v>21.75</v>
      </c>
      <c r="G690" s="433">
        <f t="shared" si="264"/>
        <v>21.75</v>
      </c>
      <c r="H690" s="402">
        <f t="shared" si="262"/>
        <v>17.399999999999999</v>
      </c>
      <c r="I690" s="579"/>
      <c r="J690" s="549" t="s">
        <v>5804</v>
      </c>
      <c r="K690" s="11"/>
      <c r="L690"/>
      <c r="M690" s="37">
        <f t="shared" si="263"/>
        <v>21.75</v>
      </c>
      <c r="N690" s="29">
        <v>9.9</v>
      </c>
      <c r="O690" s="319"/>
      <c r="P690" s="97" t="s">
        <v>2827</v>
      </c>
      <c r="Q690" s="97"/>
      <c r="R690" s="97">
        <v>2014</v>
      </c>
      <c r="S690" s="97"/>
      <c r="T690" s="92">
        <v>2.85</v>
      </c>
      <c r="U690" s="146" t="s">
        <v>1017</v>
      </c>
      <c r="W690" s="147"/>
      <c r="X690" s="147"/>
      <c r="Z690" s="147"/>
      <c r="AA690" s="145" t="s">
        <v>1017</v>
      </c>
      <c r="AC690" s="147"/>
      <c r="AE690" s="148"/>
      <c r="AF690" s="147"/>
      <c r="AG690" s="147"/>
      <c r="AH690" s="171" t="s">
        <v>4178</v>
      </c>
      <c r="AI690" s="168" t="str">
        <f>IF(AND($AH690&lt;&gt;"",AH690 =AH689),"Gleich","")</f>
        <v/>
      </c>
      <c r="AJ690" s="168" t="str">
        <f>IF(AND($AH690&lt;&gt;"",A690 =A689),"Gleich","")</f>
        <v/>
      </c>
      <c r="AK690" s="168" t="str">
        <f>IF(AND($AH690&lt;&gt;"",D690 =D689),"Gleich","")</f>
        <v/>
      </c>
      <c r="AL690" s="168" t="str">
        <f>IF(AND($AH690&lt;&gt;"",E690 =E689),"Gleich","")</f>
        <v>Gleich</v>
      </c>
      <c r="AM690" s="168" t="str">
        <f>IF(AND($AH690&lt;&gt;"",F690 =F689),"Gleich","")</f>
        <v/>
      </c>
      <c r="AN690" s="167" t="str">
        <f>IF(ISERROR(SEARCH("K1",A690)),"","20"&amp;MID(A690,SEARCH("K1",A690)+1,2))</f>
        <v>2014</v>
      </c>
      <c r="AO690" s="167" t="str">
        <f>IF(ISERROR(SEARCH("erstmals 201",E690)),"",MID(E690,SEARCH("erstmals ",E690)+9,4))</f>
        <v>2014</v>
      </c>
      <c r="AP690" s="167" t="str">
        <f>IF(R690="x","2010",IF(S690="x","2011",IF(T690="x","2012","")))</f>
        <v/>
      </c>
      <c r="AQ690" s="169" t="str">
        <f>IF(OR(AH690&lt;&gt;AN690,AH690&lt;&gt;AO690,AH690&lt;&gt;AP690),"DIFF","")</f>
        <v>DIFF</v>
      </c>
      <c r="AR690" s="170" t="str">
        <f>IF(A690="","",IF(ISERROR(SEARCH("K1",A690)),A690,LEFT(A690,SEARCH("K1",A690)+1)&amp;RIGHT(AH690,1)&amp;MID(A690,SEARCH("K1",A690)+3,14)))</f>
        <v>BiK82M2K12y-04</v>
      </c>
      <c r="AS690" s="169" t="str">
        <f>IF(OR(A690&lt;&gt;AR690),"DIFF","")</f>
        <v>DIFF</v>
      </c>
      <c r="AT690">
        <f>LEN(AR690)</f>
        <v>14</v>
      </c>
      <c r="AU690" s="170" t="str">
        <f>IF(D690="","",IF(OR(A690="",ISERROR(SEARCH("erstmals 201",D690))),D690,LEFT(D690,SEARCH("erstmals 201",D690)+8) &amp; AH690 &amp; MID(D690,SEARCH("erstmals 201",D690)+13,255)))</f>
        <v>0,15-0,5 MW, Bonusregeln M2, y und K erstmals 2012</v>
      </c>
      <c r="AV690" s="169" t="str">
        <f>IF(OR(D690&lt;&gt;AU690),"DIFF","")</f>
        <v>DIFF</v>
      </c>
      <c r="AW690" s="170" t="str">
        <f>IF(E690="","",IF(OR(E690="",ISERROR(SEARCH("erstmals 201",E690))),E690,LEFT(E690,SEARCH("erstmals 201",E690)+8) &amp; AH690 &amp; MID(E690,SEARCH("erstmals 201",E690)+13,255)))</f>
        <v>Anteil KWK, erstmals 2012</v>
      </c>
      <c r="AX690" s="169" t="str">
        <f>IF(OR(E690&lt;&gt;AW690),"DIFF","")</f>
        <v>DIFF</v>
      </c>
      <c r="AY690" t="str">
        <f>IF(AH690="2011","x",IF(AH690="2012","","" &amp; S690))</f>
        <v/>
      </c>
      <c r="AZ690" t="str">
        <f>IF(AH690="2012","x",IF(AH690="2011","","" &amp; T690))</f>
        <v>x</v>
      </c>
    </row>
    <row r="691" spans="1:52" x14ac:dyDescent="0.35">
      <c r="A691" s="502" t="s">
        <v>5637</v>
      </c>
      <c r="B691" s="301" t="s">
        <v>5547</v>
      </c>
      <c r="C691" s="301" t="s">
        <v>4808</v>
      </c>
      <c r="D691" s="301" t="s">
        <v>6858</v>
      </c>
      <c r="E691" s="301" t="s">
        <v>5624</v>
      </c>
      <c r="F691" s="379">
        <f t="shared" si="261"/>
        <v>26.490000000000002</v>
      </c>
      <c r="G691" s="433">
        <f t="shared" si="264"/>
        <v>26.490000000000002</v>
      </c>
      <c r="H691" s="402">
        <f t="shared" si="262"/>
        <v>21.19</v>
      </c>
      <c r="I691" s="579"/>
      <c r="J691" s="549" t="s">
        <v>5804</v>
      </c>
      <c r="M691" s="37">
        <f t="shared" si="263"/>
        <v>26.490000000000002</v>
      </c>
      <c r="N691" s="29">
        <v>11.67</v>
      </c>
      <c r="O691" s="319"/>
      <c r="P691" s="97" t="s">
        <v>2827</v>
      </c>
      <c r="Q691" s="97"/>
      <c r="R691" s="97">
        <v>2015</v>
      </c>
      <c r="S691" s="97"/>
      <c r="T691" s="92">
        <v>2.82</v>
      </c>
      <c r="U691" s="146" t="s">
        <v>1017</v>
      </c>
      <c r="V691" s="145"/>
      <c r="W691" s="147"/>
      <c r="X691" s="147"/>
      <c r="Y691" s="145"/>
      <c r="Z691" s="145" t="s">
        <v>1017</v>
      </c>
      <c r="AA691" s="147"/>
      <c r="AB691" s="145"/>
      <c r="AC691" s="145"/>
      <c r="AD691" s="147"/>
      <c r="AE691" s="148"/>
      <c r="AF691" s="147"/>
      <c r="AG691" s="147"/>
    </row>
    <row r="692" spans="1:52" s="145" customFormat="1" x14ac:dyDescent="0.35">
      <c r="A692" s="502" t="s">
        <v>5638</v>
      </c>
      <c r="B692" s="301" t="s">
        <v>5547</v>
      </c>
      <c r="C692" s="301" t="s">
        <v>4808</v>
      </c>
      <c r="D692" s="301" t="s">
        <v>7083</v>
      </c>
      <c r="E692" s="301" t="s">
        <v>5624</v>
      </c>
      <c r="F692" s="379">
        <f t="shared" si="261"/>
        <v>21.72</v>
      </c>
      <c r="G692" s="433">
        <f t="shared" si="264"/>
        <v>21.72</v>
      </c>
      <c r="H692" s="402">
        <f t="shared" si="262"/>
        <v>17.38</v>
      </c>
      <c r="I692" s="579"/>
      <c r="J692" s="549" t="s">
        <v>5804</v>
      </c>
      <c r="K692" s="11"/>
      <c r="L692"/>
      <c r="M692" s="37">
        <f t="shared" si="263"/>
        <v>21.72</v>
      </c>
      <c r="N692" s="29">
        <v>9.9</v>
      </c>
      <c r="O692" s="319"/>
      <c r="P692" s="97" t="s">
        <v>2827</v>
      </c>
      <c r="Q692" s="97"/>
      <c r="R692" s="97">
        <v>2015</v>
      </c>
      <c r="S692" s="97"/>
      <c r="T692" s="92">
        <v>2.82</v>
      </c>
      <c r="U692" s="146" t="s">
        <v>1017</v>
      </c>
      <c r="W692" s="147"/>
      <c r="X692" s="147"/>
      <c r="Z692" s="147"/>
      <c r="AA692" s="145" t="s">
        <v>1017</v>
      </c>
      <c r="AC692" s="147"/>
      <c r="AE692" s="148"/>
      <c r="AF692" s="147"/>
      <c r="AG692" s="147"/>
      <c r="AH692" s="171" t="s">
        <v>4178</v>
      </c>
      <c r="AI692" s="168" t="str">
        <f>IF(AND($AH692&lt;&gt;"",AH692 =AH691),"Gleich","")</f>
        <v/>
      </c>
      <c r="AJ692" s="168" t="str">
        <f>IF(AND($AH692&lt;&gt;"",A692 =A691),"Gleich","")</f>
        <v/>
      </c>
      <c r="AK692" s="168" t="str">
        <f t="shared" ref="AK692:AM693" si="266">IF(AND($AH692&lt;&gt;"",D692 =D691),"Gleich","")</f>
        <v/>
      </c>
      <c r="AL692" s="168" t="str">
        <f t="shared" si="266"/>
        <v>Gleich</v>
      </c>
      <c r="AM692" s="168" t="str">
        <f t="shared" si="266"/>
        <v/>
      </c>
      <c r="AN692" s="167" t="str">
        <f>IF(ISERROR(SEARCH("K1",A692)),"","20"&amp;MID(A692,SEARCH("K1",A692)+1,2))</f>
        <v>2015</v>
      </c>
      <c r="AO692" s="167" t="str">
        <f>IF(ISERROR(SEARCH("erstmals 201",E692)),"",MID(E692,SEARCH("erstmals ",E692)+9,4))</f>
        <v>2015</v>
      </c>
      <c r="AP692" s="167" t="str">
        <f>IF(R692="x","2010",IF(S692="x","2011",IF(T692="x","2012","")))</f>
        <v/>
      </c>
      <c r="AQ692" s="169" t="str">
        <f>IF(OR(AH692&lt;&gt;AN692,AH692&lt;&gt;AO692,AH692&lt;&gt;AP692),"DIFF","")</f>
        <v>DIFF</v>
      </c>
      <c r="AR692" s="170" t="str">
        <f>IF(A692="","",IF(ISERROR(SEARCH("K1",A692)),A692,LEFT(A692,SEARCH("K1",A692)+1)&amp;RIGHT(AH692,1)&amp;MID(A692,SEARCH("K1",A692)+3,14)))</f>
        <v>BiK82M2K12y-04</v>
      </c>
      <c r="AS692" s="169" t="str">
        <f>IF(OR(A692&lt;&gt;AR692),"DIFF","")</f>
        <v>DIFF</v>
      </c>
      <c r="AT692">
        <f>LEN(AR692)</f>
        <v>14</v>
      </c>
      <c r="AU692" s="170" t="str">
        <f>IF(D692="","",IF(OR(A692="",ISERROR(SEARCH("erstmals 201",D692))),D692,LEFT(D692,SEARCH("erstmals 201",D692)+8) &amp; AH692 &amp; MID(D692,SEARCH("erstmals 201",D692)+13,255)))</f>
        <v>0,15-0,5 MW, Bonusregeln M2, y und K erstmals 2012</v>
      </c>
      <c r="AV692" s="169" t="str">
        <f>IF(OR(D692&lt;&gt;AU692),"DIFF","")</f>
        <v>DIFF</v>
      </c>
      <c r="AW692" s="170" t="str">
        <f>IF(E692="","",IF(OR(E692="",ISERROR(SEARCH("erstmals 201",E692))),E692,LEFT(E692,SEARCH("erstmals 201",E692)+8) &amp; AH692 &amp; MID(E692,SEARCH("erstmals 201",E692)+13,255)))</f>
        <v>Anteil KWK, erstmals 2012</v>
      </c>
      <c r="AX692" s="169" t="str">
        <f>IF(OR(E692&lt;&gt;AW692),"DIFF","")</f>
        <v>DIFF</v>
      </c>
      <c r="AY692" t="str">
        <f>IF(AH692="2011","x",IF(AH692="2012","","" &amp; S692))</f>
        <v/>
      </c>
      <c r="AZ692" t="str">
        <f>IF(AH692="2012","x",IF(AH692="2011","","" &amp; T692))</f>
        <v>x</v>
      </c>
    </row>
    <row r="693" spans="1:52" s="145" customFormat="1" x14ac:dyDescent="0.35">
      <c r="A693" s="502" t="s">
        <v>5796</v>
      </c>
      <c r="B693" s="301" t="s">
        <v>5547</v>
      </c>
      <c r="C693" s="301" t="s">
        <v>4808</v>
      </c>
      <c r="D693" s="301" t="s">
        <v>6766</v>
      </c>
      <c r="E693" s="301" t="s">
        <v>5624</v>
      </c>
      <c r="F693" s="379">
        <f t="shared" si="261"/>
        <v>11.72</v>
      </c>
      <c r="G693" s="433">
        <f t="shared" si="264"/>
        <v>11.72</v>
      </c>
      <c r="H693" s="402">
        <f t="shared" si="262"/>
        <v>9.3800000000000008</v>
      </c>
      <c r="I693" s="579"/>
      <c r="J693" s="549" t="s">
        <v>5804</v>
      </c>
      <c r="K693" s="11"/>
      <c r="L693"/>
      <c r="M693" s="37">
        <f t="shared" si="263"/>
        <v>11.72</v>
      </c>
      <c r="N693" s="29">
        <v>8.9</v>
      </c>
      <c r="O693" s="319"/>
      <c r="P693" s="97" t="s">
        <v>2827</v>
      </c>
      <c r="Q693" s="97"/>
      <c r="R693" s="97">
        <v>2015</v>
      </c>
      <c r="S693" s="97"/>
      <c r="T693" s="92">
        <v>2.82</v>
      </c>
      <c r="U693" s="60"/>
      <c r="V693" s="50"/>
      <c r="W693"/>
      <c r="X693"/>
      <c r="Y693" s="50"/>
      <c r="Z693" s="50"/>
      <c r="AA693" s="50"/>
      <c r="AB693" s="50"/>
      <c r="AC693" s="50"/>
      <c r="AD693" s="50"/>
      <c r="AE693" s="75"/>
      <c r="AF693" s="50"/>
      <c r="AG693" s="50"/>
      <c r="AH693" s="171" t="s">
        <v>4178</v>
      </c>
      <c r="AI693" s="168" t="str">
        <f>IF(AND($AH693&lt;&gt;"",AH693 =AH692),"Gleich","")</f>
        <v>Gleich</v>
      </c>
      <c r="AJ693" s="168" t="str">
        <f>IF(AND($AH693&lt;&gt;"",A693 =A692),"Gleich","")</f>
        <v/>
      </c>
      <c r="AK693" s="168" t="str">
        <f t="shared" si="266"/>
        <v/>
      </c>
      <c r="AL693" s="168" t="str">
        <f t="shared" si="266"/>
        <v>Gleich</v>
      </c>
      <c r="AM693" s="168" t="str">
        <f t="shared" si="266"/>
        <v/>
      </c>
      <c r="AN693" s="167" t="str">
        <f>IF(ISERROR(SEARCH("K1",A693)),"","20"&amp;MID(A693,SEARCH("K1",A693)+1,2))</f>
        <v>2015</v>
      </c>
      <c r="AO693" s="167" t="str">
        <f>IF(ISERROR(SEARCH("erstmals 201",E693)),"",MID(E693,SEARCH("erstmals ",E693)+9,4))</f>
        <v>2015</v>
      </c>
      <c r="AP693" s="167" t="str">
        <f>IF(R693="x","2010",IF(S693="x","2011",IF(T693="x","2012","")))</f>
        <v/>
      </c>
      <c r="AQ693" s="169" t="str">
        <f>IF(OR(AH693&lt;&gt;AN693,AH693&lt;&gt;AO693,AH693&lt;&gt;AP693),"DIFF","")</f>
        <v>DIFF</v>
      </c>
      <c r="AR693" s="170" t="str">
        <f>IF(A693="","",IF(ISERROR(SEARCH("K1",A693)),A693,LEFT(A693,SEARCH("K1",A693)+1)&amp;RIGHT(AH693,1)&amp;MID(A693,SEARCH("K1",A693)+3,14)))</f>
        <v>BiK83K12----04</v>
      </c>
      <c r="AS693" s="169" t="str">
        <f>IF(OR(A693&lt;&gt;AR693),"DIFF","")</f>
        <v>DIFF</v>
      </c>
      <c r="AT693">
        <f>LEN(AR693)</f>
        <v>14</v>
      </c>
      <c r="AU693" s="170" t="str">
        <f>IF(D693="","",IF(OR(A693="",ISERROR(SEARCH("erstmals 201",D693))),D693,LEFT(D693,SEARCH("erstmals 201",D693)+8) &amp; AH693 &amp; MID(D693,SEARCH("erstmals 201",D693)+13,255)))</f>
        <v>0,5-5 MW, Bonusregel K erstmals 2012</v>
      </c>
      <c r="AV693" s="169" t="str">
        <f>IF(OR(D693&lt;&gt;AU693),"DIFF","")</f>
        <v>DIFF</v>
      </c>
      <c r="AW693" s="170" t="str">
        <f>IF(E693="","",IF(OR(E693="",ISERROR(SEARCH("erstmals 201",E693))),E693,LEFT(E693,SEARCH("erstmals 201",E693)+8) &amp; AH693 &amp; MID(E693,SEARCH("erstmals 201",E693)+13,255)))</f>
        <v>Anteil KWK, erstmals 2012</v>
      </c>
      <c r="AX693" s="169" t="str">
        <f>IF(OR(E693&lt;&gt;AW693),"DIFF","")</f>
        <v>DIFF</v>
      </c>
      <c r="AY693" t="str">
        <f>IF(AH693="2011","x",IF(AH693="2012","","" &amp; S693))</f>
        <v/>
      </c>
      <c r="AZ693" t="str">
        <f>IF(AH693="2012","x",IF(AH693="2011","","" &amp; T693))</f>
        <v>x</v>
      </c>
    </row>
    <row r="694" spans="1:52" s="145" customFormat="1" x14ac:dyDescent="0.35">
      <c r="A694" s="502" t="s">
        <v>6166</v>
      </c>
      <c r="B694" s="301" t="s">
        <v>5547</v>
      </c>
      <c r="C694" s="301" t="s">
        <v>4808</v>
      </c>
      <c r="D694" s="301" t="s">
        <v>6767</v>
      </c>
      <c r="E694" s="301" t="s">
        <v>5806</v>
      </c>
      <c r="F694" s="377">
        <f t="shared" si="261"/>
        <v>11.7</v>
      </c>
      <c r="G694" s="433">
        <f t="shared" si="264"/>
        <v>11.7</v>
      </c>
      <c r="H694" s="402">
        <f t="shared" si="262"/>
        <v>9.36</v>
      </c>
      <c r="I694" s="579"/>
      <c r="J694" s="549">
        <v>42859</v>
      </c>
      <c r="K694" s="11"/>
      <c r="L694"/>
      <c r="M694" s="37">
        <f t="shared" si="263"/>
        <v>11.7</v>
      </c>
      <c r="N694" s="29">
        <v>8.9</v>
      </c>
      <c r="O694" s="319"/>
      <c r="P694" s="97" t="s">
        <v>2827</v>
      </c>
      <c r="Q694" s="97"/>
      <c r="R694" s="97">
        <v>2016</v>
      </c>
      <c r="S694" s="97" t="s">
        <v>4179</v>
      </c>
      <c r="T694" s="554">
        <v>2.8</v>
      </c>
      <c r="U694" s="60"/>
      <c r="V694" s="50"/>
      <c r="W694"/>
      <c r="X694"/>
      <c r="Y694" s="50"/>
      <c r="Z694" s="50"/>
      <c r="AA694" s="50"/>
      <c r="AB694" s="50"/>
      <c r="AC694" s="50"/>
      <c r="AD694" s="50"/>
      <c r="AE694" s="75"/>
      <c r="AF694" s="50"/>
      <c r="AG694" s="50"/>
      <c r="AH694" s="171" t="str">
        <f>IF(ISERROR(SEARCH("K erstmals 201",D694)),"",RIGHT(D694,4))</f>
        <v>2016</v>
      </c>
      <c r="AI694" s="168" t="str">
        <f>IF(AND($AH694&lt;&gt;"",AH694 =AH679),"Gleich","")</f>
        <v/>
      </c>
      <c r="AJ694" s="168" t="str">
        <f>IF(AND($AH694&lt;&gt;"",A694 =A679),"Gleich","")</f>
        <v/>
      </c>
      <c r="AK694" s="168" t="str">
        <f>IF(AND($AH694&lt;&gt;"",D694 =D679),"Gleich","")</f>
        <v/>
      </c>
      <c r="AL694" s="168" t="str">
        <f>IF(AND($AH694&lt;&gt;"",E694 =E679),"Gleich","")</f>
        <v/>
      </c>
      <c r="AM694" s="168" t="str">
        <f>IF(AND($AH694&lt;&gt;"",F694 =F679),"Gleich","")</f>
        <v/>
      </c>
      <c r="AN694" s="167" t="str">
        <f>IF(ISERROR(SEARCH("K1",A694)),"","20"&amp;MID(A694,SEARCH("K1",A694)+1,2))</f>
        <v>2016</v>
      </c>
      <c r="AO694" s="167" t="str">
        <f>IF(ISERROR(SEARCH("erstmals 201",E694)),"",MID(E694,SEARCH("erstmals ",E694)+9,4))</f>
        <v>2016</v>
      </c>
      <c r="AP694" s="167" t="str">
        <f>IF(R694="x","2010",IF(S694="x","2011",IF(T694="x","2012","")))</f>
        <v/>
      </c>
      <c r="AQ694" s="169" t="str">
        <f>IF(OR(AH694&lt;&gt;AN694,AH694&lt;&gt;AO694,AH694&lt;&gt;AP694),"DIFF","")</f>
        <v>DIFF</v>
      </c>
      <c r="AR694" s="170" t="str">
        <f>IF(A694="","",IF(ISERROR(SEARCH("K1",A694)),A694,LEFT(A694,SEARCH("K1",A694)+1)&amp;RIGHT(AH694,1)&amp;MID(A694,SEARCH("K1",A694)+3,14)))</f>
        <v>BiK83K16----04</v>
      </c>
      <c r="AS694" s="169" t="str">
        <f>IF(OR(A694&lt;&gt;AR694),"DIFF","")</f>
        <v/>
      </c>
      <c r="AT694">
        <f>LEN(AR694)</f>
        <v>14</v>
      </c>
      <c r="AU694" s="170" t="str">
        <f>IF(D694="","",IF(OR(A694="",ISERROR(SEARCH("erstmals 201",D694))),D694,LEFT(D694,SEARCH("erstmals 201",D694)+8) &amp; AH694 &amp; MID(D694,SEARCH("erstmals 201",D694)+13,255)))</f>
        <v>0,5-5 MW, Bonusregel K erstmals 2016</v>
      </c>
      <c r="AV694" s="169" t="str">
        <f>IF(OR(D694&lt;&gt;AU694),"DIFF","")</f>
        <v/>
      </c>
      <c r="AW694" s="170" t="str">
        <f>IF(E694="","",IF(OR(E694="",ISERROR(SEARCH("erstmals 201",E694))),E694,LEFT(E694,SEARCH("erstmals 201",E694)+8) &amp; AH694 &amp; MID(E694,SEARCH("erstmals 201",E694)+13,255)))</f>
        <v>Anteil KWK, erstmals 2016</v>
      </c>
      <c r="AX694" s="169" t="str">
        <f>IF(OR(E694&lt;&gt;AW694),"DIFF","")</f>
        <v/>
      </c>
      <c r="AY694" t="str">
        <f>IF(AH694="2011","x",IF(AH694="2012","","" &amp; S694))</f>
        <v/>
      </c>
      <c r="AZ694" t="str">
        <f>IF(AH694="2012","x",IF(AH694="2011","","" &amp; T694))</f>
        <v>2,8</v>
      </c>
    </row>
    <row r="695" spans="1:52" s="145" customFormat="1" x14ac:dyDescent="0.35">
      <c r="A695" s="502" t="s">
        <v>6349</v>
      </c>
      <c r="B695" s="301" t="s">
        <v>5547</v>
      </c>
      <c r="C695" s="301" t="s">
        <v>4808</v>
      </c>
      <c r="D695" s="301" t="s">
        <v>6799</v>
      </c>
      <c r="E695" s="301" t="s">
        <v>6155</v>
      </c>
      <c r="F695" s="377">
        <f t="shared" si="261"/>
        <v>11.67</v>
      </c>
      <c r="G695" s="433">
        <f t="shared" si="264"/>
        <v>11.67</v>
      </c>
      <c r="H695" s="402">
        <f t="shared" si="262"/>
        <v>9.34</v>
      </c>
      <c r="I695" s="579"/>
      <c r="J695" s="549">
        <v>43318</v>
      </c>
      <c r="K695" s="11"/>
      <c r="L695"/>
      <c r="M695" s="37">
        <f t="shared" si="263"/>
        <v>11.67</v>
      </c>
      <c r="N695" s="29">
        <v>8.9</v>
      </c>
      <c r="O695" s="319"/>
      <c r="P695" s="97" t="s">
        <v>2827</v>
      </c>
      <c r="Q695" s="97"/>
      <c r="R695" s="97">
        <v>2017</v>
      </c>
      <c r="S695" s="97"/>
      <c r="T695" s="554">
        <f>ROUND($Q$296*0.99^($R695-$Q$293),2)</f>
        <v>2.77</v>
      </c>
      <c r="U695" s="60"/>
      <c r="V695" s="50"/>
      <c r="W695"/>
      <c r="X695"/>
      <c r="Y695" s="50"/>
      <c r="Z695" s="50"/>
      <c r="AA695" s="50"/>
      <c r="AB695" s="50"/>
      <c r="AC695" s="50"/>
      <c r="AD695" s="50"/>
      <c r="AE695" s="75"/>
      <c r="AF695" s="50"/>
      <c r="AG695" s="50"/>
      <c r="AH695" s="171"/>
      <c r="AI695" s="168"/>
      <c r="AJ695" s="168"/>
      <c r="AK695" s="168"/>
      <c r="AL695" s="168"/>
      <c r="AM695" s="168"/>
      <c r="AN695" s="167"/>
      <c r="AO695" s="167"/>
      <c r="AP695" s="167" t="str">
        <f>IF(R695="x","2010",IF(S695="x","2011",IF(T695="x","2012","")))</f>
        <v/>
      </c>
      <c r="AQ695" s="169"/>
      <c r="AR695" s="170"/>
      <c r="AS695" s="169"/>
      <c r="AT695"/>
      <c r="AU695" s="170"/>
      <c r="AV695" s="169"/>
      <c r="AW695" s="170"/>
      <c r="AX695" s="169"/>
      <c r="AY695"/>
      <c r="AZ695"/>
    </row>
    <row r="696" spans="1:52" s="145" customFormat="1" x14ac:dyDescent="0.35">
      <c r="A696" s="502" t="s">
        <v>7515</v>
      </c>
      <c r="B696" s="301" t="s">
        <v>5547</v>
      </c>
      <c r="C696" s="301" t="s">
        <v>4808</v>
      </c>
      <c r="D696" s="301" t="s">
        <v>7504</v>
      </c>
      <c r="E696" s="301" t="s">
        <v>6155</v>
      </c>
      <c r="F696" s="377">
        <f t="shared" si="261"/>
        <v>15.44</v>
      </c>
      <c r="G696" s="433">
        <f t="shared" si="264"/>
        <v>15.44</v>
      </c>
      <c r="H696" s="402">
        <f t="shared" si="262"/>
        <v>12.35</v>
      </c>
      <c r="I696" s="579"/>
      <c r="J696" s="549">
        <v>44260</v>
      </c>
      <c r="K696" s="11"/>
      <c r="L696"/>
      <c r="M696" s="37">
        <f t="shared" si="263"/>
        <v>15.44</v>
      </c>
      <c r="N696" s="29">
        <v>11.67</v>
      </c>
      <c r="O696" s="319"/>
      <c r="P696" s="97" t="s">
        <v>2827</v>
      </c>
      <c r="Q696" s="97"/>
      <c r="R696" s="97">
        <v>2017</v>
      </c>
      <c r="S696" s="97"/>
      <c r="T696" s="554">
        <v>2.77</v>
      </c>
      <c r="U696" s="146" t="s">
        <v>1017</v>
      </c>
      <c r="W696" s="147"/>
      <c r="X696" s="147"/>
      <c r="AA696" s="147"/>
      <c r="AD696" s="147"/>
      <c r="AE696" s="75"/>
      <c r="AF696" s="50"/>
      <c r="AG696" s="50"/>
      <c r="AH696" s="171"/>
      <c r="AI696" s="168"/>
      <c r="AJ696" s="168"/>
      <c r="AK696" s="168"/>
      <c r="AL696" s="168"/>
      <c r="AM696" s="168"/>
      <c r="AN696" s="167"/>
      <c r="AO696" s="167"/>
      <c r="AP696" s="167"/>
      <c r="AQ696" s="169"/>
      <c r="AR696" s="170"/>
      <c r="AS696" s="169"/>
      <c r="AT696"/>
      <c r="AU696" s="170"/>
      <c r="AV696" s="169"/>
      <c r="AW696" s="170"/>
      <c r="AX696" s="169"/>
      <c r="AY696"/>
      <c r="AZ696"/>
    </row>
    <row r="697" spans="1:52" s="145" customFormat="1" x14ac:dyDescent="0.35">
      <c r="A697" s="502" t="s">
        <v>7516</v>
      </c>
      <c r="B697" s="301" t="s">
        <v>5547</v>
      </c>
      <c r="C697" s="301" t="s">
        <v>4808</v>
      </c>
      <c r="D697" s="301" t="s">
        <v>7510</v>
      </c>
      <c r="E697" s="301" t="s">
        <v>6155</v>
      </c>
      <c r="F697" s="377">
        <f t="shared" si="261"/>
        <v>13.67</v>
      </c>
      <c r="G697" s="433">
        <f t="shared" si="264"/>
        <v>13.67</v>
      </c>
      <c r="H697" s="402">
        <f t="shared" si="262"/>
        <v>10.94</v>
      </c>
      <c r="I697" s="579"/>
      <c r="J697" s="549">
        <v>44260</v>
      </c>
      <c r="K697" s="11"/>
      <c r="L697"/>
      <c r="M697" s="37">
        <f t="shared" si="263"/>
        <v>13.67</v>
      </c>
      <c r="N697" s="29">
        <v>9.9</v>
      </c>
      <c r="O697" s="319"/>
      <c r="P697" s="97" t="s">
        <v>2827</v>
      </c>
      <c r="Q697" s="97"/>
      <c r="R697" s="97">
        <v>2017</v>
      </c>
      <c r="S697" s="97"/>
      <c r="T697" s="554">
        <v>2.77</v>
      </c>
      <c r="U697" s="146" t="s">
        <v>1017</v>
      </c>
      <c r="W697" s="147"/>
      <c r="X697" s="147"/>
      <c r="Z697" s="147"/>
      <c r="AC697" s="147"/>
      <c r="AE697" s="75"/>
      <c r="AF697" s="50"/>
      <c r="AG697" s="50"/>
      <c r="AH697" s="171"/>
      <c r="AI697" s="168"/>
      <c r="AJ697" s="168"/>
      <c r="AK697" s="168"/>
      <c r="AL697" s="168"/>
      <c r="AM697" s="168"/>
      <c r="AN697" s="167"/>
      <c r="AO697" s="167"/>
      <c r="AP697" s="167"/>
      <c r="AQ697" s="169"/>
      <c r="AR697" s="170"/>
      <c r="AS697" s="169"/>
      <c r="AT697"/>
      <c r="AU697" s="170"/>
      <c r="AV697" s="169"/>
      <c r="AW697" s="170"/>
      <c r="AX697" s="169"/>
      <c r="AY697"/>
      <c r="AZ697"/>
    </row>
    <row r="698" spans="1:52" s="145" customFormat="1" x14ac:dyDescent="0.35">
      <c r="A698" s="502" t="s">
        <v>6609</v>
      </c>
      <c r="B698" s="301" t="s">
        <v>5547</v>
      </c>
      <c r="C698" s="301" t="s">
        <v>4808</v>
      </c>
      <c r="D698" s="301" t="s">
        <v>6989</v>
      </c>
      <c r="E698" s="301" t="s">
        <v>6610</v>
      </c>
      <c r="F698" s="377">
        <f t="shared" si="261"/>
        <v>25.360000000000003</v>
      </c>
      <c r="G698" s="433">
        <f t="shared" si="264"/>
        <v>25.360000000000003</v>
      </c>
      <c r="H698" s="402">
        <f t="shared" si="262"/>
        <v>20.29</v>
      </c>
      <c r="I698" s="579"/>
      <c r="J698" s="549">
        <v>43951</v>
      </c>
      <c r="K698" s="11"/>
      <c r="L698"/>
      <c r="M698" s="37">
        <f t="shared" si="263"/>
        <v>25.360000000000003</v>
      </c>
      <c r="N698" s="29">
        <v>11.67</v>
      </c>
      <c r="O698" s="634"/>
      <c r="P698" s="635" t="s">
        <v>2827</v>
      </c>
      <c r="Q698" s="561"/>
      <c r="R698" s="635">
        <v>2020</v>
      </c>
      <c r="S698" s="561" t="s">
        <v>4179</v>
      </c>
      <c r="T698" s="554">
        <f>ROUND($Q$296*0.99^($R698-$Q$293),2)</f>
        <v>2.69</v>
      </c>
      <c r="U698" s="42"/>
      <c r="V698"/>
      <c r="W698" s="147"/>
      <c r="X698" s="147"/>
      <c r="Z698" s="145" t="s">
        <v>1017</v>
      </c>
      <c r="AA698" s="147"/>
      <c r="AD698" s="147"/>
      <c r="AE698" s="75"/>
      <c r="AF698" s="147"/>
      <c r="AG698" s="147"/>
      <c r="AH698" s="171"/>
      <c r="AI698" s="168"/>
      <c r="AJ698" s="168"/>
      <c r="AK698" s="168"/>
      <c r="AL698" s="168"/>
      <c r="AM698" s="168"/>
      <c r="AN698" s="167"/>
      <c r="AO698" s="167"/>
      <c r="AP698" s="167"/>
      <c r="AQ698" s="169"/>
      <c r="AR698" s="170"/>
      <c r="AS698" s="169"/>
      <c r="AT698"/>
      <c r="AU698" s="170"/>
      <c r="AV698" s="169"/>
      <c r="AW698" s="170"/>
      <c r="AX698" s="169"/>
      <c r="AY698"/>
      <c r="AZ698"/>
    </row>
    <row r="699" spans="1:52" s="145" customFormat="1" x14ac:dyDescent="0.35">
      <c r="A699" s="496"/>
      <c r="B699" s="1"/>
      <c r="C699" s="1"/>
      <c r="D699" s="1"/>
      <c r="E699" s="1"/>
      <c r="F699" s="556"/>
      <c r="G699" s="432"/>
      <c r="H699" s="401"/>
      <c r="I699" s="578"/>
      <c r="J699" s="549"/>
      <c r="K699" s="11"/>
      <c r="L699"/>
      <c r="M699" s="37"/>
      <c r="N699" s="29"/>
      <c r="O699" s="75"/>
      <c r="P699"/>
      <c r="Q699"/>
      <c r="R699"/>
      <c r="S699"/>
      <c r="U699" s="42"/>
      <c r="V699"/>
      <c r="W699"/>
      <c r="X699"/>
      <c r="Y699"/>
      <c r="Z699"/>
      <c r="AA699"/>
      <c r="AB699"/>
      <c r="AC699"/>
      <c r="AD699"/>
      <c r="AE699" s="75"/>
      <c r="AF699"/>
      <c r="AG699"/>
      <c r="AH699" s="171"/>
      <c r="AI699" s="168"/>
      <c r="AJ699" s="168"/>
      <c r="AK699" s="168"/>
      <c r="AL699" s="168"/>
      <c r="AM699" s="168"/>
      <c r="AN699" s="167"/>
      <c r="AO699" s="167"/>
      <c r="AP699" s="167"/>
      <c r="AQ699" s="169"/>
      <c r="AR699" s="170"/>
      <c r="AS699" s="169"/>
      <c r="AT699"/>
      <c r="AU699" s="170"/>
      <c r="AV699" s="169"/>
      <c r="AW699" s="170"/>
      <c r="AX699" s="169"/>
      <c r="AY699"/>
      <c r="AZ699"/>
    </row>
    <row r="700" spans="1:52" ht="15.5" x14ac:dyDescent="0.35">
      <c r="A700" s="496" t="s">
        <v>4179</v>
      </c>
      <c r="B700" s="1"/>
      <c r="C700" s="1"/>
      <c r="D700" s="1" t="s">
        <v>4179</v>
      </c>
      <c r="E700" s="1" t="s">
        <v>4179</v>
      </c>
      <c r="F700" s="375"/>
      <c r="G700" s="432"/>
      <c r="H700" s="401"/>
      <c r="I700" s="578"/>
      <c r="J700" s="549" t="s">
        <v>4179</v>
      </c>
      <c r="K700" s="11"/>
      <c r="M700" s="53" t="s">
        <v>2242</v>
      </c>
      <c r="N700" s="27"/>
      <c r="O700" s="31"/>
      <c r="P700" s="22"/>
      <c r="U700" s="42"/>
      <c r="AE700" s="75"/>
      <c r="AH700" s="166" t="str">
        <f t="shared" ref="AH700:AH710" si="267">IF(ISERROR(SEARCH("K erstmals 201",D700)),"",RIGHT(D700,4))</f>
        <v/>
      </c>
      <c r="AI700" s="168" t="str">
        <f>IF(AND($AH700&lt;&gt;"",AH700 =AH694),"Gleich","")</f>
        <v/>
      </c>
      <c r="AJ700" s="168" t="str">
        <f>IF(AND($AH700&lt;&gt;"",A700 =A694),"Gleich","")</f>
        <v/>
      </c>
      <c r="AK700" s="168" t="str">
        <f>IF(AND($AH700&lt;&gt;"",D700 =D694),"Gleich","")</f>
        <v/>
      </c>
      <c r="AL700" s="168" t="str">
        <f>IF(AND($AH700&lt;&gt;"",E700 =E694),"Gleich","")</f>
        <v/>
      </c>
      <c r="AM700" s="168" t="str">
        <f>IF(AND($AH700&lt;&gt;"",F700 =F694),"Gleich","")</f>
        <v/>
      </c>
      <c r="AN700" s="167" t="str">
        <f t="shared" ref="AN700:AN763" si="268">IF(ISERROR(SEARCH("K1",A700)),"","20"&amp;MID(A700,SEARCH("K1",A700)+1,2))</f>
        <v/>
      </c>
      <c r="AO700" s="167" t="str">
        <f t="shared" ref="AO700:AO763" si="269">IF(ISERROR(SEARCH("erstmals 201",E700)),"",MID(E700,SEARCH("erstmals ",E700)+9,4))</f>
        <v/>
      </c>
      <c r="AP700" s="167" t="str">
        <f t="shared" ref="AP700:AP763" si="270">IF(R700="x","2010",IF(S700="x","2011",IF(T700="x","2012","")))</f>
        <v/>
      </c>
      <c r="AQ700" s="169" t="str">
        <f t="shared" ref="AQ700:AQ763" si="271">IF(OR(AH700&lt;&gt;AN700,AH700&lt;&gt;AO700,AH700&lt;&gt;AP700),"DIFF","")</f>
        <v/>
      </c>
      <c r="AR700" s="170" t="str">
        <f t="shared" ref="AR700:AR763" si="272">IF(A700="","",IF(ISERROR(SEARCH("K1",A700)),A700,LEFT(A700,SEARCH("K1",A700)+1)&amp;RIGHT(AH700,1)&amp;MID(A700,SEARCH("K1",A700)+3,14)))</f>
        <v/>
      </c>
      <c r="AS700" s="169" t="str">
        <f t="shared" ref="AS700:AS763" si="273">IF(OR(A700&lt;&gt;AR700),"DIFF","")</f>
        <v/>
      </c>
      <c r="AT700">
        <f t="shared" ref="AT700:AT763" si="274">LEN(AR700)</f>
        <v>0</v>
      </c>
      <c r="AU700" s="170" t="str">
        <f t="shared" ref="AU700:AU763" si="275">IF(D700="","",IF(OR(A700="",ISERROR(SEARCH("erstmals 201",D700))),D700,LEFT(D700,SEARCH("erstmals 201",D700)+8) &amp; AH700 &amp; MID(D700,SEARCH("erstmals 201",D700)+13,255)))</f>
        <v/>
      </c>
      <c r="AV700" s="169" t="str">
        <f t="shared" ref="AV700:AV763" si="276">IF(OR(D700&lt;&gt;AU700),"DIFF","")</f>
        <v/>
      </c>
      <c r="AW700" s="170" t="str">
        <f t="shared" ref="AW700:AW763" si="277">IF(E700="","",IF(OR(E700="",ISERROR(SEARCH("erstmals 201",E700))),E700,LEFT(E700,SEARCH("erstmals 201",E700)+8) &amp; AH700 &amp; MID(E700,SEARCH("erstmals 201",E700)+13,255)))</f>
        <v/>
      </c>
      <c r="AX700" s="169" t="str">
        <f t="shared" ref="AX700:AX763" si="278">IF(OR(E700&lt;&gt;AW700),"DIFF","")</f>
        <v/>
      </c>
      <c r="AY700" t="str">
        <f t="shared" ref="AY700:AY763" si="279">IF(AH700="2011","x",IF(AH700="2012","","" &amp; S700))</f>
        <v/>
      </c>
      <c r="AZ700" t="str">
        <f t="shared" ref="AZ700:AZ763" si="280">IF(AH700="2012","x",IF(AH700="2011","","" &amp; T700))</f>
        <v/>
      </c>
    </row>
    <row r="701" spans="1:52" x14ac:dyDescent="0.35">
      <c r="A701" s="496" t="s">
        <v>4179</v>
      </c>
      <c r="B701" s="1"/>
      <c r="C701" s="1"/>
      <c r="D701" s="1" t="s">
        <v>4179</v>
      </c>
      <c r="E701" s="1" t="s">
        <v>4179</v>
      </c>
      <c r="F701" s="375"/>
      <c r="G701" s="432"/>
      <c r="H701" s="401"/>
      <c r="I701" s="578"/>
      <c r="J701" s="549" t="s">
        <v>4179</v>
      </c>
      <c r="K701" s="11"/>
      <c r="N701" s="22"/>
      <c r="O701" s="31" t="s">
        <v>2659</v>
      </c>
      <c r="P701" s="22"/>
      <c r="Q701">
        <v>2009</v>
      </c>
      <c r="R701">
        <v>2010</v>
      </c>
      <c r="S701">
        <v>2011</v>
      </c>
      <c r="T701">
        <v>2012</v>
      </c>
      <c r="U701" s="42"/>
      <c r="V701" s="22" t="s">
        <v>778</v>
      </c>
      <c r="AE701" s="31" t="s">
        <v>827</v>
      </c>
      <c r="AH701" s="166" t="str">
        <f t="shared" si="267"/>
        <v/>
      </c>
      <c r="AI701" s="168" t="str">
        <f t="shared" ref="AI701:AI764" si="281">IF(AND($AH701&lt;&gt;"",AH701 =AH700),"Gleich","")</f>
        <v/>
      </c>
      <c r="AJ701" s="168" t="str">
        <f t="shared" ref="AJ701:AJ764" si="282">IF(AND($AH701&lt;&gt;"",A701 =A700),"Gleich","")</f>
        <v/>
      </c>
      <c r="AK701" s="168" t="str">
        <f t="shared" ref="AK701:AK764" si="283">IF(AND($AH701&lt;&gt;"",D701 =D700),"Gleich","")</f>
        <v/>
      </c>
      <c r="AL701" s="168" t="str">
        <f t="shared" ref="AL701:AL764" si="284">IF(AND($AH701&lt;&gt;"",E701 =E700),"Gleich","")</f>
        <v/>
      </c>
      <c r="AM701" s="168" t="str">
        <f t="shared" ref="AM701:AM764" si="285">IF(AND($AH701&lt;&gt;"",F701 =F700),"Gleich","")</f>
        <v/>
      </c>
      <c r="AN701" s="167" t="str">
        <f t="shared" si="268"/>
        <v/>
      </c>
      <c r="AO701" s="167" t="str">
        <f t="shared" si="269"/>
        <v/>
      </c>
      <c r="AP701" s="167" t="str">
        <f t="shared" si="270"/>
        <v/>
      </c>
      <c r="AQ701" s="169" t="str">
        <f t="shared" si="271"/>
        <v/>
      </c>
      <c r="AR701" s="170" t="str">
        <f t="shared" si="272"/>
        <v/>
      </c>
      <c r="AS701" s="169" t="str">
        <f t="shared" si="273"/>
        <v/>
      </c>
      <c r="AT701">
        <f t="shared" si="274"/>
        <v>0</v>
      </c>
      <c r="AU701" s="170" t="str">
        <f t="shared" si="275"/>
        <v/>
      </c>
      <c r="AV701" s="169" t="str">
        <f t="shared" si="276"/>
        <v/>
      </c>
      <c r="AW701" s="170" t="str">
        <f t="shared" si="277"/>
        <v/>
      </c>
      <c r="AX701" s="169" t="str">
        <f t="shared" si="278"/>
        <v/>
      </c>
      <c r="AY701" t="str">
        <f t="shared" si="279"/>
        <v>2011</v>
      </c>
      <c r="AZ701" t="str">
        <f t="shared" si="280"/>
        <v>2012</v>
      </c>
    </row>
    <row r="702" spans="1:52" ht="72" x14ac:dyDescent="0.35">
      <c r="A702" s="496" t="s">
        <v>4179</v>
      </c>
      <c r="B702" s="1"/>
      <c r="C702" s="1"/>
      <c r="D702" s="1" t="s">
        <v>4179</v>
      </c>
      <c r="E702" s="1" t="s">
        <v>4179</v>
      </c>
      <c r="F702" s="375"/>
      <c r="G702" s="432"/>
      <c r="H702" s="401"/>
      <c r="I702" s="578"/>
      <c r="J702" s="549" t="s">
        <v>4179</v>
      </c>
      <c r="K702" s="11"/>
      <c r="M702" s="36" t="s">
        <v>2913</v>
      </c>
      <c r="N702" s="30" t="s">
        <v>2912</v>
      </c>
      <c r="O702" s="32" t="s">
        <v>825</v>
      </c>
      <c r="P702" s="30" t="s">
        <v>3007</v>
      </c>
      <c r="Q702" s="30" t="s">
        <v>1013</v>
      </c>
      <c r="R702" s="30" t="s">
        <v>1264</v>
      </c>
      <c r="S702" s="30" t="s">
        <v>1482</v>
      </c>
      <c r="T702" s="30" t="s">
        <v>4160</v>
      </c>
      <c r="U702" s="65" t="s">
        <v>771</v>
      </c>
      <c r="V702" s="30" t="s">
        <v>1021</v>
      </c>
      <c r="W702" s="30" t="s">
        <v>1029</v>
      </c>
      <c r="X702" s="30" t="s">
        <v>786</v>
      </c>
      <c r="Y702" s="64" t="s">
        <v>4883</v>
      </c>
      <c r="Z702" s="64" t="s">
        <v>5519</v>
      </c>
      <c r="AA702" s="64" t="s">
        <v>5520</v>
      </c>
      <c r="AB702" s="64" t="s">
        <v>5521</v>
      </c>
      <c r="AC702" s="64" t="s">
        <v>4852</v>
      </c>
      <c r="AD702" s="64" t="s">
        <v>770</v>
      </c>
      <c r="AE702" s="32" t="s">
        <v>824</v>
      </c>
      <c r="AF702" s="48"/>
      <c r="AG702" s="48"/>
      <c r="AH702" s="166" t="str">
        <f t="shared" si="267"/>
        <v/>
      </c>
      <c r="AI702" s="168" t="str">
        <f t="shared" si="281"/>
        <v/>
      </c>
      <c r="AJ702" s="168" t="str">
        <f t="shared" si="282"/>
        <v/>
      </c>
      <c r="AK702" s="168" t="str">
        <f t="shared" si="283"/>
        <v/>
      </c>
      <c r="AL702" s="168" t="str">
        <f t="shared" si="284"/>
        <v/>
      </c>
      <c r="AM702" s="168" t="str">
        <f t="shared" si="285"/>
        <v/>
      </c>
      <c r="AN702" s="167" t="str">
        <f t="shared" si="268"/>
        <v/>
      </c>
      <c r="AO702" s="167" t="str">
        <f t="shared" si="269"/>
        <v/>
      </c>
      <c r="AP702" s="167" t="str">
        <f t="shared" si="270"/>
        <v/>
      </c>
      <c r="AQ702" s="169" t="str">
        <f t="shared" si="271"/>
        <v/>
      </c>
      <c r="AR702" s="170" t="str">
        <f t="shared" si="272"/>
        <v/>
      </c>
      <c r="AS702" s="169" t="str">
        <f t="shared" si="273"/>
        <v/>
      </c>
      <c r="AT702">
        <f t="shared" si="274"/>
        <v>0</v>
      </c>
      <c r="AU702" s="170" t="str">
        <f t="shared" si="275"/>
        <v/>
      </c>
      <c r="AV702" s="169" t="str">
        <f t="shared" si="276"/>
        <v/>
      </c>
      <c r="AW702" s="170" t="str">
        <f t="shared" si="277"/>
        <v/>
      </c>
      <c r="AX702" s="169" t="str">
        <f t="shared" si="278"/>
        <v/>
      </c>
      <c r="AY702" t="str">
        <f t="shared" si="279"/>
        <v>erstmals KWK in 2011</v>
      </c>
      <c r="AZ702" t="str">
        <f t="shared" si="280"/>
        <v>erstmals KWK in 2012</v>
      </c>
    </row>
    <row r="703" spans="1:52" ht="31.5" x14ac:dyDescent="0.35">
      <c r="A703" s="496" t="s">
        <v>4179</v>
      </c>
      <c r="B703" s="1"/>
      <c r="C703" s="1"/>
      <c r="D703" s="1" t="s">
        <v>4179</v>
      </c>
      <c r="E703" s="1" t="s">
        <v>4179</v>
      </c>
      <c r="F703" s="375"/>
      <c r="G703" s="432"/>
      <c r="H703" s="401"/>
      <c r="I703" s="578"/>
      <c r="J703" s="549" t="s">
        <v>4179</v>
      </c>
      <c r="K703" s="11"/>
      <c r="M703" s="34"/>
      <c r="N703" s="30"/>
      <c r="O703" s="32" t="s">
        <v>1014</v>
      </c>
      <c r="P703" s="30" t="s">
        <v>1015</v>
      </c>
      <c r="Q703" s="30" t="s">
        <v>1016</v>
      </c>
      <c r="R703" s="30" t="s">
        <v>1265</v>
      </c>
      <c r="S703" s="30" t="s">
        <v>3489</v>
      </c>
      <c r="T703" s="95" t="s">
        <v>4161</v>
      </c>
      <c r="U703" s="43" t="s">
        <v>1018</v>
      </c>
      <c r="V703" s="30" t="s">
        <v>1019</v>
      </c>
      <c r="W703" s="30" t="s">
        <v>1020</v>
      </c>
      <c r="X703" s="30" t="s">
        <v>4068</v>
      </c>
      <c r="Y703" s="30" t="s">
        <v>1023</v>
      </c>
      <c r="Z703" s="30" t="s">
        <v>1024</v>
      </c>
      <c r="AA703" s="30" t="s">
        <v>1025</v>
      </c>
      <c r="AB703" s="30" t="s">
        <v>1026</v>
      </c>
      <c r="AC703" s="30" t="s">
        <v>1028</v>
      </c>
      <c r="AD703" s="30" t="s">
        <v>1027</v>
      </c>
      <c r="AE703" s="32" t="s">
        <v>826</v>
      </c>
      <c r="AF703" s="48"/>
      <c r="AG703" s="48"/>
      <c r="AH703" s="166" t="str">
        <f t="shared" si="267"/>
        <v/>
      </c>
      <c r="AI703" s="168" t="str">
        <f t="shared" si="281"/>
        <v/>
      </c>
      <c r="AJ703" s="168" t="str">
        <f t="shared" si="282"/>
        <v/>
      </c>
      <c r="AK703" s="168" t="str">
        <f t="shared" si="283"/>
        <v/>
      </c>
      <c r="AL703" s="168" t="str">
        <f t="shared" si="284"/>
        <v/>
      </c>
      <c r="AM703" s="168" t="str">
        <f t="shared" si="285"/>
        <v/>
      </c>
      <c r="AN703" s="167" t="str">
        <f t="shared" si="268"/>
        <v/>
      </c>
      <c r="AO703" s="167" t="str">
        <f t="shared" si="269"/>
        <v/>
      </c>
      <c r="AP703" s="167" t="str">
        <f t="shared" si="270"/>
        <v/>
      </c>
      <c r="AQ703" s="169" t="str">
        <f t="shared" si="271"/>
        <v/>
      </c>
      <c r="AR703" s="170" t="str">
        <f t="shared" si="272"/>
        <v/>
      </c>
      <c r="AS703" s="169" t="str">
        <f t="shared" si="273"/>
        <v/>
      </c>
      <c r="AT703">
        <f t="shared" si="274"/>
        <v>0</v>
      </c>
      <c r="AU703" s="170" t="str">
        <f t="shared" si="275"/>
        <v/>
      </c>
      <c r="AV703" s="169" t="str">
        <f t="shared" si="276"/>
        <v/>
      </c>
      <c r="AW703" s="170" t="str">
        <f t="shared" si="277"/>
        <v/>
      </c>
      <c r="AX703" s="169" t="str">
        <f t="shared" si="278"/>
        <v/>
      </c>
      <c r="AY703" t="str">
        <f t="shared" si="279"/>
        <v>"K11"</v>
      </c>
      <c r="AZ703" t="str">
        <f t="shared" si="280"/>
        <v>"K12"</v>
      </c>
    </row>
    <row r="704" spans="1:52" x14ac:dyDescent="0.35">
      <c r="A704" s="496" t="s">
        <v>4179</v>
      </c>
      <c r="B704" s="1"/>
      <c r="C704" s="1"/>
      <c r="D704" s="1" t="s">
        <v>4179</v>
      </c>
      <c r="E704" s="1" t="s">
        <v>4179</v>
      </c>
      <c r="F704" s="375"/>
      <c r="G704" s="432"/>
      <c r="H704" s="401"/>
      <c r="I704" s="578"/>
      <c r="J704" s="549" t="s">
        <v>4179</v>
      </c>
      <c r="K704" s="11"/>
      <c r="N704" s="29"/>
      <c r="O704" s="74">
        <v>2</v>
      </c>
      <c r="P704" s="29">
        <v>3</v>
      </c>
      <c r="Q704" s="29">
        <v>3</v>
      </c>
      <c r="R704" s="29">
        <f>ROUND($Q704*0.99^(R701-$Q701),2)</f>
        <v>2.97</v>
      </c>
      <c r="S704" s="29">
        <f>ROUND($Q704*0.99^(S701-$Q701),2)</f>
        <v>2.94</v>
      </c>
      <c r="T704" s="29">
        <f>ROUND($Q704*0.99^(T701-$Q701),2)</f>
        <v>2.91</v>
      </c>
      <c r="U704" s="155">
        <v>1</v>
      </c>
      <c r="V704" s="29">
        <v>6</v>
      </c>
      <c r="W704" s="29">
        <v>4</v>
      </c>
      <c r="X704" s="29">
        <v>2.5</v>
      </c>
      <c r="Y704" s="29">
        <v>7</v>
      </c>
      <c r="Z704" s="29">
        <v>11</v>
      </c>
      <c r="AA704" s="29">
        <v>8</v>
      </c>
      <c r="AB704" s="29">
        <v>9</v>
      </c>
      <c r="AC704" s="29">
        <v>13</v>
      </c>
      <c r="AD704" s="29">
        <v>10</v>
      </c>
      <c r="AE704" s="74">
        <v>2</v>
      </c>
      <c r="AF704" s="156"/>
      <c r="AG704" s="156"/>
      <c r="AH704" s="166" t="str">
        <f t="shared" si="267"/>
        <v/>
      </c>
      <c r="AI704" s="168" t="str">
        <f t="shared" si="281"/>
        <v/>
      </c>
      <c r="AJ704" s="168" t="str">
        <f t="shared" si="282"/>
        <v/>
      </c>
      <c r="AK704" s="168" t="str">
        <f t="shared" si="283"/>
        <v/>
      </c>
      <c r="AL704" s="168" t="str">
        <f t="shared" si="284"/>
        <v/>
      </c>
      <c r="AM704" s="168" t="str">
        <f t="shared" si="285"/>
        <v/>
      </c>
      <c r="AN704" s="167" t="str">
        <f t="shared" si="268"/>
        <v/>
      </c>
      <c r="AO704" s="167" t="str">
        <f t="shared" si="269"/>
        <v/>
      </c>
      <c r="AP704" s="167" t="str">
        <f t="shared" si="270"/>
        <v/>
      </c>
      <c r="AQ704" s="169" t="str">
        <f t="shared" si="271"/>
        <v/>
      </c>
      <c r="AR704" s="170" t="str">
        <f t="shared" si="272"/>
        <v/>
      </c>
      <c r="AS704" s="169" t="str">
        <f t="shared" si="273"/>
        <v/>
      </c>
      <c r="AT704">
        <f t="shared" si="274"/>
        <v>0</v>
      </c>
      <c r="AU704" s="170" t="str">
        <f t="shared" si="275"/>
        <v/>
      </c>
      <c r="AV704" s="169" t="str">
        <f t="shared" si="276"/>
        <v/>
      </c>
      <c r="AW704" s="170" t="str">
        <f t="shared" si="277"/>
        <v/>
      </c>
      <c r="AX704" s="169" t="str">
        <f t="shared" si="278"/>
        <v/>
      </c>
      <c r="AY704" t="str">
        <f t="shared" si="279"/>
        <v>2,94</v>
      </c>
      <c r="AZ704" t="str">
        <f t="shared" si="280"/>
        <v>2,91</v>
      </c>
    </row>
    <row r="705" spans="1:52" x14ac:dyDescent="0.35">
      <c r="A705" s="505" t="s">
        <v>4505</v>
      </c>
      <c r="B705" s="23" t="s">
        <v>5547</v>
      </c>
      <c r="C705" s="23" t="s">
        <v>1288</v>
      </c>
      <c r="D705" s="23" t="s">
        <v>1780</v>
      </c>
      <c r="E705" s="23" t="s">
        <v>4809</v>
      </c>
      <c r="F705" s="378">
        <f t="shared" ref="F705:F768" si="286">M705</f>
        <v>11.67</v>
      </c>
      <c r="G705" s="434">
        <v>11.67</v>
      </c>
      <c r="H705" s="403">
        <f t="shared" ref="H705:H768" si="287">IF(ISNUMBER(G705),ROUND(0.8*G705,2),"")</f>
        <v>9.34</v>
      </c>
      <c r="I705" s="581"/>
      <c r="J705" s="549" t="s">
        <v>5804</v>
      </c>
      <c r="K705" s="11"/>
      <c r="M705" s="37">
        <f t="shared" ref="M705:M768" si="288">N705+SUMIF(O705:AG705,"x",O$704:AG$704)</f>
        <v>11.67</v>
      </c>
      <c r="N705" s="29">
        <v>11.67</v>
      </c>
      <c r="O705" s="41"/>
      <c r="P705" s="11"/>
      <c r="S705" t="s">
        <v>4179</v>
      </c>
      <c r="T705" t="s">
        <v>4179</v>
      </c>
      <c r="U705" s="42"/>
      <c r="W705" s="50"/>
      <c r="X705" s="50"/>
      <c r="AA705" s="50"/>
      <c r="AD705" s="50"/>
      <c r="AE705" s="75"/>
      <c r="AF705" s="50"/>
      <c r="AG705" s="50"/>
      <c r="AH705" s="166" t="str">
        <f t="shared" si="267"/>
        <v/>
      </c>
      <c r="AI705" s="168" t="str">
        <f t="shared" si="281"/>
        <v/>
      </c>
      <c r="AJ705" s="168" t="str">
        <f t="shared" si="282"/>
        <v/>
      </c>
      <c r="AK705" s="168" t="str">
        <f t="shared" si="283"/>
        <v/>
      </c>
      <c r="AL705" s="168" t="str">
        <f t="shared" si="284"/>
        <v/>
      </c>
      <c r="AM705" s="168" t="str">
        <f t="shared" si="285"/>
        <v/>
      </c>
      <c r="AN705" s="167" t="str">
        <f t="shared" si="268"/>
        <v/>
      </c>
      <c r="AO705" s="167" t="str">
        <f t="shared" si="269"/>
        <v/>
      </c>
      <c r="AP705" s="167" t="str">
        <f t="shared" si="270"/>
        <v/>
      </c>
      <c r="AQ705" s="169" t="str">
        <f t="shared" si="271"/>
        <v/>
      </c>
      <c r="AR705" s="170" t="str">
        <f t="shared" si="272"/>
        <v>BiK81-------05</v>
      </c>
      <c r="AS705" s="169" t="str">
        <f t="shared" si="273"/>
        <v/>
      </c>
      <c r="AT705">
        <f t="shared" si="274"/>
        <v>14</v>
      </c>
      <c r="AU705" s="170" t="str">
        <f t="shared" si="275"/>
        <v>0-0,15 MW</v>
      </c>
      <c r="AV705" s="169" t="str">
        <f t="shared" si="276"/>
        <v/>
      </c>
      <c r="AW705" s="170" t="str">
        <f t="shared" si="277"/>
        <v>Anteil Nicht-KWK</v>
      </c>
      <c r="AX705" s="169" t="str">
        <f t="shared" si="278"/>
        <v/>
      </c>
      <c r="AY705" t="str">
        <f t="shared" si="279"/>
        <v/>
      </c>
      <c r="AZ705" t="str">
        <f t="shared" si="280"/>
        <v/>
      </c>
    </row>
    <row r="706" spans="1:52" x14ac:dyDescent="0.35">
      <c r="A706" s="505" t="s">
        <v>4506</v>
      </c>
      <c r="B706" s="23" t="s">
        <v>5547</v>
      </c>
      <c r="C706" s="23" t="s">
        <v>1288</v>
      </c>
      <c r="D706" s="24" t="s">
        <v>6863</v>
      </c>
      <c r="E706" s="23" t="s">
        <v>4811</v>
      </c>
      <c r="F706" s="378">
        <f t="shared" si="286"/>
        <v>13.67</v>
      </c>
      <c r="G706" s="434">
        <v>13.67</v>
      </c>
      <c r="H706" s="403">
        <f t="shared" si="287"/>
        <v>10.94</v>
      </c>
      <c r="I706" s="581"/>
      <c r="J706" s="549" t="s">
        <v>5804</v>
      </c>
      <c r="K706" s="11"/>
      <c r="M706" s="37">
        <f t="shared" si="288"/>
        <v>13.67</v>
      </c>
      <c r="N706" s="29">
        <v>11.67</v>
      </c>
      <c r="O706" s="41" t="s">
        <v>1017</v>
      </c>
      <c r="P706" s="11"/>
      <c r="S706" t="s">
        <v>4179</v>
      </c>
      <c r="T706" t="s">
        <v>4179</v>
      </c>
      <c r="U706" s="42"/>
      <c r="W706" s="50"/>
      <c r="X706" s="50"/>
      <c r="AA706" s="50"/>
      <c r="AD706" s="50"/>
      <c r="AE706" s="75"/>
      <c r="AF706" s="50"/>
      <c r="AG706" s="50"/>
      <c r="AH706" s="166" t="str">
        <f t="shared" si="267"/>
        <v/>
      </c>
      <c r="AI706" s="168" t="str">
        <f t="shared" si="281"/>
        <v/>
      </c>
      <c r="AJ706" s="168" t="str">
        <f t="shared" si="282"/>
        <v/>
      </c>
      <c r="AK706" s="168" t="str">
        <f t="shared" si="283"/>
        <v/>
      </c>
      <c r="AL706" s="168" t="str">
        <f t="shared" si="284"/>
        <v/>
      </c>
      <c r="AM706" s="168" t="str">
        <f t="shared" si="285"/>
        <v/>
      </c>
      <c r="AN706" s="167" t="str">
        <f t="shared" si="268"/>
        <v/>
      </c>
      <c r="AO706" s="167" t="str">
        <f t="shared" si="269"/>
        <v/>
      </c>
      <c r="AP706" s="167" t="str">
        <f t="shared" si="270"/>
        <v/>
      </c>
      <c r="AQ706" s="169" t="str">
        <f t="shared" si="271"/>
        <v/>
      </c>
      <c r="AR706" s="170" t="str">
        <f t="shared" si="272"/>
        <v>BiK81KWK----05</v>
      </c>
      <c r="AS706" s="169" t="str">
        <f t="shared" si="273"/>
        <v/>
      </c>
      <c r="AT706">
        <f t="shared" si="274"/>
        <v>14</v>
      </c>
      <c r="AU706" s="170" t="str">
        <f t="shared" si="275"/>
        <v>0-0,15 MW, Bonusregel KWK</v>
      </c>
      <c r="AV706" s="169" t="str">
        <f t="shared" si="276"/>
        <v/>
      </c>
      <c r="AW706" s="170" t="str">
        <f t="shared" si="277"/>
        <v>Anteil KWK</v>
      </c>
      <c r="AX706" s="169" t="str">
        <f t="shared" si="278"/>
        <v/>
      </c>
      <c r="AY706" t="str">
        <f t="shared" si="279"/>
        <v/>
      </c>
      <c r="AZ706" t="str">
        <f t="shared" si="280"/>
        <v/>
      </c>
    </row>
    <row r="707" spans="1:52" x14ac:dyDescent="0.35">
      <c r="A707" s="497" t="s">
        <v>4341</v>
      </c>
      <c r="B707" s="13" t="s">
        <v>5547</v>
      </c>
      <c r="C707" s="13" t="s">
        <v>1288</v>
      </c>
      <c r="D707" s="13" t="s">
        <v>6864</v>
      </c>
      <c r="E707" s="13" t="s">
        <v>4330</v>
      </c>
      <c r="F707" s="373">
        <f t="shared" si="286"/>
        <v>14.67</v>
      </c>
      <c r="G707" s="430">
        <v>14.67</v>
      </c>
      <c r="H707" s="399">
        <f t="shared" si="287"/>
        <v>11.74</v>
      </c>
      <c r="I707" s="576"/>
      <c r="J707" s="549" t="s">
        <v>5804</v>
      </c>
      <c r="K707" s="11"/>
      <c r="M707" s="37">
        <f t="shared" si="288"/>
        <v>14.67</v>
      </c>
      <c r="N707" s="29">
        <v>11.67</v>
      </c>
      <c r="O707" s="41"/>
      <c r="P707" t="s">
        <v>1017</v>
      </c>
      <c r="S707" t="s">
        <v>4179</v>
      </c>
      <c r="T707" t="s">
        <v>4179</v>
      </c>
      <c r="U707" s="42"/>
      <c r="W707" s="50"/>
      <c r="X707" s="50"/>
      <c r="AA707" s="50"/>
      <c r="AD707" s="50"/>
      <c r="AE707" s="75"/>
      <c r="AF707" s="50"/>
      <c r="AG707" s="50"/>
      <c r="AH707" s="166" t="str">
        <f t="shared" si="267"/>
        <v/>
      </c>
      <c r="AI707" s="168" t="str">
        <f t="shared" si="281"/>
        <v/>
      </c>
      <c r="AJ707" s="168" t="str">
        <f t="shared" si="282"/>
        <v/>
      </c>
      <c r="AK707" s="168" t="str">
        <f t="shared" si="283"/>
        <v/>
      </c>
      <c r="AL707" s="168" t="str">
        <f t="shared" si="284"/>
        <v/>
      </c>
      <c r="AM707" s="168" t="str">
        <f t="shared" si="285"/>
        <v/>
      </c>
      <c r="AN707" s="167" t="str">
        <f t="shared" si="268"/>
        <v/>
      </c>
      <c r="AO707" s="167" t="str">
        <f t="shared" si="269"/>
        <v/>
      </c>
      <c r="AP707" s="167" t="str">
        <f t="shared" si="270"/>
        <v/>
      </c>
      <c r="AQ707" s="169" t="str">
        <f t="shared" si="271"/>
        <v/>
      </c>
      <c r="AR707" s="170" t="str">
        <f t="shared" si="272"/>
        <v>BiK81KA3----05</v>
      </c>
      <c r="AS707" s="169" t="str">
        <f t="shared" si="273"/>
        <v/>
      </c>
      <c r="AT707">
        <f t="shared" si="274"/>
        <v>14</v>
      </c>
      <c r="AU707" s="170" t="str">
        <f t="shared" si="275"/>
        <v>0-0,15 MW, Bonusregel K wenn Anlage 3 erfüllt</v>
      </c>
      <c r="AV707" s="169" t="str">
        <f t="shared" si="276"/>
        <v/>
      </c>
      <c r="AW707" s="170" t="str">
        <f t="shared" si="277"/>
        <v>Anteil KWK gemäß Anlage 3</v>
      </c>
      <c r="AX707" s="169" t="str">
        <f t="shared" si="278"/>
        <v/>
      </c>
      <c r="AY707" t="str">
        <f t="shared" si="279"/>
        <v/>
      </c>
      <c r="AZ707" t="str">
        <f t="shared" si="280"/>
        <v/>
      </c>
    </row>
    <row r="708" spans="1:52" x14ac:dyDescent="0.35">
      <c r="A708" s="497" t="s">
        <v>2344</v>
      </c>
      <c r="B708" s="13" t="s">
        <v>5547</v>
      </c>
      <c r="C708" s="13" t="s">
        <v>1288</v>
      </c>
      <c r="D708" s="13" t="s">
        <v>6865</v>
      </c>
      <c r="E708" s="13" t="s">
        <v>674</v>
      </c>
      <c r="F708" s="373">
        <f t="shared" si="286"/>
        <v>14.67</v>
      </c>
      <c r="G708" s="430">
        <v>14.67</v>
      </c>
      <c r="H708" s="399">
        <f t="shared" si="287"/>
        <v>11.74</v>
      </c>
      <c r="I708" s="576"/>
      <c r="J708" s="549" t="s">
        <v>5804</v>
      </c>
      <c r="K708" s="11"/>
      <c r="M708" s="37">
        <f t="shared" si="288"/>
        <v>14.67</v>
      </c>
      <c r="N708" s="29">
        <v>11.67</v>
      </c>
      <c r="O708" s="41"/>
      <c r="P708" s="11"/>
      <c r="Q708" t="s">
        <v>1017</v>
      </c>
      <c r="S708" t="s">
        <v>4179</v>
      </c>
      <c r="T708" t="s">
        <v>4179</v>
      </c>
      <c r="U708" s="42"/>
      <c r="W708" s="50"/>
      <c r="X708" s="50"/>
      <c r="AA708" s="50"/>
      <c r="AD708" s="50"/>
      <c r="AE708" s="75"/>
      <c r="AF708" s="50"/>
      <c r="AG708" s="50"/>
      <c r="AH708" s="166" t="str">
        <f t="shared" si="267"/>
        <v/>
      </c>
      <c r="AI708" s="168" t="str">
        <f t="shared" si="281"/>
        <v/>
      </c>
      <c r="AJ708" s="168" t="str">
        <f t="shared" si="282"/>
        <v/>
      </c>
      <c r="AK708" s="168" t="str">
        <f t="shared" si="283"/>
        <v/>
      </c>
      <c r="AL708" s="168" t="str">
        <f t="shared" si="284"/>
        <v/>
      </c>
      <c r="AM708" s="168" t="str">
        <f t="shared" si="285"/>
        <v/>
      </c>
      <c r="AN708" s="167" t="str">
        <f t="shared" si="268"/>
        <v/>
      </c>
      <c r="AO708" s="167" t="str">
        <f t="shared" si="269"/>
        <v/>
      </c>
      <c r="AP708" s="167" t="str">
        <f t="shared" si="270"/>
        <v/>
      </c>
      <c r="AQ708" s="169" t="str">
        <f t="shared" si="271"/>
        <v/>
      </c>
      <c r="AR708" s="170" t="str">
        <f t="shared" si="272"/>
        <v>BiK81K09----05</v>
      </c>
      <c r="AS708" s="169" t="str">
        <f t="shared" si="273"/>
        <v/>
      </c>
      <c r="AT708">
        <f t="shared" si="274"/>
        <v>14</v>
      </c>
      <c r="AU708" s="170" t="str">
        <f t="shared" si="275"/>
        <v>0-0,15 MW, Bonusregel K erstmals 2009</v>
      </c>
      <c r="AV708" s="169" t="str">
        <f t="shared" si="276"/>
        <v/>
      </c>
      <c r="AW708" s="170" t="str">
        <f t="shared" si="277"/>
        <v>Anteil KWK, erstmals 2009</v>
      </c>
      <c r="AX708" s="169" t="str">
        <f t="shared" si="278"/>
        <v/>
      </c>
      <c r="AY708" t="str">
        <f t="shared" si="279"/>
        <v/>
      </c>
      <c r="AZ708" t="str">
        <f t="shared" si="280"/>
        <v/>
      </c>
    </row>
    <row r="709" spans="1:52" s="145" customFormat="1" x14ac:dyDescent="0.35">
      <c r="A709" s="497" t="s">
        <v>3567</v>
      </c>
      <c r="B709" s="13" t="s">
        <v>5547</v>
      </c>
      <c r="C709" s="13" t="s">
        <v>1288</v>
      </c>
      <c r="D709" s="13" t="s">
        <v>6866</v>
      </c>
      <c r="E709" s="13" t="s">
        <v>3566</v>
      </c>
      <c r="F709" s="373">
        <f t="shared" si="286"/>
        <v>14.64</v>
      </c>
      <c r="G709" s="430">
        <v>14.64</v>
      </c>
      <c r="H709" s="399">
        <f t="shared" si="287"/>
        <v>11.71</v>
      </c>
      <c r="I709" s="576"/>
      <c r="J709" s="549" t="s">
        <v>5804</v>
      </c>
      <c r="K709" s="11"/>
      <c r="L709"/>
      <c r="M709" s="37">
        <f t="shared" si="288"/>
        <v>14.64</v>
      </c>
      <c r="N709" s="29">
        <v>11.67</v>
      </c>
      <c r="O709" s="41"/>
      <c r="P709" s="11"/>
      <c r="Q709"/>
      <c r="R709" t="s">
        <v>1017</v>
      </c>
      <c r="S709" t="s">
        <v>4179</v>
      </c>
      <c r="T709" s="145" t="s">
        <v>4179</v>
      </c>
      <c r="U709" s="42"/>
      <c r="V709"/>
      <c r="W709" s="50"/>
      <c r="X709" s="50"/>
      <c r="Y709"/>
      <c r="Z709"/>
      <c r="AA709" s="50"/>
      <c r="AB709"/>
      <c r="AC709"/>
      <c r="AD709" s="50"/>
      <c r="AE709" s="75"/>
      <c r="AF709" s="50"/>
      <c r="AG709" s="50"/>
      <c r="AH709" s="166" t="str">
        <f t="shared" si="267"/>
        <v>2010</v>
      </c>
      <c r="AI709" s="168" t="str">
        <f t="shared" si="281"/>
        <v/>
      </c>
      <c r="AJ709" s="168" t="str">
        <f t="shared" si="282"/>
        <v/>
      </c>
      <c r="AK709" s="168" t="str">
        <f t="shared" si="283"/>
        <v/>
      </c>
      <c r="AL709" s="168" t="str">
        <f t="shared" si="284"/>
        <v/>
      </c>
      <c r="AM709" s="168" t="str">
        <f t="shared" si="285"/>
        <v/>
      </c>
      <c r="AN709" s="167" t="str">
        <f t="shared" si="268"/>
        <v>2010</v>
      </c>
      <c r="AO709" s="167" t="str">
        <f t="shared" si="269"/>
        <v>2010</v>
      </c>
      <c r="AP709" s="167" t="str">
        <f t="shared" si="270"/>
        <v>2010</v>
      </c>
      <c r="AQ709" s="169" t="str">
        <f t="shared" si="271"/>
        <v/>
      </c>
      <c r="AR709" s="170" t="str">
        <f t="shared" si="272"/>
        <v>BiK81K10----05</v>
      </c>
      <c r="AS709" s="169" t="str">
        <f t="shared" si="273"/>
        <v/>
      </c>
      <c r="AT709">
        <f t="shared" si="274"/>
        <v>14</v>
      </c>
      <c r="AU709" s="170" t="str">
        <f t="shared" si="275"/>
        <v>0-0,15 MW, Bonusregel K erstmals 2010</v>
      </c>
      <c r="AV709" s="169" t="str">
        <f t="shared" si="276"/>
        <v/>
      </c>
      <c r="AW709" s="170" t="str">
        <f t="shared" si="277"/>
        <v>Anteil KWK, erstmals 2010</v>
      </c>
      <c r="AX709" s="169" t="str">
        <f t="shared" si="278"/>
        <v/>
      </c>
      <c r="AY709" t="str">
        <f t="shared" si="279"/>
        <v/>
      </c>
      <c r="AZ709" t="str">
        <f t="shared" si="280"/>
        <v/>
      </c>
    </row>
    <row r="710" spans="1:52" s="145" customFormat="1" x14ac:dyDescent="0.35">
      <c r="A710" s="497" t="s">
        <v>5298</v>
      </c>
      <c r="B710" s="13" t="s">
        <v>5547</v>
      </c>
      <c r="C710" s="13" t="s">
        <v>1288</v>
      </c>
      <c r="D710" s="13" t="s">
        <v>6867</v>
      </c>
      <c r="E710" s="13" t="s">
        <v>3054</v>
      </c>
      <c r="F710" s="373">
        <f t="shared" si="286"/>
        <v>14.61</v>
      </c>
      <c r="G710" s="430">
        <v>14.61</v>
      </c>
      <c r="H710" s="399">
        <f t="shared" si="287"/>
        <v>11.69</v>
      </c>
      <c r="I710" s="576"/>
      <c r="J710" s="549" t="s">
        <v>5804</v>
      </c>
      <c r="K710" s="11"/>
      <c r="L710"/>
      <c r="M710" s="37">
        <f t="shared" si="288"/>
        <v>14.61</v>
      </c>
      <c r="N710" s="29">
        <v>11.67</v>
      </c>
      <c r="O710" s="41"/>
      <c r="P710" s="11"/>
      <c r="Q710"/>
      <c r="R710"/>
      <c r="S710" t="s">
        <v>1017</v>
      </c>
      <c r="T710" s="145" t="s">
        <v>4179</v>
      </c>
      <c r="U710" s="42"/>
      <c r="V710"/>
      <c r="W710" s="50"/>
      <c r="X710" s="50"/>
      <c r="Y710"/>
      <c r="Z710"/>
      <c r="AA710" s="50"/>
      <c r="AB710"/>
      <c r="AC710"/>
      <c r="AD710" s="50"/>
      <c r="AE710" s="75"/>
      <c r="AF710" s="50"/>
      <c r="AG710" s="50"/>
      <c r="AH710" s="166" t="str">
        <f t="shared" si="267"/>
        <v>2011</v>
      </c>
      <c r="AI710" s="168" t="str">
        <f t="shared" si="281"/>
        <v/>
      </c>
      <c r="AJ710" s="168" t="str">
        <f t="shared" si="282"/>
        <v/>
      </c>
      <c r="AK710" s="168" t="str">
        <f t="shared" si="283"/>
        <v/>
      </c>
      <c r="AL710" s="168" t="str">
        <f t="shared" si="284"/>
        <v/>
      </c>
      <c r="AM710" s="168" t="str">
        <f t="shared" si="285"/>
        <v/>
      </c>
      <c r="AN710" s="167" t="str">
        <f t="shared" si="268"/>
        <v>2011</v>
      </c>
      <c r="AO710" s="167" t="str">
        <f t="shared" si="269"/>
        <v>2011</v>
      </c>
      <c r="AP710" s="167" t="str">
        <f t="shared" si="270"/>
        <v>2011</v>
      </c>
      <c r="AQ710" s="169" t="str">
        <f t="shared" si="271"/>
        <v/>
      </c>
      <c r="AR710" s="170" t="str">
        <f t="shared" si="272"/>
        <v>BiK81K11----05</v>
      </c>
      <c r="AS710" s="169" t="str">
        <f t="shared" si="273"/>
        <v/>
      </c>
      <c r="AT710">
        <f t="shared" si="274"/>
        <v>14</v>
      </c>
      <c r="AU710" s="170" t="str">
        <f t="shared" si="275"/>
        <v>0-0,15 MW, Bonusregel K erstmals 2011</v>
      </c>
      <c r="AV710" s="169" t="str">
        <f t="shared" si="276"/>
        <v/>
      </c>
      <c r="AW710" s="170" t="str">
        <f t="shared" si="277"/>
        <v>Anteil KWK, erstmals 2011</v>
      </c>
      <c r="AX710" s="169" t="str">
        <f t="shared" si="278"/>
        <v/>
      </c>
      <c r="AY710" t="str">
        <f t="shared" si="279"/>
        <v>x</v>
      </c>
      <c r="AZ710" t="str">
        <f t="shared" si="280"/>
        <v/>
      </c>
    </row>
    <row r="711" spans="1:52" s="145" customFormat="1" x14ac:dyDescent="0.35">
      <c r="A711" s="511" t="s">
        <v>1549</v>
      </c>
      <c r="B711" s="173" t="s">
        <v>5547</v>
      </c>
      <c r="C711" s="173" t="s">
        <v>1288</v>
      </c>
      <c r="D711" s="173" t="s">
        <v>6868</v>
      </c>
      <c r="E711" s="173" t="s">
        <v>1980</v>
      </c>
      <c r="F711" s="374">
        <f t="shared" si="286"/>
        <v>14.58</v>
      </c>
      <c r="G711" s="431">
        <v>14.58</v>
      </c>
      <c r="H711" s="400">
        <f t="shared" si="287"/>
        <v>11.66</v>
      </c>
      <c r="I711" s="577"/>
      <c r="J711" s="549" t="s">
        <v>5804</v>
      </c>
      <c r="K711" s="11"/>
      <c r="L711"/>
      <c r="M711" s="37">
        <f t="shared" si="288"/>
        <v>14.58</v>
      </c>
      <c r="N711" s="29">
        <v>11.67</v>
      </c>
      <c r="O711" s="41"/>
      <c r="P711" s="11"/>
      <c r="Q711"/>
      <c r="R711"/>
      <c r="S711" t="s">
        <v>4179</v>
      </c>
      <c r="T711" s="145" t="s">
        <v>1017</v>
      </c>
      <c r="U711" s="42"/>
      <c r="V711"/>
      <c r="W711" s="50"/>
      <c r="X711" s="50"/>
      <c r="Y711"/>
      <c r="Z711"/>
      <c r="AA711" s="50"/>
      <c r="AB711"/>
      <c r="AC711"/>
      <c r="AD711" s="50"/>
      <c r="AE711" s="75"/>
      <c r="AF711" s="50"/>
      <c r="AG711" s="50"/>
      <c r="AH711" s="171" t="s">
        <v>4178</v>
      </c>
      <c r="AI711" s="168" t="str">
        <f t="shared" si="281"/>
        <v/>
      </c>
      <c r="AJ711" s="168" t="str">
        <f t="shared" si="282"/>
        <v/>
      </c>
      <c r="AK711" s="168" t="str">
        <f t="shared" si="283"/>
        <v/>
      </c>
      <c r="AL711" s="168" t="str">
        <f t="shared" si="284"/>
        <v/>
      </c>
      <c r="AM711" s="168" t="str">
        <f t="shared" si="285"/>
        <v/>
      </c>
      <c r="AN711" s="167" t="str">
        <f t="shared" si="268"/>
        <v>2012</v>
      </c>
      <c r="AO711" s="167" t="str">
        <f t="shared" si="269"/>
        <v>2012</v>
      </c>
      <c r="AP711" s="167" t="str">
        <f t="shared" si="270"/>
        <v>2012</v>
      </c>
      <c r="AQ711" s="169" t="str">
        <f t="shared" si="271"/>
        <v/>
      </c>
      <c r="AR711" s="170" t="str">
        <f t="shared" si="272"/>
        <v>BiK81K12----05</v>
      </c>
      <c r="AS711" s="169" t="str">
        <f t="shared" si="273"/>
        <v/>
      </c>
      <c r="AT711">
        <f t="shared" si="274"/>
        <v>14</v>
      </c>
      <c r="AU711" s="170" t="str">
        <f t="shared" si="275"/>
        <v>0-0,15 MW, Bonusregel K erstmals 2012</v>
      </c>
      <c r="AV711" s="169" t="str">
        <f t="shared" si="276"/>
        <v/>
      </c>
      <c r="AW711" s="170" t="str">
        <f t="shared" si="277"/>
        <v>Anteil KWK, erstmals 2012</v>
      </c>
      <c r="AX711" s="169" t="str">
        <f t="shared" si="278"/>
        <v/>
      </c>
      <c r="AY711" t="str">
        <f t="shared" si="279"/>
        <v/>
      </c>
      <c r="AZ711" t="str">
        <f t="shared" si="280"/>
        <v>x</v>
      </c>
    </row>
    <row r="712" spans="1:52" s="145" customFormat="1" x14ac:dyDescent="0.35">
      <c r="A712" s="497" t="s">
        <v>2899</v>
      </c>
      <c r="B712" s="13" t="s">
        <v>5547</v>
      </c>
      <c r="C712" s="13" t="s">
        <v>1288</v>
      </c>
      <c r="D712" s="17" t="s">
        <v>6869</v>
      </c>
      <c r="E712" s="13" t="s">
        <v>4809</v>
      </c>
      <c r="F712" s="373">
        <f t="shared" si="286"/>
        <v>12.67</v>
      </c>
      <c r="G712" s="430">
        <v>12.67</v>
      </c>
      <c r="H712" s="399">
        <f t="shared" si="287"/>
        <v>10.14</v>
      </c>
      <c r="I712" s="576"/>
      <c r="J712" s="549" t="s">
        <v>5804</v>
      </c>
      <c r="K712" s="11"/>
      <c r="L712"/>
      <c r="M712" s="37">
        <f t="shared" si="288"/>
        <v>12.67</v>
      </c>
      <c r="N712" s="29">
        <v>11.67</v>
      </c>
      <c r="O712" s="41"/>
      <c r="P712" s="11"/>
      <c r="Q712"/>
      <c r="R712"/>
      <c r="S712" t="s">
        <v>4179</v>
      </c>
      <c r="T712" s="145" t="s">
        <v>4179</v>
      </c>
      <c r="U712" s="42" t="s">
        <v>1017</v>
      </c>
      <c r="V712"/>
      <c r="W712" s="50"/>
      <c r="X712" s="50"/>
      <c r="Y712"/>
      <c r="Z712"/>
      <c r="AA712" s="50"/>
      <c r="AB712"/>
      <c r="AC712"/>
      <c r="AD712" s="50"/>
      <c r="AE712" s="75"/>
      <c r="AF712" s="50"/>
      <c r="AG712" s="50"/>
      <c r="AH712" s="166" t="str">
        <f t="shared" ref="AH712:AH717" si="289">IF(ISERROR(SEARCH("K erstmals 201",D712)),"",RIGHT(D712,4))</f>
        <v/>
      </c>
      <c r="AI712" s="168" t="str">
        <f t="shared" si="281"/>
        <v/>
      </c>
      <c r="AJ712" s="168" t="str">
        <f t="shared" si="282"/>
        <v/>
      </c>
      <c r="AK712" s="168" t="str">
        <f t="shared" si="283"/>
        <v/>
      </c>
      <c r="AL712" s="168" t="str">
        <f t="shared" si="284"/>
        <v/>
      </c>
      <c r="AM712" s="168" t="str">
        <f t="shared" si="285"/>
        <v/>
      </c>
      <c r="AN712" s="167" t="str">
        <f t="shared" si="268"/>
        <v/>
      </c>
      <c r="AO712" s="167" t="str">
        <f t="shared" si="269"/>
        <v/>
      </c>
      <c r="AP712" s="167" t="str">
        <f t="shared" si="270"/>
        <v/>
      </c>
      <c r="AQ712" s="169" t="str">
        <f t="shared" si="271"/>
        <v/>
      </c>
      <c r="AR712" s="170" t="str">
        <f t="shared" si="272"/>
        <v>BiK81y------05</v>
      </c>
      <c r="AS712" s="169" t="str">
        <f t="shared" si="273"/>
        <v/>
      </c>
      <c r="AT712">
        <f t="shared" si="274"/>
        <v>14</v>
      </c>
      <c r="AU712" s="170" t="str">
        <f t="shared" si="275"/>
        <v>0-0,15 MW, Bonusregel y</v>
      </c>
      <c r="AV712" s="169" t="str">
        <f t="shared" si="276"/>
        <v/>
      </c>
      <c r="AW712" s="170" t="str">
        <f t="shared" si="277"/>
        <v>Anteil Nicht-KWK</v>
      </c>
      <c r="AX712" s="169" t="str">
        <f t="shared" si="278"/>
        <v/>
      </c>
      <c r="AY712" t="str">
        <f t="shared" si="279"/>
        <v/>
      </c>
      <c r="AZ712" t="str">
        <f t="shared" si="280"/>
        <v/>
      </c>
    </row>
    <row r="713" spans="1:52" s="145" customFormat="1" x14ac:dyDescent="0.35">
      <c r="A713" s="497" t="s">
        <v>2900</v>
      </c>
      <c r="B713" s="13" t="s">
        <v>5547</v>
      </c>
      <c r="C713" s="13" t="s">
        <v>1288</v>
      </c>
      <c r="D713" s="17" t="s">
        <v>6870</v>
      </c>
      <c r="E713" s="13" t="s">
        <v>4811</v>
      </c>
      <c r="F713" s="373">
        <f t="shared" si="286"/>
        <v>14.67</v>
      </c>
      <c r="G713" s="430">
        <v>14.67</v>
      </c>
      <c r="H713" s="399">
        <f t="shared" si="287"/>
        <v>11.74</v>
      </c>
      <c r="I713" s="576"/>
      <c r="J713" s="549" t="s">
        <v>5804</v>
      </c>
      <c r="K713" s="11"/>
      <c r="L713"/>
      <c r="M713" s="37">
        <f t="shared" si="288"/>
        <v>14.67</v>
      </c>
      <c r="N713" s="29">
        <v>11.67</v>
      </c>
      <c r="O713" s="41" t="s">
        <v>1017</v>
      </c>
      <c r="P713" s="11"/>
      <c r="Q713"/>
      <c r="R713"/>
      <c r="S713" t="s">
        <v>4179</v>
      </c>
      <c r="T713" s="145" t="s">
        <v>4179</v>
      </c>
      <c r="U713" s="42" t="s">
        <v>1017</v>
      </c>
      <c r="V713"/>
      <c r="W713" s="50"/>
      <c r="X713" s="50"/>
      <c r="Y713"/>
      <c r="Z713"/>
      <c r="AA713" s="50"/>
      <c r="AB713"/>
      <c r="AC713"/>
      <c r="AD713" s="50"/>
      <c r="AE713" s="75"/>
      <c r="AF713" s="50"/>
      <c r="AG713" s="50"/>
      <c r="AH713" s="166" t="str">
        <f t="shared" si="289"/>
        <v/>
      </c>
      <c r="AI713" s="168" t="str">
        <f t="shared" si="281"/>
        <v/>
      </c>
      <c r="AJ713" s="168" t="str">
        <f t="shared" si="282"/>
        <v/>
      </c>
      <c r="AK713" s="168" t="str">
        <f t="shared" si="283"/>
        <v/>
      </c>
      <c r="AL713" s="168" t="str">
        <f t="shared" si="284"/>
        <v/>
      </c>
      <c r="AM713" s="168" t="str">
        <f t="shared" si="285"/>
        <v/>
      </c>
      <c r="AN713" s="167" t="str">
        <f t="shared" si="268"/>
        <v/>
      </c>
      <c r="AO713" s="167" t="str">
        <f t="shared" si="269"/>
        <v/>
      </c>
      <c r="AP713" s="167" t="str">
        <f t="shared" si="270"/>
        <v/>
      </c>
      <c r="AQ713" s="169" t="str">
        <f t="shared" si="271"/>
        <v/>
      </c>
      <c r="AR713" s="170" t="str">
        <f t="shared" si="272"/>
        <v>BiK81KWKy---05</v>
      </c>
      <c r="AS713" s="169" t="str">
        <f t="shared" si="273"/>
        <v/>
      </c>
      <c r="AT713">
        <f t="shared" si="274"/>
        <v>14</v>
      </c>
      <c r="AU713" s="170" t="str">
        <f t="shared" si="275"/>
        <v>0-0,15 MW, Bonusregeln y und KWK</v>
      </c>
      <c r="AV713" s="169" t="str">
        <f t="shared" si="276"/>
        <v/>
      </c>
      <c r="AW713" s="170" t="str">
        <f t="shared" si="277"/>
        <v>Anteil KWK</v>
      </c>
      <c r="AX713" s="169" t="str">
        <f t="shared" si="278"/>
        <v/>
      </c>
      <c r="AY713" t="str">
        <f t="shared" si="279"/>
        <v/>
      </c>
      <c r="AZ713" t="str">
        <f t="shared" si="280"/>
        <v/>
      </c>
    </row>
    <row r="714" spans="1:52" s="145" customFormat="1" x14ac:dyDescent="0.35">
      <c r="A714" s="497" t="s">
        <v>2901</v>
      </c>
      <c r="B714" s="13" t="s">
        <v>5547</v>
      </c>
      <c r="C714" s="13" t="s">
        <v>1288</v>
      </c>
      <c r="D714" s="13" t="s">
        <v>6871</v>
      </c>
      <c r="E714" s="13" t="s">
        <v>4330</v>
      </c>
      <c r="F714" s="373">
        <f t="shared" si="286"/>
        <v>15.67</v>
      </c>
      <c r="G714" s="430">
        <v>15.67</v>
      </c>
      <c r="H714" s="399">
        <f t="shared" si="287"/>
        <v>12.54</v>
      </c>
      <c r="I714" s="576"/>
      <c r="J714" s="549" t="s">
        <v>5804</v>
      </c>
      <c r="K714" s="11"/>
      <c r="L714"/>
      <c r="M714" s="37">
        <f t="shared" si="288"/>
        <v>15.67</v>
      </c>
      <c r="N714" s="29">
        <v>11.67</v>
      </c>
      <c r="O714" s="41"/>
      <c r="P714" t="s">
        <v>1017</v>
      </c>
      <c r="Q714"/>
      <c r="R714"/>
      <c r="S714" t="s">
        <v>4179</v>
      </c>
      <c r="T714" s="145" t="s">
        <v>4179</v>
      </c>
      <c r="U714" s="42" t="s">
        <v>1017</v>
      </c>
      <c r="V714"/>
      <c r="W714" s="50"/>
      <c r="X714" s="50"/>
      <c r="Y714"/>
      <c r="Z714"/>
      <c r="AA714" s="50"/>
      <c r="AB714"/>
      <c r="AC714"/>
      <c r="AD714" s="50"/>
      <c r="AE714" s="75"/>
      <c r="AF714" s="50"/>
      <c r="AG714" s="50"/>
      <c r="AH714" s="166" t="str">
        <f t="shared" si="289"/>
        <v/>
      </c>
      <c r="AI714" s="168" t="str">
        <f t="shared" si="281"/>
        <v/>
      </c>
      <c r="AJ714" s="168" t="str">
        <f t="shared" si="282"/>
        <v/>
      </c>
      <c r="AK714" s="168" t="str">
        <f t="shared" si="283"/>
        <v/>
      </c>
      <c r="AL714" s="168" t="str">
        <f t="shared" si="284"/>
        <v/>
      </c>
      <c r="AM714" s="168" t="str">
        <f t="shared" si="285"/>
        <v/>
      </c>
      <c r="AN714" s="167" t="str">
        <f t="shared" si="268"/>
        <v/>
      </c>
      <c r="AO714" s="167" t="str">
        <f t="shared" si="269"/>
        <v/>
      </c>
      <c r="AP714" s="167" t="str">
        <f t="shared" si="270"/>
        <v/>
      </c>
      <c r="AQ714" s="169" t="str">
        <f t="shared" si="271"/>
        <v/>
      </c>
      <c r="AR714" s="170" t="str">
        <f t="shared" si="272"/>
        <v>BiK81KA3y---05</v>
      </c>
      <c r="AS714" s="169" t="str">
        <f t="shared" si="273"/>
        <v/>
      </c>
      <c r="AT714">
        <f t="shared" si="274"/>
        <v>14</v>
      </c>
      <c r="AU714" s="170" t="str">
        <f t="shared" si="275"/>
        <v>0-0,15 MW, Bonusregeln y und K wenn Anlage 3 erfüllt</v>
      </c>
      <c r="AV714" s="169" t="str">
        <f t="shared" si="276"/>
        <v/>
      </c>
      <c r="AW714" s="170" t="str">
        <f t="shared" si="277"/>
        <v>Anteil KWK gemäß Anlage 3</v>
      </c>
      <c r="AX714" s="169" t="str">
        <f t="shared" si="278"/>
        <v/>
      </c>
      <c r="AY714" t="str">
        <f t="shared" si="279"/>
        <v/>
      </c>
      <c r="AZ714" t="str">
        <f t="shared" si="280"/>
        <v/>
      </c>
    </row>
    <row r="715" spans="1:52" s="145" customFormat="1" x14ac:dyDescent="0.35">
      <c r="A715" s="497" t="s">
        <v>1312</v>
      </c>
      <c r="B715" s="13" t="s">
        <v>5547</v>
      </c>
      <c r="C715" s="13" t="s">
        <v>1288</v>
      </c>
      <c r="D715" s="13" t="s">
        <v>6872</v>
      </c>
      <c r="E715" s="13" t="s">
        <v>674</v>
      </c>
      <c r="F715" s="373">
        <f t="shared" si="286"/>
        <v>15.67</v>
      </c>
      <c r="G715" s="430">
        <v>15.67</v>
      </c>
      <c r="H715" s="399">
        <f t="shared" si="287"/>
        <v>12.54</v>
      </c>
      <c r="I715" s="576"/>
      <c r="J715" s="549" t="s">
        <v>5804</v>
      </c>
      <c r="K715" s="11"/>
      <c r="L715"/>
      <c r="M715" s="37">
        <f t="shared" si="288"/>
        <v>15.67</v>
      </c>
      <c r="N715" s="29">
        <v>11.67</v>
      </c>
      <c r="O715" s="41"/>
      <c r="P715" s="11"/>
      <c r="Q715" t="s">
        <v>1017</v>
      </c>
      <c r="R715"/>
      <c r="S715" t="s">
        <v>4179</v>
      </c>
      <c r="T715" s="145" t="s">
        <v>4179</v>
      </c>
      <c r="U715" s="42" t="s">
        <v>1017</v>
      </c>
      <c r="V715"/>
      <c r="W715" s="50"/>
      <c r="X715" s="50"/>
      <c r="Y715"/>
      <c r="Z715"/>
      <c r="AA715" s="50"/>
      <c r="AB715"/>
      <c r="AC715"/>
      <c r="AD715" s="50"/>
      <c r="AE715" s="75"/>
      <c r="AF715" s="50"/>
      <c r="AG715" s="50"/>
      <c r="AH715" s="166" t="str">
        <f t="shared" si="289"/>
        <v/>
      </c>
      <c r="AI715" s="168" t="str">
        <f t="shared" si="281"/>
        <v/>
      </c>
      <c r="AJ715" s="168" t="str">
        <f t="shared" si="282"/>
        <v/>
      </c>
      <c r="AK715" s="168" t="str">
        <f t="shared" si="283"/>
        <v/>
      </c>
      <c r="AL715" s="168" t="str">
        <f t="shared" si="284"/>
        <v/>
      </c>
      <c r="AM715" s="168" t="str">
        <f t="shared" si="285"/>
        <v/>
      </c>
      <c r="AN715" s="167" t="str">
        <f t="shared" si="268"/>
        <v/>
      </c>
      <c r="AO715" s="167" t="str">
        <f t="shared" si="269"/>
        <v/>
      </c>
      <c r="AP715" s="167" t="str">
        <f t="shared" si="270"/>
        <v/>
      </c>
      <c r="AQ715" s="169" t="str">
        <f t="shared" si="271"/>
        <v/>
      </c>
      <c r="AR715" s="170" t="str">
        <f t="shared" si="272"/>
        <v>BiK81K09y---05</v>
      </c>
      <c r="AS715" s="169" t="str">
        <f t="shared" si="273"/>
        <v/>
      </c>
      <c r="AT715">
        <f t="shared" si="274"/>
        <v>14</v>
      </c>
      <c r="AU715" s="170" t="str">
        <f t="shared" si="275"/>
        <v>0-0,15 MW, Bonusregeln y und K erstmals 2009</v>
      </c>
      <c r="AV715" s="169" t="str">
        <f t="shared" si="276"/>
        <v/>
      </c>
      <c r="AW715" s="170" t="str">
        <f t="shared" si="277"/>
        <v>Anteil KWK, erstmals 2009</v>
      </c>
      <c r="AX715" s="169" t="str">
        <f t="shared" si="278"/>
        <v/>
      </c>
      <c r="AY715" t="str">
        <f t="shared" si="279"/>
        <v/>
      </c>
      <c r="AZ715" t="str">
        <f t="shared" si="280"/>
        <v/>
      </c>
    </row>
    <row r="716" spans="1:52" s="145" customFormat="1" x14ac:dyDescent="0.35">
      <c r="A716" s="497" t="s">
        <v>3568</v>
      </c>
      <c r="B716" s="13" t="s">
        <v>5547</v>
      </c>
      <c r="C716" s="13" t="s">
        <v>1288</v>
      </c>
      <c r="D716" s="13" t="s">
        <v>6873</v>
      </c>
      <c r="E716" s="13" t="s">
        <v>3566</v>
      </c>
      <c r="F716" s="373">
        <f t="shared" si="286"/>
        <v>15.64</v>
      </c>
      <c r="G716" s="430">
        <v>15.64</v>
      </c>
      <c r="H716" s="399">
        <f t="shared" si="287"/>
        <v>12.51</v>
      </c>
      <c r="I716" s="576"/>
      <c r="J716" s="549" t="s">
        <v>5804</v>
      </c>
      <c r="K716" s="11"/>
      <c r="L716"/>
      <c r="M716" s="37">
        <f t="shared" si="288"/>
        <v>15.64</v>
      </c>
      <c r="N716" s="29">
        <v>11.67</v>
      </c>
      <c r="O716" s="41"/>
      <c r="P716" s="11"/>
      <c r="Q716"/>
      <c r="R716" t="s">
        <v>1017</v>
      </c>
      <c r="S716" t="s">
        <v>4179</v>
      </c>
      <c r="T716" s="145" t="s">
        <v>4179</v>
      </c>
      <c r="U716" s="42" t="s">
        <v>1017</v>
      </c>
      <c r="V716"/>
      <c r="W716" s="50"/>
      <c r="X716" s="50"/>
      <c r="Y716"/>
      <c r="Z716"/>
      <c r="AA716" s="50"/>
      <c r="AB716"/>
      <c r="AC716"/>
      <c r="AD716" s="50"/>
      <c r="AE716" s="75"/>
      <c r="AF716" s="50"/>
      <c r="AG716" s="50"/>
      <c r="AH716" s="166" t="str">
        <f t="shared" si="289"/>
        <v>2010</v>
      </c>
      <c r="AI716" s="168" t="str">
        <f t="shared" si="281"/>
        <v/>
      </c>
      <c r="AJ716" s="168" t="str">
        <f t="shared" si="282"/>
        <v/>
      </c>
      <c r="AK716" s="168" t="str">
        <f t="shared" si="283"/>
        <v/>
      </c>
      <c r="AL716" s="168" t="str">
        <f t="shared" si="284"/>
        <v/>
      </c>
      <c r="AM716" s="168" t="str">
        <f t="shared" si="285"/>
        <v/>
      </c>
      <c r="AN716" s="167" t="str">
        <f t="shared" si="268"/>
        <v>2010</v>
      </c>
      <c r="AO716" s="167" t="str">
        <f t="shared" si="269"/>
        <v>2010</v>
      </c>
      <c r="AP716" s="167" t="str">
        <f t="shared" si="270"/>
        <v>2010</v>
      </c>
      <c r="AQ716" s="169" t="str">
        <f t="shared" si="271"/>
        <v/>
      </c>
      <c r="AR716" s="170" t="str">
        <f t="shared" si="272"/>
        <v>BiK81K10y---05</v>
      </c>
      <c r="AS716" s="169" t="str">
        <f t="shared" si="273"/>
        <v/>
      </c>
      <c r="AT716">
        <f t="shared" si="274"/>
        <v>14</v>
      </c>
      <c r="AU716" s="170" t="str">
        <f t="shared" si="275"/>
        <v>0-0,15 MW, Bonusregeln y und K erstmals 2010</v>
      </c>
      <c r="AV716" s="169" t="str">
        <f t="shared" si="276"/>
        <v/>
      </c>
      <c r="AW716" s="170" t="str">
        <f t="shared" si="277"/>
        <v>Anteil KWK, erstmals 2010</v>
      </c>
      <c r="AX716" s="169" t="str">
        <f t="shared" si="278"/>
        <v/>
      </c>
      <c r="AY716" t="str">
        <f t="shared" si="279"/>
        <v/>
      </c>
      <c r="AZ716" t="str">
        <f t="shared" si="280"/>
        <v/>
      </c>
    </row>
    <row r="717" spans="1:52" s="145" customFormat="1" x14ac:dyDescent="0.35">
      <c r="A717" s="497" t="s">
        <v>5299</v>
      </c>
      <c r="B717" s="13" t="s">
        <v>5547</v>
      </c>
      <c r="C717" s="13" t="s">
        <v>1288</v>
      </c>
      <c r="D717" s="13" t="s">
        <v>6874</v>
      </c>
      <c r="E717" s="13" t="s">
        <v>3054</v>
      </c>
      <c r="F717" s="373">
        <f t="shared" si="286"/>
        <v>15.61</v>
      </c>
      <c r="G717" s="430">
        <v>15.61</v>
      </c>
      <c r="H717" s="399">
        <f t="shared" si="287"/>
        <v>12.49</v>
      </c>
      <c r="I717" s="576"/>
      <c r="J717" s="549" t="s">
        <v>5804</v>
      </c>
      <c r="K717" s="11"/>
      <c r="L717"/>
      <c r="M717" s="37">
        <f t="shared" si="288"/>
        <v>15.61</v>
      </c>
      <c r="N717" s="29">
        <v>11.67</v>
      </c>
      <c r="O717" s="41"/>
      <c r="P717" s="11"/>
      <c r="Q717"/>
      <c r="R717"/>
      <c r="S717" t="s">
        <v>1017</v>
      </c>
      <c r="T717" s="145" t="s">
        <v>4179</v>
      </c>
      <c r="U717" s="42" t="s">
        <v>1017</v>
      </c>
      <c r="V717"/>
      <c r="W717" s="50"/>
      <c r="X717" s="50"/>
      <c r="Y717"/>
      <c r="Z717"/>
      <c r="AA717" s="50"/>
      <c r="AB717"/>
      <c r="AC717"/>
      <c r="AD717" s="50"/>
      <c r="AE717" s="75"/>
      <c r="AF717" s="50"/>
      <c r="AG717" s="50"/>
      <c r="AH717" s="166" t="str">
        <f t="shared" si="289"/>
        <v>2011</v>
      </c>
      <c r="AI717" s="168" t="str">
        <f t="shared" si="281"/>
        <v/>
      </c>
      <c r="AJ717" s="168" t="str">
        <f t="shared" si="282"/>
        <v/>
      </c>
      <c r="AK717" s="168" t="str">
        <f t="shared" si="283"/>
        <v/>
      </c>
      <c r="AL717" s="168" t="str">
        <f t="shared" si="284"/>
        <v/>
      </c>
      <c r="AM717" s="168" t="str">
        <f t="shared" si="285"/>
        <v/>
      </c>
      <c r="AN717" s="167" t="str">
        <f t="shared" si="268"/>
        <v>2011</v>
      </c>
      <c r="AO717" s="167" t="str">
        <f t="shared" si="269"/>
        <v>2011</v>
      </c>
      <c r="AP717" s="167" t="str">
        <f t="shared" si="270"/>
        <v>2011</v>
      </c>
      <c r="AQ717" s="169" t="str">
        <f t="shared" si="271"/>
        <v/>
      </c>
      <c r="AR717" s="170" t="str">
        <f t="shared" si="272"/>
        <v>BiK81K11y---05</v>
      </c>
      <c r="AS717" s="169" t="str">
        <f t="shared" si="273"/>
        <v/>
      </c>
      <c r="AT717">
        <f t="shared" si="274"/>
        <v>14</v>
      </c>
      <c r="AU717" s="170" t="str">
        <f t="shared" si="275"/>
        <v>0-0,15 MW, Bonusregeln y und K erstmals 2011</v>
      </c>
      <c r="AV717" s="169" t="str">
        <f t="shared" si="276"/>
        <v/>
      </c>
      <c r="AW717" s="170" t="str">
        <f t="shared" si="277"/>
        <v>Anteil KWK, erstmals 2011</v>
      </c>
      <c r="AX717" s="169" t="str">
        <f t="shared" si="278"/>
        <v/>
      </c>
      <c r="AY717" t="str">
        <f t="shared" si="279"/>
        <v>x</v>
      </c>
      <c r="AZ717" t="str">
        <f t="shared" si="280"/>
        <v/>
      </c>
    </row>
    <row r="718" spans="1:52" s="145" customFormat="1" x14ac:dyDescent="0.35">
      <c r="A718" s="511" t="s">
        <v>1550</v>
      </c>
      <c r="B718" s="173" t="s">
        <v>5547</v>
      </c>
      <c r="C718" s="173" t="s">
        <v>1288</v>
      </c>
      <c r="D718" s="173" t="s">
        <v>6875</v>
      </c>
      <c r="E718" s="173" t="s">
        <v>1980</v>
      </c>
      <c r="F718" s="374">
        <f t="shared" si="286"/>
        <v>15.58</v>
      </c>
      <c r="G718" s="431">
        <v>15.58</v>
      </c>
      <c r="H718" s="400">
        <f t="shared" si="287"/>
        <v>12.46</v>
      </c>
      <c r="I718" s="577"/>
      <c r="J718" s="549" t="s">
        <v>5804</v>
      </c>
      <c r="K718" s="11"/>
      <c r="L718"/>
      <c r="M718" s="37">
        <f t="shared" si="288"/>
        <v>15.58</v>
      </c>
      <c r="N718" s="29">
        <v>11.67</v>
      </c>
      <c r="O718" s="41"/>
      <c r="P718" s="11"/>
      <c r="Q718"/>
      <c r="R718"/>
      <c r="S718" t="s">
        <v>4179</v>
      </c>
      <c r="T718" s="145" t="s">
        <v>1017</v>
      </c>
      <c r="U718" s="42" t="s">
        <v>1017</v>
      </c>
      <c r="V718"/>
      <c r="W718" s="50"/>
      <c r="X718" s="50"/>
      <c r="Y718"/>
      <c r="Z718"/>
      <c r="AA718" s="50"/>
      <c r="AB718"/>
      <c r="AC718"/>
      <c r="AD718" s="50"/>
      <c r="AE718" s="75"/>
      <c r="AF718" s="50"/>
      <c r="AG718" s="50"/>
      <c r="AH718" s="171" t="s">
        <v>4178</v>
      </c>
      <c r="AI718" s="168" t="str">
        <f t="shared" si="281"/>
        <v/>
      </c>
      <c r="AJ718" s="168" t="str">
        <f t="shared" si="282"/>
        <v/>
      </c>
      <c r="AK718" s="168" t="str">
        <f t="shared" si="283"/>
        <v/>
      </c>
      <c r="AL718" s="168" t="str">
        <f t="shared" si="284"/>
        <v/>
      </c>
      <c r="AM718" s="168" t="str">
        <f t="shared" si="285"/>
        <v/>
      </c>
      <c r="AN718" s="167" t="str">
        <f t="shared" si="268"/>
        <v>2012</v>
      </c>
      <c r="AO718" s="167" t="str">
        <f t="shared" si="269"/>
        <v>2012</v>
      </c>
      <c r="AP718" s="167" t="str">
        <f t="shared" si="270"/>
        <v>2012</v>
      </c>
      <c r="AQ718" s="169" t="str">
        <f t="shared" si="271"/>
        <v/>
      </c>
      <c r="AR718" s="170" t="str">
        <f t="shared" si="272"/>
        <v>BiK81K12y---05</v>
      </c>
      <c r="AS718" s="169" t="str">
        <f t="shared" si="273"/>
        <v/>
      </c>
      <c r="AT718">
        <f t="shared" si="274"/>
        <v>14</v>
      </c>
      <c r="AU718" s="170" t="str">
        <f t="shared" si="275"/>
        <v>0-0,15 MW, Bonusregeln y und K erstmals 2012</v>
      </c>
      <c r="AV718" s="169" t="str">
        <f t="shared" si="276"/>
        <v/>
      </c>
      <c r="AW718" s="170" t="str">
        <f t="shared" si="277"/>
        <v>Anteil KWK, erstmals 2012</v>
      </c>
      <c r="AX718" s="169" t="str">
        <f t="shared" si="278"/>
        <v/>
      </c>
      <c r="AY718" t="str">
        <f t="shared" si="279"/>
        <v/>
      </c>
      <c r="AZ718" t="str">
        <f t="shared" si="280"/>
        <v>x</v>
      </c>
    </row>
    <row r="719" spans="1:52" s="145" customFormat="1" x14ac:dyDescent="0.35">
      <c r="A719" s="505" t="s">
        <v>4507</v>
      </c>
      <c r="B719" s="23" t="s">
        <v>5547</v>
      </c>
      <c r="C719" s="23" t="s">
        <v>1288</v>
      </c>
      <c r="D719" s="23" t="s">
        <v>6876</v>
      </c>
      <c r="E719" s="23" t="s">
        <v>4809</v>
      </c>
      <c r="F719" s="378">
        <f t="shared" si="286"/>
        <v>17.670000000000002</v>
      </c>
      <c r="G719" s="434">
        <v>17.670000000000002</v>
      </c>
      <c r="H719" s="403">
        <f t="shared" si="287"/>
        <v>14.14</v>
      </c>
      <c r="I719" s="581"/>
      <c r="J719" s="549" t="s">
        <v>5804</v>
      </c>
      <c r="K719" s="11"/>
      <c r="L719"/>
      <c r="M719" s="37">
        <f t="shared" si="288"/>
        <v>17.670000000000002</v>
      </c>
      <c r="N719" s="29">
        <v>11.67</v>
      </c>
      <c r="O719" s="41"/>
      <c r="P719" s="11"/>
      <c r="Q719"/>
      <c r="R719"/>
      <c r="S719" t="s">
        <v>4179</v>
      </c>
      <c r="T719" s="145" t="s">
        <v>4179</v>
      </c>
      <c r="U719" s="42"/>
      <c r="V719" t="s">
        <v>1017</v>
      </c>
      <c r="W719" s="50"/>
      <c r="X719" s="50"/>
      <c r="Y719"/>
      <c r="Z719"/>
      <c r="AA719" s="50"/>
      <c r="AB719"/>
      <c r="AC719"/>
      <c r="AD719" s="50"/>
      <c r="AE719" s="75"/>
      <c r="AF719" s="50"/>
      <c r="AG719" s="50"/>
      <c r="AH719" s="166" t="str">
        <f t="shared" ref="AH719:AH724" si="290">IF(ISERROR(SEARCH("K erstmals 201",D719)),"",RIGHT(D719,4))</f>
        <v/>
      </c>
      <c r="AI719" s="168" t="str">
        <f t="shared" si="281"/>
        <v/>
      </c>
      <c r="AJ719" s="168" t="str">
        <f t="shared" si="282"/>
        <v/>
      </c>
      <c r="AK719" s="168" t="str">
        <f t="shared" si="283"/>
        <v/>
      </c>
      <c r="AL719" s="168" t="str">
        <f t="shared" si="284"/>
        <v/>
      </c>
      <c r="AM719" s="168" t="str">
        <f t="shared" si="285"/>
        <v/>
      </c>
      <c r="AN719" s="167" t="str">
        <f t="shared" si="268"/>
        <v/>
      </c>
      <c r="AO719" s="167" t="str">
        <f t="shared" si="269"/>
        <v/>
      </c>
      <c r="AP719" s="167" t="str">
        <f t="shared" si="270"/>
        <v/>
      </c>
      <c r="AQ719" s="169" t="str">
        <f t="shared" si="271"/>
        <v/>
      </c>
      <c r="AR719" s="170" t="str">
        <f t="shared" si="272"/>
        <v>BiK81a1-----05</v>
      </c>
      <c r="AS719" s="169" t="str">
        <f t="shared" si="273"/>
        <v/>
      </c>
      <c r="AT719">
        <f t="shared" si="274"/>
        <v>14</v>
      </c>
      <c r="AU719" s="170" t="str">
        <f t="shared" si="275"/>
        <v>0-0,15 MW, Bonusregel a1</v>
      </c>
      <c r="AV719" s="169" t="str">
        <f t="shared" si="276"/>
        <v/>
      </c>
      <c r="AW719" s="170" t="str">
        <f t="shared" si="277"/>
        <v>Anteil Nicht-KWK</v>
      </c>
      <c r="AX719" s="169" t="str">
        <f t="shared" si="278"/>
        <v/>
      </c>
      <c r="AY719" t="str">
        <f t="shared" si="279"/>
        <v/>
      </c>
      <c r="AZ719" t="str">
        <f t="shared" si="280"/>
        <v/>
      </c>
    </row>
    <row r="720" spans="1:52" s="145" customFormat="1" x14ac:dyDescent="0.35">
      <c r="A720" s="505" t="s">
        <v>4508</v>
      </c>
      <c r="B720" s="23" t="s">
        <v>5547</v>
      </c>
      <c r="C720" s="23" t="s">
        <v>1288</v>
      </c>
      <c r="D720" s="23" t="s">
        <v>6877</v>
      </c>
      <c r="E720" s="23" t="s">
        <v>4811</v>
      </c>
      <c r="F720" s="378">
        <f t="shared" si="286"/>
        <v>19.670000000000002</v>
      </c>
      <c r="G720" s="434">
        <v>19.670000000000002</v>
      </c>
      <c r="H720" s="403">
        <f t="shared" si="287"/>
        <v>15.74</v>
      </c>
      <c r="I720" s="581"/>
      <c r="J720" s="549" t="s">
        <v>5804</v>
      </c>
      <c r="K720" s="11"/>
      <c r="L720"/>
      <c r="M720" s="37">
        <f t="shared" si="288"/>
        <v>19.670000000000002</v>
      </c>
      <c r="N720" s="29">
        <v>11.67</v>
      </c>
      <c r="O720" s="41" t="s">
        <v>1017</v>
      </c>
      <c r="P720" s="11"/>
      <c r="Q720"/>
      <c r="R720"/>
      <c r="S720" t="s">
        <v>4179</v>
      </c>
      <c r="T720" s="145" t="s">
        <v>4179</v>
      </c>
      <c r="U720" s="42"/>
      <c r="V720" t="s">
        <v>1017</v>
      </c>
      <c r="W720" s="50"/>
      <c r="X720" s="50"/>
      <c r="Y720"/>
      <c r="Z720"/>
      <c r="AA720" s="50"/>
      <c r="AB720"/>
      <c r="AC720"/>
      <c r="AD720" s="50"/>
      <c r="AE720" s="75"/>
      <c r="AF720" s="50"/>
      <c r="AG720" s="50"/>
      <c r="AH720" s="166" t="str">
        <f t="shared" si="290"/>
        <v/>
      </c>
      <c r="AI720" s="168" t="str">
        <f t="shared" si="281"/>
        <v/>
      </c>
      <c r="AJ720" s="168" t="str">
        <f t="shared" si="282"/>
        <v/>
      </c>
      <c r="AK720" s="168" t="str">
        <f t="shared" si="283"/>
        <v/>
      </c>
      <c r="AL720" s="168" t="str">
        <f t="shared" si="284"/>
        <v/>
      </c>
      <c r="AM720" s="168" t="str">
        <f t="shared" si="285"/>
        <v/>
      </c>
      <c r="AN720" s="167" t="str">
        <f t="shared" si="268"/>
        <v/>
      </c>
      <c r="AO720" s="167" t="str">
        <f t="shared" si="269"/>
        <v/>
      </c>
      <c r="AP720" s="167" t="str">
        <f t="shared" si="270"/>
        <v/>
      </c>
      <c r="AQ720" s="169" t="str">
        <f t="shared" si="271"/>
        <v/>
      </c>
      <c r="AR720" s="170" t="str">
        <f t="shared" si="272"/>
        <v>BiK81a1KWK--05</v>
      </c>
      <c r="AS720" s="169" t="str">
        <f t="shared" si="273"/>
        <v/>
      </c>
      <c r="AT720">
        <f t="shared" si="274"/>
        <v>14</v>
      </c>
      <c r="AU720" s="170" t="str">
        <f t="shared" si="275"/>
        <v>0-0,15 MW, Bonusregeln a1 und KWK</v>
      </c>
      <c r="AV720" s="169" t="str">
        <f t="shared" si="276"/>
        <v/>
      </c>
      <c r="AW720" s="170" t="str">
        <f t="shared" si="277"/>
        <v>Anteil KWK</v>
      </c>
      <c r="AX720" s="169" t="str">
        <f t="shared" si="278"/>
        <v/>
      </c>
      <c r="AY720" t="str">
        <f t="shared" si="279"/>
        <v/>
      </c>
      <c r="AZ720" t="str">
        <f t="shared" si="280"/>
        <v/>
      </c>
    </row>
    <row r="721" spans="1:52" s="145" customFormat="1" x14ac:dyDescent="0.35">
      <c r="A721" s="497" t="s">
        <v>4342</v>
      </c>
      <c r="B721" s="13" t="s">
        <v>5547</v>
      </c>
      <c r="C721" s="13" t="s">
        <v>1288</v>
      </c>
      <c r="D721" s="13" t="s">
        <v>6878</v>
      </c>
      <c r="E721" s="13" t="s">
        <v>4330</v>
      </c>
      <c r="F721" s="373">
        <f t="shared" si="286"/>
        <v>20.67</v>
      </c>
      <c r="G721" s="430">
        <v>20.67</v>
      </c>
      <c r="H721" s="399">
        <f t="shared" si="287"/>
        <v>16.54</v>
      </c>
      <c r="I721" s="576"/>
      <c r="J721" s="549" t="s">
        <v>5804</v>
      </c>
      <c r="K721" s="11"/>
      <c r="L721"/>
      <c r="M721" s="37">
        <f t="shared" si="288"/>
        <v>20.67</v>
      </c>
      <c r="N721" s="29">
        <v>11.67</v>
      </c>
      <c r="O721" s="41"/>
      <c r="P721" t="s">
        <v>1017</v>
      </c>
      <c r="Q721"/>
      <c r="R721"/>
      <c r="S721" t="s">
        <v>4179</v>
      </c>
      <c r="T721" s="145" t="s">
        <v>4179</v>
      </c>
      <c r="U721" s="42"/>
      <c r="V721" t="s">
        <v>1017</v>
      </c>
      <c r="W721" s="50"/>
      <c r="X721" s="50"/>
      <c r="Y721"/>
      <c r="Z721"/>
      <c r="AA721" s="50"/>
      <c r="AB721"/>
      <c r="AC721"/>
      <c r="AD721" s="50"/>
      <c r="AE721" s="75"/>
      <c r="AF721" s="50"/>
      <c r="AG721" s="50"/>
      <c r="AH721" s="166" t="str">
        <f t="shared" si="290"/>
        <v/>
      </c>
      <c r="AI721" s="168" t="str">
        <f t="shared" si="281"/>
        <v/>
      </c>
      <c r="AJ721" s="168" t="str">
        <f t="shared" si="282"/>
        <v/>
      </c>
      <c r="AK721" s="168" t="str">
        <f t="shared" si="283"/>
        <v/>
      </c>
      <c r="AL721" s="168" t="str">
        <f t="shared" si="284"/>
        <v/>
      </c>
      <c r="AM721" s="168" t="str">
        <f t="shared" si="285"/>
        <v/>
      </c>
      <c r="AN721" s="167" t="str">
        <f t="shared" si="268"/>
        <v/>
      </c>
      <c r="AO721" s="167" t="str">
        <f t="shared" si="269"/>
        <v/>
      </c>
      <c r="AP721" s="167" t="str">
        <f t="shared" si="270"/>
        <v/>
      </c>
      <c r="AQ721" s="169" t="str">
        <f t="shared" si="271"/>
        <v/>
      </c>
      <c r="AR721" s="170" t="str">
        <f t="shared" si="272"/>
        <v>BiK81a1KA3--05</v>
      </c>
      <c r="AS721" s="169" t="str">
        <f t="shared" si="273"/>
        <v/>
      </c>
      <c r="AT721">
        <f t="shared" si="274"/>
        <v>14</v>
      </c>
      <c r="AU721" s="170" t="str">
        <f t="shared" si="275"/>
        <v>0-0,15 MW, Bonusregeln a1 und K wenn Anlage 3 erfüllt</v>
      </c>
      <c r="AV721" s="169" t="str">
        <f t="shared" si="276"/>
        <v/>
      </c>
      <c r="AW721" s="170" t="str">
        <f t="shared" si="277"/>
        <v>Anteil KWK gemäß Anlage 3</v>
      </c>
      <c r="AX721" s="169" t="str">
        <f t="shared" si="278"/>
        <v/>
      </c>
      <c r="AY721" t="str">
        <f t="shared" si="279"/>
        <v/>
      </c>
      <c r="AZ721" t="str">
        <f t="shared" si="280"/>
        <v/>
      </c>
    </row>
    <row r="722" spans="1:52" s="145" customFormat="1" x14ac:dyDescent="0.35">
      <c r="A722" s="497" t="s">
        <v>2345</v>
      </c>
      <c r="B722" s="13" t="s">
        <v>5547</v>
      </c>
      <c r="C722" s="13" t="s">
        <v>1288</v>
      </c>
      <c r="D722" s="13" t="s">
        <v>6990</v>
      </c>
      <c r="E722" s="13" t="s">
        <v>674</v>
      </c>
      <c r="F722" s="373">
        <f t="shared" si="286"/>
        <v>20.67</v>
      </c>
      <c r="G722" s="430">
        <v>20.67</v>
      </c>
      <c r="H722" s="399">
        <f t="shared" si="287"/>
        <v>16.54</v>
      </c>
      <c r="I722" s="576"/>
      <c r="J722" s="549" t="s">
        <v>5804</v>
      </c>
      <c r="K722" s="11"/>
      <c r="L722"/>
      <c r="M722" s="37">
        <f t="shared" si="288"/>
        <v>20.67</v>
      </c>
      <c r="N722" s="29">
        <v>11.67</v>
      </c>
      <c r="O722" s="41"/>
      <c r="P722" s="11"/>
      <c r="Q722" t="s">
        <v>1017</v>
      </c>
      <c r="R722"/>
      <c r="S722" t="s">
        <v>4179</v>
      </c>
      <c r="T722" s="145" t="s">
        <v>4179</v>
      </c>
      <c r="U722" s="42"/>
      <c r="V722" t="s">
        <v>1017</v>
      </c>
      <c r="W722" s="50"/>
      <c r="X722" s="50"/>
      <c r="Y722"/>
      <c r="Z722"/>
      <c r="AA722" s="50"/>
      <c r="AB722"/>
      <c r="AC722"/>
      <c r="AD722" s="50"/>
      <c r="AE722" s="75"/>
      <c r="AF722" s="50"/>
      <c r="AG722" s="50"/>
      <c r="AH722" s="166" t="str">
        <f t="shared" si="290"/>
        <v/>
      </c>
      <c r="AI722" s="168" t="str">
        <f t="shared" si="281"/>
        <v/>
      </c>
      <c r="AJ722" s="168" t="str">
        <f t="shared" si="282"/>
        <v/>
      </c>
      <c r="AK722" s="168" t="str">
        <f t="shared" si="283"/>
        <v/>
      </c>
      <c r="AL722" s="168" t="str">
        <f t="shared" si="284"/>
        <v/>
      </c>
      <c r="AM722" s="168" t="str">
        <f t="shared" si="285"/>
        <v/>
      </c>
      <c r="AN722" s="167" t="str">
        <f t="shared" si="268"/>
        <v/>
      </c>
      <c r="AO722" s="167" t="str">
        <f t="shared" si="269"/>
        <v/>
      </c>
      <c r="AP722" s="167" t="str">
        <f t="shared" si="270"/>
        <v/>
      </c>
      <c r="AQ722" s="169" t="str">
        <f t="shared" si="271"/>
        <v/>
      </c>
      <c r="AR722" s="170" t="str">
        <f t="shared" si="272"/>
        <v>BiK81a1K09--05</v>
      </c>
      <c r="AS722" s="169" t="str">
        <f t="shared" si="273"/>
        <v/>
      </c>
      <c r="AT722">
        <f t="shared" si="274"/>
        <v>14</v>
      </c>
      <c r="AU722" s="170" t="str">
        <f t="shared" si="275"/>
        <v>0-0,15 MW, Bonusregeln a1 und K erstmals 2009</v>
      </c>
      <c r="AV722" s="169" t="str">
        <f t="shared" si="276"/>
        <v/>
      </c>
      <c r="AW722" s="170" t="str">
        <f t="shared" si="277"/>
        <v>Anteil KWK, erstmals 2009</v>
      </c>
      <c r="AX722" s="169" t="str">
        <f t="shared" si="278"/>
        <v/>
      </c>
      <c r="AY722" t="str">
        <f t="shared" si="279"/>
        <v/>
      </c>
      <c r="AZ722" t="str">
        <f t="shared" si="280"/>
        <v/>
      </c>
    </row>
    <row r="723" spans="1:52" s="145" customFormat="1" x14ac:dyDescent="0.35">
      <c r="A723" s="497" t="s">
        <v>3569</v>
      </c>
      <c r="B723" s="13" t="s">
        <v>5547</v>
      </c>
      <c r="C723" s="13" t="s">
        <v>1288</v>
      </c>
      <c r="D723" s="13" t="s">
        <v>6991</v>
      </c>
      <c r="E723" s="13" t="s">
        <v>3566</v>
      </c>
      <c r="F723" s="373">
        <f t="shared" si="286"/>
        <v>20.64</v>
      </c>
      <c r="G723" s="430">
        <v>20.64</v>
      </c>
      <c r="H723" s="399">
        <f t="shared" si="287"/>
        <v>16.510000000000002</v>
      </c>
      <c r="I723" s="576"/>
      <c r="J723" s="549" t="s">
        <v>5804</v>
      </c>
      <c r="K723" s="11"/>
      <c r="L723"/>
      <c r="M723" s="37">
        <f t="shared" si="288"/>
        <v>20.64</v>
      </c>
      <c r="N723" s="29">
        <v>11.67</v>
      </c>
      <c r="O723" s="41"/>
      <c r="P723" s="11"/>
      <c r="Q723"/>
      <c r="R723" t="s">
        <v>1017</v>
      </c>
      <c r="S723" t="s">
        <v>4179</v>
      </c>
      <c r="T723" s="145" t="s">
        <v>4179</v>
      </c>
      <c r="U723" s="42"/>
      <c r="V723" t="s">
        <v>1017</v>
      </c>
      <c r="W723" s="50"/>
      <c r="X723" s="50"/>
      <c r="Y723"/>
      <c r="Z723"/>
      <c r="AA723" s="50"/>
      <c r="AB723"/>
      <c r="AC723"/>
      <c r="AD723" s="50"/>
      <c r="AE723" s="75"/>
      <c r="AF723" s="50"/>
      <c r="AG723" s="50"/>
      <c r="AH723" s="166" t="str">
        <f t="shared" si="290"/>
        <v>2010</v>
      </c>
      <c r="AI723" s="168" t="str">
        <f t="shared" si="281"/>
        <v/>
      </c>
      <c r="AJ723" s="168" t="str">
        <f t="shared" si="282"/>
        <v/>
      </c>
      <c r="AK723" s="168" t="str">
        <f t="shared" si="283"/>
        <v/>
      </c>
      <c r="AL723" s="168" t="str">
        <f t="shared" si="284"/>
        <v/>
      </c>
      <c r="AM723" s="168" t="str">
        <f t="shared" si="285"/>
        <v/>
      </c>
      <c r="AN723" s="167" t="str">
        <f t="shared" si="268"/>
        <v>2010</v>
      </c>
      <c r="AO723" s="167" t="str">
        <f t="shared" si="269"/>
        <v>2010</v>
      </c>
      <c r="AP723" s="167" t="str">
        <f t="shared" si="270"/>
        <v>2010</v>
      </c>
      <c r="AQ723" s="169" t="str">
        <f t="shared" si="271"/>
        <v/>
      </c>
      <c r="AR723" s="170" t="str">
        <f t="shared" si="272"/>
        <v>BiK81a1K10--05</v>
      </c>
      <c r="AS723" s="169" t="str">
        <f t="shared" si="273"/>
        <v/>
      </c>
      <c r="AT723">
        <f t="shared" si="274"/>
        <v>14</v>
      </c>
      <c r="AU723" s="170" t="str">
        <f t="shared" si="275"/>
        <v>0-0,15 MW, Bonusregeln a1 und K erstmals 2010</v>
      </c>
      <c r="AV723" s="169" t="str">
        <f t="shared" si="276"/>
        <v/>
      </c>
      <c r="AW723" s="170" t="str">
        <f t="shared" si="277"/>
        <v>Anteil KWK, erstmals 2010</v>
      </c>
      <c r="AX723" s="169" t="str">
        <f t="shared" si="278"/>
        <v/>
      </c>
      <c r="AY723" t="str">
        <f t="shared" si="279"/>
        <v/>
      </c>
      <c r="AZ723" t="str">
        <f t="shared" si="280"/>
        <v/>
      </c>
    </row>
    <row r="724" spans="1:52" s="145" customFormat="1" x14ac:dyDescent="0.35">
      <c r="A724" s="497" t="s">
        <v>5300</v>
      </c>
      <c r="B724" s="13" t="s">
        <v>5547</v>
      </c>
      <c r="C724" s="13" t="s">
        <v>1288</v>
      </c>
      <c r="D724" s="13" t="s">
        <v>6992</v>
      </c>
      <c r="E724" s="13" t="s">
        <v>3054</v>
      </c>
      <c r="F724" s="373">
        <f t="shared" si="286"/>
        <v>20.61</v>
      </c>
      <c r="G724" s="430">
        <v>20.61</v>
      </c>
      <c r="H724" s="399">
        <f t="shared" si="287"/>
        <v>16.489999999999998</v>
      </c>
      <c r="I724" s="576"/>
      <c r="J724" s="549" t="s">
        <v>5804</v>
      </c>
      <c r="K724" s="11"/>
      <c r="L724"/>
      <c r="M724" s="37">
        <f t="shared" si="288"/>
        <v>20.61</v>
      </c>
      <c r="N724" s="29">
        <v>11.67</v>
      </c>
      <c r="O724" s="41"/>
      <c r="P724" s="11"/>
      <c r="Q724"/>
      <c r="R724"/>
      <c r="S724" t="s">
        <v>1017</v>
      </c>
      <c r="T724" s="145" t="s">
        <v>4179</v>
      </c>
      <c r="U724" s="42"/>
      <c r="V724" t="s">
        <v>1017</v>
      </c>
      <c r="W724" s="50"/>
      <c r="X724" s="50"/>
      <c r="Y724"/>
      <c r="Z724"/>
      <c r="AA724" s="50"/>
      <c r="AB724"/>
      <c r="AC724"/>
      <c r="AD724" s="50"/>
      <c r="AE724" s="75"/>
      <c r="AF724" s="50"/>
      <c r="AG724" s="50"/>
      <c r="AH724" s="166" t="str">
        <f t="shared" si="290"/>
        <v>2011</v>
      </c>
      <c r="AI724" s="168" t="str">
        <f t="shared" si="281"/>
        <v/>
      </c>
      <c r="AJ724" s="168" t="str">
        <f t="shared" si="282"/>
        <v/>
      </c>
      <c r="AK724" s="168" t="str">
        <f t="shared" si="283"/>
        <v/>
      </c>
      <c r="AL724" s="168" t="str">
        <f t="shared" si="284"/>
        <v/>
      </c>
      <c r="AM724" s="168" t="str">
        <f t="shared" si="285"/>
        <v/>
      </c>
      <c r="AN724" s="167" t="str">
        <f t="shared" si="268"/>
        <v>2011</v>
      </c>
      <c r="AO724" s="167" t="str">
        <f t="shared" si="269"/>
        <v>2011</v>
      </c>
      <c r="AP724" s="167" t="str">
        <f t="shared" si="270"/>
        <v>2011</v>
      </c>
      <c r="AQ724" s="169" t="str">
        <f t="shared" si="271"/>
        <v/>
      </c>
      <c r="AR724" s="170" t="str">
        <f t="shared" si="272"/>
        <v>BiK81a1K11--05</v>
      </c>
      <c r="AS724" s="169" t="str">
        <f t="shared" si="273"/>
        <v/>
      </c>
      <c r="AT724">
        <f t="shared" si="274"/>
        <v>14</v>
      </c>
      <c r="AU724" s="170" t="str">
        <f t="shared" si="275"/>
        <v>0-0,15 MW, Bonusregeln a1 und K erstmals 2011</v>
      </c>
      <c r="AV724" s="169" t="str">
        <f t="shared" si="276"/>
        <v/>
      </c>
      <c r="AW724" s="170" t="str">
        <f t="shared" si="277"/>
        <v>Anteil KWK, erstmals 2011</v>
      </c>
      <c r="AX724" s="169" t="str">
        <f t="shared" si="278"/>
        <v/>
      </c>
      <c r="AY724" t="str">
        <f t="shared" si="279"/>
        <v>x</v>
      </c>
      <c r="AZ724" t="str">
        <f t="shared" si="280"/>
        <v/>
      </c>
    </row>
    <row r="725" spans="1:52" s="145" customFormat="1" x14ac:dyDescent="0.35">
      <c r="A725" s="511" t="s">
        <v>1551</v>
      </c>
      <c r="B725" s="173" t="s">
        <v>5547</v>
      </c>
      <c r="C725" s="173" t="s">
        <v>1288</v>
      </c>
      <c r="D725" s="173" t="s">
        <v>6993</v>
      </c>
      <c r="E725" s="173" t="s">
        <v>1980</v>
      </c>
      <c r="F725" s="374">
        <f t="shared" si="286"/>
        <v>20.58</v>
      </c>
      <c r="G725" s="431">
        <v>20.58</v>
      </c>
      <c r="H725" s="400">
        <f t="shared" si="287"/>
        <v>16.46</v>
      </c>
      <c r="I725" s="577"/>
      <c r="J725" s="549" t="s">
        <v>5804</v>
      </c>
      <c r="K725" s="11"/>
      <c r="L725"/>
      <c r="M725" s="37">
        <f t="shared" si="288"/>
        <v>20.58</v>
      </c>
      <c r="N725" s="29">
        <v>11.67</v>
      </c>
      <c r="O725" s="41"/>
      <c r="P725" s="11"/>
      <c r="Q725"/>
      <c r="R725"/>
      <c r="S725" t="s">
        <v>4179</v>
      </c>
      <c r="T725" s="145" t="s">
        <v>1017</v>
      </c>
      <c r="U725" s="42"/>
      <c r="V725" t="s">
        <v>1017</v>
      </c>
      <c r="W725" s="50"/>
      <c r="X725" s="50"/>
      <c r="Y725"/>
      <c r="Z725"/>
      <c r="AA725" s="50"/>
      <c r="AB725"/>
      <c r="AC725"/>
      <c r="AD725" s="50"/>
      <c r="AE725" s="75"/>
      <c r="AF725" s="50"/>
      <c r="AG725" s="50"/>
      <c r="AH725" s="171" t="s">
        <v>4178</v>
      </c>
      <c r="AI725" s="168" t="str">
        <f t="shared" si="281"/>
        <v/>
      </c>
      <c r="AJ725" s="168" t="str">
        <f t="shared" si="282"/>
        <v/>
      </c>
      <c r="AK725" s="168" t="str">
        <f t="shared" si="283"/>
        <v/>
      </c>
      <c r="AL725" s="168" t="str">
        <f t="shared" si="284"/>
        <v/>
      </c>
      <c r="AM725" s="168" t="str">
        <f t="shared" si="285"/>
        <v/>
      </c>
      <c r="AN725" s="167" t="str">
        <f t="shared" si="268"/>
        <v>2012</v>
      </c>
      <c r="AO725" s="167" t="str">
        <f t="shared" si="269"/>
        <v>2012</v>
      </c>
      <c r="AP725" s="167" t="str">
        <f t="shared" si="270"/>
        <v>2012</v>
      </c>
      <c r="AQ725" s="169" t="str">
        <f t="shared" si="271"/>
        <v/>
      </c>
      <c r="AR725" s="170" t="str">
        <f t="shared" si="272"/>
        <v>BiK81a1K12--05</v>
      </c>
      <c r="AS725" s="169" t="str">
        <f t="shared" si="273"/>
        <v/>
      </c>
      <c r="AT725">
        <f t="shared" si="274"/>
        <v>14</v>
      </c>
      <c r="AU725" s="170" t="str">
        <f t="shared" si="275"/>
        <v>0-0,15 MW, Bonusregeln a1 und K erstmals 2012</v>
      </c>
      <c r="AV725" s="169" t="str">
        <f t="shared" si="276"/>
        <v/>
      </c>
      <c r="AW725" s="170" t="str">
        <f t="shared" si="277"/>
        <v>Anteil KWK, erstmals 2012</v>
      </c>
      <c r="AX725" s="169" t="str">
        <f t="shared" si="278"/>
        <v/>
      </c>
      <c r="AY725" t="str">
        <f t="shared" si="279"/>
        <v/>
      </c>
      <c r="AZ725" t="str">
        <f t="shared" si="280"/>
        <v>x</v>
      </c>
    </row>
    <row r="726" spans="1:52" s="145" customFormat="1" x14ac:dyDescent="0.35">
      <c r="A726" s="497" t="s">
        <v>1313</v>
      </c>
      <c r="B726" s="13" t="s">
        <v>5547</v>
      </c>
      <c r="C726" s="13" t="s">
        <v>1288</v>
      </c>
      <c r="D726" s="13" t="s">
        <v>6883</v>
      </c>
      <c r="E726" s="13" t="s">
        <v>4809</v>
      </c>
      <c r="F726" s="373">
        <f t="shared" si="286"/>
        <v>18.670000000000002</v>
      </c>
      <c r="G726" s="430">
        <v>18.670000000000002</v>
      </c>
      <c r="H726" s="399">
        <f t="shared" si="287"/>
        <v>14.94</v>
      </c>
      <c r="I726" s="576"/>
      <c r="J726" s="549" t="s">
        <v>5804</v>
      </c>
      <c r="K726" s="11"/>
      <c r="L726"/>
      <c r="M726" s="37">
        <f t="shared" si="288"/>
        <v>18.670000000000002</v>
      </c>
      <c r="N726" s="29">
        <v>11.67</v>
      </c>
      <c r="O726" s="41"/>
      <c r="P726" s="11"/>
      <c r="Q726"/>
      <c r="R726"/>
      <c r="S726" t="s">
        <v>4179</v>
      </c>
      <c r="T726" s="145" t="s">
        <v>4179</v>
      </c>
      <c r="U726" s="42" t="s">
        <v>1017</v>
      </c>
      <c r="V726" t="s">
        <v>1017</v>
      </c>
      <c r="W726" s="50"/>
      <c r="X726" s="50"/>
      <c r="Y726"/>
      <c r="Z726"/>
      <c r="AA726" s="50"/>
      <c r="AB726"/>
      <c r="AC726"/>
      <c r="AD726" s="50"/>
      <c r="AE726" s="75"/>
      <c r="AF726" s="50"/>
      <c r="AG726" s="50"/>
      <c r="AH726" s="166" t="str">
        <f t="shared" ref="AH726:AH731" si="291">IF(ISERROR(SEARCH("K erstmals 201",D726)),"",RIGHT(D726,4))</f>
        <v/>
      </c>
      <c r="AI726" s="168" t="str">
        <f t="shared" si="281"/>
        <v/>
      </c>
      <c r="AJ726" s="168" t="str">
        <f t="shared" si="282"/>
        <v/>
      </c>
      <c r="AK726" s="168" t="str">
        <f t="shared" si="283"/>
        <v/>
      </c>
      <c r="AL726" s="168" t="str">
        <f t="shared" si="284"/>
        <v/>
      </c>
      <c r="AM726" s="168" t="str">
        <f t="shared" si="285"/>
        <v/>
      </c>
      <c r="AN726" s="167" t="str">
        <f t="shared" si="268"/>
        <v/>
      </c>
      <c r="AO726" s="167" t="str">
        <f t="shared" si="269"/>
        <v/>
      </c>
      <c r="AP726" s="167" t="str">
        <f t="shared" si="270"/>
        <v/>
      </c>
      <c r="AQ726" s="169" t="str">
        <f t="shared" si="271"/>
        <v/>
      </c>
      <c r="AR726" s="170" t="str">
        <f t="shared" si="272"/>
        <v>BiK81a1y----05</v>
      </c>
      <c r="AS726" s="169" t="str">
        <f t="shared" si="273"/>
        <v/>
      </c>
      <c r="AT726">
        <f t="shared" si="274"/>
        <v>14</v>
      </c>
      <c r="AU726" s="170" t="str">
        <f t="shared" si="275"/>
        <v>0-0,15 MW, Bonusregeln a1, y</v>
      </c>
      <c r="AV726" s="169" t="str">
        <f t="shared" si="276"/>
        <v/>
      </c>
      <c r="AW726" s="170" t="str">
        <f t="shared" si="277"/>
        <v>Anteil Nicht-KWK</v>
      </c>
      <c r="AX726" s="169" t="str">
        <f t="shared" si="278"/>
        <v/>
      </c>
      <c r="AY726" t="str">
        <f t="shared" si="279"/>
        <v/>
      </c>
      <c r="AZ726" t="str">
        <f t="shared" si="280"/>
        <v/>
      </c>
    </row>
    <row r="727" spans="1:52" s="145" customFormat="1" x14ac:dyDescent="0.35">
      <c r="A727" s="497" t="s">
        <v>1314</v>
      </c>
      <c r="B727" s="13" t="s">
        <v>5547</v>
      </c>
      <c r="C727" s="13" t="s">
        <v>1288</v>
      </c>
      <c r="D727" s="13" t="s">
        <v>6884</v>
      </c>
      <c r="E727" s="13" t="s">
        <v>4811</v>
      </c>
      <c r="F727" s="373">
        <f t="shared" si="286"/>
        <v>20.67</v>
      </c>
      <c r="G727" s="430">
        <v>20.67</v>
      </c>
      <c r="H727" s="399">
        <f t="shared" si="287"/>
        <v>16.54</v>
      </c>
      <c r="I727" s="576"/>
      <c r="J727" s="549" t="s">
        <v>5804</v>
      </c>
      <c r="K727" s="11"/>
      <c r="L727"/>
      <c r="M727" s="37">
        <f t="shared" si="288"/>
        <v>20.67</v>
      </c>
      <c r="N727" s="29">
        <v>11.67</v>
      </c>
      <c r="O727" s="41" t="s">
        <v>1017</v>
      </c>
      <c r="P727" s="11"/>
      <c r="Q727"/>
      <c r="R727"/>
      <c r="S727" t="s">
        <v>4179</v>
      </c>
      <c r="T727" s="145" t="s">
        <v>4179</v>
      </c>
      <c r="U727" s="42" t="s">
        <v>1017</v>
      </c>
      <c r="V727" t="s">
        <v>1017</v>
      </c>
      <c r="W727" s="50"/>
      <c r="X727" s="50"/>
      <c r="Y727"/>
      <c r="Z727"/>
      <c r="AA727" s="50"/>
      <c r="AB727"/>
      <c r="AC727"/>
      <c r="AD727" s="50"/>
      <c r="AE727" s="75"/>
      <c r="AF727" s="50"/>
      <c r="AG727" s="50"/>
      <c r="AH727" s="166" t="str">
        <f t="shared" si="291"/>
        <v/>
      </c>
      <c r="AI727" s="168" t="str">
        <f t="shared" si="281"/>
        <v/>
      </c>
      <c r="AJ727" s="168" t="str">
        <f t="shared" si="282"/>
        <v/>
      </c>
      <c r="AK727" s="168" t="str">
        <f t="shared" si="283"/>
        <v/>
      </c>
      <c r="AL727" s="168" t="str">
        <f t="shared" si="284"/>
        <v/>
      </c>
      <c r="AM727" s="168" t="str">
        <f t="shared" si="285"/>
        <v/>
      </c>
      <c r="AN727" s="167" t="str">
        <f t="shared" si="268"/>
        <v/>
      </c>
      <c r="AO727" s="167" t="str">
        <f t="shared" si="269"/>
        <v/>
      </c>
      <c r="AP727" s="167" t="str">
        <f t="shared" si="270"/>
        <v/>
      </c>
      <c r="AQ727" s="169" t="str">
        <f t="shared" si="271"/>
        <v/>
      </c>
      <c r="AR727" s="170" t="str">
        <f t="shared" si="272"/>
        <v>BiK81a1KWKy-05</v>
      </c>
      <c r="AS727" s="169" t="str">
        <f t="shared" si="273"/>
        <v/>
      </c>
      <c r="AT727">
        <f t="shared" si="274"/>
        <v>14</v>
      </c>
      <c r="AU727" s="170" t="str">
        <f t="shared" si="275"/>
        <v>0-0,15 MW, Bonusregeln a1, y und KWK</v>
      </c>
      <c r="AV727" s="169" t="str">
        <f t="shared" si="276"/>
        <v/>
      </c>
      <c r="AW727" s="170" t="str">
        <f t="shared" si="277"/>
        <v>Anteil KWK</v>
      </c>
      <c r="AX727" s="169" t="str">
        <f t="shared" si="278"/>
        <v/>
      </c>
      <c r="AY727" t="str">
        <f t="shared" si="279"/>
        <v/>
      </c>
      <c r="AZ727" t="str">
        <f t="shared" si="280"/>
        <v/>
      </c>
    </row>
    <row r="728" spans="1:52" s="145" customFormat="1" x14ac:dyDescent="0.35">
      <c r="A728" s="497" t="s">
        <v>1315</v>
      </c>
      <c r="B728" s="13" t="s">
        <v>5547</v>
      </c>
      <c r="C728" s="13" t="s">
        <v>1288</v>
      </c>
      <c r="D728" s="13" t="s">
        <v>6885</v>
      </c>
      <c r="E728" s="13" t="s">
        <v>4330</v>
      </c>
      <c r="F728" s="373">
        <f t="shared" si="286"/>
        <v>21.67</v>
      </c>
      <c r="G728" s="430">
        <v>21.67</v>
      </c>
      <c r="H728" s="399">
        <f t="shared" si="287"/>
        <v>17.34</v>
      </c>
      <c r="I728" s="576"/>
      <c r="J728" s="549" t="s">
        <v>5804</v>
      </c>
      <c r="K728" s="11"/>
      <c r="L728"/>
      <c r="M728" s="37">
        <f t="shared" si="288"/>
        <v>21.67</v>
      </c>
      <c r="N728" s="29">
        <v>11.67</v>
      </c>
      <c r="O728" s="41"/>
      <c r="P728" t="s">
        <v>1017</v>
      </c>
      <c r="Q728"/>
      <c r="R728"/>
      <c r="S728" t="s">
        <v>4179</v>
      </c>
      <c r="T728" s="145" t="s">
        <v>4179</v>
      </c>
      <c r="U728" s="42" t="s">
        <v>1017</v>
      </c>
      <c r="V728" t="s">
        <v>1017</v>
      </c>
      <c r="W728" s="50"/>
      <c r="X728" s="50"/>
      <c r="Y728"/>
      <c r="Z728"/>
      <c r="AA728" s="50"/>
      <c r="AB728"/>
      <c r="AC728"/>
      <c r="AD728" s="50"/>
      <c r="AE728" s="75"/>
      <c r="AF728" s="50"/>
      <c r="AG728" s="50"/>
      <c r="AH728" s="166" t="str">
        <f t="shared" si="291"/>
        <v/>
      </c>
      <c r="AI728" s="168" t="str">
        <f t="shared" si="281"/>
        <v/>
      </c>
      <c r="AJ728" s="168" t="str">
        <f t="shared" si="282"/>
        <v/>
      </c>
      <c r="AK728" s="168" t="str">
        <f t="shared" si="283"/>
        <v/>
      </c>
      <c r="AL728" s="168" t="str">
        <f t="shared" si="284"/>
        <v/>
      </c>
      <c r="AM728" s="168" t="str">
        <f t="shared" si="285"/>
        <v/>
      </c>
      <c r="AN728" s="167" t="str">
        <f t="shared" si="268"/>
        <v/>
      </c>
      <c r="AO728" s="167" t="str">
        <f t="shared" si="269"/>
        <v/>
      </c>
      <c r="AP728" s="167" t="str">
        <f t="shared" si="270"/>
        <v/>
      </c>
      <c r="AQ728" s="169" t="str">
        <f t="shared" si="271"/>
        <v/>
      </c>
      <c r="AR728" s="170" t="str">
        <f t="shared" si="272"/>
        <v>BiK81a1KA3y-05</v>
      </c>
      <c r="AS728" s="169" t="str">
        <f t="shared" si="273"/>
        <v/>
      </c>
      <c r="AT728">
        <f t="shared" si="274"/>
        <v>14</v>
      </c>
      <c r="AU728" s="170" t="str">
        <f t="shared" si="275"/>
        <v>0-0,15 MW, Bonusregeln a1, y und K wenn Anlage 3 erfüllt</v>
      </c>
      <c r="AV728" s="169" t="str">
        <f t="shared" si="276"/>
        <v/>
      </c>
      <c r="AW728" s="170" t="str">
        <f t="shared" si="277"/>
        <v>Anteil KWK gemäß Anlage 3</v>
      </c>
      <c r="AX728" s="169" t="str">
        <f t="shared" si="278"/>
        <v/>
      </c>
      <c r="AY728" t="str">
        <f t="shared" si="279"/>
        <v/>
      </c>
      <c r="AZ728" t="str">
        <f t="shared" si="280"/>
        <v/>
      </c>
    </row>
    <row r="729" spans="1:52" s="145" customFormat="1" x14ac:dyDescent="0.35">
      <c r="A729" s="497" t="s">
        <v>1316</v>
      </c>
      <c r="B729" s="13" t="s">
        <v>5547</v>
      </c>
      <c r="C729" s="13" t="s">
        <v>1288</v>
      </c>
      <c r="D729" s="13" t="s">
        <v>6886</v>
      </c>
      <c r="E729" s="13" t="s">
        <v>674</v>
      </c>
      <c r="F729" s="373">
        <f t="shared" si="286"/>
        <v>21.67</v>
      </c>
      <c r="G729" s="430">
        <v>21.67</v>
      </c>
      <c r="H729" s="399">
        <f t="shared" si="287"/>
        <v>17.34</v>
      </c>
      <c r="I729" s="576"/>
      <c r="J729" s="549" t="s">
        <v>5804</v>
      </c>
      <c r="K729" s="11"/>
      <c r="L729"/>
      <c r="M729" s="37">
        <f t="shared" si="288"/>
        <v>21.67</v>
      </c>
      <c r="N729" s="29">
        <v>11.67</v>
      </c>
      <c r="O729" s="41"/>
      <c r="P729" s="11"/>
      <c r="Q729" t="s">
        <v>1017</v>
      </c>
      <c r="R729"/>
      <c r="S729" t="s">
        <v>4179</v>
      </c>
      <c r="T729" s="145" t="s">
        <v>4179</v>
      </c>
      <c r="U729" s="42" t="s">
        <v>1017</v>
      </c>
      <c r="V729" t="s">
        <v>1017</v>
      </c>
      <c r="W729" s="50"/>
      <c r="X729" s="50"/>
      <c r="Y729"/>
      <c r="Z729"/>
      <c r="AA729" s="50"/>
      <c r="AB729"/>
      <c r="AC729"/>
      <c r="AD729" s="50"/>
      <c r="AE729" s="75"/>
      <c r="AF729" s="50"/>
      <c r="AG729" s="50"/>
      <c r="AH729" s="166" t="str">
        <f t="shared" si="291"/>
        <v/>
      </c>
      <c r="AI729" s="168" t="str">
        <f t="shared" si="281"/>
        <v/>
      </c>
      <c r="AJ729" s="168" t="str">
        <f t="shared" si="282"/>
        <v/>
      </c>
      <c r="AK729" s="168" t="str">
        <f t="shared" si="283"/>
        <v/>
      </c>
      <c r="AL729" s="168" t="str">
        <f t="shared" si="284"/>
        <v/>
      </c>
      <c r="AM729" s="168" t="str">
        <f t="shared" si="285"/>
        <v/>
      </c>
      <c r="AN729" s="167" t="str">
        <f t="shared" si="268"/>
        <v/>
      </c>
      <c r="AO729" s="167" t="str">
        <f t="shared" si="269"/>
        <v/>
      </c>
      <c r="AP729" s="167" t="str">
        <f t="shared" si="270"/>
        <v/>
      </c>
      <c r="AQ729" s="169" t="str">
        <f t="shared" si="271"/>
        <v/>
      </c>
      <c r="AR729" s="170" t="str">
        <f t="shared" si="272"/>
        <v>BiK81a1K09y-05</v>
      </c>
      <c r="AS729" s="169" t="str">
        <f t="shared" si="273"/>
        <v/>
      </c>
      <c r="AT729">
        <f t="shared" si="274"/>
        <v>14</v>
      </c>
      <c r="AU729" s="170" t="str">
        <f t="shared" si="275"/>
        <v>0-0,15 MW, Bonusregeln a1, y und K erstmals 2009</v>
      </c>
      <c r="AV729" s="169" t="str">
        <f t="shared" si="276"/>
        <v/>
      </c>
      <c r="AW729" s="170" t="str">
        <f t="shared" si="277"/>
        <v>Anteil KWK, erstmals 2009</v>
      </c>
      <c r="AX729" s="169" t="str">
        <f t="shared" si="278"/>
        <v/>
      </c>
      <c r="AY729" t="str">
        <f t="shared" si="279"/>
        <v/>
      </c>
      <c r="AZ729" t="str">
        <f t="shared" si="280"/>
        <v/>
      </c>
    </row>
    <row r="730" spans="1:52" s="145" customFormat="1" x14ac:dyDescent="0.35">
      <c r="A730" s="497" t="s">
        <v>3570</v>
      </c>
      <c r="B730" s="13" t="s">
        <v>5547</v>
      </c>
      <c r="C730" s="13" t="s">
        <v>1288</v>
      </c>
      <c r="D730" s="13" t="s">
        <v>6887</v>
      </c>
      <c r="E730" s="13" t="s">
        <v>3566</v>
      </c>
      <c r="F730" s="373">
        <f t="shared" si="286"/>
        <v>21.64</v>
      </c>
      <c r="G730" s="430">
        <v>21.64</v>
      </c>
      <c r="H730" s="399">
        <f t="shared" si="287"/>
        <v>17.309999999999999</v>
      </c>
      <c r="I730" s="576"/>
      <c r="J730" s="549" t="s">
        <v>5804</v>
      </c>
      <c r="K730" s="11"/>
      <c r="L730"/>
      <c r="M730" s="37">
        <f t="shared" si="288"/>
        <v>21.64</v>
      </c>
      <c r="N730" s="29">
        <v>11.67</v>
      </c>
      <c r="O730" s="41"/>
      <c r="P730" s="11"/>
      <c r="Q730"/>
      <c r="R730" t="s">
        <v>1017</v>
      </c>
      <c r="S730" t="s">
        <v>4179</v>
      </c>
      <c r="T730" s="145" t="s">
        <v>4179</v>
      </c>
      <c r="U730" s="42" t="s">
        <v>1017</v>
      </c>
      <c r="V730" t="s">
        <v>1017</v>
      </c>
      <c r="W730" s="50"/>
      <c r="X730" s="50"/>
      <c r="Y730"/>
      <c r="Z730"/>
      <c r="AA730" s="50"/>
      <c r="AB730"/>
      <c r="AC730"/>
      <c r="AD730" s="50"/>
      <c r="AE730" s="75"/>
      <c r="AF730" s="50"/>
      <c r="AG730" s="50"/>
      <c r="AH730" s="166" t="str">
        <f t="shared" si="291"/>
        <v>2010</v>
      </c>
      <c r="AI730" s="168" t="str">
        <f t="shared" si="281"/>
        <v/>
      </c>
      <c r="AJ730" s="168" t="str">
        <f t="shared" si="282"/>
        <v/>
      </c>
      <c r="AK730" s="168" t="str">
        <f t="shared" si="283"/>
        <v/>
      </c>
      <c r="AL730" s="168" t="str">
        <f t="shared" si="284"/>
        <v/>
      </c>
      <c r="AM730" s="168" t="str">
        <f t="shared" si="285"/>
        <v/>
      </c>
      <c r="AN730" s="167" t="str">
        <f t="shared" si="268"/>
        <v>2010</v>
      </c>
      <c r="AO730" s="167" t="str">
        <f t="shared" si="269"/>
        <v>2010</v>
      </c>
      <c r="AP730" s="167" t="str">
        <f t="shared" si="270"/>
        <v>2010</v>
      </c>
      <c r="AQ730" s="169" t="str">
        <f t="shared" si="271"/>
        <v/>
      </c>
      <c r="AR730" s="170" t="str">
        <f t="shared" si="272"/>
        <v>BiK81a1K10y-05</v>
      </c>
      <c r="AS730" s="169" t="str">
        <f t="shared" si="273"/>
        <v/>
      </c>
      <c r="AT730">
        <f t="shared" si="274"/>
        <v>14</v>
      </c>
      <c r="AU730" s="170" t="str">
        <f t="shared" si="275"/>
        <v>0-0,15 MW, Bonusregeln a1, y und K erstmals 2010</v>
      </c>
      <c r="AV730" s="169" t="str">
        <f t="shared" si="276"/>
        <v/>
      </c>
      <c r="AW730" s="170" t="str">
        <f t="shared" si="277"/>
        <v>Anteil KWK, erstmals 2010</v>
      </c>
      <c r="AX730" s="169" t="str">
        <f t="shared" si="278"/>
        <v/>
      </c>
      <c r="AY730" t="str">
        <f t="shared" si="279"/>
        <v/>
      </c>
      <c r="AZ730" t="str">
        <f t="shared" si="280"/>
        <v/>
      </c>
    </row>
    <row r="731" spans="1:52" s="145" customFormat="1" x14ac:dyDescent="0.35">
      <c r="A731" s="497" t="s">
        <v>5301</v>
      </c>
      <c r="B731" s="13" t="s">
        <v>5547</v>
      </c>
      <c r="C731" s="13" t="s">
        <v>1288</v>
      </c>
      <c r="D731" s="13" t="s">
        <v>6888</v>
      </c>
      <c r="E731" s="13" t="s">
        <v>3054</v>
      </c>
      <c r="F731" s="373">
        <f t="shared" si="286"/>
        <v>21.61</v>
      </c>
      <c r="G731" s="430">
        <v>21.61</v>
      </c>
      <c r="H731" s="399">
        <f t="shared" si="287"/>
        <v>17.29</v>
      </c>
      <c r="I731" s="576"/>
      <c r="J731" s="549" t="s">
        <v>5804</v>
      </c>
      <c r="K731" s="11"/>
      <c r="L731"/>
      <c r="M731" s="37">
        <f t="shared" si="288"/>
        <v>21.61</v>
      </c>
      <c r="N731" s="29">
        <v>11.67</v>
      </c>
      <c r="O731" s="41"/>
      <c r="P731" s="11"/>
      <c r="Q731"/>
      <c r="R731"/>
      <c r="S731" t="s">
        <v>1017</v>
      </c>
      <c r="T731" s="145" t="s">
        <v>4179</v>
      </c>
      <c r="U731" s="42" t="s">
        <v>1017</v>
      </c>
      <c r="V731" t="s">
        <v>1017</v>
      </c>
      <c r="W731" s="50"/>
      <c r="X731" s="50"/>
      <c r="Y731"/>
      <c r="Z731"/>
      <c r="AA731" s="50"/>
      <c r="AB731"/>
      <c r="AC731"/>
      <c r="AD731" s="50"/>
      <c r="AE731" s="75"/>
      <c r="AF731" s="50"/>
      <c r="AG731" s="50"/>
      <c r="AH731" s="166" t="str">
        <f t="shared" si="291"/>
        <v>2011</v>
      </c>
      <c r="AI731" s="168" t="str">
        <f t="shared" si="281"/>
        <v/>
      </c>
      <c r="AJ731" s="168" t="str">
        <f t="shared" si="282"/>
        <v/>
      </c>
      <c r="AK731" s="168" t="str">
        <f t="shared" si="283"/>
        <v/>
      </c>
      <c r="AL731" s="168" t="str">
        <f t="shared" si="284"/>
        <v/>
      </c>
      <c r="AM731" s="168" t="str">
        <f t="shared" si="285"/>
        <v/>
      </c>
      <c r="AN731" s="167" t="str">
        <f t="shared" si="268"/>
        <v>2011</v>
      </c>
      <c r="AO731" s="167" t="str">
        <f t="shared" si="269"/>
        <v>2011</v>
      </c>
      <c r="AP731" s="167" t="str">
        <f t="shared" si="270"/>
        <v>2011</v>
      </c>
      <c r="AQ731" s="169" t="str">
        <f t="shared" si="271"/>
        <v/>
      </c>
      <c r="AR731" s="170" t="str">
        <f t="shared" si="272"/>
        <v>BiK81a1K11y-05</v>
      </c>
      <c r="AS731" s="169" t="str">
        <f t="shared" si="273"/>
        <v/>
      </c>
      <c r="AT731">
        <f t="shared" si="274"/>
        <v>14</v>
      </c>
      <c r="AU731" s="170" t="str">
        <f t="shared" si="275"/>
        <v>0-0,15 MW, Bonusregeln a1, y und K erstmals 2011</v>
      </c>
      <c r="AV731" s="169" t="str">
        <f t="shared" si="276"/>
        <v/>
      </c>
      <c r="AW731" s="170" t="str">
        <f t="shared" si="277"/>
        <v>Anteil KWK, erstmals 2011</v>
      </c>
      <c r="AX731" s="169" t="str">
        <f t="shared" si="278"/>
        <v/>
      </c>
      <c r="AY731" t="str">
        <f t="shared" si="279"/>
        <v>x</v>
      </c>
      <c r="AZ731" t="str">
        <f t="shared" si="280"/>
        <v/>
      </c>
    </row>
    <row r="732" spans="1:52" s="145" customFormat="1" x14ac:dyDescent="0.35">
      <c r="A732" s="511" t="s">
        <v>1552</v>
      </c>
      <c r="B732" s="173" t="s">
        <v>5547</v>
      </c>
      <c r="C732" s="173" t="s">
        <v>1288</v>
      </c>
      <c r="D732" s="173" t="s">
        <v>6889</v>
      </c>
      <c r="E732" s="173" t="s">
        <v>1980</v>
      </c>
      <c r="F732" s="374">
        <f t="shared" si="286"/>
        <v>21.58</v>
      </c>
      <c r="G732" s="431">
        <v>21.58</v>
      </c>
      <c r="H732" s="400">
        <f t="shared" si="287"/>
        <v>17.260000000000002</v>
      </c>
      <c r="I732" s="577"/>
      <c r="J732" s="549" t="s">
        <v>5804</v>
      </c>
      <c r="K732" s="11"/>
      <c r="L732"/>
      <c r="M732" s="37">
        <f t="shared" si="288"/>
        <v>21.58</v>
      </c>
      <c r="N732" s="29">
        <v>11.67</v>
      </c>
      <c r="O732" s="41"/>
      <c r="P732" s="11"/>
      <c r="Q732"/>
      <c r="R732"/>
      <c r="S732" t="s">
        <v>4179</v>
      </c>
      <c r="T732" s="145" t="s">
        <v>1017</v>
      </c>
      <c r="U732" s="42" t="s">
        <v>1017</v>
      </c>
      <c r="V732" t="s">
        <v>1017</v>
      </c>
      <c r="W732" s="50"/>
      <c r="X732" s="50"/>
      <c r="Y732"/>
      <c r="Z732"/>
      <c r="AA732" s="50"/>
      <c r="AB732"/>
      <c r="AC732"/>
      <c r="AD732" s="50"/>
      <c r="AE732" s="75"/>
      <c r="AF732" s="50"/>
      <c r="AG732" s="50"/>
      <c r="AH732" s="171" t="s">
        <v>4178</v>
      </c>
      <c r="AI732" s="168" t="str">
        <f t="shared" si="281"/>
        <v/>
      </c>
      <c r="AJ732" s="168" t="str">
        <f t="shared" si="282"/>
        <v/>
      </c>
      <c r="AK732" s="168" t="str">
        <f t="shared" si="283"/>
        <v/>
      </c>
      <c r="AL732" s="168" t="str">
        <f t="shared" si="284"/>
        <v/>
      </c>
      <c r="AM732" s="168" t="str">
        <f t="shared" si="285"/>
        <v/>
      </c>
      <c r="AN732" s="167" t="str">
        <f t="shared" si="268"/>
        <v>2012</v>
      </c>
      <c r="AO732" s="167" t="str">
        <f t="shared" si="269"/>
        <v>2012</v>
      </c>
      <c r="AP732" s="167" t="str">
        <f t="shared" si="270"/>
        <v>2012</v>
      </c>
      <c r="AQ732" s="169" t="str">
        <f t="shared" si="271"/>
        <v/>
      </c>
      <c r="AR732" s="170" t="str">
        <f t="shared" si="272"/>
        <v>BiK81a1K12y-05</v>
      </c>
      <c r="AS732" s="169" t="str">
        <f t="shared" si="273"/>
        <v/>
      </c>
      <c r="AT732">
        <f t="shared" si="274"/>
        <v>14</v>
      </c>
      <c r="AU732" s="170" t="str">
        <f t="shared" si="275"/>
        <v>0-0,15 MW, Bonusregeln a1, y und K erstmals 2012</v>
      </c>
      <c r="AV732" s="169" t="str">
        <f t="shared" si="276"/>
        <v/>
      </c>
      <c r="AW732" s="170" t="str">
        <f t="shared" si="277"/>
        <v>Anteil KWK, erstmals 2012</v>
      </c>
      <c r="AX732" s="169" t="str">
        <f t="shared" si="278"/>
        <v/>
      </c>
      <c r="AY732" t="str">
        <f t="shared" si="279"/>
        <v/>
      </c>
      <c r="AZ732" t="str">
        <f t="shared" si="280"/>
        <v>x</v>
      </c>
    </row>
    <row r="733" spans="1:52" s="145" customFormat="1" x14ac:dyDescent="0.35">
      <c r="A733" s="497" t="s">
        <v>1226</v>
      </c>
      <c r="B733" s="13" t="s">
        <v>5547</v>
      </c>
      <c r="C733" s="13" t="s">
        <v>1288</v>
      </c>
      <c r="D733" s="13" t="s">
        <v>6805</v>
      </c>
      <c r="E733" s="13" t="s">
        <v>4809</v>
      </c>
      <c r="F733" s="373">
        <f t="shared" si="286"/>
        <v>18.670000000000002</v>
      </c>
      <c r="G733" s="430">
        <v>18.670000000000002</v>
      </c>
      <c r="H733" s="399">
        <f t="shared" si="287"/>
        <v>14.94</v>
      </c>
      <c r="I733" s="576"/>
      <c r="J733" s="549" t="s">
        <v>5804</v>
      </c>
      <c r="K733" s="11"/>
      <c r="L733"/>
      <c r="M733" s="37">
        <f t="shared" si="288"/>
        <v>18.670000000000002</v>
      </c>
      <c r="N733" s="29">
        <v>11.67</v>
      </c>
      <c r="O733" s="149"/>
      <c r="P733" s="144"/>
      <c r="S733" s="145" t="s">
        <v>4179</v>
      </c>
      <c r="T733" s="145" t="s">
        <v>4179</v>
      </c>
      <c r="U733" s="146"/>
      <c r="W733" s="147"/>
      <c r="X733" s="147"/>
      <c r="Y733" s="145" t="s">
        <v>1017</v>
      </c>
      <c r="AA733" s="147"/>
      <c r="AD733" s="147"/>
      <c r="AE733" s="148"/>
      <c r="AF733" s="147"/>
      <c r="AG733" s="147"/>
      <c r="AH733" s="166" t="str">
        <f t="shared" ref="AH733:AH738" si="292">IF(ISERROR(SEARCH("K erstmals 201",D733)),"",RIGHT(D733,4))</f>
        <v/>
      </c>
      <c r="AI733" s="168" t="str">
        <f t="shared" si="281"/>
        <v/>
      </c>
      <c r="AJ733" s="168" t="str">
        <f t="shared" si="282"/>
        <v/>
      </c>
      <c r="AK733" s="168" t="str">
        <f t="shared" si="283"/>
        <v/>
      </c>
      <c r="AL733" s="168" t="str">
        <f t="shared" si="284"/>
        <v/>
      </c>
      <c r="AM733" s="168" t="str">
        <f t="shared" si="285"/>
        <v/>
      </c>
      <c r="AN733" s="167" t="str">
        <f t="shared" si="268"/>
        <v/>
      </c>
      <c r="AO733" s="167" t="str">
        <f t="shared" si="269"/>
        <v/>
      </c>
      <c r="AP733" s="167" t="str">
        <f t="shared" si="270"/>
        <v/>
      </c>
      <c r="AQ733" s="169" t="str">
        <f t="shared" si="271"/>
        <v/>
      </c>
      <c r="AR733" s="170" t="str">
        <f t="shared" si="272"/>
        <v>BiK81G------05</v>
      </c>
      <c r="AS733" s="169" t="str">
        <f t="shared" si="273"/>
        <v/>
      </c>
      <c r="AT733">
        <f t="shared" si="274"/>
        <v>14</v>
      </c>
      <c r="AU733" s="170" t="str">
        <f t="shared" si="275"/>
        <v>0-0,15 MW, Bonusregel G</v>
      </c>
      <c r="AV733" s="169" t="str">
        <f t="shared" si="276"/>
        <v/>
      </c>
      <c r="AW733" s="170" t="str">
        <f t="shared" si="277"/>
        <v>Anteil Nicht-KWK</v>
      </c>
      <c r="AX733" s="169" t="str">
        <f t="shared" si="278"/>
        <v/>
      </c>
      <c r="AY733" t="str">
        <f t="shared" si="279"/>
        <v/>
      </c>
      <c r="AZ733" t="str">
        <f t="shared" si="280"/>
        <v/>
      </c>
    </row>
    <row r="734" spans="1:52" s="145" customFormat="1" x14ac:dyDescent="0.35">
      <c r="A734" s="497" t="s">
        <v>1055</v>
      </c>
      <c r="B734" s="13" t="s">
        <v>5547</v>
      </c>
      <c r="C734" s="13" t="s">
        <v>1288</v>
      </c>
      <c r="D734" s="13" t="s">
        <v>6890</v>
      </c>
      <c r="E734" s="13" t="s">
        <v>4811</v>
      </c>
      <c r="F734" s="373">
        <f t="shared" si="286"/>
        <v>20.67</v>
      </c>
      <c r="G734" s="430">
        <v>20.67</v>
      </c>
      <c r="H734" s="399">
        <f t="shared" si="287"/>
        <v>16.54</v>
      </c>
      <c r="I734" s="576"/>
      <c r="J734" s="549" t="s">
        <v>5804</v>
      </c>
      <c r="K734" s="11"/>
      <c r="L734"/>
      <c r="M734" s="37">
        <f t="shared" si="288"/>
        <v>20.67</v>
      </c>
      <c r="N734" s="29">
        <v>11.67</v>
      </c>
      <c r="O734" s="149" t="s">
        <v>1017</v>
      </c>
      <c r="P734" s="144"/>
      <c r="S734" s="145" t="s">
        <v>4179</v>
      </c>
      <c r="T734" s="145" t="s">
        <v>4179</v>
      </c>
      <c r="U734" s="146"/>
      <c r="W734" s="147"/>
      <c r="X734" s="147"/>
      <c r="Y734" s="145" t="s">
        <v>1017</v>
      </c>
      <c r="AA734" s="147"/>
      <c r="AD734" s="147"/>
      <c r="AE734" s="148"/>
      <c r="AF734" s="147"/>
      <c r="AG734" s="147"/>
      <c r="AH734" s="166" t="str">
        <f t="shared" si="292"/>
        <v/>
      </c>
      <c r="AI734" s="168" t="str">
        <f t="shared" si="281"/>
        <v/>
      </c>
      <c r="AJ734" s="168" t="str">
        <f t="shared" si="282"/>
        <v/>
      </c>
      <c r="AK734" s="168" t="str">
        <f t="shared" si="283"/>
        <v/>
      </c>
      <c r="AL734" s="168" t="str">
        <f t="shared" si="284"/>
        <v/>
      </c>
      <c r="AM734" s="168" t="str">
        <f t="shared" si="285"/>
        <v/>
      </c>
      <c r="AN734" s="167" t="str">
        <f t="shared" si="268"/>
        <v/>
      </c>
      <c r="AO734" s="167" t="str">
        <f t="shared" si="269"/>
        <v/>
      </c>
      <c r="AP734" s="167" t="str">
        <f t="shared" si="270"/>
        <v/>
      </c>
      <c r="AQ734" s="169" t="str">
        <f t="shared" si="271"/>
        <v/>
      </c>
      <c r="AR734" s="170" t="str">
        <f t="shared" si="272"/>
        <v>BiK81GKWK---05</v>
      </c>
      <c r="AS734" s="169" t="str">
        <f t="shared" si="273"/>
        <v/>
      </c>
      <c r="AT734">
        <f t="shared" si="274"/>
        <v>14</v>
      </c>
      <c r="AU734" s="170" t="str">
        <f t="shared" si="275"/>
        <v>0-0,15 MW, Bonusregeln G und KWK</v>
      </c>
      <c r="AV734" s="169" t="str">
        <f t="shared" si="276"/>
        <v/>
      </c>
      <c r="AW734" s="170" t="str">
        <f t="shared" si="277"/>
        <v>Anteil KWK</v>
      </c>
      <c r="AX734" s="169" t="str">
        <f t="shared" si="278"/>
        <v/>
      </c>
      <c r="AY734" t="str">
        <f t="shared" si="279"/>
        <v/>
      </c>
      <c r="AZ734" t="str">
        <f t="shared" si="280"/>
        <v/>
      </c>
    </row>
    <row r="735" spans="1:52" s="145" customFormat="1" x14ac:dyDescent="0.35">
      <c r="A735" s="497" t="s">
        <v>1056</v>
      </c>
      <c r="B735" s="13" t="s">
        <v>5547</v>
      </c>
      <c r="C735" s="13" t="s">
        <v>1288</v>
      </c>
      <c r="D735" s="13" t="s">
        <v>6806</v>
      </c>
      <c r="E735" s="13" t="s">
        <v>4330</v>
      </c>
      <c r="F735" s="373">
        <f t="shared" si="286"/>
        <v>21.67</v>
      </c>
      <c r="G735" s="430">
        <v>21.67</v>
      </c>
      <c r="H735" s="399">
        <f t="shared" si="287"/>
        <v>17.34</v>
      </c>
      <c r="I735" s="576"/>
      <c r="J735" s="549" t="s">
        <v>5804</v>
      </c>
      <c r="K735" s="11"/>
      <c r="L735"/>
      <c r="M735" s="37">
        <f t="shared" si="288"/>
        <v>21.67</v>
      </c>
      <c r="N735" s="29">
        <v>11.67</v>
      </c>
      <c r="O735" s="149"/>
      <c r="P735" s="145" t="s">
        <v>1017</v>
      </c>
      <c r="S735" s="145" t="s">
        <v>4179</v>
      </c>
      <c r="T735" s="145" t="s">
        <v>4179</v>
      </c>
      <c r="U735" s="146"/>
      <c r="W735" s="147"/>
      <c r="X735" s="147"/>
      <c r="Y735" s="145" t="s">
        <v>1017</v>
      </c>
      <c r="AA735" s="147"/>
      <c r="AD735" s="147"/>
      <c r="AE735" s="148"/>
      <c r="AF735" s="147"/>
      <c r="AG735" s="147"/>
      <c r="AH735" s="166" t="str">
        <f t="shared" si="292"/>
        <v/>
      </c>
      <c r="AI735" s="168" t="str">
        <f t="shared" si="281"/>
        <v/>
      </c>
      <c r="AJ735" s="168" t="str">
        <f t="shared" si="282"/>
        <v/>
      </c>
      <c r="AK735" s="168" t="str">
        <f t="shared" si="283"/>
        <v/>
      </c>
      <c r="AL735" s="168" t="str">
        <f t="shared" si="284"/>
        <v/>
      </c>
      <c r="AM735" s="168" t="str">
        <f t="shared" si="285"/>
        <v/>
      </c>
      <c r="AN735" s="167" t="str">
        <f t="shared" si="268"/>
        <v/>
      </c>
      <c r="AO735" s="167" t="str">
        <f t="shared" si="269"/>
        <v/>
      </c>
      <c r="AP735" s="167" t="str">
        <f t="shared" si="270"/>
        <v/>
      </c>
      <c r="AQ735" s="169" t="str">
        <f t="shared" si="271"/>
        <v/>
      </c>
      <c r="AR735" s="170" t="str">
        <f t="shared" si="272"/>
        <v>BiK81GKA3---05</v>
      </c>
      <c r="AS735" s="169" t="str">
        <f t="shared" si="273"/>
        <v/>
      </c>
      <c r="AT735">
        <f t="shared" si="274"/>
        <v>14</v>
      </c>
      <c r="AU735" s="170" t="str">
        <f t="shared" si="275"/>
        <v>0-0,15 MW, Bonusregeln G und K wenn Anlage 3 erfüllt</v>
      </c>
      <c r="AV735" s="169" t="str">
        <f t="shared" si="276"/>
        <v/>
      </c>
      <c r="AW735" s="170" t="str">
        <f t="shared" si="277"/>
        <v>Anteil KWK gemäß Anlage 3</v>
      </c>
      <c r="AX735" s="169" t="str">
        <f t="shared" si="278"/>
        <v/>
      </c>
      <c r="AY735" t="str">
        <f t="shared" si="279"/>
        <v/>
      </c>
      <c r="AZ735" t="str">
        <f t="shared" si="280"/>
        <v/>
      </c>
    </row>
    <row r="736" spans="1:52" s="145" customFormat="1" x14ac:dyDescent="0.35">
      <c r="A736" s="497" t="s">
        <v>1057</v>
      </c>
      <c r="B736" s="13" t="s">
        <v>5547</v>
      </c>
      <c r="C736" s="13" t="s">
        <v>1288</v>
      </c>
      <c r="D736" s="13" t="s">
        <v>6807</v>
      </c>
      <c r="E736" s="13" t="s">
        <v>674</v>
      </c>
      <c r="F736" s="373">
        <f t="shared" si="286"/>
        <v>21.67</v>
      </c>
      <c r="G736" s="430">
        <v>21.67</v>
      </c>
      <c r="H736" s="399">
        <f t="shared" si="287"/>
        <v>17.34</v>
      </c>
      <c r="I736" s="576"/>
      <c r="J736" s="549" t="s">
        <v>5804</v>
      </c>
      <c r="K736" s="11"/>
      <c r="L736"/>
      <c r="M736" s="37">
        <f t="shared" si="288"/>
        <v>21.67</v>
      </c>
      <c r="N736" s="29">
        <v>11.67</v>
      </c>
      <c r="O736" s="149"/>
      <c r="P736" s="144"/>
      <c r="Q736" s="145" t="s">
        <v>1017</v>
      </c>
      <c r="S736" s="145" t="s">
        <v>4179</v>
      </c>
      <c r="T736" s="145" t="s">
        <v>4179</v>
      </c>
      <c r="U736" s="146"/>
      <c r="W736" s="147"/>
      <c r="X736" s="147"/>
      <c r="Y736" s="145" t="s">
        <v>1017</v>
      </c>
      <c r="AA736" s="147"/>
      <c r="AD736" s="147"/>
      <c r="AE736" s="148"/>
      <c r="AF736" s="147"/>
      <c r="AG736" s="147"/>
      <c r="AH736" s="166" t="str">
        <f t="shared" si="292"/>
        <v/>
      </c>
      <c r="AI736" s="168" t="str">
        <f t="shared" si="281"/>
        <v/>
      </c>
      <c r="AJ736" s="168" t="str">
        <f t="shared" si="282"/>
        <v/>
      </c>
      <c r="AK736" s="168" t="str">
        <f t="shared" si="283"/>
        <v/>
      </c>
      <c r="AL736" s="168" t="str">
        <f t="shared" si="284"/>
        <v/>
      </c>
      <c r="AM736" s="168" t="str">
        <f t="shared" si="285"/>
        <v/>
      </c>
      <c r="AN736" s="167" t="str">
        <f t="shared" si="268"/>
        <v/>
      </c>
      <c r="AO736" s="167" t="str">
        <f t="shared" si="269"/>
        <v/>
      </c>
      <c r="AP736" s="167" t="str">
        <f t="shared" si="270"/>
        <v/>
      </c>
      <c r="AQ736" s="169" t="str">
        <f t="shared" si="271"/>
        <v/>
      </c>
      <c r="AR736" s="170" t="str">
        <f t="shared" si="272"/>
        <v>BiK81GK09---05</v>
      </c>
      <c r="AS736" s="169" t="str">
        <f t="shared" si="273"/>
        <v/>
      </c>
      <c r="AT736">
        <f t="shared" si="274"/>
        <v>14</v>
      </c>
      <c r="AU736" s="170" t="str">
        <f t="shared" si="275"/>
        <v>0-0,15 MW, Bonusregeln G und K erstmals 2009</v>
      </c>
      <c r="AV736" s="169" t="str">
        <f t="shared" si="276"/>
        <v/>
      </c>
      <c r="AW736" s="170" t="str">
        <f t="shared" si="277"/>
        <v>Anteil KWK, erstmals 2009</v>
      </c>
      <c r="AX736" s="169" t="str">
        <f t="shared" si="278"/>
        <v/>
      </c>
      <c r="AY736" t="str">
        <f t="shared" si="279"/>
        <v/>
      </c>
      <c r="AZ736" t="str">
        <f t="shared" si="280"/>
        <v/>
      </c>
    </row>
    <row r="737" spans="1:52" s="145" customFormat="1" x14ac:dyDescent="0.35">
      <c r="A737" s="497" t="s">
        <v>3571</v>
      </c>
      <c r="B737" s="13" t="s">
        <v>5547</v>
      </c>
      <c r="C737" s="13" t="s">
        <v>1288</v>
      </c>
      <c r="D737" s="13" t="s">
        <v>6808</v>
      </c>
      <c r="E737" s="13" t="s">
        <v>3566</v>
      </c>
      <c r="F737" s="373">
        <f t="shared" si="286"/>
        <v>21.64</v>
      </c>
      <c r="G737" s="430">
        <v>21.64</v>
      </c>
      <c r="H737" s="399">
        <f t="shared" si="287"/>
        <v>17.309999999999999</v>
      </c>
      <c r="I737" s="576"/>
      <c r="J737" s="549" t="s">
        <v>5804</v>
      </c>
      <c r="K737" s="11"/>
      <c r="L737"/>
      <c r="M737" s="37">
        <f t="shared" si="288"/>
        <v>21.64</v>
      </c>
      <c r="N737" s="29">
        <v>11.67</v>
      </c>
      <c r="O737" s="149"/>
      <c r="P737" s="144"/>
      <c r="R737" s="145" t="s">
        <v>1017</v>
      </c>
      <c r="S737" s="145" t="s">
        <v>4179</v>
      </c>
      <c r="T737" s="145" t="s">
        <v>4179</v>
      </c>
      <c r="U737" s="146"/>
      <c r="W737" s="147"/>
      <c r="X737" s="147"/>
      <c r="Y737" s="145" t="s">
        <v>1017</v>
      </c>
      <c r="AA737" s="147"/>
      <c r="AD737" s="147"/>
      <c r="AE737" s="148"/>
      <c r="AF737" s="147"/>
      <c r="AG737" s="147"/>
      <c r="AH737" s="166" t="str">
        <f t="shared" si="292"/>
        <v>2010</v>
      </c>
      <c r="AI737" s="168" t="str">
        <f t="shared" si="281"/>
        <v/>
      </c>
      <c r="AJ737" s="168" t="str">
        <f t="shared" si="282"/>
        <v/>
      </c>
      <c r="AK737" s="168" t="str">
        <f t="shared" si="283"/>
        <v/>
      </c>
      <c r="AL737" s="168" t="str">
        <f t="shared" si="284"/>
        <v/>
      </c>
      <c r="AM737" s="168" t="str">
        <f t="shared" si="285"/>
        <v/>
      </c>
      <c r="AN737" s="167" t="str">
        <f t="shared" si="268"/>
        <v>2010</v>
      </c>
      <c r="AO737" s="167" t="str">
        <f t="shared" si="269"/>
        <v>2010</v>
      </c>
      <c r="AP737" s="167" t="str">
        <f t="shared" si="270"/>
        <v>2010</v>
      </c>
      <c r="AQ737" s="169" t="str">
        <f t="shared" si="271"/>
        <v/>
      </c>
      <c r="AR737" s="170" t="str">
        <f t="shared" si="272"/>
        <v>BiK81GK10---05</v>
      </c>
      <c r="AS737" s="169" t="str">
        <f t="shared" si="273"/>
        <v/>
      </c>
      <c r="AT737">
        <f t="shared" si="274"/>
        <v>14</v>
      </c>
      <c r="AU737" s="170" t="str">
        <f t="shared" si="275"/>
        <v>0-0,15 MW, Bonusregeln G und K erstmals 2010</v>
      </c>
      <c r="AV737" s="169" t="str">
        <f t="shared" si="276"/>
        <v/>
      </c>
      <c r="AW737" s="170" t="str">
        <f t="shared" si="277"/>
        <v>Anteil KWK, erstmals 2010</v>
      </c>
      <c r="AX737" s="169" t="str">
        <f t="shared" si="278"/>
        <v/>
      </c>
      <c r="AY737" t="str">
        <f t="shared" si="279"/>
        <v/>
      </c>
      <c r="AZ737" t="str">
        <f t="shared" si="280"/>
        <v/>
      </c>
    </row>
    <row r="738" spans="1:52" s="145" customFormat="1" x14ac:dyDescent="0.35">
      <c r="A738" s="497" t="s">
        <v>5302</v>
      </c>
      <c r="B738" s="13" t="s">
        <v>5547</v>
      </c>
      <c r="C738" s="13" t="s">
        <v>1288</v>
      </c>
      <c r="D738" s="13" t="s">
        <v>6809</v>
      </c>
      <c r="E738" s="13" t="s">
        <v>3054</v>
      </c>
      <c r="F738" s="373">
        <f t="shared" si="286"/>
        <v>21.61</v>
      </c>
      <c r="G738" s="430">
        <v>21.61</v>
      </c>
      <c r="H738" s="399">
        <f t="shared" si="287"/>
        <v>17.29</v>
      </c>
      <c r="I738" s="576"/>
      <c r="J738" s="549" t="s">
        <v>5804</v>
      </c>
      <c r="K738" s="11"/>
      <c r="L738"/>
      <c r="M738" s="37">
        <f t="shared" si="288"/>
        <v>21.61</v>
      </c>
      <c r="N738" s="29">
        <v>11.67</v>
      </c>
      <c r="O738" s="149"/>
      <c r="P738" s="144"/>
      <c r="S738" s="145" t="s">
        <v>1017</v>
      </c>
      <c r="T738" s="145" t="s">
        <v>4179</v>
      </c>
      <c r="U738" s="146"/>
      <c r="W738" s="147"/>
      <c r="X738" s="147"/>
      <c r="Y738" s="145" t="s">
        <v>1017</v>
      </c>
      <c r="AA738" s="147"/>
      <c r="AD738" s="147"/>
      <c r="AE738" s="148"/>
      <c r="AF738" s="147"/>
      <c r="AG738" s="147"/>
      <c r="AH738" s="166" t="str">
        <f t="shared" si="292"/>
        <v>2011</v>
      </c>
      <c r="AI738" s="168" t="str">
        <f t="shared" si="281"/>
        <v/>
      </c>
      <c r="AJ738" s="168" t="str">
        <f t="shared" si="282"/>
        <v/>
      </c>
      <c r="AK738" s="168" t="str">
        <f t="shared" si="283"/>
        <v/>
      </c>
      <c r="AL738" s="168" t="str">
        <f t="shared" si="284"/>
        <v/>
      </c>
      <c r="AM738" s="168" t="str">
        <f t="shared" si="285"/>
        <v/>
      </c>
      <c r="AN738" s="167" t="str">
        <f t="shared" si="268"/>
        <v>2011</v>
      </c>
      <c r="AO738" s="167" t="str">
        <f t="shared" si="269"/>
        <v>2011</v>
      </c>
      <c r="AP738" s="167" t="str">
        <f t="shared" si="270"/>
        <v>2011</v>
      </c>
      <c r="AQ738" s="169" t="str">
        <f t="shared" si="271"/>
        <v/>
      </c>
      <c r="AR738" s="170" t="str">
        <f t="shared" si="272"/>
        <v>BiK81GK11---05</v>
      </c>
      <c r="AS738" s="169" t="str">
        <f t="shared" si="273"/>
        <v/>
      </c>
      <c r="AT738">
        <f t="shared" si="274"/>
        <v>14</v>
      </c>
      <c r="AU738" s="170" t="str">
        <f t="shared" si="275"/>
        <v>0-0,15 MW, Bonusregeln G und K erstmals 2011</v>
      </c>
      <c r="AV738" s="169" t="str">
        <f t="shared" si="276"/>
        <v/>
      </c>
      <c r="AW738" s="170" t="str">
        <f t="shared" si="277"/>
        <v>Anteil KWK, erstmals 2011</v>
      </c>
      <c r="AX738" s="169" t="str">
        <f t="shared" si="278"/>
        <v/>
      </c>
      <c r="AY738" t="str">
        <f t="shared" si="279"/>
        <v>x</v>
      </c>
      <c r="AZ738" t="str">
        <f t="shared" si="280"/>
        <v/>
      </c>
    </row>
    <row r="739" spans="1:52" s="145" customFormat="1" x14ac:dyDescent="0.35">
      <c r="A739" s="511" t="s">
        <v>1553</v>
      </c>
      <c r="B739" s="173" t="s">
        <v>5547</v>
      </c>
      <c r="C739" s="173" t="s">
        <v>1288</v>
      </c>
      <c r="D739" s="173" t="s">
        <v>6810</v>
      </c>
      <c r="E739" s="173" t="s">
        <v>1980</v>
      </c>
      <c r="F739" s="374">
        <f t="shared" si="286"/>
        <v>21.58</v>
      </c>
      <c r="G739" s="431">
        <v>21.58</v>
      </c>
      <c r="H739" s="400">
        <f t="shared" si="287"/>
        <v>17.260000000000002</v>
      </c>
      <c r="I739" s="577"/>
      <c r="J739" s="549" t="s">
        <v>5804</v>
      </c>
      <c r="K739" s="11"/>
      <c r="L739"/>
      <c r="M739" s="37">
        <f t="shared" si="288"/>
        <v>21.58</v>
      </c>
      <c r="N739" s="29">
        <v>11.67</v>
      </c>
      <c r="O739" s="149"/>
      <c r="P739" s="144"/>
      <c r="S739" s="145" t="s">
        <v>4179</v>
      </c>
      <c r="T739" s="145" t="s">
        <v>1017</v>
      </c>
      <c r="U739" s="146"/>
      <c r="W739" s="147"/>
      <c r="X739" s="147"/>
      <c r="Y739" s="145" t="s">
        <v>1017</v>
      </c>
      <c r="AA739" s="147"/>
      <c r="AD739" s="147"/>
      <c r="AE739" s="148"/>
      <c r="AF739" s="147"/>
      <c r="AG739" s="147"/>
      <c r="AH739" s="171" t="s">
        <v>4178</v>
      </c>
      <c r="AI739" s="168" t="str">
        <f t="shared" si="281"/>
        <v/>
      </c>
      <c r="AJ739" s="168" t="str">
        <f t="shared" si="282"/>
        <v/>
      </c>
      <c r="AK739" s="168" t="str">
        <f t="shared" si="283"/>
        <v/>
      </c>
      <c r="AL739" s="168" t="str">
        <f t="shared" si="284"/>
        <v/>
      </c>
      <c r="AM739" s="168" t="str">
        <f t="shared" si="285"/>
        <v/>
      </c>
      <c r="AN739" s="167" t="str">
        <f t="shared" si="268"/>
        <v>2012</v>
      </c>
      <c r="AO739" s="167" t="str">
        <f t="shared" si="269"/>
        <v>2012</v>
      </c>
      <c r="AP739" s="167" t="str">
        <f t="shared" si="270"/>
        <v>2012</v>
      </c>
      <c r="AQ739" s="169" t="str">
        <f t="shared" si="271"/>
        <v/>
      </c>
      <c r="AR739" s="170" t="str">
        <f t="shared" si="272"/>
        <v>BiK81GK12---05</v>
      </c>
      <c r="AS739" s="169" t="str">
        <f t="shared" si="273"/>
        <v/>
      </c>
      <c r="AT739">
        <f t="shared" si="274"/>
        <v>14</v>
      </c>
      <c r="AU739" s="170" t="str">
        <f t="shared" si="275"/>
        <v>0-0,15 MW, Bonusregeln G und K erstmals 2012</v>
      </c>
      <c r="AV739" s="169" t="str">
        <f t="shared" si="276"/>
        <v/>
      </c>
      <c r="AW739" s="170" t="str">
        <f t="shared" si="277"/>
        <v>Anteil KWK, erstmals 2012</v>
      </c>
      <c r="AX739" s="169" t="str">
        <f t="shared" si="278"/>
        <v/>
      </c>
      <c r="AY739" t="str">
        <f t="shared" si="279"/>
        <v/>
      </c>
      <c r="AZ739" t="str">
        <f t="shared" si="280"/>
        <v>x</v>
      </c>
    </row>
    <row r="740" spans="1:52" s="145" customFormat="1" x14ac:dyDescent="0.35">
      <c r="A740" s="497" t="s">
        <v>1058</v>
      </c>
      <c r="B740" s="13" t="s">
        <v>5547</v>
      </c>
      <c r="C740" s="13" t="s">
        <v>1288</v>
      </c>
      <c r="D740" s="13" t="s">
        <v>6811</v>
      </c>
      <c r="E740" s="13" t="s">
        <v>4809</v>
      </c>
      <c r="F740" s="373">
        <f t="shared" si="286"/>
        <v>19.670000000000002</v>
      </c>
      <c r="G740" s="430">
        <v>19.670000000000002</v>
      </c>
      <c r="H740" s="399">
        <f t="shared" si="287"/>
        <v>15.74</v>
      </c>
      <c r="I740" s="576"/>
      <c r="J740" s="549" t="s">
        <v>5804</v>
      </c>
      <c r="K740" s="11"/>
      <c r="L740"/>
      <c r="M740" s="37">
        <f t="shared" si="288"/>
        <v>19.670000000000002</v>
      </c>
      <c r="N740" s="29">
        <v>11.67</v>
      </c>
      <c r="O740" s="149"/>
      <c r="P740" s="144"/>
      <c r="S740" s="145" t="s">
        <v>4179</v>
      </c>
      <c r="T740" s="145" t="s">
        <v>4179</v>
      </c>
      <c r="U740" s="146" t="s">
        <v>1017</v>
      </c>
      <c r="W740" s="147"/>
      <c r="X740" s="147"/>
      <c r="Y740" s="145" t="s">
        <v>1017</v>
      </c>
      <c r="AA740" s="147"/>
      <c r="AD740" s="147"/>
      <c r="AE740" s="148"/>
      <c r="AF740" s="147"/>
      <c r="AG740" s="147"/>
      <c r="AH740" s="166" t="str">
        <f t="shared" ref="AH740:AH745" si="293">IF(ISERROR(SEARCH("K erstmals 201",D740)),"",RIGHT(D740,4))</f>
        <v/>
      </c>
      <c r="AI740" s="168" t="str">
        <f t="shared" si="281"/>
        <v/>
      </c>
      <c r="AJ740" s="168" t="str">
        <f t="shared" si="282"/>
        <v/>
      </c>
      <c r="AK740" s="168" t="str">
        <f t="shared" si="283"/>
        <v/>
      </c>
      <c r="AL740" s="168" t="str">
        <f t="shared" si="284"/>
        <v/>
      </c>
      <c r="AM740" s="168" t="str">
        <f t="shared" si="285"/>
        <v/>
      </c>
      <c r="AN740" s="167" t="str">
        <f t="shared" si="268"/>
        <v/>
      </c>
      <c r="AO740" s="167" t="str">
        <f t="shared" si="269"/>
        <v/>
      </c>
      <c r="AP740" s="167" t="str">
        <f t="shared" si="270"/>
        <v/>
      </c>
      <c r="AQ740" s="169" t="str">
        <f t="shared" si="271"/>
        <v/>
      </c>
      <c r="AR740" s="170" t="str">
        <f t="shared" si="272"/>
        <v>BiK81Gy-----05</v>
      </c>
      <c r="AS740" s="169" t="str">
        <f t="shared" si="273"/>
        <v/>
      </c>
      <c r="AT740">
        <f t="shared" si="274"/>
        <v>14</v>
      </c>
      <c r="AU740" s="170" t="str">
        <f t="shared" si="275"/>
        <v>0-0,15 MW, Bonusregel G, y</v>
      </c>
      <c r="AV740" s="169" t="str">
        <f t="shared" si="276"/>
        <v/>
      </c>
      <c r="AW740" s="170" t="str">
        <f t="shared" si="277"/>
        <v>Anteil Nicht-KWK</v>
      </c>
      <c r="AX740" s="169" t="str">
        <f t="shared" si="278"/>
        <v/>
      </c>
      <c r="AY740" t="str">
        <f t="shared" si="279"/>
        <v/>
      </c>
      <c r="AZ740" t="str">
        <f t="shared" si="280"/>
        <v/>
      </c>
    </row>
    <row r="741" spans="1:52" s="145" customFormat="1" x14ac:dyDescent="0.35">
      <c r="A741" s="497" t="s">
        <v>1059</v>
      </c>
      <c r="B741" s="13" t="s">
        <v>5547</v>
      </c>
      <c r="C741" s="13" t="s">
        <v>1288</v>
      </c>
      <c r="D741" s="13" t="s">
        <v>6891</v>
      </c>
      <c r="E741" s="13" t="s">
        <v>4811</v>
      </c>
      <c r="F741" s="373">
        <f t="shared" si="286"/>
        <v>21.67</v>
      </c>
      <c r="G741" s="430">
        <v>21.67</v>
      </c>
      <c r="H741" s="399">
        <f t="shared" si="287"/>
        <v>17.34</v>
      </c>
      <c r="I741" s="576"/>
      <c r="J741" s="549" t="s">
        <v>5804</v>
      </c>
      <c r="K741" s="11"/>
      <c r="L741"/>
      <c r="M741" s="37">
        <f t="shared" si="288"/>
        <v>21.67</v>
      </c>
      <c r="N741" s="29">
        <v>11.67</v>
      </c>
      <c r="O741" s="149" t="s">
        <v>1017</v>
      </c>
      <c r="P741" s="144"/>
      <c r="S741" s="145" t="s">
        <v>4179</v>
      </c>
      <c r="T741" s="145" t="s">
        <v>4179</v>
      </c>
      <c r="U741" s="146" t="s">
        <v>1017</v>
      </c>
      <c r="W741" s="147"/>
      <c r="X741" s="147"/>
      <c r="Y741" s="145" t="s">
        <v>1017</v>
      </c>
      <c r="AA741" s="147"/>
      <c r="AD741" s="147"/>
      <c r="AE741" s="148"/>
      <c r="AF741" s="147"/>
      <c r="AG741" s="147"/>
      <c r="AH741" s="166" t="str">
        <f t="shared" si="293"/>
        <v/>
      </c>
      <c r="AI741" s="168" t="str">
        <f t="shared" si="281"/>
        <v/>
      </c>
      <c r="AJ741" s="168" t="str">
        <f t="shared" si="282"/>
        <v/>
      </c>
      <c r="AK741" s="168" t="str">
        <f t="shared" si="283"/>
        <v/>
      </c>
      <c r="AL741" s="168" t="str">
        <f t="shared" si="284"/>
        <v/>
      </c>
      <c r="AM741" s="168" t="str">
        <f t="shared" si="285"/>
        <v/>
      </c>
      <c r="AN741" s="167" t="str">
        <f t="shared" si="268"/>
        <v/>
      </c>
      <c r="AO741" s="167" t="str">
        <f t="shared" si="269"/>
        <v/>
      </c>
      <c r="AP741" s="167" t="str">
        <f t="shared" si="270"/>
        <v/>
      </c>
      <c r="AQ741" s="169" t="str">
        <f t="shared" si="271"/>
        <v/>
      </c>
      <c r="AR741" s="170" t="str">
        <f t="shared" si="272"/>
        <v>BiK81GKWKy--05</v>
      </c>
      <c r="AS741" s="169" t="str">
        <f t="shared" si="273"/>
        <v/>
      </c>
      <c r="AT741">
        <f t="shared" si="274"/>
        <v>14</v>
      </c>
      <c r="AU741" s="170" t="str">
        <f t="shared" si="275"/>
        <v>0-0,15 MW, Bonusregeln G, y und KWK</v>
      </c>
      <c r="AV741" s="169" t="str">
        <f t="shared" si="276"/>
        <v/>
      </c>
      <c r="AW741" s="170" t="str">
        <f t="shared" si="277"/>
        <v>Anteil KWK</v>
      </c>
      <c r="AX741" s="169" t="str">
        <f t="shared" si="278"/>
        <v/>
      </c>
      <c r="AY741" t="str">
        <f t="shared" si="279"/>
        <v/>
      </c>
      <c r="AZ741" t="str">
        <f t="shared" si="280"/>
        <v/>
      </c>
    </row>
    <row r="742" spans="1:52" s="145" customFormat="1" x14ac:dyDescent="0.35">
      <c r="A742" s="497" t="s">
        <v>4628</v>
      </c>
      <c r="B742" s="13" t="s">
        <v>5547</v>
      </c>
      <c r="C742" s="13" t="s">
        <v>1288</v>
      </c>
      <c r="D742" s="88" t="s">
        <v>6812</v>
      </c>
      <c r="E742" s="13" t="s">
        <v>4330</v>
      </c>
      <c r="F742" s="373">
        <f t="shared" si="286"/>
        <v>22.67</v>
      </c>
      <c r="G742" s="430">
        <v>22.67</v>
      </c>
      <c r="H742" s="399">
        <f t="shared" si="287"/>
        <v>18.14</v>
      </c>
      <c r="I742" s="576"/>
      <c r="J742" s="549" t="s">
        <v>5804</v>
      </c>
      <c r="K742" s="11"/>
      <c r="L742"/>
      <c r="M742" s="37">
        <f t="shared" si="288"/>
        <v>22.67</v>
      </c>
      <c r="N742" s="29">
        <v>11.67</v>
      </c>
      <c r="O742" s="149"/>
      <c r="P742" s="145" t="s">
        <v>1017</v>
      </c>
      <c r="S742" s="145" t="s">
        <v>4179</v>
      </c>
      <c r="T742" s="145" t="s">
        <v>4179</v>
      </c>
      <c r="U742" s="146" t="s">
        <v>1017</v>
      </c>
      <c r="W742" s="147"/>
      <c r="X742" s="147"/>
      <c r="Y742" s="145" t="s">
        <v>1017</v>
      </c>
      <c r="AA742" s="147"/>
      <c r="AD742" s="147"/>
      <c r="AE742" s="148"/>
      <c r="AF742" s="147"/>
      <c r="AG742" s="147"/>
      <c r="AH742" s="166" t="str">
        <f t="shared" si="293"/>
        <v/>
      </c>
      <c r="AI742" s="168" t="str">
        <f t="shared" si="281"/>
        <v/>
      </c>
      <c r="AJ742" s="168" t="str">
        <f t="shared" si="282"/>
        <v/>
      </c>
      <c r="AK742" s="168" t="str">
        <f t="shared" si="283"/>
        <v/>
      </c>
      <c r="AL742" s="168" t="str">
        <f t="shared" si="284"/>
        <v/>
      </c>
      <c r="AM742" s="168" t="str">
        <f t="shared" si="285"/>
        <v/>
      </c>
      <c r="AN742" s="167" t="str">
        <f t="shared" si="268"/>
        <v/>
      </c>
      <c r="AO742" s="167" t="str">
        <f t="shared" si="269"/>
        <v/>
      </c>
      <c r="AP742" s="167" t="str">
        <f t="shared" si="270"/>
        <v/>
      </c>
      <c r="AQ742" s="169" t="str">
        <f t="shared" si="271"/>
        <v/>
      </c>
      <c r="AR742" s="170" t="str">
        <f t="shared" si="272"/>
        <v>BiK81GKA3y--05</v>
      </c>
      <c r="AS742" s="169" t="str">
        <f t="shared" si="273"/>
        <v/>
      </c>
      <c r="AT742">
        <f t="shared" si="274"/>
        <v>14</v>
      </c>
      <c r="AU742" s="170" t="str">
        <f t="shared" si="275"/>
        <v>0-0,15 MW, Bonusregeln G, y und K wenn Anlage 3 erfüllt</v>
      </c>
      <c r="AV742" s="169" t="str">
        <f t="shared" si="276"/>
        <v/>
      </c>
      <c r="AW742" s="170" t="str">
        <f t="shared" si="277"/>
        <v>Anteil KWK gemäß Anlage 3</v>
      </c>
      <c r="AX742" s="169" t="str">
        <f t="shared" si="278"/>
        <v/>
      </c>
      <c r="AY742" t="str">
        <f t="shared" si="279"/>
        <v/>
      </c>
      <c r="AZ742" t="str">
        <f t="shared" si="280"/>
        <v/>
      </c>
    </row>
    <row r="743" spans="1:52" s="145" customFormat="1" x14ac:dyDescent="0.35">
      <c r="A743" s="497" t="s">
        <v>4629</v>
      </c>
      <c r="B743" s="13" t="s">
        <v>5547</v>
      </c>
      <c r="C743" s="13" t="s">
        <v>1288</v>
      </c>
      <c r="D743" s="13" t="s">
        <v>6813</v>
      </c>
      <c r="E743" s="13" t="s">
        <v>674</v>
      </c>
      <c r="F743" s="373">
        <f t="shared" si="286"/>
        <v>22.67</v>
      </c>
      <c r="G743" s="430">
        <v>22.67</v>
      </c>
      <c r="H743" s="399">
        <f t="shared" si="287"/>
        <v>18.14</v>
      </c>
      <c r="I743" s="576"/>
      <c r="J743" s="549" t="s">
        <v>5804</v>
      </c>
      <c r="K743" s="11"/>
      <c r="L743"/>
      <c r="M743" s="37">
        <f t="shared" si="288"/>
        <v>22.67</v>
      </c>
      <c r="N743" s="29">
        <v>11.67</v>
      </c>
      <c r="O743" s="149"/>
      <c r="P743" s="144"/>
      <c r="Q743" s="145" t="s">
        <v>1017</v>
      </c>
      <c r="S743" s="145" t="s">
        <v>4179</v>
      </c>
      <c r="T743" s="145" t="s">
        <v>4179</v>
      </c>
      <c r="U743" s="146" t="s">
        <v>1017</v>
      </c>
      <c r="W743" s="147"/>
      <c r="X743" s="147"/>
      <c r="Y743" s="145" t="s">
        <v>1017</v>
      </c>
      <c r="AA743" s="147"/>
      <c r="AD743" s="147"/>
      <c r="AE743" s="148"/>
      <c r="AF743" s="147"/>
      <c r="AG743" s="147"/>
      <c r="AH743" s="166" t="str">
        <f t="shared" si="293"/>
        <v/>
      </c>
      <c r="AI743" s="168" t="str">
        <f t="shared" si="281"/>
        <v/>
      </c>
      <c r="AJ743" s="168" t="str">
        <f t="shared" si="282"/>
        <v/>
      </c>
      <c r="AK743" s="168" t="str">
        <f t="shared" si="283"/>
        <v/>
      </c>
      <c r="AL743" s="168" t="str">
        <f t="shared" si="284"/>
        <v/>
      </c>
      <c r="AM743" s="168" t="str">
        <f t="shared" si="285"/>
        <v/>
      </c>
      <c r="AN743" s="167" t="str">
        <f t="shared" si="268"/>
        <v/>
      </c>
      <c r="AO743" s="167" t="str">
        <f t="shared" si="269"/>
        <v/>
      </c>
      <c r="AP743" s="167" t="str">
        <f t="shared" si="270"/>
        <v/>
      </c>
      <c r="AQ743" s="169" t="str">
        <f t="shared" si="271"/>
        <v/>
      </c>
      <c r="AR743" s="170" t="str">
        <f t="shared" si="272"/>
        <v>BiK81GK09y--05</v>
      </c>
      <c r="AS743" s="169" t="str">
        <f t="shared" si="273"/>
        <v/>
      </c>
      <c r="AT743">
        <f t="shared" si="274"/>
        <v>14</v>
      </c>
      <c r="AU743" s="170" t="str">
        <f t="shared" si="275"/>
        <v>0-0,15 MW, Bonusregeln G, y und K erstmals 2009</v>
      </c>
      <c r="AV743" s="169" t="str">
        <f t="shared" si="276"/>
        <v/>
      </c>
      <c r="AW743" s="170" t="str">
        <f t="shared" si="277"/>
        <v>Anteil KWK, erstmals 2009</v>
      </c>
      <c r="AX743" s="169" t="str">
        <f t="shared" si="278"/>
        <v/>
      </c>
      <c r="AY743" t="str">
        <f t="shared" si="279"/>
        <v/>
      </c>
      <c r="AZ743" t="str">
        <f t="shared" si="280"/>
        <v/>
      </c>
    </row>
    <row r="744" spans="1:52" s="145" customFormat="1" x14ac:dyDescent="0.35">
      <c r="A744" s="497" t="s">
        <v>3572</v>
      </c>
      <c r="B744" s="13" t="s">
        <v>5547</v>
      </c>
      <c r="C744" s="13" t="s">
        <v>1288</v>
      </c>
      <c r="D744" s="13" t="s">
        <v>6814</v>
      </c>
      <c r="E744" s="13" t="s">
        <v>3566</v>
      </c>
      <c r="F744" s="373">
        <f t="shared" si="286"/>
        <v>22.64</v>
      </c>
      <c r="G744" s="430">
        <v>22.64</v>
      </c>
      <c r="H744" s="399">
        <f t="shared" si="287"/>
        <v>18.11</v>
      </c>
      <c r="I744" s="576"/>
      <c r="J744" s="549" t="s">
        <v>5804</v>
      </c>
      <c r="K744" s="11"/>
      <c r="L744"/>
      <c r="M744" s="37">
        <f t="shared" si="288"/>
        <v>22.64</v>
      </c>
      <c r="N744" s="29">
        <v>11.67</v>
      </c>
      <c r="O744" s="149"/>
      <c r="P744" s="144"/>
      <c r="R744" s="145" t="s">
        <v>1017</v>
      </c>
      <c r="S744" s="145" t="s">
        <v>4179</v>
      </c>
      <c r="T744" s="145" t="s">
        <v>4179</v>
      </c>
      <c r="U744" s="146" t="s">
        <v>1017</v>
      </c>
      <c r="W744" s="147"/>
      <c r="X744" s="147"/>
      <c r="Y744" s="145" t="s">
        <v>1017</v>
      </c>
      <c r="AA744" s="147"/>
      <c r="AD744" s="147"/>
      <c r="AE744" s="148"/>
      <c r="AF744" s="147"/>
      <c r="AG744" s="147"/>
      <c r="AH744" s="166" t="str">
        <f t="shared" si="293"/>
        <v>2010</v>
      </c>
      <c r="AI744" s="168" t="str">
        <f t="shared" si="281"/>
        <v/>
      </c>
      <c r="AJ744" s="168" t="str">
        <f t="shared" si="282"/>
        <v/>
      </c>
      <c r="AK744" s="168" t="str">
        <f t="shared" si="283"/>
        <v/>
      </c>
      <c r="AL744" s="168" t="str">
        <f t="shared" si="284"/>
        <v/>
      </c>
      <c r="AM744" s="168" t="str">
        <f t="shared" si="285"/>
        <v/>
      </c>
      <c r="AN744" s="167" t="str">
        <f t="shared" si="268"/>
        <v>2010</v>
      </c>
      <c r="AO744" s="167" t="str">
        <f t="shared" si="269"/>
        <v>2010</v>
      </c>
      <c r="AP744" s="167" t="str">
        <f t="shared" si="270"/>
        <v>2010</v>
      </c>
      <c r="AQ744" s="169" t="str">
        <f t="shared" si="271"/>
        <v/>
      </c>
      <c r="AR744" s="170" t="str">
        <f t="shared" si="272"/>
        <v>BiK81GK10y--05</v>
      </c>
      <c r="AS744" s="169" t="str">
        <f t="shared" si="273"/>
        <v/>
      </c>
      <c r="AT744">
        <f t="shared" si="274"/>
        <v>14</v>
      </c>
      <c r="AU744" s="170" t="str">
        <f t="shared" si="275"/>
        <v>0-0,15 MW, Bonusregeln G, y und K erstmals 2010</v>
      </c>
      <c r="AV744" s="169" t="str">
        <f t="shared" si="276"/>
        <v/>
      </c>
      <c r="AW744" s="170" t="str">
        <f t="shared" si="277"/>
        <v>Anteil KWK, erstmals 2010</v>
      </c>
      <c r="AX744" s="169" t="str">
        <f t="shared" si="278"/>
        <v/>
      </c>
      <c r="AY744" t="str">
        <f t="shared" si="279"/>
        <v/>
      </c>
      <c r="AZ744" t="str">
        <f t="shared" si="280"/>
        <v/>
      </c>
    </row>
    <row r="745" spans="1:52" s="145" customFormat="1" x14ac:dyDescent="0.35">
      <c r="A745" s="497" t="s">
        <v>5303</v>
      </c>
      <c r="B745" s="13" t="s">
        <v>5547</v>
      </c>
      <c r="C745" s="13" t="s">
        <v>1288</v>
      </c>
      <c r="D745" s="13" t="s">
        <v>6815</v>
      </c>
      <c r="E745" s="13" t="s">
        <v>3054</v>
      </c>
      <c r="F745" s="373">
        <f t="shared" si="286"/>
        <v>22.61</v>
      </c>
      <c r="G745" s="430">
        <v>22.61</v>
      </c>
      <c r="H745" s="399">
        <f t="shared" si="287"/>
        <v>18.09</v>
      </c>
      <c r="I745" s="576"/>
      <c r="J745" s="549" t="s">
        <v>5804</v>
      </c>
      <c r="K745" s="11"/>
      <c r="L745"/>
      <c r="M745" s="37">
        <f t="shared" si="288"/>
        <v>22.61</v>
      </c>
      <c r="N745" s="29">
        <v>11.67</v>
      </c>
      <c r="O745" s="149"/>
      <c r="P745" s="144"/>
      <c r="S745" s="145" t="s">
        <v>1017</v>
      </c>
      <c r="T745" s="145" t="s">
        <v>4179</v>
      </c>
      <c r="U745" s="146" t="s">
        <v>1017</v>
      </c>
      <c r="W745" s="147"/>
      <c r="X745" s="147"/>
      <c r="Y745" s="145" t="s">
        <v>1017</v>
      </c>
      <c r="AA745" s="147"/>
      <c r="AD745" s="147"/>
      <c r="AE745" s="148"/>
      <c r="AF745" s="147"/>
      <c r="AG745" s="147"/>
      <c r="AH745" s="166" t="str">
        <f t="shared" si="293"/>
        <v>2011</v>
      </c>
      <c r="AI745" s="168" t="str">
        <f t="shared" si="281"/>
        <v/>
      </c>
      <c r="AJ745" s="168" t="str">
        <f t="shared" si="282"/>
        <v/>
      </c>
      <c r="AK745" s="168" t="str">
        <f t="shared" si="283"/>
        <v/>
      </c>
      <c r="AL745" s="168" t="str">
        <f t="shared" si="284"/>
        <v/>
      </c>
      <c r="AM745" s="168" t="str">
        <f t="shared" si="285"/>
        <v/>
      </c>
      <c r="AN745" s="167" t="str">
        <f t="shared" si="268"/>
        <v>2011</v>
      </c>
      <c r="AO745" s="167" t="str">
        <f t="shared" si="269"/>
        <v>2011</v>
      </c>
      <c r="AP745" s="167" t="str">
        <f t="shared" si="270"/>
        <v>2011</v>
      </c>
      <c r="AQ745" s="169" t="str">
        <f t="shared" si="271"/>
        <v/>
      </c>
      <c r="AR745" s="170" t="str">
        <f t="shared" si="272"/>
        <v>BiK81GK11y--05</v>
      </c>
      <c r="AS745" s="169" t="str">
        <f t="shared" si="273"/>
        <v/>
      </c>
      <c r="AT745">
        <f t="shared" si="274"/>
        <v>14</v>
      </c>
      <c r="AU745" s="170" t="str">
        <f t="shared" si="275"/>
        <v>0-0,15 MW, Bonusregeln G, y und K erstmals 2011</v>
      </c>
      <c r="AV745" s="169" t="str">
        <f t="shared" si="276"/>
        <v/>
      </c>
      <c r="AW745" s="170" t="str">
        <f t="shared" si="277"/>
        <v>Anteil KWK, erstmals 2011</v>
      </c>
      <c r="AX745" s="169" t="str">
        <f t="shared" si="278"/>
        <v/>
      </c>
      <c r="AY745" t="str">
        <f t="shared" si="279"/>
        <v>x</v>
      </c>
      <c r="AZ745" t="str">
        <f t="shared" si="280"/>
        <v/>
      </c>
    </row>
    <row r="746" spans="1:52" s="145" customFormat="1" x14ac:dyDescent="0.35">
      <c r="A746" s="511" t="s">
        <v>1554</v>
      </c>
      <c r="B746" s="173" t="s">
        <v>5547</v>
      </c>
      <c r="C746" s="173" t="s">
        <v>1288</v>
      </c>
      <c r="D746" s="173" t="s">
        <v>6816</v>
      </c>
      <c r="E746" s="173" t="s">
        <v>1980</v>
      </c>
      <c r="F746" s="374">
        <f t="shared" si="286"/>
        <v>22.58</v>
      </c>
      <c r="G746" s="431">
        <v>22.58</v>
      </c>
      <c r="H746" s="400">
        <f t="shared" si="287"/>
        <v>18.059999999999999</v>
      </c>
      <c r="I746" s="577"/>
      <c r="J746" s="549" t="s">
        <v>5804</v>
      </c>
      <c r="K746" s="11"/>
      <c r="L746"/>
      <c r="M746" s="37">
        <f t="shared" si="288"/>
        <v>22.58</v>
      </c>
      <c r="N746" s="29">
        <v>11.67</v>
      </c>
      <c r="O746" s="149"/>
      <c r="P746" s="144"/>
      <c r="S746" s="145" t="s">
        <v>4179</v>
      </c>
      <c r="T746" s="145" t="s">
        <v>1017</v>
      </c>
      <c r="U746" s="146" t="s">
        <v>1017</v>
      </c>
      <c r="W746" s="147"/>
      <c r="X746" s="147"/>
      <c r="Y746" s="145" t="s">
        <v>1017</v>
      </c>
      <c r="AA746" s="147"/>
      <c r="AD746" s="147"/>
      <c r="AE746" s="148"/>
      <c r="AF746" s="147"/>
      <c r="AG746" s="147"/>
      <c r="AH746" s="171" t="s">
        <v>4178</v>
      </c>
      <c r="AI746" s="168" t="str">
        <f t="shared" si="281"/>
        <v/>
      </c>
      <c r="AJ746" s="168" t="str">
        <f t="shared" si="282"/>
        <v/>
      </c>
      <c r="AK746" s="168" t="str">
        <f t="shared" si="283"/>
        <v/>
      </c>
      <c r="AL746" s="168" t="str">
        <f t="shared" si="284"/>
        <v/>
      </c>
      <c r="AM746" s="168" t="str">
        <f t="shared" si="285"/>
        <v/>
      </c>
      <c r="AN746" s="167" t="str">
        <f t="shared" si="268"/>
        <v>2012</v>
      </c>
      <c r="AO746" s="167" t="str">
        <f t="shared" si="269"/>
        <v>2012</v>
      </c>
      <c r="AP746" s="167" t="str">
        <f t="shared" si="270"/>
        <v>2012</v>
      </c>
      <c r="AQ746" s="169" t="str">
        <f t="shared" si="271"/>
        <v/>
      </c>
      <c r="AR746" s="170" t="str">
        <f t="shared" si="272"/>
        <v>BiK81GK12y--05</v>
      </c>
      <c r="AS746" s="169" t="str">
        <f t="shared" si="273"/>
        <v/>
      </c>
      <c r="AT746">
        <f t="shared" si="274"/>
        <v>14</v>
      </c>
      <c r="AU746" s="170" t="str">
        <f t="shared" si="275"/>
        <v>0-0,15 MW, Bonusregeln G, y und K erstmals 2012</v>
      </c>
      <c r="AV746" s="169" t="str">
        <f t="shared" si="276"/>
        <v/>
      </c>
      <c r="AW746" s="170" t="str">
        <f t="shared" si="277"/>
        <v>Anteil KWK, erstmals 2012</v>
      </c>
      <c r="AX746" s="169" t="str">
        <f t="shared" si="278"/>
        <v/>
      </c>
      <c r="AY746" t="str">
        <f t="shared" si="279"/>
        <v/>
      </c>
      <c r="AZ746" t="str">
        <f t="shared" si="280"/>
        <v>x</v>
      </c>
    </row>
    <row r="747" spans="1:52" s="145" customFormat="1" x14ac:dyDescent="0.35">
      <c r="A747" s="497" t="s">
        <v>4630</v>
      </c>
      <c r="B747" s="13" t="s">
        <v>5547</v>
      </c>
      <c r="C747" s="13" t="s">
        <v>1288</v>
      </c>
      <c r="D747" s="13" t="s">
        <v>6817</v>
      </c>
      <c r="E747" s="13" t="s">
        <v>4809</v>
      </c>
      <c r="F747" s="373">
        <f t="shared" si="286"/>
        <v>22.67</v>
      </c>
      <c r="G747" s="430">
        <v>22.67</v>
      </c>
      <c r="H747" s="399">
        <f t="shared" si="287"/>
        <v>18.14</v>
      </c>
      <c r="I747" s="576"/>
      <c r="J747" s="549" t="s">
        <v>5804</v>
      </c>
      <c r="K747" s="11"/>
      <c r="L747"/>
      <c r="M747" s="37">
        <f t="shared" si="288"/>
        <v>22.67</v>
      </c>
      <c r="N747" s="29">
        <v>11.67</v>
      </c>
      <c r="O747" s="149"/>
      <c r="P747" s="144"/>
      <c r="S747" s="145" t="s">
        <v>4179</v>
      </c>
      <c r="T747" s="145" t="s">
        <v>4179</v>
      </c>
      <c r="U747" s="146"/>
      <c r="W747" s="147"/>
      <c r="X747" s="147"/>
      <c r="Z747" s="145" t="s">
        <v>1017</v>
      </c>
      <c r="AA747" s="147"/>
      <c r="AD747" s="147"/>
      <c r="AE747" s="148"/>
      <c r="AF747" s="147"/>
      <c r="AG747" s="147"/>
      <c r="AH747" s="166" t="str">
        <f t="shared" ref="AH747:AH752" si="294">IF(ISERROR(SEARCH("K erstmals 201",D747)),"",RIGHT(D747,4))</f>
        <v/>
      </c>
      <c r="AI747" s="168" t="str">
        <f t="shared" si="281"/>
        <v/>
      </c>
      <c r="AJ747" s="168" t="str">
        <f t="shared" si="282"/>
        <v/>
      </c>
      <c r="AK747" s="168" t="str">
        <f t="shared" si="283"/>
        <v/>
      </c>
      <c r="AL747" s="168" t="str">
        <f t="shared" si="284"/>
        <v/>
      </c>
      <c r="AM747" s="168" t="str">
        <f t="shared" si="285"/>
        <v/>
      </c>
      <c r="AN747" s="167" t="str">
        <f t="shared" si="268"/>
        <v/>
      </c>
      <c r="AO747" s="167" t="str">
        <f t="shared" si="269"/>
        <v/>
      </c>
      <c r="AP747" s="167" t="str">
        <f t="shared" si="270"/>
        <v/>
      </c>
      <c r="AQ747" s="169" t="str">
        <f t="shared" si="271"/>
        <v/>
      </c>
      <c r="AR747" s="170" t="str">
        <f t="shared" si="272"/>
        <v>BiK81M1-----05</v>
      </c>
      <c r="AS747" s="169" t="str">
        <f t="shared" si="273"/>
        <v/>
      </c>
      <c r="AT747">
        <f t="shared" si="274"/>
        <v>14</v>
      </c>
      <c r="AU747" s="170" t="str">
        <f t="shared" si="275"/>
        <v>0-0,15 MW, Bonusregel M1</v>
      </c>
      <c r="AV747" s="169" t="str">
        <f t="shared" si="276"/>
        <v/>
      </c>
      <c r="AW747" s="170" t="str">
        <f t="shared" si="277"/>
        <v>Anteil Nicht-KWK</v>
      </c>
      <c r="AX747" s="169" t="str">
        <f t="shared" si="278"/>
        <v/>
      </c>
      <c r="AY747" t="str">
        <f t="shared" si="279"/>
        <v/>
      </c>
      <c r="AZ747" t="str">
        <f t="shared" si="280"/>
        <v/>
      </c>
    </row>
    <row r="748" spans="1:52" s="145" customFormat="1" x14ac:dyDescent="0.35">
      <c r="A748" s="497" t="s">
        <v>4631</v>
      </c>
      <c r="B748" s="13" t="s">
        <v>5547</v>
      </c>
      <c r="C748" s="13" t="s">
        <v>1288</v>
      </c>
      <c r="D748" s="13" t="s">
        <v>6892</v>
      </c>
      <c r="E748" s="13" t="s">
        <v>4811</v>
      </c>
      <c r="F748" s="373">
        <f t="shared" si="286"/>
        <v>24.67</v>
      </c>
      <c r="G748" s="430">
        <v>24.67</v>
      </c>
      <c r="H748" s="399">
        <f t="shared" si="287"/>
        <v>19.739999999999998</v>
      </c>
      <c r="I748" s="576"/>
      <c r="J748" s="549" t="s">
        <v>5804</v>
      </c>
      <c r="K748" s="11"/>
      <c r="L748"/>
      <c r="M748" s="37">
        <f t="shared" si="288"/>
        <v>24.67</v>
      </c>
      <c r="N748" s="29">
        <v>11.67</v>
      </c>
      <c r="O748" s="149" t="s">
        <v>1017</v>
      </c>
      <c r="P748" s="144"/>
      <c r="S748" s="145" t="s">
        <v>4179</v>
      </c>
      <c r="T748" s="145" t="s">
        <v>4179</v>
      </c>
      <c r="U748" s="146"/>
      <c r="W748" s="147"/>
      <c r="X748" s="147"/>
      <c r="Z748" s="145" t="s">
        <v>1017</v>
      </c>
      <c r="AA748" s="147"/>
      <c r="AD748" s="147"/>
      <c r="AE748" s="148"/>
      <c r="AF748" s="147"/>
      <c r="AG748" s="147"/>
      <c r="AH748" s="166" t="str">
        <f t="shared" si="294"/>
        <v/>
      </c>
      <c r="AI748" s="168" t="str">
        <f t="shared" si="281"/>
        <v/>
      </c>
      <c r="AJ748" s="168" t="str">
        <f t="shared" si="282"/>
        <v/>
      </c>
      <c r="AK748" s="168" t="str">
        <f t="shared" si="283"/>
        <v/>
      </c>
      <c r="AL748" s="168" t="str">
        <f t="shared" si="284"/>
        <v/>
      </c>
      <c r="AM748" s="168" t="str">
        <f t="shared" si="285"/>
        <v/>
      </c>
      <c r="AN748" s="167" t="str">
        <f t="shared" si="268"/>
        <v/>
      </c>
      <c r="AO748" s="167" t="str">
        <f t="shared" si="269"/>
        <v/>
      </c>
      <c r="AP748" s="167" t="str">
        <f t="shared" si="270"/>
        <v/>
      </c>
      <c r="AQ748" s="169" t="str">
        <f t="shared" si="271"/>
        <v/>
      </c>
      <c r="AR748" s="170" t="str">
        <f t="shared" si="272"/>
        <v>BiK81M1KWK--05</v>
      </c>
      <c r="AS748" s="169" t="str">
        <f t="shared" si="273"/>
        <v/>
      </c>
      <c r="AT748">
        <f t="shared" si="274"/>
        <v>14</v>
      </c>
      <c r="AU748" s="170" t="str">
        <f t="shared" si="275"/>
        <v>0-0,15 MW, Bonusregeln M1 und KWK</v>
      </c>
      <c r="AV748" s="169" t="str">
        <f t="shared" si="276"/>
        <v/>
      </c>
      <c r="AW748" s="170" t="str">
        <f t="shared" si="277"/>
        <v>Anteil KWK</v>
      </c>
      <c r="AX748" s="169" t="str">
        <f t="shared" si="278"/>
        <v/>
      </c>
      <c r="AY748" t="str">
        <f t="shared" si="279"/>
        <v/>
      </c>
      <c r="AZ748" t="str">
        <f t="shared" si="280"/>
        <v/>
      </c>
    </row>
    <row r="749" spans="1:52" s="145" customFormat="1" x14ac:dyDescent="0.35">
      <c r="A749" s="497" t="s">
        <v>4632</v>
      </c>
      <c r="B749" s="13" t="s">
        <v>5547</v>
      </c>
      <c r="C749" s="13" t="s">
        <v>1288</v>
      </c>
      <c r="D749" s="13" t="s">
        <v>6818</v>
      </c>
      <c r="E749" s="13" t="s">
        <v>4330</v>
      </c>
      <c r="F749" s="373">
        <f t="shared" si="286"/>
        <v>25.67</v>
      </c>
      <c r="G749" s="430">
        <v>25.67</v>
      </c>
      <c r="H749" s="399">
        <f t="shared" si="287"/>
        <v>20.54</v>
      </c>
      <c r="I749" s="576"/>
      <c r="J749" s="549" t="s">
        <v>5804</v>
      </c>
      <c r="K749" s="11"/>
      <c r="L749"/>
      <c r="M749" s="37">
        <f t="shared" si="288"/>
        <v>25.67</v>
      </c>
      <c r="N749" s="29">
        <v>11.67</v>
      </c>
      <c r="O749" s="149"/>
      <c r="P749" s="145" t="s">
        <v>1017</v>
      </c>
      <c r="S749" s="145" t="s">
        <v>4179</v>
      </c>
      <c r="T749" s="145" t="s">
        <v>4179</v>
      </c>
      <c r="U749" s="146"/>
      <c r="W749" s="147"/>
      <c r="X749" s="147"/>
      <c r="Z749" s="145" t="s">
        <v>1017</v>
      </c>
      <c r="AA749" s="147"/>
      <c r="AD749" s="147"/>
      <c r="AE749" s="148"/>
      <c r="AF749" s="147"/>
      <c r="AG749" s="147"/>
      <c r="AH749" s="166" t="str">
        <f t="shared" si="294"/>
        <v/>
      </c>
      <c r="AI749" s="168" t="str">
        <f t="shared" si="281"/>
        <v/>
      </c>
      <c r="AJ749" s="168" t="str">
        <f t="shared" si="282"/>
        <v/>
      </c>
      <c r="AK749" s="168" t="str">
        <f t="shared" si="283"/>
        <v/>
      </c>
      <c r="AL749" s="168" t="str">
        <f t="shared" si="284"/>
        <v/>
      </c>
      <c r="AM749" s="168" t="str">
        <f t="shared" si="285"/>
        <v/>
      </c>
      <c r="AN749" s="167" t="str">
        <f t="shared" si="268"/>
        <v/>
      </c>
      <c r="AO749" s="167" t="str">
        <f t="shared" si="269"/>
        <v/>
      </c>
      <c r="AP749" s="167" t="str">
        <f t="shared" si="270"/>
        <v/>
      </c>
      <c r="AQ749" s="169" t="str">
        <f t="shared" si="271"/>
        <v/>
      </c>
      <c r="AR749" s="170" t="str">
        <f t="shared" si="272"/>
        <v>BiK81M1KA3--05</v>
      </c>
      <c r="AS749" s="169" t="str">
        <f t="shared" si="273"/>
        <v/>
      </c>
      <c r="AT749">
        <f t="shared" si="274"/>
        <v>14</v>
      </c>
      <c r="AU749" s="170" t="str">
        <f t="shared" si="275"/>
        <v>0-0,15 MW, Bonusregeln M1 und K wenn Anlage 3 erfüllt</v>
      </c>
      <c r="AV749" s="169" t="str">
        <f t="shared" si="276"/>
        <v/>
      </c>
      <c r="AW749" s="170" t="str">
        <f t="shared" si="277"/>
        <v>Anteil KWK gemäß Anlage 3</v>
      </c>
      <c r="AX749" s="169" t="str">
        <f t="shared" si="278"/>
        <v/>
      </c>
      <c r="AY749" t="str">
        <f t="shared" si="279"/>
        <v/>
      </c>
      <c r="AZ749" t="str">
        <f t="shared" si="280"/>
        <v/>
      </c>
    </row>
    <row r="750" spans="1:52" s="145" customFormat="1" x14ac:dyDescent="0.35">
      <c r="A750" s="497" t="s">
        <v>4633</v>
      </c>
      <c r="B750" s="13" t="s">
        <v>5547</v>
      </c>
      <c r="C750" s="13" t="s">
        <v>1288</v>
      </c>
      <c r="D750" s="13" t="s">
        <v>6893</v>
      </c>
      <c r="E750" s="13" t="s">
        <v>674</v>
      </c>
      <c r="F750" s="373">
        <f t="shared" si="286"/>
        <v>25.67</v>
      </c>
      <c r="G750" s="430">
        <v>25.67</v>
      </c>
      <c r="H750" s="399">
        <f t="shared" si="287"/>
        <v>20.54</v>
      </c>
      <c r="I750" s="576"/>
      <c r="J750" s="549" t="s">
        <v>5804</v>
      </c>
      <c r="K750" s="11"/>
      <c r="L750"/>
      <c r="M750" s="37">
        <f t="shared" si="288"/>
        <v>25.67</v>
      </c>
      <c r="N750" s="29">
        <v>11.67</v>
      </c>
      <c r="O750" s="149"/>
      <c r="P750" s="144"/>
      <c r="Q750" s="145" t="s">
        <v>1017</v>
      </c>
      <c r="S750" s="145" t="s">
        <v>4179</v>
      </c>
      <c r="T750" s="145" t="s">
        <v>4179</v>
      </c>
      <c r="U750" s="146"/>
      <c r="W750" s="147"/>
      <c r="X750" s="147"/>
      <c r="Z750" s="145" t="s">
        <v>1017</v>
      </c>
      <c r="AA750" s="147"/>
      <c r="AD750" s="147"/>
      <c r="AE750" s="148"/>
      <c r="AF750" s="147"/>
      <c r="AG750" s="147"/>
      <c r="AH750" s="166" t="str">
        <f t="shared" si="294"/>
        <v/>
      </c>
      <c r="AI750" s="168" t="str">
        <f t="shared" si="281"/>
        <v/>
      </c>
      <c r="AJ750" s="168" t="str">
        <f t="shared" si="282"/>
        <v/>
      </c>
      <c r="AK750" s="168" t="str">
        <f t="shared" si="283"/>
        <v/>
      </c>
      <c r="AL750" s="168" t="str">
        <f t="shared" si="284"/>
        <v/>
      </c>
      <c r="AM750" s="168" t="str">
        <f t="shared" si="285"/>
        <v/>
      </c>
      <c r="AN750" s="167" t="str">
        <f t="shared" si="268"/>
        <v/>
      </c>
      <c r="AO750" s="167" t="str">
        <f t="shared" si="269"/>
        <v/>
      </c>
      <c r="AP750" s="167" t="str">
        <f t="shared" si="270"/>
        <v/>
      </c>
      <c r="AQ750" s="169" t="str">
        <f t="shared" si="271"/>
        <v/>
      </c>
      <c r="AR750" s="170" t="str">
        <f t="shared" si="272"/>
        <v>BiK81M1K09--05</v>
      </c>
      <c r="AS750" s="169" t="str">
        <f t="shared" si="273"/>
        <v/>
      </c>
      <c r="AT750">
        <f t="shared" si="274"/>
        <v>14</v>
      </c>
      <c r="AU750" s="170" t="str">
        <f t="shared" si="275"/>
        <v>0-0,15 MW, Bonusregeln M1, K erstmals 2009</v>
      </c>
      <c r="AV750" s="169" t="str">
        <f t="shared" si="276"/>
        <v/>
      </c>
      <c r="AW750" s="170" t="str">
        <f t="shared" si="277"/>
        <v>Anteil KWK, erstmals 2009</v>
      </c>
      <c r="AX750" s="169" t="str">
        <f t="shared" si="278"/>
        <v/>
      </c>
      <c r="AY750" t="str">
        <f t="shared" si="279"/>
        <v/>
      </c>
      <c r="AZ750" t="str">
        <f t="shared" si="280"/>
        <v/>
      </c>
    </row>
    <row r="751" spans="1:52" s="145" customFormat="1" x14ac:dyDescent="0.35">
      <c r="A751" s="497" t="s">
        <v>3573</v>
      </c>
      <c r="B751" s="13" t="s">
        <v>5547</v>
      </c>
      <c r="C751" s="13" t="s">
        <v>1288</v>
      </c>
      <c r="D751" s="13" t="s">
        <v>6894</v>
      </c>
      <c r="E751" s="13" t="s">
        <v>3566</v>
      </c>
      <c r="F751" s="373">
        <f t="shared" si="286"/>
        <v>25.64</v>
      </c>
      <c r="G751" s="430">
        <v>25.64</v>
      </c>
      <c r="H751" s="399">
        <f t="shared" si="287"/>
        <v>20.51</v>
      </c>
      <c r="I751" s="576"/>
      <c r="J751" s="549" t="s">
        <v>5804</v>
      </c>
      <c r="K751" s="11"/>
      <c r="L751"/>
      <c r="M751" s="37">
        <f t="shared" si="288"/>
        <v>25.64</v>
      </c>
      <c r="N751" s="29">
        <v>11.67</v>
      </c>
      <c r="O751" s="149"/>
      <c r="P751" s="144"/>
      <c r="R751" s="145" t="s">
        <v>1017</v>
      </c>
      <c r="S751" s="145" t="s">
        <v>4179</v>
      </c>
      <c r="T751" s="145" t="s">
        <v>4179</v>
      </c>
      <c r="U751" s="146"/>
      <c r="W751" s="147"/>
      <c r="X751" s="147"/>
      <c r="Z751" s="145" t="s">
        <v>1017</v>
      </c>
      <c r="AA751" s="147"/>
      <c r="AD751" s="147"/>
      <c r="AE751" s="148"/>
      <c r="AF751" s="147"/>
      <c r="AG751" s="147"/>
      <c r="AH751" s="166" t="str">
        <f t="shared" si="294"/>
        <v>2010</v>
      </c>
      <c r="AI751" s="168" t="str">
        <f t="shared" si="281"/>
        <v/>
      </c>
      <c r="AJ751" s="168" t="str">
        <f t="shared" si="282"/>
        <v/>
      </c>
      <c r="AK751" s="168" t="str">
        <f t="shared" si="283"/>
        <v/>
      </c>
      <c r="AL751" s="168" t="str">
        <f t="shared" si="284"/>
        <v/>
      </c>
      <c r="AM751" s="168" t="str">
        <f t="shared" si="285"/>
        <v/>
      </c>
      <c r="AN751" s="167" t="str">
        <f t="shared" si="268"/>
        <v>2010</v>
      </c>
      <c r="AO751" s="167" t="str">
        <f t="shared" si="269"/>
        <v>2010</v>
      </c>
      <c r="AP751" s="167" t="str">
        <f t="shared" si="270"/>
        <v>2010</v>
      </c>
      <c r="AQ751" s="169" t="str">
        <f t="shared" si="271"/>
        <v/>
      </c>
      <c r="AR751" s="170" t="str">
        <f t="shared" si="272"/>
        <v>BiK81M1K10--05</v>
      </c>
      <c r="AS751" s="169" t="str">
        <f t="shared" si="273"/>
        <v/>
      </c>
      <c r="AT751">
        <f t="shared" si="274"/>
        <v>14</v>
      </c>
      <c r="AU751" s="170" t="str">
        <f t="shared" si="275"/>
        <v>0-0,15 MW, Bonusregeln M1, K erstmals 2010</v>
      </c>
      <c r="AV751" s="169" t="str">
        <f t="shared" si="276"/>
        <v/>
      </c>
      <c r="AW751" s="170" t="str">
        <f t="shared" si="277"/>
        <v>Anteil KWK, erstmals 2010</v>
      </c>
      <c r="AX751" s="169" t="str">
        <f t="shared" si="278"/>
        <v/>
      </c>
      <c r="AY751" t="str">
        <f t="shared" si="279"/>
        <v/>
      </c>
      <c r="AZ751" t="str">
        <f t="shared" si="280"/>
        <v/>
      </c>
    </row>
    <row r="752" spans="1:52" s="145" customFormat="1" x14ac:dyDescent="0.35">
      <c r="A752" s="497" t="s">
        <v>5304</v>
      </c>
      <c r="B752" s="13" t="s">
        <v>5547</v>
      </c>
      <c r="C752" s="13" t="s">
        <v>1288</v>
      </c>
      <c r="D752" s="13" t="s">
        <v>6895</v>
      </c>
      <c r="E752" s="13" t="s">
        <v>3054</v>
      </c>
      <c r="F752" s="373">
        <f t="shared" si="286"/>
        <v>25.61</v>
      </c>
      <c r="G752" s="430">
        <v>25.61</v>
      </c>
      <c r="H752" s="399">
        <f t="shared" si="287"/>
        <v>20.49</v>
      </c>
      <c r="I752" s="576"/>
      <c r="J752" s="549" t="s">
        <v>5804</v>
      </c>
      <c r="K752" s="11"/>
      <c r="L752"/>
      <c r="M752" s="37">
        <f t="shared" si="288"/>
        <v>25.61</v>
      </c>
      <c r="N752" s="29">
        <v>11.67</v>
      </c>
      <c r="O752" s="149"/>
      <c r="P752" s="144"/>
      <c r="S752" s="145" t="s">
        <v>1017</v>
      </c>
      <c r="T752" s="145" t="s">
        <v>4179</v>
      </c>
      <c r="U752" s="146"/>
      <c r="W752" s="147"/>
      <c r="X752" s="147"/>
      <c r="Z752" s="145" t="s">
        <v>1017</v>
      </c>
      <c r="AA752" s="147"/>
      <c r="AD752" s="147"/>
      <c r="AE752" s="148"/>
      <c r="AF752" s="147"/>
      <c r="AG752" s="147"/>
      <c r="AH752" s="166" t="str">
        <f t="shared" si="294"/>
        <v>2011</v>
      </c>
      <c r="AI752" s="168" t="str">
        <f t="shared" si="281"/>
        <v/>
      </c>
      <c r="AJ752" s="168" t="str">
        <f t="shared" si="282"/>
        <v/>
      </c>
      <c r="AK752" s="168" t="str">
        <f t="shared" si="283"/>
        <v/>
      </c>
      <c r="AL752" s="168" t="str">
        <f t="shared" si="284"/>
        <v/>
      </c>
      <c r="AM752" s="168" t="str">
        <f t="shared" si="285"/>
        <v/>
      </c>
      <c r="AN752" s="167" t="str">
        <f t="shared" si="268"/>
        <v>2011</v>
      </c>
      <c r="AO752" s="167" t="str">
        <f t="shared" si="269"/>
        <v>2011</v>
      </c>
      <c r="AP752" s="167" t="str">
        <f t="shared" si="270"/>
        <v>2011</v>
      </c>
      <c r="AQ752" s="169" t="str">
        <f t="shared" si="271"/>
        <v/>
      </c>
      <c r="AR752" s="170" t="str">
        <f t="shared" si="272"/>
        <v>BiK81M1K11--05</v>
      </c>
      <c r="AS752" s="169" t="str">
        <f t="shared" si="273"/>
        <v/>
      </c>
      <c r="AT752">
        <f t="shared" si="274"/>
        <v>14</v>
      </c>
      <c r="AU752" s="170" t="str">
        <f t="shared" si="275"/>
        <v>0-0,15 MW, Bonusregeln M1, K erstmals 2011</v>
      </c>
      <c r="AV752" s="169" t="str">
        <f t="shared" si="276"/>
        <v/>
      </c>
      <c r="AW752" s="170" t="str">
        <f t="shared" si="277"/>
        <v>Anteil KWK, erstmals 2011</v>
      </c>
      <c r="AX752" s="169" t="str">
        <f t="shared" si="278"/>
        <v/>
      </c>
      <c r="AY752" t="str">
        <f t="shared" si="279"/>
        <v>x</v>
      </c>
      <c r="AZ752" t="str">
        <f t="shared" si="280"/>
        <v/>
      </c>
    </row>
    <row r="753" spans="1:52" s="145" customFormat="1" x14ac:dyDescent="0.35">
      <c r="A753" s="511" t="s">
        <v>1555</v>
      </c>
      <c r="B753" s="173" t="s">
        <v>5547</v>
      </c>
      <c r="C753" s="173" t="s">
        <v>1288</v>
      </c>
      <c r="D753" s="173" t="s">
        <v>6896</v>
      </c>
      <c r="E753" s="173" t="s">
        <v>1980</v>
      </c>
      <c r="F753" s="374">
        <f t="shared" si="286"/>
        <v>25.58</v>
      </c>
      <c r="G753" s="431">
        <v>25.58</v>
      </c>
      <c r="H753" s="400">
        <f t="shared" si="287"/>
        <v>20.46</v>
      </c>
      <c r="I753" s="577"/>
      <c r="J753" s="549" t="s">
        <v>5804</v>
      </c>
      <c r="K753" s="11"/>
      <c r="L753"/>
      <c r="M753" s="37">
        <f t="shared" si="288"/>
        <v>25.58</v>
      </c>
      <c r="N753" s="29">
        <v>11.67</v>
      </c>
      <c r="O753" s="149"/>
      <c r="P753" s="144"/>
      <c r="S753" s="145" t="s">
        <v>4179</v>
      </c>
      <c r="T753" s="145" t="s">
        <v>1017</v>
      </c>
      <c r="U753" s="146"/>
      <c r="W753" s="147"/>
      <c r="X753" s="147"/>
      <c r="Z753" s="145" t="s">
        <v>1017</v>
      </c>
      <c r="AA753" s="147"/>
      <c r="AD753" s="147"/>
      <c r="AE753" s="148"/>
      <c r="AF753" s="147"/>
      <c r="AG753" s="147"/>
      <c r="AH753" s="171" t="s">
        <v>4178</v>
      </c>
      <c r="AI753" s="168" t="str">
        <f t="shared" si="281"/>
        <v/>
      </c>
      <c r="AJ753" s="168" t="str">
        <f t="shared" si="282"/>
        <v/>
      </c>
      <c r="AK753" s="168" t="str">
        <f t="shared" si="283"/>
        <v/>
      </c>
      <c r="AL753" s="168" t="str">
        <f t="shared" si="284"/>
        <v/>
      </c>
      <c r="AM753" s="168" t="str">
        <f t="shared" si="285"/>
        <v/>
      </c>
      <c r="AN753" s="167" t="str">
        <f t="shared" si="268"/>
        <v>2012</v>
      </c>
      <c r="AO753" s="167" t="str">
        <f t="shared" si="269"/>
        <v>2012</v>
      </c>
      <c r="AP753" s="167" t="str">
        <f t="shared" si="270"/>
        <v>2012</v>
      </c>
      <c r="AQ753" s="169" t="str">
        <f t="shared" si="271"/>
        <v/>
      </c>
      <c r="AR753" s="170" t="str">
        <f t="shared" si="272"/>
        <v>BiK81M1K12--05</v>
      </c>
      <c r="AS753" s="169" t="str">
        <f t="shared" si="273"/>
        <v/>
      </c>
      <c r="AT753">
        <f t="shared" si="274"/>
        <v>14</v>
      </c>
      <c r="AU753" s="170" t="str">
        <f t="shared" si="275"/>
        <v>0-0,15 MW, Bonusregeln M1, K erstmals 2012</v>
      </c>
      <c r="AV753" s="169" t="str">
        <f t="shared" si="276"/>
        <v/>
      </c>
      <c r="AW753" s="170" t="str">
        <f t="shared" si="277"/>
        <v>Anteil KWK, erstmals 2012</v>
      </c>
      <c r="AX753" s="169" t="str">
        <f t="shared" si="278"/>
        <v/>
      </c>
      <c r="AY753" t="str">
        <f t="shared" si="279"/>
        <v/>
      </c>
      <c r="AZ753" t="str">
        <f t="shared" si="280"/>
        <v>x</v>
      </c>
    </row>
    <row r="754" spans="1:52" s="145" customFormat="1" x14ac:dyDescent="0.35">
      <c r="A754" s="497" t="s">
        <v>4762</v>
      </c>
      <c r="B754" s="13" t="s">
        <v>5547</v>
      </c>
      <c r="C754" s="13" t="s">
        <v>1288</v>
      </c>
      <c r="D754" s="13" t="s">
        <v>6823</v>
      </c>
      <c r="E754" s="13" t="s">
        <v>4809</v>
      </c>
      <c r="F754" s="373">
        <f t="shared" si="286"/>
        <v>23.67</v>
      </c>
      <c r="G754" s="430">
        <v>23.67</v>
      </c>
      <c r="H754" s="399">
        <f t="shared" si="287"/>
        <v>18.940000000000001</v>
      </c>
      <c r="I754" s="576"/>
      <c r="J754" s="549" t="s">
        <v>5804</v>
      </c>
      <c r="K754" s="11"/>
      <c r="L754"/>
      <c r="M754" s="37">
        <f t="shared" si="288"/>
        <v>23.67</v>
      </c>
      <c r="N754" s="29">
        <v>11.67</v>
      </c>
      <c r="O754" s="149"/>
      <c r="P754" s="144"/>
      <c r="S754" s="145" t="s">
        <v>4179</v>
      </c>
      <c r="T754" s="145" t="s">
        <v>4179</v>
      </c>
      <c r="U754" s="146" t="s">
        <v>1017</v>
      </c>
      <c r="W754" s="147"/>
      <c r="X754" s="147"/>
      <c r="Z754" s="145" t="s">
        <v>1017</v>
      </c>
      <c r="AA754" s="147"/>
      <c r="AD754" s="147"/>
      <c r="AE754" s="148"/>
      <c r="AF754" s="147"/>
      <c r="AG754" s="147"/>
      <c r="AH754" s="166" t="str">
        <f t="shared" ref="AH754:AH759" si="295">IF(ISERROR(SEARCH("K erstmals 201",D754)),"",RIGHT(D754,4))</f>
        <v/>
      </c>
      <c r="AI754" s="168" t="str">
        <f t="shared" si="281"/>
        <v/>
      </c>
      <c r="AJ754" s="168" t="str">
        <f t="shared" si="282"/>
        <v/>
      </c>
      <c r="AK754" s="168" t="str">
        <f t="shared" si="283"/>
        <v/>
      </c>
      <c r="AL754" s="168" t="str">
        <f t="shared" si="284"/>
        <v/>
      </c>
      <c r="AM754" s="168" t="str">
        <f t="shared" si="285"/>
        <v/>
      </c>
      <c r="AN754" s="167" t="str">
        <f t="shared" si="268"/>
        <v/>
      </c>
      <c r="AO754" s="167" t="str">
        <f t="shared" si="269"/>
        <v/>
      </c>
      <c r="AP754" s="167" t="str">
        <f t="shared" si="270"/>
        <v/>
      </c>
      <c r="AQ754" s="169" t="str">
        <f t="shared" si="271"/>
        <v/>
      </c>
      <c r="AR754" s="170" t="str">
        <f t="shared" si="272"/>
        <v>BiK81M1y----05</v>
      </c>
      <c r="AS754" s="169" t="str">
        <f t="shared" si="273"/>
        <v/>
      </c>
      <c r="AT754">
        <f t="shared" si="274"/>
        <v>14</v>
      </c>
      <c r="AU754" s="170" t="str">
        <f t="shared" si="275"/>
        <v>0-0,15 MW, Bonusregeln M1, y</v>
      </c>
      <c r="AV754" s="169" t="str">
        <f t="shared" si="276"/>
        <v/>
      </c>
      <c r="AW754" s="170" t="str">
        <f t="shared" si="277"/>
        <v>Anteil Nicht-KWK</v>
      </c>
      <c r="AX754" s="169" t="str">
        <f t="shared" si="278"/>
        <v/>
      </c>
      <c r="AY754" t="str">
        <f t="shared" si="279"/>
        <v/>
      </c>
      <c r="AZ754" t="str">
        <f t="shared" si="280"/>
        <v/>
      </c>
    </row>
    <row r="755" spans="1:52" s="145" customFormat="1" x14ac:dyDescent="0.35">
      <c r="A755" s="497" t="s">
        <v>4763</v>
      </c>
      <c r="B755" s="13" t="s">
        <v>5547</v>
      </c>
      <c r="C755" s="13" t="s">
        <v>1288</v>
      </c>
      <c r="D755" s="13" t="s">
        <v>6897</v>
      </c>
      <c r="E755" s="13" t="s">
        <v>4811</v>
      </c>
      <c r="F755" s="373">
        <f t="shared" si="286"/>
        <v>25.67</v>
      </c>
      <c r="G755" s="430">
        <v>25.67</v>
      </c>
      <c r="H755" s="399">
        <f t="shared" si="287"/>
        <v>20.54</v>
      </c>
      <c r="I755" s="576"/>
      <c r="J755" s="549" t="s">
        <v>5804</v>
      </c>
      <c r="K755" s="11"/>
      <c r="L755"/>
      <c r="M755" s="37">
        <f t="shared" si="288"/>
        <v>25.67</v>
      </c>
      <c r="N755" s="29">
        <v>11.67</v>
      </c>
      <c r="O755" s="149" t="s">
        <v>1017</v>
      </c>
      <c r="P755" s="144"/>
      <c r="S755" s="145" t="s">
        <v>4179</v>
      </c>
      <c r="T755" s="145" t="s">
        <v>4179</v>
      </c>
      <c r="U755" s="146" t="s">
        <v>1017</v>
      </c>
      <c r="W755" s="147"/>
      <c r="X755" s="147"/>
      <c r="Z755" s="145" t="s">
        <v>1017</v>
      </c>
      <c r="AA755" s="147"/>
      <c r="AD755" s="147"/>
      <c r="AE755" s="148"/>
      <c r="AF755" s="147"/>
      <c r="AG755" s="147"/>
      <c r="AH755" s="166" t="str">
        <f t="shared" si="295"/>
        <v/>
      </c>
      <c r="AI755" s="168" t="str">
        <f t="shared" si="281"/>
        <v/>
      </c>
      <c r="AJ755" s="168" t="str">
        <f t="shared" si="282"/>
        <v/>
      </c>
      <c r="AK755" s="168" t="str">
        <f t="shared" si="283"/>
        <v/>
      </c>
      <c r="AL755" s="168" t="str">
        <f t="shared" si="284"/>
        <v/>
      </c>
      <c r="AM755" s="168" t="str">
        <f t="shared" si="285"/>
        <v/>
      </c>
      <c r="AN755" s="167" t="str">
        <f t="shared" si="268"/>
        <v/>
      </c>
      <c r="AO755" s="167" t="str">
        <f t="shared" si="269"/>
        <v/>
      </c>
      <c r="AP755" s="167" t="str">
        <f t="shared" si="270"/>
        <v/>
      </c>
      <c r="AQ755" s="169" t="str">
        <f t="shared" si="271"/>
        <v/>
      </c>
      <c r="AR755" s="170" t="str">
        <f t="shared" si="272"/>
        <v>BiK81M1KWKy-05</v>
      </c>
      <c r="AS755" s="169" t="str">
        <f t="shared" si="273"/>
        <v/>
      </c>
      <c r="AT755">
        <f t="shared" si="274"/>
        <v>14</v>
      </c>
      <c r="AU755" s="170" t="str">
        <f t="shared" si="275"/>
        <v>0-0,15 MW, Bonusregeln M1, y und KWK</v>
      </c>
      <c r="AV755" s="169" t="str">
        <f t="shared" si="276"/>
        <v/>
      </c>
      <c r="AW755" s="170" t="str">
        <f t="shared" si="277"/>
        <v>Anteil KWK</v>
      </c>
      <c r="AX755" s="169" t="str">
        <f t="shared" si="278"/>
        <v/>
      </c>
      <c r="AY755" t="str">
        <f t="shared" si="279"/>
        <v/>
      </c>
      <c r="AZ755" t="str">
        <f t="shared" si="280"/>
        <v/>
      </c>
    </row>
    <row r="756" spans="1:52" x14ac:dyDescent="0.35">
      <c r="A756" s="497" t="s">
        <v>4764</v>
      </c>
      <c r="B756" s="13" t="s">
        <v>5547</v>
      </c>
      <c r="C756" s="13" t="s">
        <v>1288</v>
      </c>
      <c r="D756" s="88" t="s">
        <v>6824</v>
      </c>
      <c r="E756" s="13" t="s">
        <v>4330</v>
      </c>
      <c r="F756" s="373">
        <f t="shared" si="286"/>
        <v>26.67</v>
      </c>
      <c r="G756" s="430">
        <v>26.67</v>
      </c>
      <c r="H756" s="399">
        <f t="shared" si="287"/>
        <v>21.34</v>
      </c>
      <c r="I756" s="576"/>
      <c r="J756" s="549" t="s">
        <v>5804</v>
      </c>
      <c r="K756" s="11"/>
      <c r="M756" s="37">
        <f t="shared" si="288"/>
        <v>26.67</v>
      </c>
      <c r="N756" s="29">
        <v>11.67</v>
      </c>
      <c r="O756" s="149"/>
      <c r="P756" s="145" t="s">
        <v>1017</v>
      </c>
      <c r="Q756" s="145"/>
      <c r="R756" s="145"/>
      <c r="S756" s="145" t="s">
        <v>4179</v>
      </c>
      <c r="T756" t="s">
        <v>4179</v>
      </c>
      <c r="U756" s="146" t="s">
        <v>1017</v>
      </c>
      <c r="V756" s="145"/>
      <c r="W756" s="147"/>
      <c r="X756" s="147"/>
      <c r="Y756" s="145"/>
      <c r="Z756" s="145" t="s">
        <v>1017</v>
      </c>
      <c r="AA756" s="147"/>
      <c r="AB756" s="145"/>
      <c r="AC756" s="145"/>
      <c r="AD756" s="147"/>
      <c r="AE756" s="148"/>
      <c r="AF756" s="147"/>
      <c r="AG756" s="147"/>
      <c r="AH756" s="166" t="str">
        <f t="shared" si="295"/>
        <v/>
      </c>
      <c r="AI756" s="168" t="str">
        <f t="shared" si="281"/>
        <v/>
      </c>
      <c r="AJ756" s="168" t="str">
        <f t="shared" si="282"/>
        <v/>
      </c>
      <c r="AK756" s="168" t="str">
        <f t="shared" si="283"/>
        <v/>
      </c>
      <c r="AL756" s="168" t="str">
        <f t="shared" si="284"/>
        <v/>
      </c>
      <c r="AM756" s="168" t="str">
        <f t="shared" si="285"/>
        <v/>
      </c>
      <c r="AN756" s="167" t="str">
        <f t="shared" si="268"/>
        <v/>
      </c>
      <c r="AO756" s="167" t="str">
        <f t="shared" si="269"/>
        <v/>
      </c>
      <c r="AP756" s="167" t="str">
        <f t="shared" si="270"/>
        <v/>
      </c>
      <c r="AQ756" s="169" t="str">
        <f t="shared" si="271"/>
        <v/>
      </c>
      <c r="AR756" s="170" t="str">
        <f t="shared" si="272"/>
        <v>BiK81M1KA3y-05</v>
      </c>
      <c r="AS756" s="169" t="str">
        <f t="shared" si="273"/>
        <v/>
      </c>
      <c r="AT756">
        <f t="shared" si="274"/>
        <v>14</v>
      </c>
      <c r="AU756" s="170" t="str">
        <f t="shared" si="275"/>
        <v>0-0,15 MW, Bonusregeln M1, y und K wenn Anlage 3 erfüllt</v>
      </c>
      <c r="AV756" s="169" t="str">
        <f t="shared" si="276"/>
        <v/>
      </c>
      <c r="AW756" s="170" t="str">
        <f t="shared" si="277"/>
        <v>Anteil KWK gemäß Anlage 3</v>
      </c>
      <c r="AX756" s="169" t="str">
        <f t="shared" si="278"/>
        <v/>
      </c>
      <c r="AY756" t="str">
        <f t="shared" si="279"/>
        <v/>
      </c>
      <c r="AZ756" t="str">
        <f t="shared" si="280"/>
        <v/>
      </c>
    </row>
    <row r="757" spans="1:52" x14ac:dyDescent="0.35">
      <c r="A757" s="497" t="s">
        <v>4765</v>
      </c>
      <c r="B757" s="13" t="s">
        <v>5547</v>
      </c>
      <c r="C757" s="13" t="s">
        <v>1288</v>
      </c>
      <c r="D757" s="13" t="s">
        <v>6825</v>
      </c>
      <c r="E757" s="13" t="s">
        <v>674</v>
      </c>
      <c r="F757" s="373">
        <f t="shared" si="286"/>
        <v>26.67</v>
      </c>
      <c r="G757" s="430">
        <v>26.67</v>
      </c>
      <c r="H757" s="399">
        <f t="shared" si="287"/>
        <v>21.34</v>
      </c>
      <c r="I757" s="576"/>
      <c r="J757" s="549" t="s">
        <v>5804</v>
      </c>
      <c r="K757" s="11"/>
      <c r="M757" s="37">
        <f t="shared" si="288"/>
        <v>26.67</v>
      </c>
      <c r="N757" s="29">
        <v>11.67</v>
      </c>
      <c r="O757" s="149"/>
      <c r="P757" s="144"/>
      <c r="Q757" s="145" t="s">
        <v>1017</v>
      </c>
      <c r="R757" s="145"/>
      <c r="S757" s="145" t="s">
        <v>4179</v>
      </c>
      <c r="T757" t="s">
        <v>4179</v>
      </c>
      <c r="U757" s="146" t="s">
        <v>1017</v>
      </c>
      <c r="V757" s="145"/>
      <c r="W757" s="147"/>
      <c r="X757" s="147"/>
      <c r="Y757" s="145"/>
      <c r="Z757" s="145" t="s">
        <v>1017</v>
      </c>
      <c r="AA757" s="147"/>
      <c r="AB757" s="145"/>
      <c r="AC757" s="145"/>
      <c r="AD757" s="147"/>
      <c r="AE757" s="148"/>
      <c r="AF757" s="147"/>
      <c r="AG757" s="147"/>
      <c r="AH757" s="166" t="str">
        <f t="shared" si="295"/>
        <v/>
      </c>
      <c r="AI757" s="168" t="str">
        <f t="shared" si="281"/>
        <v/>
      </c>
      <c r="AJ757" s="168" t="str">
        <f t="shared" si="282"/>
        <v/>
      </c>
      <c r="AK757" s="168" t="str">
        <f t="shared" si="283"/>
        <v/>
      </c>
      <c r="AL757" s="168" t="str">
        <f t="shared" si="284"/>
        <v/>
      </c>
      <c r="AM757" s="168" t="str">
        <f t="shared" si="285"/>
        <v/>
      </c>
      <c r="AN757" s="167" t="str">
        <f t="shared" si="268"/>
        <v/>
      </c>
      <c r="AO757" s="167" t="str">
        <f t="shared" si="269"/>
        <v/>
      </c>
      <c r="AP757" s="167" t="str">
        <f t="shared" si="270"/>
        <v/>
      </c>
      <c r="AQ757" s="169" t="str">
        <f t="shared" si="271"/>
        <v/>
      </c>
      <c r="AR757" s="170" t="str">
        <f t="shared" si="272"/>
        <v>BiK81M1K09y-05</v>
      </c>
      <c r="AS757" s="169" t="str">
        <f t="shared" si="273"/>
        <v/>
      </c>
      <c r="AT757">
        <f t="shared" si="274"/>
        <v>14</v>
      </c>
      <c r="AU757" s="170" t="str">
        <f t="shared" si="275"/>
        <v>0-0,15 MW, Bonusregeln M1, y und K erstmals 2009</v>
      </c>
      <c r="AV757" s="169" t="str">
        <f t="shared" si="276"/>
        <v/>
      </c>
      <c r="AW757" s="170" t="str">
        <f t="shared" si="277"/>
        <v>Anteil KWK, erstmals 2009</v>
      </c>
      <c r="AX757" s="169" t="str">
        <f t="shared" si="278"/>
        <v/>
      </c>
      <c r="AY757" t="str">
        <f t="shared" si="279"/>
        <v/>
      </c>
      <c r="AZ757" t="str">
        <f t="shared" si="280"/>
        <v/>
      </c>
    </row>
    <row r="758" spans="1:52" x14ac:dyDescent="0.35">
      <c r="A758" s="497" t="s">
        <v>3574</v>
      </c>
      <c r="B758" s="13" t="s">
        <v>5547</v>
      </c>
      <c r="C758" s="13" t="s">
        <v>1288</v>
      </c>
      <c r="D758" s="13" t="s">
        <v>6826</v>
      </c>
      <c r="E758" s="13" t="s">
        <v>3566</v>
      </c>
      <c r="F758" s="373">
        <f t="shared" si="286"/>
        <v>26.64</v>
      </c>
      <c r="G758" s="430">
        <v>26.64</v>
      </c>
      <c r="H758" s="399">
        <f t="shared" si="287"/>
        <v>21.31</v>
      </c>
      <c r="I758" s="576"/>
      <c r="J758" s="549" t="s">
        <v>5804</v>
      </c>
      <c r="K758" s="11"/>
      <c r="M758" s="37">
        <f t="shared" si="288"/>
        <v>26.64</v>
      </c>
      <c r="N758" s="29">
        <v>11.67</v>
      </c>
      <c r="O758" s="149"/>
      <c r="P758" s="144"/>
      <c r="Q758" s="145"/>
      <c r="R758" s="145" t="s">
        <v>1017</v>
      </c>
      <c r="S758" s="145" t="s">
        <v>4179</v>
      </c>
      <c r="T758" t="s">
        <v>4179</v>
      </c>
      <c r="U758" s="146" t="s">
        <v>1017</v>
      </c>
      <c r="V758" s="145"/>
      <c r="W758" s="147"/>
      <c r="X758" s="147"/>
      <c r="Y758" s="145"/>
      <c r="Z758" s="145" t="s">
        <v>1017</v>
      </c>
      <c r="AA758" s="147"/>
      <c r="AB758" s="145"/>
      <c r="AC758" s="145"/>
      <c r="AD758" s="147"/>
      <c r="AE758" s="148"/>
      <c r="AF758" s="147"/>
      <c r="AG758" s="147"/>
      <c r="AH758" s="166" t="str">
        <f t="shared" si="295"/>
        <v>2010</v>
      </c>
      <c r="AI758" s="168" t="str">
        <f t="shared" si="281"/>
        <v/>
      </c>
      <c r="AJ758" s="168" t="str">
        <f t="shared" si="282"/>
        <v/>
      </c>
      <c r="AK758" s="168" t="str">
        <f t="shared" si="283"/>
        <v/>
      </c>
      <c r="AL758" s="168" t="str">
        <f t="shared" si="284"/>
        <v/>
      </c>
      <c r="AM758" s="168" t="str">
        <f t="shared" si="285"/>
        <v/>
      </c>
      <c r="AN758" s="167" t="str">
        <f t="shared" si="268"/>
        <v>2010</v>
      </c>
      <c r="AO758" s="167" t="str">
        <f t="shared" si="269"/>
        <v>2010</v>
      </c>
      <c r="AP758" s="167" t="str">
        <f t="shared" si="270"/>
        <v>2010</v>
      </c>
      <c r="AQ758" s="169" t="str">
        <f t="shared" si="271"/>
        <v/>
      </c>
      <c r="AR758" s="170" t="str">
        <f t="shared" si="272"/>
        <v>BiK81M1K10y-05</v>
      </c>
      <c r="AS758" s="169" t="str">
        <f t="shared" si="273"/>
        <v/>
      </c>
      <c r="AT758">
        <f t="shared" si="274"/>
        <v>14</v>
      </c>
      <c r="AU758" s="170" t="str">
        <f t="shared" si="275"/>
        <v>0-0,15 MW, Bonusregeln M1, y und K erstmals 2010</v>
      </c>
      <c r="AV758" s="169" t="str">
        <f t="shared" si="276"/>
        <v/>
      </c>
      <c r="AW758" s="170" t="str">
        <f t="shared" si="277"/>
        <v>Anteil KWK, erstmals 2010</v>
      </c>
      <c r="AX758" s="169" t="str">
        <f t="shared" si="278"/>
        <v/>
      </c>
      <c r="AY758" t="str">
        <f t="shared" si="279"/>
        <v/>
      </c>
      <c r="AZ758" t="str">
        <f t="shared" si="280"/>
        <v/>
      </c>
    </row>
    <row r="759" spans="1:52" x14ac:dyDescent="0.35">
      <c r="A759" s="497" t="s">
        <v>5305</v>
      </c>
      <c r="B759" s="13" t="s">
        <v>5547</v>
      </c>
      <c r="C759" s="13" t="s">
        <v>1288</v>
      </c>
      <c r="D759" s="13" t="s">
        <v>6827</v>
      </c>
      <c r="E759" s="13" t="s">
        <v>3054</v>
      </c>
      <c r="F759" s="373">
        <f t="shared" si="286"/>
        <v>26.61</v>
      </c>
      <c r="G759" s="430">
        <v>26.61</v>
      </c>
      <c r="H759" s="399">
        <f t="shared" si="287"/>
        <v>21.29</v>
      </c>
      <c r="I759" s="576"/>
      <c r="J759" s="549" t="s">
        <v>5804</v>
      </c>
      <c r="K759" s="11"/>
      <c r="M759" s="37">
        <f t="shared" si="288"/>
        <v>26.61</v>
      </c>
      <c r="N759" s="29">
        <v>11.67</v>
      </c>
      <c r="O759" s="149"/>
      <c r="P759" s="144"/>
      <c r="Q759" s="145"/>
      <c r="R759" s="145"/>
      <c r="S759" s="145" t="s">
        <v>1017</v>
      </c>
      <c r="T759" t="s">
        <v>4179</v>
      </c>
      <c r="U759" s="146" t="s">
        <v>1017</v>
      </c>
      <c r="V759" s="145"/>
      <c r="W759" s="147"/>
      <c r="X759" s="147"/>
      <c r="Y759" s="145"/>
      <c r="Z759" s="145" t="s">
        <v>1017</v>
      </c>
      <c r="AA759" s="147"/>
      <c r="AB759" s="145"/>
      <c r="AC759" s="145"/>
      <c r="AD759" s="147"/>
      <c r="AE759" s="148"/>
      <c r="AF759" s="147"/>
      <c r="AG759" s="147"/>
      <c r="AH759" s="166" t="str">
        <f t="shared" si="295"/>
        <v>2011</v>
      </c>
      <c r="AI759" s="168" t="str">
        <f t="shared" si="281"/>
        <v/>
      </c>
      <c r="AJ759" s="168" t="str">
        <f t="shared" si="282"/>
        <v/>
      </c>
      <c r="AK759" s="168" t="str">
        <f t="shared" si="283"/>
        <v/>
      </c>
      <c r="AL759" s="168" t="str">
        <f t="shared" si="284"/>
        <v/>
      </c>
      <c r="AM759" s="168" t="str">
        <f t="shared" si="285"/>
        <v/>
      </c>
      <c r="AN759" s="167" t="str">
        <f t="shared" si="268"/>
        <v>2011</v>
      </c>
      <c r="AO759" s="167" t="str">
        <f t="shared" si="269"/>
        <v>2011</v>
      </c>
      <c r="AP759" s="167" t="str">
        <f t="shared" si="270"/>
        <v>2011</v>
      </c>
      <c r="AQ759" s="169" t="str">
        <f t="shared" si="271"/>
        <v/>
      </c>
      <c r="AR759" s="170" t="str">
        <f t="shared" si="272"/>
        <v>BiK81M1K11y-05</v>
      </c>
      <c r="AS759" s="169" t="str">
        <f t="shared" si="273"/>
        <v/>
      </c>
      <c r="AT759">
        <f t="shared" si="274"/>
        <v>14</v>
      </c>
      <c r="AU759" s="170" t="str">
        <f t="shared" si="275"/>
        <v>0-0,15 MW, Bonusregeln M1, y und K erstmals 2011</v>
      </c>
      <c r="AV759" s="169" t="str">
        <f t="shared" si="276"/>
        <v/>
      </c>
      <c r="AW759" s="170" t="str">
        <f t="shared" si="277"/>
        <v>Anteil KWK, erstmals 2011</v>
      </c>
      <c r="AX759" s="169" t="str">
        <f t="shared" si="278"/>
        <v/>
      </c>
      <c r="AY759" t="str">
        <f t="shared" si="279"/>
        <v>x</v>
      </c>
      <c r="AZ759" t="str">
        <f t="shared" si="280"/>
        <v/>
      </c>
    </row>
    <row r="760" spans="1:52" x14ac:dyDescent="0.35">
      <c r="A760" s="511" t="s">
        <v>1556</v>
      </c>
      <c r="B760" s="173" t="s">
        <v>5547</v>
      </c>
      <c r="C760" s="173" t="s">
        <v>1288</v>
      </c>
      <c r="D760" s="173" t="s">
        <v>6828</v>
      </c>
      <c r="E760" s="173" t="s">
        <v>1980</v>
      </c>
      <c r="F760" s="374">
        <f t="shared" si="286"/>
        <v>26.58</v>
      </c>
      <c r="G760" s="431">
        <v>26.58</v>
      </c>
      <c r="H760" s="400">
        <f t="shared" si="287"/>
        <v>21.26</v>
      </c>
      <c r="I760" s="577"/>
      <c r="J760" s="549" t="s">
        <v>5804</v>
      </c>
      <c r="K760" s="11"/>
      <c r="M760" s="37">
        <f t="shared" si="288"/>
        <v>26.58</v>
      </c>
      <c r="N760" s="29">
        <v>11.67</v>
      </c>
      <c r="O760" s="149"/>
      <c r="P760" s="144"/>
      <c r="Q760" s="145"/>
      <c r="R760" s="145"/>
      <c r="S760" s="145" t="s">
        <v>4179</v>
      </c>
      <c r="T760" t="s">
        <v>1017</v>
      </c>
      <c r="U760" s="146" t="s">
        <v>1017</v>
      </c>
      <c r="V760" s="145"/>
      <c r="W760" s="147"/>
      <c r="X760" s="147"/>
      <c r="Y760" s="145"/>
      <c r="Z760" s="145" t="s">
        <v>1017</v>
      </c>
      <c r="AA760" s="147"/>
      <c r="AB760" s="145"/>
      <c r="AC760" s="145"/>
      <c r="AD760" s="147"/>
      <c r="AE760" s="148"/>
      <c r="AF760" s="147"/>
      <c r="AG760" s="147"/>
      <c r="AH760" s="171" t="s">
        <v>4178</v>
      </c>
      <c r="AI760" s="168" t="str">
        <f t="shared" si="281"/>
        <v/>
      </c>
      <c r="AJ760" s="168" t="str">
        <f t="shared" si="282"/>
        <v/>
      </c>
      <c r="AK760" s="168" t="str">
        <f t="shared" si="283"/>
        <v/>
      </c>
      <c r="AL760" s="168" t="str">
        <f t="shared" si="284"/>
        <v/>
      </c>
      <c r="AM760" s="168" t="str">
        <f t="shared" si="285"/>
        <v/>
      </c>
      <c r="AN760" s="167" t="str">
        <f t="shared" si="268"/>
        <v>2012</v>
      </c>
      <c r="AO760" s="167" t="str">
        <f t="shared" si="269"/>
        <v>2012</v>
      </c>
      <c r="AP760" s="167" t="str">
        <f t="shared" si="270"/>
        <v>2012</v>
      </c>
      <c r="AQ760" s="169" t="str">
        <f t="shared" si="271"/>
        <v/>
      </c>
      <c r="AR760" s="170" t="str">
        <f t="shared" si="272"/>
        <v>BiK81M1K12y-05</v>
      </c>
      <c r="AS760" s="169" t="str">
        <f t="shared" si="273"/>
        <v/>
      </c>
      <c r="AT760">
        <f t="shared" si="274"/>
        <v>14</v>
      </c>
      <c r="AU760" s="170" t="str">
        <f t="shared" si="275"/>
        <v>0-0,15 MW, Bonusregeln M1, y und K erstmals 2012</v>
      </c>
      <c r="AV760" s="169" t="str">
        <f t="shared" si="276"/>
        <v/>
      </c>
      <c r="AW760" s="170" t="str">
        <f t="shared" si="277"/>
        <v>Anteil KWK, erstmals 2012</v>
      </c>
      <c r="AX760" s="169" t="str">
        <f t="shared" si="278"/>
        <v/>
      </c>
      <c r="AY760" t="str">
        <f t="shared" si="279"/>
        <v/>
      </c>
      <c r="AZ760" t="str">
        <f t="shared" si="280"/>
        <v>x</v>
      </c>
    </row>
    <row r="761" spans="1:52" x14ac:dyDescent="0.35">
      <c r="A761" s="497" t="s">
        <v>4766</v>
      </c>
      <c r="B761" s="13" t="s">
        <v>5547</v>
      </c>
      <c r="C761" s="13" t="s">
        <v>1288</v>
      </c>
      <c r="D761" s="13" t="s">
        <v>6829</v>
      </c>
      <c r="E761" s="13" t="s">
        <v>4809</v>
      </c>
      <c r="F761" s="373">
        <f t="shared" si="286"/>
        <v>20.67</v>
      </c>
      <c r="G761" s="430">
        <v>20.67</v>
      </c>
      <c r="H761" s="399">
        <f t="shared" si="287"/>
        <v>16.54</v>
      </c>
      <c r="I761" s="576"/>
      <c r="J761" s="549" t="s">
        <v>5804</v>
      </c>
      <c r="K761" s="11"/>
      <c r="M761" s="37">
        <f t="shared" si="288"/>
        <v>20.67</v>
      </c>
      <c r="N761" s="29">
        <v>11.67</v>
      </c>
      <c r="O761" s="149"/>
      <c r="P761" s="144"/>
      <c r="Q761" s="145"/>
      <c r="R761" s="145"/>
      <c r="S761" s="145" t="s">
        <v>4179</v>
      </c>
      <c r="T761" t="s">
        <v>4179</v>
      </c>
      <c r="U761" s="146"/>
      <c r="V761" s="145"/>
      <c r="W761" s="147"/>
      <c r="X761" s="147"/>
      <c r="Y761" s="145"/>
      <c r="Z761" s="145"/>
      <c r="AA761" s="147"/>
      <c r="AB761" s="145" t="s">
        <v>1017</v>
      </c>
      <c r="AC761" s="145"/>
      <c r="AD761" s="147"/>
      <c r="AE761" s="148"/>
      <c r="AF761" s="147"/>
      <c r="AG761" s="147"/>
      <c r="AH761" s="166" t="str">
        <f t="shared" ref="AH761:AH766" si="296">IF(ISERROR(SEARCH("K erstmals 201",D761)),"",RIGHT(D761,4))</f>
        <v/>
      </c>
      <c r="AI761" s="168" t="str">
        <f t="shared" si="281"/>
        <v/>
      </c>
      <c r="AJ761" s="168" t="str">
        <f t="shared" si="282"/>
        <v/>
      </c>
      <c r="AK761" s="168" t="str">
        <f t="shared" si="283"/>
        <v/>
      </c>
      <c r="AL761" s="168" t="str">
        <f t="shared" si="284"/>
        <v/>
      </c>
      <c r="AM761" s="168" t="str">
        <f t="shared" si="285"/>
        <v/>
      </c>
      <c r="AN761" s="167" t="str">
        <f t="shared" si="268"/>
        <v/>
      </c>
      <c r="AO761" s="167" t="str">
        <f t="shared" si="269"/>
        <v/>
      </c>
      <c r="AP761" s="167" t="str">
        <f t="shared" si="270"/>
        <v/>
      </c>
      <c r="AQ761" s="169" t="str">
        <f t="shared" si="271"/>
        <v/>
      </c>
      <c r="AR761" s="170" t="str">
        <f t="shared" si="272"/>
        <v>BiK81L------05</v>
      </c>
      <c r="AS761" s="169" t="str">
        <f t="shared" si="273"/>
        <v/>
      </c>
      <c r="AT761">
        <f t="shared" si="274"/>
        <v>14</v>
      </c>
      <c r="AU761" s="170" t="str">
        <f t="shared" si="275"/>
        <v>0-0,15 MW, Bonusregel L</v>
      </c>
      <c r="AV761" s="169" t="str">
        <f t="shared" si="276"/>
        <v/>
      </c>
      <c r="AW761" s="170" t="str">
        <f t="shared" si="277"/>
        <v>Anteil Nicht-KWK</v>
      </c>
      <c r="AX761" s="169" t="str">
        <f t="shared" si="278"/>
        <v/>
      </c>
      <c r="AY761" t="str">
        <f t="shared" si="279"/>
        <v/>
      </c>
      <c r="AZ761" t="str">
        <f t="shared" si="280"/>
        <v/>
      </c>
    </row>
    <row r="762" spans="1:52" x14ac:dyDescent="0.35">
      <c r="A762" s="497" t="s">
        <v>4767</v>
      </c>
      <c r="B762" s="13" t="s">
        <v>5547</v>
      </c>
      <c r="C762" s="13" t="s">
        <v>1288</v>
      </c>
      <c r="D762" s="13" t="s">
        <v>6898</v>
      </c>
      <c r="E762" s="13" t="s">
        <v>4811</v>
      </c>
      <c r="F762" s="373">
        <f t="shared" si="286"/>
        <v>22.67</v>
      </c>
      <c r="G762" s="430">
        <v>22.67</v>
      </c>
      <c r="H762" s="399">
        <f t="shared" si="287"/>
        <v>18.14</v>
      </c>
      <c r="I762" s="576"/>
      <c r="J762" s="549" t="s">
        <v>5804</v>
      </c>
      <c r="K762" s="11"/>
      <c r="M762" s="37">
        <f t="shared" si="288"/>
        <v>22.67</v>
      </c>
      <c r="N762" s="29">
        <v>11.67</v>
      </c>
      <c r="O762" s="149" t="s">
        <v>1017</v>
      </c>
      <c r="P762" s="144"/>
      <c r="Q762" s="145"/>
      <c r="R762" s="145"/>
      <c r="S762" s="145" t="s">
        <v>4179</v>
      </c>
      <c r="T762" t="s">
        <v>4179</v>
      </c>
      <c r="U762" s="146"/>
      <c r="V762" s="145"/>
      <c r="W762" s="147"/>
      <c r="X762" s="147"/>
      <c r="Y762" s="145"/>
      <c r="Z762" s="145"/>
      <c r="AA762" s="147"/>
      <c r="AB762" s="145" t="s">
        <v>1017</v>
      </c>
      <c r="AC762" s="145"/>
      <c r="AD762" s="147"/>
      <c r="AE762" s="148"/>
      <c r="AF762" s="147"/>
      <c r="AG762" s="147"/>
      <c r="AH762" s="166" t="str">
        <f t="shared" si="296"/>
        <v/>
      </c>
      <c r="AI762" s="168" t="str">
        <f t="shared" si="281"/>
        <v/>
      </c>
      <c r="AJ762" s="168" t="str">
        <f t="shared" si="282"/>
        <v/>
      </c>
      <c r="AK762" s="168" t="str">
        <f t="shared" si="283"/>
        <v/>
      </c>
      <c r="AL762" s="168" t="str">
        <f t="shared" si="284"/>
        <v/>
      </c>
      <c r="AM762" s="168" t="str">
        <f t="shared" si="285"/>
        <v/>
      </c>
      <c r="AN762" s="167" t="str">
        <f t="shared" si="268"/>
        <v/>
      </c>
      <c r="AO762" s="167" t="str">
        <f t="shared" si="269"/>
        <v/>
      </c>
      <c r="AP762" s="167" t="str">
        <f t="shared" si="270"/>
        <v/>
      </c>
      <c r="AQ762" s="169" t="str">
        <f t="shared" si="271"/>
        <v/>
      </c>
      <c r="AR762" s="170" t="str">
        <f t="shared" si="272"/>
        <v>BiK81LKWK---05</v>
      </c>
      <c r="AS762" s="169" t="str">
        <f t="shared" si="273"/>
        <v/>
      </c>
      <c r="AT762">
        <f t="shared" si="274"/>
        <v>14</v>
      </c>
      <c r="AU762" s="170" t="str">
        <f t="shared" si="275"/>
        <v>0-0,15 MW, Bonusregeln L und KWK</v>
      </c>
      <c r="AV762" s="169" t="str">
        <f t="shared" si="276"/>
        <v/>
      </c>
      <c r="AW762" s="170" t="str">
        <f t="shared" si="277"/>
        <v>Anteil KWK</v>
      </c>
      <c r="AX762" s="169" t="str">
        <f t="shared" si="278"/>
        <v/>
      </c>
      <c r="AY762" t="str">
        <f t="shared" si="279"/>
        <v/>
      </c>
      <c r="AZ762" t="str">
        <f t="shared" si="280"/>
        <v/>
      </c>
    </row>
    <row r="763" spans="1:52" x14ac:dyDescent="0.35">
      <c r="A763" s="497" t="s">
        <v>4768</v>
      </c>
      <c r="B763" s="13" t="s">
        <v>5547</v>
      </c>
      <c r="C763" s="13" t="s">
        <v>1288</v>
      </c>
      <c r="D763" s="13" t="s">
        <v>6830</v>
      </c>
      <c r="E763" s="13" t="s">
        <v>4330</v>
      </c>
      <c r="F763" s="373">
        <f t="shared" si="286"/>
        <v>23.67</v>
      </c>
      <c r="G763" s="430">
        <v>23.67</v>
      </c>
      <c r="H763" s="399">
        <f t="shared" si="287"/>
        <v>18.940000000000001</v>
      </c>
      <c r="I763" s="576"/>
      <c r="J763" s="549" t="s">
        <v>5804</v>
      </c>
      <c r="K763" s="11"/>
      <c r="M763" s="37">
        <f t="shared" si="288"/>
        <v>23.67</v>
      </c>
      <c r="N763" s="29">
        <v>11.67</v>
      </c>
      <c r="O763" s="149"/>
      <c r="P763" s="145" t="s">
        <v>1017</v>
      </c>
      <c r="Q763" s="145"/>
      <c r="R763" s="145"/>
      <c r="S763" s="145" t="s">
        <v>4179</v>
      </c>
      <c r="T763" t="s">
        <v>4179</v>
      </c>
      <c r="U763" s="146"/>
      <c r="V763" s="145"/>
      <c r="W763" s="147"/>
      <c r="X763" s="147"/>
      <c r="Y763" s="145"/>
      <c r="Z763" s="145"/>
      <c r="AA763" s="147"/>
      <c r="AB763" s="145" t="s">
        <v>1017</v>
      </c>
      <c r="AC763" s="145"/>
      <c r="AD763" s="147"/>
      <c r="AE763" s="148"/>
      <c r="AF763" s="147"/>
      <c r="AG763" s="147"/>
      <c r="AH763" s="166" t="str">
        <f t="shared" si="296"/>
        <v/>
      </c>
      <c r="AI763" s="168" t="str">
        <f t="shared" si="281"/>
        <v/>
      </c>
      <c r="AJ763" s="168" t="str">
        <f t="shared" si="282"/>
        <v/>
      </c>
      <c r="AK763" s="168" t="str">
        <f t="shared" si="283"/>
        <v/>
      </c>
      <c r="AL763" s="168" t="str">
        <f t="shared" si="284"/>
        <v/>
      </c>
      <c r="AM763" s="168" t="str">
        <f t="shared" si="285"/>
        <v/>
      </c>
      <c r="AN763" s="167" t="str">
        <f t="shared" si="268"/>
        <v/>
      </c>
      <c r="AO763" s="167" t="str">
        <f t="shared" si="269"/>
        <v/>
      </c>
      <c r="AP763" s="167" t="str">
        <f t="shared" si="270"/>
        <v/>
      </c>
      <c r="AQ763" s="169" t="str">
        <f t="shared" si="271"/>
        <v/>
      </c>
      <c r="AR763" s="170" t="str">
        <f t="shared" si="272"/>
        <v>BiK81LKA3---05</v>
      </c>
      <c r="AS763" s="169" t="str">
        <f t="shared" si="273"/>
        <v/>
      </c>
      <c r="AT763">
        <f t="shared" si="274"/>
        <v>14</v>
      </c>
      <c r="AU763" s="170" t="str">
        <f t="shared" si="275"/>
        <v>0-0,15 MW, Bonusregeln L und K wenn Anlage 3 erfüllt</v>
      </c>
      <c r="AV763" s="169" t="str">
        <f t="shared" si="276"/>
        <v/>
      </c>
      <c r="AW763" s="170" t="str">
        <f t="shared" si="277"/>
        <v>Anteil KWK gemäß Anlage 3</v>
      </c>
      <c r="AX763" s="169" t="str">
        <f t="shared" si="278"/>
        <v/>
      </c>
      <c r="AY763" t="str">
        <f t="shared" si="279"/>
        <v/>
      </c>
      <c r="AZ763" t="str">
        <f t="shared" si="280"/>
        <v/>
      </c>
    </row>
    <row r="764" spans="1:52" x14ac:dyDescent="0.35">
      <c r="A764" s="497" t="s">
        <v>4769</v>
      </c>
      <c r="B764" s="13" t="s">
        <v>5547</v>
      </c>
      <c r="C764" s="13" t="s">
        <v>1288</v>
      </c>
      <c r="D764" s="13" t="s">
        <v>6831</v>
      </c>
      <c r="E764" s="13" t="s">
        <v>674</v>
      </c>
      <c r="F764" s="373">
        <f t="shared" si="286"/>
        <v>23.67</v>
      </c>
      <c r="G764" s="430">
        <v>23.67</v>
      </c>
      <c r="H764" s="399">
        <f t="shared" si="287"/>
        <v>18.940000000000001</v>
      </c>
      <c r="I764" s="576"/>
      <c r="J764" s="549" t="s">
        <v>5804</v>
      </c>
      <c r="K764" s="11"/>
      <c r="M764" s="37">
        <f t="shared" si="288"/>
        <v>23.67</v>
      </c>
      <c r="N764" s="29">
        <v>11.67</v>
      </c>
      <c r="O764" s="149"/>
      <c r="P764" s="144"/>
      <c r="Q764" s="145" t="s">
        <v>1017</v>
      </c>
      <c r="R764" s="145"/>
      <c r="S764" s="145" t="s">
        <v>4179</v>
      </c>
      <c r="T764" t="s">
        <v>4179</v>
      </c>
      <c r="U764" s="146"/>
      <c r="V764" s="145"/>
      <c r="W764" s="147"/>
      <c r="X764" s="147"/>
      <c r="Y764" s="145"/>
      <c r="Z764" s="145"/>
      <c r="AA764" s="147"/>
      <c r="AB764" s="145" t="s">
        <v>1017</v>
      </c>
      <c r="AC764" s="145"/>
      <c r="AD764" s="147"/>
      <c r="AE764" s="148"/>
      <c r="AF764" s="147"/>
      <c r="AG764" s="147"/>
      <c r="AH764" s="166" t="str">
        <f t="shared" si="296"/>
        <v/>
      </c>
      <c r="AI764" s="168" t="str">
        <f t="shared" si="281"/>
        <v/>
      </c>
      <c r="AJ764" s="168" t="str">
        <f t="shared" si="282"/>
        <v/>
      </c>
      <c r="AK764" s="168" t="str">
        <f t="shared" si="283"/>
        <v/>
      </c>
      <c r="AL764" s="168" t="str">
        <f t="shared" si="284"/>
        <v/>
      </c>
      <c r="AM764" s="168" t="str">
        <f t="shared" si="285"/>
        <v/>
      </c>
      <c r="AN764" s="167" t="str">
        <f t="shared" ref="AN764:AN827" si="297">IF(ISERROR(SEARCH("K1",A764)),"","20"&amp;MID(A764,SEARCH("K1",A764)+1,2))</f>
        <v/>
      </c>
      <c r="AO764" s="167" t="str">
        <f t="shared" ref="AO764:AO827" si="298">IF(ISERROR(SEARCH("erstmals 201",E764)),"",MID(E764,SEARCH("erstmals ",E764)+9,4))</f>
        <v/>
      </c>
      <c r="AP764" s="167" t="str">
        <f t="shared" ref="AP764:AP827" si="299">IF(R764="x","2010",IF(S764="x","2011",IF(T764="x","2012","")))</f>
        <v/>
      </c>
      <c r="AQ764" s="169" t="str">
        <f t="shared" ref="AQ764:AQ827" si="300">IF(OR(AH764&lt;&gt;AN764,AH764&lt;&gt;AO764,AH764&lt;&gt;AP764),"DIFF","")</f>
        <v/>
      </c>
      <c r="AR764" s="170" t="str">
        <f t="shared" ref="AR764:AR827" si="301">IF(A764="","",IF(ISERROR(SEARCH("K1",A764)),A764,LEFT(A764,SEARCH("K1",A764)+1)&amp;RIGHT(AH764,1)&amp;MID(A764,SEARCH("K1",A764)+3,14)))</f>
        <v>BiK81LK09---05</v>
      </c>
      <c r="AS764" s="169" t="str">
        <f t="shared" ref="AS764:AS827" si="302">IF(OR(A764&lt;&gt;AR764),"DIFF","")</f>
        <v/>
      </c>
      <c r="AT764">
        <f t="shared" ref="AT764:AT827" si="303">LEN(AR764)</f>
        <v>14</v>
      </c>
      <c r="AU764" s="170" t="str">
        <f t="shared" ref="AU764:AU827" si="304">IF(D764="","",IF(OR(A764="",ISERROR(SEARCH("erstmals 201",D764))),D764,LEFT(D764,SEARCH("erstmals 201",D764)+8) &amp; AH764 &amp; MID(D764,SEARCH("erstmals 201",D764)+13,255)))</f>
        <v>0-0,15 MW, Bonusregeln L und K erstmals 2009</v>
      </c>
      <c r="AV764" s="169" t="str">
        <f t="shared" ref="AV764:AV827" si="305">IF(OR(D764&lt;&gt;AU764),"DIFF","")</f>
        <v/>
      </c>
      <c r="AW764" s="170" t="str">
        <f t="shared" ref="AW764:AW827" si="306">IF(E764="","",IF(OR(E764="",ISERROR(SEARCH("erstmals 201",E764))),E764,LEFT(E764,SEARCH("erstmals 201",E764)+8) &amp; AH764 &amp; MID(E764,SEARCH("erstmals 201",E764)+13,255)))</f>
        <v>Anteil KWK, erstmals 2009</v>
      </c>
      <c r="AX764" s="169" t="str">
        <f t="shared" ref="AX764:AX827" si="307">IF(OR(E764&lt;&gt;AW764),"DIFF","")</f>
        <v/>
      </c>
      <c r="AY764" t="str">
        <f t="shared" ref="AY764:AY827" si="308">IF(AH764="2011","x",IF(AH764="2012","","" &amp; S764))</f>
        <v/>
      </c>
      <c r="AZ764" t="str">
        <f t="shared" ref="AZ764:AZ827" si="309">IF(AH764="2012","x",IF(AH764="2011","","" &amp; T764))</f>
        <v/>
      </c>
    </row>
    <row r="765" spans="1:52" x14ac:dyDescent="0.35">
      <c r="A765" s="497" t="s">
        <v>3575</v>
      </c>
      <c r="B765" s="13" t="s">
        <v>5547</v>
      </c>
      <c r="C765" s="13" t="s">
        <v>1288</v>
      </c>
      <c r="D765" s="13" t="s">
        <v>6832</v>
      </c>
      <c r="E765" s="13" t="s">
        <v>3566</v>
      </c>
      <c r="F765" s="373">
        <f t="shared" si="286"/>
        <v>23.64</v>
      </c>
      <c r="G765" s="430">
        <v>23.64</v>
      </c>
      <c r="H765" s="399">
        <f t="shared" si="287"/>
        <v>18.91</v>
      </c>
      <c r="I765" s="576"/>
      <c r="J765" s="549" t="s">
        <v>5804</v>
      </c>
      <c r="K765" s="11"/>
      <c r="M765" s="37">
        <f t="shared" si="288"/>
        <v>23.64</v>
      </c>
      <c r="N765" s="29">
        <v>11.67</v>
      </c>
      <c r="O765" s="149"/>
      <c r="P765" s="144"/>
      <c r="Q765" s="145"/>
      <c r="R765" s="145" t="s">
        <v>1017</v>
      </c>
      <c r="S765" s="145" t="s">
        <v>4179</v>
      </c>
      <c r="T765" t="s">
        <v>4179</v>
      </c>
      <c r="U765" s="146"/>
      <c r="V765" s="145"/>
      <c r="W765" s="147"/>
      <c r="X765" s="147"/>
      <c r="Y765" s="145"/>
      <c r="Z765" s="145"/>
      <c r="AA765" s="147"/>
      <c r="AB765" s="145" t="s">
        <v>1017</v>
      </c>
      <c r="AC765" s="145"/>
      <c r="AD765" s="147"/>
      <c r="AE765" s="148"/>
      <c r="AF765" s="147"/>
      <c r="AG765" s="147"/>
      <c r="AH765" s="166" t="str">
        <f t="shared" si="296"/>
        <v>2010</v>
      </c>
      <c r="AI765" s="168" t="str">
        <f t="shared" ref="AI765:AI828" si="310">IF(AND($AH765&lt;&gt;"",AH765 =AH764),"Gleich","")</f>
        <v/>
      </c>
      <c r="AJ765" s="168" t="str">
        <f t="shared" ref="AJ765:AJ828" si="311">IF(AND($AH765&lt;&gt;"",A765 =A764),"Gleich","")</f>
        <v/>
      </c>
      <c r="AK765" s="168" t="str">
        <f t="shared" ref="AK765:AK828" si="312">IF(AND($AH765&lt;&gt;"",D765 =D764),"Gleich","")</f>
        <v/>
      </c>
      <c r="AL765" s="168" t="str">
        <f t="shared" ref="AL765:AL828" si="313">IF(AND($AH765&lt;&gt;"",E765 =E764),"Gleich","")</f>
        <v/>
      </c>
      <c r="AM765" s="168" t="str">
        <f t="shared" ref="AM765:AM828" si="314">IF(AND($AH765&lt;&gt;"",F765 =F764),"Gleich","")</f>
        <v/>
      </c>
      <c r="AN765" s="167" t="str">
        <f t="shared" si="297"/>
        <v>2010</v>
      </c>
      <c r="AO765" s="167" t="str">
        <f t="shared" si="298"/>
        <v>2010</v>
      </c>
      <c r="AP765" s="167" t="str">
        <f t="shared" si="299"/>
        <v>2010</v>
      </c>
      <c r="AQ765" s="169" t="str">
        <f t="shared" si="300"/>
        <v/>
      </c>
      <c r="AR765" s="170" t="str">
        <f t="shared" si="301"/>
        <v>BiK81LK10---05</v>
      </c>
      <c r="AS765" s="169" t="str">
        <f t="shared" si="302"/>
        <v/>
      </c>
      <c r="AT765">
        <f t="shared" si="303"/>
        <v>14</v>
      </c>
      <c r="AU765" s="170" t="str">
        <f t="shared" si="304"/>
        <v>0-0,15 MW, Bonusregeln L und K erstmals 2010</v>
      </c>
      <c r="AV765" s="169" t="str">
        <f t="shared" si="305"/>
        <v/>
      </c>
      <c r="AW765" s="170" t="str">
        <f t="shared" si="306"/>
        <v>Anteil KWK, erstmals 2010</v>
      </c>
      <c r="AX765" s="169" t="str">
        <f t="shared" si="307"/>
        <v/>
      </c>
      <c r="AY765" t="str">
        <f t="shared" si="308"/>
        <v/>
      </c>
      <c r="AZ765" t="str">
        <f t="shared" si="309"/>
        <v/>
      </c>
    </row>
    <row r="766" spans="1:52" x14ac:dyDescent="0.35">
      <c r="A766" s="497" t="s">
        <v>5306</v>
      </c>
      <c r="B766" s="13" t="s">
        <v>5547</v>
      </c>
      <c r="C766" s="13" t="s">
        <v>1288</v>
      </c>
      <c r="D766" s="13" t="s">
        <v>6833</v>
      </c>
      <c r="E766" s="13" t="s">
        <v>3054</v>
      </c>
      <c r="F766" s="373">
        <f t="shared" si="286"/>
        <v>23.61</v>
      </c>
      <c r="G766" s="430">
        <v>23.61</v>
      </c>
      <c r="H766" s="399">
        <f t="shared" si="287"/>
        <v>18.89</v>
      </c>
      <c r="I766" s="576"/>
      <c r="J766" s="549" t="s">
        <v>5804</v>
      </c>
      <c r="K766" s="11"/>
      <c r="M766" s="37">
        <f t="shared" si="288"/>
        <v>23.61</v>
      </c>
      <c r="N766" s="29">
        <v>11.67</v>
      </c>
      <c r="O766" s="149"/>
      <c r="P766" s="144"/>
      <c r="Q766" s="145"/>
      <c r="R766" s="145"/>
      <c r="S766" s="145" t="s">
        <v>1017</v>
      </c>
      <c r="T766" t="s">
        <v>4179</v>
      </c>
      <c r="U766" s="146"/>
      <c r="V766" s="145"/>
      <c r="W766" s="147"/>
      <c r="X766" s="147"/>
      <c r="Y766" s="145"/>
      <c r="Z766" s="145"/>
      <c r="AA766" s="147"/>
      <c r="AB766" s="145" t="s">
        <v>1017</v>
      </c>
      <c r="AC766" s="145"/>
      <c r="AD766" s="147"/>
      <c r="AE766" s="148"/>
      <c r="AF766" s="147"/>
      <c r="AG766" s="147"/>
      <c r="AH766" s="166" t="str">
        <f t="shared" si="296"/>
        <v>2011</v>
      </c>
      <c r="AI766" s="168" t="str">
        <f t="shared" si="310"/>
        <v/>
      </c>
      <c r="AJ766" s="168" t="str">
        <f t="shared" si="311"/>
        <v/>
      </c>
      <c r="AK766" s="168" t="str">
        <f t="shared" si="312"/>
        <v/>
      </c>
      <c r="AL766" s="168" t="str">
        <f t="shared" si="313"/>
        <v/>
      </c>
      <c r="AM766" s="168" t="str">
        <f t="shared" si="314"/>
        <v/>
      </c>
      <c r="AN766" s="167" t="str">
        <f t="shared" si="297"/>
        <v>2011</v>
      </c>
      <c r="AO766" s="167" t="str">
        <f t="shared" si="298"/>
        <v>2011</v>
      </c>
      <c r="AP766" s="167" t="str">
        <f t="shared" si="299"/>
        <v>2011</v>
      </c>
      <c r="AQ766" s="169" t="str">
        <f t="shared" si="300"/>
        <v/>
      </c>
      <c r="AR766" s="170" t="str">
        <f t="shared" si="301"/>
        <v>BiK81LK11---05</v>
      </c>
      <c r="AS766" s="169" t="str">
        <f t="shared" si="302"/>
        <v/>
      </c>
      <c r="AT766">
        <f t="shared" si="303"/>
        <v>14</v>
      </c>
      <c r="AU766" s="170" t="str">
        <f t="shared" si="304"/>
        <v>0-0,15 MW, Bonusregeln L und K erstmals 2011</v>
      </c>
      <c r="AV766" s="169" t="str">
        <f t="shared" si="305"/>
        <v/>
      </c>
      <c r="AW766" s="170" t="str">
        <f t="shared" si="306"/>
        <v>Anteil KWK, erstmals 2011</v>
      </c>
      <c r="AX766" s="169" t="str">
        <f t="shared" si="307"/>
        <v/>
      </c>
      <c r="AY766" t="str">
        <f t="shared" si="308"/>
        <v>x</v>
      </c>
      <c r="AZ766" t="str">
        <f t="shared" si="309"/>
        <v/>
      </c>
    </row>
    <row r="767" spans="1:52" x14ac:dyDescent="0.35">
      <c r="A767" s="511" t="s">
        <v>1557</v>
      </c>
      <c r="B767" s="173" t="s">
        <v>5547</v>
      </c>
      <c r="C767" s="173" t="s">
        <v>1288</v>
      </c>
      <c r="D767" s="173" t="s">
        <v>6834</v>
      </c>
      <c r="E767" s="173" t="s">
        <v>1980</v>
      </c>
      <c r="F767" s="374">
        <f t="shared" si="286"/>
        <v>23.58</v>
      </c>
      <c r="G767" s="431">
        <v>23.58</v>
      </c>
      <c r="H767" s="400">
        <f t="shared" si="287"/>
        <v>18.86</v>
      </c>
      <c r="I767" s="577"/>
      <c r="J767" s="549" t="s">
        <v>5804</v>
      </c>
      <c r="K767" s="11"/>
      <c r="M767" s="37">
        <f t="shared" si="288"/>
        <v>23.58</v>
      </c>
      <c r="N767" s="29">
        <v>11.67</v>
      </c>
      <c r="O767" s="149"/>
      <c r="P767" s="144"/>
      <c r="Q767" s="145"/>
      <c r="R767" s="145"/>
      <c r="S767" s="145" t="s">
        <v>4179</v>
      </c>
      <c r="T767" t="s">
        <v>1017</v>
      </c>
      <c r="U767" s="146"/>
      <c r="V767" s="145"/>
      <c r="W767" s="147"/>
      <c r="X767" s="147"/>
      <c r="Y767" s="145"/>
      <c r="Z767" s="145"/>
      <c r="AA767" s="147"/>
      <c r="AB767" s="145" t="s">
        <v>1017</v>
      </c>
      <c r="AC767" s="145"/>
      <c r="AD767" s="147"/>
      <c r="AE767" s="148"/>
      <c r="AF767" s="147"/>
      <c r="AG767" s="147"/>
      <c r="AH767" s="171" t="s">
        <v>4178</v>
      </c>
      <c r="AI767" s="168" t="str">
        <f t="shared" si="310"/>
        <v/>
      </c>
      <c r="AJ767" s="168" t="str">
        <f t="shared" si="311"/>
        <v/>
      </c>
      <c r="AK767" s="168" t="str">
        <f t="shared" si="312"/>
        <v/>
      </c>
      <c r="AL767" s="168" t="str">
        <f t="shared" si="313"/>
        <v/>
      </c>
      <c r="AM767" s="168" t="str">
        <f t="shared" si="314"/>
        <v/>
      </c>
      <c r="AN767" s="167" t="str">
        <f t="shared" si="297"/>
        <v>2012</v>
      </c>
      <c r="AO767" s="167" t="str">
        <f t="shared" si="298"/>
        <v>2012</v>
      </c>
      <c r="AP767" s="167" t="str">
        <f t="shared" si="299"/>
        <v>2012</v>
      </c>
      <c r="AQ767" s="169" t="str">
        <f t="shared" si="300"/>
        <v/>
      </c>
      <c r="AR767" s="170" t="str">
        <f t="shared" si="301"/>
        <v>BiK81LK12---05</v>
      </c>
      <c r="AS767" s="169" t="str">
        <f t="shared" si="302"/>
        <v/>
      </c>
      <c r="AT767">
        <f t="shared" si="303"/>
        <v>14</v>
      </c>
      <c r="AU767" s="170" t="str">
        <f t="shared" si="304"/>
        <v>0-0,15 MW, Bonusregeln L und K erstmals 2012</v>
      </c>
      <c r="AV767" s="169" t="str">
        <f t="shared" si="305"/>
        <v/>
      </c>
      <c r="AW767" s="170" t="str">
        <f t="shared" si="306"/>
        <v>Anteil KWK, erstmals 2012</v>
      </c>
      <c r="AX767" s="169" t="str">
        <f t="shared" si="307"/>
        <v/>
      </c>
      <c r="AY767" t="str">
        <f t="shared" si="308"/>
        <v/>
      </c>
      <c r="AZ767" t="str">
        <f t="shared" si="309"/>
        <v>x</v>
      </c>
    </row>
    <row r="768" spans="1:52" x14ac:dyDescent="0.35">
      <c r="A768" s="497" t="s">
        <v>4770</v>
      </c>
      <c r="B768" s="13" t="s">
        <v>5547</v>
      </c>
      <c r="C768" s="13" t="s">
        <v>1288</v>
      </c>
      <c r="D768" s="13" t="s">
        <v>6835</v>
      </c>
      <c r="E768" s="13" t="s">
        <v>4809</v>
      </c>
      <c r="F768" s="373">
        <f t="shared" si="286"/>
        <v>21.67</v>
      </c>
      <c r="G768" s="430">
        <v>21.67</v>
      </c>
      <c r="H768" s="399">
        <f t="shared" si="287"/>
        <v>17.34</v>
      </c>
      <c r="I768" s="576"/>
      <c r="J768" s="549" t="s">
        <v>5804</v>
      </c>
      <c r="K768" s="11"/>
      <c r="M768" s="37">
        <f t="shared" si="288"/>
        <v>21.67</v>
      </c>
      <c r="N768" s="29">
        <v>11.67</v>
      </c>
      <c r="O768" s="149"/>
      <c r="P768" s="144"/>
      <c r="Q768" s="145"/>
      <c r="R768" s="145"/>
      <c r="S768" s="145" t="s">
        <v>4179</v>
      </c>
      <c r="T768" t="s">
        <v>4179</v>
      </c>
      <c r="U768" s="146" t="s">
        <v>1017</v>
      </c>
      <c r="V768" s="145"/>
      <c r="W768" s="147"/>
      <c r="X768" s="147"/>
      <c r="Y768" s="145"/>
      <c r="Z768" s="145"/>
      <c r="AA768" s="147"/>
      <c r="AB768" s="145" t="s">
        <v>1017</v>
      </c>
      <c r="AC768" s="145"/>
      <c r="AD768" s="147"/>
      <c r="AE768" s="148"/>
      <c r="AF768" s="147"/>
      <c r="AG768" s="147"/>
      <c r="AH768" s="166" t="str">
        <f t="shared" ref="AH768:AH773" si="315">IF(ISERROR(SEARCH("K erstmals 201",D768)),"",RIGHT(D768,4))</f>
        <v/>
      </c>
      <c r="AI768" s="168" t="str">
        <f t="shared" si="310"/>
        <v/>
      </c>
      <c r="AJ768" s="168" t="str">
        <f t="shared" si="311"/>
        <v/>
      </c>
      <c r="AK768" s="168" t="str">
        <f t="shared" si="312"/>
        <v/>
      </c>
      <c r="AL768" s="168" t="str">
        <f t="shared" si="313"/>
        <v/>
      </c>
      <c r="AM768" s="168" t="str">
        <f t="shared" si="314"/>
        <v/>
      </c>
      <c r="AN768" s="167" t="str">
        <f t="shared" si="297"/>
        <v/>
      </c>
      <c r="AO768" s="167" t="str">
        <f t="shared" si="298"/>
        <v/>
      </c>
      <c r="AP768" s="167" t="str">
        <f t="shared" si="299"/>
        <v/>
      </c>
      <c r="AQ768" s="169" t="str">
        <f t="shared" si="300"/>
        <v/>
      </c>
      <c r="AR768" s="170" t="str">
        <f t="shared" si="301"/>
        <v>BiK81Ly-----05</v>
      </c>
      <c r="AS768" s="169" t="str">
        <f t="shared" si="302"/>
        <v/>
      </c>
      <c r="AT768">
        <f t="shared" si="303"/>
        <v>14</v>
      </c>
      <c r="AU768" s="170" t="str">
        <f t="shared" si="304"/>
        <v>0-0,15 MW, Bonusregeln L, y</v>
      </c>
      <c r="AV768" s="169" t="str">
        <f t="shared" si="305"/>
        <v/>
      </c>
      <c r="AW768" s="170" t="str">
        <f t="shared" si="306"/>
        <v>Anteil Nicht-KWK</v>
      </c>
      <c r="AX768" s="169" t="str">
        <f t="shared" si="307"/>
        <v/>
      </c>
      <c r="AY768" t="str">
        <f t="shared" si="308"/>
        <v/>
      </c>
      <c r="AZ768" t="str">
        <f t="shared" si="309"/>
        <v/>
      </c>
    </row>
    <row r="769" spans="1:52" x14ac:dyDescent="0.35">
      <c r="A769" s="497" t="s">
        <v>4771</v>
      </c>
      <c r="B769" s="13" t="s">
        <v>5547</v>
      </c>
      <c r="C769" s="13" t="s">
        <v>1288</v>
      </c>
      <c r="D769" s="13" t="s">
        <v>6899</v>
      </c>
      <c r="E769" s="13" t="s">
        <v>4811</v>
      </c>
      <c r="F769" s="373">
        <f t="shared" ref="F769:F832" si="316">M769</f>
        <v>23.67</v>
      </c>
      <c r="G769" s="430">
        <v>23.67</v>
      </c>
      <c r="H769" s="399">
        <f t="shared" ref="H769:H832" si="317">IF(ISNUMBER(G769),ROUND(0.8*G769,2),"")</f>
        <v>18.940000000000001</v>
      </c>
      <c r="I769" s="576"/>
      <c r="J769" s="549" t="s">
        <v>5804</v>
      </c>
      <c r="K769" s="11"/>
      <c r="M769" s="37">
        <f t="shared" ref="M769:M832" si="318">N769+SUMIF(O769:AG769,"x",O$704:AG$704)</f>
        <v>23.67</v>
      </c>
      <c r="N769" s="29">
        <v>11.67</v>
      </c>
      <c r="O769" s="149" t="s">
        <v>1017</v>
      </c>
      <c r="P769" s="144"/>
      <c r="Q769" s="145"/>
      <c r="R769" s="145"/>
      <c r="S769" s="145" t="s">
        <v>4179</v>
      </c>
      <c r="T769" t="s">
        <v>4179</v>
      </c>
      <c r="U769" s="146" t="s">
        <v>1017</v>
      </c>
      <c r="V769" s="145"/>
      <c r="W769" s="147"/>
      <c r="X769" s="147"/>
      <c r="Y769" s="145"/>
      <c r="Z769" s="145"/>
      <c r="AA769" s="147"/>
      <c r="AB769" s="145" t="s">
        <v>1017</v>
      </c>
      <c r="AC769" s="145"/>
      <c r="AD769" s="147"/>
      <c r="AE769" s="148"/>
      <c r="AF769" s="147"/>
      <c r="AG769" s="147"/>
      <c r="AH769" s="166" t="str">
        <f t="shared" si="315"/>
        <v/>
      </c>
      <c r="AI769" s="168" t="str">
        <f t="shared" si="310"/>
        <v/>
      </c>
      <c r="AJ769" s="168" t="str">
        <f t="shared" si="311"/>
        <v/>
      </c>
      <c r="AK769" s="168" t="str">
        <f t="shared" si="312"/>
        <v/>
      </c>
      <c r="AL769" s="168" t="str">
        <f t="shared" si="313"/>
        <v/>
      </c>
      <c r="AM769" s="168" t="str">
        <f t="shared" si="314"/>
        <v/>
      </c>
      <c r="AN769" s="167" t="str">
        <f t="shared" si="297"/>
        <v/>
      </c>
      <c r="AO769" s="167" t="str">
        <f t="shared" si="298"/>
        <v/>
      </c>
      <c r="AP769" s="167" t="str">
        <f t="shared" si="299"/>
        <v/>
      </c>
      <c r="AQ769" s="169" t="str">
        <f t="shared" si="300"/>
        <v/>
      </c>
      <c r="AR769" s="170" t="str">
        <f t="shared" si="301"/>
        <v>BiK81LKWKy--05</v>
      </c>
      <c r="AS769" s="169" t="str">
        <f t="shared" si="302"/>
        <v/>
      </c>
      <c r="AT769">
        <f t="shared" si="303"/>
        <v>14</v>
      </c>
      <c r="AU769" s="170" t="str">
        <f t="shared" si="304"/>
        <v>0-0,15 MW, Bonusregeln L, y und KWK</v>
      </c>
      <c r="AV769" s="169" t="str">
        <f t="shared" si="305"/>
        <v/>
      </c>
      <c r="AW769" s="170" t="str">
        <f t="shared" si="306"/>
        <v>Anteil KWK</v>
      </c>
      <c r="AX769" s="169" t="str">
        <f t="shared" si="307"/>
        <v/>
      </c>
      <c r="AY769" t="str">
        <f t="shared" si="308"/>
        <v/>
      </c>
      <c r="AZ769" t="str">
        <f t="shared" si="309"/>
        <v/>
      </c>
    </row>
    <row r="770" spans="1:52" x14ac:dyDescent="0.35">
      <c r="A770" s="497" t="s">
        <v>4772</v>
      </c>
      <c r="B770" s="13" t="s">
        <v>5547</v>
      </c>
      <c r="C770" s="13" t="s">
        <v>1288</v>
      </c>
      <c r="D770" s="88" t="s">
        <v>6836</v>
      </c>
      <c r="E770" s="13" t="s">
        <v>4330</v>
      </c>
      <c r="F770" s="373">
        <f t="shared" si="316"/>
        <v>24.67</v>
      </c>
      <c r="G770" s="430">
        <v>24.67</v>
      </c>
      <c r="H770" s="399">
        <f t="shared" si="317"/>
        <v>19.739999999999998</v>
      </c>
      <c r="I770" s="576"/>
      <c r="J770" s="549" t="s">
        <v>5804</v>
      </c>
      <c r="K770" s="11"/>
      <c r="M770" s="37">
        <f t="shared" si="318"/>
        <v>24.67</v>
      </c>
      <c r="N770" s="29">
        <v>11.67</v>
      </c>
      <c r="O770" s="149"/>
      <c r="P770" s="145" t="s">
        <v>1017</v>
      </c>
      <c r="Q770" s="145"/>
      <c r="R770" s="145"/>
      <c r="S770" s="145" t="s">
        <v>4179</v>
      </c>
      <c r="T770" t="s">
        <v>4179</v>
      </c>
      <c r="U770" s="146" t="s">
        <v>1017</v>
      </c>
      <c r="V770" s="145"/>
      <c r="W770" s="147"/>
      <c r="X770" s="147"/>
      <c r="Y770" s="145"/>
      <c r="Z770" s="145"/>
      <c r="AA770" s="147"/>
      <c r="AB770" s="145" t="s">
        <v>1017</v>
      </c>
      <c r="AC770" s="145"/>
      <c r="AD770" s="147"/>
      <c r="AE770" s="148"/>
      <c r="AF770" s="147"/>
      <c r="AG770" s="147"/>
      <c r="AH770" s="166" t="str">
        <f t="shared" si="315"/>
        <v/>
      </c>
      <c r="AI770" s="168" t="str">
        <f t="shared" si="310"/>
        <v/>
      </c>
      <c r="AJ770" s="168" t="str">
        <f t="shared" si="311"/>
        <v/>
      </c>
      <c r="AK770" s="168" t="str">
        <f t="shared" si="312"/>
        <v/>
      </c>
      <c r="AL770" s="168" t="str">
        <f t="shared" si="313"/>
        <v/>
      </c>
      <c r="AM770" s="168" t="str">
        <f t="shared" si="314"/>
        <v/>
      </c>
      <c r="AN770" s="167" t="str">
        <f t="shared" si="297"/>
        <v/>
      </c>
      <c r="AO770" s="167" t="str">
        <f t="shared" si="298"/>
        <v/>
      </c>
      <c r="AP770" s="167" t="str">
        <f t="shared" si="299"/>
        <v/>
      </c>
      <c r="AQ770" s="169" t="str">
        <f t="shared" si="300"/>
        <v/>
      </c>
      <c r="AR770" s="170" t="str">
        <f t="shared" si="301"/>
        <v>BiK81LKA3y--05</v>
      </c>
      <c r="AS770" s="169" t="str">
        <f t="shared" si="302"/>
        <v/>
      </c>
      <c r="AT770">
        <f t="shared" si="303"/>
        <v>14</v>
      </c>
      <c r="AU770" s="170" t="str">
        <f t="shared" si="304"/>
        <v>0-0,15 MW, Bonusregeln L, y und K wenn Anlage 3 erfüllt</v>
      </c>
      <c r="AV770" s="169" t="str">
        <f t="shared" si="305"/>
        <v/>
      </c>
      <c r="AW770" s="170" t="str">
        <f t="shared" si="306"/>
        <v>Anteil KWK gemäß Anlage 3</v>
      </c>
      <c r="AX770" s="169" t="str">
        <f t="shared" si="307"/>
        <v/>
      </c>
      <c r="AY770" t="str">
        <f t="shared" si="308"/>
        <v/>
      </c>
      <c r="AZ770" t="str">
        <f t="shared" si="309"/>
        <v/>
      </c>
    </row>
    <row r="771" spans="1:52" x14ac:dyDescent="0.35">
      <c r="A771" s="497" t="s">
        <v>4773</v>
      </c>
      <c r="B771" s="13" t="s">
        <v>5547</v>
      </c>
      <c r="C771" s="13" t="s">
        <v>1288</v>
      </c>
      <c r="D771" s="13" t="s">
        <v>6837</v>
      </c>
      <c r="E771" s="13" t="s">
        <v>674</v>
      </c>
      <c r="F771" s="373">
        <f t="shared" si="316"/>
        <v>24.67</v>
      </c>
      <c r="G771" s="430">
        <v>24.67</v>
      </c>
      <c r="H771" s="399">
        <f t="shared" si="317"/>
        <v>19.739999999999998</v>
      </c>
      <c r="I771" s="576"/>
      <c r="J771" s="549" t="s">
        <v>5804</v>
      </c>
      <c r="K771" s="11"/>
      <c r="M771" s="37">
        <f t="shared" si="318"/>
        <v>24.67</v>
      </c>
      <c r="N771" s="29">
        <v>11.67</v>
      </c>
      <c r="O771" s="149"/>
      <c r="P771" s="144"/>
      <c r="Q771" s="145" t="s">
        <v>1017</v>
      </c>
      <c r="R771" s="145"/>
      <c r="S771" s="145" t="s">
        <v>4179</v>
      </c>
      <c r="T771" t="s">
        <v>4179</v>
      </c>
      <c r="U771" s="146" t="s">
        <v>1017</v>
      </c>
      <c r="V771" s="145"/>
      <c r="W771" s="147"/>
      <c r="X771" s="147"/>
      <c r="Y771" s="145"/>
      <c r="Z771" s="145"/>
      <c r="AA771" s="147"/>
      <c r="AB771" s="145" t="s">
        <v>1017</v>
      </c>
      <c r="AC771" s="145"/>
      <c r="AD771" s="147"/>
      <c r="AE771" s="148"/>
      <c r="AF771" s="147"/>
      <c r="AG771" s="147"/>
      <c r="AH771" s="166" t="str">
        <f t="shared" si="315"/>
        <v/>
      </c>
      <c r="AI771" s="168" t="str">
        <f t="shared" si="310"/>
        <v/>
      </c>
      <c r="AJ771" s="168" t="str">
        <f t="shared" si="311"/>
        <v/>
      </c>
      <c r="AK771" s="168" t="str">
        <f t="shared" si="312"/>
        <v/>
      </c>
      <c r="AL771" s="168" t="str">
        <f t="shared" si="313"/>
        <v/>
      </c>
      <c r="AM771" s="168" t="str">
        <f t="shared" si="314"/>
        <v/>
      </c>
      <c r="AN771" s="167" t="str">
        <f t="shared" si="297"/>
        <v/>
      </c>
      <c r="AO771" s="167" t="str">
        <f t="shared" si="298"/>
        <v/>
      </c>
      <c r="AP771" s="167" t="str">
        <f t="shared" si="299"/>
        <v/>
      </c>
      <c r="AQ771" s="169" t="str">
        <f t="shared" si="300"/>
        <v/>
      </c>
      <c r="AR771" s="170" t="str">
        <f t="shared" si="301"/>
        <v>BiK81LK09y--05</v>
      </c>
      <c r="AS771" s="169" t="str">
        <f t="shared" si="302"/>
        <v/>
      </c>
      <c r="AT771">
        <f t="shared" si="303"/>
        <v>14</v>
      </c>
      <c r="AU771" s="170" t="str">
        <f t="shared" si="304"/>
        <v>0-0,15 MW, Bonusregeln L, y und K erstmals 2009</v>
      </c>
      <c r="AV771" s="169" t="str">
        <f t="shared" si="305"/>
        <v/>
      </c>
      <c r="AW771" s="170" t="str">
        <f t="shared" si="306"/>
        <v>Anteil KWK, erstmals 2009</v>
      </c>
      <c r="AX771" s="169" t="str">
        <f t="shared" si="307"/>
        <v/>
      </c>
      <c r="AY771" t="str">
        <f t="shared" si="308"/>
        <v/>
      </c>
      <c r="AZ771" t="str">
        <f t="shared" si="309"/>
        <v/>
      </c>
    </row>
    <row r="772" spans="1:52" x14ac:dyDescent="0.35">
      <c r="A772" s="497" t="s">
        <v>3576</v>
      </c>
      <c r="B772" s="13" t="s">
        <v>5547</v>
      </c>
      <c r="C772" s="13" t="s">
        <v>1288</v>
      </c>
      <c r="D772" s="13" t="s">
        <v>6838</v>
      </c>
      <c r="E772" s="13" t="s">
        <v>3566</v>
      </c>
      <c r="F772" s="373">
        <f t="shared" si="316"/>
        <v>24.64</v>
      </c>
      <c r="G772" s="430">
        <v>24.64</v>
      </c>
      <c r="H772" s="399">
        <f t="shared" si="317"/>
        <v>19.71</v>
      </c>
      <c r="I772" s="576"/>
      <c r="J772" s="549" t="s">
        <v>5804</v>
      </c>
      <c r="K772" s="11"/>
      <c r="M772" s="37">
        <f t="shared" si="318"/>
        <v>24.64</v>
      </c>
      <c r="N772" s="29">
        <v>11.67</v>
      </c>
      <c r="O772" s="149"/>
      <c r="P772" s="144"/>
      <c r="Q772" s="145"/>
      <c r="R772" s="145" t="s">
        <v>1017</v>
      </c>
      <c r="S772" s="145" t="s">
        <v>4179</v>
      </c>
      <c r="T772" t="s">
        <v>4179</v>
      </c>
      <c r="U772" s="146" t="s">
        <v>1017</v>
      </c>
      <c r="V772" s="145"/>
      <c r="W772" s="147"/>
      <c r="X772" s="147"/>
      <c r="Y772" s="145"/>
      <c r="Z772" s="145"/>
      <c r="AA772" s="147"/>
      <c r="AB772" s="145" t="s">
        <v>1017</v>
      </c>
      <c r="AC772" s="145"/>
      <c r="AD772" s="147"/>
      <c r="AE772" s="148"/>
      <c r="AF772" s="147"/>
      <c r="AG772" s="147"/>
      <c r="AH772" s="166" t="str">
        <f t="shared" si="315"/>
        <v>2010</v>
      </c>
      <c r="AI772" s="168" t="str">
        <f t="shared" si="310"/>
        <v/>
      </c>
      <c r="AJ772" s="168" t="str">
        <f t="shared" si="311"/>
        <v/>
      </c>
      <c r="AK772" s="168" t="str">
        <f t="shared" si="312"/>
        <v/>
      </c>
      <c r="AL772" s="168" t="str">
        <f t="shared" si="313"/>
        <v/>
      </c>
      <c r="AM772" s="168" t="str">
        <f t="shared" si="314"/>
        <v/>
      </c>
      <c r="AN772" s="167" t="str">
        <f t="shared" si="297"/>
        <v>2010</v>
      </c>
      <c r="AO772" s="167" t="str">
        <f t="shared" si="298"/>
        <v>2010</v>
      </c>
      <c r="AP772" s="167" t="str">
        <f t="shared" si="299"/>
        <v>2010</v>
      </c>
      <c r="AQ772" s="169" t="str">
        <f t="shared" si="300"/>
        <v/>
      </c>
      <c r="AR772" s="170" t="str">
        <f t="shared" si="301"/>
        <v>BiK81LK10y--05</v>
      </c>
      <c r="AS772" s="169" t="str">
        <f t="shared" si="302"/>
        <v/>
      </c>
      <c r="AT772">
        <f t="shared" si="303"/>
        <v>14</v>
      </c>
      <c r="AU772" s="170" t="str">
        <f t="shared" si="304"/>
        <v>0-0,15 MW, Bonusregeln L, y und K erstmals 2010</v>
      </c>
      <c r="AV772" s="169" t="str">
        <f t="shared" si="305"/>
        <v/>
      </c>
      <c r="AW772" s="170" t="str">
        <f t="shared" si="306"/>
        <v>Anteil KWK, erstmals 2010</v>
      </c>
      <c r="AX772" s="169" t="str">
        <f t="shared" si="307"/>
        <v/>
      </c>
      <c r="AY772" t="str">
        <f t="shared" si="308"/>
        <v/>
      </c>
      <c r="AZ772" t="str">
        <f t="shared" si="309"/>
        <v/>
      </c>
    </row>
    <row r="773" spans="1:52" x14ac:dyDescent="0.35">
      <c r="A773" s="497" t="s">
        <v>5307</v>
      </c>
      <c r="B773" s="13" t="s">
        <v>5547</v>
      </c>
      <c r="C773" s="13" t="s">
        <v>1288</v>
      </c>
      <c r="D773" s="13" t="s">
        <v>6839</v>
      </c>
      <c r="E773" s="13" t="s">
        <v>3054</v>
      </c>
      <c r="F773" s="373">
        <f t="shared" si="316"/>
        <v>24.61</v>
      </c>
      <c r="G773" s="430">
        <v>24.61</v>
      </c>
      <c r="H773" s="399">
        <f t="shared" si="317"/>
        <v>19.690000000000001</v>
      </c>
      <c r="I773" s="576"/>
      <c r="J773" s="549" t="s">
        <v>5804</v>
      </c>
      <c r="K773" s="11"/>
      <c r="M773" s="37">
        <f t="shared" si="318"/>
        <v>24.61</v>
      </c>
      <c r="N773" s="29">
        <v>11.67</v>
      </c>
      <c r="O773" s="149"/>
      <c r="P773" s="144"/>
      <c r="Q773" s="145"/>
      <c r="R773" s="145"/>
      <c r="S773" s="145" t="s">
        <v>1017</v>
      </c>
      <c r="T773" t="s">
        <v>4179</v>
      </c>
      <c r="U773" s="146" t="s">
        <v>1017</v>
      </c>
      <c r="V773" s="145"/>
      <c r="W773" s="147"/>
      <c r="X773" s="147"/>
      <c r="Y773" s="145"/>
      <c r="Z773" s="145"/>
      <c r="AA773" s="147"/>
      <c r="AB773" s="145" t="s">
        <v>1017</v>
      </c>
      <c r="AC773" s="145"/>
      <c r="AD773" s="147"/>
      <c r="AE773" s="148"/>
      <c r="AF773" s="147"/>
      <c r="AG773" s="147"/>
      <c r="AH773" s="166" t="str">
        <f t="shared" si="315"/>
        <v>2011</v>
      </c>
      <c r="AI773" s="168" t="str">
        <f t="shared" si="310"/>
        <v/>
      </c>
      <c r="AJ773" s="168" t="str">
        <f t="shared" si="311"/>
        <v/>
      </c>
      <c r="AK773" s="168" t="str">
        <f t="shared" si="312"/>
        <v/>
      </c>
      <c r="AL773" s="168" t="str">
        <f t="shared" si="313"/>
        <v/>
      </c>
      <c r="AM773" s="168" t="str">
        <f t="shared" si="314"/>
        <v/>
      </c>
      <c r="AN773" s="167" t="str">
        <f t="shared" si="297"/>
        <v>2011</v>
      </c>
      <c r="AO773" s="167" t="str">
        <f t="shared" si="298"/>
        <v>2011</v>
      </c>
      <c r="AP773" s="167" t="str">
        <f t="shared" si="299"/>
        <v>2011</v>
      </c>
      <c r="AQ773" s="169" t="str">
        <f t="shared" si="300"/>
        <v/>
      </c>
      <c r="AR773" s="170" t="str">
        <f t="shared" si="301"/>
        <v>BiK81LK11y--05</v>
      </c>
      <c r="AS773" s="169" t="str">
        <f t="shared" si="302"/>
        <v/>
      </c>
      <c r="AT773">
        <f t="shared" si="303"/>
        <v>14</v>
      </c>
      <c r="AU773" s="170" t="str">
        <f t="shared" si="304"/>
        <v>0-0,15 MW, Bonusregeln L, y und K erstmals 2011</v>
      </c>
      <c r="AV773" s="169" t="str">
        <f t="shared" si="305"/>
        <v/>
      </c>
      <c r="AW773" s="170" t="str">
        <f t="shared" si="306"/>
        <v>Anteil KWK, erstmals 2011</v>
      </c>
      <c r="AX773" s="169" t="str">
        <f t="shared" si="307"/>
        <v/>
      </c>
      <c r="AY773" t="str">
        <f t="shared" si="308"/>
        <v>x</v>
      </c>
      <c r="AZ773" t="str">
        <f t="shared" si="309"/>
        <v/>
      </c>
    </row>
    <row r="774" spans="1:52" x14ac:dyDescent="0.35">
      <c r="A774" s="511" t="s">
        <v>1558</v>
      </c>
      <c r="B774" s="173" t="s">
        <v>5547</v>
      </c>
      <c r="C774" s="173" t="s">
        <v>1288</v>
      </c>
      <c r="D774" s="173" t="s">
        <v>6840</v>
      </c>
      <c r="E774" s="173" t="s">
        <v>1980</v>
      </c>
      <c r="F774" s="374">
        <f t="shared" si="316"/>
        <v>24.58</v>
      </c>
      <c r="G774" s="431">
        <v>24.58</v>
      </c>
      <c r="H774" s="400">
        <f t="shared" si="317"/>
        <v>19.66</v>
      </c>
      <c r="I774" s="577"/>
      <c r="J774" s="549" t="s">
        <v>5804</v>
      </c>
      <c r="K774" s="11"/>
      <c r="M774" s="37">
        <f t="shared" si="318"/>
        <v>24.58</v>
      </c>
      <c r="N774" s="29">
        <v>11.67</v>
      </c>
      <c r="O774" s="149"/>
      <c r="P774" s="144"/>
      <c r="Q774" s="145"/>
      <c r="R774" s="145"/>
      <c r="S774" s="145" t="s">
        <v>4179</v>
      </c>
      <c r="T774" t="s">
        <v>1017</v>
      </c>
      <c r="U774" s="146" t="s">
        <v>1017</v>
      </c>
      <c r="V774" s="145"/>
      <c r="W774" s="147"/>
      <c r="X774" s="147"/>
      <c r="Y774" s="145"/>
      <c r="Z774" s="145"/>
      <c r="AA774" s="147"/>
      <c r="AB774" s="145" t="s">
        <v>1017</v>
      </c>
      <c r="AC774" s="145"/>
      <c r="AD774" s="147"/>
      <c r="AE774" s="148"/>
      <c r="AF774" s="147"/>
      <c r="AG774" s="147"/>
      <c r="AH774" s="171" t="s">
        <v>4178</v>
      </c>
      <c r="AI774" s="168" t="str">
        <f t="shared" si="310"/>
        <v/>
      </c>
      <c r="AJ774" s="168" t="str">
        <f t="shared" si="311"/>
        <v/>
      </c>
      <c r="AK774" s="168" t="str">
        <f t="shared" si="312"/>
        <v/>
      </c>
      <c r="AL774" s="168" t="str">
        <f t="shared" si="313"/>
        <v/>
      </c>
      <c r="AM774" s="168" t="str">
        <f t="shared" si="314"/>
        <v/>
      </c>
      <c r="AN774" s="167" t="str">
        <f t="shared" si="297"/>
        <v>2012</v>
      </c>
      <c r="AO774" s="167" t="str">
        <f t="shared" si="298"/>
        <v>2012</v>
      </c>
      <c r="AP774" s="167" t="str">
        <f t="shared" si="299"/>
        <v>2012</v>
      </c>
      <c r="AQ774" s="169" t="str">
        <f t="shared" si="300"/>
        <v/>
      </c>
      <c r="AR774" s="170" t="str">
        <f t="shared" si="301"/>
        <v>BiK81LK12y--05</v>
      </c>
      <c r="AS774" s="169" t="str">
        <f t="shared" si="302"/>
        <v/>
      </c>
      <c r="AT774">
        <f t="shared" si="303"/>
        <v>14</v>
      </c>
      <c r="AU774" s="170" t="str">
        <f t="shared" si="304"/>
        <v>0-0,15 MW, Bonusregeln L, y und K erstmals 2012</v>
      </c>
      <c r="AV774" s="169" t="str">
        <f t="shared" si="305"/>
        <v/>
      </c>
      <c r="AW774" s="170" t="str">
        <f t="shared" si="306"/>
        <v>Anteil KWK, erstmals 2012</v>
      </c>
      <c r="AX774" s="169" t="str">
        <f t="shared" si="307"/>
        <v/>
      </c>
      <c r="AY774" t="str">
        <f t="shared" si="308"/>
        <v/>
      </c>
      <c r="AZ774" t="str">
        <f t="shared" si="309"/>
        <v>x</v>
      </c>
    </row>
    <row r="775" spans="1:52" x14ac:dyDescent="0.35">
      <c r="A775" s="497" t="s">
        <v>4774</v>
      </c>
      <c r="B775" s="13" t="s">
        <v>5547</v>
      </c>
      <c r="C775" s="13" t="s">
        <v>1288</v>
      </c>
      <c r="D775" s="13" t="s">
        <v>6841</v>
      </c>
      <c r="E775" s="13" t="s">
        <v>4809</v>
      </c>
      <c r="F775" s="373">
        <f t="shared" si="316"/>
        <v>24.67</v>
      </c>
      <c r="G775" s="430">
        <v>24.67</v>
      </c>
      <c r="H775" s="399">
        <f t="shared" si="317"/>
        <v>19.739999999999998</v>
      </c>
      <c r="I775" s="576"/>
      <c r="J775" s="549" t="s">
        <v>5804</v>
      </c>
      <c r="K775" s="11"/>
      <c r="M775" s="37">
        <f t="shared" si="318"/>
        <v>24.67</v>
      </c>
      <c r="N775" s="29">
        <v>11.67</v>
      </c>
      <c r="O775" s="149"/>
      <c r="P775" s="144"/>
      <c r="Q775" s="145"/>
      <c r="R775" s="145"/>
      <c r="S775" s="145" t="s">
        <v>4179</v>
      </c>
      <c r="T775" t="s">
        <v>4179</v>
      </c>
      <c r="U775" s="146"/>
      <c r="V775" s="145"/>
      <c r="W775" s="147"/>
      <c r="X775" s="147"/>
      <c r="Y775" s="145"/>
      <c r="Z775" s="145"/>
      <c r="AA775" s="147"/>
      <c r="AB775" s="145"/>
      <c r="AC775" s="145" t="s">
        <v>1017</v>
      </c>
      <c r="AD775" s="147"/>
      <c r="AE775" s="148"/>
      <c r="AF775" s="147"/>
      <c r="AG775" s="147"/>
      <c r="AH775" s="166" t="str">
        <f t="shared" ref="AH775:AH780" si="319">IF(ISERROR(SEARCH("K erstmals 201",D775)),"",RIGHT(D775,4))</f>
        <v/>
      </c>
      <c r="AI775" s="168" t="str">
        <f t="shared" si="310"/>
        <v/>
      </c>
      <c r="AJ775" s="168" t="str">
        <f t="shared" si="311"/>
        <v/>
      </c>
      <c r="AK775" s="168" t="str">
        <f t="shared" si="312"/>
        <v/>
      </c>
      <c r="AL775" s="168" t="str">
        <f t="shared" si="313"/>
        <v/>
      </c>
      <c r="AM775" s="168" t="str">
        <f t="shared" si="314"/>
        <v/>
      </c>
      <c r="AN775" s="167" t="str">
        <f t="shared" si="297"/>
        <v/>
      </c>
      <c r="AO775" s="167" t="str">
        <f t="shared" si="298"/>
        <v/>
      </c>
      <c r="AP775" s="167" t="str">
        <f t="shared" si="299"/>
        <v/>
      </c>
      <c r="AQ775" s="169" t="str">
        <f t="shared" si="300"/>
        <v/>
      </c>
      <c r="AR775" s="170" t="str">
        <f t="shared" si="301"/>
        <v>BiK81X1-----05</v>
      </c>
      <c r="AS775" s="169" t="str">
        <f t="shared" si="302"/>
        <v/>
      </c>
      <c r="AT775">
        <f t="shared" si="303"/>
        <v>14</v>
      </c>
      <c r="AU775" s="170" t="str">
        <f t="shared" si="304"/>
        <v>0-0,15 MW, Bonusregel X1</v>
      </c>
      <c r="AV775" s="169" t="str">
        <f t="shared" si="305"/>
        <v/>
      </c>
      <c r="AW775" s="170" t="str">
        <f t="shared" si="306"/>
        <v>Anteil Nicht-KWK</v>
      </c>
      <c r="AX775" s="169" t="str">
        <f t="shared" si="307"/>
        <v/>
      </c>
      <c r="AY775" t="str">
        <f t="shared" si="308"/>
        <v/>
      </c>
      <c r="AZ775" t="str">
        <f t="shared" si="309"/>
        <v/>
      </c>
    </row>
    <row r="776" spans="1:52" x14ac:dyDescent="0.35">
      <c r="A776" s="497" t="s">
        <v>4775</v>
      </c>
      <c r="B776" s="13" t="s">
        <v>5547</v>
      </c>
      <c r="C776" s="13" t="s">
        <v>1288</v>
      </c>
      <c r="D776" s="13" t="s">
        <v>6900</v>
      </c>
      <c r="E776" s="13" t="s">
        <v>4811</v>
      </c>
      <c r="F776" s="373">
        <f t="shared" si="316"/>
        <v>26.67</v>
      </c>
      <c r="G776" s="430">
        <v>26.67</v>
      </c>
      <c r="H776" s="399">
        <f t="shared" si="317"/>
        <v>21.34</v>
      </c>
      <c r="I776" s="576"/>
      <c r="J776" s="549" t="s">
        <v>5804</v>
      </c>
      <c r="K776" s="11"/>
      <c r="M776" s="37">
        <f t="shared" si="318"/>
        <v>26.67</v>
      </c>
      <c r="N776" s="29">
        <v>11.67</v>
      </c>
      <c r="O776" s="149" t="s">
        <v>1017</v>
      </c>
      <c r="P776" s="144"/>
      <c r="Q776" s="145"/>
      <c r="R776" s="145"/>
      <c r="S776" s="145" t="s">
        <v>4179</v>
      </c>
      <c r="T776" t="s">
        <v>4179</v>
      </c>
      <c r="U776" s="146"/>
      <c r="V776" s="145"/>
      <c r="W776" s="147"/>
      <c r="X776" s="147"/>
      <c r="Y776" s="145"/>
      <c r="Z776" s="145"/>
      <c r="AA776" s="147"/>
      <c r="AB776" s="145"/>
      <c r="AC776" s="145" t="s">
        <v>1017</v>
      </c>
      <c r="AD776" s="147"/>
      <c r="AE776" s="148"/>
      <c r="AF776" s="147"/>
      <c r="AG776" s="147"/>
      <c r="AH776" s="166" t="str">
        <f t="shared" si="319"/>
        <v/>
      </c>
      <c r="AI776" s="168" t="str">
        <f t="shared" si="310"/>
        <v/>
      </c>
      <c r="AJ776" s="168" t="str">
        <f t="shared" si="311"/>
        <v/>
      </c>
      <c r="AK776" s="168" t="str">
        <f t="shared" si="312"/>
        <v/>
      </c>
      <c r="AL776" s="168" t="str">
        <f t="shared" si="313"/>
        <v/>
      </c>
      <c r="AM776" s="168" t="str">
        <f t="shared" si="314"/>
        <v/>
      </c>
      <c r="AN776" s="167" t="str">
        <f t="shared" si="297"/>
        <v/>
      </c>
      <c r="AO776" s="167" t="str">
        <f t="shared" si="298"/>
        <v/>
      </c>
      <c r="AP776" s="167" t="str">
        <f t="shared" si="299"/>
        <v/>
      </c>
      <c r="AQ776" s="169" t="str">
        <f t="shared" si="300"/>
        <v/>
      </c>
      <c r="AR776" s="170" t="str">
        <f t="shared" si="301"/>
        <v>BiK81X1KWK--05</v>
      </c>
      <c r="AS776" s="169" t="str">
        <f t="shared" si="302"/>
        <v/>
      </c>
      <c r="AT776">
        <f t="shared" si="303"/>
        <v>14</v>
      </c>
      <c r="AU776" s="170" t="str">
        <f t="shared" si="304"/>
        <v>0-0,15 MW, Bonusregeln X1 und KWK</v>
      </c>
      <c r="AV776" s="169" t="str">
        <f t="shared" si="305"/>
        <v/>
      </c>
      <c r="AW776" s="170" t="str">
        <f t="shared" si="306"/>
        <v>Anteil KWK</v>
      </c>
      <c r="AX776" s="169" t="str">
        <f t="shared" si="307"/>
        <v/>
      </c>
      <c r="AY776" t="str">
        <f t="shared" si="308"/>
        <v/>
      </c>
      <c r="AZ776" t="str">
        <f t="shared" si="309"/>
        <v/>
      </c>
    </row>
    <row r="777" spans="1:52" x14ac:dyDescent="0.35">
      <c r="A777" s="497" t="s">
        <v>4776</v>
      </c>
      <c r="B777" s="13" t="s">
        <v>5547</v>
      </c>
      <c r="C777" s="13" t="s">
        <v>1288</v>
      </c>
      <c r="D777" s="13" t="s">
        <v>6842</v>
      </c>
      <c r="E777" s="13" t="s">
        <v>4330</v>
      </c>
      <c r="F777" s="373">
        <f t="shared" si="316"/>
        <v>27.67</v>
      </c>
      <c r="G777" s="430">
        <v>27.67</v>
      </c>
      <c r="H777" s="399">
        <f t="shared" si="317"/>
        <v>22.14</v>
      </c>
      <c r="I777" s="576"/>
      <c r="J777" s="549" t="s">
        <v>5804</v>
      </c>
      <c r="K777" s="11"/>
      <c r="M777" s="37">
        <f t="shared" si="318"/>
        <v>27.67</v>
      </c>
      <c r="N777" s="29">
        <v>11.67</v>
      </c>
      <c r="O777" s="149"/>
      <c r="P777" s="145" t="s">
        <v>1017</v>
      </c>
      <c r="Q777" s="145"/>
      <c r="R777" s="145"/>
      <c r="S777" s="145" t="s">
        <v>4179</v>
      </c>
      <c r="T777" t="s">
        <v>4179</v>
      </c>
      <c r="U777" s="146"/>
      <c r="V777" s="145"/>
      <c r="W777" s="147"/>
      <c r="X777" s="147"/>
      <c r="Y777" s="145"/>
      <c r="Z777" s="145"/>
      <c r="AA777" s="147"/>
      <c r="AB777" s="145"/>
      <c r="AC777" s="145" t="s">
        <v>1017</v>
      </c>
      <c r="AD777" s="147"/>
      <c r="AE777" s="148"/>
      <c r="AF777" s="147"/>
      <c r="AG777" s="147"/>
      <c r="AH777" s="166" t="str">
        <f t="shared" si="319"/>
        <v/>
      </c>
      <c r="AI777" s="168" t="str">
        <f t="shared" si="310"/>
        <v/>
      </c>
      <c r="AJ777" s="168" t="str">
        <f t="shared" si="311"/>
        <v/>
      </c>
      <c r="AK777" s="168" t="str">
        <f t="shared" si="312"/>
        <v/>
      </c>
      <c r="AL777" s="168" t="str">
        <f t="shared" si="313"/>
        <v/>
      </c>
      <c r="AM777" s="168" t="str">
        <f t="shared" si="314"/>
        <v/>
      </c>
      <c r="AN777" s="167" t="str">
        <f t="shared" si="297"/>
        <v/>
      </c>
      <c r="AO777" s="167" t="str">
        <f t="shared" si="298"/>
        <v/>
      </c>
      <c r="AP777" s="167" t="str">
        <f t="shared" si="299"/>
        <v/>
      </c>
      <c r="AQ777" s="169" t="str">
        <f t="shared" si="300"/>
        <v/>
      </c>
      <c r="AR777" s="170" t="str">
        <f t="shared" si="301"/>
        <v>BiK81X1KA3--05</v>
      </c>
      <c r="AS777" s="169" t="str">
        <f t="shared" si="302"/>
        <v/>
      </c>
      <c r="AT777">
        <f t="shared" si="303"/>
        <v>14</v>
      </c>
      <c r="AU777" s="170" t="str">
        <f t="shared" si="304"/>
        <v>0-0,15 MW, Bonusregeln X1 und K wenn Anlage 3 erfüllt</v>
      </c>
      <c r="AV777" s="169" t="str">
        <f t="shared" si="305"/>
        <v/>
      </c>
      <c r="AW777" s="170" t="str">
        <f t="shared" si="306"/>
        <v>Anteil KWK gemäß Anlage 3</v>
      </c>
      <c r="AX777" s="169" t="str">
        <f t="shared" si="307"/>
        <v/>
      </c>
      <c r="AY777" t="str">
        <f t="shared" si="308"/>
        <v/>
      </c>
      <c r="AZ777" t="str">
        <f t="shared" si="309"/>
        <v/>
      </c>
    </row>
    <row r="778" spans="1:52" x14ac:dyDescent="0.35">
      <c r="A778" s="497" t="s">
        <v>4777</v>
      </c>
      <c r="B778" s="13" t="s">
        <v>5547</v>
      </c>
      <c r="C778" s="13" t="s">
        <v>1288</v>
      </c>
      <c r="D778" s="13" t="s">
        <v>6843</v>
      </c>
      <c r="E778" s="13" t="s">
        <v>674</v>
      </c>
      <c r="F778" s="373">
        <f t="shared" si="316"/>
        <v>27.67</v>
      </c>
      <c r="G778" s="430">
        <v>27.67</v>
      </c>
      <c r="H778" s="399">
        <f t="shared" si="317"/>
        <v>22.14</v>
      </c>
      <c r="I778" s="576"/>
      <c r="J778" s="549" t="s">
        <v>5804</v>
      </c>
      <c r="K778" s="11"/>
      <c r="M778" s="37">
        <f t="shared" si="318"/>
        <v>27.67</v>
      </c>
      <c r="N778" s="29">
        <v>11.67</v>
      </c>
      <c r="O778" s="149"/>
      <c r="P778" s="144"/>
      <c r="Q778" s="145" t="s">
        <v>1017</v>
      </c>
      <c r="R778" s="145"/>
      <c r="S778" s="145" t="s">
        <v>4179</v>
      </c>
      <c r="T778" t="s">
        <v>4179</v>
      </c>
      <c r="U778" s="146"/>
      <c r="V778" s="145"/>
      <c r="W778" s="147"/>
      <c r="X778" s="147"/>
      <c r="Y778" s="145"/>
      <c r="Z778" s="145"/>
      <c r="AA778" s="147"/>
      <c r="AB778" s="145"/>
      <c r="AC778" s="145" t="s">
        <v>1017</v>
      </c>
      <c r="AD778" s="147"/>
      <c r="AE778" s="148"/>
      <c r="AF778" s="147"/>
      <c r="AG778" s="147"/>
      <c r="AH778" s="166" t="str">
        <f t="shared" si="319"/>
        <v/>
      </c>
      <c r="AI778" s="168" t="str">
        <f t="shared" si="310"/>
        <v/>
      </c>
      <c r="AJ778" s="168" t="str">
        <f t="shared" si="311"/>
        <v/>
      </c>
      <c r="AK778" s="168" t="str">
        <f t="shared" si="312"/>
        <v/>
      </c>
      <c r="AL778" s="168" t="str">
        <f t="shared" si="313"/>
        <v/>
      </c>
      <c r="AM778" s="168" t="str">
        <f t="shared" si="314"/>
        <v/>
      </c>
      <c r="AN778" s="167" t="str">
        <f t="shared" si="297"/>
        <v/>
      </c>
      <c r="AO778" s="167" t="str">
        <f t="shared" si="298"/>
        <v/>
      </c>
      <c r="AP778" s="167" t="str">
        <f t="shared" si="299"/>
        <v/>
      </c>
      <c r="AQ778" s="169" t="str">
        <f t="shared" si="300"/>
        <v/>
      </c>
      <c r="AR778" s="170" t="str">
        <f t="shared" si="301"/>
        <v>BiK81X1K09--05</v>
      </c>
      <c r="AS778" s="169" t="str">
        <f t="shared" si="302"/>
        <v/>
      </c>
      <c r="AT778">
        <f t="shared" si="303"/>
        <v>14</v>
      </c>
      <c r="AU778" s="170" t="str">
        <f t="shared" si="304"/>
        <v>0-0,15 MW, Bonusregeln X1 und K erstmals 2009</v>
      </c>
      <c r="AV778" s="169" t="str">
        <f t="shared" si="305"/>
        <v/>
      </c>
      <c r="AW778" s="170" t="str">
        <f t="shared" si="306"/>
        <v>Anteil KWK, erstmals 2009</v>
      </c>
      <c r="AX778" s="169" t="str">
        <f t="shared" si="307"/>
        <v/>
      </c>
      <c r="AY778" t="str">
        <f t="shared" si="308"/>
        <v/>
      </c>
      <c r="AZ778" t="str">
        <f t="shared" si="309"/>
        <v/>
      </c>
    </row>
    <row r="779" spans="1:52" s="145" customFormat="1" x14ac:dyDescent="0.35">
      <c r="A779" s="497" t="s">
        <v>3577</v>
      </c>
      <c r="B779" s="13" t="s">
        <v>5547</v>
      </c>
      <c r="C779" s="13" t="s">
        <v>1288</v>
      </c>
      <c r="D779" s="13" t="s">
        <v>6844</v>
      </c>
      <c r="E779" s="13" t="s">
        <v>3566</v>
      </c>
      <c r="F779" s="373">
        <f t="shared" si="316"/>
        <v>27.64</v>
      </c>
      <c r="G779" s="430">
        <v>27.64</v>
      </c>
      <c r="H779" s="399">
        <f t="shared" si="317"/>
        <v>22.11</v>
      </c>
      <c r="I779" s="576"/>
      <c r="J779" s="549" t="s">
        <v>5804</v>
      </c>
      <c r="K779" s="11"/>
      <c r="L779"/>
      <c r="M779" s="37">
        <f t="shared" si="318"/>
        <v>27.64</v>
      </c>
      <c r="N779" s="29">
        <v>11.67</v>
      </c>
      <c r="O779" s="149"/>
      <c r="P779" s="144"/>
      <c r="R779" s="145" t="s">
        <v>1017</v>
      </c>
      <c r="S779" s="145" t="s">
        <v>4179</v>
      </c>
      <c r="T779" s="145" t="s">
        <v>4179</v>
      </c>
      <c r="U779" s="146"/>
      <c r="W779" s="147"/>
      <c r="X779" s="147"/>
      <c r="AA779" s="147"/>
      <c r="AC779" s="145" t="s">
        <v>1017</v>
      </c>
      <c r="AD779" s="147"/>
      <c r="AE779" s="148"/>
      <c r="AF779" s="147"/>
      <c r="AG779" s="147"/>
      <c r="AH779" s="166" t="str">
        <f t="shared" si="319"/>
        <v>2010</v>
      </c>
      <c r="AI779" s="168" t="str">
        <f t="shared" si="310"/>
        <v/>
      </c>
      <c r="AJ779" s="168" t="str">
        <f t="shared" si="311"/>
        <v/>
      </c>
      <c r="AK779" s="168" t="str">
        <f t="shared" si="312"/>
        <v/>
      </c>
      <c r="AL779" s="168" t="str">
        <f t="shared" si="313"/>
        <v/>
      </c>
      <c r="AM779" s="168" t="str">
        <f t="shared" si="314"/>
        <v/>
      </c>
      <c r="AN779" s="167" t="str">
        <f t="shared" si="297"/>
        <v>2010</v>
      </c>
      <c r="AO779" s="167" t="str">
        <f t="shared" si="298"/>
        <v>2010</v>
      </c>
      <c r="AP779" s="167" t="str">
        <f t="shared" si="299"/>
        <v>2010</v>
      </c>
      <c r="AQ779" s="169" t="str">
        <f t="shared" si="300"/>
        <v/>
      </c>
      <c r="AR779" s="170" t="str">
        <f t="shared" si="301"/>
        <v>BiK81X1K10--05</v>
      </c>
      <c r="AS779" s="169" t="str">
        <f t="shared" si="302"/>
        <v/>
      </c>
      <c r="AT779">
        <f t="shared" si="303"/>
        <v>14</v>
      </c>
      <c r="AU779" s="170" t="str">
        <f t="shared" si="304"/>
        <v>0-0,15 MW, Bonusregeln X1 und K erstmals 2010</v>
      </c>
      <c r="AV779" s="169" t="str">
        <f t="shared" si="305"/>
        <v/>
      </c>
      <c r="AW779" s="170" t="str">
        <f t="shared" si="306"/>
        <v>Anteil KWK, erstmals 2010</v>
      </c>
      <c r="AX779" s="169" t="str">
        <f t="shared" si="307"/>
        <v/>
      </c>
      <c r="AY779" t="str">
        <f t="shared" si="308"/>
        <v/>
      </c>
      <c r="AZ779" t="str">
        <f t="shared" si="309"/>
        <v/>
      </c>
    </row>
    <row r="780" spans="1:52" s="145" customFormat="1" x14ac:dyDescent="0.35">
      <c r="A780" s="497" t="s">
        <v>5308</v>
      </c>
      <c r="B780" s="13" t="s">
        <v>5547</v>
      </c>
      <c r="C780" s="13" t="s">
        <v>1288</v>
      </c>
      <c r="D780" s="13" t="s">
        <v>6845</v>
      </c>
      <c r="E780" s="13" t="s">
        <v>3054</v>
      </c>
      <c r="F780" s="373">
        <f t="shared" si="316"/>
        <v>27.61</v>
      </c>
      <c r="G780" s="430">
        <v>27.61</v>
      </c>
      <c r="H780" s="399">
        <f t="shared" si="317"/>
        <v>22.09</v>
      </c>
      <c r="I780" s="576"/>
      <c r="J780" s="549" t="s">
        <v>5804</v>
      </c>
      <c r="K780" s="11"/>
      <c r="L780"/>
      <c r="M780" s="37">
        <f t="shared" si="318"/>
        <v>27.61</v>
      </c>
      <c r="N780" s="29">
        <v>11.67</v>
      </c>
      <c r="O780" s="149"/>
      <c r="P780" s="144"/>
      <c r="S780" s="145" t="s">
        <v>1017</v>
      </c>
      <c r="T780" s="145" t="s">
        <v>4179</v>
      </c>
      <c r="U780" s="146"/>
      <c r="W780" s="147"/>
      <c r="X780" s="147"/>
      <c r="AA780" s="147"/>
      <c r="AC780" s="145" t="s">
        <v>1017</v>
      </c>
      <c r="AD780" s="147"/>
      <c r="AE780" s="148"/>
      <c r="AF780" s="147"/>
      <c r="AG780" s="147"/>
      <c r="AH780" s="166" t="str">
        <f t="shared" si="319"/>
        <v>2011</v>
      </c>
      <c r="AI780" s="168" t="str">
        <f t="shared" si="310"/>
        <v/>
      </c>
      <c r="AJ780" s="168" t="str">
        <f t="shared" si="311"/>
        <v/>
      </c>
      <c r="AK780" s="168" t="str">
        <f t="shared" si="312"/>
        <v/>
      </c>
      <c r="AL780" s="168" t="str">
        <f t="shared" si="313"/>
        <v/>
      </c>
      <c r="AM780" s="168" t="str">
        <f t="shared" si="314"/>
        <v/>
      </c>
      <c r="AN780" s="167" t="str">
        <f t="shared" si="297"/>
        <v>2011</v>
      </c>
      <c r="AO780" s="167" t="str">
        <f t="shared" si="298"/>
        <v>2011</v>
      </c>
      <c r="AP780" s="167" t="str">
        <f t="shared" si="299"/>
        <v>2011</v>
      </c>
      <c r="AQ780" s="169" t="str">
        <f t="shared" si="300"/>
        <v/>
      </c>
      <c r="AR780" s="170" t="str">
        <f t="shared" si="301"/>
        <v>BiK81X1K11--05</v>
      </c>
      <c r="AS780" s="169" t="str">
        <f t="shared" si="302"/>
        <v/>
      </c>
      <c r="AT780">
        <f t="shared" si="303"/>
        <v>14</v>
      </c>
      <c r="AU780" s="170" t="str">
        <f t="shared" si="304"/>
        <v>0-0,15 MW, Bonusregeln X1 und K erstmals 2011</v>
      </c>
      <c r="AV780" s="169" t="str">
        <f t="shared" si="305"/>
        <v/>
      </c>
      <c r="AW780" s="170" t="str">
        <f t="shared" si="306"/>
        <v>Anteil KWK, erstmals 2011</v>
      </c>
      <c r="AX780" s="169" t="str">
        <f t="shared" si="307"/>
        <v/>
      </c>
      <c r="AY780" t="str">
        <f t="shared" si="308"/>
        <v>x</v>
      </c>
      <c r="AZ780" t="str">
        <f t="shared" si="309"/>
        <v/>
      </c>
    </row>
    <row r="781" spans="1:52" s="145" customFormat="1" x14ac:dyDescent="0.35">
      <c r="A781" s="511" t="s">
        <v>1559</v>
      </c>
      <c r="B781" s="173" t="s">
        <v>5547</v>
      </c>
      <c r="C781" s="173" t="s">
        <v>1288</v>
      </c>
      <c r="D781" s="173" t="s">
        <v>6846</v>
      </c>
      <c r="E781" s="173" t="s">
        <v>1980</v>
      </c>
      <c r="F781" s="374">
        <f t="shared" si="316"/>
        <v>27.58</v>
      </c>
      <c r="G781" s="431">
        <v>27.58</v>
      </c>
      <c r="H781" s="400">
        <f t="shared" si="317"/>
        <v>22.06</v>
      </c>
      <c r="I781" s="577"/>
      <c r="J781" s="549" t="s">
        <v>5804</v>
      </c>
      <c r="K781" s="11"/>
      <c r="L781"/>
      <c r="M781" s="37">
        <f t="shared" si="318"/>
        <v>27.58</v>
      </c>
      <c r="N781" s="29">
        <v>11.67</v>
      </c>
      <c r="O781" s="149"/>
      <c r="P781" s="144"/>
      <c r="S781" s="145" t="s">
        <v>4179</v>
      </c>
      <c r="T781" s="145" t="s">
        <v>1017</v>
      </c>
      <c r="U781" s="146"/>
      <c r="W781" s="147"/>
      <c r="X781" s="147"/>
      <c r="AA781" s="147"/>
      <c r="AC781" s="145" t="s">
        <v>1017</v>
      </c>
      <c r="AD781" s="147"/>
      <c r="AE781" s="148"/>
      <c r="AF781" s="147"/>
      <c r="AG781" s="147"/>
      <c r="AH781" s="171" t="s">
        <v>4178</v>
      </c>
      <c r="AI781" s="168" t="str">
        <f t="shared" si="310"/>
        <v/>
      </c>
      <c r="AJ781" s="168" t="str">
        <f t="shared" si="311"/>
        <v/>
      </c>
      <c r="AK781" s="168" t="str">
        <f t="shared" si="312"/>
        <v/>
      </c>
      <c r="AL781" s="168" t="str">
        <f t="shared" si="313"/>
        <v/>
      </c>
      <c r="AM781" s="168" t="str">
        <f t="shared" si="314"/>
        <v/>
      </c>
      <c r="AN781" s="167" t="str">
        <f t="shared" si="297"/>
        <v>2012</v>
      </c>
      <c r="AO781" s="167" t="str">
        <f t="shared" si="298"/>
        <v>2012</v>
      </c>
      <c r="AP781" s="167" t="str">
        <f t="shared" si="299"/>
        <v>2012</v>
      </c>
      <c r="AQ781" s="169" t="str">
        <f t="shared" si="300"/>
        <v/>
      </c>
      <c r="AR781" s="170" t="str">
        <f t="shared" si="301"/>
        <v>BiK81X1K12--05</v>
      </c>
      <c r="AS781" s="169" t="str">
        <f t="shared" si="302"/>
        <v/>
      </c>
      <c r="AT781">
        <f t="shared" si="303"/>
        <v>14</v>
      </c>
      <c r="AU781" s="170" t="str">
        <f t="shared" si="304"/>
        <v>0-0,15 MW, Bonusregeln X1 und K erstmals 2012</v>
      </c>
      <c r="AV781" s="169" t="str">
        <f t="shared" si="305"/>
        <v/>
      </c>
      <c r="AW781" s="170" t="str">
        <f t="shared" si="306"/>
        <v>Anteil KWK, erstmals 2012</v>
      </c>
      <c r="AX781" s="169" t="str">
        <f t="shared" si="307"/>
        <v/>
      </c>
      <c r="AY781" t="str">
        <f t="shared" si="308"/>
        <v/>
      </c>
      <c r="AZ781" t="str">
        <f t="shared" si="309"/>
        <v>x</v>
      </c>
    </row>
    <row r="782" spans="1:52" s="145" customFormat="1" x14ac:dyDescent="0.35">
      <c r="A782" s="497" t="s">
        <v>4778</v>
      </c>
      <c r="B782" s="13" t="s">
        <v>5547</v>
      </c>
      <c r="C782" s="13" t="s">
        <v>1288</v>
      </c>
      <c r="D782" s="13" t="s">
        <v>6847</v>
      </c>
      <c r="E782" s="13" t="s">
        <v>4809</v>
      </c>
      <c r="F782" s="373">
        <f t="shared" si="316"/>
        <v>25.67</v>
      </c>
      <c r="G782" s="430">
        <v>25.67</v>
      </c>
      <c r="H782" s="399">
        <f t="shared" si="317"/>
        <v>20.54</v>
      </c>
      <c r="I782" s="576"/>
      <c r="J782" s="549" t="s">
        <v>5804</v>
      </c>
      <c r="K782" s="11"/>
      <c r="L782"/>
      <c r="M782" s="37">
        <f t="shared" si="318"/>
        <v>25.67</v>
      </c>
      <c r="N782" s="29">
        <v>11.67</v>
      </c>
      <c r="O782" s="149"/>
      <c r="P782" s="144"/>
      <c r="S782" s="145" t="s">
        <v>4179</v>
      </c>
      <c r="T782" s="145" t="s">
        <v>4179</v>
      </c>
      <c r="U782" s="146" t="s">
        <v>1017</v>
      </c>
      <c r="W782" s="147"/>
      <c r="X782" s="147"/>
      <c r="AA782" s="147"/>
      <c r="AC782" s="145" t="s">
        <v>1017</v>
      </c>
      <c r="AD782" s="147"/>
      <c r="AE782" s="148"/>
      <c r="AF782" s="147"/>
      <c r="AG782" s="147"/>
      <c r="AH782" s="166" t="str">
        <f t="shared" ref="AH782:AH787" si="320">IF(ISERROR(SEARCH("K erstmals 201",D782)),"",RIGHT(D782,4))</f>
        <v/>
      </c>
      <c r="AI782" s="168" t="str">
        <f t="shared" si="310"/>
        <v/>
      </c>
      <c r="AJ782" s="168" t="str">
        <f t="shared" si="311"/>
        <v/>
      </c>
      <c r="AK782" s="168" t="str">
        <f t="shared" si="312"/>
        <v/>
      </c>
      <c r="AL782" s="168" t="str">
        <f t="shared" si="313"/>
        <v/>
      </c>
      <c r="AM782" s="168" t="str">
        <f t="shared" si="314"/>
        <v/>
      </c>
      <c r="AN782" s="167" t="str">
        <f t="shared" si="297"/>
        <v/>
      </c>
      <c r="AO782" s="167" t="str">
        <f t="shared" si="298"/>
        <v/>
      </c>
      <c r="AP782" s="167" t="str">
        <f t="shared" si="299"/>
        <v/>
      </c>
      <c r="AQ782" s="169" t="str">
        <f t="shared" si="300"/>
        <v/>
      </c>
      <c r="AR782" s="170" t="str">
        <f t="shared" si="301"/>
        <v>BiK81X1y----05</v>
      </c>
      <c r="AS782" s="169" t="str">
        <f t="shared" si="302"/>
        <v/>
      </c>
      <c r="AT782">
        <f t="shared" si="303"/>
        <v>14</v>
      </c>
      <c r="AU782" s="170" t="str">
        <f t="shared" si="304"/>
        <v>0-0,15 MW, Bonusregeln X1, y</v>
      </c>
      <c r="AV782" s="169" t="str">
        <f t="shared" si="305"/>
        <v/>
      </c>
      <c r="AW782" s="170" t="str">
        <f t="shared" si="306"/>
        <v>Anteil Nicht-KWK</v>
      </c>
      <c r="AX782" s="169" t="str">
        <f t="shared" si="307"/>
        <v/>
      </c>
      <c r="AY782" t="str">
        <f t="shared" si="308"/>
        <v/>
      </c>
      <c r="AZ782" t="str">
        <f t="shared" si="309"/>
        <v/>
      </c>
    </row>
    <row r="783" spans="1:52" s="145" customFormat="1" x14ac:dyDescent="0.35">
      <c r="A783" s="497" t="s">
        <v>4779</v>
      </c>
      <c r="B783" s="13" t="s">
        <v>5547</v>
      </c>
      <c r="C783" s="13" t="s">
        <v>1288</v>
      </c>
      <c r="D783" s="13" t="s">
        <v>6901</v>
      </c>
      <c r="E783" s="13" t="s">
        <v>4811</v>
      </c>
      <c r="F783" s="373">
        <f t="shared" si="316"/>
        <v>27.67</v>
      </c>
      <c r="G783" s="430">
        <v>27.67</v>
      </c>
      <c r="H783" s="399">
        <f t="shared" si="317"/>
        <v>22.14</v>
      </c>
      <c r="I783" s="576"/>
      <c r="J783" s="549" t="s">
        <v>5804</v>
      </c>
      <c r="K783" s="11"/>
      <c r="L783"/>
      <c r="M783" s="37">
        <f t="shared" si="318"/>
        <v>27.67</v>
      </c>
      <c r="N783" s="29">
        <v>11.67</v>
      </c>
      <c r="O783" s="149" t="s">
        <v>1017</v>
      </c>
      <c r="P783" s="144"/>
      <c r="S783" s="145" t="s">
        <v>4179</v>
      </c>
      <c r="T783" s="145" t="s">
        <v>4179</v>
      </c>
      <c r="U783" s="146" t="s">
        <v>1017</v>
      </c>
      <c r="W783" s="147"/>
      <c r="X783" s="147"/>
      <c r="AA783" s="147"/>
      <c r="AC783" s="145" t="s">
        <v>1017</v>
      </c>
      <c r="AD783" s="147"/>
      <c r="AE783" s="148"/>
      <c r="AF783" s="147"/>
      <c r="AG783" s="147"/>
      <c r="AH783" s="166" t="str">
        <f t="shared" si="320"/>
        <v/>
      </c>
      <c r="AI783" s="168" t="str">
        <f t="shared" si="310"/>
        <v/>
      </c>
      <c r="AJ783" s="168" t="str">
        <f t="shared" si="311"/>
        <v/>
      </c>
      <c r="AK783" s="168" t="str">
        <f t="shared" si="312"/>
        <v/>
      </c>
      <c r="AL783" s="168" t="str">
        <f t="shared" si="313"/>
        <v/>
      </c>
      <c r="AM783" s="168" t="str">
        <f t="shared" si="314"/>
        <v/>
      </c>
      <c r="AN783" s="167" t="str">
        <f t="shared" si="297"/>
        <v/>
      </c>
      <c r="AO783" s="167" t="str">
        <f t="shared" si="298"/>
        <v/>
      </c>
      <c r="AP783" s="167" t="str">
        <f t="shared" si="299"/>
        <v/>
      </c>
      <c r="AQ783" s="169" t="str">
        <f t="shared" si="300"/>
        <v/>
      </c>
      <c r="AR783" s="170" t="str">
        <f t="shared" si="301"/>
        <v>BiK81X1KWKy-05</v>
      </c>
      <c r="AS783" s="169" t="str">
        <f t="shared" si="302"/>
        <v/>
      </c>
      <c r="AT783">
        <f t="shared" si="303"/>
        <v>14</v>
      </c>
      <c r="AU783" s="170" t="str">
        <f t="shared" si="304"/>
        <v>0-0,15 MW, Bonusregeln X1, y und KWK</v>
      </c>
      <c r="AV783" s="169" t="str">
        <f t="shared" si="305"/>
        <v/>
      </c>
      <c r="AW783" s="170" t="str">
        <f t="shared" si="306"/>
        <v>Anteil KWK</v>
      </c>
      <c r="AX783" s="169" t="str">
        <f t="shared" si="307"/>
        <v/>
      </c>
      <c r="AY783" t="str">
        <f t="shared" si="308"/>
        <v/>
      </c>
      <c r="AZ783" t="str">
        <f t="shared" si="309"/>
        <v/>
      </c>
    </row>
    <row r="784" spans="1:52" s="145" customFormat="1" x14ac:dyDescent="0.35">
      <c r="A784" s="497" t="s">
        <v>4780</v>
      </c>
      <c r="B784" s="13" t="s">
        <v>5547</v>
      </c>
      <c r="C784" s="13" t="s">
        <v>1288</v>
      </c>
      <c r="D784" s="88" t="s">
        <v>6848</v>
      </c>
      <c r="E784" s="13" t="s">
        <v>4330</v>
      </c>
      <c r="F784" s="373">
        <f t="shared" si="316"/>
        <v>28.67</v>
      </c>
      <c r="G784" s="430">
        <v>28.67</v>
      </c>
      <c r="H784" s="399">
        <f t="shared" si="317"/>
        <v>22.94</v>
      </c>
      <c r="I784" s="576"/>
      <c r="J784" s="549" t="s">
        <v>5804</v>
      </c>
      <c r="K784" s="11"/>
      <c r="L784"/>
      <c r="M784" s="37">
        <f t="shared" si="318"/>
        <v>28.67</v>
      </c>
      <c r="N784" s="29">
        <v>11.67</v>
      </c>
      <c r="O784" s="149"/>
      <c r="P784" s="145" t="s">
        <v>1017</v>
      </c>
      <c r="S784" s="145" t="s">
        <v>4179</v>
      </c>
      <c r="T784" s="145" t="s">
        <v>4179</v>
      </c>
      <c r="U784" s="146" t="s">
        <v>1017</v>
      </c>
      <c r="W784" s="147"/>
      <c r="X784" s="147"/>
      <c r="AA784" s="147"/>
      <c r="AC784" s="145" t="s">
        <v>1017</v>
      </c>
      <c r="AD784" s="147"/>
      <c r="AE784" s="148"/>
      <c r="AF784" s="147"/>
      <c r="AG784" s="147"/>
      <c r="AH784" s="166" t="str">
        <f t="shared" si="320"/>
        <v/>
      </c>
      <c r="AI784" s="168" t="str">
        <f t="shared" si="310"/>
        <v/>
      </c>
      <c r="AJ784" s="168" t="str">
        <f t="shared" si="311"/>
        <v/>
      </c>
      <c r="AK784" s="168" t="str">
        <f t="shared" si="312"/>
        <v/>
      </c>
      <c r="AL784" s="168" t="str">
        <f t="shared" si="313"/>
        <v/>
      </c>
      <c r="AM784" s="168" t="str">
        <f t="shared" si="314"/>
        <v/>
      </c>
      <c r="AN784" s="167" t="str">
        <f t="shared" si="297"/>
        <v/>
      </c>
      <c r="AO784" s="167" t="str">
        <f t="shared" si="298"/>
        <v/>
      </c>
      <c r="AP784" s="167" t="str">
        <f t="shared" si="299"/>
        <v/>
      </c>
      <c r="AQ784" s="169" t="str">
        <f t="shared" si="300"/>
        <v/>
      </c>
      <c r="AR784" s="170" t="str">
        <f t="shared" si="301"/>
        <v>BiK81X1KA3y-05</v>
      </c>
      <c r="AS784" s="169" t="str">
        <f t="shared" si="302"/>
        <v/>
      </c>
      <c r="AT784">
        <f t="shared" si="303"/>
        <v>14</v>
      </c>
      <c r="AU784" s="170" t="str">
        <f t="shared" si="304"/>
        <v>0-0,15 MW, Bonusregeln X1, y und K wenn Anlage 3 erfüllt</v>
      </c>
      <c r="AV784" s="169" t="str">
        <f t="shared" si="305"/>
        <v/>
      </c>
      <c r="AW784" s="170" t="str">
        <f t="shared" si="306"/>
        <v>Anteil KWK gemäß Anlage 3</v>
      </c>
      <c r="AX784" s="169" t="str">
        <f t="shared" si="307"/>
        <v/>
      </c>
      <c r="AY784" t="str">
        <f t="shared" si="308"/>
        <v/>
      </c>
      <c r="AZ784" t="str">
        <f t="shared" si="309"/>
        <v/>
      </c>
    </row>
    <row r="785" spans="1:52" s="145" customFormat="1" x14ac:dyDescent="0.35">
      <c r="A785" s="497" t="s">
        <v>4521</v>
      </c>
      <c r="B785" s="13" t="s">
        <v>5547</v>
      </c>
      <c r="C785" s="13" t="s">
        <v>1288</v>
      </c>
      <c r="D785" s="13" t="s">
        <v>6849</v>
      </c>
      <c r="E785" s="13" t="s">
        <v>674</v>
      </c>
      <c r="F785" s="373">
        <f t="shared" si="316"/>
        <v>28.67</v>
      </c>
      <c r="G785" s="430">
        <v>28.67</v>
      </c>
      <c r="H785" s="399">
        <f t="shared" si="317"/>
        <v>22.94</v>
      </c>
      <c r="I785" s="576"/>
      <c r="J785" s="549" t="s">
        <v>5804</v>
      </c>
      <c r="K785" s="11"/>
      <c r="L785"/>
      <c r="M785" s="37">
        <f t="shared" si="318"/>
        <v>28.67</v>
      </c>
      <c r="N785" s="29">
        <v>11.67</v>
      </c>
      <c r="O785" s="149"/>
      <c r="P785" s="144"/>
      <c r="Q785" s="145" t="s">
        <v>1017</v>
      </c>
      <c r="S785" s="145" t="s">
        <v>4179</v>
      </c>
      <c r="T785" s="145" t="s">
        <v>4179</v>
      </c>
      <c r="U785" s="146" t="s">
        <v>1017</v>
      </c>
      <c r="W785" s="147"/>
      <c r="X785" s="147"/>
      <c r="AA785" s="147"/>
      <c r="AC785" s="145" t="s">
        <v>1017</v>
      </c>
      <c r="AD785" s="147"/>
      <c r="AE785" s="148"/>
      <c r="AF785" s="147"/>
      <c r="AG785" s="147"/>
      <c r="AH785" s="166" t="str">
        <f t="shared" si="320"/>
        <v/>
      </c>
      <c r="AI785" s="168" t="str">
        <f t="shared" si="310"/>
        <v/>
      </c>
      <c r="AJ785" s="168" t="str">
        <f t="shared" si="311"/>
        <v/>
      </c>
      <c r="AK785" s="168" t="str">
        <f t="shared" si="312"/>
        <v/>
      </c>
      <c r="AL785" s="168" t="str">
        <f t="shared" si="313"/>
        <v/>
      </c>
      <c r="AM785" s="168" t="str">
        <f t="shared" si="314"/>
        <v/>
      </c>
      <c r="AN785" s="167" t="str">
        <f t="shared" si="297"/>
        <v/>
      </c>
      <c r="AO785" s="167" t="str">
        <f t="shared" si="298"/>
        <v/>
      </c>
      <c r="AP785" s="167" t="str">
        <f t="shared" si="299"/>
        <v/>
      </c>
      <c r="AQ785" s="169" t="str">
        <f t="shared" si="300"/>
        <v/>
      </c>
      <c r="AR785" s="170" t="str">
        <f t="shared" si="301"/>
        <v>BiK81X1K09y-05</v>
      </c>
      <c r="AS785" s="169" t="str">
        <f t="shared" si="302"/>
        <v/>
      </c>
      <c r="AT785">
        <f t="shared" si="303"/>
        <v>14</v>
      </c>
      <c r="AU785" s="170" t="str">
        <f t="shared" si="304"/>
        <v>0-0,15 MW, Bonusregeln X1, y und K erstmals 2009</v>
      </c>
      <c r="AV785" s="169" t="str">
        <f t="shared" si="305"/>
        <v/>
      </c>
      <c r="AW785" s="170" t="str">
        <f t="shared" si="306"/>
        <v>Anteil KWK, erstmals 2009</v>
      </c>
      <c r="AX785" s="169" t="str">
        <f t="shared" si="307"/>
        <v/>
      </c>
      <c r="AY785" t="str">
        <f t="shared" si="308"/>
        <v/>
      </c>
      <c r="AZ785" t="str">
        <f t="shared" si="309"/>
        <v/>
      </c>
    </row>
    <row r="786" spans="1:52" s="145" customFormat="1" x14ac:dyDescent="0.35">
      <c r="A786" s="497" t="s">
        <v>3578</v>
      </c>
      <c r="B786" s="13" t="s">
        <v>5547</v>
      </c>
      <c r="C786" s="13" t="s">
        <v>1288</v>
      </c>
      <c r="D786" s="13" t="s">
        <v>6850</v>
      </c>
      <c r="E786" s="13" t="s">
        <v>3566</v>
      </c>
      <c r="F786" s="373">
        <f t="shared" si="316"/>
        <v>28.64</v>
      </c>
      <c r="G786" s="430">
        <v>28.64</v>
      </c>
      <c r="H786" s="399">
        <f t="shared" si="317"/>
        <v>22.91</v>
      </c>
      <c r="I786" s="576"/>
      <c r="J786" s="549" t="s">
        <v>5804</v>
      </c>
      <c r="K786" s="11"/>
      <c r="L786"/>
      <c r="M786" s="37">
        <f t="shared" si="318"/>
        <v>28.64</v>
      </c>
      <c r="N786" s="29">
        <v>11.67</v>
      </c>
      <c r="O786" s="149"/>
      <c r="P786" s="144"/>
      <c r="R786" s="145" t="s">
        <v>1017</v>
      </c>
      <c r="S786" s="145" t="s">
        <v>4179</v>
      </c>
      <c r="T786" s="145" t="s">
        <v>4179</v>
      </c>
      <c r="U786" s="146" t="s">
        <v>1017</v>
      </c>
      <c r="W786" s="147"/>
      <c r="X786" s="147"/>
      <c r="AA786" s="147"/>
      <c r="AC786" s="145" t="s">
        <v>1017</v>
      </c>
      <c r="AD786" s="147"/>
      <c r="AE786" s="148"/>
      <c r="AF786" s="147"/>
      <c r="AG786" s="147"/>
      <c r="AH786" s="166" t="str">
        <f t="shared" si="320"/>
        <v>2010</v>
      </c>
      <c r="AI786" s="168" t="str">
        <f t="shared" si="310"/>
        <v/>
      </c>
      <c r="AJ786" s="168" t="str">
        <f t="shared" si="311"/>
        <v/>
      </c>
      <c r="AK786" s="168" t="str">
        <f t="shared" si="312"/>
        <v/>
      </c>
      <c r="AL786" s="168" t="str">
        <f t="shared" si="313"/>
        <v/>
      </c>
      <c r="AM786" s="168" t="str">
        <f t="shared" si="314"/>
        <v/>
      </c>
      <c r="AN786" s="167" t="str">
        <f t="shared" si="297"/>
        <v>2010</v>
      </c>
      <c r="AO786" s="167" t="str">
        <f t="shared" si="298"/>
        <v>2010</v>
      </c>
      <c r="AP786" s="167" t="str">
        <f t="shared" si="299"/>
        <v>2010</v>
      </c>
      <c r="AQ786" s="169" t="str">
        <f t="shared" si="300"/>
        <v/>
      </c>
      <c r="AR786" s="170" t="str">
        <f t="shared" si="301"/>
        <v>BiK81X1K10y-05</v>
      </c>
      <c r="AS786" s="169" t="str">
        <f t="shared" si="302"/>
        <v/>
      </c>
      <c r="AT786">
        <f t="shared" si="303"/>
        <v>14</v>
      </c>
      <c r="AU786" s="170" t="str">
        <f t="shared" si="304"/>
        <v>0-0,15 MW, Bonusregeln X1, y und K erstmals 2010</v>
      </c>
      <c r="AV786" s="169" t="str">
        <f t="shared" si="305"/>
        <v/>
      </c>
      <c r="AW786" s="170" t="str">
        <f t="shared" si="306"/>
        <v>Anteil KWK, erstmals 2010</v>
      </c>
      <c r="AX786" s="169" t="str">
        <f t="shared" si="307"/>
        <v/>
      </c>
      <c r="AY786" t="str">
        <f t="shared" si="308"/>
        <v/>
      </c>
      <c r="AZ786" t="str">
        <f t="shared" si="309"/>
        <v/>
      </c>
    </row>
    <row r="787" spans="1:52" s="145" customFormat="1" x14ac:dyDescent="0.35">
      <c r="A787" s="497" t="s">
        <v>5309</v>
      </c>
      <c r="B787" s="13" t="s">
        <v>5547</v>
      </c>
      <c r="C787" s="13" t="s">
        <v>1288</v>
      </c>
      <c r="D787" s="13" t="s">
        <v>6851</v>
      </c>
      <c r="E787" s="13" t="s">
        <v>3054</v>
      </c>
      <c r="F787" s="373">
        <f t="shared" si="316"/>
        <v>28.61</v>
      </c>
      <c r="G787" s="430">
        <v>28.61</v>
      </c>
      <c r="H787" s="399">
        <f t="shared" si="317"/>
        <v>22.89</v>
      </c>
      <c r="I787" s="576"/>
      <c r="J787" s="549" t="s">
        <v>5804</v>
      </c>
      <c r="K787" s="11"/>
      <c r="L787"/>
      <c r="M787" s="37">
        <f t="shared" si="318"/>
        <v>28.61</v>
      </c>
      <c r="N787" s="29">
        <v>11.67</v>
      </c>
      <c r="O787" s="149"/>
      <c r="P787" s="144"/>
      <c r="S787" s="145" t="s">
        <v>1017</v>
      </c>
      <c r="T787" s="145" t="s">
        <v>4179</v>
      </c>
      <c r="U787" s="146" t="s">
        <v>1017</v>
      </c>
      <c r="W787" s="147"/>
      <c r="X787" s="147"/>
      <c r="AA787" s="147"/>
      <c r="AC787" s="145" t="s">
        <v>1017</v>
      </c>
      <c r="AD787" s="147"/>
      <c r="AE787" s="148"/>
      <c r="AF787" s="147"/>
      <c r="AG787" s="147"/>
      <c r="AH787" s="166" t="str">
        <f t="shared" si="320"/>
        <v>2011</v>
      </c>
      <c r="AI787" s="168" t="str">
        <f t="shared" si="310"/>
        <v/>
      </c>
      <c r="AJ787" s="168" t="str">
        <f t="shared" si="311"/>
        <v/>
      </c>
      <c r="AK787" s="168" t="str">
        <f t="shared" si="312"/>
        <v/>
      </c>
      <c r="AL787" s="168" t="str">
        <f t="shared" si="313"/>
        <v/>
      </c>
      <c r="AM787" s="168" t="str">
        <f t="shared" si="314"/>
        <v/>
      </c>
      <c r="AN787" s="167" t="str">
        <f t="shared" si="297"/>
        <v>2011</v>
      </c>
      <c r="AO787" s="167" t="str">
        <f t="shared" si="298"/>
        <v>2011</v>
      </c>
      <c r="AP787" s="167" t="str">
        <f t="shared" si="299"/>
        <v>2011</v>
      </c>
      <c r="AQ787" s="169" t="str">
        <f t="shared" si="300"/>
        <v/>
      </c>
      <c r="AR787" s="170" t="str">
        <f t="shared" si="301"/>
        <v>BiK81X1K11y-05</v>
      </c>
      <c r="AS787" s="169" t="str">
        <f t="shared" si="302"/>
        <v/>
      </c>
      <c r="AT787">
        <f t="shared" si="303"/>
        <v>14</v>
      </c>
      <c r="AU787" s="170" t="str">
        <f t="shared" si="304"/>
        <v>0-0,15 MW, Bonusregeln X1, y und K erstmals 2011</v>
      </c>
      <c r="AV787" s="169" t="str">
        <f t="shared" si="305"/>
        <v/>
      </c>
      <c r="AW787" s="170" t="str">
        <f t="shared" si="306"/>
        <v>Anteil KWK, erstmals 2011</v>
      </c>
      <c r="AX787" s="169" t="str">
        <f t="shared" si="307"/>
        <v/>
      </c>
      <c r="AY787" t="str">
        <f t="shared" si="308"/>
        <v>x</v>
      </c>
      <c r="AZ787" t="str">
        <f t="shared" si="309"/>
        <v/>
      </c>
    </row>
    <row r="788" spans="1:52" s="145" customFormat="1" x14ac:dyDescent="0.35">
      <c r="A788" s="511" t="s">
        <v>1560</v>
      </c>
      <c r="B788" s="173" t="s">
        <v>5547</v>
      </c>
      <c r="C788" s="173" t="s">
        <v>1288</v>
      </c>
      <c r="D788" s="173" t="s">
        <v>6852</v>
      </c>
      <c r="E788" s="173" t="s">
        <v>1980</v>
      </c>
      <c r="F788" s="374">
        <f t="shared" si="316"/>
        <v>28.58</v>
      </c>
      <c r="G788" s="431">
        <v>28.58</v>
      </c>
      <c r="H788" s="400">
        <f t="shared" si="317"/>
        <v>22.86</v>
      </c>
      <c r="I788" s="577"/>
      <c r="J788" s="549" t="s">
        <v>5804</v>
      </c>
      <c r="K788" s="11"/>
      <c r="L788"/>
      <c r="M788" s="37">
        <f t="shared" si="318"/>
        <v>28.58</v>
      </c>
      <c r="N788" s="29">
        <v>11.67</v>
      </c>
      <c r="O788" s="149"/>
      <c r="P788" s="144"/>
      <c r="S788" s="145" t="s">
        <v>4179</v>
      </c>
      <c r="T788" s="145" t="s">
        <v>1017</v>
      </c>
      <c r="U788" s="146" t="s">
        <v>1017</v>
      </c>
      <c r="W788" s="147"/>
      <c r="X788" s="147"/>
      <c r="AA788" s="147"/>
      <c r="AC788" s="145" t="s">
        <v>1017</v>
      </c>
      <c r="AD788" s="147"/>
      <c r="AE788" s="148"/>
      <c r="AF788" s="147"/>
      <c r="AG788" s="147"/>
      <c r="AH788" s="171" t="s">
        <v>4178</v>
      </c>
      <c r="AI788" s="168" t="str">
        <f t="shared" si="310"/>
        <v/>
      </c>
      <c r="AJ788" s="168" t="str">
        <f t="shared" si="311"/>
        <v/>
      </c>
      <c r="AK788" s="168" t="str">
        <f t="shared" si="312"/>
        <v/>
      </c>
      <c r="AL788" s="168" t="str">
        <f t="shared" si="313"/>
        <v/>
      </c>
      <c r="AM788" s="168" t="str">
        <f t="shared" si="314"/>
        <v/>
      </c>
      <c r="AN788" s="167" t="str">
        <f t="shared" si="297"/>
        <v>2012</v>
      </c>
      <c r="AO788" s="167" t="str">
        <f t="shared" si="298"/>
        <v>2012</v>
      </c>
      <c r="AP788" s="167" t="str">
        <f t="shared" si="299"/>
        <v>2012</v>
      </c>
      <c r="AQ788" s="169" t="str">
        <f t="shared" si="300"/>
        <v/>
      </c>
      <c r="AR788" s="170" t="str">
        <f t="shared" si="301"/>
        <v>BiK81X1K12y-05</v>
      </c>
      <c r="AS788" s="169" t="str">
        <f t="shared" si="302"/>
        <v/>
      </c>
      <c r="AT788">
        <f t="shared" si="303"/>
        <v>14</v>
      </c>
      <c r="AU788" s="170" t="str">
        <f t="shared" si="304"/>
        <v>0-0,15 MW, Bonusregeln X1, y und K erstmals 2012</v>
      </c>
      <c r="AV788" s="169" t="str">
        <f t="shared" si="305"/>
        <v/>
      </c>
      <c r="AW788" s="170" t="str">
        <f t="shared" si="306"/>
        <v>Anteil KWK, erstmals 2012</v>
      </c>
      <c r="AX788" s="169" t="str">
        <f t="shared" si="307"/>
        <v/>
      </c>
      <c r="AY788" t="str">
        <f t="shared" si="308"/>
        <v/>
      </c>
      <c r="AZ788" t="str">
        <f t="shared" si="309"/>
        <v>x</v>
      </c>
    </row>
    <row r="789" spans="1:52" s="145" customFormat="1" x14ac:dyDescent="0.35">
      <c r="A789" s="505" t="s">
        <v>4509</v>
      </c>
      <c r="B789" s="23" t="s">
        <v>5547</v>
      </c>
      <c r="C789" s="23" t="s">
        <v>1288</v>
      </c>
      <c r="D789" s="23" t="s">
        <v>6902</v>
      </c>
      <c r="E789" s="23" t="s">
        <v>4809</v>
      </c>
      <c r="F789" s="378">
        <f t="shared" si="316"/>
        <v>13.67</v>
      </c>
      <c r="G789" s="434">
        <v>13.67</v>
      </c>
      <c r="H789" s="403">
        <f t="shared" si="317"/>
        <v>10.94</v>
      </c>
      <c r="I789" s="581"/>
      <c r="J789" s="549" t="s">
        <v>5804</v>
      </c>
      <c r="K789" s="11"/>
      <c r="L789"/>
      <c r="M789" s="37">
        <f t="shared" si="318"/>
        <v>13.67</v>
      </c>
      <c r="N789" s="29">
        <v>11.67</v>
      </c>
      <c r="O789" s="41"/>
      <c r="P789" s="11"/>
      <c r="Q789"/>
      <c r="R789"/>
      <c r="S789" t="s">
        <v>4179</v>
      </c>
      <c r="T789" s="145" t="s">
        <v>4179</v>
      </c>
      <c r="U789" s="42"/>
      <c r="V789"/>
      <c r="W789" s="50"/>
      <c r="X789" s="50"/>
      <c r="Y789"/>
      <c r="Z789"/>
      <c r="AA789" s="50"/>
      <c r="AB789"/>
      <c r="AC789"/>
      <c r="AD789" s="50"/>
      <c r="AE789" s="75" t="s">
        <v>1017</v>
      </c>
      <c r="AF789" s="50"/>
      <c r="AG789" s="50"/>
      <c r="AH789" s="166" t="str">
        <f t="shared" ref="AH789:AH794" si="321">IF(ISERROR(SEARCH("K erstmals 201",D789)),"",RIGHT(D789,4))</f>
        <v/>
      </c>
      <c r="AI789" s="168" t="str">
        <f t="shared" si="310"/>
        <v/>
      </c>
      <c r="AJ789" s="168" t="str">
        <f t="shared" si="311"/>
        <v/>
      </c>
      <c r="AK789" s="168" t="str">
        <f t="shared" si="312"/>
        <v/>
      </c>
      <c r="AL789" s="168" t="str">
        <f t="shared" si="313"/>
        <v/>
      </c>
      <c r="AM789" s="168" t="str">
        <f t="shared" si="314"/>
        <v/>
      </c>
      <c r="AN789" s="167" t="str">
        <f t="shared" si="297"/>
        <v/>
      </c>
      <c r="AO789" s="167" t="str">
        <f t="shared" si="298"/>
        <v/>
      </c>
      <c r="AP789" s="167" t="str">
        <f t="shared" si="299"/>
        <v/>
      </c>
      <c r="AQ789" s="169" t="str">
        <f t="shared" si="300"/>
        <v/>
      </c>
      <c r="AR789" s="170" t="str">
        <f t="shared" si="301"/>
        <v>BiK81b------05</v>
      </c>
      <c r="AS789" s="169" t="str">
        <f t="shared" si="302"/>
        <v/>
      </c>
      <c r="AT789">
        <f t="shared" si="303"/>
        <v>14</v>
      </c>
      <c r="AU789" s="170" t="str">
        <f t="shared" si="304"/>
        <v>0-0,15 MW, Bonusregel b</v>
      </c>
      <c r="AV789" s="169" t="str">
        <f t="shared" si="305"/>
        <v/>
      </c>
      <c r="AW789" s="170" t="str">
        <f t="shared" si="306"/>
        <v>Anteil Nicht-KWK</v>
      </c>
      <c r="AX789" s="169" t="str">
        <f t="shared" si="307"/>
        <v/>
      </c>
      <c r="AY789" t="str">
        <f t="shared" si="308"/>
        <v/>
      </c>
      <c r="AZ789" t="str">
        <f t="shared" si="309"/>
        <v/>
      </c>
    </row>
    <row r="790" spans="1:52" s="145" customFormat="1" x14ac:dyDescent="0.35">
      <c r="A790" s="505" t="s">
        <v>4510</v>
      </c>
      <c r="B790" s="23" t="s">
        <v>5547</v>
      </c>
      <c r="C790" s="23" t="s">
        <v>1288</v>
      </c>
      <c r="D790" s="23" t="s">
        <v>6903</v>
      </c>
      <c r="E790" s="23" t="s">
        <v>4811</v>
      </c>
      <c r="F790" s="378">
        <f t="shared" si="316"/>
        <v>15.67</v>
      </c>
      <c r="G790" s="434">
        <v>15.67</v>
      </c>
      <c r="H790" s="403">
        <f t="shared" si="317"/>
        <v>12.54</v>
      </c>
      <c r="I790" s="581"/>
      <c r="J790" s="549" t="s">
        <v>5804</v>
      </c>
      <c r="K790" s="11"/>
      <c r="L790"/>
      <c r="M790" s="37">
        <f t="shared" si="318"/>
        <v>15.67</v>
      </c>
      <c r="N790" s="29">
        <v>11.67</v>
      </c>
      <c r="O790" s="41" t="s">
        <v>1017</v>
      </c>
      <c r="P790" s="11"/>
      <c r="Q790"/>
      <c r="R790"/>
      <c r="S790" t="s">
        <v>4179</v>
      </c>
      <c r="T790" s="145" t="s">
        <v>4179</v>
      </c>
      <c r="U790" s="42"/>
      <c r="V790"/>
      <c r="W790" s="50"/>
      <c r="X790" s="50"/>
      <c r="Y790"/>
      <c r="Z790"/>
      <c r="AA790" s="50"/>
      <c r="AB790"/>
      <c r="AC790"/>
      <c r="AD790" s="50"/>
      <c r="AE790" s="75" t="s">
        <v>1017</v>
      </c>
      <c r="AF790" s="50"/>
      <c r="AG790" s="50"/>
      <c r="AH790" s="166" t="str">
        <f t="shared" si="321"/>
        <v/>
      </c>
      <c r="AI790" s="168" t="str">
        <f t="shared" si="310"/>
        <v/>
      </c>
      <c r="AJ790" s="168" t="str">
        <f t="shared" si="311"/>
        <v/>
      </c>
      <c r="AK790" s="168" t="str">
        <f t="shared" si="312"/>
        <v/>
      </c>
      <c r="AL790" s="168" t="str">
        <f t="shared" si="313"/>
        <v/>
      </c>
      <c r="AM790" s="168" t="str">
        <f t="shared" si="314"/>
        <v/>
      </c>
      <c r="AN790" s="167" t="str">
        <f t="shared" si="297"/>
        <v/>
      </c>
      <c r="AO790" s="167" t="str">
        <f t="shared" si="298"/>
        <v/>
      </c>
      <c r="AP790" s="167" t="str">
        <f t="shared" si="299"/>
        <v/>
      </c>
      <c r="AQ790" s="169" t="str">
        <f t="shared" si="300"/>
        <v/>
      </c>
      <c r="AR790" s="170" t="str">
        <f t="shared" si="301"/>
        <v>BiK81bKWK---05</v>
      </c>
      <c r="AS790" s="169" t="str">
        <f t="shared" si="302"/>
        <v/>
      </c>
      <c r="AT790">
        <f t="shared" si="303"/>
        <v>14</v>
      </c>
      <c r="AU790" s="170" t="str">
        <f t="shared" si="304"/>
        <v>0-0,15 MW, Bonusregeln b und KWK</v>
      </c>
      <c r="AV790" s="169" t="str">
        <f t="shared" si="305"/>
        <v/>
      </c>
      <c r="AW790" s="170" t="str">
        <f t="shared" si="306"/>
        <v>Anteil KWK</v>
      </c>
      <c r="AX790" s="169" t="str">
        <f t="shared" si="307"/>
        <v/>
      </c>
      <c r="AY790" t="str">
        <f t="shared" si="308"/>
        <v/>
      </c>
      <c r="AZ790" t="str">
        <f t="shared" si="309"/>
        <v/>
      </c>
    </row>
    <row r="791" spans="1:52" s="145" customFormat="1" x14ac:dyDescent="0.35">
      <c r="A791" s="497" t="s">
        <v>4343</v>
      </c>
      <c r="B791" s="13" t="s">
        <v>5547</v>
      </c>
      <c r="C791" s="13" t="s">
        <v>1288</v>
      </c>
      <c r="D791" s="13" t="s">
        <v>6904</v>
      </c>
      <c r="E791" s="13" t="s">
        <v>4330</v>
      </c>
      <c r="F791" s="373">
        <f t="shared" si="316"/>
        <v>16.670000000000002</v>
      </c>
      <c r="G791" s="430">
        <v>16.670000000000002</v>
      </c>
      <c r="H791" s="399">
        <f t="shared" si="317"/>
        <v>13.34</v>
      </c>
      <c r="I791" s="576"/>
      <c r="J791" s="549" t="s">
        <v>5804</v>
      </c>
      <c r="K791" s="11"/>
      <c r="L791"/>
      <c r="M791" s="37">
        <f t="shared" si="318"/>
        <v>16.670000000000002</v>
      </c>
      <c r="N791" s="29">
        <v>11.67</v>
      </c>
      <c r="O791" s="41"/>
      <c r="P791" t="s">
        <v>1017</v>
      </c>
      <c r="Q791"/>
      <c r="R791"/>
      <c r="S791" t="s">
        <v>4179</v>
      </c>
      <c r="T791" s="145" t="s">
        <v>4179</v>
      </c>
      <c r="U791" s="42"/>
      <c r="V791"/>
      <c r="W791" s="50"/>
      <c r="X791" s="50"/>
      <c r="Y791"/>
      <c r="Z791"/>
      <c r="AA791" s="50"/>
      <c r="AB791"/>
      <c r="AC791"/>
      <c r="AD791" s="50"/>
      <c r="AE791" s="75" t="s">
        <v>1017</v>
      </c>
      <c r="AF791" s="50"/>
      <c r="AG791" s="50"/>
      <c r="AH791" s="166" t="str">
        <f t="shared" si="321"/>
        <v/>
      </c>
      <c r="AI791" s="168" t="str">
        <f t="shared" si="310"/>
        <v/>
      </c>
      <c r="AJ791" s="168" t="str">
        <f t="shared" si="311"/>
        <v/>
      </c>
      <c r="AK791" s="168" t="str">
        <f t="shared" si="312"/>
        <v/>
      </c>
      <c r="AL791" s="168" t="str">
        <f t="shared" si="313"/>
        <v/>
      </c>
      <c r="AM791" s="168" t="str">
        <f t="shared" si="314"/>
        <v/>
      </c>
      <c r="AN791" s="167" t="str">
        <f t="shared" si="297"/>
        <v/>
      </c>
      <c r="AO791" s="167" t="str">
        <f t="shared" si="298"/>
        <v/>
      </c>
      <c r="AP791" s="167" t="str">
        <f t="shared" si="299"/>
        <v/>
      </c>
      <c r="AQ791" s="169" t="str">
        <f t="shared" si="300"/>
        <v/>
      </c>
      <c r="AR791" s="170" t="str">
        <f t="shared" si="301"/>
        <v>BiK81bKA3---05</v>
      </c>
      <c r="AS791" s="169" t="str">
        <f t="shared" si="302"/>
        <v/>
      </c>
      <c r="AT791">
        <f t="shared" si="303"/>
        <v>14</v>
      </c>
      <c r="AU791" s="170" t="str">
        <f t="shared" si="304"/>
        <v>0-0,15 MW, Bonusregeln b und K wenn Anlage 3 erfüllt</v>
      </c>
      <c r="AV791" s="169" t="str">
        <f t="shared" si="305"/>
        <v/>
      </c>
      <c r="AW791" s="170" t="str">
        <f t="shared" si="306"/>
        <v>Anteil KWK gemäß Anlage 3</v>
      </c>
      <c r="AX791" s="169" t="str">
        <f t="shared" si="307"/>
        <v/>
      </c>
      <c r="AY791" t="str">
        <f t="shared" si="308"/>
        <v/>
      </c>
      <c r="AZ791" t="str">
        <f t="shared" si="309"/>
        <v/>
      </c>
    </row>
    <row r="792" spans="1:52" s="145" customFormat="1" x14ac:dyDescent="0.35">
      <c r="A792" s="497" t="s">
        <v>2346</v>
      </c>
      <c r="B792" s="13" t="s">
        <v>5547</v>
      </c>
      <c r="C792" s="13" t="s">
        <v>1288</v>
      </c>
      <c r="D792" s="13" t="s">
        <v>6905</v>
      </c>
      <c r="E792" s="13" t="s">
        <v>674</v>
      </c>
      <c r="F792" s="373">
        <f t="shared" si="316"/>
        <v>16.670000000000002</v>
      </c>
      <c r="G792" s="430">
        <v>16.670000000000002</v>
      </c>
      <c r="H792" s="399">
        <f t="shared" si="317"/>
        <v>13.34</v>
      </c>
      <c r="I792" s="576"/>
      <c r="J792" s="549" t="s">
        <v>5804</v>
      </c>
      <c r="K792" s="11"/>
      <c r="L792"/>
      <c r="M792" s="37">
        <f t="shared" si="318"/>
        <v>16.670000000000002</v>
      </c>
      <c r="N792" s="29">
        <v>11.67</v>
      </c>
      <c r="O792" s="41"/>
      <c r="P792" s="11"/>
      <c r="Q792" t="s">
        <v>1017</v>
      </c>
      <c r="R792"/>
      <c r="S792" t="s">
        <v>4179</v>
      </c>
      <c r="T792" s="145" t="s">
        <v>4179</v>
      </c>
      <c r="U792" s="42"/>
      <c r="V792"/>
      <c r="W792" s="50"/>
      <c r="X792" s="50"/>
      <c r="Y792"/>
      <c r="Z792"/>
      <c r="AA792" s="50"/>
      <c r="AB792"/>
      <c r="AC792"/>
      <c r="AD792" s="50"/>
      <c r="AE792" s="75" t="s">
        <v>1017</v>
      </c>
      <c r="AF792" s="50"/>
      <c r="AG792" s="50"/>
      <c r="AH792" s="166" t="str">
        <f t="shared" si="321"/>
        <v/>
      </c>
      <c r="AI792" s="168" t="str">
        <f t="shared" si="310"/>
        <v/>
      </c>
      <c r="AJ792" s="168" t="str">
        <f t="shared" si="311"/>
        <v/>
      </c>
      <c r="AK792" s="168" t="str">
        <f t="shared" si="312"/>
        <v/>
      </c>
      <c r="AL792" s="168" t="str">
        <f t="shared" si="313"/>
        <v/>
      </c>
      <c r="AM792" s="168" t="str">
        <f t="shared" si="314"/>
        <v/>
      </c>
      <c r="AN792" s="167" t="str">
        <f t="shared" si="297"/>
        <v/>
      </c>
      <c r="AO792" s="167" t="str">
        <f t="shared" si="298"/>
        <v/>
      </c>
      <c r="AP792" s="167" t="str">
        <f t="shared" si="299"/>
        <v/>
      </c>
      <c r="AQ792" s="169" t="str">
        <f t="shared" si="300"/>
        <v/>
      </c>
      <c r="AR792" s="170" t="str">
        <f t="shared" si="301"/>
        <v>BiK81bK09---05</v>
      </c>
      <c r="AS792" s="169" t="str">
        <f t="shared" si="302"/>
        <v/>
      </c>
      <c r="AT792">
        <f t="shared" si="303"/>
        <v>14</v>
      </c>
      <c r="AU792" s="170" t="str">
        <f t="shared" si="304"/>
        <v>0-0,15 MW, Bonusregeln b und K erstmals 2009</v>
      </c>
      <c r="AV792" s="169" t="str">
        <f t="shared" si="305"/>
        <v/>
      </c>
      <c r="AW792" s="170" t="str">
        <f t="shared" si="306"/>
        <v>Anteil KWK, erstmals 2009</v>
      </c>
      <c r="AX792" s="169" t="str">
        <f t="shared" si="307"/>
        <v/>
      </c>
      <c r="AY792" t="str">
        <f t="shared" si="308"/>
        <v/>
      </c>
      <c r="AZ792" t="str">
        <f t="shared" si="309"/>
        <v/>
      </c>
    </row>
    <row r="793" spans="1:52" s="145" customFormat="1" x14ac:dyDescent="0.35">
      <c r="A793" s="497" t="s">
        <v>3579</v>
      </c>
      <c r="B793" s="13" t="s">
        <v>5547</v>
      </c>
      <c r="C793" s="13" t="s">
        <v>1288</v>
      </c>
      <c r="D793" s="13" t="s">
        <v>6906</v>
      </c>
      <c r="E793" s="13" t="s">
        <v>3566</v>
      </c>
      <c r="F793" s="373">
        <f t="shared" si="316"/>
        <v>16.64</v>
      </c>
      <c r="G793" s="430">
        <v>16.64</v>
      </c>
      <c r="H793" s="399">
        <f t="shared" si="317"/>
        <v>13.31</v>
      </c>
      <c r="I793" s="576"/>
      <c r="J793" s="549" t="s">
        <v>5804</v>
      </c>
      <c r="K793" s="11"/>
      <c r="L793"/>
      <c r="M793" s="37">
        <f t="shared" si="318"/>
        <v>16.64</v>
      </c>
      <c r="N793" s="29">
        <v>11.67</v>
      </c>
      <c r="O793" s="41"/>
      <c r="P793" s="11"/>
      <c r="Q793"/>
      <c r="R793" t="s">
        <v>1017</v>
      </c>
      <c r="S793" t="s">
        <v>4179</v>
      </c>
      <c r="T793" s="145" t="s">
        <v>4179</v>
      </c>
      <c r="U793" s="42"/>
      <c r="V793"/>
      <c r="W793" s="50"/>
      <c r="X793" s="50"/>
      <c r="Y793"/>
      <c r="Z793"/>
      <c r="AA793" s="50"/>
      <c r="AB793"/>
      <c r="AC793"/>
      <c r="AD793" s="50"/>
      <c r="AE793" s="75" t="s">
        <v>1017</v>
      </c>
      <c r="AF793" s="50"/>
      <c r="AG793" s="50"/>
      <c r="AH793" s="166" t="str">
        <f t="shared" si="321"/>
        <v>2010</v>
      </c>
      <c r="AI793" s="168" t="str">
        <f t="shared" si="310"/>
        <v/>
      </c>
      <c r="AJ793" s="168" t="str">
        <f t="shared" si="311"/>
        <v/>
      </c>
      <c r="AK793" s="168" t="str">
        <f t="shared" si="312"/>
        <v/>
      </c>
      <c r="AL793" s="168" t="str">
        <f t="shared" si="313"/>
        <v/>
      </c>
      <c r="AM793" s="168" t="str">
        <f t="shared" si="314"/>
        <v/>
      </c>
      <c r="AN793" s="167" t="str">
        <f t="shared" si="297"/>
        <v>2010</v>
      </c>
      <c r="AO793" s="167" t="str">
        <f t="shared" si="298"/>
        <v>2010</v>
      </c>
      <c r="AP793" s="167" t="str">
        <f t="shared" si="299"/>
        <v>2010</v>
      </c>
      <c r="AQ793" s="169" t="str">
        <f t="shared" si="300"/>
        <v/>
      </c>
      <c r="AR793" s="170" t="str">
        <f t="shared" si="301"/>
        <v>BiK81bK10---05</v>
      </c>
      <c r="AS793" s="169" t="str">
        <f t="shared" si="302"/>
        <v/>
      </c>
      <c r="AT793">
        <f t="shared" si="303"/>
        <v>14</v>
      </c>
      <c r="AU793" s="170" t="str">
        <f t="shared" si="304"/>
        <v>0-0,15 MW, Bonusregeln b und K erstmals 2010</v>
      </c>
      <c r="AV793" s="169" t="str">
        <f t="shared" si="305"/>
        <v/>
      </c>
      <c r="AW793" s="170" t="str">
        <f t="shared" si="306"/>
        <v>Anteil KWK, erstmals 2010</v>
      </c>
      <c r="AX793" s="169" t="str">
        <f t="shared" si="307"/>
        <v/>
      </c>
      <c r="AY793" t="str">
        <f t="shared" si="308"/>
        <v/>
      </c>
      <c r="AZ793" t="str">
        <f t="shared" si="309"/>
        <v/>
      </c>
    </row>
    <row r="794" spans="1:52" s="145" customFormat="1" x14ac:dyDescent="0.35">
      <c r="A794" s="497" t="s">
        <v>5310</v>
      </c>
      <c r="B794" s="13" t="s">
        <v>5547</v>
      </c>
      <c r="C794" s="13" t="s">
        <v>1288</v>
      </c>
      <c r="D794" s="13" t="s">
        <v>6907</v>
      </c>
      <c r="E794" s="13" t="s">
        <v>3054</v>
      </c>
      <c r="F794" s="373">
        <f t="shared" si="316"/>
        <v>16.61</v>
      </c>
      <c r="G794" s="430">
        <v>16.61</v>
      </c>
      <c r="H794" s="399">
        <f t="shared" si="317"/>
        <v>13.29</v>
      </c>
      <c r="I794" s="576"/>
      <c r="J794" s="549" t="s">
        <v>5804</v>
      </c>
      <c r="K794" s="11"/>
      <c r="L794"/>
      <c r="M794" s="37">
        <f t="shared" si="318"/>
        <v>16.61</v>
      </c>
      <c r="N794" s="29">
        <v>11.67</v>
      </c>
      <c r="O794" s="41"/>
      <c r="P794" s="11"/>
      <c r="Q794"/>
      <c r="R794"/>
      <c r="S794" t="s">
        <v>1017</v>
      </c>
      <c r="T794" s="145" t="s">
        <v>4179</v>
      </c>
      <c r="U794" s="42"/>
      <c r="V794"/>
      <c r="W794" s="50"/>
      <c r="X794" s="50"/>
      <c r="Y794"/>
      <c r="Z794"/>
      <c r="AA794" s="50"/>
      <c r="AB794"/>
      <c r="AC794"/>
      <c r="AD794" s="50"/>
      <c r="AE794" s="75" t="s">
        <v>1017</v>
      </c>
      <c r="AF794" s="50"/>
      <c r="AG794" s="50"/>
      <c r="AH794" s="166" t="str">
        <f t="shared" si="321"/>
        <v>2011</v>
      </c>
      <c r="AI794" s="168" t="str">
        <f t="shared" si="310"/>
        <v/>
      </c>
      <c r="AJ794" s="168" t="str">
        <f t="shared" si="311"/>
        <v/>
      </c>
      <c r="AK794" s="168" t="str">
        <f t="shared" si="312"/>
        <v/>
      </c>
      <c r="AL794" s="168" t="str">
        <f t="shared" si="313"/>
        <v/>
      </c>
      <c r="AM794" s="168" t="str">
        <f t="shared" si="314"/>
        <v/>
      </c>
      <c r="AN794" s="167" t="str">
        <f t="shared" si="297"/>
        <v>2011</v>
      </c>
      <c r="AO794" s="167" t="str">
        <f t="shared" si="298"/>
        <v>2011</v>
      </c>
      <c r="AP794" s="167" t="str">
        <f t="shared" si="299"/>
        <v>2011</v>
      </c>
      <c r="AQ794" s="169" t="str">
        <f t="shared" si="300"/>
        <v/>
      </c>
      <c r="AR794" s="170" t="str">
        <f t="shared" si="301"/>
        <v>BiK81bK11---05</v>
      </c>
      <c r="AS794" s="169" t="str">
        <f t="shared" si="302"/>
        <v/>
      </c>
      <c r="AT794">
        <f t="shared" si="303"/>
        <v>14</v>
      </c>
      <c r="AU794" s="170" t="str">
        <f t="shared" si="304"/>
        <v>0-0,15 MW, Bonusregeln b und K erstmals 2011</v>
      </c>
      <c r="AV794" s="169" t="str">
        <f t="shared" si="305"/>
        <v/>
      </c>
      <c r="AW794" s="170" t="str">
        <f t="shared" si="306"/>
        <v>Anteil KWK, erstmals 2011</v>
      </c>
      <c r="AX794" s="169" t="str">
        <f t="shared" si="307"/>
        <v/>
      </c>
      <c r="AY794" t="str">
        <f t="shared" si="308"/>
        <v>x</v>
      </c>
      <c r="AZ794" t="str">
        <f t="shared" si="309"/>
        <v/>
      </c>
    </row>
    <row r="795" spans="1:52" s="145" customFormat="1" x14ac:dyDescent="0.35">
      <c r="A795" s="511" t="s">
        <v>1561</v>
      </c>
      <c r="B795" s="173" t="s">
        <v>5547</v>
      </c>
      <c r="C795" s="173" t="s">
        <v>1288</v>
      </c>
      <c r="D795" s="173" t="s">
        <v>6908</v>
      </c>
      <c r="E795" s="173" t="s">
        <v>1980</v>
      </c>
      <c r="F795" s="374">
        <f t="shared" si="316"/>
        <v>16.579999999999998</v>
      </c>
      <c r="G795" s="431">
        <v>16.579999999999998</v>
      </c>
      <c r="H795" s="400">
        <f t="shared" si="317"/>
        <v>13.26</v>
      </c>
      <c r="I795" s="577"/>
      <c r="J795" s="549" t="s">
        <v>5804</v>
      </c>
      <c r="K795" s="11"/>
      <c r="L795"/>
      <c r="M795" s="37">
        <f t="shared" si="318"/>
        <v>16.579999999999998</v>
      </c>
      <c r="N795" s="29">
        <v>11.67</v>
      </c>
      <c r="O795" s="41"/>
      <c r="P795" s="11"/>
      <c r="Q795"/>
      <c r="R795"/>
      <c r="S795" t="s">
        <v>4179</v>
      </c>
      <c r="T795" s="145" t="s">
        <v>1017</v>
      </c>
      <c r="U795" s="42"/>
      <c r="V795"/>
      <c r="W795" s="50"/>
      <c r="X795" s="50"/>
      <c r="Y795"/>
      <c r="Z795"/>
      <c r="AA795" s="50"/>
      <c r="AB795"/>
      <c r="AC795"/>
      <c r="AD795" s="50"/>
      <c r="AE795" s="75" t="s">
        <v>1017</v>
      </c>
      <c r="AF795" s="50"/>
      <c r="AG795" s="50"/>
      <c r="AH795" s="171" t="s">
        <v>4178</v>
      </c>
      <c r="AI795" s="168" t="str">
        <f t="shared" si="310"/>
        <v/>
      </c>
      <c r="AJ795" s="168" t="str">
        <f t="shared" si="311"/>
        <v/>
      </c>
      <c r="AK795" s="168" t="str">
        <f t="shared" si="312"/>
        <v/>
      </c>
      <c r="AL795" s="168" t="str">
        <f t="shared" si="313"/>
        <v/>
      </c>
      <c r="AM795" s="168" t="str">
        <f t="shared" si="314"/>
        <v/>
      </c>
      <c r="AN795" s="167" t="str">
        <f t="shared" si="297"/>
        <v>2012</v>
      </c>
      <c r="AO795" s="167" t="str">
        <f t="shared" si="298"/>
        <v>2012</v>
      </c>
      <c r="AP795" s="167" t="str">
        <f t="shared" si="299"/>
        <v>2012</v>
      </c>
      <c r="AQ795" s="169" t="str">
        <f t="shared" si="300"/>
        <v/>
      </c>
      <c r="AR795" s="170" t="str">
        <f t="shared" si="301"/>
        <v>BiK81bK12---05</v>
      </c>
      <c r="AS795" s="169" t="str">
        <f t="shared" si="302"/>
        <v/>
      </c>
      <c r="AT795">
        <f t="shared" si="303"/>
        <v>14</v>
      </c>
      <c r="AU795" s="170" t="str">
        <f t="shared" si="304"/>
        <v>0-0,15 MW, Bonusregeln b und K erstmals 2012</v>
      </c>
      <c r="AV795" s="169" t="str">
        <f t="shared" si="305"/>
        <v/>
      </c>
      <c r="AW795" s="170" t="str">
        <f t="shared" si="306"/>
        <v>Anteil KWK, erstmals 2012</v>
      </c>
      <c r="AX795" s="169" t="str">
        <f t="shared" si="307"/>
        <v/>
      </c>
      <c r="AY795" t="str">
        <f t="shared" si="308"/>
        <v/>
      </c>
      <c r="AZ795" t="str">
        <f t="shared" si="309"/>
        <v>x</v>
      </c>
    </row>
    <row r="796" spans="1:52" s="145" customFormat="1" x14ac:dyDescent="0.35">
      <c r="A796" s="497" t="s">
        <v>1317</v>
      </c>
      <c r="B796" s="13" t="s">
        <v>5547</v>
      </c>
      <c r="C796" s="13" t="s">
        <v>1288</v>
      </c>
      <c r="D796" s="13" t="s">
        <v>6909</v>
      </c>
      <c r="E796" s="13" t="s">
        <v>4809</v>
      </c>
      <c r="F796" s="373">
        <f t="shared" si="316"/>
        <v>14.67</v>
      </c>
      <c r="G796" s="430">
        <v>14.67</v>
      </c>
      <c r="H796" s="399">
        <f t="shared" si="317"/>
        <v>11.74</v>
      </c>
      <c r="I796" s="576"/>
      <c r="J796" s="549" t="s">
        <v>5804</v>
      </c>
      <c r="K796" s="11"/>
      <c r="L796"/>
      <c r="M796" s="37">
        <f t="shared" si="318"/>
        <v>14.67</v>
      </c>
      <c r="N796" s="29">
        <v>11.67</v>
      </c>
      <c r="O796" s="41"/>
      <c r="P796" s="11"/>
      <c r="Q796"/>
      <c r="R796"/>
      <c r="S796" t="s">
        <v>4179</v>
      </c>
      <c r="T796" s="145" t="s">
        <v>4179</v>
      </c>
      <c r="U796" s="42" t="s">
        <v>1017</v>
      </c>
      <c r="V796"/>
      <c r="W796" s="50"/>
      <c r="X796" s="50"/>
      <c r="Y796"/>
      <c r="Z796"/>
      <c r="AA796" s="50"/>
      <c r="AB796"/>
      <c r="AC796"/>
      <c r="AD796" s="50"/>
      <c r="AE796" s="75" t="s">
        <v>1017</v>
      </c>
      <c r="AF796" s="50"/>
      <c r="AG796" s="50"/>
      <c r="AH796" s="166" t="str">
        <f t="shared" ref="AH796:AH801" si="322">IF(ISERROR(SEARCH("K erstmals 201",D796)),"",RIGHT(D796,4))</f>
        <v/>
      </c>
      <c r="AI796" s="168" t="str">
        <f t="shared" si="310"/>
        <v/>
      </c>
      <c r="AJ796" s="168" t="str">
        <f t="shared" si="311"/>
        <v/>
      </c>
      <c r="AK796" s="168" t="str">
        <f t="shared" si="312"/>
        <v/>
      </c>
      <c r="AL796" s="168" t="str">
        <f t="shared" si="313"/>
        <v/>
      </c>
      <c r="AM796" s="168" t="str">
        <f t="shared" si="314"/>
        <v/>
      </c>
      <c r="AN796" s="167" t="str">
        <f t="shared" si="297"/>
        <v/>
      </c>
      <c r="AO796" s="167" t="str">
        <f t="shared" si="298"/>
        <v/>
      </c>
      <c r="AP796" s="167" t="str">
        <f t="shared" si="299"/>
        <v/>
      </c>
      <c r="AQ796" s="169" t="str">
        <f t="shared" si="300"/>
        <v/>
      </c>
      <c r="AR796" s="170" t="str">
        <f t="shared" si="301"/>
        <v>BiK81by-----05</v>
      </c>
      <c r="AS796" s="169" t="str">
        <f t="shared" si="302"/>
        <v/>
      </c>
      <c r="AT796">
        <f t="shared" si="303"/>
        <v>14</v>
      </c>
      <c r="AU796" s="170" t="str">
        <f t="shared" si="304"/>
        <v>0-0,15 MW, Bonusregeln b, y</v>
      </c>
      <c r="AV796" s="169" t="str">
        <f t="shared" si="305"/>
        <v/>
      </c>
      <c r="AW796" s="170" t="str">
        <f t="shared" si="306"/>
        <v>Anteil Nicht-KWK</v>
      </c>
      <c r="AX796" s="169" t="str">
        <f t="shared" si="307"/>
        <v/>
      </c>
      <c r="AY796" t="str">
        <f t="shared" si="308"/>
        <v/>
      </c>
      <c r="AZ796" t="str">
        <f t="shared" si="309"/>
        <v/>
      </c>
    </row>
    <row r="797" spans="1:52" s="145" customFormat="1" x14ac:dyDescent="0.35">
      <c r="A797" s="497" t="s">
        <v>1318</v>
      </c>
      <c r="B797" s="13" t="s">
        <v>5547</v>
      </c>
      <c r="C797" s="13" t="s">
        <v>1288</v>
      </c>
      <c r="D797" s="13" t="s">
        <v>6910</v>
      </c>
      <c r="E797" s="13" t="s">
        <v>4811</v>
      </c>
      <c r="F797" s="373">
        <f t="shared" si="316"/>
        <v>16.670000000000002</v>
      </c>
      <c r="G797" s="430">
        <v>16.670000000000002</v>
      </c>
      <c r="H797" s="399">
        <f t="shared" si="317"/>
        <v>13.34</v>
      </c>
      <c r="I797" s="576"/>
      <c r="J797" s="549" t="s">
        <v>5804</v>
      </c>
      <c r="K797" s="11"/>
      <c r="L797"/>
      <c r="M797" s="37">
        <f t="shared" si="318"/>
        <v>16.670000000000002</v>
      </c>
      <c r="N797" s="29">
        <v>11.67</v>
      </c>
      <c r="O797" s="41" t="s">
        <v>1017</v>
      </c>
      <c r="P797" s="11"/>
      <c r="Q797"/>
      <c r="R797"/>
      <c r="S797" t="s">
        <v>4179</v>
      </c>
      <c r="T797" s="145" t="s">
        <v>4179</v>
      </c>
      <c r="U797" s="42" t="s">
        <v>1017</v>
      </c>
      <c r="V797"/>
      <c r="W797" s="50"/>
      <c r="X797" s="50"/>
      <c r="Y797"/>
      <c r="Z797"/>
      <c r="AA797" s="50"/>
      <c r="AB797"/>
      <c r="AC797"/>
      <c r="AD797" s="50"/>
      <c r="AE797" s="75" t="s">
        <v>1017</v>
      </c>
      <c r="AF797" s="50"/>
      <c r="AG797" s="50"/>
      <c r="AH797" s="166" t="str">
        <f t="shared" si="322"/>
        <v/>
      </c>
      <c r="AI797" s="168" t="str">
        <f t="shared" si="310"/>
        <v/>
      </c>
      <c r="AJ797" s="168" t="str">
        <f t="shared" si="311"/>
        <v/>
      </c>
      <c r="AK797" s="168" t="str">
        <f t="shared" si="312"/>
        <v/>
      </c>
      <c r="AL797" s="168" t="str">
        <f t="shared" si="313"/>
        <v/>
      </c>
      <c r="AM797" s="168" t="str">
        <f t="shared" si="314"/>
        <v/>
      </c>
      <c r="AN797" s="167" t="str">
        <f t="shared" si="297"/>
        <v/>
      </c>
      <c r="AO797" s="167" t="str">
        <f t="shared" si="298"/>
        <v/>
      </c>
      <c r="AP797" s="167" t="str">
        <f t="shared" si="299"/>
        <v/>
      </c>
      <c r="AQ797" s="169" t="str">
        <f t="shared" si="300"/>
        <v/>
      </c>
      <c r="AR797" s="170" t="str">
        <f t="shared" si="301"/>
        <v>BiK81bKWKy--05</v>
      </c>
      <c r="AS797" s="169" t="str">
        <f t="shared" si="302"/>
        <v/>
      </c>
      <c r="AT797">
        <f t="shared" si="303"/>
        <v>14</v>
      </c>
      <c r="AU797" s="170" t="str">
        <f t="shared" si="304"/>
        <v>0-0,15 MW, Bonusregeln b, y und KWK</v>
      </c>
      <c r="AV797" s="169" t="str">
        <f t="shared" si="305"/>
        <v/>
      </c>
      <c r="AW797" s="170" t="str">
        <f t="shared" si="306"/>
        <v>Anteil KWK</v>
      </c>
      <c r="AX797" s="169" t="str">
        <f t="shared" si="307"/>
        <v/>
      </c>
      <c r="AY797" t="str">
        <f t="shared" si="308"/>
        <v/>
      </c>
      <c r="AZ797" t="str">
        <f t="shared" si="309"/>
        <v/>
      </c>
    </row>
    <row r="798" spans="1:52" s="145" customFormat="1" x14ac:dyDescent="0.35">
      <c r="A798" s="497" t="s">
        <v>1319</v>
      </c>
      <c r="B798" s="13" t="s">
        <v>5547</v>
      </c>
      <c r="C798" s="13" t="s">
        <v>1288</v>
      </c>
      <c r="D798" s="13" t="s">
        <v>6911</v>
      </c>
      <c r="E798" s="13" t="s">
        <v>4330</v>
      </c>
      <c r="F798" s="373">
        <f t="shared" si="316"/>
        <v>17.670000000000002</v>
      </c>
      <c r="G798" s="430">
        <v>17.670000000000002</v>
      </c>
      <c r="H798" s="399">
        <f t="shared" si="317"/>
        <v>14.14</v>
      </c>
      <c r="I798" s="576"/>
      <c r="J798" s="549" t="s">
        <v>5804</v>
      </c>
      <c r="K798" s="11"/>
      <c r="L798"/>
      <c r="M798" s="37">
        <f t="shared" si="318"/>
        <v>17.670000000000002</v>
      </c>
      <c r="N798" s="29">
        <v>11.67</v>
      </c>
      <c r="O798" s="41"/>
      <c r="P798" t="s">
        <v>1017</v>
      </c>
      <c r="Q798"/>
      <c r="R798"/>
      <c r="S798" t="s">
        <v>4179</v>
      </c>
      <c r="T798" s="145" t="s">
        <v>4179</v>
      </c>
      <c r="U798" s="42" t="s">
        <v>1017</v>
      </c>
      <c r="V798"/>
      <c r="W798" s="50"/>
      <c r="X798" s="50"/>
      <c r="Y798"/>
      <c r="Z798"/>
      <c r="AA798" s="50"/>
      <c r="AB798"/>
      <c r="AC798"/>
      <c r="AD798" s="50"/>
      <c r="AE798" s="75" t="s">
        <v>1017</v>
      </c>
      <c r="AF798" s="50"/>
      <c r="AG798" s="50"/>
      <c r="AH798" s="166" t="str">
        <f t="shared" si="322"/>
        <v/>
      </c>
      <c r="AI798" s="168" t="str">
        <f t="shared" si="310"/>
        <v/>
      </c>
      <c r="AJ798" s="168" t="str">
        <f t="shared" si="311"/>
        <v/>
      </c>
      <c r="AK798" s="168" t="str">
        <f t="shared" si="312"/>
        <v/>
      </c>
      <c r="AL798" s="168" t="str">
        <f t="shared" si="313"/>
        <v/>
      </c>
      <c r="AM798" s="168" t="str">
        <f t="shared" si="314"/>
        <v/>
      </c>
      <c r="AN798" s="167" t="str">
        <f t="shared" si="297"/>
        <v/>
      </c>
      <c r="AO798" s="167" t="str">
        <f t="shared" si="298"/>
        <v/>
      </c>
      <c r="AP798" s="167" t="str">
        <f t="shared" si="299"/>
        <v/>
      </c>
      <c r="AQ798" s="169" t="str">
        <f t="shared" si="300"/>
        <v/>
      </c>
      <c r="AR798" s="170" t="str">
        <f t="shared" si="301"/>
        <v>BiK81bKA3y--05</v>
      </c>
      <c r="AS798" s="169" t="str">
        <f t="shared" si="302"/>
        <v/>
      </c>
      <c r="AT798">
        <f t="shared" si="303"/>
        <v>14</v>
      </c>
      <c r="AU798" s="170" t="str">
        <f t="shared" si="304"/>
        <v>0-0,15 MW, Bonusregeln b, y und K wenn Anlage 3 erfüllt</v>
      </c>
      <c r="AV798" s="169" t="str">
        <f t="shared" si="305"/>
        <v/>
      </c>
      <c r="AW798" s="170" t="str">
        <f t="shared" si="306"/>
        <v>Anteil KWK gemäß Anlage 3</v>
      </c>
      <c r="AX798" s="169" t="str">
        <f t="shared" si="307"/>
        <v/>
      </c>
      <c r="AY798" t="str">
        <f t="shared" si="308"/>
        <v/>
      </c>
      <c r="AZ798" t="str">
        <f t="shared" si="309"/>
        <v/>
      </c>
    </row>
    <row r="799" spans="1:52" s="145" customFormat="1" x14ac:dyDescent="0.35">
      <c r="A799" s="497" t="s">
        <v>1320</v>
      </c>
      <c r="B799" s="13" t="s">
        <v>5547</v>
      </c>
      <c r="C799" s="13" t="s">
        <v>1288</v>
      </c>
      <c r="D799" s="13" t="s">
        <v>6912</v>
      </c>
      <c r="E799" s="13" t="s">
        <v>674</v>
      </c>
      <c r="F799" s="373">
        <f t="shared" si="316"/>
        <v>17.670000000000002</v>
      </c>
      <c r="G799" s="430">
        <v>17.670000000000002</v>
      </c>
      <c r="H799" s="399">
        <f t="shared" si="317"/>
        <v>14.14</v>
      </c>
      <c r="I799" s="576"/>
      <c r="J799" s="549" t="s">
        <v>5804</v>
      </c>
      <c r="K799" s="11"/>
      <c r="L799"/>
      <c r="M799" s="37">
        <f t="shared" si="318"/>
        <v>17.670000000000002</v>
      </c>
      <c r="N799" s="29">
        <v>11.67</v>
      </c>
      <c r="O799" s="41"/>
      <c r="P799" s="11"/>
      <c r="Q799" t="s">
        <v>1017</v>
      </c>
      <c r="R799"/>
      <c r="S799" t="s">
        <v>4179</v>
      </c>
      <c r="T799" s="145" t="s">
        <v>4179</v>
      </c>
      <c r="U799" s="42" t="s">
        <v>1017</v>
      </c>
      <c r="V799"/>
      <c r="W799" s="50"/>
      <c r="X799" s="50"/>
      <c r="Y799"/>
      <c r="Z799"/>
      <c r="AA799" s="50"/>
      <c r="AB799"/>
      <c r="AC799"/>
      <c r="AD799" s="50"/>
      <c r="AE799" s="75" t="s">
        <v>1017</v>
      </c>
      <c r="AF799" s="50"/>
      <c r="AG799" s="50"/>
      <c r="AH799" s="166" t="str">
        <f t="shared" si="322"/>
        <v/>
      </c>
      <c r="AI799" s="168" t="str">
        <f t="shared" si="310"/>
        <v/>
      </c>
      <c r="AJ799" s="168" t="str">
        <f t="shared" si="311"/>
        <v/>
      </c>
      <c r="AK799" s="168" t="str">
        <f t="shared" si="312"/>
        <v/>
      </c>
      <c r="AL799" s="168" t="str">
        <f t="shared" si="313"/>
        <v/>
      </c>
      <c r="AM799" s="168" t="str">
        <f t="shared" si="314"/>
        <v/>
      </c>
      <c r="AN799" s="167" t="str">
        <f t="shared" si="297"/>
        <v/>
      </c>
      <c r="AO799" s="167" t="str">
        <f t="shared" si="298"/>
        <v/>
      </c>
      <c r="AP799" s="167" t="str">
        <f t="shared" si="299"/>
        <v/>
      </c>
      <c r="AQ799" s="169" t="str">
        <f t="shared" si="300"/>
        <v/>
      </c>
      <c r="AR799" s="170" t="str">
        <f t="shared" si="301"/>
        <v>BiK81bK09y--05</v>
      </c>
      <c r="AS799" s="169" t="str">
        <f t="shared" si="302"/>
        <v/>
      </c>
      <c r="AT799">
        <f t="shared" si="303"/>
        <v>14</v>
      </c>
      <c r="AU799" s="170" t="str">
        <f t="shared" si="304"/>
        <v>0-0,15 MW, Bonusregeln b, y und K erstmals 2009</v>
      </c>
      <c r="AV799" s="169" t="str">
        <f t="shared" si="305"/>
        <v/>
      </c>
      <c r="AW799" s="170" t="str">
        <f t="shared" si="306"/>
        <v>Anteil KWK, erstmals 2009</v>
      </c>
      <c r="AX799" s="169" t="str">
        <f t="shared" si="307"/>
        <v/>
      </c>
      <c r="AY799" t="str">
        <f t="shared" si="308"/>
        <v/>
      </c>
      <c r="AZ799" t="str">
        <f t="shared" si="309"/>
        <v/>
      </c>
    </row>
    <row r="800" spans="1:52" s="145" customFormat="1" x14ac:dyDescent="0.35">
      <c r="A800" s="497" t="s">
        <v>3580</v>
      </c>
      <c r="B800" s="13" t="s">
        <v>5547</v>
      </c>
      <c r="C800" s="13" t="s">
        <v>1288</v>
      </c>
      <c r="D800" s="13" t="s">
        <v>6913</v>
      </c>
      <c r="E800" s="13" t="s">
        <v>3566</v>
      </c>
      <c r="F800" s="373">
        <f t="shared" si="316"/>
        <v>17.64</v>
      </c>
      <c r="G800" s="430">
        <v>17.64</v>
      </c>
      <c r="H800" s="399">
        <f t="shared" si="317"/>
        <v>14.11</v>
      </c>
      <c r="I800" s="576"/>
      <c r="J800" s="549" t="s">
        <v>5804</v>
      </c>
      <c r="K800" s="11"/>
      <c r="L800"/>
      <c r="M800" s="37">
        <f t="shared" si="318"/>
        <v>17.64</v>
      </c>
      <c r="N800" s="29">
        <v>11.67</v>
      </c>
      <c r="O800" s="41"/>
      <c r="P800" s="11"/>
      <c r="Q800"/>
      <c r="R800" t="s">
        <v>1017</v>
      </c>
      <c r="S800" t="s">
        <v>4179</v>
      </c>
      <c r="T800" s="145" t="s">
        <v>4179</v>
      </c>
      <c r="U800" s="42" t="s">
        <v>1017</v>
      </c>
      <c r="V800"/>
      <c r="W800" s="50"/>
      <c r="X800" s="50"/>
      <c r="Y800"/>
      <c r="Z800"/>
      <c r="AA800" s="50"/>
      <c r="AB800"/>
      <c r="AC800"/>
      <c r="AD800" s="50"/>
      <c r="AE800" s="75" t="s">
        <v>1017</v>
      </c>
      <c r="AF800" s="50"/>
      <c r="AG800" s="50"/>
      <c r="AH800" s="166" t="str">
        <f t="shared" si="322"/>
        <v>2010</v>
      </c>
      <c r="AI800" s="168" t="str">
        <f t="shared" si="310"/>
        <v/>
      </c>
      <c r="AJ800" s="168" t="str">
        <f t="shared" si="311"/>
        <v/>
      </c>
      <c r="AK800" s="168" t="str">
        <f t="shared" si="312"/>
        <v/>
      </c>
      <c r="AL800" s="168" t="str">
        <f t="shared" si="313"/>
        <v/>
      </c>
      <c r="AM800" s="168" t="str">
        <f t="shared" si="314"/>
        <v/>
      </c>
      <c r="AN800" s="167" t="str">
        <f t="shared" si="297"/>
        <v>2010</v>
      </c>
      <c r="AO800" s="167" t="str">
        <f t="shared" si="298"/>
        <v>2010</v>
      </c>
      <c r="AP800" s="167" t="str">
        <f t="shared" si="299"/>
        <v>2010</v>
      </c>
      <c r="AQ800" s="169" t="str">
        <f t="shared" si="300"/>
        <v/>
      </c>
      <c r="AR800" s="170" t="str">
        <f t="shared" si="301"/>
        <v>BiK81bK10y--05</v>
      </c>
      <c r="AS800" s="169" t="str">
        <f t="shared" si="302"/>
        <v/>
      </c>
      <c r="AT800">
        <f t="shared" si="303"/>
        <v>14</v>
      </c>
      <c r="AU800" s="170" t="str">
        <f t="shared" si="304"/>
        <v>0-0,15 MW, Bonusregeln b, y und K erstmals 2010</v>
      </c>
      <c r="AV800" s="169" t="str">
        <f t="shared" si="305"/>
        <v/>
      </c>
      <c r="AW800" s="170" t="str">
        <f t="shared" si="306"/>
        <v>Anteil KWK, erstmals 2010</v>
      </c>
      <c r="AX800" s="169" t="str">
        <f t="shared" si="307"/>
        <v/>
      </c>
      <c r="AY800" t="str">
        <f t="shared" si="308"/>
        <v/>
      </c>
      <c r="AZ800" t="str">
        <f t="shared" si="309"/>
        <v/>
      </c>
    </row>
    <row r="801" spans="1:52" s="145" customFormat="1" x14ac:dyDescent="0.35">
      <c r="A801" s="497" t="s">
        <v>5311</v>
      </c>
      <c r="B801" s="13" t="s">
        <v>5547</v>
      </c>
      <c r="C801" s="13" t="s">
        <v>1288</v>
      </c>
      <c r="D801" s="13" t="s">
        <v>6914</v>
      </c>
      <c r="E801" s="13" t="s">
        <v>3054</v>
      </c>
      <c r="F801" s="373">
        <f t="shared" si="316"/>
        <v>17.61</v>
      </c>
      <c r="G801" s="430">
        <v>17.61</v>
      </c>
      <c r="H801" s="399">
        <f t="shared" si="317"/>
        <v>14.09</v>
      </c>
      <c r="I801" s="576"/>
      <c r="J801" s="549" t="s">
        <v>5804</v>
      </c>
      <c r="K801" s="11"/>
      <c r="L801"/>
      <c r="M801" s="37">
        <f t="shared" si="318"/>
        <v>17.61</v>
      </c>
      <c r="N801" s="29">
        <v>11.67</v>
      </c>
      <c r="O801" s="41"/>
      <c r="P801" s="11"/>
      <c r="Q801"/>
      <c r="R801"/>
      <c r="S801" t="s">
        <v>1017</v>
      </c>
      <c r="T801" s="145" t="s">
        <v>4179</v>
      </c>
      <c r="U801" s="42" t="s">
        <v>1017</v>
      </c>
      <c r="V801"/>
      <c r="W801" s="50"/>
      <c r="X801" s="50"/>
      <c r="Y801"/>
      <c r="Z801"/>
      <c r="AA801" s="50"/>
      <c r="AB801"/>
      <c r="AC801"/>
      <c r="AD801" s="50"/>
      <c r="AE801" s="75" t="s">
        <v>1017</v>
      </c>
      <c r="AF801" s="50"/>
      <c r="AG801" s="50"/>
      <c r="AH801" s="166" t="str">
        <f t="shared" si="322"/>
        <v>2011</v>
      </c>
      <c r="AI801" s="168" t="str">
        <f t="shared" si="310"/>
        <v/>
      </c>
      <c r="AJ801" s="168" t="str">
        <f t="shared" si="311"/>
        <v/>
      </c>
      <c r="AK801" s="168" t="str">
        <f t="shared" si="312"/>
        <v/>
      </c>
      <c r="AL801" s="168" t="str">
        <f t="shared" si="313"/>
        <v/>
      </c>
      <c r="AM801" s="168" t="str">
        <f t="shared" si="314"/>
        <v/>
      </c>
      <c r="AN801" s="167" t="str">
        <f t="shared" si="297"/>
        <v>2011</v>
      </c>
      <c r="AO801" s="167" t="str">
        <f t="shared" si="298"/>
        <v>2011</v>
      </c>
      <c r="AP801" s="167" t="str">
        <f t="shared" si="299"/>
        <v>2011</v>
      </c>
      <c r="AQ801" s="169" t="str">
        <f t="shared" si="300"/>
        <v/>
      </c>
      <c r="AR801" s="170" t="str">
        <f t="shared" si="301"/>
        <v>BiK81bK11y--05</v>
      </c>
      <c r="AS801" s="169" t="str">
        <f t="shared" si="302"/>
        <v/>
      </c>
      <c r="AT801">
        <f t="shared" si="303"/>
        <v>14</v>
      </c>
      <c r="AU801" s="170" t="str">
        <f t="shared" si="304"/>
        <v>0-0,15 MW, Bonusregeln b, y und K erstmals 2011</v>
      </c>
      <c r="AV801" s="169" t="str">
        <f t="shared" si="305"/>
        <v/>
      </c>
      <c r="AW801" s="170" t="str">
        <f t="shared" si="306"/>
        <v>Anteil KWK, erstmals 2011</v>
      </c>
      <c r="AX801" s="169" t="str">
        <f t="shared" si="307"/>
        <v/>
      </c>
      <c r="AY801" t="str">
        <f t="shared" si="308"/>
        <v>x</v>
      </c>
      <c r="AZ801" t="str">
        <f t="shared" si="309"/>
        <v/>
      </c>
    </row>
    <row r="802" spans="1:52" s="145" customFormat="1" x14ac:dyDescent="0.35">
      <c r="A802" s="511" t="s">
        <v>1562</v>
      </c>
      <c r="B802" s="173" t="s">
        <v>5547</v>
      </c>
      <c r="C802" s="173" t="s">
        <v>1288</v>
      </c>
      <c r="D802" s="173" t="s">
        <v>6915</v>
      </c>
      <c r="E802" s="173" t="s">
        <v>1980</v>
      </c>
      <c r="F802" s="374">
        <f t="shared" si="316"/>
        <v>17.579999999999998</v>
      </c>
      <c r="G802" s="431">
        <v>17.579999999999998</v>
      </c>
      <c r="H802" s="400">
        <f t="shared" si="317"/>
        <v>14.06</v>
      </c>
      <c r="I802" s="577"/>
      <c r="J802" s="549" t="s">
        <v>5804</v>
      </c>
      <c r="K802" s="11"/>
      <c r="L802"/>
      <c r="M802" s="37">
        <f t="shared" si="318"/>
        <v>17.579999999999998</v>
      </c>
      <c r="N802" s="29">
        <v>11.67</v>
      </c>
      <c r="O802" s="41"/>
      <c r="P802" s="11"/>
      <c r="Q802"/>
      <c r="R802"/>
      <c r="S802" t="s">
        <v>4179</v>
      </c>
      <c r="T802" s="145" t="s">
        <v>1017</v>
      </c>
      <c r="U802" s="42" t="s">
        <v>1017</v>
      </c>
      <c r="V802"/>
      <c r="W802" s="50"/>
      <c r="X802" s="50"/>
      <c r="Y802"/>
      <c r="Z802"/>
      <c r="AA802" s="50"/>
      <c r="AB802"/>
      <c r="AC802"/>
      <c r="AD802" s="50"/>
      <c r="AE802" s="75" t="s">
        <v>1017</v>
      </c>
      <c r="AF802" s="50"/>
      <c r="AG802" s="50"/>
      <c r="AH802" s="171" t="s">
        <v>4178</v>
      </c>
      <c r="AI802" s="168" t="str">
        <f t="shared" si="310"/>
        <v/>
      </c>
      <c r="AJ802" s="168" t="str">
        <f t="shared" si="311"/>
        <v/>
      </c>
      <c r="AK802" s="168" t="str">
        <f t="shared" si="312"/>
        <v/>
      </c>
      <c r="AL802" s="168" t="str">
        <f t="shared" si="313"/>
        <v/>
      </c>
      <c r="AM802" s="168" t="str">
        <f t="shared" si="314"/>
        <v/>
      </c>
      <c r="AN802" s="167" t="str">
        <f t="shared" si="297"/>
        <v>2012</v>
      </c>
      <c r="AO802" s="167" t="str">
        <f t="shared" si="298"/>
        <v>2012</v>
      </c>
      <c r="AP802" s="167" t="str">
        <f t="shared" si="299"/>
        <v>2012</v>
      </c>
      <c r="AQ802" s="169" t="str">
        <f t="shared" si="300"/>
        <v/>
      </c>
      <c r="AR802" s="170" t="str">
        <f t="shared" si="301"/>
        <v>BiK81bK12y--05</v>
      </c>
      <c r="AS802" s="169" t="str">
        <f t="shared" si="302"/>
        <v/>
      </c>
      <c r="AT802">
        <f t="shared" si="303"/>
        <v>14</v>
      </c>
      <c r="AU802" s="170" t="str">
        <f t="shared" si="304"/>
        <v>0-0,15 MW, Bonusregeln b, y und K erstmals 2012</v>
      </c>
      <c r="AV802" s="169" t="str">
        <f t="shared" si="305"/>
        <v/>
      </c>
      <c r="AW802" s="170" t="str">
        <f t="shared" si="306"/>
        <v>Anteil KWK, erstmals 2012</v>
      </c>
      <c r="AX802" s="169" t="str">
        <f t="shared" si="307"/>
        <v/>
      </c>
      <c r="AY802" t="str">
        <f t="shared" si="308"/>
        <v/>
      </c>
      <c r="AZ802" t="str">
        <f t="shared" si="309"/>
        <v>x</v>
      </c>
    </row>
    <row r="803" spans="1:52" s="145" customFormat="1" x14ac:dyDescent="0.35">
      <c r="A803" s="505" t="s">
        <v>4511</v>
      </c>
      <c r="B803" s="23" t="s">
        <v>5547</v>
      </c>
      <c r="C803" s="23" t="s">
        <v>1288</v>
      </c>
      <c r="D803" s="23" t="s">
        <v>6916</v>
      </c>
      <c r="E803" s="23" t="s">
        <v>4809</v>
      </c>
      <c r="F803" s="378">
        <f t="shared" si="316"/>
        <v>19.670000000000002</v>
      </c>
      <c r="G803" s="434">
        <v>19.670000000000002</v>
      </c>
      <c r="H803" s="403">
        <f t="shared" si="317"/>
        <v>15.74</v>
      </c>
      <c r="I803" s="581"/>
      <c r="J803" s="549" t="s">
        <v>5804</v>
      </c>
      <c r="K803" s="11"/>
      <c r="L803"/>
      <c r="M803" s="37">
        <f t="shared" si="318"/>
        <v>19.670000000000002</v>
      </c>
      <c r="N803" s="29">
        <v>11.67</v>
      </c>
      <c r="O803" s="41"/>
      <c r="P803" s="11"/>
      <c r="Q803"/>
      <c r="R803"/>
      <c r="S803" t="s">
        <v>4179</v>
      </c>
      <c r="T803" s="145" t="s">
        <v>4179</v>
      </c>
      <c r="U803" s="42"/>
      <c r="V803" t="s">
        <v>1017</v>
      </c>
      <c r="W803" s="50"/>
      <c r="X803" s="50"/>
      <c r="Y803"/>
      <c r="Z803"/>
      <c r="AA803" s="50"/>
      <c r="AB803"/>
      <c r="AC803"/>
      <c r="AD803" s="50"/>
      <c r="AE803" s="75" t="s">
        <v>1017</v>
      </c>
      <c r="AF803" s="50"/>
      <c r="AG803" s="50"/>
      <c r="AH803" s="166" t="str">
        <f t="shared" ref="AH803:AH808" si="323">IF(ISERROR(SEARCH("K erstmals 201",D803)),"",RIGHT(D803,4))</f>
        <v/>
      </c>
      <c r="AI803" s="168" t="str">
        <f t="shared" si="310"/>
        <v/>
      </c>
      <c r="AJ803" s="168" t="str">
        <f t="shared" si="311"/>
        <v/>
      </c>
      <c r="AK803" s="168" t="str">
        <f t="shared" si="312"/>
        <v/>
      </c>
      <c r="AL803" s="168" t="str">
        <f t="shared" si="313"/>
        <v/>
      </c>
      <c r="AM803" s="168" t="str">
        <f t="shared" si="314"/>
        <v/>
      </c>
      <c r="AN803" s="167" t="str">
        <f t="shared" si="297"/>
        <v/>
      </c>
      <c r="AO803" s="167" t="str">
        <f t="shared" si="298"/>
        <v/>
      </c>
      <c r="AP803" s="167" t="str">
        <f t="shared" si="299"/>
        <v/>
      </c>
      <c r="AQ803" s="169" t="str">
        <f t="shared" si="300"/>
        <v/>
      </c>
      <c r="AR803" s="170" t="str">
        <f t="shared" si="301"/>
        <v>BiK81a1b----05</v>
      </c>
      <c r="AS803" s="169" t="str">
        <f t="shared" si="302"/>
        <v/>
      </c>
      <c r="AT803">
        <f t="shared" si="303"/>
        <v>14</v>
      </c>
      <c r="AU803" s="170" t="str">
        <f t="shared" si="304"/>
        <v>0-0,15 MW, Bonusregeln a1 und b</v>
      </c>
      <c r="AV803" s="169" t="str">
        <f t="shared" si="305"/>
        <v/>
      </c>
      <c r="AW803" s="170" t="str">
        <f t="shared" si="306"/>
        <v>Anteil Nicht-KWK</v>
      </c>
      <c r="AX803" s="169" t="str">
        <f t="shared" si="307"/>
        <v/>
      </c>
      <c r="AY803" t="str">
        <f t="shared" si="308"/>
        <v/>
      </c>
      <c r="AZ803" t="str">
        <f t="shared" si="309"/>
        <v/>
      </c>
    </row>
    <row r="804" spans="1:52" s="145" customFormat="1" x14ac:dyDescent="0.35">
      <c r="A804" s="505" t="s">
        <v>4512</v>
      </c>
      <c r="B804" s="23" t="s">
        <v>5547</v>
      </c>
      <c r="C804" s="23" t="s">
        <v>1288</v>
      </c>
      <c r="D804" s="23" t="s">
        <v>6917</v>
      </c>
      <c r="E804" s="23" t="s">
        <v>4811</v>
      </c>
      <c r="F804" s="378">
        <f t="shared" si="316"/>
        <v>21.67</v>
      </c>
      <c r="G804" s="434">
        <v>21.67</v>
      </c>
      <c r="H804" s="403">
        <f t="shared" si="317"/>
        <v>17.34</v>
      </c>
      <c r="I804" s="581"/>
      <c r="J804" s="549" t="s">
        <v>5804</v>
      </c>
      <c r="K804" s="11"/>
      <c r="L804"/>
      <c r="M804" s="37">
        <f t="shared" si="318"/>
        <v>21.67</v>
      </c>
      <c r="N804" s="29">
        <v>11.67</v>
      </c>
      <c r="O804" s="41" t="s">
        <v>1017</v>
      </c>
      <c r="P804" s="11"/>
      <c r="Q804"/>
      <c r="R804"/>
      <c r="S804" t="s">
        <v>4179</v>
      </c>
      <c r="T804" s="145" t="s">
        <v>4179</v>
      </c>
      <c r="U804" s="42"/>
      <c r="V804" t="s">
        <v>1017</v>
      </c>
      <c r="W804" s="50"/>
      <c r="X804" s="50"/>
      <c r="Y804"/>
      <c r="Z804"/>
      <c r="AA804" s="50"/>
      <c r="AB804"/>
      <c r="AC804"/>
      <c r="AD804" s="50"/>
      <c r="AE804" s="75" t="s">
        <v>1017</v>
      </c>
      <c r="AF804" s="50"/>
      <c r="AG804" s="50"/>
      <c r="AH804" s="166" t="str">
        <f t="shared" si="323"/>
        <v/>
      </c>
      <c r="AI804" s="168" t="str">
        <f t="shared" si="310"/>
        <v/>
      </c>
      <c r="AJ804" s="168" t="str">
        <f t="shared" si="311"/>
        <v/>
      </c>
      <c r="AK804" s="168" t="str">
        <f t="shared" si="312"/>
        <v/>
      </c>
      <c r="AL804" s="168" t="str">
        <f t="shared" si="313"/>
        <v/>
      </c>
      <c r="AM804" s="168" t="str">
        <f t="shared" si="314"/>
        <v/>
      </c>
      <c r="AN804" s="167" t="str">
        <f t="shared" si="297"/>
        <v/>
      </c>
      <c r="AO804" s="167" t="str">
        <f t="shared" si="298"/>
        <v/>
      </c>
      <c r="AP804" s="167" t="str">
        <f t="shared" si="299"/>
        <v/>
      </c>
      <c r="AQ804" s="169" t="str">
        <f t="shared" si="300"/>
        <v/>
      </c>
      <c r="AR804" s="170" t="str">
        <f t="shared" si="301"/>
        <v>BiK81a1bKWK-05</v>
      </c>
      <c r="AS804" s="169" t="str">
        <f t="shared" si="302"/>
        <v/>
      </c>
      <c r="AT804">
        <f t="shared" si="303"/>
        <v>14</v>
      </c>
      <c r="AU804" s="170" t="str">
        <f t="shared" si="304"/>
        <v>0-0,15 MW, Bonusregeln a1, b und KWK</v>
      </c>
      <c r="AV804" s="169" t="str">
        <f t="shared" si="305"/>
        <v/>
      </c>
      <c r="AW804" s="170" t="str">
        <f t="shared" si="306"/>
        <v>Anteil KWK</v>
      </c>
      <c r="AX804" s="169" t="str">
        <f t="shared" si="307"/>
        <v/>
      </c>
      <c r="AY804" t="str">
        <f t="shared" si="308"/>
        <v/>
      </c>
      <c r="AZ804" t="str">
        <f t="shared" si="309"/>
        <v/>
      </c>
    </row>
    <row r="805" spans="1:52" s="145" customFormat="1" x14ac:dyDescent="0.35">
      <c r="A805" s="497" t="s">
        <v>4344</v>
      </c>
      <c r="B805" s="13" t="s">
        <v>5547</v>
      </c>
      <c r="C805" s="13" t="s">
        <v>1288</v>
      </c>
      <c r="D805" s="13" t="s">
        <v>6918</v>
      </c>
      <c r="E805" s="13" t="s">
        <v>4330</v>
      </c>
      <c r="F805" s="373">
        <f t="shared" si="316"/>
        <v>22.67</v>
      </c>
      <c r="G805" s="430">
        <v>22.67</v>
      </c>
      <c r="H805" s="399">
        <f t="shared" si="317"/>
        <v>18.14</v>
      </c>
      <c r="I805" s="576"/>
      <c r="J805" s="549" t="s">
        <v>5804</v>
      </c>
      <c r="K805" s="11"/>
      <c r="L805"/>
      <c r="M805" s="37">
        <f t="shared" si="318"/>
        <v>22.67</v>
      </c>
      <c r="N805" s="29">
        <v>11.67</v>
      </c>
      <c r="O805" s="41"/>
      <c r="P805" t="s">
        <v>1017</v>
      </c>
      <c r="Q805"/>
      <c r="R805"/>
      <c r="S805" t="s">
        <v>4179</v>
      </c>
      <c r="T805" s="145" t="s">
        <v>4179</v>
      </c>
      <c r="U805" s="42"/>
      <c r="V805" t="s">
        <v>1017</v>
      </c>
      <c r="W805" s="50"/>
      <c r="X805" s="50"/>
      <c r="Y805"/>
      <c r="Z805"/>
      <c r="AA805" s="50"/>
      <c r="AB805"/>
      <c r="AC805"/>
      <c r="AD805" s="50"/>
      <c r="AE805" s="75" t="s">
        <v>1017</v>
      </c>
      <c r="AF805" s="50"/>
      <c r="AG805" s="50"/>
      <c r="AH805" s="166" t="str">
        <f t="shared" si="323"/>
        <v/>
      </c>
      <c r="AI805" s="168" t="str">
        <f t="shared" si="310"/>
        <v/>
      </c>
      <c r="AJ805" s="168" t="str">
        <f t="shared" si="311"/>
        <v/>
      </c>
      <c r="AK805" s="168" t="str">
        <f t="shared" si="312"/>
        <v/>
      </c>
      <c r="AL805" s="168" t="str">
        <f t="shared" si="313"/>
        <v/>
      </c>
      <c r="AM805" s="168" t="str">
        <f t="shared" si="314"/>
        <v/>
      </c>
      <c r="AN805" s="167" t="str">
        <f t="shared" si="297"/>
        <v/>
      </c>
      <c r="AO805" s="167" t="str">
        <f t="shared" si="298"/>
        <v/>
      </c>
      <c r="AP805" s="167" t="str">
        <f t="shared" si="299"/>
        <v/>
      </c>
      <c r="AQ805" s="169" t="str">
        <f t="shared" si="300"/>
        <v/>
      </c>
      <c r="AR805" s="170" t="str">
        <f t="shared" si="301"/>
        <v>BiK81a1bKA3-05</v>
      </c>
      <c r="AS805" s="169" t="str">
        <f t="shared" si="302"/>
        <v/>
      </c>
      <c r="AT805">
        <f t="shared" si="303"/>
        <v>14</v>
      </c>
      <c r="AU805" s="170" t="str">
        <f t="shared" si="304"/>
        <v>0-0,15 MW, Bonusregeln a1, b und K wenn Anlage 3 erfüllt</v>
      </c>
      <c r="AV805" s="169" t="str">
        <f t="shared" si="305"/>
        <v/>
      </c>
      <c r="AW805" s="170" t="str">
        <f t="shared" si="306"/>
        <v>Anteil KWK gemäß Anlage 3</v>
      </c>
      <c r="AX805" s="169" t="str">
        <f t="shared" si="307"/>
        <v/>
      </c>
      <c r="AY805" t="str">
        <f t="shared" si="308"/>
        <v/>
      </c>
      <c r="AZ805" t="str">
        <f t="shared" si="309"/>
        <v/>
      </c>
    </row>
    <row r="806" spans="1:52" s="145" customFormat="1" x14ac:dyDescent="0.35">
      <c r="A806" s="497" t="s">
        <v>2347</v>
      </c>
      <c r="B806" s="13" t="s">
        <v>5547</v>
      </c>
      <c r="C806" s="13" t="s">
        <v>1288</v>
      </c>
      <c r="D806" s="13" t="s">
        <v>6919</v>
      </c>
      <c r="E806" s="13" t="s">
        <v>674</v>
      </c>
      <c r="F806" s="373">
        <f t="shared" si="316"/>
        <v>22.67</v>
      </c>
      <c r="G806" s="430">
        <v>22.67</v>
      </c>
      <c r="H806" s="399">
        <f t="shared" si="317"/>
        <v>18.14</v>
      </c>
      <c r="I806" s="576"/>
      <c r="J806" s="549" t="s">
        <v>5804</v>
      </c>
      <c r="K806" s="11"/>
      <c r="L806"/>
      <c r="M806" s="37">
        <f t="shared" si="318"/>
        <v>22.67</v>
      </c>
      <c r="N806" s="29">
        <v>11.67</v>
      </c>
      <c r="O806" s="41"/>
      <c r="P806" s="11"/>
      <c r="Q806" t="s">
        <v>1017</v>
      </c>
      <c r="R806"/>
      <c r="S806" t="s">
        <v>4179</v>
      </c>
      <c r="T806" s="145" t="s">
        <v>4179</v>
      </c>
      <c r="U806" s="42"/>
      <c r="V806" t="s">
        <v>1017</v>
      </c>
      <c r="W806" s="50"/>
      <c r="X806" s="50"/>
      <c r="Y806"/>
      <c r="Z806"/>
      <c r="AA806" s="50"/>
      <c r="AB806"/>
      <c r="AC806"/>
      <c r="AD806" s="50"/>
      <c r="AE806" s="75" t="s">
        <v>1017</v>
      </c>
      <c r="AF806" s="50"/>
      <c r="AG806" s="50"/>
      <c r="AH806" s="166" t="str">
        <f t="shared" si="323"/>
        <v/>
      </c>
      <c r="AI806" s="168" t="str">
        <f t="shared" si="310"/>
        <v/>
      </c>
      <c r="AJ806" s="168" t="str">
        <f t="shared" si="311"/>
        <v/>
      </c>
      <c r="AK806" s="168" t="str">
        <f t="shared" si="312"/>
        <v/>
      </c>
      <c r="AL806" s="168" t="str">
        <f t="shared" si="313"/>
        <v/>
      </c>
      <c r="AM806" s="168" t="str">
        <f t="shared" si="314"/>
        <v/>
      </c>
      <c r="AN806" s="167" t="str">
        <f t="shared" si="297"/>
        <v/>
      </c>
      <c r="AO806" s="167" t="str">
        <f t="shared" si="298"/>
        <v/>
      </c>
      <c r="AP806" s="167" t="str">
        <f t="shared" si="299"/>
        <v/>
      </c>
      <c r="AQ806" s="169" t="str">
        <f t="shared" si="300"/>
        <v/>
      </c>
      <c r="AR806" s="170" t="str">
        <f t="shared" si="301"/>
        <v>BiK81a1bK09-05</v>
      </c>
      <c r="AS806" s="169" t="str">
        <f t="shared" si="302"/>
        <v/>
      </c>
      <c r="AT806">
        <f t="shared" si="303"/>
        <v>14</v>
      </c>
      <c r="AU806" s="170" t="str">
        <f t="shared" si="304"/>
        <v>0-0,15 MW, Bonusregeln a1, b und K erstmals 2009</v>
      </c>
      <c r="AV806" s="169" t="str">
        <f t="shared" si="305"/>
        <v/>
      </c>
      <c r="AW806" s="170" t="str">
        <f t="shared" si="306"/>
        <v>Anteil KWK, erstmals 2009</v>
      </c>
      <c r="AX806" s="169" t="str">
        <f t="shared" si="307"/>
        <v/>
      </c>
      <c r="AY806" t="str">
        <f t="shared" si="308"/>
        <v/>
      </c>
      <c r="AZ806" t="str">
        <f t="shared" si="309"/>
        <v/>
      </c>
    </row>
    <row r="807" spans="1:52" s="145" customFormat="1" x14ac:dyDescent="0.35">
      <c r="A807" s="497" t="s">
        <v>3581</v>
      </c>
      <c r="B807" s="13" t="s">
        <v>5547</v>
      </c>
      <c r="C807" s="13" t="s">
        <v>1288</v>
      </c>
      <c r="D807" s="13" t="s">
        <v>6920</v>
      </c>
      <c r="E807" s="13" t="s">
        <v>3566</v>
      </c>
      <c r="F807" s="373">
        <f t="shared" si="316"/>
        <v>22.64</v>
      </c>
      <c r="G807" s="430">
        <v>22.64</v>
      </c>
      <c r="H807" s="399">
        <f t="shared" si="317"/>
        <v>18.11</v>
      </c>
      <c r="I807" s="576"/>
      <c r="J807" s="549" t="s">
        <v>5804</v>
      </c>
      <c r="K807" s="11"/>
      <c r="L807"/>
      <c r="M807" s="37">
        <f t="shared" si="318"/>
        <v>22.64</v>
      </c>
      <c r="N807" s="29">
        <v>11.67</v>
      </c>
      <c r="O807" s="41"/>
      <c r="P807" s="11"/>
      <c r="Q807"/>
      <c r="R807" t="s">
        <v>1017</v>
      </c>
      <c r="S807" t="s">
        <v>4179</v>
      </c>
      <c r="T807" s="145" t="s">
        <v>4179</v>
      </c>
      <c r="U807" s="42"/>
      <c r="V807" t="s">
        <v>1017</v>
      </c>
      <c r="W807" s="50"/>
      <c r="X807" s="50"/>
      <c r="Y807"/>
      <c r="Z807"/>
      <c r="AA807" s="50"/>
      <c r="AB807"/>
      <c r="AC807"/>
      <c r="AD807" s="50"/>
      <c r="AE807" s="75" t="s">
        <v>1017</v>
      </c>
      <c r="AF807" s="50"/>
      <c r="AG807" s="50"/>
      <c r="AH807" s="166" t="str">
        <f t="shared" si="323"/>
        <v>2010</v>
      </c>
      <c r="AI807" s="168" t="str">
        <f t="shared" si="310"/>
        <v/>
      </c>
      <c r="AJ807" s="168" t="str">
        <f t="shared" si="311"/>
        <v/>
      </c>
      <c r="AK807" s="168" t="str">
        <f t="shared" si="312"/>
        <v/>
      </c>
      <c r="AL807" s="168" t="str">
        <f t="shared" si="313"/>
        <v/>
      </c>
      <c r="AM807" s="168" t="str">
        <f t="shared" si="314"/>
        <v/>
      </c>
      <c r="AN807" s="167" t="str">
        <f t="shared" si="297"/>
        <v>2010</v>
      </c>
      <c r="AO807" s="167" t="str">
        <f t="shared" si="298"/>
        <v>2010</v>
      </c>
      <c r="AP807" s="167" t="str">
        <f t="shared" si="299"/>
        <v>2010</v>
      </c>
      <c r="AQ807" s="169" t="str">
        <f t="shared" si="300"/>
        <v/>
      </c>
      <c r="AR807" s="170" t="str">
        <f t="shared" si="301"/>
        <v>BiK81a1bK10-05</v>
      </c>
      <c r="AS807" s="169" t="str">
        <f t="shared" si="302"/>
        <v/>
      </c>
      <c r="AT807">
        <f t="shared" si="303"/>
        <v>14</v>
      </c>
      <c r="AU807" s="170" t="str">
        <f t="shared" si="304"/>
        <v>0-0,15 MW, Bonusregeln a1, b und K erstmals 2010</v>
      </c>
      <c r="AV807" s="169" t="str">
        <f t="shared" si="305"/>
        <v/>
      </c>
      <c r="AW807" s="170" t="str">
        <f t="shared" si="306"/>
        <v>Anteil KWK, erstmals 2010</v>
      </c>
      <c r="AX807" s="169" t="str">
        <f t="shared" si="307"/>
        <v/>
      </c>
      <c r="AY807" t="str">
        <f t="shared" si="308"/>
        <v/>
      </c>
      <c r="AZ807" t="str">
        <f t="shared" si="309"/>
        <v/>
      </c>
    </row>
    <row r="808" spans="1:52" s="145" customFormat="1" x14ac:dyDescent="0.35">
      <c r="A808" s="497" t="s">
        <v>5312</v>
      </c>
      <c r="B808" s="13" t="s">
        <v>5547</v>
      </c>
      <c r="C808" s="13" t="s">
        <v>1288</v>
      </c>
      <c r="D808" s="13" t="s">
        <v>6921</v>
      </c>
      <c r="E808" s="13" t="s">
        <v>3054</v>
      </c>
      <c r="F808" s="373">
        <f t="shared" si="316"/>
        <v>22.61</v>
      </c>
      <c r="G808" s="430">
        <v>22.61</v>
      </c>
      <c r="H808" s="399">
        <f t="shared" si="317"/>
        <v>18.09</v>
      </c>
      <c r="I808" s="576"/>
      <c r="J808" s="549" t="s">
        <v>5804</v>
      </c>
      <c r="K808" s="11"/>
      <c r="L808"/>
      <c r="M808" s="37">
        <f t="shared" si="318"/>
        <v>22.61</v>
      </c>
      <c r="N808" s="29">
        <v>11.67</v>
      </c>
      <c r="O808" s="41"/>
      <c r="P808" s="11"/>
      <c r="Q808"/>
      <c r="R808"/>
      <c r="S808" t="s">
        <v>1017</v>
      </c>
      <c r="T808" s="145" t="s">
        <v>4179</v>
      </c>
      <c r="U808" s="42"/>
      <c r="V808" t="s">
        <v>1017</v>
      </c>
      <c r="W808" s="50"/>
      <c r="X808" s="50"/>
      <c r="Y808"/>
      <c r="Z808"/>
      <c r="AA808" s="50"/>
      <c r="AB808"/>
      <c r="AC808"/>
      <c r="AD808" s="50"/>
      <c r="AE808" s="75" t="s">
        <v>1017</v>
      </c>
      <c r="AF808" s="50"/>
      <c r="AG808" s="50"/>
      <c r="AH808" s="166" t="str">
        <f t="shared" si="323"/>
        <v>2011</v>
      </c>
      <c r="AI808" s="168" t="str">
        <f t="shared" si="310"/>
        <v/>
      </c>
      <c r="AJ808" s="168" t="str">
        <f t="shared" si="311"/>
        <v/>
      </c>
      <c r="AK808" s="168" t="str">
        <f t="shared" si="312"/>
        <v/>
      </c>
      <c r="AL808" s="168" t="str">
        <f t="shared" si="313"/>
        <v/>
      </c>
      <c r="AM808" s="168" t="str">
        <f t="shared" si="314"/>
        <v/>
      </c>
      <c r="AN808" s="167" t="str">
        <f t="shared" si="297"/>
        <v>2011</v>
      </c>
      <c r="AO808" s="167" t="str">
        <f t="shared" si="298"/>
        <v>2011</v>
      </c>
      <c r="AP808" s="167" t="str">
        <f t="shared" si="299"/>
        <v>2011</v>
      </c>
      <c r="AQ808" s="169" t="str">
        <f t="shared" si="300"/>
        <v/>
      </c>
      <c r="AR808" s="170" t="str">
        <f t="shared" si="301"/>
        <v>BiK81a1bK11-05</v>
      </c>
      <c r="AS808" s="169" t="str">
        <f t="shared" si="302"/>
        <v/>
      </c>
      <c r="AT808">
        <f t="shared" si="303"/>
        <v>14</v>
      </c>
      <c r="AU808" s="170" t="str">
        <f t="shared" si="304"/>
        <v>0-0,15 MW, Bonusregeln a1, b und K erstmals 2011</v>
      </c>
      <c r="AV808" s="169" t="str">
        <f t="shared" si="305"/>
        <v/>
      </c>
      <c r="AW808" s="170" t="str">
        <f t="shared" si="306"/>
        <v>Anteil KWK, erstmals 2011</v>
      </c>
      <c r="AX808" s="169" t="str">
        <f t="shared" si="307"/>
        <v/>
      </c>
      <c r="AY808" t="str">
        <f t="shared" si="308"/>
        <v>x</v>
      </c>
      <c r="AZ808" t="str">
        <f t="shared" si="309"/>
        <v/>
      </c>
    </row>
    <row r="809" spans="1:52" s="145" customFormat="1" x14ac:dyDescent="0.35">
      <c r="A809" s="511" t="s">
        <v>1563</v>
      </c>
      <c r="B809" s="173" t="s">
        <v>5547</v>
      </c>
      <c r="C809" s="173" t="s">
        <v>1288</v>
      </c>
      <c r="D809" s="173" t="s">
        <v>6922</v>
      </c>
      <c r="E809" s="173" t="s">
        <v>1980</v>
      </c>
      <c r="F809" s="374">
        <f t="shared" si="316"/>
        <v>22.58</v>
      </c>
      <c r="G809" s="431">
        <v>22.58</v>
      </c>
      <c r="H809" s="400">
        <f t="shared" si="317"/>
        <v>18.059999999999999</v>
      </c>
      <c r="I809" s="577"/>
      <c r="J809" s="549" t="s">
        <v>5804</v>
      </c>
      <c r="K809" s="11"/>
      <c r="L809"/>
      <c r="M809" s="37">
        <f t="shared" si="318"/>
        <v>22.58</v>
      </c>
      <c r="N809" s="29">
        <v>11.67</v>
      </c>
      <c r="O809" s="41"/>
      <c r="P809" s="11"/>
      <c r="Q809"/>
      <c r="R809"/>
      <c r="S809" t="s">
        <v>4179</v>
      </c>
      <c r="T809" s="145" t="s">
        <v>1017</v>
      </c>
      <c r="U809" s="42"/>
      <c r="V809" t="s">
        <v>1017</v>
      </c>
      <c r="W809" s="50"/>
      <c r="X809" s="50"/>
      <c r="Y809"/>
      <c r="Z809"/>
      <c r="AA809" s="50"/>
      <c r="AB809"/>
      <c r="AC809"/>
      <c r="AD809" s="50"/>
      <c r="AE809" s="75" t="s">
        <v>1017</v>
      </c>
      <c r="AF809" s="50"/>
      <c r="AG809" s="50"/>
      <c r="AH809" s="171" t="s">
        <v>4178</v>
      </c>
      <c r="AI809" s="168" t="str">
        <f t="shared" si="310"/>
        <v/>
      </c>
      <c r="AJ809" s="168" t="str">
        <f t="shared" si="311"/>
        <v/>
      </c>
      <c r="AK809" s="168" t="str">
        <f t="shared" si="312"/>
        <v/>
      </c>
      <c r="AL809" s="168" t="str">
        <f t="shared" si="313"/>
        <v/>
      </c>
      <c r="AM809" s="168" t="str">
        <f t="shared" si="314"/>
        <v/>
      </c>
      <c r="AN809" s="167" t="str">
        <f t="shared" si="297"/>
        <v>2012</v>
      </c>
      <c r="AO809" s="167" t="str">
        <f t="shared" si="298"/>
        <v>2012</v>
      </c>
      <c r="AP809" s="167" t="str">
        <f t="shared" si="299"/>
        <v>2012</v>
      </c>
      <c r="AQ809" s="169" t="str">
        <f t="shared" si="300"/>
        <v/>
      </c>
      <c r="AR809" s="170" t="str">
        <f t="shared" si="301"/>
        <v>BiK81a1bK12-05</v>
      </c>
      <c r="AS809" s="169" t="str">
        <f t="shared" si="302"/>
        <v/>
      </c>
      <c r="AT809">
        <f t="shared" si="303"/>
        <v>14</v>
      </c>
      <c r="AU809" s="170" t="str">
        <f t="shared" si="304"/>
        <v>0-0,15 MW, Bonusregeln a1, b und K erstmals 2012</v>
      </c>
      <c r="AV809" s="169" t="str">
        <f t="shared" si="305"/>
        <v/>
      </c>
      <c r="AW809" s="170" t="str">
        <f t="shared" si="306"/>
        <v>Anteil KWK, erstmals 2012</v>
      </c>
      <c r="AX809" s="169" t="str">
        <f t="shared" si="307"/>
        <v/>
      </c>
      <c r="AY809" t="str">
        <f t="shared" si="308"/>
        <v/>
      </c>
      <c r="AZ809" t="str">
        <f t="shared" si="309"/>
        <v>x</v>
      </c>
    </row>
    <row r="810" spans="1:52" s="145" customFormat="1" x14ac:dyDescent="0.35">
      <c r="A810" s="497" t="s">
        <v>1321</v>
      </c>
      <c r="B810" s="13" t="s">
        <v>5547</v>
      </c>
      <c r="C810" s="13" t="s">
        <v>1288</v>
      </c>
      <c r="D810" s="13" t="s">
        <v>6923</v>
      </c>
      <c r="E810" s="13" t="s">
        <v>4809</v>
      </c>
      <c r="F810" s="373">
        <f t="shared" si="316"/>
        <v>20.67</v>
      </c>
      <c r="G810" s="430">
        <v>20.67</v>
      </c>
      <c r="H810" s="399">
        <f t="shared" si="317"/>
        <v>16.54</v>
      </c>
      <c r="I810" s="576"/>
      <c r="J810" s="549" t="s">
        <v>5804</v>
      </c>
      <c r="K810" s="11"/>
      <c r="L810"/>
      <c r="M810" s="37">
        <f t="shared" si="318"/>
        <v>20.67</v>
      </c>
      <c r="N810" s="29">
        <v>11.67</v>
      </c>
      <c r="O810" s="41"/>
      <c r="P810" s="11"/>
      <c r="Q810"/>
      <c r="R810"/>
      <c r="S810" t="s">
        <v>4179</v>
      </c>
      <c r="T810" s="145" t="s">
        <v>4179</v>
      </c>
      <c r="U810" s="42" t="s">
        <v>1017</v>
      </c>
      <c r="V810" t="s">
        <v>1017</v>
      </c>
      <c r="W810" s="50"/>
      <c r="X810" s="50"/>
      <c r="Y810"/>
      <c r="Z810"/>
      <c r="AA810" s="50"/>
      <c r="AB810"/>
      <c r="AC810"/>
      <c r="AD810" s="50"/>
      <c r="AE810" s="75" t="s">
        <v>1017</v>
      </c>
      <c r="AF810" s="50"/>
      <c r="AG810" s="50"/>
      <c r="AH810" s="166" t="str">
        <f t="shared" ref="AH810:AH815" si="324">IF(ISERROR(SEARCH("K erstmals 201",D810)),"",RIGHT(D810,4))</f>
        <v/>
      </c>
      <c r="AI810" s="168" t="str">
        <f t="shared" si="310"/>
        <v/>
      </c>
      <c r="AJ810" s="168" t="str">
        <f t="shared" si="311"/>
        <v/>
      </c>
      <c r="AK810" s="168" t="str">
        <f t="shared" si="312"/>
        <v/>
      </c>
      <c r="AL810" s="168" t="str">
        <f t="shared" si="313"/>
        <v/>
      </c>
      <c r="AM810" s="168" t="str">
        <f t="shared" si="314"/>
        <v/>
      </c>
      <c r="AN810" s="167" t="str">
        <f t="shared" si="297"/>
        <v/>
      </c>
      <c r="AO810" s="167" t="str">
        <f t="shared" si="298"/>
        <v/>
      </c>
      <c r="AP810" s="167" t="str">
        <f t="shared" si="299"/>
        <v/>
      </c>
      <c r="AQ810" s="169" t="str">
        <f t="shared" si="300"/>
        <v/>
      </c>
      <c r="AR810" s="170" t="str">
        <f t="shared" si="301"/>
        <v>BiK81a1by---05</v>
      </c>
      <c r="AS810" s="169" t="str">
        <f t="shared" si="302"/>
        <v/>
      </c>
      <c r="AT810">
        <f t="shared" si="303"/>
        <v>14</v>
      </c>
      <c r="AU810" s="170" t="str">
        <f t="shared" si="304"/>
        <v>0-0,15 MW, Bonusregeln a1, b, y</v>
      </c>
      <c r="AV810" s="169" t="str">
        <f t="shared" si="305"/>
        <v/>
      </c>
      <c r="AW810" s="170" t="str">
        <f t="shared" si="306"/>
        <v>Anteil Nicht-KWK</v>
      </c>
      <c r="AX810" s="169" t="str">
        <f t="shared" si="307"/>
        <v/>
      </c>
      <c r="AY810" t="str">
        <f t="shared" si="308"/>
        <v/>
      </c>
      <c r="AZ810" t="str">
        <f t="shared" si="309"/>
        <v/>
      </c>
    </row>
    <row r="811" spans="1:52" s="145" customFormat="1" x14ac:dyDescent="0.35">
      <c r="A811" s="497" t="s">
        <v>1322</v>
      </c>
      <c r="B811" s="13" t="s">
        <v>5547</v>
      </c>
      <c r="C811" s="13" t="s">
        <v>1288</v>
      </c>
      <c r="D811" s="13" t="s">
        <v>6924</v>
      </c>
      <c r="E811" s="13" t="s">
        <v>4811</v>
      </c>
      <c r="F811" s="373">
        <f t="shared" si="316"/>
        <v>22.67</v>
      </c>
      <c r="G811" s="430">
        <v>22.67</v>
      </c>
      <c r="H811" s="399">
        <f t="shared" si="317"/>
        <v>18.14</v>
      </c>
      <c r="I811" s="576"/>
      <c r="J811" s="549" t="s">
        <v>5804</v>
      </c>
      <c r="K811" s="11"/>
      <c r="L811"/>
      <c r="M811" s="37">
        <f t="shared" si="318"/>
        <v>22.67</v>
      </c>
      <c r="N811" s="29">
        <v>11.67</v>
      </c>
      <c r="O811" s="41" t="s">
        <v>1017</v>
      </c>
      <c r="P811" s="11"/>
      <c r="Q811"/>
      <c r="R811"/>
      <c r="S811" t="s">
        <v>4179</v>
      </c>
      <c r="T811" s="145" t="s">
        <v>4179</v>
      </c>
      <c r="U811" s="42" t="s">
        <v>1017</v>
      </c>
      <c r="V811" t="s">
        <v>1017</v>
      </c>
      <c r="W811" s="50"/>
      <c r="X811" s="50"/>
      <c r="Y811"/>
      <c r="Z811"/>
      <c r="AA811" s="50"/>
      <c r="AB811"/>
      <c r="AC811"/>
      <c r="AD811" s="50"/>
      <c r="AE811" s="75" t="s">
        <v>1017</v>
      </c>
      <c r="AF811" s="50"/>
      <c r="AG811" s="50"/>
      <c r="AH811" s="166" t="str">
        <f t="shared" si="324"/>
        <v/>
      </c>
      <c r="AI811" s="168" t="str">
        <f t="shared" si="310"/>
        <v/>
      </c>
      <c r="AJ811" s="168" t="str">
        <f t="shared" si="311"/>
        <v/>
      </c>
      <c r="AK811" s="168" t="str">
        <f t="shared" si="312"/>
        <v/>
      </c>
      <c r="AL811" s="168" t="str">
        <f t="shared" si="313"/>
        <v/>
      </c>
      <c r="AM811" s="168" t="str">
        <f t="shared" si="314"/>
        <v/>
      </c>
      <c r="AN811" s="167" t="str">
        <f t="shared" si="297"/>
        <v/>
      </c>
      <c r="AO811" s="167" t="str">
        <f t="shared" si="298"/>
        <v/>
      </c>
      <c r="AP811" s="167" t="str">
        <f t="shared" si="299"/>
        <v/>
      </c>
      <c r="AQ811" s="169" t="str">
        <f t="shared" si="300"/>
        <v/>
      </c>
      <c r="AR811" s="170" t="str">
        <f t="shared" si="301"/>
        <v>BiK81a1bKWKy05</v>
      </c>
      <c r="AS811" s="169" t="str">
        <f t="shared" si="302"/>
        <v/>
      </c>
      <c r="AT811">
        <f t="shared" si="303"/>
        <v>14</v>
      </c>
      <c r="AU811" s="170" t="str">
        <f t="shared" si="304"/>
        <v>0-0,15 MW, Bonusregeln a1, b, y und KWK</v>
      </c>
      <c r="AV811" s="169" t="str">
        <f t="shared" si="305"/>
        <v/>
      </c>
      <c r="AW811" s="170" t="str">
        <f t="shared" si="306"/>
        <v>Anteil KWK</v>
      </c>
      <c r="AX811" s="169" t="str">
        <f t="shared" si="307"/>
        <v/>
      </c>
      <c r="AY811" t="str">
        <f t="shared" si="308"/>
        <v/>
      </c>
      <c r="AZ811" t="str">
        <f t="shared" si="309"/>
        <v/>
      </c>
    </row>
    <row r="812" spans="1:52" s="145" customFormat="1" x14ac:dyDescent="0.35">
      <c r="A812" s="497" t="s">
        <v>1323</v>
      </c>
      <c r="B812" s="13" t="s">
        <v>5547</v>
      </c>
      <c r="C812" s="13" t="s">
        <v>1288</v>
      </c>
      <c r="D812" s="13" t="s">
        <v>6925</v>
      </c>
      <c r="E812" s="13" t="s">
        <v>4330</v>
      </c>
      <c r="F812" s="373">
        <f t="shared" si="316"/>
        <v>23.67</v>
      </c>
      <c r="G812" s="430">
        <v>23.67</v>
      </c>
      <c r="H812" s="399">
        <f t="shared" si="317"/>
        <v>18.940000000000001</v>
      </c>
      <c r="I812" s="576"/>
      <c r="J812" s="549" t="s">
        <v>5804</v>
      </c>
      <c r="K812" s="11"/>
      <c r="L812"/>
      <c r="M812" s="37">
        <f t="shared" si="318"/>
        <v>23.67</v>
      </c>
      <c r="N812" s="29">
        <v>11.67</v>
      </c>
      <c r="O812" s="41"/>
      <c r="P812" t="s">
        <v>1017</v>
      </c>
      <c r="Q812"/>
      <c r="R812"/>
      <c r="S812" t="s">
        <v>4179</v>
      </c>
      <c r="T812" s="145" t="s">
        <v>4179</v>
      </c>
      <c r="U812" s="42" t="s">
        <v>1017</v>
      </c>
      <c r="V812" t="s">
        <v>1017</v>
      </c>
      <c r="W812" s="50"/>
      <c r="X812" s="50"/>
      <c r="Y812"/>
      <c r="Z812"/>
      <c r="AA812" s="50"/>
      <c r="AB812"/>
      <c r="AC812"/>
      <c r="AD812" s="50"/>
      <c r="AE812" s="75" t="s">
        <v>1017</v>
      </c>
      <c r="AF812" s="50"/>
      <c r="AG812" s="50"/>
      <c r="AH812" s="166" t="str">
        <f t="shared" si="324"/>
        <v/>
      </c>
      <c r="AI812" s="168" t="str">
        <f t="shared" si="310"/>
        <v/>
      </c>
      <c r="AJ812" s="168" t="str">
        <f t="shared" si="311"/>
        <v/>
      </c>
      <c r="AK812" s="168" t="str">
        <f t="shared" si="312"/>
        <v/>
      </c>
      <c r="AL812" s="168" t="str">
        <f t="shared" si="313"/>
        <v/>
      </c>
      <c r="AM812" s="168" t="str">
        <f t="shared" si="314"/>
        <v/>
      </c>
      <c r="AN812" s="167" t="str">
        <f t="shared" si="297"/>
        <v/>
      </c>
      <c r="AO812" s="167" t="str">
        <f t="shared" si="298"/>
        <v/>
      </c>
      <c r="AP812" s="167" t="str">
        <f t="shared" si="299"/>
        <v/>
      </c>
      <c r="AQ812" s="169" t="str">
        <f t="shared" si="300"/>
        <v/>
      </c>
      <c r="AR812" s="170" t="str">
        <f t="shared" si="301"/>
        <v>BiK81a1bKA3y05</v>
      </c>
      <c r="AS812" s="169" t="str">
        <f t="shared" si="302"/>
        <v/>
      </c>
      <c r="AT812">
        <f t="shared" si="303"/>
        <v>14</v>
      </c>
      <c r="AU812" s="170" t="str">
        <f t="shared" si="304"/>
        <v>0-0,15 MW, Bonusregeln a1, b, y und K wenn Anlage 3 erfüllt</v>
      </c>
      <c r="AV812" s="169" t="str">
        <f t="shared" si="305"/>
        <v/>
      </c>
      <c r="AW812" s="170" t="str">
        <f t="shared" si="306"/>
        <v>Anteil KWK gemäß Anlage 3</v>
      </c>
      <c r="AX812" s="169" t="str">
        <f t="shared" si="307"/>
        <v/>
      </c>
      <c r="AY812" t="str">
        <f t="shared" si="308"/>
        <v/>
      </c>
      <c r="AZ812" t="str">
        <f t="shared" si="309"/>
        <v/>
      </c>
    </row>
    <row r="813" spans="1:52" s="145" customFormat="1" x14ac:dyDescent="0.35">
      <c r="A813" s="497" t="s">
        <v>1324</v>
      </c>
      <c r="B813" s="13" t="s">
        <v>5547</v>
      </c>
      <c r="C813" s="13" t="s">
        <v>1288</v>
      </c>
      <c r="D813" s="13" t="s">
        <v>6926</v>
      </c>
      <c r="E813" s="13" t="s">
        <v>674</v>
      </c>
      <c r="F813" s="373">
        <f t="shared" si="316"/>
        <v>23.67</v>
      </c>
      <c r="G813" s="430">
        <v>23.67</v>
      </c>
      <c r="H813" s="399">
        <f t="shared" si="317"/>
        <v>18.940000000000001</v>
      </c>
      <c r="I813" s="576"/>
      <c r="J813" s="549" t="s">
        <v>5804</v>
      </c>
      <c r="K813" s="11"/>
      <c r="L813"/>
      <c r="M813" s="37">
        <f t="shared" si="318"/>
        <v>23.67</v>
      </c>
      <c r="N813" s="29">
        <v>11.67</v>
      </c>
      <c r="O813" s="41"/>
      <c r="P813" s="11"/>
      <c r="Q813" t="s">
        <v>1017</v>
      </c>
      <c r="R813"/>
      <c r="S813" t="s">
        <v>4179</v>
      </c>
      <c r="T813" s="145" t="s">
        <v>4179</v>
      </c>
      <c r="U813" s="42" t="s">
        <v>1017</v>
      </c>
      <c r="V813" t="s">
        <v>1017</v>
      </c>
      <c r="W813" s="50"/>
      <c r="X813" s="50"/>
      <c r="Y813"/>
      <c r="Z813"/>
      <c r="AA813" s="50"/>
      <c r="AB813"/>
      <c r="AC813"/>
      <c r="AD813" s="50"/>
      <c r="AE813" s="75" t="s">
        <v>1017</v>
      </c>
      <c r="AF813" s="50"/>
      <c r="AG813" s="50"/>
      <c r="AH813" s="166" t="str">
        <f t="shared" si="324"/>
        <v/>
      </c>
      <c r="AI813" s="168" t="str">
        <f t="shared" si="310"/>
        <v/>
      </c>
      <c r="AJ813" s="168" t="str">
        <f t="shared" si="311"/>
        <v/>
      </c>
      <c r="AK813" s="168" t="str">
        <f t="shared" si="312"/>
        <v/>
      </c>
      <c r="AL813" s="168" t="str">
        <f t="shared" si="313"/>
        <v/>
      </c>
      <c r="AM813" s="168" t="str">
        <f t="shared" si="314"/>
        <v/>
      </c>
      <c r="AN813" s="167" t="str">
        <f t="shared" si="297"/>
        <v/>
      </c>
      <c r="AO813" s="167" t="str">
        <f t="shared" si="298"/>
        <v/>
      </c>
      <c r="AP813" s="167" t="str">
        <f t="shared" si="299"/>
        <v/>
      </c>
      <c r="AQ813" s="169" t="str">
        <f t="shared" si="300"/>
        <v/>
      </c>
      <c r="AR813" s="170" t="str">
        <f t="shared" si="301"/>
        <v>BiK81a1bK09y05</v>
      </c>
      <c r="AS813" s="169" t="str">
        <f t="shared" si="302"/>
        <v/>
      </c>
      <c r="AT813">
        <f t="shared" si="303"/>
        <v>14</v>
      </c>
      <c r="AU813" s="170" t="str">
        <f t="shared" si="304"/>
        <v>0-0,15 MW, Bonusregeln a1, b, y und K erstmals 2009</v>
      </c>
      <c r="AV813" s="169" t="str">
        <f t="shared" si="305"/>
        <v/>
      </c>
      <c r="AW813" s="170" t="str">
        <f t="shared" si="306"/>
        <v>Anteil KWK, erstmals 2009</v>
      </c>
      <c r="AX813" s="169" t="str">
        <f t="shared" si="307"/>
        <v/>
      </c>
      <c r="AY813" t="str">
        <f t="shared" si="308"/>
        <v/>
      </c>
      <c r="AZ813" t="str">
        <f t="shared" si="309"/>
        <v/>
      </c>
    </row>
    <row r="814" spans="1:52" s="145" customFormat="1" x14ac:dyDescent="0.35">
      <c r="A814" s="497" t="s">
        <v>3582</v>
      </c>
      <c r="B814" s="13" t="s">
        <v>5547</v>
      </c>
      <c r="C814" s="13" t="s">
        <v>1288</v>
      </c>
      <c r="D814" s="13" t="s">
        <v>6927</v>
      </c>
      <c r="E814" s="13" t="s">
        <v>3566</v>
      </c>
      <c r="F814" s="373">
        <f t="shared" si="316"/>
        <v>23.64</v>
      </c>
      <c r="G814" s="430">
        <v>23.64</v>
      </c>
      <c r="H814" s="399">
        <f t="shared" si="317"/>
        <v>18.91</v>
      </c>
      <c r="I814" s="576"/>
      <c r="J814" s="549" t="s">
        <v>5804</v>
      </c>
      <c r="K814" s="11"/>
      <c r="L814"/>
      <c r="M814" s="37">
        <f t="shared" si="318"/>
        <v>23.64</v>
      </c>
      <c r="N814" s="29">
        <v>11.67</v>
      </c>
      <c r="O814" s="41"/>
      <c r="P814" s="11"/>
      <c r="Q814"/>
      <c r="R814" t="s">
        <v>1017</v>
      </c>
      <c r="S814" t="s">
        <v>4179</v>
      </c>
      <c r="T814" s="145" t="s">
        <v>4179</v>
      </c>
      <c r="U814" s="42" t="s">
        <v>1017</v>
      </c>
      <c r="V814" t="s">
        <v>1017</v>
      </c>
      <c r="W814" s="50"/>
      <c r="X814" s="50"/>
      <c r="Y814"/>
      <c r="Z814"/>
      <c r="AA814" s="50"/>
      <c r="AB814"/>
      <c r="AC814"/>
      <c r="AD814" s="50"/>
      <c r="AE814" s="75" t="s">
        <v>1017</v>
      </c>
      <c r="AF814" s="50"/>
      <c r="AG814" s="50"/>
      <c r="AH814" s="166" t="str">
        <f t="shared" si="324"/>
        <v>2010</v>
      </c>
      <c r="AI814" s="168" t="str">
        <f t="shared" si="310"/>
        <v/>
      </c>
      <c r="AJ814" s="168" t="str">
        <f t="shared" si="311"/>
        <v/>
      </c>
      <c r="AK814" s="168" t="str">
        <f t="shared" si="312"/>
        <v/>
      </c>
      <c r="AL814" s="168" t="str">
        <f t="shared" si="313"/>
        <v/>
      </c>
      <c r="AM814" s="168" t="str">
        <f t="shared" si="314"/>
        <v/>
      </c>
      <c r="AN814" s="167" t="str">
        <f t="shared" si="297"/>
        <v>2010</v>
      </c>
      <c r="AO814" s="167" t="str">
        <f t="shared" si="298"/>
        <v>2010</v>
      </c>
      <c r="AP814" s="167" t="str">
        <f t="shared" si="299"/>
        <v>2010</v>
      </c>
      <c r="AQ814" s="169" t="str">
        <f t="shared" si="300"/>
        <v/>
      </c>
      <c r="AR814" s="170" t="str">
        <f t="shared" si="301"/>
        <v>BiK81a1bK10y05</v>
      </c>
      <c r="AS814" s="169" t="str">
        <f t="shared" si="302"/>
        <v/>
      </c>
      <c r="AT814">
        <f t="shared" si="303"/>
        <v>14</v>
      </c>
      <c r="AU814" s="170" t="str">
        <f t="shared" si="304"/>
        <v>0-0,15 MW, Bonusregeln a1, b, y und K erstmals 2010</v>
      </c>
      <c r="AV814" s="169" t="str">
        <f t="shared" si="305"/>
        <v/>
      </c>
      <c r="AW814" s="170" t="str">
        <f t="shared" si="306"/>
        <v>Anteil KWK, erstmals 2010</v>
      </c>
      <c r="AX814" s="169" t="str">
        <f t="shared" si="307"/>
        <v/>
      </c>
      <c r="AY814" t="str">
        <f t="shared" si="308"/>
        <v/>
      </c>
      <c r="AZ814" t="str">
        <f t="shared" si="309"/>
        <v/>
      </c>
    </row>
    <row r="815" spans="1:52" s="145" customFormat="1" x14ac:dyDescent="0.35">
      <c r="A815" s="497" t="s">
        <v>5313</v>
      </c>
      <c r="B815" s="13" t="s">
        <v>5547</v>
      </c>
      <c r="C815" s="13" t="s">
        <v>1288</v>
      </c>
      <c r="D815" s="13" t="s">
        <v>6928</v>
      </c>
      <c r="E815" s="13" t="s">
        <v>3054</v>
      </c>
      <c r="F815" s="373">
        <f t="shared" si="316"/>
        <v>23.61</v>
      </c>
      <c r="G815" s="430">
        <v>23.61</v>
      </c>
      <c r="H815" s="399">
        <f t="shared" si="317"/>
        <v>18.89</v>
      </c>
      <c r="I815" s="576"/>
      <c r="J815" s="549" t="s">
        <v>5804</v>
      </c>
      <c r="K815" s="11"/>
      <c r="L815"/>
      <c r="M815" s="37">
        <f t="shared" si="318"/>
        <v>23.61</v>
      </c>
      <c r="N815" s="29">
        <v>11.67</v>
      </c>
      <c r="O815" s="41"/>
      <c r="P815" s="11"/>
      <c r="Q815"/>
      <c r="R815"/>
      <c r="S815" t="s">
        <v>1017</v>
      </c>
      <c r="T815" s="145" t="s">
        <v>4179</v>
      </c>
      <c r="U815" s="42" t="s">
        <v>1017</v>
      </c>
      <c r="V815" t="s">
        <v>1017</v>
      </c>
      <c r="W815" s="50"/>
      <c r="X815" s="50"/>
      <c r="Y815"/>
      <c r="Z815"/>
      <c r="AA815" s="50"/>
      <c r="AB815"/>
      <c r="AC815"/>
      <c r="AD815" s="50"/>
      <c r="AE815" s="75" t="s">
        <v>1017</v>
      </c>
      <c r="AF815" s="50"/>
      <c r="AG815" s="50"/>
      <c r="AH815" s="166" t="str">
        <f t="shared" si="324"/>
        <v>2011</v>
      </c>
      <c r="AI815" s="168" t="str">
        <f t="shared" si="310"/>
        <v/>
      </c>
      <c r="AJ815" s="168" t="str">
        <f t="shared" si="311"/>
        <v/>
      </c>
      <c r="AK815" s="168" t="str">
        <f t="shared" si="312"/>
        <v/>
      </c>
      <c r="AL815" s="168" t="str">
        <f t="shared" si="313"/>
        <v/>
      </c>
      <c r="AM815" s="168" t="str">
        <f t="shared" si="314"/>
        <v/>
      </c>
      <c r="AN815" s="167" t="str">
        <f t="shared" si="297"/>
        <v>2011</v>
      </c>
      <c r="AO815" s="167" t="str">
        <f t="shared" si="298"/>
        <v>2011</v>
      </c>
      <c r="AP815" s="167" t="str">
        <f t="shared" si="299"/>
        <v>2011</v>
      </c>
      <c r="AQ815" s="169" t="str">
        <f t="shared" si="300"/>
        <v/>
      </c>
      <c r="AR815" s="170" t="str">
        <f t="shared" si="301"/>
        <v>BiK81a1bK11y05</v>
      </c>
      <c r="AS815" s="169" t="str">
        <f t="shared" si="302"/>
        <v/>
      </c>
      <c r="AT815">
        <f t="shared" si="303"/>
        <v>14</v>
      </c>
      <c r="AU815" s="170" t="str">
        <f t="shared" si="304"/>
        <v>0-0,15 MW, Bonusregeln a1, b, y und K erstmals 2011</v>
      </c>
      <c r="AV815" s="169" t="str">
        <f t="shared" si="305"/>
        <v/>
      </c>
      <c r="AW815" s="170" t="str">
        <f t="shared" si="306"/>
        <v>Anteil KWK, erstmals 2011</v>
      </c>
      <c r="AX815" s="169" t="str">
        <f t="shared" si="307"/>
        <v/>
      </c>
      <c r="AY815" t="str">
        <f t="shared" si="308"/>
        <v>x</v>
      </c>
      <c r="AZ815" t="str">
        <f t="shared" si="309"/>
        <v/>
      </c>
    </row>
    <row r="816" spans="1:52" s="145" customFormat="1" x14ac:dyDescent="0.35">
      <c r="A816" s="511" t="s">
        <v>1564</v>
      </c>
      <c r="B816" s="173" t="s">
        <v>5547</v>
      </c>
      <c r="C816" s="173" t="s">
        <v>1288</v>
      </c>
      <c r="D816" s="173" t="s">
        <v>6929</v>
      </c>
      <c r="E816" s="173" t="s">
        <v>1980</v>
      </c>
      <c r="F816" s="374">
        <f t="shared" si="316"/>
        <v>23.58</v>
      </c>
      <c r="G816" s="431">
        <v>23.58</v>
      </c>
      <c r="H816" s="400">
        <f t="shared" si="317"/>
        <v>18.86</v>
      </c>
      <c r="I816" s="577"/>
      <c r="J816" s="549" t="s">
        <v>5804</v>
      </c>
      <c r="K816" s="11"/>
      <c r="L816"/>
      <c r="M816" s="37">
        <f t="shared" si="318"/>
        <v>23.58</v>
      </c>
      <c r="N816" s="29">
        <v>11.67</v>
      </c>
      <c r="O816" s="41"/>
      <c r="P816" s="11"/>
      <c r="Q816"/>
      <c r="R816"/>
      <c r="S816" t="s">
        <v>4179</v>
      </c>
      <c r="T816" s="145" t="s">
        <v>1017</v>
      </c>
      <c r="U816" s="42" t="s">
        <v>1017</v>
      </c>
      <c r="V816" t="s">
        <v>1017</v>
      </c>
      <c r="W816" s="50"/>
      <c r="X816" s="50"/>
      <c r="Y816"/>
      <c r="Z816"/>
      <c r="AA816" s="50"/>
      <c r="AB816"/>
      <c r="AC816"/>
      <c r="AD816" s="50"/>
      <c r="AE816" s="75" t="s">
        <v>1017</v>
      </c>
      <c r="AF816" s="50"/>
      <c r="AG816" s="50"/>
      <c r="AH816" s="171" t="s">
        <v>4178</v>
      </c>
      <c r="AI816" s="168" t="str">
        <f t="shared" si="310"/>
        <v/>
      </c>
      <c r="AJ816" s="168" t="str">
        <f t="shared" si="311"/>
        <v/>
      </c>
      <c r="AK816" s="168" t="str">
        <f t="shared" si="312"/>
        <v/>
      </c>
      <c r="AL816" s="168" t="str">
        <f t="shared" si="313"/>
        <v/>
      </c>
      <c r="AM816" s="168" t="str">
        <f t="shared" si="314"/>
        <v/>
      </c>
      <c r="AN816" s="167" t="str">
        <f t="shared" si="297"/>
        <v>2012</v>
      </c>
      <c r="AO816" s="167" t="str">
        <f t="shared" si="298"/>
        <v>2012</v>
      </c>
      <c r="AP816" s="167" t="str">
        <f t="shared" si="299"/>
        <v>2012</v>
      </c>
      <c r="AQ816" s="169" t="str">
        <f t="shared" si="300"/>
        <v/>
      </c>
      <c r="AR816" s="170" t="str">
        <f t="shared" si="301"/>
        <v>BiK81a1bK12y05</v>
      </c>
      <c r="AS816" s="169" t="str">
        <f t="shared" si="302"/>
        <v/>
      </c>
      <c r="AT816">
        <f t="shared" si="303"/>
        <v>14</v>
      </c>
      <c r="AU816" s="170" t="str">
        <f t="shared" si="304"/>
        <v>0-0,15 MW, Bonusregeln a1, b, y und K erstmals 2012</v>
      </c>
      <c r="AV816" s="169" t="str">
        <f t="shared" si="305"/>
        <v/>
      </c>
      <c r="AW816" s="170" t="str">
        <f t="shared" si="306"/>
        <v>Anteil KWK, erstmals 2012</v>
      </c>
      <c r="AX816" s="169" t="str">
        <f t="shared" si="307"/>
        <v/>
      </c>
      <c r="AY816" t="str">
        <f t="shared" si="308"/>
        <v/>
      </c>
      <c r="AZ816" t="str">
        <f t="shared" si="309"/>
        <v>x</v>
      </c>
    </row>
    <row r="817" spans="1:52" s="145" customFormat="1" x14ac:dyDescent="0.35">
      <c r="A817" s="497" t="s">
        <v>4522</v>
      </c>
      <c r="B817" s="13" t="s">
        <v>5547</v>
      </c>
      <c r="C817" s="13" t="s">
        <v>1288</v>
      </c>
      <c r="D817" s="13" t="s">
        <v>6930</v>
      </c>
      <c r="E817" s="13" t="s">
        <v>4809</v>
      </c>
      <c r="F817" s="373">
        <f t="shared" si="316"/>
        <v>20.67</v>
      </c>
      <c r="G817" s="430">
        <v>20.67</v>
      </c>
      <c r="H817" s="399">
        <f t="shared" si="317"/>
        <v>16.54</v>
      </c>
      <c r="I817" s="576"/>
      <c r="J817" s="549" t="s">
        <v>5804</v>
      </c>
      <c r="K817" s="11"/>
      <c r="L817"/>
      <c r="M817" s="37">
        <f t="shared" si="318"/>
        <v>20.67</v>
      </c>
      <c r="N817" s="29">
        <v>11.67</v>
      </c>
      <c r="O817" s="149"/>
      <c r="P817" s="144"/>
      <c r="S817" s="145" t="s">
        <v>4179</v>
      </c>
      <c r="T817" s="145" t="s">
        <v>4179</v>
      </c>
      <c r="U817" s="146"/>
      <c r="W817" s="147"/>
      <c r="X817" s="147"/>
      <c r="Y817" s="145" t="s">
        <v>1017</v>
      </c>
      <c r="AA817" s="147"/>
      <c r="AD817" s="147"/>
      <c r="AE817" s="148" t="s">
        <v>1017</v>
      </c>
      <c r="AF817" s="147"/>
      <c r="AG817" s="147"/>
      <c r="AH817" s="166" t="str">
        <f t="shared" ref="AH817:AH822" si="325">IF(ISERROR(SEARCH("K erstmals 201",D817)),"",RIGHT(D817,4))</f>
        <v/>
      </c>
      <c r="AI817" s="168" t="str">
        <f t="shared" si="310"/>
        <v/>
      </c>
      <c r="AJ817" s="168" t="str">
        <f t="shared" si="311"/>
        <v/>
      </c>
      <c r="AK817" s="168" t="str">
        <f t="shared" si="312"/>
        <v/>
      </c>
      <c r="AL817" s="168" t="str">
        <f t="shared" si="313"/>
        <v/>
      </c>
      <c r="AM817" s="168" t="str">
        <f t="shared" si="314"/>
        <v/>
      </c>
      <c r="AN817" s="167" t="str">
        <f t="shared" si="297"/>
        <v/>
      </c>
      <c r="AO817" s="167" t="str">
        <f t="shared" si="298"/>
        <v/>
      </c>
      <c r="AP817" s="167" t="str">
        <f t="shared" si="299"/>
        <v/>
      </c>
      <c r="AQ817" s="169" t="str">
        <f t="shared" si="300"/>
        <v/>
      </c>
      <c r="AR817" s="170" t="str">
        <f t="shared" si="301"/>
        <v>BiK81Gb-----05</v>
      </c>
      <c r="AS817" s="169" t="str">
        <f t="shared" si="302"/>
        <v/>
      </c>
      <c r="AT817">
        <f t="shared" si="303"/>
        <v>14</v>
      </c>
      <c r="AU817" s="170" t="str">
        <f t="shared" si="304"/>
        <v>0-0,15 MW, Bonusregeln G, b</v>
      </c>
      <c r="AV817" s="169" t="str">
        <f t="shared" si="305"/>
        <v/>
      </c>
      <c r="AW817" s="170" t="str">
        <f t="shared" si="306"/>
        <v>Anteil Nicht-KWK</v>
      </c>
      <c r="AX817" s="169" t="str">
        <f t="shared" si="307"/>
        <v/>
      </c>
      <c r="AY817" t="str">
        <f t="shared" si="308"/>
        <v/>
      </c>
      <c r="AZ817" t="str">
        <f t="shared" si="309"/>
        <v/>
      </c>
    </row>
    <row r="818" spans="1:52" s="145" customFormat="1" x14ac:dyDescent="0.35">
      <c r="A818" s="497" t="s">
        <v>4523</v>
      </c>
      <c r="B818" s="13" t="s">
        <v>5547</v>
      </c>
      <c r="C818" s="13" t="s">
        <v>1288</v>
      </c>
      <c r="D818" s="13" t="s">
        <v>6931</v>
      </c>
      <c r="E818" s="13" t="s">
        <v>4811</v>
      </c>
      <c r="F818" s="373">
        <f t="shared" si="316"/>
        <v>22.67</v>
      </c>
      <c r="G818" s="430">
        <v>22.67</v>
      </c>
      <c r="H818" s="399">
        <f t="shared" si="317"/>
        <v>18.14</v>
      </c>
      <c r="I818" s="576"/>
      <c r="J818" s="549" t="s">
        <v>5804</v>
      </c>
      <c r="K818" s="11"/>
      <c r="L818"/>
      <c r="M818" s="37">
        <f t="shared" si="318"/>
        <v>22.67</v>
      </c>
      <c r="N818" s="29">
        <v>11.67</v>
      </c>
      <c r="O818" s="149" t="s">
        <v>1017</v>
      </c>
      <c r="P818" s="144"/>
      <c r="S818" s="145" t="s">
        <v>4179</v>
      </c>
      <c r="T818" s="145" t="s">
        <v>4179</v>
      </c>
      <c r="U818" s="146"/>
      <c r="W818" s="147"/>
      <c r="X818" s="147"/>
      <c r="Y818" s="145" t="s">
        <v>1017</v>
      </c>
      <c r="AA818" s="147"/>
      <c r="AD818" s="147"/>
      <c r="AE818" s="148" t="s">
        <v>1017</v>
      </c>
      <c r="AF818" s="147"/>
      <c r="AG818" s="147"/>
      <c r="AH818" s="166" t="str">
        <f t="shared" si="325"/>
        <v/>
      </c>
      <c r="AI818" s="168" t="str">
        <f t="shared" si="310"/>
        <v/>
      </c>
      <c r="AJ818" s="168" t="str">
        <f t="shared" si="311"/>
        <v/>
      </c>
      <c r="AK818" s="168" t="str">
        <f t="shared" si="312"/>
        <v/>
      </c>
      <c r="AL818" s="168" t="str">
        <f t="shared" si="313"/>
        <v/>
      </c>
      <c r="AM818" s="168" t="str">
        <f t="shared" si="314"/>
        <v/>
      </c>
      <c r="AN818" s="167" t="str">
        <f t="shared" si="297"/>
        <v/>
      </c>
      <c r="AO818" s="167" t="str">
        <f t="shared" si="298"/>
        <v/>
      </c>
      <c r="AP818" s="167" t="str">
        <f t="shared" si="299"/>
        <v/>
      </c>
      <c r="AQ818" s="169" t="str">
        <f t="shared" si="300"/>
        <v/>
      </c>
      <c r="AR818" s="170" t="str">
        <f t="shared" si="301"/>
        <v>BiK81GbKWK--05</v>
      </c>
      <c r="AS818" s="169" t="str">
        <f t="shared" si="302"/>
        <v/>
      </c>
      <c r="AT818">
        <f t="shared" si="303"/>
        <v>14</v>
      </c>
      <c r="AU818" s="170" t="str">
        <f t="shared" si="304"/>
        <v>0-0,15 MW, Bonusregeln G, b und KWK</v>
      </c>
      <c r="AV818" s="169" t="str">
        <f t="shared" si="305"/>
        <v/>
      </c>
      <c r="AW818" s="170" t="str">
        <f t="shared" si="306"/>
        <v>Anteil KWK</v>
      </c>
      <c r="AX818" s="169" t="str">
        <f t="shared" si="307"/>
        <v/>
      </c>
      <c r="AY818" t="str">
        <f t="shared" si="308"/>
        <v/>
      </c>
      <c r="AZ818" t="str">
        <f t="shared" si="309"/>
        <v/>
      </c>
    </row>
    <row r="819" spans="1:52" s="145" customFormat="1" x14ac:dyDescent="0.35">
      <c r="A819" s="497" t="s">
        <v>4524</v>
      </c>
      <c r="B819" s="13" t="s">
        <v>5547</v>
      </c>
      <c r="C819" s="13" t="s">
        <v>1288</v>
      </c>
      <c r="D819" s="13" t="s">
        <v>6932</v>
      </c>
      <c r="E819" s="13" t="s">
        <v>4330</v>
      </c>
      <c r="F819" s="373">
        <f t="shared" si="316"/>
        <v>23.67</v>
      </c>
      <c r="G819" s="430">
        <v>23.67</v>
      </c>
      <c r="H819" s="399">
        <f t="shared" si="317"/>
        <v>18.940000000000001</v>
      </c>
      <c r="I819" s="576"/>
      <c r="J819" s="549" t="s">
        <v>5804</v>
      </c>
      <c r="K819" s="11"/>
      <c r="L819"/>
      <c r="M819" s="37">
        <f t="shared" si="318"/>
        <v>23.67</v>
      </c>
      <c r="N819" s="29">
        <v>11.67</v>
      </c>
      <c r="O819" s="149"/>
      <c r="P819" s="145" t="s">
        <v>1017</v>
      </c>
      <c r="S819" s="145" t="s">
        <v>4179</v>
      </c>
      <c r="T819" s="145" t="s">
        <v>4179</v>
      </c>
      <c r="U819" s="146"/>
      <c r="W819" s="147"/>
      <c r="X819" s="147"/>
      <c r="Y819" s="145" t="s">
        <v>1017</v>
      </c>
      <c r="AA819" s="147"/>
      <c r="AD819" s="147"/>
      <c r="AE819" s="148" t="s">
        <v>1017</v>
      </c>
      <c r="AF819" s="147"/>
      <c r="AG819" s="147"/>
      <c r="AH819" s="166" t="str">
        <f t="shared" si="325"/>
        <v/>
      </c>
      <c r="AI819" s="168" t="str">
        <f t="shared" si="310"/>
        <v/>
      </c>
      <c r="AJ819" s="168" t="str">
        <f t="shared" si="311"/>
        <v/>
      </c>
      <c r="AK819" s="168" t="str">
        <f t="shared" si="312"/>
        <v/>
      </c>
      <c r="AL819" s="168" t="str">
        <f t="shared" si="313"/>
        <v/>
      </c>
      <c r="AM819" s="168" t="str">
        <f t="shared" si="314"/>
        <v/>
      </c>
      <c r="AN819" s="167" t="str">
        <f t="shared" si="297"/>
        <v/>
      </c>
      <c r="AO819" s="167" t="str">
        <f t="shared" si="298"/>
        <v/>
      </c>
      <c r="AP819" s="167" t="str">
        <f t="shared" si="299"/>
        <v/>
      </c>
      <c r="AQ819" s="169" t="str">
        <f t="shared" si="300"/>
        <v/>
      </c>
      <c r="AR819" s="170" t="str">
        <f t="shared" si="301"/>
        <v>BiK81GbKA3--05</v>
      </c>
      <c r="AS819" s="169" t="str">
        <f t="shared" si="302"/>
        <v/>
      </c>
      <c r="AT819">
        <f t="shared" si="303"/>
        <v>14</v>
      </c>
      <c r="AU819" s="170" t="str">
        <f t="shared" si="304"/>
        <v>0-0,15 MW, Bonusregeln G, b und K wenn Anlage 3 erfüllt</v>
      </c>
      <c r="AV819" s="169" t="str">
        <f t="shared" si="305"/>
        <v/>
      </c>
      <c r="AW819" s="170" t="str">
        <f t="shared" si="306"/>
        <v>Anteil KWK gemäß Anlage 3</v>
      </c>
      <c r="AX819" s="169" t="str">
        <f t="shared" si="307"/>
        <v/>
      </c>
      <c r="AY819" t="str">
        <f t="shared" si="308"/>
        <v/>
      </c>
      <c r="AZ819" t="str">
        <f t="shared" si="309"/>
        <v/>
      </c>
    </row>
    <row r="820" spans="1:52" s="145" customFormat="1" x14ac:dyDescent="0.35">
      <c r="A820" s="497" t="s">
        <v>4525</v>
      </c>
      <c r="B820" s="13" t="s">
        <v>5547</v>
      </c>
      <c r="C820" s="13" t="s">
        <v>1288</v>
      </c>
      <c r="D820" s="13" t="s">
        <v>6933</v>
      </c>
      <c r="E820" s="13" t="s">
        <v>674</v>
      </c>
      <c r="F820" s="373">
        <f t="shared" si="316"/>
        <v>23.67</v>
      </c>
      <c r="G820" s="430">
        <v>23.67</v>
      </c>
      <c r="H820" s="399">
        <f t="shared" si="317"/>
        <v>18.940000000000001</v>
      </c>
      <c r="I820" s="576"/>
      <c r="J820" s="549" t="s">
        <v>5804</v>
      </c>
      <c r="K820" s="11"/>
      <c r="L820"/>
      <c r="M820" s="37">
        <f t="shared" si="318"/>
        <v>23.67</v>
      </c>
      <c r="N820" s="29">
        <v>11.67</v>
      </c>
      <c r="O820" s="149"/>
      <c r="P820" s="144"/>
      <c r="Q820" s="145" t="s">
        <v>1017</v>
      </c>
      <c r="S820" s="145" t="s">
        <v>4179</v>
      </c>
      <c r="T820" s="145" t="s">
        <v>4179</v>
      </c>
      <c r="U820" s="146"/>
      <c r="W820" s="147"/>
      <c r="X820" s="147"/>
      <c r="Y820" s="145" t="s">
        <v>1017</v>
      </c>
      <c r="AA820" s="147"/>
      <c r="AD820" s="147"/>
      <c r="AE820" s="148" t="s">
        <v>1017</v>
      </c>
      <c r="AF820" s="147"/>
      <c r="AG820" s="147"/>
      <c r="AH820" s="166" t="str">
        <f t="shared" si="325"/>
        <v/>
      </c>
      <c r="AI820" s="168" t="str">
        <f t="shared" si="310"/>
        <v/>
      </c>
      <c r="AJ820" s="168" t="str">
        <f t="shared" si="311"/>
        <v/>
      </c>
      <c r="AK820" s="168" t="str">
        <f t="shared" si="312"/>
        <v/>
      </c>
      <c r="AL820" s="168" t="str">
        <f t="shared" si="313"/>
        <v/>
      </c>
      <c r="AM820" s="168" t="str">
        <f t="shared" si="314"/>
        <v/>
      </c>
      <c r="AN820" s="167" t="str">
        <f t="shared" si="297"/>
        <v/>
      </c>
      <c r="AO820" s="167" t="str">
        <f t="shared" si="298"/>
        <v/>
      </c>
      <c r="AP820" s="167" t="str">
        <f t="shared" si="299"/>
        <v/>
      </c>
      <c r="AQ820" s="169" t="str">
        <f t="shared" si="300"/>
        <v/>
      </c>
      <c r="AR820" s="170" t="str">
        <f t="shared" si="301"/>
        <v>BiK81GbK09--05</v>
      </c>
      <c r="AS820" s="169" t="str">
        <f t="shared" si="302"/>
        <v/>
      </c>
      <c r="AT820">
        <f t="shared" si="303"/>
        <v>14</v>
      </c>
      <c r="AU820" s="170" t="str">
        <f t="shared" si="304"/>
        <v>0-0,15 MW, Bonusregeln G, b und K erstmals 2009</v>
      </c>
      <c r="AV820" s="169" t="str">
        <f t="shared" si="305"/>
        <v/>
      </c>
      <c r="AW820" s="170" t="str">
        <f t="shared" si="306"/>
        <v>Anteil KWK, erstmals 2009</v>
      </c>
      <c r="AX820" s="169" t="str">
        <f t="shared" si="307"/>
        <v/>
      </c>
      <c r="AY820" t="str">
        <f t="shared" si="308"/>
        <v/>
      </c>
      <c r="AZ820" t="str">
        <f t="shared" si="309"/>
        <v/>
      </c>
    </row>
    <row r="821" spans="1:52" s="145" customFormat="1" x14ac:dyDescent="0.35">
      <c r="A821" s="497" t="s">
        <v>3583</v>
      </c>
      <c r="B821" s="13" t="s">
        <v>5547</v>
      </c>
      <c r="C821" s="13" t="s">
        <v>1288</v>
      </c>
      <c r="D821" s="13" t="s">
        <v>6934</v>
      </c>
      <c r="E821" s="13" t="s">
        <v>3566</v>
      </c>
      <c r="F821" s="373">
        <f t="shared" si="316"/>
        <v>23.64</v>
      </c>
      <c r="G821" s="430">
        <v>23.64</v>
      </c>
      <c r="H821" s="399">
        <f t="shared" si="317"/>
        <v>18.91</v>
      </c>
      <c r="I821" s="576"/>
      <c r="J821" s="549" t="s">
        <v>5804</v>
      </c>
      <c r="K821" s="11"/>
      <c r="L821"/>
      <c r="M821" s="37">
        <f t="shared" si="318"/>
        <v>23.64</v>
      </c>
      <c r="N821" s="29">
        <v>11.67</v>
      </c>
      <c r="O821" s="149"/>
      <c r="P821" s="144"/>
      <c r="R821" s="145" t="s">
        <v>1017</v>
      </c>
      <c r="S821" s="145" t="s">
        <v>4179</v>
      </c>
      <c r="T821" s="145" t="s">
        <v>4179</v>
      </c>
      <c r="U821" s="146"/>
      <c r="W821" s="147"/>
      <c r="X821" s="147"/>
      <c r="Y821" s="145" t="s">
        <v>1017</v>
      </c>
      <c r="AA821" s="147"/>
      <c r="AD821" s="147"/>
      <c r="AE821" s="148" t="s">
        <v>1017</v>
      </c>
      <c r="AF821" s="147"/>
      <c r="AG821" s="147"/>
      <c r="AH821" s="166" t="str">
        <f t="shared" si="325"/>
        <v>2010</v>
      </c>
      <c r="AI821" s="168" t="str">
        <f t="shared" si="310"/>
        <v/>
      </c>
      <c r="AJ821" s="168" t="str">
        <f t="shared" si="311"/>
        <v/>
      </c>
      <c r="AK821" s="168" t="str">
        <f t="shared" si="312"/>
        <v/>
      </c>
      <c r="AL821" s="168" t="str">
        <f t="shared" si="313"/>
        <v/>
      </c>
      <c r="AM821" s="168" t="str">
        <f t="shared" si="314"/>
        <v/>
      </c>
      <c r="AN821" s="167" t="str">
        <f t="shared" si="297"/>
        <v>2010</v>
      </c>
      <c r="AO821" s="167" t="str">
        <f t="shared" si="298"/>
        <v>2010</v>
      </c>
      <c r="AP821" s="167" t="str">
        <f t="shared" si="299"/>
        <v>2010</v>
      </c>
      <c r="AQ821" s="169" t="str">
        <f t="shared" si="300"/>
        <v/>
      </c>
      <c r="AR821" s="170" t="str">
        <f t="shared" si="301"/>
        <v>BiK81GbK10--05</v>
      </c>
      <c r="AS821" s="169" t="str">
        <f t="shared" si="302"/>
        <v/>
      </c>
      <c r="AT821">
        <f t="shared" si="303"/>
        <v>14</v>
      </c>
      <c r="AU821" s="170" t="str">
        <f t="shared" si="304"/>
        <v>0-0,15 MW, Bonusregeln G, b und K erstmals 2010</v>
      </c>
      <c r="AV821" s="169" t="str">
        <f t="shared" si="305"/>
        <v/>
      </c>
      <c r="AW821" s="170" t="str">
        <f t="shared" si="306"/>
        <v>Anteil KWK, erstmals 2010</v>
      </c>
      <c r="AX821" s="169" t="str">
        <f t="shared" si="307"/>
        <v/>
      </c>
      <c r="AY821" t="str">
        <f t="shared" si="308"/>
        <v/>
      </c>
      <c r="AZ821" t="str">
        <f t="shared" si="309"/>
        <v/>
      </c>
    </row>
    <row r="822" spans="1:52" s="145" customFormat="1" x14ac:dyDescent="0.35">
      <c r="A822" s="497" t="s">
        <v>5314</v>
      </c>
      <c r="B822" s="13" t="s">
        <v>5547</v>
      </c>
      <c r="C822" s="13" t="s">
        <v>1288</v>
      </c>
      <c r="D822" s="13" t="s">
        <v>6935</v>
      </c>
      <c r="E822" s="13" t="s">
        <v>3054</v>
      </c>
      <c r="F822" s="373">
        <f t="shared" si="316"/>
        <v>23.61</v>
      </c>
      <c r="G822" s="430">
        <v>23.61</v>
      </c>
      <c r="H822" s="399">
        <f t="shared" si="317"/>
        <v>18.89</v>
      </c>
      <c r="I822" s="576"/>
      <c r="J822" s="549" t="s">
        <v>5804</v>
      </c>
      <c r="K822" s="11"/>
      <c r="L822"/>
      <c r="M822" s="37">
        <f t="shared" si="318"/>
        <v>23.61</v>
      </c>
      <c r="N822" s="29">
        <v>11.67</v>
      </c>
      <c r="O822" s="149"/>
      <c r="P822" s="144"/>
      <c r="S822" s="145" t="s">
        <v>1017</v>
      </c>
      <c r="T822" s="145" t="s">
        <v>4179</v>
      </c>
      <c r="U822" s="146"/>
      <c r="W822" s="147"/>
      <c r="X822" s="147"/>
      <c r="Y822" s="145" t="s">
        <v>1017</v>
      </c>
      <c r="AA822" s="147"/>
      <c r="AD822" s="147"/>
      <c r="AE822" s="148" t="s">
        <v>1017</v>
      </c>
      <c r="AF822" s="147"/>
      <c r="AG822" s="147"/>
      <c r="AH822" s="166" t="str">
        <f t="shared" si="325"/>
        <v>2011</v>
      </c>
      <c r="AI822" s="168" t="str">
        <f t="shared" si="310"/>
        <v/>
      </c>
      <c r="AJ822" s="168" t="str">
        <f t="shared" si="311"/>
        <v/>
      </c>
      <c r="AK822" s="168" t="str">
        <f t="shared" si="312"/>
        <v/>
      </c>
      <c r="AL822" s="168" t="str">
        <f t="shared" si="313"/>
        <v/>
      </c>
      <c r="AM822" s="168" t="str">
        <f t="shared" si="314"/>
        <v/>
      </c>
      <c r="AN822" s="167" t="str">
        <f t="shared" si="297"/>
        <v>2011</v>
      </c>
      <c r="AO822" s="167" t="str">
        <f t="shared" si="298"/>
        <v>2011</v>
      </c>
      <c r="AP822" s="167" t="str">
        <f t="shared" si="299"/>
        <v>2011</v>
      </c>
      <c r="AQ822" s="169" t="str">
        <f t="shared" si="300"/>
        <v/>
      </c>
      <c r="AR822" s="170" t="str">
        <f t="shared" si="301"/>
        <v>BiK81GbK11--05</v>
      </c>
      <c r="AS822" s="169" t="str">
        <f t="shared" si="302"/>
        <v/>
      </c>
      <c r="AT822">
        <f t="shared" si="303"/>
        <v>14</v>
      </c>
      <c r="AU822" s="170" t="str">
        <f t="shared" si="304"/>
        <v>0-0,15 MW, Bonusregeln G, b und K erstmals 2011</v>
      </c>
      <c r="AV822" s="169" t="str">
        <f t="shared" si="305"/>
        <v/>
      </c>
      <c r="AW822" s="170" t="str">
        <f t="shared" si="306"/>
        <v>Anteil KWK, erstmals 2011</v>
      </c>
      <c r="AX822" s="169" t="str">
        <f t="shared" si="307"/>
        <v/>
      </c>
      <c r="AY822" t="str">
        <f t="shared" si="308"/>
        <v>x</v>
      </c>
      <c r="AZ822" t="str">
        <f t="shared" si="309"/>
        <v/>
      </c>
    </row>
    <row r="823" spans="1:52" s="145" customFormat="1" x14ac:dyDescent="0.35">
      <c r="A823" s="511" t="s">
        <v>1565</v>
      </c>
      <c r="B823" s="173" t="s">
        <v>5547</v>
      </c>
      <c r="C823" s="173" t="s">
        <v>1288</v>
      </c>
      <c r="D823" s="173" t="s">
        <v>6936</v>
      </c>
      <c r="E823" s="173" t="s">
        <v>1980</v>
      </c>
      <c r="F823" s="374">
        <f t="shared" si="316"/>
        <v>23.58</v>
      </c>
      <c r="G823" s="431">
        <v>23.58</v>
      </c>
      <c r="H823" s="400">
        <f t="shared" si="317"/>
        <v>18.86</v>
      </c>
      <c r="I823" s="577"/>
      <c r="J823" s="549" t="s">
        <v>5804</v>
      </c>
      <c r="K823" s="11"/>
      <c r="L823"/>
      <c r="M823" s="37">
        <f t="shared" si="318"/>
        <v>23.58</v>
      </c>
      <c r="N823" s="29">
        <v>11.67</v>
      </c>
      <c r="O823" s="149"/>
      <c r="P823" s="144"/>
      <c r="S823" s="145" t="s">
        <v>4179</v>
      </c>
      <c r="T823" s="145" t="s">
        <v>1017</v>
      </c>
      <c r="U823" s="146"/>
      <c r="W823" s="147"/>
      <c r="X823" s="147"/>
      <c r="Y823" s="145" t="s">
        <v>1017</v>
      </c>
      <c r="AA823" s="147"/>
      <c r="AD823" s="147"/>
      <c r="AE823" s="148" t="s">
        <v>1017</v>
      </c>
      <c r="AF823" s="147"/>
      <c r="AG823" s="147"/>
      <c r="AH823" s="171" t="s">
        <v>4178</v>
      </c>
      <c r="AI823" s="168" t="str">
        <f t="shared" si="310"/>
        <v/>
      </c>
      <c r="AJ823" s="168" t="str">
        <f t="shared" si="311"/>
        <v/>
      </c>
      <c r="AK823" s="168" t="str">
        <f t="shared" si="312"/>
        <v/>
      </c>
      <c r="AL823" s="168" t="str">
        <f t="shared" si="313"/>
        <v/>
      </c>
      <c r="AM823" s="168" t="str">
        <f t="shared" si="314"/>
        <v/>
      </c>
      <c r="AN823" s="167" t="str">
        <f t="shared" si="297"/>
        <v>2012</v>
      </c>
      <c r="AO823" s="167" t="str">
        <f t="shared" si="298"/>
        <v>2012</v>
      </c>
      <c r="AP823" s="167" t="str">
        <f t="shared" si="299"/>
        <v>2012</v>
      </c>
      <c r="AQ823" s="169" t="str">
        <f t="shared" si="300"/>
        <v/>
      </c>
      <c r="AR823" s="170" t="str">
        <f t="shared" si="301"/>
        <v>BiK81GbK12--05</v>
      </c>
      <c r="AS823" s="169" t="str">
        <f t="shared" si="302"/>
        <v/>
      </c>
      <c r="AT823">
        <f t="shared" si="303"/>
        <v>14</v>
      </c>
      <c r="AU823" s="170" t="str">
        <f t="shared" si="304"/>
        <v>0-0,15 MW, Bonusregeln G, b und K erstmals 2012</v>
      </c>
      <c r="AV823" s="169" t="str">
        <f t="shared" si="305"/>
        <v/>
      </c>
      <c r="AW823" s="170" t="str">
        <f t="shared" si="306"/>
        <v>Anteil KWK, erstmals 2012</v>
      </c>
      <c r="AX823" s="169" t="str">
        <f t="shared" si="307"/>
        <v/>
      </c>
      <c r="AY823" t="str">
        <f t="shared" si="308"/>
        <v/>
      </c>
      <c r="AZ823" t="str">
        <f t="shared" si="309"/>
        <v>x</v>
      </c>
    </row>
    <row r="824" spans="1:52" s="145" customFormat="1" x14ac:dyDescent="0.35">
      <c r="A824" s="497" t="s">
        <v>4526</v>
      </c>
      <c r="B824" s="13" t="s">
        <v>5547</v>
      </c>
      <c r="C824" s="13" t="s">
        <v>1288</v>
      </c>
      <c r="D824" s="13" t="s">
        <v>6937</v>
      </c>
      <c r="E824" s="13" t="s">
        <v>4809</v>
      </c>
      <c r="F824" s="373">
        <f t="shared" si="316"/>
        <v>21.67</v>
      </c>
      <c r="G824" s="430">
        <v>21.67</v>
      </c>
      <c r="H824" s="399">
        <f t="shared" si="317"/>
        <v>17.34</v>
      </c>
      <c r="I824" s="576"/>
      <c r="J824" s="549" t="s">
        <v>5804</v>
      </c>
      <c r="K824" s="11"/>
      <c r="L824"/>
      <c r="M824" s="37">
        <f t="shared" si="318"/>
        <v>21.67</v>
      </c>
      <c r="N824" s="29">
        <v>11.67</v>
      </c>
      <c r="O824" s="149"/>
      <c r="P824" s="144"/>
      <c r="S824" s="145" t="s">
        <v>4179</v>
      </c>
      <c r="T824" s="145" t="s">
        <v>4179</v>
      </c>
      <c r="U824" s="146" t="s">
        <v>1017</v>
      </c>
      <c r="W824" s="147"/>
      <c r="X824" s="147"/>
      <c r="Y824" s="145" t="s">
        <v>1017</v>
      </c>
      <c r="AA824" s="147"/>
      <c r="AD824" s="147"/>
      <c r="AE824" s="148" t="s">
        <v>1017</v>
      </c>
      <c r="AF824" s="147"/>
      <c r="AG824" s="147"/>
      <c r="AH824" s="166" t="str">
        <f t="shared" ref="AH824:AH829" si="326">IF(ISERROR(SEARCH("K erstmals 201",D824)),"",RIGHT(D824,4))</f>
        <v/>
      </c>
      <c r="AI824" s="168" t="str">
        <f t="shared" si="310"/>
        <v/>
      </c>
      <c r="AJ824" s="168" t="str">
        <f t="shared" si="311"/>
        <v/>
      </c>
      <c r="AK824" s="168" t="str">
        <f t="shared" si="312"/>
        <v/>
      </c>
      <c r="AL824" s="168" t="str">
        <f t="shared" si="313"/>
        <v/>
      </c>
      <c r="AM824" s="168" t="str">
        <f t="shared" si="314"/>
        <v/>
      </c>
      <c r="AN824" s="167" t="str">
        <f t="shared" si="297"/>
        <v/>
      </c>
      <c r="AO824" s="167" t="str">
        <f t="shared" si="298"/>
        <v/>
      </c>
      <c r="AP824" s="167" t="str">
        <f t="shared" si="299"/>
        <v/>
      </c>
      <c r="AQ824" s="169" t="str">
        <f t="shared" si="300"/>
        <v/>
      </c>
      <c r="AR824" s="170" t="str">
        <f t="shared" si="301"/>
        <v>BiK81Gby----05</v>
      </c>
      <c r="AS824" s="169" t="str">
        <f t="shared" si="302"/>
        <v/>
      </c>
      <c r="AT824">
        <f t="shared" si="303"/>
        <v>14</v>
      </c>
      <c r="AU824" s="170" t="str">
        <f t="shared" si="304"/>
        <v>0-0,15 MW, Bonusregeln G, y, b</v>
      </c>
      <c r="AV824" s="169" t="str">
        <f t="shared" si="305"/>
        <v/>
      </c>
      <c r="AW824" s="170" t="str">
        <f t="shared" si="306"/>
        <v>Anteil Nicht-KWK</v>
      </c>
      <c r="AX824" s="169" t="str">
        <f t="shared" si="307"/>
        <v/>
      </c>
      <c r="AY824" t="str">
        <f t="shared" si="308"/>
        <v/>
      </c>
      <c r="AZ824" t="str">
        <f t="shared" si="309"/>
        <v/>
      </c>
    </row>
    <row r="825" spans="1:52" s="145" customFormat="1" x14ac:dyDescent="0.35">
      <c r="A825" s="497" t="s">
        <v>4527</v>
      </c>
      <c r="B825" s="13" t="s">
        <v>5547</v>
      </c>
      <c r="C825" s="13" t="s">
        <v>1288</v>
      </c>
      <c r="D825" s="13" t="s">
        <v>6938</v>
      </c>
      <c r="E825" s="13" t="s">
        <v>4811</v>
      </c>
      <c r="F825" s="373">
        <f t="shared" si="316"/>
        <v>23.67</v>
      </c>
      <c r="G825" s="430">
        <v>23.67</v>
      </c>
      <c r="H825" s="399">
        <f t="shared" si="317"/>
        <v>18.940000000000001</v>
      </c>
      <c r="I825" s="576"/>
      <c r="J825" s="549" t="s">
        <v>5804</v>
      </c>
      <c r="K825" s="11"/>
      <c r="L825"/>
      <c r="M825" s="37">
        <f t="shared" si="318"/>
        <v>23.67</v>
      </c>
      <c r="N825" s="29">
        <v>11.67</v>
      </c>
      <c r="O825" s="149" t="s">
        <v>1017</v>
      </c>
      <c r="P825" s="144"/>
      <c r="S825" s="145" t="s">
        <v>4179</v>
      </c>
      <c r="T825" s="145" t="s">
        <v>4179</v>
      </c>
      <c r="U825" s="146" t="s">
        <v>1017</v>
      </c>
      <c r="W825" s="147"/>
      <c r="X825" s="147"/>
      <c r="Y825" s="145" t="s">
        <v>1017</v>
      </c>
      <c r="AA825" s="147"/>
      <c r="AD825" s="147"/>
      <c r="AE825" s="148" t="s">
        <v>1017</v>
      </c>
      <c r="AF825" s="147"/>
      <c r="AG825" s="147"/>
      <c r="AH825" s="166" t="str">
        <f t="shared" si="326"/>
        <v/>
      </c>
      <c r="AI825" s="168" t="str">
        <f t="shared" si="310"/>
        <v/>
      </c>
      <c r="AJ825" s="168" t="str">
        <f t="shared" si="311"/>
        <v/>
      </c>
      <c r="AK825" s="168" t="str">
        <f t="shared" si="312"/>
        <v/>
      </c>
      <c r="AL825" s="168" t="str">
        <f t="shared" si="313"/>
        <v/>
      </c>
      <c r="AM825" s="168" t="str">
        <f t="shared" si="314"/>
        <v/>
      </c>
      <c r="AN825" s="167" t="str">
        <f t="shared" si="297"/>
        <v/>
      </c>
      <c r="AO825" s="167" t="str">
        <f t="shared" si="298"/>
        <v/>
      </c>
      <c r="AP825" s="167" t="str">
        <f t="shared" si="299"/>
        <v/>
      </c>
      <c r="AQ825" s="169" t="str">
        <f t="shared" si="300"/>
        <v/>
      </c>
      <c r="AR825" s="170" t="str">
        <f t="shared" si="301"/>
        <v>BiK81GbKWKy-05</v>
      </c>
      <c r="AS825" s="169" t="str">
        <f t="shared" si="302"/>
        <v/>
      </c>
      <c r="AT825">
        <f t="shared" si="303"/>
        <v>14</v>
      </c>
      <c r="AU825" s="170" t="str">
        <f t="shared" si="304"/>
        <v>0-0,15 MW, Bonusregeln G, y, b und KWK</v>
      </c>
      <c r="AV825" s="169" t="str">
        <f t="shared" si="305"/>
        <v/>
      </c>
      <c r="AW825" s="170" t="str">
        <f t="shared" si="306"/>
        <v>Anteil KWK</v>
      </c>
      <c r="AX825" s="169" t="str">
        <f t="shared" si="307"/>
        <v/>
      </c>
      <c r="AY825" t="str">
        <f t="shared" si="308"/>
        <v/>
      </c>
      <c r="AZ825" t="str">
        <f t="shared" si="309"/>
        <v/>
      </c>
    </row>
    <row r="826" spans="1:52" x14ac:dyDescent="0.35">
      <c r="A826" s="497" t="s">
        <v>4528</v>
      </c>
      <c r="B826" s="13" t="s">
        <v>5547</v>
      </c>
      <c r="C826" s="13" t="s">
        <v>1288</v>
      </c>
      <c r="D826" s="88" t="s">
        <v>6939</v>
      </c>
      <c r="E826" s="13" t="s">
        <v>4330</v>
      </c>
      <c r="F826" s="373">
        <f t="shared" si="316"/>
        <v>24.67</v>
      </c>
      <c r="G826" s="430">
        <v>24.67</v>
      </c>
      <c r="H826" s="399">
        <f t="shared" si="317"/>
        <v>19.739999999999998</v>
      </c>
      <c r="I826" s="576"/>
      <c r="J826" s="549" t="s">
        <v>5804</v>
      </c>
      <c r="K826" s="11"/>
      <c r="M826" s="37">
        <f t="shared" si="318"/>
        <v>24.67</v>
      </c>
      <c r="N826" s="29">
        <v>11.67</v>
      </c>
      <c r="O826" s="149"/>
      <c r="P826" s="145" t="s">
        <v>1017</v>
      </c>
      <c r="Q826" s="145"/>
      <c r="R826" s="145"/>
      <c r="S826" s="145" t="s">
        <v>4179</v>
      </c>
      <c r="T826" t="s">
        <v>4179</v>
      </c>
      <c r="U826" s="146" t="s">
        <v>1017</v>
      </c>
      <c r="V826" s="145"/>
      <c r="W826" s="147"/>
      <c r="X826" s="147"/>
      <c r="Y826" s="145" t="s">
        <v>1017</v>
      </c>
      <c r="Z826" s="145"/>
      <c r="AA826" s="147"/>
      <c r="AB826" s="145"/>
      <c r="AC826" s="145"/>
      <c r="AD826" s="147"/>
      <c r="AE826" s="148" t="s">
        <v>1017</v>
      </c>
      <c r="AF826" s="147"/>
      <c r="AG826" s="147"/>
      <c r="AH826" s="166" t="str">
        <f t="shared" si="326"/>
        <v/>
      </c>
      <c r="AI826" s="168" t="str">
        <f t="shared" si="310"/>
        <v/>
      </c>
      <c r="AJ826" s="168" t="str">
        <f t="shared" si="311"/>
        <v/>
      </c>
      <c r="AK826" s="168" t="str">
        <f t="shared" si="312"/>
        <v/>
      </c>
      <c r="AL826" s="168" t="str">
        <f t="shared" si="313"/>
        <v/>
      </c>
      <c r="AM826" s="168" t="str">
        <f t="shared" si="314"/>
        <v/>
      </c>
      <c r="AN826" s="167" t="str">
        <f t="shared" si="297"/>
        <v/>
      </c>
      <c r="AO826" s="167" t="str">
        <f t="shared" si="298"/>
        <v/>
      </c>
      <c r="AP826" s="167" t="str">
        <f t="shared" si="299"/>
        <v/>
      </c>
      <c r="AQ826" s="169" t="str">
        <f t="shared" si="300"/>
        <v/>
      </c>
      <c r="AR826" s="170" t="str">
        <f t="shared" si="301"/>
        <v>BiK81GbKA3y-05</v>
      </c>
      <c r="AS826" s="169" t="str">
        <f t="shared" si="302"/>
        <v/>
      </c>
      <c r="AT826">
        <f t="shared" si="303"/>
        <v>14</v>
      </c>
      <c r="AU826" s="170" t="str">
        <f t="shared" si="304"/>
        <v>0-0,15 MW, Bonusregeln G, y, b und K wenn Anlage 3 erfüllt</v>
      </c>
      <c r="AV826" s="169" t="str">
        <f t="shared" si="305"/>
        <v/>
      </c>
      <c r="AW826" s="170" t="str">
        <f t="shared" si="306"/>
        <v>Anteil KWK gemäß Anlage 3</v>
      </c>
      <c r="AX826" s="169" t="str">
        <f t="shared" si="307"/>
        <v/>
      </c>
      <c r="AY826" t="str">
        <f t="shared" si="308"/>
        <v/>
      </c>
      <c r="AZ826" t="str">
        <f t="shared" si="309"/>
        <v/>
      </c>
    </row>
    <row r="827" spans="1:52" x14ac:dyDescent="0.35">
      <c r="A827" s="497" t="s">
        <v>3039</v>
      </c>
      <c r="B827" s="13" t="s">
        <v>5547</v>
      </c>
      <c r="C827" s="13" t="s">
        <v>1288</v>
      </c>
      <c r="D827" s="13" t="s">
        <v>6940</v>
      </c>
      <c r="E827" s="13" t="s">
        <v>674</v>
      </c>
      <c r="F827" s="373">
        <f t="shared" si="316"/>
        <v>24.67</v>
      </c>
      <c r="G827" s="430">
        <v>24.67</v>
      </c>
      <c r="H827" s="399">
        <f t="shared" si="317"/>
        <v>19.739999999999998</v>
      </c>
      <c r="I827" s="576"/>
      <c r="J827" s="549" t="s">
        <v>5804</v>
      </c>
      <c r="K827" s="11"/>
      <c r="M827" s="37">
        <f t="shared" si="318"/>
        <v>24.67</v>
      </c>
      <c r="N827" s="29">
        <v>11.67</v>
      </c>
      <c r="O827" s="149"/>
      <c r="P827" s="144"/>
      <c r="Q827" s="145" t="s">
        <v>1017</v>
      </c>
      <c r="R827" s="145"/>
      <c r="S827" s="145" t="s">
        <v>4179</v>
      </c>
      <c r="T827" t="s">
        <v>4179</v>
      </c>
      <c r="U827" s="146" t="s">
        <v>1017</v>
      </c>
      <c r="V827" s="145"/>
      <c r="W827" s="147"/>
      <c r="X827" s="147"/>
      <c r="Y827" s="145" t="s">
        <v>1017</v>
      </c>
      <c r="Z827" s="145"/>
      <c r="AA827" s="147"/>
      <c r="AB827" s="145"/>
      <c r="AC827" s="145"/>
      <c r="AD827" s="147"/>
      <c r="AE827" s="148" t="s">
        <v>1017</v>
      </c>
      <c r="AF827" s="147"/>
      <c r="AG827" s="147"/>
      <c r="AH827" s="166" t="str">
        <f t="shared" si="326"/>
        <v/>
      </c>
      <c r="AI827" s="168" t="str">
        <f t="shared" si="310"/>
        <v/>
      </c>
      <c r="AJ827" s="168" t="str">
        <f t="shared" si="311"/>
        <v/>
      </c>
      <c r="AK827" s="168" t="str">
        <f t="shared" si="312"/>
        <v/>
      </c>
      <c r="AL827" s="168" t="str">
        <f t="shared" si="313"/>
        <v/>
      </c>
      <c r="AM827" s="168" t="str">
        <f t="shared" si="314"/>
        <v/>
      </c>
      <c r="AN827" s="167" t="str">
        <f t="shared" si="297"/>
        <v/>
      </c>
      <c r="AO827" s="167" t="str">
        <f t="shared" si="298"/>
        <v/>
      </c>
      <c r="AP827" s="167" t="str">
        <f t="shared" si="299"/>
        <v/>
      </c>
      <c r="AQ827" s="169" t="str">
        <f t="shared" si="300"/>
        <v/>
      </c>
      <c r="AR827" s="170" t="str">
        <f t="shared" si="301"/>
        <v>BiK81GbK09y-05</v>
      </c>
      <c r="AS827" s="169" t="str">
        <f t="shared" si="302"/>
        <v/>
      </c>
      <c r="AT827">
        <f t="shared" si="303"/>
        <v>14</v>
      </c>
      <c r="AU827" s="170" t="str">
        <f t="shared" si="304"/>
        <v>0-0,15 MW, Bonusregeln G, y, b und K erstmals 2009</v>
      </c>
      <c r="AV827" s="169" t="str">
        <f t="shared" si="305"/>
        <v/>
      </c>
      <c r="AW827" s="170" t="str">
        <f t="shared" si="306"/>
        <v>Anteil KWK, erstmals 2009</v>
      </c>
      <c r="AX827" s="169" t="str">
        <f t="shared" si="307"/>
        <v/>
      </c>
      <c r="AY827" t="str">
        <f t="shared" si="308"/>
        <v/>
      </c>
      <c r="AZ827" t="str">
        <f t="shared" si="309"/>
        <v/>
      </c>
    </row>
    <row r="828" spans="1:52" x14ac:dyDescent="0.35">
      <c r="A828" s="497" t="s">
        <v>3584</v>
      </c>
      <c r="B828" s="13" t="s">
        <v>5547</v>
      </c>
      <c r="C828" s="13" t="s">
        <v>1288</v>
      </c>
      <c r="D828" s="13" t="s">
        <v>6941</v>
      </c>
      <c r="E828" s="13" t="s">
        <v>3566</v>
      </c>
      <c r="F828" s="373">
        <f t="shared" si="316"/>
        <v>24.64</v>
      </c>
      <c r="G828" s="430">
        <v>24.64</v>
      </c>
      <c r="H828" s="399">
        <f t="shared" si="317"/>
        <v>19.71</v>
      </c>
      <c r="I828" s="576"/>
      <c r="J828" s="549" t="s">
        <v>5804</v>
      </c>
      <c r="K828" s="11"/>
      <c r="M828" s="37">
        <f t="shared" si="318"/>
        <v>24.64</v>
      </c>
      <c r="N828" s="29">
        <v>11.67</v>
      </c>
      <c r="O828" s="149"/>
      <c r="P828" s="144"/>
      <c r="Q828" s="145"/>
      <c r="R828" s="145" t="s">
        <v>1017</v>
      </c>
      <c r="S828" s="145" t="s">
        <v>4179</v>
      </c>
      <c r="T828" t="s">
        <v>4179</v>
      </c>
      <c r="U828" s="146" t="s">
        <v>1017</v>
      </c>
      <c r="V828" s="145"/>
      <c r="W828" s="147"/>
      <c r="X828" s="147"/>
      <c r="Y828" s="145" t="s">
        <v>1017</v>
      </c>
      <c r="Z828" s="145"/>
      <c r="AA828" s="147"/>
      <c r="AB828" s="145"/>
      <c r="AC828" s="145"/>
      <c r="AD828" s="147"/>
      <c r="AE828" s="148" t="s">
        <v>1017</v>
      </c>
      <c r="AF828" s="147"/>
      <c r="AG828" s="147"/>
      <c r="AH828" s="166" t="str">
        <f t="shared" si="326"/>
        <v>2010</v>
      </c>
      <c r="AI828" s="168" t="str">
        <f t="shared" si="310"/>
        <v/>
      </c>
      <c r="AJ828" s="168" t="str">
        <f t="shared" si="311"/>
        <v/>
      </c>
      <c r="AK828" s="168" t="str">
        <f t="shared" si="312"/>
        <v/>
      </c>
      <c r="AL828" s="168" t="str">
        <f t="shared" si="313"/>
        <v/>
      </c>
      <c r="AM828" s="168" t="str">
        <f t="shared" si="314"/>
        <v/>
      </c>
      <c r="AN828" s="167" t="str">
        <f t="shared" ref="AN828:AN891" si="327">IF(ISERROR(SEARCH("K1",A828)),"","20"&amp;MID(A828,SEARCH("K1",A828)+1,2))</f>
        <v>2010</v>
      </c>
      <c r="AO828" s="167" t="str">
        <f t="shared" ref="AO828:AO891" si="328">IF(ISERROR(SEARCH("erstmals 201",E828)),"",MID(E828,SEARCH("erstmals ",E828)+9,4))</f>
        <v>2010</v>
      </c>
      <c r="AP828" s="167" t="str">
        <f t="shared" ref="AP828:AP891" si="329">IF(R828="x","2010",IF(S828="x","2011",IF(T828="x","2012","")))</f>
        <v>2010</v>
      </c>
      <c r="AQ828" s="169" t="str">
        <f t="shared" ref="AQ828:AQ891" si="330">IF(OR(AH828&lt;&gt;AN828,AH828&lt;&gt;AO828,AH828&lt;&gt;AP828),"DIFF","")</f>
        <v/>
      </c>
      <c r="AR828" s="170" t="str">
        <f t="shared" ref="AR828:AR891" si="331">IF(A828="","",IF(ISERROR(SEARCH("K1",A828)),A828,LEFT(A828,SEARCH("K1",A828)+1)&amp;RIGHT(AH828,1)&amp;MID(A828,SEARCH("K1",A828)+3,14)))</f>
        <v>BiK81GbK10y-05</v>
      </c>
      <c r="AS828" s="169" t="str">
        <f t="shared" ref="AS828:AS891" si="332">IF(OR(A828&lt;&gt;AR828),"DIFF","")</f>
        <v/>
      </c>
      <c r="AT828">
        <f t="shared" ref="AT828:AT891" si="333">LEN(AR828)</f>
        <v>14</v>
      </c>
      <c r="AU828" s="170" t="str">
        <f t="shared" ref="AU828:AU891" si="334">IF(D828="","",IF(OR(A828="",ISERROR(SEARCH("erstmals 201",D828))),D828,LEFT(D828,SEARCH("erstmals 201",D828)+8) &amp; AH828 &amp; MID(D828,SEARCH("erstmals 201",D828)+13,255)))</f>
        <v>0-0,15 MW, Bonusregeln G, y, b und K erstmals 2010</v>
      </c>
      <c r="AV828" s="169" t="str">
        <f t="shared" ref="AV828:AV891" si="335">IF(OR(D828&lt;&gt;AU828),"DIFF","")</f>
        <v/>
      </c>
      <c r="AW828" s="170" t="str">
        <f t="shared" ref="AW828:AW891" si="336">IF(E828="","",IF(OR(E828="",ISERROR(SEARCH("erstmals 201",E828))),E828,LEFT(E828,SEARCH("erstmals 201",E828)+8) &amp; AH828 &amp; MID(E828,SEARCH("erstmals 201",E828)+13,255)))</f>
        <v>Anteil KWK, erstmals 2010</v>
      </c>
      <c r="AX828" s="169" t="str">
        <f t="shared" ref="AX828:AX891" si="337">IF(OR(E828&lt;&gt;AW828),"DIFF","")</f>
        <v/>
      </c>
      <c r="AY828" t="str">
        <f t="shared" ref="AY828:AY891" si="338">IF(AH828="2011","x",IF(AH828="2012","","" &amp; S828))</f>
        <v/>
      </c>
      <c r="AZ828" t="str">
        <f t="shared" ref="AZ828:AZ891" si="339">IF(AH828="2012","x",IF(AH828="2011","","" &amp; T828))</f>
        <v/>
      </c>
    </row>
    <row r="829" spans="1:52" x14ac:dyDescent="0.35">
      <c r="A829" s="497" t="s">
        <v>5315</v>
      </c>
      <c r="B829" s="13" t="s">
        <v>5547</v>
      </c>
      <c r="C829" s="13" t="s">
        <v>1288</v>
      </c>
      <c r="D829" s="13" t="s">
        <v>6942</v>
      </c>
      <c r="E829" s="13" t="s">
        <v>3054</v>
      </c>
      <c r="F829" s="373">
        <f t="shared" si="316"/>
        <v>24.61</v>
      </c>
      <c r="G829" s="430">
        <v>24.61</v>
      </c>
      <c r="H829" s="399">
        <f t="shared" si="317"/>
        <v>19.690000000000001</v>
      </c>
      <c r="I829" s="576"/>
      <c r="J829" s="549" t="s">
        <v>5804</v>
      </c>
      <c r="K829" s="11"/>
      <c r="M829" s="37">
        <f t="shared" si="318"/>
        <v>24.61</v>
      </c>
      <c r="N829" s="29">
        <v>11.67</v>
      </c>
      <c r="O829" s="149"/>
      <c r="P829" s="144"/>
      <c r="Q829" s="145"/>
      <c r="R829" s="145"/>
      <c r="S829" s="145" t="s">
        <v>1017</v>
      </c>
      <c r="T829" t="s">
        <v>4179</v>
      </c>
      <c r="U829" s="146" t="s">
        <v>1017</v>
      </c>
      <c r="V829" s="145"/>
      <c r="W829" s="147"/>
      <c r="X829" s="147"/>
      <c r="Y829" s="145" t="s">
        <v>1017</v>
      </c>
      <c r="Z829" s="145"/>
      <c r="AA829" s="147"/>
      <c r="AB829" s="145"/>
      <c r="AC829" s="145"/>
      <c r="AD829" s="147"/>
      <c r="AE829" s="148" t="s">
        <v>1017</v>
      </c>
      <c r="AF829" s="147"/>
      <c r="AG829" s="147"/>
      <c r="AH829" s="166" t="str">
        <f t="shared" si="326"/>
        <v>2011</v>
      </c>
      <c r="AI829" s="168" t="str">
        <f t="shared" ref="AI829:AI892" si="340">IF(AND($AH829&lt;&gt;"",AH829 =AH828),"Gleich","")</f>
        <v/>
      </c>
      <c r="AJ829" s="168" t="str">
        <f t="shared" ref="AJ829:AJ892" si="341">IF(AND($AH829&lt;&gt;"",A829 =A828),"Gleich","")</f>
        <v/>
      </c>
      <c r="AK829" s="168" t="str">
        <f t="shared" ref="AK829:AK892" si="342">IF(AND($AH829&lt;&gt;"",D829 =D828),"Gleich","")</f>
        <v/>
      </c>
      <c r="AL829" s="168" t="str">
        <f t="shared" ref="AL829:AL892" si="343">IF(AND($AH829&lt;&gt;"",E829 =E828),"Gleich","")</f>
        <v/>
      </c>
      <c r="AM829" s="168" t="str">
        <f t="shared" ref="AM829:AM892" si="344">IF(AND($AH829&lt;&gt;"",F829 =F828),"Gleich","")</f>
        <v/>
      </c>
      <c r="AN829" s="167" t="str">
        <f t="shared" si="327"/>
        <v>2011</v>
      </c>
      <c r="AO829" s="167" t="str">
        <f t="shared" si="328"/>
        <v>2011</v>
      </c>
      <c r="AP829" s="167" t="str">
        <f t="shared" si="329"/>
        <v>2011</v>
      </c>
      <c r="AQ829" s="169" t="str">
        <f t="shared" si="330"/>
        <v/>
      </c>
      <c r="AR829" s="170" t="str">
        <f t="shared" si="331"/>
        <v>BiK81GbK11y-05</v>
      </c>
      <c r="AS829" s="169" t="str">
        <f t="shared" si="332"/>
        <v/>
      </c>
      <c r="AT829">
        <f t="shared" si="333"/>
        <v>14</v>
      </c>
      <c r="AU829" s="170" t="str">
        <f t="shared" si="334"/>
        <v>0-0,15 MW, Bonusregeln G, y, b und K erstmals 2011</v>
      </c>
      <c r="AV829" s="169" t="str">
        <f t="shared" si="335"/>
        <v/>
      </c>
      <c r="AW829" s="170" t="str">
        <f t="shared" si="336"/>
        <v>Anteil KWK, erstmals 2011</v>
      </c>
      <c r="AX829" s="169" t="str">
        <f t="shared" si="337"/>
        <v/>
      </c>
      <c r="AY829" t="str">
        <f t="shared" si="338"/>
        <v>x</v>
      </c>
      <c r="AZ829" t="str">
        <f t="shared" si="339"/>
        <v/>
      </c>
    </row>
    <row r="830" spans="1:52" x14ac:dyDescent="0.35">
      <c r="A830" s="511" t="s">
        <v>1566</v>
      </c>
      <c r="B830" s="173" t="s">
        <v>5547</v>
      </c>
      <c r="C830" s="173" t="s">
        <v>1288</v>
      </c>
      <c r="D830" s="173" t="s">
        <v>6943</v>
      </c>
      <c r="E830" s="173" t="s">
        <v>1980</v>
      </c>
      <c r="F830" s="374">
        <f t="shared" si="316"/>
        <v>24.58</v>
      </c>
      <c r="G830" s="431">
        <v>24.58</v>
      </c>
      <c r="H830" s="400">
        <f t="shared" si="317"/>
        <v>19.66</v>
      </c>
      <c r="I830" s="577"/>
      <c r="J830" s="549" t="s">
        <v>5804</v>
      </c>
      <c r="K830" s="11"/>
      <c r="M830" s="37">
        <f t="shared" si="318"/>
        <v>24.58</v>
      </c>
      <c r="N830" s="29">
        <v>11.67</v>
      </c>
      <c r="O830" s="149"/>
      <c r="P830" s="144"/>
      <c r="Q830" s="145"/>
      <c r="R830" s="145"/>
      <c r="S830" s="145" t="s">
        <v>4179</v>
      </c>
      <c r="T830" t="s">
        <v>1017</v>
      </c>
      <c r="U830" s="146" t="s">
        <v>1017</v>
      </c>
      <c r="V830" s="145"/>
      <c r="W830" s="147"/>
      <c r="X830" s="147"/>
      <c r="Y830" s="145" t="s">
        <v>1017</v>
      </c>
      <c r="Z830" s="145"/>
      <c r="AA830" s="147"/>
      <c r="AB830" s="145"/>
      <c r="AC830" s="145"/>
      <c r="AD830" s="147"/>
      <c r="AE830" s="148" t="s">
        <v>1017</v>
      </c>
      <c r="AF830" s="147"/>
      <c r="AG830" s="147"/>
      <c r="AH830" s="171" t="s">
        <v>4178</v>
      </c>
      <c r="AI830" s="168" t="str">
        <f t="shared" si="340"/>
        <v/>
      </c>
      <c r="AJ830" s="168" t="str">
        <f t="shared" si="341"/>
        <v/>
      </c>
      <c r="AK830" s="168" t="str">
        <f t="shared" si="342"/>
        <v/>
      </c>
      <c r="AL830" s="168" t="str">
        <f t="shared" si="343"/>
        <v/>
      </c>
      <c r="AM830" s="168" t="str">
        <f t="shared" si="344"/>
        <v/>
      </c>
      <c r="AN830" s="167" t="str">
        <f t="shared" si="327"/>
        <v>2012</v>
      </c>
      <c r="AO830" s="167" t="str">
        <f t="shared" si="328"/>
        <v>2012</v>
      </c>
      <c r="AP830" s="167" t="str">
        <f t="shared" si="329"/>
        <v>2012</v>
      </c>
      <c r="AQ830" s="169" t="str">
        <f t="shared" si="330"/>
        <v/>
      </c>
      <c r="AR830" s="170" t="str">
        <f t="shared" si="331"/>
        <v>BiK81GbK12y-05</v>
      </c>
      <c r="AS830" s="169" t="str">
        <f t="shared" si="332"/>
        <v/>
      </c>
      <c r="AT830">
        <f t="shared" si="333"/>
        <v>14</v>
      </c>
      <c r="AU830" s="170" t="str">
        <f t="shared" si="334"/>
        <v>0-0,15 MW, Bonusregeln G, y, b und K erstmals 2012</v>
      </c>
      <c r="AV830" s="169" t="str">
        <f t="shared" si="335"/>
        <v/>
      </c>
      <c r="AW830" s="170" t="str">
        <f t="shared" si="336"/>
        <v>Anteil KWK, erstmals 2012</v>
      </c>
      <c r="AX830" s="169" t="str">
        <f t="shared" si="337"/>
        <v/>
      </c>
      <c r="AY830" t="str">
        <f t="shared" si="338"/>
        <v/>
      </c>
      <c r="AZ830" t="str">
        <f t="shared" si="339"/>
        <v>x</v>
      </c>
    </row>
    <row r="831" spans="1:52" x14ac:dyDescent="0.35">
      <c r="A831" s="497" t="s">
        <v>2434</v>
      </c>
      <c r="B831" s="13" t="s">
        <v>5547</v>
      </c>
      <c r="C831" s="13" t="s">
        <v>1288</v>
      </c>
      <c r="D831" s="13" t="s">
        <v>6944</v>
      </c>
      <c r="E831" s="13" t="s">
        <v>4809</v>
      </c>
      <c r="F831" s="373">
        <f t="shared" si="316"/>
        <v>24.67</v>
      </c>
      <c r="G831" s="430">
        <v>24.67</v>
      </c>
      <c r="H831" s="399">
        <f t="shared" si="317"/>
        <v>19.739999999999998</v>
      </c>
      <c r="I831" s="576"/>
      <c r="J831" s="549" t="s">
        <v>5804</v>
      </c>
      <c r="K831" s="11"/>
      <c r="M831" s="37">
        <f t="shared" si="318"/>
        <v>24.67</v>
      </c>
      <c r="N831" s="29">
        <v>11.67</v>
      </c>
      <c r="O831" s="149"/>
      <c r="P831" s="144"/>
      <c r="Q831" s="145"/>
      <c r="R831" s="145"/>
      <c r="S831" s="145" t="s">
        <v>4179</v>
      </c>
      <c r="T831" t="s">
        <v>4179</v>
      </c>
      <c r="U831" s="146"/>
      <c r="V831" s="145"/>
      <c r="W831" s="147"/>
      <c r="X831" s="147"/>
      <c r="Y831" s="145"/>
      <c r="Z831" s="145" t="s">
        <v>1017</v>
      </c>
      <c r="AA831" s="147"/>
      <c r="AB831" s="145"/>
      <c r="AC831" s="145"/>
      <c r="AD831" s="147"/>
      <c r="AE831" s="148" t="s">
        <v>1017</v>
      </c>
      <c r="AF831" s="147"/>
      <c r="AG831" s="147"/>
      <c r="AH831" s="166" t="str">
        <f t="shared" ref="AH831:AH836" si="345">IF(ISERROR(SEARCH("K erstmals 201",D831)),"",RIGHT(D831,4))</f>
        <v/>
      </c>
      <c r="AI831" s="168" t="str">
        <f t="shared" si="340"/>
        <v/>
      </c>
      <c r="AJ831" s="168" t="str">
        <f t="shared" si="341"/>
        <v/>
      </c>
      <c r="AK831" s="168" t="str">
        <f t="shared" si="342"/>
        <v/>
      </c>
      <c r="AL831" s="168" t="str">
        <f t="shared" si="343"/>
        <v/>
      </c>
      <c r="AM831" s="168" t="str">
        <f t="shared" si="344"/>
        <v/>
      </c>
      <c r="AN831" s="167" t="str">
        <f t="shared" si="327"/>
        <v/>
      </c>
      <c r="AO831" s="167" t="str">
        <f t="shared" si="328"/>
        <v/>
      </c>
      <c r="AP831" s="167" t="str">
        <f t="shared" si="329"/>
        <v/>
      </c>
      <c r="AQ831" s="169" t="str">
        <f t="shared" si="330"/>
        <v/>
      </c>
      <c r="AR831" s="170" t="str">
        <f t="shared" si="331"/>
        <v>BiK81M1b----05</v>
      </c>
      <c r="AS831" s="169" t="str">
        <f t="shared" si="332"/>
        <v/>
      </c>
      <c r="AT831">
        <f t="shared" si="333"/>
        <v>14</v>
      </c>
      <c r="AU831" s="170" t="str">
        <f t="shared" si="334"/>
        <v>0-0,15 MW, Bonusregeln M1, b</v>
      </c>
      <c r="AV831" s="169" t="str">
        <f t="shared" si="335"/>
        <v/>
      </c>
      <c r="AW831" s="170" t="str">
        <f t="shared" si="336"/>
        <v>Anteil Nicht-KWK</v>
      </c>
      <c r="AX831" s="169" t="str">
        <f t="shared" si="337"/>
        <v/>
      </c>
      <c r="AY831" t="str">
        <f t="shared" si="338"/>
        <v/>
      </c>
      <c r="AZ831" t="str">
        <f t="shared" si="339"/>
        <v/>
      </c>
    </row>
    <row r="832" spans="1:52" x14ac:dyDescent="0.35">
      <c r="A832" s="497" t="s">
        <v>2435</v>
      </c>
      <c r="B832" s="13" t="s">
        <v>5547</v>
      </c>
      <c r="C832" s="13" t="s">
        <v>1288</v>
      </c>
      <c r="D832" s="13" t="s">
        <v>6945</v>
      </c>
      <c r="E832" s="13" t="s">
        <v>4811</v>
      </c>
      <c r="F832" s="373">
        <f t="shared" si="316"/>
        <v>26.67</v>
      </c>
      <c r="G832" s="430">
        <v>26.67</v>
      </c>
      <c r="H832" s="399">
        <f t="shared" si="317"/>
        <v>21.34</v>
      </c>
      <c r="I832" s="576"/>
      <c r="J832" s="549" t="s">
        <v>5804</v>
      </c>
      <c r="K832" s="11"/>
      <c r="M832" s="37">
        <f t="shared" si="318"/>
        <v>26.67</v>
      </c>
      <c r="N832" s="29">
        <v>11.67</v>
      </c>
      <c r="O832" s="149" t="s">
        <v>1017</v>
      </c>
      <c r="P832" s="144"/>
      <c r="Q832" s="145"/>
      <c r="R832" s="145"/>
      <c r="S832" s="145" t="s">
        <v>4179</v>
      </c>
      <c r="T832" t="s">
        <v>4179</v>
      </c>
      <c r="U832" s="146"/>
      <c r="V832" s="145"/>
      <c r="W832" s="147"/>
      <c r="X832" s="147"/>
      <c r="Y832" s="145"/>
      <c r="Z832" s="145" t="s">
        <v>1017</v>
      </c>
      <c r="AA832" s="147"/>
      <c r="AB832" s="145"/>
      <c r="AC832" s="145"/>
      <c r="AD832" s="147"/>
      <c r="AE832" s="148" t="s">
        <v>1017</v>
      </c>
      <c r="AF832" s="147"/>
      <c r="AG832" s="147"/>
      <c r="AH832" s="166" t="str">
        <f t="shared" si="345"/>
        <v/>
      </c>
      <c r="AI832" s="168" t="str">
        <f t="shared" si="340"/>
        <v/>
      </c>
      <c r="AJ832" s="168" t="str">
        <f t="shared" si="341"/>
        <v/>
      </c>
      <c r="AK832" s="168" t="str">
        <f t="shared" si="342"/>
        <v/>
      </c>
      <c r="AL832" s="168" t="str">
        <f t="shared" si="343"/>
        <v/>
      </c>
      <c r="AM832" s="168" t="str">
        <f t="shared" si="344"/>
        <v/>
      </c>
      <c r="AN832" s="167" t="str">
        <f t="shared" si="327"/>
        <v/>
      </c>
      <c r="AO832" s="167" t="str">
        <f t="shared" si="328"/>
        <v/>
      </c>
      <c r="AP832" s="167" t="str">
        <f t="shared" si="329"/>
        <v/>
      </c>
      <c r="AQ832" s="169" t="str">
        <f t="shared" si="330"/>
        <v/>
      </c>
      <c r="AR832" s="170" t="str">
        <f t="shared" si="331"/>
        <v>BiK81M1bKWK-05</v>
      </c>
      <c r="AS832" s="169" t="str">
        <f t="shared" si="332"/>
        <v/>
      </c>
      <c r="AT832">
        <f t="shared" si="333"/>
        <v>14</v>
      </c>
      <c r="AU832" s="170" t="str">
        <f t="shared" si="334"/>
        <v>0-0,15 MW, Bonusregeln M1, b und KWK</v>
      </c>
      <c r="AV832" s="169" t="str">
        <f t="shared" si="335"/>
        <v/>
      </c>
      <c r="AW832" s="170" t="str">
        <f t="shared" si="336"/>
        <v>Anteil KWK</v>
      </c>
      <c r="AX832" s="169" t="str">
        <f t="shared" si="337"/>
        <v/>
      </c>
      <c r="AY832" t="str">
        <f t="shared" si="338"/>
        <v/>
      </c>
      <c r="AZ832" t="str">
        <f t="shared" si="339"/>
        <v/>
      </c>
    </row>
    <row r="833" spans="1:52" x14ac:dyDescent="0.35">
      <c r="A833" s="497" t="s">
        <v>2436</v>
      </c>
      <c r="B833" s="13" t="s">
        <v>5547</v>
      </c>
      <c r="C833" s="13" t="s">
        <v>1288</v>
      </c>
      <c r="D833" s="13" t="s">
        <v>6946</v>
      </c>
      <c r="E833" s="13" t="s">
        <v>4330</v>
      </c>
      <c r="F833" s="373">
        <f t="shared" ref="F833:F896" si="346">M833</f>
        <v>27.67</v>
      </c>
      <c r="G833" s="430">
        <v>27.67</v>
      </c>
      <c r="H833" s="399">
        <f t="shared" ref="H833:H896" si="347">IF(ISNUMBER(G833),ROUND(0.8*G833,2),"")</f>
        <v>22.14</v>
      </c>
      <c r="I833" s="576"/>
      <c r="J833" s="549" t="s">
        <v>5804</v>
      </c>
      <c r="K833" s="11"/>
      <c r="M833" s="37">
        <f t="shared" ref="M833:M896" si="348">N833+SUMIF(O833:AG833,"x",O$704:AG$704)</f>
        <v>27.67</v>
      </c>
      <c r="N833" s="29">
        <v>11.67</v>
      </c>
      <c r="O833" s="149"/>
      <c r="P833" s="145" t="s">
        <v>1017</v>
      </c>
      <c r="Q833" s="145"/>
      <c r="R833" s="145"/>
      <c r="S833" s="145" t="s">
        <v>4179</v>
      </c>
      <c r="T833" t="s">
        <v>4179</v>
      </c>
      <c r="U833" s="146"/>
      <c r="V833" s="145"/>
      <c r="W833" s="147"/>
      <c r="X833" s="147"/>
      <c r="Y833" s="145"/>
      <c r="Z833" s="145" t="s">
        <v>1017</v>
      </c>
      <c r="AA833" s="147"/>
      <c r="AB833" s="145"/>
      <c r="AC833" s="145"/>
      <c r="AD833" s="147"/>
      <c r="AE833" s="148" t="s">
        <v>1017</v>
      </c>
      <c r="AF833" s="147"/>
      <c r="AG833" s="147"/>
      <c r="AH833" s="166" t="str">
        <f t="shared" si="345"/>
        <v/>
      </c>
      <c r="AI833" s="168" t="str">
        <f t="shared" si="340"/>
        <v/>
      </c>
      <c r="AJ833" s="168" t="str">
        <f t="shared" si="341"/>
        <v/>
      </c>
      <c r="AK833" s="168" t="str">
        <f t="shared" si="342"/>
        <v/>
      </c>
      <c r="AL833" s="168" t="str">
        <f t="shared" si="343"/>
        <v/>
      </c>
      <c r="AM833" s="168" t="str">
        <f t="shared" si="344"/>
        <v/>
      </c>
      <c r="AN833" s="167" t="str">
        <f t="shared" si="327"/>
        <v/>
      </c>
      <c r="AO833" s="167" t="str">
        <f t="shared" si="328"/>
        <v/>
      </c>
      <c r="AP833" s="167" t="str">
        <f t="shared" si="329"/>
        <v/>
      </c>
      <c r="AQ833" s="169" t="str">
        <f t="shared" si="330"/>
        <v/>
      </c>
      <c r="AR833" s="170" t="str">
        <f t="shared" si="331"/>
        <v>BiK81M1bKA3-05</v>
      </c>
      <c r="AS833" s="169" t="str">
        <f t="shared" si="332"/>
        <v/>
      </c>
      <c r="AT833">
        <f t="shared" si="333"/>
        <v>14</v>
      </c>
      <c r="AU833" s="170" t="str">
        <f t="shared" si="334"/>
        <v>0-0,15 MW, Bonusregeln M1, b und K wenn Anlage 3 erfüllt</v>
      </c>
      <c r="AV833" s="169" t="str">
        <f t="shared" si="335"/>
        <v/>
      </c>
      <c r="AW833" s="170" t="str">
        <f t="shared" si="336"/>
        <v>Anteil KWK gemäß Anlage 3</v>
      </c>
      <c r="AX833" s="169" t="str">
        <f t="shared" si="337"/>
        <v/>
      </c>
      <c r="AY833" t="str">
        <f t="shared" si="338"/>
        <v/>
      </c>
      <c r="AZ833" t="str">
        <f t="shared" si="339"/>
        <v/>
      </c>
    </row>
    <row r="834" spans="1:52" x14ac:dyDescent="0.35">
      <c r="A834" s="497" t="s">
        <v>2437</v>
      </c>
      <c r="B834" s="13" t="s">
        <v>5547</v>
      </c>
      <c r="C834" s="13" t="s">
        <v>1288</v>
      </c>
      <c r="D834" s="13" t="s">
        <v>6947</v>
      </c>
      <c r="E834" s="13" t="s">
        <v>674</v>
      </c>
      <c r="F834" s="373">
        <f t="shared" si="346"/>
        <v>27.67</v>
      </c>
      <c r="G834" s="430">
        <v>27.67</v>
      </c>
      <c r="H834" s="399">
        <f t="shared" si="347"/>
        <v>22.14</v>
      </c>
      <c r="I834" s="576"/>
      <c r="J834" s="549" t="s">
        <v>5804</v>
      </c>
      <c r="K834" s="11"/>
      <c r="M834" s="37">
        <f t="shared" si="348"/>
        <v>27.67</v>
      </c>
      <c r="N834" s="29">
        <v>11.67</v>
      </c>
      <c r="O834" s="149"/>
      <c r="P834" s="144"/>
      <c r="Q834" s="145" t="s">
        <v>1017</v>
      </c>
      <c r="R834" s="145"/>
      <c r="S834" s="145" t="s">
        <v>4179</v>
      </c>
      <c r="T834" t="s">
        <v>4179</v>
      </c>
      <c r="U834" s="146"/>
      <c r="V834" s="145"/>
      <c r="W834" s="147"/>
      <c r="X834" s="147"/>
      <c r="Y834" s="145"/>
      <c r="Z834" s="145" t="s">
        <v>1017</v>
      </c>
      <c r="AA834" s="147"/>
      <c r="AB834" s="145"/>
      <c r="AC834" s="145"/>
      <c r="AD834" s="147"/>
      <c r="AE834" s="148" t="s">
        <v>1017</v>
      </c>
      <c r="AF834" s="147"/>
      <c r="AG834" s="147"/>
      <c r="AH834" s="166" t="str">
        <f t="shared" si="345"/>
        <v/>
      </c>
      <c r="AI834" s="168" t="str">
        <f t="shared" si="340"/>
        <v/>
      </c>
      <c r="AJ834" s="168" t="str">
        <f t="shared" si="341"/>
        <v/>
      </c>
      <c r="AK834" s="168" t="str">
        <f t="shared" si="342"/>
        <v/>
      </c>
      <c r="AL834" s="168" t="str">
        <f t="shared" si="343"/>
        <v/>
      </c>
      <c r="AM834" s="168" t="str">
        <f t="shared" si="344"/>
        <v/>
      </c>
      <c r="AN834" s="167" t="str">
        <f t="shared" si="327"/>
        <v/>
      </c>
      <c r="AO834" s="167" t="str">
        <f t="shared" si="328"/>
        <v/>
      </c>
      <c r="AP834" s="167" t="str">
        <f t="shared" si="329"/>
        <v/>
      </c>
      <c r="AQ834" s="169" t="str">
        <f t="shared" si="330"/>
        <v/>
      </c>
      <c r="AR834" s="170" t="str">
        <f t="shared" si="331"/>
        <v>BiK81M1bK09-05</v>
      </c>
      <c r="AS834" s="169" t="str">
        <f t="shared" si="332"/>
        <v/>
      </c>
      <c r="AT834">
        <f t="shared" si="333"/>
        <v>14</v>
      </c>
      <c r="AU834" s="170" t="str">
        <f t="shared" si="334"/>
        <v>0-0,15 MW, Bonusregeln M1, b und K erstmals 2009</v>
      </c>
      <c r="AV834" s="169" t="str">
        <f t="shared" si="335"/>
        <v/>
      </c>
      <c r="AW834" s="170" t="str">
        <f t="shared" si="336"/>
        <v>Anteil KWK, erstmals 2009</v>
      </c>
      <c r="AX834" s="169" t="str">
        <f t="shared" si="337"/>
        <v/>
      </c>
      <c r="AY834" t="str">
        <f t="shared" si="338"/>
        <v/>
      </c>
      <c r="AZ834" t="str">
        <f t="shared" si="339"/>
        <v/>
      </c>
    </row>
    <row r="835" spans="1:52" x14ac:dyDescent="0.35">
      <c r="A835" s="497" t="s">
        <v>3585</v>
      </c>
      <c r="B835" s="13" t="s">
        <v>5547</v>
      </c>
      <c r="C835" s="13" t="s">
        <v>1288</v>
      </c>
      <c r="D835" s="13" t="s">
        <v>6948</v>
      </c>
      <c r="E835" s="13" t="s">
        <v>3566</v>
      </c>
      <c r="F835" s="373">
        <f t="shared" si="346"/>
        <v>27.64</v>
      </c>
      <c r="G835" s="430">
        <v>27.64</v>
      </c>
      <c r="H835" s="399">
        <f t="shared" si="347"/>
        <v>22.11</v>
      </c>
      <c r="I835" s="576"/>
      <c r="J835" s="549" t="s">
        <v>5804</v>
      </c>
      <c r="K835" s="11"/>
      <c r="M835" s="37">
        <f t="shared" si="348"/>
        <v>27.64</v>
      </c>
      <c r="N835" s="29">
        <v>11.67</v>
      </c>
      <c r="O835" s="149"/>
      <c r="P835" s="144"/>
      <c r="Q835" s="145"/>
      <c r="R835" s="145" t="s">
        <v>1017</v>
      </c>
      <c r="S835" s="145" t="s">
        <v>4179</v>
      </c>
      <c r="T835" t="s">
        <v>4179</v>
      </c>
      <c r="U835" s="146"/>
      <c r="V835" s="145"/>
      <c r="W835" s="147"/>
      <c r="X835" s="147"/>
      <c r="Y835" s="145"/>
      <c r="Z835" s="145" t="s">
        <v>1017</v>
      </c>
      <c r="AA835" s="147"/>
      <c r="AB835" s="145"/>
      <c r="AC835" s="145"/>
      <c r="AD835" s="147"/>
      <c r="AE835" s="148" t="s">
        <v>1017</v>
      </c>
      <c r="AF835" s="147"/>
      <c r="AG835" s="147"/>
      <c r="AH835" s="166" t="str">
        <f t="shared" si="345"/>
        <v>2010</v>
      </c>
      <c r="AI835" s="168" t="str">
        <f t="shared" si="340"/>
        <v/>
      </c>
      <c r="AJ835" s="168" t="str">
        <f t="shared" si="341"/>
        <v/>
      </c>
      <c r="AK835" s="168" t="str">
        <f t="shared" si="342"/>
        <v/>
      </c>
      <c r="AL835" s="168" t="str">
        <f t="shared" si="343"/>
        <v/>
      </c>
      <c r="AM835" s="168" t="str">
        <f t="shared" si="344"/>
        <v/>
      </c>
      <c r="AN835" s="167" t="str">
        <f t="shared" si="327"/>
        <v>2010</v>
      </c>
      <c r="AO835" s="167" t="str">
        <f t="shared" si="328"/>
        <v>2010</v>
      </c>
      <c r="AP835" s="167" t="str">
        <f t="shared" si="329"/>
        <v>2010</v>
      </c>
      <c r="AQ835" s="169" t="str">
        <f t="shared" si="330"/>
        <v/>
      </c>
      <c r="AR835" s="170" t="str">
        <f t="shared" si="331"/>
        <v>BiK81M1bK10-05</v>
      </c>
      <c r="AS835" s="169" t="str">
        <f t="shared" si="332"/>
        <v/>
      </c>
      <c r="AT835">
        <f t="shared" si="333"/>
        <v>14</v>
      </c>
      <c r="AU835" s="170" t="str">
        <f t="shared" si="334"/>
        <v>0-0,15 MW, Bonusregeln M1, b und K erstmals 2010</v>
      </c>
      <c r="AV835" s="169" t="str">
        <f t="shared" si="335"/>
        <v/>
      </c>
      <c r="AW835" s="170" t="str">
        <f t="shared" si="336"/>
        <v>Anteil KWK, erstmals 2010</v>
      </c>
      <c r="AX835" s="169" t="str">
        <f t="shared" si="337"/>
        <v/>
      </c>
      <c r="AY835" t="str">
        <f t="shared" si="338"/>
        <v/>
      </c>
      <c r="AZ835" t="str">
        <f t="shared" si="339"/>
        <v/>
      </c>
    </row>
    <row r="836" spans="1:52" x14ac:dyDescent="0.35">
      <c r="A836" s="497" t="s">
        <v>5316</v>
      </c>
      <c r="B836" s="13" t="s">
        <v>5547</v>
      </c>
      <c r="C836" s="13" t="s">
        <v>1288</v>
      </c>
      <c r="D836" s="13" t="s">
        <v>6949</v>
      </c>
      <c r="E836" s="13" t="s">
        <v>3054</v>
      </c>
      <c r="F836" s="373">
        <f t="shared" si="346"/>
        <v>27.61</v>
      </c>
      <c r="G836" s="430">
        <v>27.61</v>
      </c>
      <c r="H836" s="399">
        <f t="shared" si="347"/>
        <v>22.09</v>
      </c>
      <c r="I836" s="576"/>
      <c r="J836" s="549" t="s">
        <v>5804</v>
      </c>
      <c r="K836" s="11"/>
      <c r="M836" s="37">
        <f t="shared" si="348"/>
        <v>27.61</v>
      </c>
      <c r="N836" s="29">
        <v>11.67</v>
      </c>
      <c r="O836" s="149"/>
      <c r="P836" s="144"/>
      <c r="Q836" s="145"/>
      <c r="R836" s="145"/>
      <c r="S836" s="145" t="s">
        <v>1017</v>
      </c>
      <c r="T836" t="s">
        <v>4179</v>
      </c>
      <c r="U836" s="146"/>
      <c r="V836" s="145"/>
      <c r="W836" s="147"/>
      <c r="X836" s="147"/>
      <c r="Y836" s="145"/>
      <c r="Z836" s="145" t="s">
        <v>1017</v>
      </c>
      <c r="AA836" s="147"/>
      <c r="AB836" s="145"/>
      <c r="AC836" s="145"/>
      <c r="AD836" s="147"/>
      <c r="AE836" s="148" t="s">
        <v>1017</v>
      </c>
      <c r="AF836" s="147"/>
      <c r="AG836" s="147"/>
      <c r="AH836" s="166" t="str">
        <f t="shared" si="345"/>
        <v>2011</v>
      </c>
      <c r="AI836" s="168" t="str">
        <f t="shared" si="340"/>
        <v/>
      </c>
      <c r="AJ836" s="168" t="str">
        <f t="shared" si="341"/>
        <v/>
      </c>
      <c r="AK836" s="168" t="str">
        <f t="shared" si="342"/>
        <v/>
      </c>
      <c r="AL836" s="168" t="str">
        <f t="shared" si="343"/>
        <v/>
      </c>
      <c r="AM836" s="168" t="str">
        <f t="shared" si="344"/>
        <v/>
      </c>
      <c r="AN836" s="167" t="str">
        <f t="shared" si="327"/>
        <v>2011</v>
      </c>
      <c r="AO836" s="167" t="str">
        <f t="shared" si="328"/>
        <v>2011</v>
      </c>
      <c r="AP836" s="167" t="str">
        <f t="shared" si="329"/>
        <v>2011</v>
      </c>
      <c r="AQ836" s="169" t="str">
        <f t="shared" si="330"/>
        <v/>
      </c>
      <c r="AR836" s="170" t="str">
        <f t="shared" si="331"/>
        <v>BiK81M1bK11-05</v>
      </c>
      <c r="AS836" s="169" t="str">
        <f t="shared" si="332"/>
        <v/>
      </c>
      <c r="AT836">
        <f t="shared" si="333"/>
        <v>14</v>
      </c>
      <c r="AU836" s="170" t="str">
        <f t="shared" si="334"/>
        <v>0-0,15 MW, Bonusregeln M1, b und K erstmals 2011</v>
      </c>
      <c r="AV836" s="169" t="str">
        <f t="shared" si="335"/>
        <v/>
      </c>
      <c r="AW836" s="170" t="str">
        <f t="shared" si="336"/>
        <v>Anteil KWK, erstmals 2011</v>
      </c>
      <c r="AX836" s="169" t="str">
        <f t="shared" si="337"/>
        <v/>
      </c>
      <c r="AY836" t="str">
        <f t="shared" si="338"/>
        <v>x</v>
      </c>
      <c r="AZ836" t="str">
        <f t="shared" si="339"/>
        <v/>
      </c>
    </row>
    <row r="837" spans="1:52" x14ac:dyDescent="0.35">
      <c r="A837" s="511" t="s">
        <v>1567</v>
      </c>
      <c r="B837" s="173" t="s">
        <v>5547</v>
      </c>
      <c r="C837" s="173" t="s">
        <v>1288</v>
      </c>
      <c r="D837" s="173" t="s">
        <v>6950</v>
      </c>
      <c r="E837" s="173" t="s">
        <v>1980</v>
      </c>
      <c r="F837" s="374">
        <f t="shared" si="346"/>
        <v>27.58</v>
      </c>
      <c r="G837" s="431">
        <v>27.58</v>
      </c>
      <c r="H837" s="400">
        <f t="shared" si="347"/>
        <v>22.06</v>
      </c>
      <c r="I837" s="577"/>
      <c r="J837" s="549" t="s">
        <v>5804</v>
      </c>
      <c r="K837" s="11"/>
      <c r="M837" s="37">
        <f t="shared" si="348"/>
        <v>27.58</v>
      </c>
      <c r="N837" s="29">
        <v>11.67</v>
      </c>
      <c r="O837" s="149"/>
      <c r="P837" s="144"/>
      <c r="Q837" s="145"/>
      <c r="R837" s="145"/>
      <c r="S837" s="145" t="s">
        <v>4179</v>
      </c>
      <c r="T837" t="s">
        <v>1017</v>
      </c>
      <c r="U837" s="146"/>
      <c r="V837" s="145"/>
      <c r="W837" s="147"/>
      <c r="X837" s="147"/>
      <c r="Y837" s="145"/>
      <c r="Z837" s="145" t="s">
        <v>1017</v>
      </c>
      <c r="AA837" s="147"/>
      <c r="AB837" s="145"/>
      <c r="AC837" s="145"/>
      <c r="AD837" s="147"/>
      <c r="AE837" s="148" t="s">
        <v>1017</v>
      </c>
      <c r="AF837" s="147"/>
      <c r="AG837" s="147"/>
      <c r="AH837" s="171" t="s">
        <v>4178</v>
      </c>
      <c r="AI837" s="168" t="str">
        <f t="shared" si="340"/>
        <v/>
      </c>
      <c r="AJ837" s="168" t="str">
        <f t="shared" si="341"/>
        <v/>
      </c>
      <c r="AK837" s="168" t="str">
        <f t="shared" si="342"/>
        <v/>
      </c>
      <c r="AL837" s="168" t="str">
        <f t="shared" si="343"/>
        <v/>
      </c>
      <c r="AM837" s="168" t="str">
        <f t="shared" si="344"/>
        <v/>
      </c>
      <c r="AN837" s="167" t="str">
        <f t="shared" si="327"/>
        <v>2012</v>
      </c>
      <c r="AO837" s="167" t="str">
        <f t="shared" si="328"/>
        <v>2012</v>
      </c>
      <c r="AP837" s="167" t="str">
        <f t="shared" si="329"/>
        <v>2012</v>
      </c>
      <c r="AQ837" s="169" t="str">
        <f t="shared" si="330"/>
        <v/>
      </c>
      <c r="AR837" s="170" t="str">
        <f t="shared" si="331"/>
        <v>BiK81M1bK12-05</v>
      </c>
      <c r="AS837" s="169" t="str">
        <f t="shared" si="332"/>
        <v/>
      </c>
      <c r="AT837">
        <f t="shared" si="333"/>
        <v>14</v>
      </c>
      <c r="AU837" s="170" t="str">
        <f t="shared" si="334"/>
        <v>0-0,15 MW, Bonusregeln M1, b und K erstmals 2012</v>
      </c>
      <c r="AV837" s="169" t="str">
        <f t="shared" si="335"/>
        <v/>
      </c>
      <c r="AW837" s="170" t="str">
        <f t="shared" si="336"/>
        <v>Anteil KWK, erstmals 2012</v>
      </c>
      <c r="AX837" s="169" t="str">
        <f t="shared" si="337"/>
        <v/>
      </c>
      <c r="AY837" t="str">
        <f t="shared" si="338"/>
        <v/>
      </c>
      <c r="AZ837" t="str">
        <f t="shared" si="339"/>
        <v>x</v>
      </c>
    </row>
    <row r="838" spans="1:52" x14ac:dyDescent="0.35">
      <c r="A838" s="497" t="s">
        <v>2438</v>
      </c>
      <c r="B838" s="13" t="s">
        <v>5547</v>
      </c>
      <c r="C838" s="13" t="s">
        <v>1288</v>
      </c>
      <c r="D838" s="13" t="s">
        <v>6951</v>
      </c>
      <c r="E838" s="13" t="s">
        <v>4809</v>
      </c>
      <c r="F838" s="373">
        <f t="shared" si="346"/>
        <v>25.67</v>
      </c>
      <c r="G838" s="430">
        <v>25.67</v>
      </c>
      <c r="H838" s="399">
        <f t="shared" si="347"/>
        <v>20.54</v>
      </c>
      <c r="I838" s="576"/>
      <c r="J838" s="549" t="s">
        <v>5804</v>
      </c>
      <c r="K838" s="11"/>
      <c r="M838" s="37">
        <f t="shared" si="348"/>
        <v>25.67</v>
      </c>
      <c r="N838" s="29">
        <v>11.67</v>
      </c>
      <c r="O838" s="149"/>
      <c r="P838" s="144"/>
      <c r="Q838" s="145"/>
      <c r="R838" s="145"/>
      <c r="S838" s="145" t="s">
        <v>4179</v>
      </c>
      <c r="T838" t="s">
        <v>4179</v>
      </c>
      <c r="U838" s="146" t="s">
        <v>1017</v>
      </c>
      <c r="V838" s="145"/>
      <c r="W838" s="147"/>
      <c r="X838" s="147"/>
      <c r="Y838" s="145"/>
      <c r="Z838" s="145" t="s">
        <v>1017</v>
      </c>
      <c r="AA838" s="147"/>
      <c r="AB838" s="145"/>
      <c r="AC838" s="145"/>
      <c r="AD838" s="147"/>
      <c r="AE838" s="148" t="s">
        <v>1017</v>
      </c>
      <c r="AF838" s="147"/>
      <c r="AG838" s="147"/>
      <c r="AH838" s="166" t="str">
        <f t="shared" ref="AH838:AH843" si="349">IF(ISERROR(SEARCH("K erstmals 201",D838)),"",RIGHT(D838,4))</f>
        <v/>
      </c>
      <c r="AI838" s="168" t="str">
        <f t="shared" si="340"/>
        <v/>
      </c>
      <c r="AJ838" s="168" t="str">
        <f t="shared" si="341"/>
        <v/>
      </c>
      <c r="AK838" s="168" t="str">
        <f t="shared" si="342"/>
        <v/>
      </c>
      <c r="AL838" s="168" t="str">
        <f t="shared" si="343"/>
        <v/>
      </c>
      <c r="AM838" s="168" t="str">
        <f t="shared" si="344"/>
        <v/>
      </c>
      <c r="AN838" s="167" t="str">
        <f t="shared" si="327"/>
        <v/>
      </c>
      <c r="AO838" s="167" t="str">
        <f t="shared" si="328"/>
        <v/>
      </c>
      <c r="AP838" s="167" t="str">
        <f t="shared" si="329"/>
        <v/>
      </c>
      <c r="AQ838" s="169" t="str">
        <f t="shared" si="330"/>
        <v/>
      </c>
      <c r="AR838" s="170" t="str">
        <f t="shared" si="331"/>
        <v>BiK81M1by---05</v>
      </c>
      <c r="AS838" s="169" t="str">
        <f t="shared" si="332"/>
        <v/>
      </c>
      <c r="AT838">
        <f t="shared" si="333"/>
        <v>14</v>
      </c>
      <c r="AU838" s="170" t="str">
        <f t="shared" si="334"/>
        <v>0-0,15 MW, Bonusregeln M1, y, b</v>
      </c>
      <c r="AV838" s="169" t="str">
        <f t="shared" si="335"/>
        <v/>
      </c>
      <c r="AW838" s="170" t="str">
        <f t="shared" si="336"/>
        <v>Anteil Nicht-KWK</v>
      </c>
      <c r="AX838" s="169" t="str">
        <f t="shared" si="337"/>
        <v/>
      </c>
      <c r="AY838" t="str">
        <f t="shared" si="338"/>
        <v/>
      </c>
      <c r="AZ838" t="str">
        <f t="shared" si="339"/>
        <v/>
      </c>
    </row>
    <row r="839" spans="1:52" x14ac:dyDescent="0.35">
      <c r="A839" s="497" t="s">
        <v>2439</v>
      </c>
      <c r="B839" s="13" t="s">
        <v>5547</v>
      </c>
      <c r="C839" s="13" t="s">
        <v>1288</v>
      </c>
      <c r="D839" s="13" t="s">
        <v>6952</v>
      </c>
      <c r="E839" s="13" t="s">
        <v>4811</v>
      </c>
      <c r="F839" s="373">
        <f t="shared" si="346"/>
        <v>27.67</v>
      </c>
      <c r="G839" s="430">
        <v>27.67</v>
      </c>
      <c r="H839" s="399">
        <f t="shared" si="347"/>
        <v>22.14</v>
      </c>
      <c r="I839" s="576"/>
      <c r="J839" s="549" t="s">
        <v>5804</v>
      </c>
      <c r="K839" s="11"/>
      <c r="M839" s="37">
        <f t="shared" si="348"/>
        <v>27.67</v>
      </c>
      <c r="N839" s="29">
        <v>11.67</v>
      </c>
      <c r="O839" s="149" t="s">
        <v>1017</v>
      </c>
      <c r="P839" s="144"/>
      <c r="Q839" s="145"/>
      <c r="R839" s="145"/>
      <c r="S839" s="145" t="s">
        <v>4179</v>
      </c>
      <c r="T839" t="s">
        <v>4179</v>
      </c>
      <c r="U839" s="146" t="s">
        <v>1017</v>
      </c>
      <c r="V839" s="145"/>
      <c r="W839" s="147"/>
      <c r="X839" s="147"/>
      <c r="Y839" s="145"/>
      <c r="Z839" s="145" t="s">
        <v>1017</v>
      </c>
      <c r="AA839" s="147"/>
      <c r="AB839" s="145"/>
      <c r="AC839" s="145"/>
      <c r="AD839" s="147"/>
      <c r="AE839" s="148" t="s">
        <v>1017</v>
      </c>
      <c r="AF839" s="147"/>
      <c r="AG839" s="147"/>
      <c r="AH839" s="166" t="str">
        <f t="shared" si="349"/>
        <v/>
      </c>
      <c r="AI839" s="168" t="str">
        <f t="shared" si="340"/>
        <v/>
      </c>
      <c r="AJ839" s="168" t="str">
        <f t="shared" si="341"/>
        <v/>
      </c>
      <c r="AK839" s="168" t="str">
        <f t="shared" si="342"/>
        <v/>
      </c>
      <c r="AL839" s="168" t="str">
        <f t="shared" si="343"/>
        <v/>
      </c>
      <c r="AM839" s="168" t="str">
        <f t="shared" si="344"/>
        <v/>
      </c>
      <c r="AN839" s="167" t="str">
        <f t="shared" si="327"/>
        <v/>
      </c>
      <c r="AO839" s="167" t="str">
        <f t="shared" si="328"/>
        <v/>
      </c>
      <c r="AP839" s="167" t="str">
        <f t="shared" si="329"/>
        <v/>
      </c>
      <c r="AQ839" s="169" t="str">
        <f t="shared" si="330"/>
        <v/>
      </c>
      <c r="AR839" s="170" t="str">
        <f t="shared" si="331"/>
        <v>BiK81M1bKWKy05</v>
      </c>
      <c r="AS839" s="169" t="str">
        <f t="shared" si="332"/>
        <v/>
      </c>
      <c r="AT839">
        <f t="shared" si="333"/>
        <v>14</v>
      </c>
      <c r="AU839" s="170" t="str">
        <f t="shared" si="334"/>
        <v>0-0,15 MW, Bonusregeln M1, y, b und KWK</v>
      </c>
      <c r="AV839" s="169" t="str">
        <f t="shared" si="335"/>
        <v/>
      </c>
      <c r="AW839" s="170" t="str">
        <f t="shared" si="336"/>
        <v>Anteil KWK</v>
      </c>
      <c r="AX839" s="169" t="str">
        <f t="shared" si="337"/>
        <v/>
      </c>
      <c r="AY839" t="str">
        <f t="shared" si="338"/>
        <v/>
      </c>
      <c r="AZ839" t="str">
        <f t="shared" si="339"/>
        <v/>
      </c>
    </row>
    <row r="840" spans="1:52" x14ac:dyDescent="0.35">
      <c r="A840" s="497" t="s">
        <v>2440</v>
      </c>
      <c r="B840" s="13" t="s">
        <v>5547</v>
      </c>
      <c r="C840" s="13" t="s">
        <v>1288</v>
      </c>
      <c r="D840" s="88" t="s">
        <v>6953</v>
      </c>
      <c r="E840" s="13" t="s">
        <v>4330</v>
      </c>
      <c r="F840" s="373">
        <f t="shared" si="346"/>
        <v>28.67</v>
      </c>
      <c r="G840" s="430">
        <v>28.67</v>
      </c>
      <c r="H840" s="399">
        <f t="shared" si="347"/>
        <v>22.94</v>
      </c>
      <c r="I840" s="576"/>
      <c r="J840" s="549" t="s">
        <v>5804</v>
      </c>
      <c r="K840" s="11"/>
      <c r="M840" s="37">
        <f t="shared" si="348"/>
        <v>28.67</v>
      </c>
      <c r="N840" s="29">
        <v>11.67</v>
      </c>
      <c r="O840" s="149"/>
      <c r="P840" s="145" t="s">
        <v>1017</v>
      </c>
      <c r="Q840" s="145"/>
      <c r="R840" s="145"/>
      <c r="S840" s="145" t="s">
        <v>4179</v>
      </c>
      <c r="T840" t="s">
        <v>4179</v>
      </c>
      <c r="U840" s="146" t="s">
        <v>1017</v>
      </c>
      <c r="V840" s="145"/>
      <c r="W840" s="147"/>
      <c r="X840" s="147"/>
      <c r="Y840" s="145"/>
      <c r="Z840" s="145" t="s">
        <v>1017</v>
      </c>
      <c r="AA840" s="147"/>
      <c r="AB840" s="145"/>
      <c r="AC840" s="145"/>
      <c r="AD840" s="147"/>
      <c r="AE840" s="148" t="s">
        <v>1017</v>
      </c>
      <c r="AF840" s="147"/>
      <c r="AG840" s="147"/>
      <c r="AH840" s="166" t="str">
        <f t="shared" si="349"/>
        <v/>
      </c>
      <c r="AI840" s="168" t="str">
        <f t="shared" si="340"/>
        <v/>
      </c>
      <c r="AJ840" s="168" t="str">
        <f t="shared" si="341"/>
        <v/>
      </c>
      <c r="AK840" s="168" t="str">
        <f t="shared" si="342"/>
        <v/>
      </c>
      <c r="AL840" s="168" t="str">
        <f t="shared" si="343"/>
        <v/>
      </c>
      <c r="AM840" s="168" t="str">
        <f t="shared" si="344"/>
        <v/>
      </c>
      <c r="AN840" s="167" t="str">
        <f t="shared" si="327"/>
        <v/>
      </c>
      <c r="AO840" s="167" t="str">
        <f t="shared" si="328"/>
        <v/>
      </c>
      <c r="AP840" s="167" t="str">
        <f t="shared" si="329"/>
        <v/>
      </c>
      <c r="AQ840" s="169" t="str">
        <f t="shared" si="330"/>
        <v/>
      </c>
      <c r="AR840" s="170" t="str">
        <f t="shared" si="331"/>
        <v>BiK81M1bKA3y05</v>
      </c>
      <c r="AS840" s="169" t="str">
        <f t="shared" si="332"/>
        <v/>
      </c>
      <c r="AT840">
        <f t="shared" si="333"/>
        <v>14</v>
      </c>
      <c r="AU840" s="170" t="str">
        <f t="shared" si="334"/>
        <v>0-0,15 MW, Bonusregeln M1, y, b und K wenn Anlage 3 erfüllt</v>
      </c>
      <c r="AV840" s="169" t="str">
        <f t="shared" si="335"/>
        <v/>
      </c>
      <c r="AW840" s="170" t="str">
        <f t="shared" si="336"/>
        <v>Anteil KWK gemäß Anlage 3</v>
      </c>
      <c r="AX840" s="169" t="str">
        <f t="shared" si="337"/>
        <v/>
      </c>
      <c r="AY840" t="str">
        <f t="shared" si="338"/>
        <v/>
      </c>
      <c r="AZ840" t="str">
        <f t="shared" si="339"/>
        <v/>
      </c>
    </row>
    <row r="841" spans="1:52" x14ac:dyDescent="0.35">
      <c r="A841" s="497" t="s">
        <v>2441</v>
      </c>
      <c r="B841" s="13" t="s">
        <v>5547</v>
      </c>
      <c r="C841" s="13" t="s">
        <v>1288</v>
      </c>
      <c r="D841" s="13" t="s">
        <v>6954</v>
      </c>
      <c r="E841" s="13" t="s">
        <v>674</v>
      </c>
      <c r="F841" s="373">
        <f t="shared" si="346"/>
        <v>28.67</v>
      </c>
      <c r="G841" s="430">
        <v>28.67</v>
      </c>
      <c r="H841" s="399">
        <f t="shared" si="347"/>
        <v>22.94</v>
      </c>
      <c r="I841" s="576"/>
      <c r="J841" s="549" t="s">
        <v>5804</v>
      </c>
      <c r="K841" s="11"/>
      <c r="M841" s="37">
        <f t="shared" si="348"/>
        <v>28.67</v>
      </c>
      <c r="N841" s="29">
        <v>11.67</v>
      </c>
      <c r="O841" s="149"/>
      <c r="P841" s="144"/>
      <c r="Q841" s="145" t="s">
        <v>1017</v>
      </c>
      <c r="R841" s="145"/>
      <c r="S841" s="145" t="s">
        <v>4179</v>
      </c>
      <c r="T841" t="s">
        <v>4179</v>
      </c>
      <c r="U841" s="146" t="s">
        <v>1017</v>
      </c>
      <c r="V841" s="145"/>
      <c r="W841" s="147"/>
      <c r="X841" s="147"/>
      <c r="Y841" s="145"/>
      <c r="Z841" s="145" t="s">
        <v>1017</v>
      </c>
      <c r="AA841" s="147"/>
      <c r="AB841" s="145"/>
      <c r="AC841" s="145"/>
      <c r="AD841" s="147"/>
      <c r="AE841" s="148" t="s">
        <v>1017</v>
      </c>
      <c r="AF841" s="147"/>
      <c r="AG841" s="147"/>
      <c r="AH841" s="166" t="str">
        <f t="shared" si="349"/>
        <v/>
      </c>
      <c r="AI841" s="168" t="str">
        <f t="shared" si="340"/>
        <v/>
      </c>
      <c r="AJ841" s="168" t="str">
        <f t="shared" si="341"/>
        <v/>
      </c>
      <c r="AK841" s="168" t="str">
        <f t="shared" si="342"/>
        <v/>
      </c>
      <c r="AL841" s="168" t="str">
        <f t="shared" si="343"/>
        <v/>
      </c>
      <c r="AM841" s="168" t="str">
        <f t="shared" si="344"/>
        <v/>
      </c>
      <c r="AN841" s="167" t="str">
        <f t="shared" si="327"/>
        <v/>
      </c>
      <c r="AO841" s="167" t="str">
        <f t="shared" si="328"/>
        <v/>
      </c>
      <c r="AP841" s="167" t="str">
        <f t="shared" si="329"/>
        <v/>
      </c>
      <c r="AQ841" s="169" t="str">
        <f t="shared" si="330"/>
        <v/>
      </c>
      <c r="AR841" s="170" t="str">
        <f t="shared" si="331"/>
        <v>BiK81M1bK09y05</v>
      </c>
      <c r="AS841" s="169" t="str">
        <f t="shared" si="332"/>
        <v/>
      </c>
      <c r="AT841">
        <f t="shared" si="333"/>
        <v>14</v>
      </c>
      <c r="AU841" s="170" t="str">
        <f t="shared" si="334"/>
        <v>0-0,15 MW, Bonusregeln M1, y, b und K erstmals 2009</v>
      </c>
      <c r="AV841" s="169" t="str">
        <f t="shared" si="335"/>
        <v/>
      </c>
      <c r="AW841" s="170" t="str">
        <f t="shared" si="336"/>
        <v>Anteil KWK, erstmals 2009</v>
      </c>
      <c r="AX841" s="169" t="str">
        <f t="shared" si="337"/>
        <v/>
      </c>
      <c r="AY841" t="str">
        <f t="shared" si="338"/>
        <v/>
      </c>
      <c r="AZ841" t="str">
        <f t="shared" si="339"/>
        <v/>
      </c>
    </row>
    <row r="842" spans="1:52" x14ac:dyDescent="0.35">
      <c r="A842" s="497" t="s">
        <v>3586</v>
      </c>
      <c r="B842" s="13" t="s">
        <v>5547</v>
      </c>
      <c r="C842" s="13" t="s">
        <v>1288</v>
      </c>
      <c r="D842" s="13" t="s">
        <v>6955</v>
      </c>
      <c r="E842" s="13" t="s">
        <v>3566</v>
      </c>
      <c r="F842" s="373">
        <f t="shared" si="346"/>
        <v>28.64</v>
      </c>
      <c r="G842" s="430">
        <v>28.64</v>
      </c>
      <c r="H842" s="399">
        <f t="shared" si="347"/>
        <v>22.91</v>
      </c>
      <c r="I842" s="576"/>
      <c r="J842" s="549" t="s">
        <v>5804</v>
      </c>
      <c r="K842" s="11"/>
      <c r="M842" s="37">
        <f t="shared" si="348"/>
        <v>28.64</v>
      </c>
      <c r="N842" s="29">
        <v>11.67</v>
      </c>
      <c r="O842" s="149"/>
      <c r="P842" s="144"/>
      <c r="Q842" s="145"/>
      <c r="R842" s="145" t="s">
        <v>1017</v>
      </c>
      <c r="S842" s="145" t="s">
        <v>4179</v>
      </c>
      <c r="T842" t="s">
        <v>4179</v>
      </c>
      <c r="U842" s="146" t="s">
        <v>1017</v>
      </c>
      <c r="V842" s="145"/>
      <c r="W842" s="147"/>
      <c r="X842" s="147"/>
      <c r="Y842" s="145"/>
      <c r="Z842" s="145" t="s">
        <v>1017</v>
      </c>
      <c r="AA842" s="147"/>
      <c r="AB842" s="145"/>
      <c r="AC842" s="145"/>
      <c r="AD842" s="147"/>
      <c r="AE842" s="148" t="s">
        <v>1017</v>
      </c>
      <c r="AF842" s="147"/>
      <c r="AG842" s="147"/>
      <c r="AH842" s="166" t="str">
        <f t="shared" si="349"/>
        <v>2010</v>
      </c>
      <c r="AI842" s="168" t="str">
        <f t="shared" si="340"/>
        <v/>
      </c>
      <c r="AJ842" s="168" t="str">
        <f t="shared" si="341"/>
        <v/>
      </c>
      <c r="AK842" s="168" t="str">
        <f t="shared" si="342"/>
        <v/>
      </c>
      <c r="AL842" s="168" t="str">
        <f t="shared" si="343"/>
        <v/>
      </c>
      <c r="AM842" s="168" t="str">
        <f t="shared" si="344"/>
        <v/>
      </c>
      <c r="AN842" s="167" t="str">
        <f t="shared" si="327"/>
        <v>2010</v>
      </c>
      <c r="AO842" s="167" t="str">
        <f t="shared" si="328"/>
        <v>2010</v>
      </c>
      <c r="AP842" s="167" t="str">
        <f t="shared" si="329"/>
        <v>2010</v>
      </c>
      <c r="AQ842" s="169" t="str">
        <f t="shared" si="330"/>
        <v/>
      </c>
      <c r="AR842" s="170" t="str">
        <f t="shared" si="331"/>
        <v>BiK81M1bK10y05</v>
      </c>
      <c r="AS842" s="169" t="str">
        <f t="shared" si="332"/>
        <v/>
      </c>
      <c r="AT842">
        <f t="shared" si="333"/>
        <v>14</v>
      </c>
      <c r="AU842" s="170" t="str">
        <f t="shared" si="334"/>
        <v>0-0,15 MW, Bonusregeln M1, y, b und K erstmals 2010</v>
      </c>
      <c r="AV842" s="169" t="str">
        <f t="shared" si="335"/>
        <v/>
      </c>
      <c r="AW842" s="170" t="str">
        <f t="shared" si="336"/>
        <v>Anteil KWK, erstmals 2010</v>
      </c>
      <c r="AX842" s="169" t="str">
        <f t="shared" si="337"/>
        <v/>
      </c>
      <c r="AY842" t="str">
        <f t="shared" si="338"/>
        <v/>
      </c>
      <c r="AZ842" t="str">
        <f t="shared" si="339"/>
        <v/>
      </c>
    </row>
    <row r="843" spans="1:52" x14ac:dyDescent="0.35">
      <c r="A843" s="497" t="s">
        <v>5317</v>
      </c>
      <c r="B843" s="13" t="s">
        <v>5547</v>
      </c>
      <c r="C843" s="13" t="s">
        <v>1288</v>
      </c>
      <c r="D843" s="13" t="s">
        <v>6956</v>
      </c>
      <c r="E843" s="13" t="s">
        <v>3054</v>
      </c>
      <c r="F843" s="373">
        <f t="shared" si="346"/>
        <v>28.61</v>
      </c>
      <c r="G843" s="430">
        <v>28.61</v>
      </c>
      <c r="H843" s="399">
        <f t="shared" si="347"/>
        <v>22.89</v>
      </c>
      <c r="I843" s="576"/>
      <c r="J843" s="549" t="s">
        <v>5804</v>
      </c>
      <c r="K843" s="11"/>
      <c r="M843" s="37">
        <f t="shared" si="348"/>
        <v>28.61</v>
      </c>
      <c r="N843" s="29">
        <v>11.67</v>
      </c>
      <c r="O843" s="149"/>
      <c r="P843" s="144"/>
      <c r="Q843" s="145"/>
      <c r="R843" s="145"/>
      <c r="S843" s="145" t="s">
        <v>1017</v>
      </c>
      <c r="T843" t="s">
        <v>4179</v>
      </c>
      <c r="U843" s="146" t="s">
        <v>1017</v>
      </c>
      <c r="V843" s="145"/>
      <c r="W843" s="147"/>
      <c r="X843" s="147"/>
      <c r="Y843" s="145"/>
      <c r="Z843" s="145" t="s">
        <v>1017</v>
      </c>
      <c r="AA843" s="147"/>
      <c r="AB843" s="145"/>
      <c r="AC843" s="145"/>
      <c r="AD843" s="147"/>
      <c r="AE843" s="148" t="s">
        <v>1017</v>
      </c>
      <c r="AF843" s="147"/>
      <c r="AG843" s="147"/>
      <c r="AH843" s="166" t="str">
        <f t="shared" si="349"/>
        <v>2011</v>
      </c>
      <c r="AI843" s="168" t="str">
        <f t="shared" si="340"/>
        <v/>
      </c>
      <c r="AJ843" s="168" t="str">
        <f t="shared" si="341"/>
        <v/>
      </c>
      <c r="AK843" s="168" t="str">
        <f t="shared" si="342"/>
        <v/>
      </c>
      <c r="AL843" s="168" t="str">
        <f t="shared" si="343"/>
        <v/>
      </c>
      <c r="AM843" s="168" t="str">
        <f t="shared" si="344"/>
        <v/>
      </c>
      <c r="AN843" s="167" t="str">
        <f t="shared" si="327"/>
        <v>2011</v>
      </c>
      <c r="AO843" s="167" t="str">
        <f t="shared" si="328"/>
        <v>2011</v>
      </c>
      <c r="AP843" s="167" t="str">
        <f t="shared" si="329"/>
        <v>2011</v>
      </c>
      <c r="AQ843" s="169" t="str">
        <f t="shared" si="330"/>
        <v/>
      </c>
      <c r="AR843" s="170" t="str">
        <f t="shared" si="331"/>
        <v>BiK81M1bK11y05</v>
      </c>
      <c r="AS843" s="169" t="str">
        <f t="shared" si="332"/>
        <v/>
      </c>
      <c r="AT843">
        <f t="shared" si="333"/>
        <v>14</v>
      </c>
      <c r="AU843" s="170" t="str">
        <f t="shared" si="334"/>
        <v>0-0,15 MW, Bonusregeln M1, y, b und K erstmals 2011</v>
      </c>
      <c r="AV843" s="169" t="str">
        <f t="shared" si="335"/>
        <v/>
      </c>
      <c r="AW843" s="170" t="str">
        <f t="shared" si="336"/>
        <v>Anteil KWK, erstmals 2011</v>
      </c>
      <c r="AX843" s="169" t="str">
        <f t="shared" si="337"/>
        <v/>
      </c>
      <c r="AY843" t="str">
        <f t="shared" si="338"/>
        <v>x</v>
      </c>
      <c r="AZ843" t="str">
        <f t="shared" si="339"/>
        <v/>
      </c>
    </row>
    <row r="844" spans="1:52" x14ac:dyDescent="0.35">
      <c r="A844" s="511" t="s">
        <v>1568</v>
      </c>
      <c r="B844" s="173" t="s">
        <v>5547</v>
      </c>
      <c r="C844" s="173" t="s">
        <v>1288</v>
      </c>
      <c r="D844" s="173" t="s">
        <v>6957</v>
      </c>
      <c r="E844" s="173" t="s">
        <v>1980</v>
      </c>
      <c r="F844" s="374">
        <f t="shared" si="346"/>
        <v>28.58</v>
      </c>
      <c r="G844" s="431">
        <v>28.58</v>
      </c>
      <c r="H844" s="400">
        <f t="shared" si="347"/>
        <v>22.86</v>
      </c>
      <c r="I844" s="577"/>
      <c r="J844" s="549" t="s">
        <v>5804</v>
      </c>
      <c r="K844" s="11"/>
      <c r="M844" s="37">
        <f t="shared" si="348"/>
        <v>28.58</v>
      </c>
      <c r="N844" s="29">
        <v>11.67</v>
      </c>
      <c r="O844" s="149"/>
      <c r="P844" s="144"/>
      <c r="Q844" s="145"/>
      <c r="R844" s="145"/>
      <c r="S844" s="145" t="s">
        <v>4179</v>
      </c>
      <c r="T844" t="s">
        <v>1017</v>
      </c>
      <c r="U844" s="146" t="s">
        <v>1017</v>
      </c>
      <c r="V844" s="145"/>
      <c r="W844" s="147"/>
      <c r="X844" s="147"/>
      <c r="Y844" s="145"/>
      <c r="Z844" s="145" t="s">
        <v>1017</v>
      </c>
      <c r="AA844" s="147"/>
      <c r="AB844" s="145"/>
      <c r="AC844" s="145"/>
      <c r="AD844" s="147"/>
      <c r="AE844" s="148" t="s">
        <v>1017</v>
      </c>
      <c r="AF844" s="147"/>
      <c r="AG844" s="147"/>
      <c r="AH844" s="171" t="s">
        <v>4178</v>
      </c>
      <c r="AI844" s="168" t="str">
        <f t="shared" si="340"/>
        <v/>
      </c>
      <c r="AJ844" s="168" t="str">
        <f t="shared" si="341"/>
        <v/>
      </c>
      <c r="AK844" s="168" t="str">
        <f t="shared" si="342"/>
        <v/>
      </c>
      <c r="AL844" s="168" t="str">
        <f t="shared" si="343"/>
        <v/>
      </c>
      <c r="AM844" s="168" t="str">
        <f t="shared" si="344"/>
        <v/>
      </c>
      <c r="AN844" s="167" t="str">
        <f t="shared" si="327"/>
        <v>2012</v>
      </c>
      <c r="AO844" s="167" t="str">
        <f t="shared" si="328"/>
        <v>2012</v>
      </c>
      <c r="AP844" s="167" t="str">
        <f t="shared" si="329"/>
        <v>2012</v>
      </c>
      <c r="AQ844" s="169" t="str">
        <f t="shared" si="330"/>
        <v/>
      </c>
      <c r="AR844" s="170" t="str">
        <f t="shared" si="331"/>
        <v>BiK81M1bK12y05</v>
      </c>
      <c r="AS844" s="169" t="str">
        <f t="shared" si="332"/>
        <v/>
      </c>
      <c r="AT844">
        <f t="shared" si="333"/>
        <v>14</v>
      </c>
      <c r="AU844" s="170" t="str">
        <f t="shared" si="334"/>
        <v>0-0,15 MW, Bonusregeln M1, y, b und K erstmals 2012</v>
      </c>
      <c r="AV844" s="169" t="str">
        <f t="shared" si="335"/>
        <v/>
      </c>
      <c r="AW844" s="170" t="str">
        <f t="shared" si="336"/>
        <v>Anteil KWK, erstmals 2012</v>
      </c>
      <c r="AX844" s="169" t="str">
        <f t="shared" si="337"/>
        <v/>
      </c>
      <c r="AY844" t="str">
        <f t="shared" si="338"/>
        <v/>
      </c>
      <c r="AZ844" t="str">
        <f t="shared" si="339"/>
        <v>x</v>
      </c>
    </row>
    <row r="845" spans="1:52" x14ac:dyDescent="0.35">
      <c r="A845" s="497" t="s">
        <v>2442</v>
      </c>
      <c r="B845" s="13" t="s">
        <v>5547</v>
      </c>
      <c r="C845" s="13" t="s">
        <v>1288</v>
      </c>
      <c r="D845" s="13" t="s">
        <v>6958</v>
      </c>
      <c r="E845" s="13" t="s">
        <v>4809</v>
      </c>
      <c r="F845" s="373">
        <f t="shared" si="346"/>
        <v>22.67</v>
      </c>
      <c r="G845" s="430">
        <v>22.67</v>
      </c>
      <c r="H845" s="399">
        <f t="shared" si="347"/>
        <v>18.14</v>
      </c>
      <c r="I845" s="576"/>
      <c r="J845" s="549" t="s">
        <v>5804</v>
      </c>
      <c r="K845" s="11"/>
      <c r="M845" s="37">
        <f t="shared" si="348"/>
        <v>22.67</v>
      </c>
      <c r="N845" s="29">
        <v>11.67</v>
      </c>
      <c r="O845" s="149"/>
      <c r="P845" s="144"/>
      <c r="Q845" s="145"/>
      <c r="R845" s="145"/>
      <c r="S845" s="145" t="s">
        <v>4179</v>
      </c>
      <c r="T845" t="s">
        <v>4179</v>
      </c>
      <c r="U845" s="146"/>
      <c r="V845" s="145"/>
      <c r="W845" s="147"/>
      <c r="X845" s="147"/>
      <c r="Y845" s="145"/>
      <c r="Z845" s="145"/>
      <c r="AA845" s="147"/>
      <c r="AB845" s="145" t="s">
        <v>1017</v>
      </c>
      <c r="AC845" s="145"/>
      <c r="AD845" s="147"/>
      <c r="AE845" s="148" t="s">
        <v>1017</v>
      </c>
      <c r="AF845" s="147"/>
      <c r="AG845" s="147"/>
      <c r="AH845" s="166" t="str">
        <f t="shared" ref="AH845:AH850" si="350">IF(ISERROR(SEARCH("K erstmals 201",D845)),"",RIGHT(D845,4))</f>
        <v/>
      </c>
      <c r="AI845" s="168" t="str">
        <f t="shared" si="340"/>
        <v/>
      </c>
      <c r="AJ845" s="168" t="str">
        <f t="shared" si="341"/>
        <v/>
      </c>
      <c r="AK845" s="168" t="str">
        <f t="shared" si="342"/>
        <v/>
      </c>
      <c r="AL845" s="168" t="str">
        <f t="shared" si="343"/>
        <v/>
      </c>
      <c r="AM845" s="168" t="str">
        <f t="shared" si="344"/>
        <v/>
      </c>
      <c r="AN845" s="167" t="str">
        <f t="shared" si="327"/>
        <v/>
      </c>
      <c r="AO845" s="167" t="str">
        <f t="shared" si="328"/>
        <v/>
      </c>
      <c r="AP845" s="167" t="str">
        <f t="shared" si="329"/>
        <v/>
      </c>
      <c r="AQ845" s="169" t="str">
        <f t="shared" si="330"/>
        <v/>
      </c>
      <c r="AR845" s="170" t="str">
        <f t="shared" si="331"/>
        <v>BiK81Lb-----05</v>
      </c>
      <c r="AS845" s="169" t="str">
        <f t="shared" si="332"/>
        <v/>
      </c>
      <c r="AT845">
        <f t="shared" si="333"/>
        <v>14</v>
      </c>
      <c r="AU845" s="170" t="str">
        <f t="shared" si="334"/>
        <v>0-0,15 MW, Bonusregeln L, b</v>
      </c>
      <c r="AV845" s="169" t="str">
        <f t="shared" si="335"/>
        <v/>
      </c>
      <c r="AW845" s="170" t="str">
        <f t="shared" si="336"/>
        <v>Anteil Nicht-KWK</v>
      </c>
      <c r="AX845" s="169" t="str">
        <f t="shared" si="337"/>
        <v/>
      </c>
      <c r="AY845" t="str">
        <f t="shared" si="338"/>
        <v/>
      </c>
      <c r="AZ845" t="str">
        <f t="shared" si="339"/>
        <v/>
      </c>
    </row>
    <row r="846" spans="1:52" x14ac:dyDescent="0.35">
      <c r="A846" s="497" t="s">
        <v>2443</v>
      </c>
      <c r="B846" s="13" t="s">
        <v>5547</v>
      </c>
      <c r="C846" s="13" t="s">
        <v>1288</v>
      </c>
      <c r="D846" s="13" t="s">
        <v>6959</v>
      </c>
      <c r="E846" s="13" t="s">
        <v>4811</v>
      </c>
      <c r="F846" s="373">
        <f t="shared" si="346"/>
        <v>24.67</v>
      </c>
      <c r="G846" s="430">
        <v>24.67</v>
      </c>
      <c r="H846" s="399">
        <f t="shared" si="347"/>
        <v>19.739999999999998</v>
      </c>
      <c r="I846" s="576"/>
      <c r="J846" s="549" t="s">
        <v>5804</v>
      </c>
      <c r="K846" s="11"/>
      <c r="M846" s="37">
        <f t="shared" si="348"/>
        <v>24.67</v>
      </c>
      <c r="N846" s="29">
        <v>11.67</v>
      </c>
      <c r="O846" s="149" t="s">
        <v>1017</v>
      </c>
      <c r="P846" s="144"/>
      <c r="Q846" s="145"/>
      <c r="R846" s="145"/>
      <c r="S846" s="145" t="s">
        <v>4179</v>
      </c>
      <c r="T846" t="s">
        <v>4179</v>
      </c>
      <c r="U846" s="146"/>
      <c r="V846" s="145"/>
      <c r="W846" s="147"/>
      <c r="X846" s="147"/>
      <c r="Y846" s="145"/>
      <c r="Z846" s="145"/>
      <c r="AA846" s="147"/>
      <c r="AB846" s="145" t="s">
        <v>1017</v>
      </c>
      <c r="AC846" s="145"/>
      <c r="AD846" s="147"/>
      <c r="AE846" s="148" t="s">
        <v>1017</v>
      </c>
      <c r="AF846" s="147"/>
      <c r="AG846" s="147"/>
      <c r="AH846" s="166" t="str">
        <f t="shared" si="350"/>
        <v/>
      </c>
      <c r="AI846" s="168" t="str">
        <f t="shared" si="340"/>
        <v/>
      </c>
      <c r="AJ846" s="168" t="str">
        <f t="shared" si="341"/>
        <v/>
      </c>
      <c r="AK846" s="168" t="str">
        <f t="shared" si="342"/>
        <v/>
      </c>
      <c r="AL846" s="168" t="str">
        <f t="shared" si="343"/>
        <v/>
      </c>
      <c r="AM846" s="168" t="str">
        <f t="shared" si="344"/>
        <v/>
      </c>
      <c r="AN846" s="167" t="str">
        <f t="shared" si="327"/>
        <v/>
      </c>
      <c r="AO846" s="167" t="str">
        <f t="shared" si="328"/>
        <v/>
      </c>
      <c r="AP846" s="167" t="str">
        <f t="shared" si="329"/>
        <v/>
      </c>
      <c r="AQ846" s="169" t="str">
        <f t="shared" si="330"/>
        <v/>
      </c>
      <c r="AR846" s="170" t="str">
        <f t="shared" si="331"/>
        <v>BiK81LbKWK--05</v>
      </c>
      <c r="AS846" s="169" t="str">
        <f t="shared" si="332"/>
        <v/>
      </c>
      <c r="AT846">
        <f t="shared" si="333"/>
        <v>14</v>
      </c>
      <c r="AU846" s="170" t="str">
        <f t="shared" si="334"/>
        <v>0-0,15 MW, Bonusregeln L, b und KWK</v>
      </c>
      <c r="AV846" s="169" t="str">
        <f t="shared" si="335"/>
        <v/>
      </c>
      <c r="AW846" s="170" t="str">
        <f t="shared" si="336"/>
        <v>Anteil KWK</v>
      </c>
      <c r="AX846" s="169" t="str">
        <f t="shared" si="337"/>
        <v/>
      </c>
      <c r="AY846" t="str">
        <f t="shared" si="338"/>
        <v/>
      </c>
      <c r="AZ846" t="str">
        <f t="shared" si="339"/>
        <v/>
      </c>
    </row>
    <row r="847" spans="1:52" x14ac:dyDescent="0.35">
      <c r="A847" s="497" t="s">
        <v>2444</v>
      </c>
      <c r="B847" s="13" t="s">
        <v>5547</v>
      </c>
      <c r="C847" s="13" t="s">
        <v>1288</v>
      </c>
      <c r="D847" s="13" t="s">
        <v>6960</v>
      </c>
      <c r="E847" s="13" t="s">
        <v>4330</v>
      </c>
      <c r="F847" s="373">
        <f t="shared" si="346"/>
        <v>25.67</v>
      </c>
      <c r="G847" s="430">
        <v>25.67</v>
      </c>
      <c r="H847" s="399">
        <f t="shared" si="347"/>
        <v>20.54</v>
      </c>
      <c r="I847" s="576"/>
      <c r="J847" s="549" t="s">
        <v>5804</v>
      </c>
      <c r="K847" s="11"/>
      <c r="M847" s="37">
        <f t="shared" si="348"/>
        <v>25.67</v>
      </c>
      <c r="N847" s="29">
        <v>11.67</v>
      </c>
      <c r="O847" s="149"/>
      <c r="P847" s="145" t="s">
        <v>1017</v>
      </c>
      <c r="Q847" s="145"/>
      <c r="R847" s="145"/>
      <c r="S847" s="145" t="s">
        <v>4179</v>
      </c>
      <c r="T847" t="s">
        <v>4179</v>
      </c>
      <c r="U847" s="146"/>
      <c r="V847" s="145"/>
      <c r="W847" s="147"/>
      <c r="X847" s="147"/>
      <c r="Y847" s="145"/>
      <c r="Z847" s="145"/>
      <c r="AA847" s="147"/>
      <c r="AB847" s="145" t="s">
        <v>1017</v>
      </c>
      <c r="AC847" s="145"/>
      <c r="AD847" s="147"/>
      <c r="AE847" s="148" t="s">
        <v>1017</v>
      </c>
      <c r="AF847" s="147"/>
      <c r="AG847" s="147"/>
      <c r="AH847" s="166" t="str">
        <f t="shared" si="350"/>
        <v/>
      </c>
      <c r="AI847" s="168" t="str">
        <f t="shared" si="340"/>
        <v/>
      </c>
      <c r="AJ847" s="168" t="str">
        <f t="shared" si="341"/>
        <v/>
      </c>
      <c r="AK847" s="168" t="str">
        <f t="shared" si="342"/>
        <v/>
      </c>
      <c r="AL847" s="168" t="str">
        <f t="shared" si="343"/>
        <v/>
      </c>
      <c r="AM847" s="168" t="str">
        <f t="shared" si="344"/>
        <v/>
      </c>
      <c r="AN847" s="167" t="str">
        <f t="shared" si="327"/>
        <v/>
      </c>
      <c r="AO847" s="167" t="str">
        <f t="shared" si="328"/>
        <v/>
      </c>
      <c r="AP847" s="167" t="str">
        <f t="shared" si="329"/>
        <v/>
      </c>
      <c r="AQ847" s="169" t="str">
        <f t="shared" si="330"/>
        <v/>
      </c>
      <c r="AR847" s="170" t="str">
        <f t="shared" si="331"/>
        <v>BiK81LbKA3--05</v>
      </c>
      <c r="AS847" s="169" t="str">
        <f t="shared" si="332"/>
        <v/>
      </c>
      <c r="AT847">
        <f t="shared" si="333"/>
        <v>14</v>
      </c>
      <c r="AU847" s="170" t="str">
        <f t="shared" si="334"/>
        <v>0-0,15 MW, Bonusregeln L, b und K wenn Anlage 3 erfüllt</v>
      </c>
      <c r="AV847" s="169" t="str">
        <f t="shared" si="335"/>
        <v/>
      </c>
      <c r="AW847" s="170" t="str">
        <f t="shared" si="336"/>
        <v>Anteil KWK gemäß Anlage 3</v>
      </c>
      <c r="AX847" s="169" t="str">
        <f t="shared" si="337"/>
        <v/>
      </c>
      <c r="AY847" t="str">
        <f t="shared" si="338"/>
        <v/>
      </c>
      <c r="AZ847" t="str">
        <f t="shared" si="339"/>
        <v/>
      </c>
    </row>
    <row r="848" spans="1:52" x14ac:dyDescent="0.35">
      <c r="A848" s="497" t="s">
        <v>2445</v>
      </c>
      <c r="B848" s="13" t="s">
        <v>5547</v>
      </c>
      <c r="C848" s="13" t="s">
        <v>1288</v>
      </c>
      <c r="D848" s="13" t="s">
        <v>6961</v>
      </c>
      <c r="E848" s="13" t="s">
        <v>674</v>
      </c>
      <c r="F848" s="373">
        <f t="shared" si="346"/>
        <v>25.67</v>
      </c>
      <c r="G848" s="430">
        <v>25.67</v>
      </c>
      <c r="H848" s="399">
        <f t="shared" si="347"/>
        <v>20.54</v>
      </c>
      <c r="I848" s="576"/>
      <c r="J848" s="549" t="s">
        <v>5804</v>
      </c>
      <c r="K848" s="11"/>
      <c r="M848" s="37">
        <f t="shared" si="348"/>
        <v>25.67</v>
      </c>
      <c r="N848" s="29">
        <v>11.67</v>
      </c>
      <c r="O848" s="149"/>
      <c r="P848" s="144"/>
      <c r="Q848" s="145" t="s">
        <v>1017</v>
      </c>
      <c r="R848" s="145"/>
      <c r="S848" s="145" t="s">
        <v>4179</v>
      </c>
      <c r="T848" t="s">
        <v>4179</v>
      </c>
      <c r="U848" s="146"/>
      <c r="V848" s="145"/>
      <c r="W848" s="147"/>
      <c r="X848" s="147"/>
      <c r="Y848" s="145"/>
      <c r="Z848" s="145"/>
      <c r="AA848" s="147"/>
      <c r="AB848" s="145" t="s">
        <v>1017</v>
      </c>
      <c r="AC848" s="145"/>
      <c r="AD848" s="147"/>
      <c r="AE848" s="148" t="s">
        <v>1017</v>
      </c>
      <c r="AF848" s="147"/>
      <c r="AG848" s="147"/>
      <c r="AH848" s="166" t="str">
        <f t="shared" si="350"/>
        <v/>
      </c>
      <c r="AI848" s="168" t="str">
        <f t="shared" si="340"/>
        <v/>
      </c>
      <c r="AJ848" s="168" t="str">
        <f t="shared" si="341"/>
        <v/>
      </c>
      <c r="AK848" s="168" t="str">
        <f t="shared" si="342"/>
        <v/>
      </c>
      <c r="AL848" s="168" t="str">
        <f t="shared" si="343"/>
        <v/>
      </c>
      <c r="AM848" s="168" t="str">
        <f t="shared" si="344"/>
        <v/>
      </c>
      <c r="AN848" s="167" t="str">
        <f t="shared" si="327"/>
        <v/>
      </c>
      <c r="AO848" s="167" t="str">
        <f t="shared" si="328"/>
        <v/>
      </c>
      <c r="AP848" s="167" t="str">
        <f t="shared" si="329"/>
        <v/>
      </c>
      <c r="AQ848" s="169" t="str">
        <f t="shared" si="330"/>
        <v/>
      </c>
      <c r="AR848" s="170" t="str">
        <f t="shared" si="331"/>
        <v>BiK81LbK09--05</v>
      </c>
      <c r="AS848" s="169" t="str">
        <f t="shared" si="332"/>
        <v/>
      </c>
      <c r="AT848">
        <f t="shared" si="333"/>
        <v>14</v>
      </c>
      <c r="AU848" s="170" t="str">
        <f t="shared" si="334"/>
        <v>0-0,15 MW, Bonusregeln L, b und K erstmals 2009</v>
      </c>
      <c r="AV848" s="169" t="str">
        <f t="shared" si="335"/>
        <v/>
      </c>
      <c r="AW848" s="170" t="str">
        <f t="shared" si="336"/>
        <v>Anteil KWK, erstmals 2009</v>
      </c>
      <c r="AX848" s="169" t="str">
        <f t="shared" si="337"/>
        <v/>
      </c>
      <c r="AY848" t="str">
        <f t="shared" si="338"/>
        <v/>
      </c>
      <c r="AZ848" t="str">
        <f t="shared" si="339"/>
        <v/>
      </c>
    </row>
    <row r="849" spans="1:52" x14ac:dyDescent="0.35">
      <c r="A849" s="497" t="s">
        <v>3587</v>
      </c>
      <c r="B849" s="13" t="s">
        <v>5547</v>
      </c>
      <c r="C849" s="13" t="s">
        <v>1288</v>
      </c>
      <c r="D849" s="13" t="s">
        <v>6962</v>
      </c>
      <c r="E849" s="13" t="s">
        <v>3566</v>
      </c>
      <c r="F849" s="373">
        <f t="shared" si="346"/>
        <v>25.64</v>
      </c>
      <c r="G849" s="430">
        <v>25.64</v>
      </c>
      <c r="H849" s="399">
        <f t="shared" si="347"/>
        <v>20.51</v>
      </c>
      <c r="I849" s="576"/>
      <c r="J849" s="549" t="s">
        <v>5804</v>
      </c>
      <c r="K849" s="11"/>
      <c r="M849" s="37">
        <f t="shared" si="348"/>
        <v>25.64</v>
      </c>
      <c r="N849" s="29">
        <v>11.67</v>
      </c>
      <c r="O849" s="149"/>
      <c r="P849" s="144"/>
      <c r="Q849" s="145"/>
      <c r="R849" s="145" t="s">
        <v>1017</v>
      </c>
      <c r="S849" s="145" t="s">
        <v>4179</v>
      </c>
      <c r="T849" t="s">
        <v>4179</v>
      </c>
      <c r="U849" s="146"/>
      <c r="V849" s="145"/>
      <c r="W849" s="147"/>
      <c r="X849" s="147"/>
      <c r="Y849" s="145"/>
      <c r="Z849" s="145"/>
      <c r="AA849" s="147"/>
      <c r="AB849" s="145" t="s">
        <v>1017</v>
      </c>
      <c r="AC849" s="145"/>
      <c r="AD849" s="147"/>
      <c r="AE849" s="148" t="s">
        <v>1017</v>
      </c>
      <c r="AF849" s="147"/>
      <c r="AG849" s="147"/>
      <c r="AH849" s="166" t="str">
        <f t="shared" si="350"/>
        <v>2010</v>
      </c>
      <c r="AI849" s="168" t="str">
        <f t="shared" si="340"/>
        <v/>
      </c>
      <c r="AJ849" s="168" t="str">
        <f t="shared" si="341"/>
        <v/>
      </c>
      <c r="AK849" s="168" t="str">
        <f t="shared" si="342"/>
        <v/>
      </c>
      <c r="AL849" s="168" t="str">
        <f t="shared" si="343"/>
        <v/>
      </c>
      <c r="AM849" s="168" t="str">
        <f t="shared" si="344"/>
        <v/>
      </c>
      <c r="AN849" s="167" t="str">
        <f t="shared" si="327"/>
        <v>2010</v>
      </c>
      <c r="AO849" s="167" t="str">
        <f t="shared" si="328"/>
        <v>2010</v>
      </c>
      <c r="AP849" s="167" t="str">
        <f t="shared" si="329"/>
        <v>2010</v>
      </c>
      <c r="AQ849" s="169" t="str">
        <f t="shared" si="330"/>
        <v/>
      </c>
      <c r="AR849" s="170" t="str">
        <f t="shared" si="331"/>
        <v>BiK81LbK10--05</v>
      </c>
      <c r="AS849" s="169" t="str">
        <f t="shared" si="332"/>
        <v/>
      </c>
      <c r="AT849">
        <f t="shared" si="333"/>
        <v>14</v>
      </c>
      <c r="AU849" s="170" t="str">
        <f t="shared" si="334"/>
        <v>0-0,15 MW, Bonusregeln L, b und K erstmals 2010</v>
      </c>
      <c r="AV849" s="169" t="str">
        <f t="shared" si="335"/>
        <v/>
      </c>
      <c r="AW849" s="170" t="str">
        <f t="shared" si="336"/>
        <v>Anteil KWK, erstmals 2010</v>
      </c>
      <c r="AX849" s="169" t="str">
        <f t="shared" si="337"/>
        <v/>
      </c>
      <c r="AY849" t="str">
        <f t="shared" si="338"/>
        <v/>
      </c>
      <c r="AZ849" t="str">
        <f t="shared" si="339"/>
        <v/>
      </c>
    </row>
    <row r="850" spans="1:52" x14ac:dyDescent="0.35">
      <c r="A850" s="497" t="s">
        <v>5318</v>
      </c>
      <c r="B850" s="13" t="s">
        <v>5547</v>
      </c>
      <c r="C850" s="13" t="s">
        <v>1288</v>
      </c>
      <c r="D850" s="13" t="s">
        <v>6963</v>
      </c>
      <c r="E850" s="13" t="s">
        <v>3054</v>
      </c>
      <c r="F850" s="373">
        <f t="shared" si="346"/>
        <v>25.61</v>
      </c>
      <c r="G850" s="430">
        <v>25.61</v>
      </c>
      <c r="H850" s="399">
        <f t="shared" si="347"/>
        <v>20.49</v>
      </c>
      <c r="I850" s="576"/>
      <c r="J850" s="549" t="s">
        <v>5804</v>
      </c>
      <c r="K850" s="11"/>
      <c r="M850" s="37">
        <f t="shared" si="348"/>
        <v>25.61</v>
      </c>
      <c r="N850" s="29">
        <v>11.67</v>
      </c>
      <c r="O850" s="149"/>
      <c r="P850" s="144"/>
      <c r="Q850" s="145"/>
      <c r="R850" s="145"/>
      <c r="S850" s="145" t="s">
        <v>1017</v>
      </c>
      <c r="T850" t="s">
        <v>4179</v>
      </c>
      <c r="U850" s="146"/>
      <c r="V850" s="145"/>
      <c r="W850" s="147"/>
      <c r="X850" s="147"/>
      <c r="Y850" s="145"/>
      <c r="Z850" s="145"/>
      <c r="AA850" s="147"/>
      <c r="AB850" s="145" t="s">
        <v>1017</v>
      </c>
      <c r="AC850" s="145"/>
      <c r="AD850" s="147"/>
      <c r="AE850" s="148" t="s">
        <v>1017</v>
      </c>
      <c r="AF850" s="147"/>
      <c r="AG850" s="147"/>
      <c r="AH850" s="166" t="str">
        <f t="shared" si="350"/>
        <v>2011</v>
      </c>
      <c r="AI850" s="168" t="str">
        <f t="shared" si="340"/>
        <v/>
      </c>
      <c r="AJ850" s="168" t="str">
        <f t="shared" si="341"/>
        <v/>
      </c>
      <c r="AK850" s="168" t="str">
        <f t="shared" si="342"/>
        <v/>
      </c>
      <c r="AL850" s="168" t="str">
        <f t="shared" si="343"/>
        <v/>
      </c>
      <c r="AM850" s="168" t="str">
        <f t="shared" si="344"/>
        <v/>
      </c>
      <c r="AN850" s="167" t="str">
        <f t="shared" si="327"/>
        <v>2011</v>
      </c>
      <c r="AO850" s="167" t="str">
        <f t="shared" si="328"/>
        <v>2011</v>
      </c>
      <c r="AP850" s="167" t="str">
        <f t="shared" si="329"/>
        <v>2011</v>
      </c>
      <c r="AQ850" s="169" t="str">
        <f t="shared" si="330"/>
        <v/>
      </c>
      <c r="AR850" s="170" t="str">
        <f t="shared" si="331"/>
        <v>BiK81LbK11--05</v>
      </c>
      <c r="AS850" s="169" t="str">
        <f t="shared" si="332"/>
        <v/>
      </c>
      <c r="AT850">
        <f t="shared" si="333"/>
        <v>14</v>
      </c>
      <c r="AU850" s="170" t="str">
        <f t="shared" si="334"/>
        <v>0-0,15 MW, Bonusregeln L, b und K erstmals 2011</v>
      </c>
      <c r="AV850" s="169" t="str">
        <f t="shared" si="335"/>
        <v/>
      </c>
      <c r="AW850" s="170" t="str">
        <f t="shared" si="336"/>
        <v>Anteil KWK, erstmals 2011</v>
      </c>
      <c r="AX850" s="169" t="str">
        <f t="shared" si="337"/>
        <v/>
      </c>
      <c r="AY850" t="str">
        <f t="shared" si="338"/>
        <v>x</v>
      </c>
      <c r="AZ850" t="str">
        <f t="shared" si="339"/>
        <v/>
      </c>
    </row>
    <row r="851" spans="1:52" x14ac:dyDescent="0.35">
      <c r="A851" s="511" t="s">
        <v>1569</v>
      </c>
      <c r="B851" s="173" t="s">
        <v>5547</v>
      </c>
      <c r="C851" s="173" t="s">
        <v>1288</v>
      </c>
      <c r="D851" s="173" t="s">
        <v>6964</v>
      </c>
      <c r="E851" s="173" t="s">
        <v>1980</v>
      </c>
      <c r="F851" s="374">
        <f t="shared" si="346"/>
        <v>25.58</v>
      </c>
      <c r="G851" s="431">
        <v>25.58</v>
      </c>
      <c r="H851" s="400">
        <f t="shared" si="347"/>
        <v>20.46</v>
      </c>
      <c r="I851" s="577"/>
      <c r="J851" s="549" t="s">
        <v>5804</v>
      </c>
      <c r="K851" s="11"/>
      <c r="M851" s="37">
        <f t="shared" si="348"/>
        <v>25.58</v>
      </c>
      <c r="N851" s="29">
        <v>11.67</v>
      </c>
      <c r="O851" s="149"/>
      <c r="P851" s="144"/>
      <c r="Q851" s="145"/>
      <c r="R851" s="145"/>
      <c r="S851" s="145" t="s">
        <v>4179</v>
      </c>
      <c r="T851" t="s">
        <v>1017</v>
      </c>
      <c r="U851" s="146"/>
      <c r="V851" s="145"/>
      <c r="W851" s="147"/>
      <c r="X851" s="147"/>
      <c r="Y851" s="145"/>
      <c r="Z851" s="145"/>
      <c r="AA851" s="147"/>
      <c r="AB851" s="145" t="s">
        <v>1017</v>
      </c>
      <c r="AC851" s="145"/>
      <c r="AD851" s="147"/>
      <c r="AE851" s="148" t="s">
        <v>1017</v>
      </c>
      <c r="AF851" s="147"/>
      <c r="AG851" s="147"/>
      <c r="AH851" s="171" t="s">
        <v>4178</v>
      </c>
      <c r="AI851" s="168" t="str">
        <f t="shared" si="340"/>
        <v/>
      </c>
      <c r="AJ851" s="168" t="str">
        <f t="shared" si="341"/>
        <v/>
      </c>
      <c r="AK851" s="168" t="str">
        <f t="shared" si="342"/>
        <v/>
      </c>
      <c r="AL851" s="168" t="str">
        <f t="shared" si="343"/>
        <v/>
      </c>
      <c r="AM851" s="168" t="str">
        <f t="shared" si="344"/>
        <v/>
      </c>
      <c r="AN851" s="167" t="str">
        <f t="shared" si="327"/>
        <v>2012</v>
      </c>
      <c r="AO851" s="167" t="str">
        <f t="shared" si="328"/>
        <v>2012</v>
      </c>
      <c r="AP851" s="167" t="str">
        <f t="shared" si="329"/>
        <v>2012</v>
      </c>
      <c r="AQ851" s="169" t="str">
        <f t="shared" si="330"/>
        <v/>
      </c>
      <c r="AR851" s="170" t="str">
        <f t="shared" si="331"/>
        <v>BiK81LbK12--05</v>
      </c>
      <c r="AS851" s="169" t="str">
        <f t="shared" si="332"/>
        <v/>
      </c>
      <c r="AT851">
        <f t="shared" si="333"/>
        <v>14</v>
      </c>
      <c r="AU851" s="170" t="str">
        <f t="shared" si="334"/>
        <v>0-0,15 MW, Bonusregeln L, b und K erstmals 2012</v>
      </c>
      <c r="AV851" s="169" t="str">
        <f t="shared" si="335"/>
        <v/>
      </c>
      <c r="AW851" s="170" t="str">
        <f t="shared" si="336"/>
        <v>Anteil KWK, erstmals 2012</v>
      </c>
      <c r="AX851" s="169" t="str">
        <f t="shared" si="337"/>
        <v/>
      </c>
      <c r="AY851" t="str">
        <f t="shared" si="338"/>
        <v/>
      </c>
      <c r="AZ851" t="str">
        <f t="shared" si="339"/>
        <v>x</v>
      </c>
    </row>
    <row r="852" spans="1:52" x14ac:dyDescent="0.35">
      <c r="A852" s="497" t="s">
        <v>2446</v>
      </c>
      <c r="B852" s="13" t="s">
        <v>5547</v>
      </c>
      <c r="C852" s="13" t="s">
        <v>1288</v>
      </c>
      <c r="D852" s="13" t="s">
        <v>6965</v>
      </c>
      <c r="E852" s="13" t="s">
        <v>4809</v>
      </c>
      <c r="F852" s="373">
        <f t="shared" si="346"/>
        <v>23.67</v>
      </c>
      <c r="G852" s="430">
        <v>23.67</v>
      </c>
      <c r="H852" s="399">
        <f t="shared" si="347"/>
        <v>18.940000000000001</v>
      </c>
      <c r="I852" s="576"/>
      <c r="J852" s="549" t="s">
        <v>5804</v>
      </c>
      <c r="K852" s="11"/>
      <c r="M852" s="37">
        <f t="shared" si="348"/>
        <v>23.67</v>
      </c>
      <c r="N852" s="29">
        <v>11.67</v>
      </c>
      <c r="O852" s="149"/>
      <c r="P852" s="144"/>
      <c r="Q852" s="145"/>
      <c r="R852" s="145"/>
      <c r="S852" s="145" t="s">
        <v>4179</v>
      </c>
      <c r="T852" t="s">
        <v>4179</v>
      </c>
      <c r="U852" s="146" t="s">
        <v>1017</v>
      </c>
      <c r="V852" s="145"/>
      <c r="W852" s="147"/>
      <c r="X852" s="147"/>
      <c r="Y852" s="145"/>
      <c r="Z852" s="145"/>
      <c r="AA852" s="147"/>
      <c r="AB852" s="145" t="s">
        <v>1017</v>
      </c>
      <c r="AC852" s="145"/>
      <c r="AD852" s="147"/>
      <c r="AE852" s="148" t="s">
        <v>1017</v>
      </c>
      <c r="AF852" s="147"/>
      <c r="AG852" s="147"/>
      <c r="AH852" s="166" t="str">
        <f t="shared" ref="AH852:AH857" si="351">IF(ISERROR(SEARCH("K erstmals 201",D852)),"",RIGHT(D852,4))</f>
        <v/>
      </c>
      <c r="AI852" s="168" t="str">
        <f t="shared" si="340"/>
        <v/>
      </c>
      <c r="AJ852" s="168" t="str">
        <f t="shared" si="341"/>
        <v/>
      </c>
      <c r="AK852" s="168" t="str">
        <f t="shared" si="342"/>
        <v/>
      </c>
      <c r="AL852" s="168" t="str">
        <f t="shared" si="343"/>
        <v/>
      </c>
      <c r="AM852" s="168" t="str">
        <f t="shared" si="344"/>
        <v/>
      </c>
      <c r="AN852" s="167" t="str">
        <f t="shared" si="327"/>
        <v/>
      </c>
      <c r="AO852" s="167" t="str">
        <f t="shared" si="328"/>
        <v/>
      </c>
      <c r="AP852" s="167" t="str">
        <f t="shared" si="329"/>
        <v/>
      </c>
      <c r="AQ852" s="169" t="str">
        <f t="shared" si="330"/>
        <v/>
      </c>
      <c r="AR852" s="170" t="str">
        <f t="shared" si="331"/>
        <v>BiK81Lby----05</v>
      </c>
      <c r="AS852" s="169" t="str">
        <f t="shared" si="332"/>
        <v/>
      </c>
      <c r="AT852">
        <f t="shared" si="333"/>
        <v>14</v>
      </c>
      <c r="AU852" s="170" t="str">
        <f t="shared" si="334"/>
        <v>0-0,15 MW, Bonusregeln L, y, b</v>
      </c>
      <c r="AV852" s="169" t="str">
        <f t="shared" si="335"/>
        <v/>
      </c>
      <c r="AW852" s="170" t="str">
        <f t="shared" si="336"/>
        <v>Anteil Nicht-KWK</v>
      </c>
      <c r="AX852" s="169" t="str">
        <f t="shared" si="337"/>
        <v/>
      </c>
      <c r="AY852" t="str">
        <f t="shared" si="338"/>
        <v/>
      </c>
      <c r="AZ852" t="str">
        <f t="shared" si="339"/>
        <v/>
      </c>
    </row>
    <row r="853" spans="1:52" x14ac:dyDescent="0.35">
      <c r="A853" s="497" t="s">
        <v>2447</v>
      </c>
      <c r="B853" s="13" t="s">
        <v>5547</v>
      </c>
      <c r="C853" s="13" t="s">
        <v>1288</v>
      </c>
      <c r="D853" s="13" t="s">
        <v>6966</v>
      </c>
      <c r="E853" s="13" t="s">
        <v>4811</v>
      </c>
      <c r="F853" s="373">
        <f t="shared" si="346"/>
        <v>25.67</v>
      </c>
      <c r="G853" s="430">
        <v>25.67</v>
      </c>
      <c r="H853" s="399">
        <f t="shared" si="347"/>
        <v>20.54</v>
      </c>
      <c r="I853" s="576"/>
      <c r="J853" s="549" t="s">
        <v>5804</v>
      </c>
      <c r="K853" s="11"/>
      <c r="M853" s="37">
        <f t="shared" si="348"/>
        <v>25.67</v>
      </c>
      <c r="N853" s="29">
        <v>11.67</v>
      </c>
      <c r="O853" s="149" t="s">
        <v>1017</v>
      </c>
      <c r="P853" s="144"/>
      <c r="Q853" s="145"/>
      <c r="R853" s="145"/>
      <c r="S853" s="145" t="s">
        <v>4179</v>
      </c>
      <c r="T853" t="s">
        <v>4179</v>
      </c>
      <c r="U853" s="146" t="s">
        <v>1017</v>
      </c>
      <c r="V853" s="145"/>
      <c r="W853" s="147"/>
      <c r="X853" s="147"/>
      <c r="Y853" s="145"/>
      <c r="Z853" s="145"/>
      <c r="AA853" s="147"/>
      <c r="AB853" s="145" t="s">
        <v>1017</v>
      </c>
      <c r="AC853" s="145"/>
      <c r="AD853" s="147"/>
      <c r="AE853" s="148" t="s">
        <v>1017</v>
      </c>
      <c r="AF853" s="147"/>
      <c r="AG853" s="147"/>
      <c r="AH853" s="166" t="str">
        <f t="shared" si="351"/>
        <v/>
      </c>
      <c r="AI853" s="168" t="str">
        <f t="shared" si="340"/>
        <v/>
      </c>
      <c r="AJ853" s="168" t="str">
        <f t="shared" si="341"/>
        <v/>
      </c>
      <c r="AK853" s="168" t="str">
        <f t="shared" si="342"/>
        <v/>
      </c>
      <c r="AL853" s="168" t="str">
        <f t="shared" si="343"/>
        <v/>
      </c>
      <c r="AM853" s="168" t="str">
        <f t="shared" si="344"/>
        <v/>
      </c>
      <c r="AN853" s="167" t="str">
        <f t="shared" si="327"/>
        <v/>
      </c>
      <c r="AO853" s="167" t="str">
        <f t="shared" si="328"/>
        <v/>
      </c>
      <c r="AP853" s="167" t="str">
        <f t="shared" si="329"/>
        <v/>
      </c>
      <c r="AQ853" s="169" t="str">
        <f t="shared" si="330"/>
        <v/>
      </c>
      <c r="AR853" s="170" t="str">
        <f t="shared" si="331"/>
        <v>BiK81LbKWKy-05</v>
      </c>
      <c r="AS853" s="169" t="str">
        <f t="shared" si="332"/>
        <v/>
      </c>
      <c r="AT853">
        <f t="shared" si="333"/>
        <v>14</v>
      </c>
      <c r="AU853" s="170" t="str">
        <f t="shared" si="334"/>
        <v>0-0,15 MW, Bonusregeln L, y, b und KWK</v>
      </c>
      <c r="AV853" s="169" t="str">
        <f t="shared" si="335"/>
        <v/>
      </c>
      <c r="AW853" s="170" t="str">
        <f t="shared" si="336"/>
        <v>Anteil KWK</v>
      </c>
      <c r="AX853" s="169" t="str">
        <f t="shared" si="337"/>
        <v/>
      </c>
      <c r="AY853" t="str">
        <f t="shared" si="338"/>
        <v/>
      </c>
      <c r="AZ853" t="str">
        <f t="shared" si="339"/>
        <v/>
      </c>
    </row>
    <row r="854" spans="1:52" x14ac:dyDescent="0.35">
      <c r="A854" s="497" t="s">
        <v>2448</v>
      </c>
      <c r="B854" s="13" t="s">
        <v>5547</v>
      </c>
      <c r="C854" s="13" t="s">
        <v>1288</v>
      </c>
      <c r="D854" s="88" t="s">
        <v>6967</v>
      </c>
      <c r="E854" s="13" t="s">
        <v>4330</v>
      </c>
      <c r="F854" s="373">
        <f t="shared" si="346"/>
        <v>26.67</v>
      </c>
      <c r="G854" s="430">
        <v>26.67</v>
      </c>
      <c r="H854" s="399">
        <f t="shared" si="347"/>
        <v>21.34</v>
      </c>
      <c r="I854" s="576"/>
      <c r="J854" s="549" t="s">
        <v>5804</v>
      </c>
      <c r="K854" s="11"/>
      <c r="M854" s="37">
        <f t="shared" si="348"/>
        <v>26.67</v>
      </c>
      <c r="N854" s="29">
        <v>11.67</v>
      </c>
      <c r="O854" s="149"/>
      <c r="P854" s="145" t="s">
        <v>1017</v>
      </c>
      <c r="Q854" s="145"/>
      <c r="R854" s="145"/>
      <c r="S854" s="145" t="s">
        <v>4179</v>
      </c>
      <c r="T854" t="s">
        <v>4179</v>
      </c>
      <c r="U854" s="146" t="s">
        <v>1017</v>
      </c>
      <c r="V854" s="145"/>
      <c r="W854" s="147"/>
      <c r="X854" s="147"/>
      <c r="Y854" s="145"/>
      <c r="Z854" s="145"/>
      <c r="AA854" s="147"/>
      <c r="AB854" s="145" t="s">
        <v>1017</v>
      </c>
      <c r="AC854" s="145"/>
      <c r="AD854" s="147"/>
      <c r="AE854" s="148" t="s">
        <v>1017</v>
      </c>
      <c r="AF854" s="147"/>
      <c r="AG854" s="147"/>
      <c r="AH854" s="166" t="str">
        <f t="shared" si="351"/>
        <v/>
      </c>
      <c r="AI854" s="168" t="str">
        <f t="shared" si="340"/>
        <v/>
      </c>
      <c r="AJ854" s="168" t="str">
        <f t="shared" si="341"/>
        <v/>
      </c>
      <c r="AK854" s="168" t="str">
        <f t="shared" si="342"/>
        <v/>
      </c>
      <c r="AL854" s="168" t="str">
        <f t="shared" si="343"/>
        <v/>
      </c>
      <c r="AM854" s="168" t="str">
        <f t="shared" si="344"/>
        <v/>
      </c>
      <c r="AN854" s="167" t="str">
        <f t="shared" si="327"/>
        <v/>
      </c>
      <c r="AO854" s="167" t="str">
        <f t="shared" si="328"/>
        <v/>
      </c>
      <c r="AP854" s="167" t="str">
        <f t="shared" si="329"/>
        <v/>
      </c>
      <c r="AQ854" s="169" t="str">
        <f t="shared" si="330"/>
        <v/>
      </c>
      <c r="AR854" s="170" t="str">
        <f t="shared" si="331"/>
        <v>BiK81LbKA3y-05</v>
      </c>
      <c r="AS854" s="169" t="str">
        <f t="shared" si="332"/>
        <v/>
      </c>
      <c r="AT854">
        <f t="shared" si="333"/>
        <v>14</v>
      </c>
      <c r="AU854" s="170" t="str">
        <f t="shared" si="334"/>
        <v>0-0,15 MW, Bonusregeln L, y, b und K wenn Anlage 3 erfüllt</v>
      </c>
      <c r="AV854" s="169" t="str">
        <f t="shared" si="335"/>
        <v/>
      </c>
      <c r="AW854" s="170" t="str">
        <f t="shared" si="336"/>
        <v>Anteil KWK gemäß Anlage 3</v>
      </c>
      <c r="AX854" s="169" t="str">
        <f t="shared" si="337"/>
        <v/>
      </c>
      <c r="AY854" t="str">
        <f t="shared" si="338"/>
        <v/>
      </c>
      <c r="AZ854" t="str">
        <f t="shared" si="339"/>
        <v/>
      </c>
    </row>
    <row r="855" spans="1:52" x14ac:dyDescent="0.35">
      <c r="A855" s="497" t="s">
        <v>2449</v>
      </c>
      <c r="B855" s="13" t="s">
        <v>5547</v>
      </c>
      <c r="C855" s="13" t="s">
        <v>1288</v>
      </c>
      <c r="D855" s="13" t="s">
        <v>6968</v>
      </c>
      <c r="E855" s="13" t="s">
        <v>674</v>
      </c>
      <c r="F855" s="373">
        <f t="shared" si="346"/>
        <v>26.67</v>
      </c>
      <c r="G855" s="430">
        <v>26.67</v>
      </c>
      <c r="H855" s="399">
        <f t="shared" si="347"/>
        <v>21.34</v>
      </c>
      <c r="I855" s="576"/>
      <c r="J855" s="549" t="s">
        <v>5804</v>
      </c>
      <c r="K855" s="11"/>
      <c r="M855" s="37">
        <f t="shared" si="348"/>
        <v>26.67</v>
      </c>
      <c r="N855" s="29">
        <v>11.67</v>
      </c>
      <c r="O855" s="149"/>
      <c r="P855" s="144"/>
      <c r="Q855" s="145" t="s">
        <v>1017</v>
      </c>
      <c r="R855" s="145"/>
      <c r="S855" s="145" t="s">
        <v>4179</v>
      </c>
      <c r="T855" t="s">
        <v>4179</v>
      </c>
      <c r="U855" s="146" t="s">
        <v>1017</v>
      </c>
      <c r="V855" s="145"/>
      <c r="W855" s="147"/>
      <c r="X855" s="147"/>
      <c r="Y855" s="145"/>
      <c r="Z855" s="145"/>
      <c r="AA855" s="147"/>
      <c r="AB855" s="145" t="s">
        <v>1017</v>
      </c>
      <c r="AC855" s="145"/>
      <c r="AD855" s="147"/>
      <c r="AE855" s="148" t="s">
        <v>1017</v>
      </c>
      <c r="AF855" s="147"/>
      <c r="AG855" s="147"/>
      <c r="AH855" s="166" t="str">
        <f t="shared" si="351"/>
        <v/>
      </c>
      <c r="AI855" s="168" t="str">
        <f t="shared" si="340"/>
        <v/>
      </c>
      <c r="AJ855" s="168" t="str">
        <f t="shared" si="341"/>
        <v/>
      </c>
      <c r="AK855" s="168" t="str">
        <f t="shared" si="342"/>
        <v/>
      </c>
      <c r="AL855" s="168" t="str">
        <f t="shared" si="343"/>
        <v/>
      </c>
      <c r="AM855" s="168" t="str">
        <f t="shared" si="344"/>
        <v/>
      </c>
      <c r="AN855" s="167" t="str">
        <f t="shared" si="327"/>
        <v/>
      </c>
      <c r="AO855" s="167" t="str">
        <f t="shared" si="328"/>
        <v/>
      </c>
      <c r="AP855" s="167" t="str">
        <f t="shared" si="329"/>
        <v/>
      </c>
      <c r="AQ855" s="169" t="str">
        <f t="shared" si="330"/>
        <v/>
      </c>
      <c r="AR855" s="170" t="str">
        <f t="shared" si="331"/>
        <v>BiK81LbK09y-05</v>
      </c>
      <c r="AS855" s="169" t="str">
        <f t="shared" si="332"/>
        <v/>
      </c>
      <c r="AT855">
        <f t="shared" si="333"/>
        <v>14</v>
      </c>
      <c r="AU855" s="170" t="str">
        <f t="shared" si="334"/>
        <v>0-0,15 MW, Bonusregeln L, y, b und K erstmals 2009</v>
      </c>
      <c r="AV855" s="169" t="str">
        <f t="shared" si="335"/>
        <v/>
      </c>
      <c r="AW855" s="170" t="str">
        <f t="shared" si="336"/>
        <v>Anteil KWK, erstmals 2009</v>
      </c>
      <c r="AX855" s="169" t="str">
        <f t="shared" si="337"/>
        <v/>
      </c>
      <c r="AY855" t="str">
        <f t="shared" si="338"/>
        <v/>
      </c>
      <c r="AZ855" t="str">
        <f t="shared" si="339"/>
        <v/>
      </c>
    </row>
    <row r="856" spans="1:52" x14ac:dyDescent="0.35">
      <c r="A856" s="497" t="s">
        <v>3588</v>
      </c>
      <c r="B856" s="13" t="s">
        <v>5547</v>
      </c>
      <c r="C856" s="13" t="s">
        <v>1288</v>
      </c>
      <c r="D856" s="13" t="s">
        <v>6969</v>
      </c>
      <c r="E856" s="13" t="s">
        <v>3566</v>
      </c>
      <c r="F856" s="373">
        <f t="shared" si="346"/>
        <v>26.64</v>
      </c>
      <c r="G856" s="430">
        <v>26.64</v>
      </c>
      <c r="H856" s="399">
        <f t="shared" si="347"/>
        <v>21.31</v>
      </c>
      <c r="I856" s="576"/>
      <c r="J856" s="549" t="s">
        <v>5804</v>
      </c>
      <c r="K856" s="11"/>
      <c r="M856" s="37">
        <f t="shared" si="348"/>
        <v>26.64</v>
      </c>
      <c r="N856" s="29">
        <v>11.67</v>
      </c>
      <c r="O856" s="149"/>
      <c r="P856" s="144"/>
      <c r="Q856" s="145"/>
      <c r="R856" s="145" t="s">
        <v>1017</v>
      </c>
      <c r="S856" s="145" t="s">
        <v>4179</v>
      </c>
      <c r="T856" t="s">
        <v>4179</v>
      </c>
      <c r="U856" s="146" t="s">
        <v>1017</v>
      </c>
      <c r="V856" s="145"/>
      <c r="W856" s="147"/>
      <c r="X856" s="147"/>
      <c r="Y856" s="145"/>
      <c r="Z856" s="145"/>
      <c r="AA856" s="147"/>
      <c r="AB856" s="145" t="s">
        <v>1017</v>
      </c>
      <c r="AC856" s="145"/>
      <c r="AD856" s="147"/>
      <c r="AE856" s="148" t="s">
        <v>1017</v>
      </c>
      <c r="AF856" s="147"/>
      <c r="AG856" s="147"/>
      <c r="AH856" s="166" t="str">
        <f t="shared" si="351"/>
        <v>2010</v>
      </c>
      <c r="AI856" s="168" t="str">
        <f t="shared" si="340"/>
        <v/>
      </c>
      <c r="AJ856" s="168" t="str">
        <f t="shared" si="341"/>
        <v/>
      </c>
      <c r="AK856" s="168" t="str">
        <f t="shared" si="342"/>
        <v/>
      </c>
      <c r="AL856" s="168" t="str">
        <f t="shared" si="343"/>
        <v/>
      </c>
      <c r="AM856" s="168" t="str">
        <f t="shared" si="344"/>
        <v/>
      </c>
      <c r="AN856" s="167" t="str">
        <f t="shared" si="327"/>
        <v>2010</v>
      </c>
      <c r="AO856" s="167" t="str">
        <f t="shared" si="328"/>
        <v>2010</v>
      </c>
      <c r="AP856" s="167" t="str">
        <f t="shared" si="329"/>
        <v>2010</v>
      </c>
      <c r="AQ856" s="169" t="str">
        <f t="shared" si="330"/>
        <v/>
      </c>
      <c r="AR856" s="170" t="str">
        <f t="shared" si="331"/>
        <v>BiK81LbK10y-05</v>
      </c>
      <c r="AS856" s="169" t="str">
        <f t="shared" si="332"/>
        <v/>
      </c>
      <c r="AT856">
        <f t="shared" si="333"/>
        <v>14</v>
      </c>
      <c r="AU856" s="170" t="str">
        <f t="shared" si="334"/>
        <v>0-0,15 MW, Bonusregeln L, y, b und K erstmals 2010</v>
      </c>
      <c r="AV856" s="169" t="str">
        <f t="shared" si="335"/>
        <v/>
      </c>
      <c r="AW856" s="170" t="str">
        <f t="shared" si="336"/>
        <v>Anteil KWK, erstmals 2010</v>
      </c>
      <c r="AX856" s="169" t="str">
        <f t="shared" si="337"/>
        <v/>
      </c>
      <c r="AY856" t="str">
        <f t="shared" si="338"/>
        <v/>
      </c>
      <c r="AZ856" t="str">
        <f t="shared" si="339"/>
        <v/>
      </c>
    </row>
    <row r="857" spans="1:52" x14ac:dyDescent="0.35">
      <c r="A857" s="497" t="s">
        <v>5319</v>
      </c>
      <c r="B857" s="13" t="s">
        <v>5547</v>
      </c>
      <c r="C857" s="13" t="s">
        <v>1288</v>
      </c>
      <c r="D857" s="13" t="s">
        <v>6970</v>
      </c>
      <c r="E857" s="13" t="s">
        <v>3054</v>
      </c>
      <c r="F857" s="373">
        <f t="shared" si="346"/>
        <v>26.61</v>
      </c>
      <c r="G857" s="430">
        <v>26.61</v>
      </c>
      <c r="H857" s="399">
        <f t="shared" si="347"/>
        <v>21.29</v>
      </c>
      <c r="I857" s="576"/>
      <c r="J857" s="549" t="s">
        <v>5804</v>
      </c>
      <c r="K857" s="11"/>
      <c r="M857" s="37">
        <f t="shared" si="348"/>
        <v>26.61</v>
      </c>
      <c r="N857" s="29">
        <v>11.67</v>
      </c>
      <c r="O857" s="149"/>
      <c r="P857" s="144"/>
      <c r="Q857" s="145"/>
      <c r="R857" s="145"/>
      <c r="S857" s="145" t="s">
        <v>1017</v>
      </c>
      <c r="T857" t="s">
        <v>4179</v>
      </c>
      <c r="U857" s="146" t="s">
        <v>1017</v>
      </c>
      <c r="V857" s="145"/>
      <c r="W857" s="147"/>
      <c r="X857" s="147"/>
      <c r="Y857" s="145"/>
      <c r="Z857" s="145"/>
      <c r="AA857" s="147"/>
      <c r="AB857" s="145" t="s">
        <v>1017</v>
      </c>
      <c r="AC857" s="145"/>
      <c r="AD857" s="147"/>
      <c r="AE857" s="148" t="s">
        <v>1017</v>
      </c>
      <c r="AF857" s="147"/>
      <c r="AG857" s="147"/>
      <c r="AH857" s="166" t="str">
        <f t="shared" si="351"/>
        <v>2011</v>
      </c>
      <c r="AI857" s="168" t="str">
        <f t="shared" si="340"/>
        <v/>
      </c>
      <c r="AJ857" s="168" t="str">
        <f t="shared" si="341"/>
        <v/>
      </c>
      <c r="AK857" s="168" t="str">
        <f t="shared" si="342"/>
        <v/>
      </c>
      <c r="AL857" s="168" t="str">
        <f t="shared" si="343"/>
        <v/>
      </c>
      <c r="AM857" s="168" t="str">
        <f t="shared" si="344"/>
        <v/>
      </c>
      <c r="AN857" s="167" t="str">
        <f t="shared" si="327"/>
        <v>2011</v>
      </c>
      <c r="AO857" s="167" t="str">
        <f t="shared" si="328"/>
        <v>2011</v>
      </c>
      <c r="AP857" s="167" t="str">
        <f t="shared" si="329"/>
        <v>2011</v>
      </c>
      <c r="AQ857" s="169" t="str">
        <f t="shared" si="330"/>
        <v/>
      </c>
      <c r="AR857" s="170" t="str">
        <f t="shared" si="331"/>
        <v>BiK81LbK11y-05</v>
      </c>
      <c r="AS857" s="169" t="str">
        <f t="shared" si="332"/>
        <v/>
      </c>
      <c r="AT857">
        <f t="shared" si="333"/>
        <v>14</v>
      </c>
      <c r="AU857" s="170" t="str">
        <f t="shared" si="334"/>
        <v>0-0,15 MW, Bonusregeln L, y, b und K erstmals 2011</v>
      </c>
      <c r="AV857" s="169" t="str">
        <f t="shared" si="335"/>
        <v/>
      </c>
      <c r="AW857" s="170" t="str">
        <f t="shared" si="336"/>
        <v>Anteil KWK, erstmals 2011</v>
      </c>
      <c r="AX857" s="169" t="str">
        <f t="shared" si="337"/>
        <v/>
      </c>
      <c r="AY857" t="str">
        <f t="shared" si="338"/>
        <v>x</v>
      </c>
      <c r="AZ857" t="str">
        <f t="shared" si="339"/>
        <v/>
      </c>
    </row>
    <row r="858" spans="1:52" x14ac:dyDescent="0.35">
      <c r="A858" s="511" t="s">
        <v>1570</v>
      </c>
      <c r="B858" s="173" t="s">
        <v>5547</v>
      </c>
      <c r="C858" s="173" t="s">
        <v>1288</v>
      </c>
      <c r="D858" s="173" t="s">
        <v>6971</v>
      </c>
      <c r="E858" s="173" t="s">
        <v>1980</v>
      </c>
      <c r="F858" s="374">
        <f t="shared" si="346"/>
        <v>26.58</v>
      </c>
      <c r="G858" s="431">
        <v>26.58</v>
      </c>
      <c r="H858" s="400">
        <f t="shared" si="347"/>
        <v>21.26</v>
      </c>
      <c r="I858" s="577"/>
      <c r="J858" s="549" t="s">
        <v>5804</v>
      </c>
      <c r="K858" s="11"/>
      <c r="M858" s="37">
        <f t="shared" si="348"/>
        <v>26.58</v>
      </c>
      <c r="N858" s="29">
        <v>11.67</v>
      </c>
      <c r="O858" s="149"/>
      <c r="P858" s="144"/>
      <c r="Q858" s="145"/>
      <c r="R858" s="145"/>
      <c r="S858" s="145" t="s">
        <v>4179</v>
      </c>
      <c r="T858" t="s">
        <v>1017</v>
      </c>
      <c r="U858" s="146" t="s">
        <v>1017</v>
      </c>
      <c r="V858" s="145"/>
      <c r="W858" s="147"/>
      <c r="X858" s="147"/>
      <c r="Y858" s="145"/>
      <c r="Z858" s="145"/>
      <c r="AA858" s="147"/>
      <c r="AB858" s="145" t="s">
        <v>1017</v>
      </c>
      <c r="AC858" s="145"/>
      <c r="AD858" s="147"/>
      <c r="AE858" s="148" t="s">
        <v>1017</v>
      </c>
      <c r="AF858" s="147"/>
      <c r="AG858" s="147"/>
      <c r="AH858" s="171" t="s">
        <v>4178</v>
      </c>
      <c r="AI858" s="168" t="str">
        <f t="shared" si="340"/>
        <v/>
      </c>
      <c r="AJ858" s="168" t="str">
        <f t="shared" si="341"/>
        <v/>
      </c>
      <c r="AK858" s="168" t="str">
        <f t="shared" si="342"/>
        <v/>
      </c>
      <c r="AL858" s="168" t="str">
        <f t="shared" si="343"/>
        <v/>
      </c>
      <c r="AM858" s="168" t="str">
        <f t="shared" si="344"/>
        <v/>
      </c>
      <c r="AN858" s="167" t="str">
        <f t="shared" si="327"/>
        <v>2012</v>
      </c>
      <c r="AO858" s="167" t="str">
        <f t="shared" si="328"/>
        <v>2012</v>
      </c>
      <c r="AP858" s="167" t="str">
        <f t="shared" si="329"/>
        <v>2012</v>
      </c>
      <c r="AQ858" s="169" t="str">
        <f t="shared" si="330"/>
        <v/>
      </c>
      <c r="AR858" s="170" t="str">
        <f t="shared" si="331"/>
        <v>BiK81LbK12y-05</v>
      </c>
      <c r="AS858" s="169" t="str">
        <f t="shared" si="332"/>
        <v/>
      </c>
      <c r="AT858">
        <f t="shared" si="333"/>
        <v>14</v>
      </c>
      <c r="AU858" s="170" t="str">
        <f t="shared" si="334"/>
        <v>0-0,15 MW, Bonusregeln L, y, b und K erstmals 2012</v>
      </c>
      <c r="AV858" s="169" t="str">
        <f t="shared" si="335"/>
        <v/>
      </c>
      <c r="AW858" s="170" t="str">
        <f t="shared" si="336"/>
        <v>Anteil KWK, erstmals 2012</v>
      </c>
      <c r="AX858" s="169" t="str">
        <f t="shared" si="337"/>
        <v/>
      </c>
      <c r="AY858" t="str">
        <f t="shared" si="338"/>
        <v/>
      </c>
      <c r="AZ858" t="str">
        <f t="shared" si="339"/>
        <v>x</v>
      </c>
    </row>
    <row r="859" spans="1:52" x14ac:dyDescent="0.35">
      <c r="A859" s="497" t="s">
        <v>2450</v>
      </c>
      <c r="B859" s="13" t="s">
        <v>5547</v>
      </c>
      <c r="C859" s="13" t="s">
        <v>1288</v>
      </c>
      <c r="D859" s="13" t="s">
        <v>6972</v>
      </c>
      <c r="E859" s="13" t="s">
        <v>4809</v>
      </c>
      <c r="F859" s="373">
        <f t="shared" si="346"/>
        <v>26.67</v>
      </c>
      <c r="G859" s="430">
        <v>26.67</v>
      </c>
      <c r="H859" s="399">
        <f t="shared" si="347"/>
        <v>21.34</v>
      </c>
      <c r="I859" s="576"/>
      <c r="J859" s="549" t="s">
        <v>5804</v>
      </c>
      <c r="K859" s="11"/>
      <c r="M859" s="37">
        <f t="shared" si="348"/>
        <v>26.67</v>
      </c>
      <c r="N859" s="29">
        <v>11.67</v>
      </c>
      <c r="O859" s="149"/>
      <c r="P859" s="144"/>
      <c r="Q859" s="145"/>
      <c r="R859" s="145"/>
      <c r="S859" s="145" t="s">
        <v>4179</v>
      </c>
      <c r="T859" t="s">
        <v>4179</v>
      </c>
      <c r="U859" s="146"/>
      <c r="V859" s="145"/>
      <c r="W859" s="147"/>
      <c r="X859" s="147"/>
      <c r="Y859" s="145"/>
      <c r="Z859" s="145"/>
      <c r="AA859" s="147"/>
      <c r="AB859" s="145"/>
      <c r="AC859" s="145" t="s">
        <v>1017</v>
      </c>
      <c r="AD859" s="147"/>
      <c r="AE859" s="148" t="s">
        <v>1017</v>
      </c>
      <c r="AF859" s="147"/>
      <c r="AG859" s="147"/>
      <c r="AH859" s="166" t="str">
        <f t="shared" ref="AH859:AH864" si="352">IF(ISERROR(SEARCH("K erstmals 201",D859)),"",RIGHT(D859,4))</f>
        <v/>
      </c>
      <c r="AI859" s="168" t="str">
        <f t="shared" si="340"/>
        <v/>
      </c>
      <c r="AJ859" s="168" t="str">
        <f t="shared" si="341"/>
        <v/>
      </c>
      <c r="AK859" s="168" t="str">
        <f t="shared" si="342"/>
        <v/>
      </c>
      <c r="AL859" s="168" t="str">
        <f t="shared" si="343"/>
        <v/>
      </c>
      <c r="AM859" s="168" t="str">
        <f t="shared" si="344"/>
        <v/>
      </c>
      <c r="AN859" s="167" t="str">
        <f t="shared" si="327"/>
        <v/>
      </c>
      <c r="AO859" s="167" t="str">
        <f t="shared" si="328"/>
        <v/>
      </c>
      <c r="AP859" s="167" t="str">
        <f t="shared" si="329"/>
        <v/>
      </c>
      <c r="AQ859" s="169" t="str">
        <f t="shared" si="330"/>
        <v/>
      </c>
      <c r="AR859" s="170" t="str">
        <f t="shared" si="331"/>
        <v>BiK81X1b----05</v>
      </c>
      <c r="AS859" s="169" t="str">
        <f t="shared" si="332"/>
        <v/>
      </c>
      <c r="AT859">
        <f t="shared" si="333"/>
        <v>14</v>
      </c>
      <c r="AU859" s="170" t="str">
        <f t="shared" si="334"/>
        <v>0-0,15 MW, Bonusregeln X1, b</v>
      </c>
      <c r="AV859" s="169" t="str">
        <f t="shared" si="335"/>
        <v/>
      </c>
      <c r="AW859" s="170" t="str">
        <f t="shared" si="336"/>
        <v>Anteil Nicht-KWK</v>
      </c>
      <c r="AX859" s="169" t="str">
        <f t="shared" si="337"/>
        <v/>
      </c>
      <c r="AY859" t="str">
        <f t="shared" si="338"/>
        <v/>
      </c>
      <c r="AZ859" t="str">
        <f t="shared" si="339"/>
        <v/>
      </c>
    </row>
    <row r="860" spans="1:52" ht="17.25" customHeight="1" x14ac:dyDescent="0.35">
      <c r="A860" s="497" t="s">
        <v>2451</v>
      </c>
      <c r="B860" s="13" t="s">
        <v>5547</v>
      </c>
      <c r="C860" s="13" t="s">
        <v>1288</v>
      </c>
      <c r="D860" s="13" t="s">
        <v>6973</v>
      </c>
      <c r="E860" s="13" t="s">
        <v>4811</v>
      </c>
      <c r="F860" s="373">
        <f t="shared" si="346"/>
        <v>28.67</v>
      </c>
      <c r="G860" s="430">
        <v>28.67</v>
      </c>
      <c r="H860" s="399">
        <f t="shared" si="347"/>
        <v>22.94</v>
      </c>
      <c r="I860" s="576"/>
      <c r="J860" s="549" t="s">
        <v>5804</v>
      </c>
      <c r="K860" s="11"/>
      <c r="M860" s="37">
        <f t="shared" si="348"/>
        <v>28.67</v>
      </c>
      <c r="N860" s="29">
        <v>11.67</v>
      </c>
      <c r="O860" s="149" t="s">
        <v>1017</v>
      </c>
      <c r="P860" s="144"/>
      <c r="Q860" s="145"/>
      <c r="R860" s="145"/>
      <c r="S860" s="145" t="s">
        <v>4179</v>
      </c>
      <c r="T860" t="s">
        <v>4179</v>
      </c>
      <c r="U860" s="146"/>
      <c r="V860" s="145"/>
      <c r="W860" s="147"/>
      <c r="X860" s="147"/>
      <c r="Y860" s="145"/>
      <c r="Z860" s="145"/>
      <c r="AA860" s="147"/>
      <c r="AB860" s="145"/>
      <c r="AC860" s="145" t="s">
        <v>1017</v>
      </c>
      <c r="AD860" s="147"/>
      <c r="AE860" s="148" t="s">
        <v>1017</v>
      </c>
      <c r="AF860" s="147"/>
      <c r="AG860" s="147"/>
      <c r="AH860" s="166" t="str">
        <f t="shared" si="352"/>
        <v/>
      </c>
      <c r="AI860" s="168" t="str">
        <f t="shared" si="340"/>
        <v/>
      </c>
      <c r="AJ860" s="168" t="str">
        <f t="shared" si="341"/>
        <v/>
      </c>
      <c r="AK860" s="168" t="str">
        <f t="shared" si="342"/>
        <v/>
      </c>
      <c r="AL860" s="168" t="str">
        <f t="shared" si="343"/>
        <v/>
      </c>
      <c r="AM860" s="168" t="str">
        <f t="shared" si="344"/>
        <v/>
      </c>
      <c r="AN860" s="167" t="str">
        <f t="shared" si="327"/>
        <v/>
      </c>
      <c r="AO860" s="167" t="str">
        <f t="shared" si="328"/>
        <v/>
      </c>
      <c r="AP860" s="167" t="str">
        <f t="shared" si="329"/>
        <v/>
      </c>
      <c r="AQ860" s="169" t="str">
        <f t="shared" si="330"/>
        <v/>
      </c>
      <c r="AR860" s="170" t="str">
        <f t="shared" si="331"/>
        <v>BiK81X1bKWK-05</v>
      </c>
      <c r="AS860" s="169" t="str">
        <f t="shared" si="332"/>
        <v/>
      </c>
      <c r="AT860">
        <f t="shared" si="333"/>
        <v>14</v>
      </c>
      <c r="AU860" s="170" t="str">
        <f t="shared" si="334"/>
        <v>0-0,15 MW, Bonusregeln X1, b und KWK</v>
      </c>
      <c r="AV860" s="169" t="str">
        <f t="shared" si="335"/>
        <v/>
      </c>
      <c r="AW860" s="170" t="str">
        <f t="shared" si="336"/>
        <v>Anteil KWK</v>
      </c>
      <c r="AX860" s="169" t="str">
        <f t="shared" si="337"/>
        <v/>
      </c>
      <c r="AY860" t="str">
        <f t="shared" si="338"/>
        <v/>
      </c>
      <c r="AZ860" t="str">
        <f t="shared" si="339"/>
        <v/>
      </c>
    </row>
    <row r="861" spans="1:52" x14ac:dyDescent="0.35">
      <c r="A861" s="497" t="s">
        <v>2452</v>
      </c>
      <c r="B861" s="13" t="s">
        <v>5547</v>
      </c>
      <c r="C861" s="13" t="s">
        <v>1288</v>
      </c>
      <c r="D861" s="13" t="s">
        <v>6974</v>
      </c>
      <c r="E861" s="13" t="s">
        <v>4330</v>
      </c>
      <c r="F861" s="373">
        <f t="shared" si="346"/>
        <v>29.67</v>
      </c>
      <c r="G861" s="430">
        <v>29.67</v>
      </c>
      <c r="H861" s="399">
        <f t="shared" si="347"/>
        <v>23.74</v>
      </c>
      <c r="I861" s="576"/>
      <c r="J861" s="549" t="s">
        <v>5804</v>
      </c>
      <c r="K861" s="11"/>
      <c r="M861" s="37">
        <f t="shared" si="348"/>
        <v>29.67</v>
      </c>
      <c r="N861" s="29">
        <v>11.67</v>
      </c>
      <c r="O861" s="149"/>
      <c r="P861" s="145" t="s">
        <v>1017</v>
      </c>
      <c r="Q861" s="145"/>
      <c r="R861" s="145"/>
      <c r="S861" s="145" t="s">
        <v>4179</v>
      </c>
      <c r="T861" t="s">
        <v>4179</v>
      </c>
      <c r="U861" s="146"/>
      <c r="V861" s="145"/>
      <c r="W861" s="147"/>
      <c r="X861" s="147"/>
      <c r="Y861" s="145"/>
      <c r="Z861" s="145"/>
      <c r="AA861" s="147"/>
      <c r="AB861" s="145"/>
      <c r="AC861" s="145" t="s">
        <v>1017</v>
      </c>
      <c r="AD861" s="147"/>
      <c r="AE861" s="148" t="s">
        <v>1017</v>
      </c>
      <c r="AF861" s="147"/>
      <c r="AG861" s="147"/>
      <c r="AH861" s="166" t="str">
        <f t="shared" si="352"/>
        <v/>
      </c>
      <c r="AI861" s="168" t="str">
        <f t="shared" si="340"/>
        <v/>
      </c>
      <c r="AJ861" s="168" t="str">
        <f t="shared" si="341"/>
        <v/>
      </c>
      <c r="AK861" s="168" t="str">
        <f t="shared" si="342"/>
        <v/>
      </c>
      <c r="AL861" s="168" t="str">
        <f t="shared" si="343"/>
        <v/>
      </c>
      <c r="AM861" s="168" t="str">
        <f t="shared" si="344"/>
        <v/>
      </c>
      <c r="AN861" s="167" t="str">
        <f t="shared" si="327"/>
        <v/>
      </c>
      <c r="AO861" s="167" t="str">
        <f t="shared" si="328"/>
        <v/>
      </c>
      <c r="AP861" s="167" t="str">
        <f t="shared" si="329"/>
        <v/>
      </c>
      <c r="AQ861" s="169" t="str">
        <f t="shared" si="330"/>
        <v/>
      </c>
      <c r="AR861" s="170" t="str">
        <f t="shared" si="331"/>
        <v>BiK81X1bKA3-05</v>
      </c>
      <c r="AS861" s="169" t="str">
        <f t="shared" si="332"/>
        <v/>
      </c>
      <c r="AT861">
        <f t="shared" si="333"/>
        <v>14</v>
      </c>
      <c r="AU861" s="170" t="str">
        <f t="shared" si="334"/>
        <v>0-0,15 MW, Bonusregeln X1, b und K wenn Anlage 3 erfüllt</v>
      </c>
      <c r="AV861" s="169" t="str">
        <f t="shared" si="335"/>
        <v/>
      </c>
      <c r="AW861" s="170" t="str">
        <f t="shared" si="336"/>
        <v>Anteil KWK gemäß Anlage 3</v>
      </c>
      <c r="AX861" s="169" t="str">
        <f t="shared" si="337"/>
        <v/>
      </c>
      <c r="AY861" t="str">
        <f t="shared" si="338"/>
        <v/>
      </c>
      <c r="AZ861" t="str">
        <f t="shared" si="339"/>
        <v/>
      </c>
    </row>
    <row r="862" spans="1:52" x14ac:dyDescent="0.35">
      <c r="A862" s="497" t="s">
        <v>2453</v>
      </c>
      <c r="B862" s="13" t="s">
        <v>5547</v>
      </c>
      <c r="C862" s="13" t="s">
        <v>1288</v>
      </c>
      <c r="D862" s="13" t="s">
        <v>6975</v>
      </c>
      <c r="E862" s="13" t="s">
        <v>674</v>
      </c>
      <c r="F862" s="373">
        <f t="shared" si="346"/>
        <v>29.67</v>
      </c>
      <c r="G862" s="430">
        <v>29.67</v>
      </c>
      <c r="H862" s="399">
        <f t="shared" si="347"/>
        <v>23.74</v>
      </c>
      <c r="I862" s="576"/>
      <c r="J862" s="549" t="s">
        <v>5804</v>
      </c>
      <c r="K862" s="11"/>
      <c r="M862" s="37">
        <f t="shared" si="348"/>
        <v>29.67</v>
      </c>
      <c r="N862" s="29">
        <v>11.67</v>
      </c>
      <c r="O862" s="149"/>
      <c r="P862" s="144"/>
      <c r="Q862" s="145" t="s">
        <v>1017</v>
      </c>
      <c r="R862" s="145"/>
      <c r="S862" s="145" t="s">
        <v>4179</v>
      </c>
      <c r="T862" t="s">
        <v>4179</v>
      </c>
      <c r="U862" s="146"/>
      <c r="V862" s="145"/>
      <c r="W862" s="147"/>
      <c r="X862" s="147"/>
      <c r="Y862" s="145"/>
      <c r="Z862" s="145"/>
      <c r="AA862" s="147"/>
      <c r="AB862" s="145"/>
      <c r="AC862" s="145" t="s">
        <v>1017</v>
      </c>
      <c r="AD862" s="147"/>
      <c r="AE862" s="148" t="s">
        <v>1017</v>
      </c>
      <c r="AF862" s="147"/>
      <c r="AG862" s="147"/>
      <c r="AH862" s="166" t="str">
        <f t="shared" si="352"/>
        <v/>
      </c>
      <c r="AI862" s="168" t="str">
        <f t="shared" si="340"/>
        <v/>
      </c>
      <c r="AJ862" s="168" t="str">
        <f t="shared" si="341"/>
        <v/>
      </c>
      <c r="AK862" s="168" t="str">
        <f t="shared" si="342"/>
        <v/>
      </c>
      <c r="AL862" s="168" t="str">
        <f t="shared" si="343"/>
        <v/>
      </c>
      <c r="AM862" s="168" t="str">
        <f t="shared" si="344"/>
        <v/>
      </c>
      <c r="AN862" s="167" t="str">
        <f t="shared" si="327"/>
        <v/>
      </c>
      <c r="AO862" s="167" t="str">
        <f t="shared" si="328"/>
        <v/>
      </c>
      <c r="AP862" s="167" t="str">
        <f t="shared" si="329"/>
        <v/>
      </c>
      <c r="AQ862" s="169" t="str">
        <f t="shared" si="330"/>
        <v/>
      </c>
      <c r="AR862" s="170" t="str">
        <f t="shared" si="331"/>
        <v>BiK81X1bK09-05</v>
      </c>
      <c r="AS862" s="169" t="str">
        <f t="shared" si="332"/>
        <v/>
      </c>
      <c r="AT862">
        <f t="shared" si="333"/>
        <v>14</v>
      </c>
      <c r="AU862" s="170" t="str">
        <f t="shared" si="334"/>
        <v>0-0,15 MW, Bonusregeln X1, b und K erstmals 2009</v>
      </c>
      <c r="AV862" s="169" t="str">
        <f t="shared" si="335"/>
        <v/>
      </c>
      <c r="AW862" s="170" t="str">
        <f t="shared" si="336"/>
        <v>Anteil KWK, erstmals 2009</v>
      </c>
      <c r="AX862" s="169" t="str">
        <f t="shared" si="337"/>
        <v/>
      </c>
      <c r="AY862" t="str">
        <f t="shared" si="338"/>
        <v/>
      </c>
      <c r="AZ862" t="str">
        <f t="shared" si="339"/>
        <v/>
      </c>
    </row>
    <row r="863" spans="1:52" x14ac:dyDescent="0.35">
      <c r="A863" s="497" t="s">
        <v>3589</v>
      </c>
      <c r="B863" s="13" t="s">
        <v>5547</v>
      </c>
      <c r="C863" s="13" t="s">
        <v>1288</v>
      </c>
      <c r="D863" s="13" t="s">
        <v>6976</v>
      </c>
      <c r="E863" s="13" t="s">
        <v>3566</v>
      </c>
      <c r="F863" s="373">
        <f t="shared" si="346"/>
        <v>29.64</v>
      </c>
      <c r="G863" s="430">
        <v>29.64</v>
      </c>
      <c r="H863" s="399">
        <f t="shared" si="347"/>
        <v>23.71</v>
      </c>
      <c r="I863" s="576"/>
      <c r="J863" s="549" t="s">
        <v>5804</v>
      </c>
      <c r="K863" s="11"/>
      <c r="M863" s="37">
        <f t="shared" si="348"/>
        <v>29.64</v>
      </c>
      <c r="N863" s="29">
        <v>11.67</v>
      </c>
      <c r="O863" s="149"/>
      <c r="P863" s="144"/>
      <c r="Q863" s="145"/>
      <c r="R863" s="145" t="s">
        <v>1017</v>
      </c>
      <c r="S863" s="145" t="s">
        <v>4179</v>
      </c>
      <c r="T863" t="s">
        <v>4179</v>
      </c>
      <c r="U863" s="146"/>
      <c r="V863" s="145"/>
      <c r="W863" s="147"/>
      <c r="X863" s="147"/>
      <c r="Y863" s="145"/>
      <c r="Z863" s="145"/>
      <c r="AA863" s="147"/>
      <c r="AB863" s="145"/>
      <c r="AC863" s="145" t="s">
        <v>1017</v>
      </c>
      <c r="AD863" s="147"/>
      <c r="AE863" s="148" t="s">
        <v>1017</v>
      </c>
      <c r="AF863" s="147"/>
      <c r="AG863" s="147"/>
      <c r="AH863" s="166" t="str">
        <f t="shared" si="352"/>
        <v>2010</v>
      </c>
      <c r="AI863" s="168" t="str">
        <f t="shared" si="340"/>
        <v/>
      </c>
      <c r="AJ863" s="168" t="str">
        <f t="shared" si="341"/>
        <v/>
      </c>
      <c r="AK863" s="168" t="str">
        <f t="shared" si="342"/>
        <v/>
      </c>
      <c r="AL863" s="168" t="str">
        <f t="shared" si="343"/>
        <v/>
      </c>
      <c r="AM863" s="168" t="str">
        <f t="shared" si="344"/>
        <v/>
      </c>
      <c r="AN863" s="167" t="str">
        <f t="shared" si="327"/>
        <v>2010</v>
      </c>
      <c r="AO863" s="167" t="str">
        <f t="shared" si="328"/>
        <v>2010</v>
      </c>
      <c r="AP863" s="167" t="str">
        <f t="shared" si="329"/>
        <v>2010</v>
      </c>
      <c r="AQ863" s="169" t="str">
        <f t="shared" si="330"/>
        <v/>
      </c>
      <c r="AR863" s="170" t="str">
        <f t="shared" si="331"/>
        <v>BiK81X1bK10-05</v>
      </c>
      <c r="AS863" s="169" t="str">
        <f t="shared" si="332"/>
        <v/>
      </c>
      <c r="AT863">
        <f t="shared" si="333"/>
        <v>14</v>
      </c>
      <c r="AU863" s="170" t="str">
        <f t="shared" si="334"/>
        <v>0-0,15 MW, Bonusregeln X1, b und K erstmals 2010</v>
      </c>
      <c r="AV863" s="169" t="str">
        <f t="shared" si="335"/>
        <v/>
      </c>
      <c r="AW863" s="170" t="str">
        <f t="shared" si="336"/>
        <v>Anteil KWK, erstmals 2010</v>
      </c>
      <c r="AX863" s="169" t="str">
        <f t="shared" si="337"/>
        <v/>
      </c>
      <c r="AY863" t="str">
        <f t="shared" si="338"/>
        <v/>
      </c>
      <c r="AZ863" t="str">
        <f t="shared" si="339"/>
        <v/>
      </c>
    </row>
    <row r="864" spans="1:52" x14ac:dyDescent="0.35">
      <c r="A864" s="497" t="s">
        <v>5320</v>
      </c>
      <c r="B864" s="13" t="s">
        <v>5547</v>
      </c>
      <c r="C864" s="13" t="s">
        <v>1288</v>
      </c>
      <c r="D864" s="13" t="s">
        <v>6977</v>
      </c>
      <c r="E864" s="13" t="s">
        <v>3054</v>
      </c>
      <c r="F864" s="373">
        <f t="shared" si="346"/>
        <v>29.61</v>
      </c>
      <c r="G864" s="430">
        <v>29.61</v>
      </c>
      <c r="H864" s="399">
        <f t="shared" si="347"/>
        <v>23.69</v>
      </c>
      <c r="I864" s="576"/>
      <c r="J864" s="549" t="s">
        <v>5804</v>
      </c>
      <c r="K864" s="11"/>
      <c r="M864" s="37">
        <f t="shared" si="348"/>
        <v>29.61</v>
      </c>
      <c r="N864" s="29">
        <v>11.67</v>
      </c>
      <c r="O864" s="149"/>
      <c r="P864" s="144"/>
      <c r="Q864" s="145"/>
      <c r="R864" s="145"/>
      <c r="S864" s="145" t="s">
        <v>1017</v>
      </c>
      <c r="T864" t="s">
        <v>4179</v>
      </c>
      <c r="U864" s="146"/>
      <c r="V864" s="145"/>
      <c r="W864" s="147"/>
      <c r="X864" s="147"/>
      <c r="Y864" s="145"/>
      <c r="Z864" s="145"/>
      <c r="AA864" s="147"/>
      <c r="AB864" s="145"/>
      <c r="AC864" s="145" t="s">
        <v>1017</v>
      </c>
      <c r="AD864" s="147"/>
      <c r="AE864" s="148" t="s">
        <v>1017</v>
      </c>
      <c r="AF864" s="147"/>
      <c r="AG864" s="147"/>
      <c r="AH864" s="166" t="str">
        <f t="shared" si="352"/>
        <v>2011</v>
      </c>
      <c r="AI864" s="168" t="str">
        <f t="shared" si="340"/>
        <v/>
      </c>
      <c r="AJ864" s="168" t="str">
        <f t="shared" si="341"/>
        <v/>
      </c>
      <c r="AK864" s="168" t="str">
        <f t="shared" si="342"/>
        <v/>
      </c>
      <c r="AL864" s="168" t="str">
        <f t="shared" si="343"/>
        <v/>
      </c>
      <c r="AM864" s="168" t="str">
        <f t="shared" si="344"/>
        <v/>
      </c>
      <c r="AN864" s="167" t="str">
        <f t="shared" si="327"/>
        <v>2011</v>
      </c>
      <c r="AO864" s="167" t="str">
        <f t="shared" si="328"/>
        <v>2011</v>
      </c>
      <c r="AP864" s="167" t="str">
        <f t="shared" si="329"/>
        <v>2011</v>
      </c>
      <c r="AQ864" s="169" t="str">
        <f t="shared" si="330"/>
        <v/>
      </c>
      <c r="AR864" s="170" t="str">
        <f t="shared" si="331"/>
        <v>BiK81X1bK11-05</v>
      </c>
      <c r="AS864" s="169" t="str">
        <f t="shared" si="332"/>
        <v/>
      </c>
      <c r="AT864">
        <f t="shared" si="333"/>
        <v>14</v>
      </c>
      <c r="AU864" s="170" t="str">
        <f t="shared" si="334"/>
        <v>0-0,15 MW, Bonusregeln X1, b und K erstmals 2011</v>
      </c>
      <c r="AV864" s="169" t="str">
        <f t="shared" si="335"/>
        <v/>
      </c>
      <c r="AW864" s="170" t="str">
        <f t="shared" si="336"/>
        <v>Anteil KWK, erstmals 2011</v>
      </c>
      <c r="AX864" s="169" t="str">
        <f t="shared" si="337"/>
        <v/>
      </c>
      <c r="AY864" t="str">
        <f t="shared" si="338"/>
        <v>x</v>
      </c>
      <c r="AZ864" t="str">
        <f t="shared" si="339"/>
        <v/>
      </c>
    </row>
    <row r="865" spans="1:52" x14ac:dyDescent="0.35">
      <c r="A865" s="511" t="s">
        <v>1571</v>
      </c>
      <c r="B865" s="173" t="s">
        <v>5547</v>
      </c>
      <c r="C865" s="173" t="s">
        <v>1288</v>
      </c>
      <c r="D865" s="173" t="s">
        <v>6978</v>
      </c>
      <c r="E865" s="173" t="s">
        <v>1980</v>
      </c>
      <c r="F865" s="374">
        <f t="shared" si="346"/>
        <v>29.58</v>
      </c>
      <c r="G865" s="431">
        <v>29.58</v>
      </c>
      <c r="H865" s="400">
        <f t="shared" si="347"/>
        <v>23.66</v>
      </c>
      <c r="I865" s="577"/>
      <c r="J865" s="549" t="s">
        <v>5804</v>
      </c>
      <c r="K865" s="11"/>
      <c r="M865" s="37">
        <f t="shared" si="348"/>
        <v>29.58</v>
      </c>
      <c r="N865" s="29">
        <v>11.67</v>
      </c>
      <c r="O865" s="149"/>
      <c r="P865" s="144"/>
      <c r="Q865" s="145"/>
      <c r="R865" s="145"/>
      <c r="S865" s="145" t="s">
        <v>4179</v>
      </c>
      <c r="T865" t="s">
        <v>1017</v>
      </c>
      <c r="U865" s="146"/>
      <c r="V865" s="145"/>
      <c r="W865" s="147"/>
      <c r="X865" s="147"/>
      <c r="Y865" s="145"/>
      <c r="Z865" s="145"/>
      <c r="AA865" s="147"/>
      <c r="AB865" s="145"/>
      <c r="AC865" s="145" t="s">
        <v>1017</v>
      </c>
      <c r="AD865" s="147"/>
      <c r="AE865" s="148" t="s">
        <v>1017</v>
      </c>
      <c r="AF865" s="147"/>
      <c r="AG865" s="147"/>
      <c r="AH865" s="171" t="s">
        <v>4178</v>
      </c>
      <c r="AI865" s="168" t="str">
        <f t="shared" si="340"/>
        <v/>
      </c>
      <c r="AJ865" s="168" t="str">
        <f t="shared" si="341"/>
        <v/>
      </c>
      <c r="AK865" s="168" t="str">
        <f t="shared" si="342"/>
        <v/>
      </c>
      <c r="AL865" s="168" t="str">
        <f t="shared" si="343"/>
        <v/>
      </c>
      <c r="AM865" s="168" t="str">
        <f t="shared" si="344"/>
        <v/>
      </c>
      <c r="AN865" s="167" t="str">
        <f t="shared" si="327"/>
        <v>2012</v>
      </c>
      <c r="AO865" s="167" t="str">
        <f t="shared" si="328"/>
        <v>2012</v>
      </c>
      <c r="AP865" s="167" t="str">
        <f t="shared" si="329"/>
        <v>2012</v>
      </c>
      <c r="AQ865" s="169" t="str">
        <f t="shared" si="330"/>
        <v/>
      </c>
      <c r="AR865" s="170" t="str">
        <f t="shared" si="331"/>
        <v>BiK81X1bK12-05</v>
      </c>
      <c r="AS865" s="169" t="str">
        <f t="shared" si="332"/>
        <v/>
      </c>
      <c r="AT865">
        <f t="shared" si="333"/>
        <v>14</v>
      </c>
      <c r="AU865" s="170" t="str">
        <f t="shared" si="334"/>
        <v>0-0,15 MW, Bonusregeln X1, b und K erstmals 2012</v>
      </c>
      <c r="AV865" s="169" t="str">
        <f t="shared" si="335"/>
        <v/>
      </c>
      <c r="AW865" s="170" t="str">
        <f t="shared" si="336"/>
        <v>Anteil KWK, erstmals 2012</v>
      </c>
      <c r="AX865" s="169" t="str">
        <f t="shared" si="337"/>
        <v/>
      </c>
      <c r="AY865" t="str">
        <f t="shared" si="338"/>
        <v/>
      </c>
      <c r="AZ865" t="str">
        <f t="shared" si="339"/>
        <v>x</v>
      </c>
    </row>
    <row r="866" spans="1:52" x14ac:dyDescent="0.35">
      <c r="A866" s="497" t="s">
        <v>2089</v>
      </c>
      <c r="B866" s="13" t="s">
        <v>5547</v>
      </c>
      <c r="C866" s="13" t="s">
        <v>1288</v>
      </c>
      <c r="D866" s="13" t="s">
        <v>6979</v>
      </c>
      <c r="E866" s="13" t="s">
        <v>4809</v>
      </c>
      <c r="F866" s="373">
        <f t="shared" si="346"/>
        <v>27.67</v>
      </c>
      <c r="G866" s="430">
        <v>27.67</v>
      </c>
      <c r="H866" s="399">
        <f t="shared" si="347"/>
        <v>22.14</v>
      </c>
      <c r="I866" s="576"/>
      <c r="J866" s="549" t="s">
        <v>5804</v>
      </c>
      <c r="K866" s="11"/>
      <c r="M866" s="37">
        <f t="shared" si="348"/>
        <v>27.67</v>
      </c>
      <c r="N866" s="29">
        <v>11.67</v>
      </c>
      <c r="O866" s="149"/>
      <c r="P866" s="144"/>
      <c r="Q866" s="145"/>
      <c r="R866" s="145"/>
      <c r="S866" s="145" t="s">
        <v>4179</v>
      </c>
      <c r="T866" t="s">
        <v>4179</v>
      </c>
      <c r="U866" s="146" t="s">
        <v>1017</v>
      </c>
      <c r="V866" s="145"/>
      <c r="W866" s="147"/>
      <c r="X866" s="147"/>
      <c r="Y866" s="145"/>
      <c r="Z866" s="145"/>
      <c r="AA866" s="147"/>
      <c r="AB866" s="145"/>
      <c r="AC866" s="145" t="s">
        <v>1017</v>
      </c>
      <c r="AD866" s="147"/>
      <c r="AE866" s="148" t="s">
        <v>1017</v>
      </c>
      <c r="AF866" s="147"/>
      <c r="AG866" s="147"/>
      <c r="AH866" s="166" t="str">
        <f t="shared" ref="AH866:AH871" si="353">IF(ISERROR(SEARCH("K erstmals 201",D866)),"",RIGHT(D866,4))</f>
        <v/>
      </c>
      <c r="AI866" s="168" t="str">
        <f t="shared" si="340"/>
        <v/>
      </c>
      <c r="AJ866" s="168" t="str">
        <f t="shared" si="341"/>
        <v/>
      </c>
      <c r="AK866" s="168" t="str">
        <f t="shared" si="342"/>
        <v/>
      </c>
      <c r="AL866" s="168" t="str">
        <f t="shared" si="343"/>
        <v/>
      </c>
      <c r="AM866" s="168" t="str">
        <f t="shared" si="344"/>
        <v/>
      </c>
      <c r="AN866" s="167" t="str">
        <f t="shared" si="327"/>
        <v/>
      </c>
      <c r="AO866" s="167" t="str">
        <f t="shared" si="328"/>
        <v/>
      </c>
      <c r="AP866" s="167" t="str">
        <f t="shared" si="329"/>
        <v/>
      </c>
      <c r="AQ866" s="169" t="str">
        <f t="shared" si="330"/>
        <v/>
      </c>
      <c r="AR866" s="170" t="str">
        <f t="shared" si="331"/>
        <v>BiK81X1by---05</v>
      </c>
      <c r="AS866" s="169" t="str">
        <f t="shared" si="332"/>
        <v/>
      </c>
      <c r="AT866">
        <f t="shared" si="333"/>
        <v>14</v>
      </c>
      <c r="AU866" s="170" t="str">
        <f t="shared" si="334"/>
        <v>0-0,15 MW, Bonusregeln X1, y, b</v>
      </c>
      <c r="AV866" s="169" t="str">
        <f t="shared" si="335"/>
        <v/>
      </c>
      <c r="AW866" s="170" t="str">
        <f t="shared" si="336"/>
        <v>Anteil Nicht-KWK</v>
      </c>
      <c r="AX866" s="169" t="str">
        <f t="shared" si="337"/>
        <v/>
      </c>
      <c r="AY866" t="str">
        <f t="shared" si="338"/>
        <v/>
      </c>
      <c r="AZ866" t="str">
        <f t="shared" si="339"/>
        <v/>
      </c>
    </row>
    <row r="867" spans="1:52" x14ac:dyDescent="0.35">
      <c r="A867" s="497" t="s">
        <v>2090</v>
      </c>
      <c r="B867" s="13" t="s">
        <v>5547</v>
      </c>
      <c r="C867" s="13" t="s">
        <v>1288</v>
      </c>
      <c r="D867" s="13" t="s">
        <v>6980</v>
      </c>
      <c r="E867" s="13" t="s">
        <v>4811</v>
      </c>
      <c r="F867" s="373">
        <f t="shared" si="346"/>
        <v>29.67</v>
      </c>
      <c r="G867" s="430">
        <v>29.67</v>
      </c>
      <c r="H867" s="399">
        <f t="shared" si="347"/>
        <v>23.74</v>
      </c>
      <c r="I867" s="576"/>
      <c r="J867" s="549" t="s">
        <v>5804</v>
      </c>
      <c r="K867" s="11"/>
      <c r="M867" s="37">
        <f t="shared" si="348"/>
        <v>29.67</v>
      </c>
      <c r="N867" s="29">
        <v>11.67</v>
      </c>
      <c r="O867" s="149" t="s">
        <v>1017</v>
      </c>
      <c r="P867" s="144"/>
      <c r="Q867" s="145"/>
      <c r="R867" s="145"/>
      <c r="S867" s="145" t="s">
        <v>4179</v>
      </c>
      <c r="T867" t="s">
        <v>4179</v>
      </c>
      <c r="U867" s="146" t="s">
        <v>1017</v>
      </c>
      <c r="V867" s="145"/>
      <c r="W867" s="147"/>
      <c r="X867" s="147"/>
      <c r="Y867" s="145"/>
      <c r="Z867" s="145"/>
      <c r="AA867" s="147"/>
      <c r="AB867" s="145"/>
      <c r="AC867" s="145" t="s">
        <v>1017</v>
      </c>
      <c r="AD867" s="147"/>
      <c r="AE867" s="148" t="s">
        <v>1017</v>
      </c>
      <c r="AF867" s="147"/>
      <c r="AG867" s="147"/>
      <c r="AH867" s="166" t="str">
        <f t="shared" si="353"/>
        <v/>
      </c>
      <c r="AI867" s="168" t="str">
        <f t="shared" si="340"/>
        <v/>
      </c>
      <c r="AJ867" s="168" t="str">
        <f t="shared" si="341"/>
        <v/>
      </c>
      <c r="AK867" s="168" t="str">
        <f t="shared" si="342"/>
        <v/>
      </c>
      <c r="AL867" s="168" t="str">
        <f t="shared" si="343"/>
        <v/>
      </c>
      <c r="AM867" s="168" t="str">
        <f t="shared" si="344"/>
        <v/>
      </c>
      <c r="AN867" s="167" t="str">
        <f t="shared" si="327"/>
        <v/>
      </c>
      <c r="AO867" s="167" t="str">
        <f t="shared" si="328"/>
        <v/>
      </c>
      <c r="AP867" s="167" t="str">
        <f t="shared" si="329"/>
        <v/>
      </c>
      <c r="AQ867" s="169" t="str">
        <f t="shared" si="330"/>
        <v/>
      </c>
      <c r="AR867" s="170" t="str">
        <f t="shared" si="331"/>
        <v>BiK81X1bKWKy05</v>
      </c>
      <c r="AS867" s="169" t="str">
        <f t="shared" si="332"/>
        <v/>
      </c>
      <c r="AT867">
        <f t="shared" si="333"/>
        <v>14</v>
      </c>
      <c r="AU867" s="170" t="str">
        <f t="shared" si="334"/>
        <v>0-0,15 MW, Bonusregeln X1, y, b und KWK</v>
      </c>
      <c r="AV867" s="169" t="str">
        <f t="shared" si="335"/>
        <v/>
      </c>
      <c r="AW867" s="170" t="str">
        <f t="shared" si="336"/>
        <v>Anteil KWK</v>
      </c>
      <c r="AX867" s="169" t="str">
        <f t="shared" si="337"/>
        <v/>
      </c>
      <c r="AY867" t="str">
        <f t="shared" si="338"/>
        <v/>
      </c>
      <c r="AZ867" t="str">
        <f t="shared" si="339"/>
        <v/>
      </c>
    </row>
    <row r="868" spans="1:52" x14ac:dyDescent="0.35">
      <c r="A868" s="497" t="s">
        <v>2091</v>
      </c>
      <c r="B868" s="13" t="s">
        <v>5547</v>
      </c>
      <c r="C868" s="13" t="s">
        <v>1288</v>
      </c>
      <c r="D868" s="88" t="s">
        <v>6981</v>
      </c>
      <c r="E868" s="13" t="s">
        <v>4330</v>
      </c>
      <c r="F868" s="373">
        <f t="shared" si="346"/>
        <v>30.67</v>
      </c>
      <c r="G868" s="430">
        <v>30.67</v>
      </c>
      <c r="H868" s="399">
        <f t="shared" si="347"/>
        <v>24.54</v>
      </c>
      <c r="I868" s="576"/>
      <c r="J868" s="549" t="s">
        <v>5804</v>
      </c>
      <c r="K868" s="11"/>
      <c r="M868" s="37">
        <f t="shared" si="348"/>
        <v>30.67</v>
      </c>
      <c r="N868" s="29">
        <v>11.67</v>
      </c>
      <c r="O868" s="149"/>
      <c r="P868" s="145" t="s">
        <v>1017</v>
      </c>
      <c r="Q868" s="145"/>
      <c r="R868" s="145"/>
      <c r="S868" s="145" t="s">
        <v>4179</v>
      </c>
      <c r="T868" t="s">
        <v>4179</v>
      </c>
      <c r="U868" s="146" t="s">
        <v>1017</v>
      </c>
      <c r="V868" s="145"/>
      <c r="W868" s="147"/>
      <c r="X868" s="147"/>
      <c r="Y868" s="145"/>
      <c r="Z868" s="145"/>
      <c r="AA868" s="147"/>
      <c r="AB868" s="145"/>
      <c r="AC868" s="145" t="s">
        <v>1017</v>
      </c>
      <c r="AD868" s="147"/>
      <c r="AE868" s="148" t="s">
        <v>1017</v>
      </c>
      <c r="AF868" s="147"/>
      <c r="AG868" s="147"/>
      <c r="AH868" s="166" t="str">
        <f t="shared" si="353"/>
        <v/>
      </c>
      <c r="AI868" s="168" t="str">
        <f t="shared" si="340"/>
        <v/>
      </c>
      <c r="AJ868" s="168" t="str">
        <f t="shared" si="341"/>
        <v/>
      </c>
      <c r="AK868" s="168" t="str">
        <f t="shared" si="342"/>
        <v/>
      </c>
      <c r="AL868" s="168" t="str">
        <f t="shared" si="343"/>
        <v/>
      </c>
      <c r="AM868" s="168" t="str">
        <f t="shared" si="344"/>
        <v/>
      </c>
      <c r="AN868" s="167" t="str">
        <f t="shared" si="327"/>
        <v/>
      </c>
      <c r="AO868" s="167" t="str">
        <f t="shared" si="328"/>
        <v/>
      </c>
      <c r="AP868" s="167" t="str">
        <f t="shared" si="329"/>
        <v/>
      </c>
      <c r="AQ868" s="169" t="str">
        <f t="shared" si="330"/>
        <v/>
      </c>
      <c r="AR868" s="170" t="str">
        <f t="shared" si="331"/>
        <v>BiK81X1bKA3y05</v>
      </c>
      <c r="AS868" s="169" t="str">
        <f t="shared" si="332"/>
        <v/>
      </c>
      <c r="AT868">
        <f t="shared" si="333"/>
        <v>14</v>
      </c>
      <c r="AU868" s="170" t="str">
        <f t="shared" si="334"/>
        <v>0-0,15 MW, Bonusregeln X1, y, b und K wenn Anlage 3 erfüllt</v>
      </c>
      <c r="AV868" s="169" t="str">
        <f t="shared" si="335"/>
        <v/>
      </c>
      <c r="AW868" s="170" t="str">
        <f t="shared" si="336"/>
        <v>Anteil KWK gemäß Anlage 3</v>
      </c>
      <c r="AX868" s="169" t="str">
        <f t="shared" si="337"/>
        <v/>
      </c>
      <c r="AY868" t="str">
        <f t="shared" si="338"/>
        <v/>
      </c>
      <c r="AZ868" t="str">
        <f t="shared" si="339"/>
        <v/>
      </c>
    </row>
    <row r="869" spans="1:52" x14ac:dyDescent="0.35">
      <c r="A869" s="497" t="s">
        <v>2092</v>
      </c>
      <c r="B869" s="13" t="s">
        <v>5547</v>
      </c>
      <c r="C869" s="13" t="s">
        <v>1288</v>
      </c>
      <c r="D869" s="13" t="s">
        <v>6982</v>
      </c>
      <c r="E869" s="13" t="s">
        <v>674</v>
      </c>
      <c r="F869" s="373">
        <f t="shared" si="346"/>
        <v>30.67</v>
      </c>
      <c r="G869" s="430">
        <v>30.67</v>
      </c>
      <c r="H869" s="399">
        <f t="shared" si="347"/>
        <v>24.54</v>
      </c>
      <c r="I869" s="576"/>
      <c r="J869" s="549" t="s">
        <v>5804</v>
      </c>
      <c r="K869" s="11"/>
      <c r="M869" s="37">
        <f t="shared" si="348"/>
        <v>30.67</v>
      </c>
      <c r="N869" s="29">
        <v>11.67</v>
      </c>
      <c r="O869" s="149"/>
      <c r="P869" s="144"/>
      <c r="Q869" s="145" t="s">
        <v>1017</v>
      </c>
      <c r="R869" s="145"/>
      <c r="S869" s="145" t="s">
        <v>4179</v>
      </c>
      <c r="T869" t="s">
        <v>4179</v>
      </c>
      <c r="U869" s="146" t="s">
        <v>1017</v>
      </c>
      <c r="V869" s="145"/>
      <c r="W869" s="147"/>
      <c r="X869" s="147"/>
      <c r="Y869" s="145"/>
      <c r="Z869" s="145"/>
      <c r="AA869" s="147"/>
      <c r="AB869" s="145"/>
      <c r="AC869" s="145" t="s">
        <v>1017</v>
      </c>
      <c r="AD869" s="147"/>
      <c r="AE869" s="148" t="s">
        <v>1017</v>
      </c>
      <c r="AF869" s="147"/>
      <c r="AG869" s="147"/>
      <c r="AH869" s="166" t="str">
        <f t="shared" si="353"/>
        <v/>
      </c>
      <c r="AI869" s="168" t="str">
        <f t="shared" si="340"/>
        <v/>
      </c>
      <c r="AJ869" s="168" t="str">
        <f t="shared" si="341"/>
        <v/>
      </c>
      <c r="AK869" s="168" t="str">
        <f t="shared" si="342"/>
        <v/>
      </c>
      <c r="AL869" s="168" t="str">
        <f t="shared" si="343"/>
        <v/>
      </c>
      <c r="AM869" s="168" t="str">
        <f t="shared" si="344"/>
        <v/>
      </c>
      <c r="AN869" s="167" t="str">
        <f t="shared" si="327"/>
        <v/>
      </c>
      <c r="AO869" s="167" t="str">
        <f t="shared" si="328"/>
        <v/>
      </c>
      <c r="AP869" s="167" t="str">
        <f t="shared" si="329"/>
        <v/>
      </c>
      <c r="AQ869" s="169" t="str">
        <f t="shared" si="330"/>
        <v/>
      </c>
      <c r="AR869" s="170" t="str">
        <f t="shared" si="331"/>
        <v>BiK81X1bK09y05</v>
      </c>
      <c r="AS869" s="169" t="str">
        <f t="shared" si="332"/>
        <v/>
      </c>
      <c r="AT869">
        <f t="shared" si="333"/>
        <v>14</v>
      </c>
      <c r="AU869" s="170" t="str">
        <f t="shared" si="334"/>
        <v>0-0,15 MW, Bonusregeln X1, y, b und K erstmals 2009</v>
      </c>
      <c r="AV869" s="169" t="str">
        <f t="shared" si="335"/>
        <v/>
      </c>
      <c r="AW869" s="170" t="str">
        <f t="shared" si="336"/>
        <v>Anteil KWK, erstmals 2009</v>
      </c>
      <c r="AX869" s="169" t="str">
        <f t="shared" si="337"/>
        <v/>
      </c>
      <c r="AY869" t="str">
        <f t="shared" si="338"/>
        <v/>
      </c>
      <c r="AZ869" t="str">
        <f t="shared" si="339"/>
        <v/>
      </c>
    </row>
    <row r="870" spans="1:52" x14ac:dyDescent="0.35">
      <c r="A870" s="497" t="s">
        <v>3590</v>
      </c>
      <c r="B870" s="13" t="s">
        <v>5547</v>
      </c>
      <c r="C870" s="13" t="s">
        <v>1288</v>
      </c>
      <c r="D870" s="13" t="s">
        <v>6983</v>
      </c>
      <c r="E870" s="13" t="s">
        <v>3566</v>
      </c>
      <c r="F870" s="373">
        <f t="shared" si="346"/>
        <v>30.64</v>
      </c>
      <c r="G870" s="430">
        <v>30.64</v>
      </c>
      <c r="H870" s="399">
        <f t="shared" si="347"/>
        <v>24.51</v>
      </c>
      <c r="I870" s="576"/>
      <c r="J870" s="549" t="s">
        <v>5804</v>
      </c>
      <c r="K870" s="11"/>
      <c r="M870" s="37">
        <f t="shared" si="348"/>
        <v>30.64</v>
      </c>
      <c r="N870" s="29">
        <v>11.67</v>
      </c>
      <c r="O870" s="149"/>
      <c r="P870" s="144"/>
      <c r="Q870" s="145"/>
      <c r="R870" s="145" t="s">
        <v>1017</v>
      </c>
      <c r="S870" s="145" t="s">
        <v>4179</v>
      </c>
      <c r="T870" t="s">
        <v>4179</v>
      </c>
      <c r="U870" s="146" t="s">
        <v>1017</v>
      </c>
      <c r="V870" s="145"/>
      <c r="W870" s="147"/>
      <c r="X870" s="147"/>
      <c r="Y870" s="145"/>
      <c r="Z870" s="145"/>
      <c r="AA870" s="147"/>
      <c r="AB870" s="145"/>
      <c r="AC870" s="145" t="s">
        <v>1017</v>
      </c>
      <c r="AD870" s="147"/>
      <c r="AE870" s="148" t="s">
        <v>1017</v>
      </c>
      <c r="AF870" s="147"/>
      <c r="AG870" s="147"/>
      <c r="AH870" s="166" t="str">
        <f t="shared" si="353"/>
        <v>2010</v>
      </c>
      <c r="AI870" s="168" t="str">
        <f t="shared" si="340"/>
        <v/>
      </c>
      <c r="AJ870" s="168" t="str">
        <f t="shared" si="341"/>
        <v/>
      </c>
      <c r="AK870" s="168" t="str">
        <f t="shared" si="342"/>
        <v/>
      </c>
      <c r="AL870" s="168" t="str">
        <f t="shared" si="343"/>
        <v/>
      </c>
      <c r="AM870" s="168" t="str">
        <f t="shared" si="344"/>
        <v/>
      </c>
      <c r="AN870" s="167" t="str">
        <f t="shared" si="327"/>
        <v>2010</v>
      </c>
      <c r="AO870" s="167" t="str">
        <f t="shared" si="328"/>
        <v>2010</v>
      </c>
      <c r="AP870" s="167" t="str">
        <f t="shared" si="329"/>
        <v>2010</v>
      </c>
      <c r="AQ870" s="169" t="str">
        <f t="shared" si="330"/>
        <v/>
      </c>
      <c r="AR870" s="170" t="str">
        <f t="shared" si="331"/>
        <v>BiK81X1bK10y05</v>
      </c>
      <c r="AS870" s="169" t="str">
        <f t="shared" si="332"/>
        <v/>
      </c>
      <c r="AT870">
        <f t="shared" si="333"/>
        <v>14</v>
      </c>
      <c r="AU870" s="170" t="str">
        <f t="shared" si="334"/>
        <v>0-0,15 MW, Bonusregeln X1, y, b und K erstmals 2010</v>
      </c>
      <c r="AV870" s="169" t="str">
        <f t="shared" si="335"/>
        <v/>
      </c>
      <c r="AW870" s="170" t="str">
        <f t="shared" si="336"/>
        <v>Anteil KWK, erstmals 2010</v>
      </c>
      <c r="AX870" s="169" t="str">
        <f t="shared" si="337"/>
        <v/>
      </c>
      <c r="AY870" t="str">
        <f t="shared" si="338"/>
        <v/>
      </c>
      <c r="AZ870" t="str">
        <f t="shared" si="339"/>
        <v/>
      </c>
    </row>
    <row r="871" spans="1:52" x14ac:dyDescent="0.35">
      <c r="A871" s="497" t="s">
        <v>5321</v>
      </c>
      <c r="B871" s="13" t="s">
        <v>5547</v>
      </c>
      <c r="C871" s="13" t="s">
        <v>1288</v>
      </c>
      <c r="D871" s="13" t="s">
        <v>6984</v>
      </c>
      <c r="E871" s="13" t="s">
        <v>3054</v>
      </c>
      <c r="F871" s="373">
        <f t="shared" si="346"/>
        <v>30.61</v>
      </c>
      <c r="G871" s="430">
        <v>30.61</v>
      </c>
      <c r="H871" s="399">
        <f t="shared" si="347"/>
        <v>24.49</v>
      </c>
      <c r="I871" s="576"/>
      <c r="J871" s="549" t="s">
        <v>5804</v>
      </c>
      <c r="K871" s="11"/>
      <c r="M871" s="37">
        <f t="shared" si="348"/>
        <v>30.61</v>
      </c>
      <c r="N871" s="29">
        <v>11.67</v>
      </c>
      <c r="O871" s="149"/>
      <c r="P871" s="144"/>
      <c r="Q871" s="145"/>
      <c r="R871" s="145"/>
      <c r="S871" s="145" t="s">
        <v>1017</v>
      </c>
      <c r="T871" t="s">
        <v>4179</v>
      </c>
      <c r="U871" s="146" t="s">
        <v>1017</v>
      </c>
      <c r="V871" s="145"/>
      <c r="W871" s="147"/>
      <c r="X871" s="147"/>
      <c r="Y871" s="145"/>
      <c r="Z871" s="145"/>
      <c r="AA871" s="147"/>
      <c r="AB871" s="145"/>
      <c r="AC871" s="145" t="s">
        <v>1017</v>
      </c>
      <c r="AD871" s="147"/>
      <c r="AE871" s="148" t="s">
        <v>1017</v>
      </c>
      <c r="AF871" s="147"/>
      <c r="AG871" s="147"/>
      <c r="AH871" s="166" t="str">
        <f t="shared" si="353"/>
        <v>2011</v>
      </c>
      <c r="AI871" s="168" t="str">
        <f t="shared" si="340"/>
        <v/>
      </c>
      <c r="AJ871" s="168" t="str">
        <f t="shared" si="341"/>
        <v/>
      </c>
      <c r="AK871" s="168" t="str">
        <f t="shared" si="342"/>
        <v/>
      </c>
      <c r="AL871" s="168" t="str">
        <f t="shared" si="343"/>
        <v/>
      </c>
      <c r="AM871" s="168" t="str">
        <f t="shared" si="344"/>
        <v/>
      </c>
      <c r="AN871" s="167" t="str">
        <f t="shared" si="327"/>
        <v>2011</v>
      </c>
      <c r="AO871" s="167" t="str">
        <f t="shared" si="328"/>
        <v>2011</v>
      </c>
      <c r="AP871" s="167" t="str">
        <f t="shared" si="329"/>
        <v>2011</v>
      </c>
      <c r="AQ871" s="169" t="str">
        <f t="shared" si="330"/>
        <v/>
      </c>
      <c r="AR871" s="170" t="str">
        <f t="shared" si="331"/>
        <v>BiK81X1bK11y05</v>
      </c>
      <c r="AS871" s="169" t="str">
        <f t="shared" si="332"/>
        <v/>
      </c>
      <c r="AT871">
        <f t="shared" si="333"/>
        <v>14</v>
      </c>
      <c r="AU871" s="170" t="str">
        <f t="shared" si="334"/>
        <v>0-0,15 MW, Bonusregeln X1, y, b und K erstmals 2011</v>
      </c>
      <c r="AV871" s="169" t="str">
        <f t="shared" si="335"/>
        <v/>
      </c>
      <c r="AW871" s="170" t="str">
        <f t="shared" si="336"/>
        <v>Anteil KWK, erstmals 2011</v>
      </c>
      <c r="AX871" s="169" t="str">
        <f t="shared" si="337"/>
        <v/>
      </c>
      <c r="AY871" t="str">
        <f t="shared" si="338"/>
        <v>x</v>
      </c>
      <c r="AZ871" t="str">
        <f t="shared" si="339"/>
        <v/>
      </c>
    </row>
    <row r="872" spans="1:52" x14ac:dyDescent="0.35">
      <c r="A872" s="511" t="s">
        <v>1572</v>
      </c>
      <c r="B872" s="173" t="s">
        <v>5547</v>
      </c>
      <c r="C872" s="173" t="s">
        <v>1288</v>
      </c>
      <c r="D872" s="173" t="s">
        <v>6985</v>
      </c>
      <c r="E872" s="173" t="s">
        <v>1980</v>
      </c>
      <c r="F872" s="374">
        <f t="shared" si="346"/>
        <v>30.58</v>
      </c>
      <c r="G872" s="431">
        <v>30.58</v>
      </c>
      <c r="H872" s="400">
        <f t="shared" si="347"/>
        <v>24.46</v>
      </c>
      <c r="I872" s="577"/>
      <c r="J872" s="549" t="s">
        <v>5804</v>
      </c>
      <c r="K872" s="11"/>
      <c r="M872" s="37">
        <f t="shared" si="348"/>
        <v>30.58</v>
      </c>
      <c r="N872" s="29">
        <v>11.67</v>
      </c>
      <c r="O872" s="149"/>
      <c r="P872" s="144"/>
      <c r="Q872" s="145"/>
      <c r="R872" s="145"/>
      <c r="S872" s="145" t="s">
        <v>4179</v>
      </c>
      <c r="T872" t="s">
        <v>1017</v>
      </c>
      <c r="U872" s="146" t="s">
        <v>1017</v>
      </c>
      <c r="V872" s="145"/>
      <c r="W872" s="147"/>
      <c r="X872" s="147"/>
      <c r="Y872" s="145"/>
      <c r="Z872" s="145"/>
      <c r="AA872" s="147"/>
      <c r="AB872" s="145"/>
      <c r="AC872" s="145" t="s">
        <v>1017</v>
      </c>
      <c r="AD872" s="147"/>
      <c r="AE872" s="148" t="s">
        <v>1017</v>
      </c>
      <c r="AF872" s="147"/>
      <c r="AG872" s="147"/>
      <c r="AH872" s="171" t="s">
        <v>4178</v>
      </c>
      <c r="AI872" s="168" t="str">
        <f t="shared" si="340"/>
        <v/>
      </c>
      <c r="AJ872" s="168" t="str">
        <f t="shared" si="341"/>
        <v/>
      </c>
      <c r="AK872" s="168" t="str">
        <f t="shared" si="342"/>
        <v/>
      </c>
      <c r="AL872" s="168" t="str">
        <f t="shared" si="343"/>
        <v/>
      </c>
      <c r="AM872" s="168" t="str">
        <f t="shared" si="344"/>
        <v/>
      </c>
      <c r="AN872" s="167" t="str">
        <f t="shared" si="327"/>
        <v>2012</v>
      </c>
      <c r="AO872" s="167" t="str">
        <f t="shared" si="328"/>
        <v>2012</v>
      </c>
      <c r="AP872" s="167" t="str">
        <f t="shared" si="329"/>
        <v>2012</v>
      </c>
      <c r="AQ872" s="169" t="str">
        <f t="shared" si="330"/>
        <v/>
      </c>
      <c r="AR872" s="170" t="str">
        <f t="shared" si="331"/>
        <v>BiK81X1bK12y05</v>
      </c>
      <c r="AS872" s="169" t="str">
        <f t="shared" si="332"/>
        <v/>
      </c>
      <c r="AT872">
        <f t="shared" si="333"/>
        <v>14</v>
      </c>
      <c r="AU872" s="170" t="str">
        <f t="shared" si="334"/>
        <v>0-0,15 MW, Bonusregeln X1, y, b und K erstmals 2012</v>
      </c>
      <c r="AV872" s="169" t="str">
        <f t="shared" si="335"/>
        <v/>
      </c>
      <c r="AW872" s="170" t="str">
        <f t="shared" si="336"/>
        <v>Anteil KWK, erstmals 2012</v>
      </c>
      <c r="AX872" s="169" t="str">
        <f t="shared" si="337"/>
        <v/>
      </c>
      <c r="AY872" t="str">
        <f t="shared" si="338"/>
        <v/>
      </c>
      <c r="AZ872" t="str">
        <f t="shared" si="339"/>
        <v>x</v>
      </c>
    </row>
    <row r="873" spans="1:52" x14ac:dyDescent="0.35">
      <c r="A873" s="496" t="s">
        <v>4513</v>
      </c>
      <c r="B873" s="1" t="s">
        <v>5547</v>
      </c>
      <c r="C873" s="1" t="s">
        <v>1288</v>
      </c>
      <c r="D873" s="1" t="s">
        <v>1779</v>
      </c>
      <c r="E873" s="1" t="s">
        <v>4809</v>
      </c>
      <c r="F873" s="375">
        <f t="shared" si="346"/>
        <v>9.75</v>
      </c>
      <c r="G873" s="432">
        <v>9.75</v>
      </c>
      <c r="H873" s="401">
        <f t="shared" si="347"/>
        <v>7.8</v>
      </c>
      <c r="I873" s="578"/>
      <c r="J873" s="549" t="s">
        <v>5804</v>
      </c>
      <c r="K873" s="11"/>
      <c r="M873" s="37">
        <f t="shared" si="348"/>
        <v>9.75</v>
      </c>
      <c r="N873" s="29">
        <v>9.75</v>
      </c>
      <c r="O873" s="41"/>
      <c r="P873" s="11"/>
      <c r="S873" t="s">
        <v>4179</v>
      </c>
      <c r="T873" t="s">
        <v>4179</v>
      </c>
      <c r="U873" s="42"/>
      <c r="W873" s="50"/>
      <c r="X873" s="50"/>
      <c r="Z873" s="50"/>
      <c r="AC873" s="50"/>
      <c r="AE873" s="75"/>
      <c r="AF873" s="50"/>
      <c r="AG873" s="50"/>
      <c r="AH873" s="166" t="str">
        <f t="shared" ref="AH873:AH878" si="354">IF(ISERROR(SEARCH("K erstmals 201",D873)),"",RIGHT(D873,4))</f>
        <v/>
      </c>
      <c r="AI873" s="168" t="str">
        <f t="shared" si="340"/>
        <v/>
      </c>
      <c r="AJ873" s="168" t="str">
        <f t="shared" si="341"/>
        <v/>
      </c>
      <c r="AK873" s="168" t="str">
        <f t="shared" si="342"/>
        <v/>
      </c>
      <c r="AL873" s="168" t="str">
        <f t="shared" si="343"/>
        <v/>
      </c>
      <c r="AM873" s="168" t="str">
        <f t="shared" si="344"/>
        <v/>
      </c>
      <c r="AN873" s="167" t="str">
        <f t="shared" si="327"/>
        <v/>
      </c>
      <c r="AO873" s="167" t="str">
        <f t="shared" si="328"/>
        <v/>
      </c>
      <c r="AP873" s="167" t="str">
        <f t="shared" si="329"/>
        <v/>
      </c>
      <c r="AQ873" s="169" t="str">
        <f t="shared" si="330"/>
        <v/>
      </c>
      <c r="AR873" s="170" t="str">
        <f t="shared" si="331"/>
        <v>BiK82-------05</v>
      </c>
      <c r="AS873" s="169" t="str">
        <f t="shared" si="332"/>
        <v/>
      </c>
      <c r="AT873">
        <f t="shared" si="333"/>
        <v>14</v>
      </c>
      <c r="AU873" s="170" t="str">
        <f t="shared" si="334"/>
        <v>0,15-0,5 MW</v>
      </c>
      <c r="AV873" s="169" t="str">
        <f t="shared" si="335"/>
        <v/>
      </c>
      <c r="AW873" s="170" t="str">
        <f t="shared" si="336"/>
        <v>Anteil Nicht-KWK</v>
      </c>
      <c r="AX873" s="169" t="str">
        <f t="shared" si="337"/>
        <v/>
      </c>
      <c r="AY873" t="str">
        <f t="shared" si="338"/>
        <v/>
      </c>
      <c r="AZ873" t="str">
        <f t="shared" si="339"/>
        <v/>
      </c>
    </row>
    <row r="874" spans="1:52" x14ac:dyDescent="0.35">
      <c r="A874" s="496" t="s">
        <v>4514</v>
      </c>
      <c r="B874" s="1" t="s">
        <v>5547</v>
      </c>
      <c r="C874" s="1" t="s">
        <v>1288</v>
      </c>
      <c r="D874" s="1" t="s">
        <v>7086</v>
      </c>
      <c r="E874" s="1" t="s">
        <v>4811</v>
      </c>
      <c r="F874" s="375">
        <f t="shared" si="346"/>
        <v>11.75</v>
      </c>
      <c r="G874" s="432">
        <v>11.75</v>
      </c>
      <c r="H874" s="401">
        <f t="shared" si="347"/>
        <v>9.4</v>
      </c>
      <c r="I874" s="578"/>
      <c r="J874" s="549" t="s">
        <v>5804</v>
      </c>
      <c r="K874" s="11"/>
      <c r="M874" s="37">
        <f t="shared" si="348"/>
        <v>11.75</v>
      </c>
      <c r="N874" s="29">
        <v>9.75</v>
      </c>
      <c r="O874" s="41" t="s">
        <v>1017</v>
      </c>
      <c r="P874" s="11"/>
      <c r="S874" t="s">
        <v>4179</v>
      </c>
      <c r="T874" t="s">
        <v>4179</v>
      </c>
      <c r="U874" s="42"/>
      <c r="W874" s="50"/>
      <c r="X874" s="50"/>
      <c r="Z874" s="50"/>
      <c r="AC874" s="50"/>
      <c r="AE874" s="75"/>
      <c r="AF874" s="50"/>
      <c r="AG874" s="50"/>
      <c r="AH874" s="166" t="str">
        <f t="shared" si="354"/>
        <v/>
      </c>
      <c r="AI874" s="168" t="str">
        <f t="shared" si="340"/>
        <v/>
      </c>
      <c r="AJ874" s="168" t="str">
        <f t="shared" si="341"/>
        <v/>
      </c>
      <c r="AK874" s="168" t="str">
        <f t="shared" si="342"/>
        <v/>
      </c>
      <c r="AL874" s="168" t="str">
        <f t="shared" si="343"/>
        <v/>
      </c>
      <c r="AM874" s="168" t="str">
        <f t="shared" si="344"/>
        <v/>
      </c>
      <c r="AN874" s="167" t="str">
        <f t="shared" si="327"/>
        <v/>
      </c>
      <c r="AO874" s="167" t="str">
        <f t="shared" si="328"/>
        <v/>
      </c>
      <c r="AP874" s="167" t="str">
        <f t="shared" si="329"/>
        <v/>
      </c>
      <c r="AQ874" s="169" t="str">
        <f t="shared" si="330"/>
        <v/>
      </c>
      <c r="AR874" s="170" t="str">
        <f t="shared" si="331"/>
        <v>BiK82KWK----05</v>
      </c>
      <c r="AS874" s="169" t="str">
        <f t="shared" si="332"/>
        <v/>
      </c>
      <c r="AT874">
        <f t="shared" si="333"/>
        <v>14</v>
      </c>
      <c r="AU874" s="170" t="str">
        <f t="shared" si="334"/>
        <v>0,15-0,5 MW, Bonusregel KWK</v>
      </c>
      <c r="AV874" s="169" t="str">
        <f t="shared" si="335"/>
        <v/>
      </c>
      <c r="AW874" s="170" t="str">
        <f t="shared" si="336"/>
        <v>Anteil KWK</v>
      </c>
      <c r="AX874" s="169" t="str">
        <f t="shared" si="337"/>
        <v/>
      </c>
      <c r="AY874" t="str">
        <f t="shared" si="338"/>
        <v/>
      </c>
      <c r="AZ874" t="str">
        <f t="shared" si="339"/>
        <v/>
      </c>
    </row>
    <row r="875" spans="1:52" x14ac:dyDescent="0.35">
      <c r="A875" s="497" t="s">
        <v>4345</v>
      </c>
      <c r="B875" s="13" t="s">
        <v>5547</v>
      </c>
      <c r="C875" s="13" t="s">
        <v>1288</v>
      </c>
      <c r="D875" s="13" t="s">
        <v>7087</v>
      </c>
      <c r="E875" s="13" t="s">
        <v>4330</v>
      </c>
      <c r="F875" s="373">
        <f t="shared" si="346"/>
        <v>12.75</v>
      </c>
      <c r="G875" s="430">
        <v>12.75</v>
      </c>
      <c r="H875" s="399">
        <f t="shared" si="347"/>
        <v>10.199999999999999</v>
      </c>
      <c r="I875" s="576"/>
      <c r="J875" s="549" t="s">
        <v>5804</v>
      </c>
      <c r="K875" s="11"/>
      <c r="M875" s="37">
        <f t="shared" si="348"/>
        <v>12.75</v>
      </c>
      <c r="N875" s="29">
        <v>9.75</v>
      </c>
      <c r="O875" s="41"/>
      <c r="P875" t="s">
        <v>1017</v>
      </c>
      <c r="S875" t="s">
        <v>4179</v>
      </c>
      <c r="T875" t="s">
        <v>4179</v>
      </c>
      <c r="U875" s="42"/>
      <c r="W875" s="50"/>
      <c r="X875" s="50"/>
      <c r="Z875" s="50"/>
      <c r="AC875" s="50"/>
      <c r="AE875" s="75"/>
      <c r="AF875" s="50"/>
      <c r="AG875" s="50"/>
      <c r="AH875" s="166" t="str">
        <f t="shared" si="354"/>
        <v/>
      </c>
      <c r="AI875" s="168" t="str">
        <f t="shared" si="340"/>
        <v/>
      </c>
      <c r="AJ875" s="168" t="str">
        <f t="shared" si="341"/>
        <v/>
      </c>
      <c r="AK875" s="168" t="str">
        <f t="shared" si="342"/>
        <v/>
      </c>
      <c r="AL875" s="168" t="str">
        <f t="shared" si="343"/>
        <v/>
      </c>
      <c r="AM875" s="168" t="str">
        <f t="shared" si="344"/>
        <v/>
      </c>
      <c r="AN875" s="167" t="str">
        <f t="shared" si="327"/>
        <v/>
      </c>
      <c r="AO875" s="167" t="str">
        <f t="shared" si="328"/>
        <v/>
      </c>
      <c r="AP875" s="167" t="str">
        <f t="shared" si="329"/>
        <v/>
      </c>
      <c r="AQ875" s="169" t="str">
        <f t="shared" si="330"/>
        <v/>
      </c>
      <c r="AR875" s="170" t="str">
        <f t="shared" si="331"/>
        <v>BiK82KA3----05</v>
      </c>
      <c r="AS875" s="169" t="str">
        <f t="shared" si="332"/>
        <v/>
      </c>
      <c r="AT875">
        <f t="shared" si="333"/>
        <v>14</v>
      </c>
      <c r="AU875" s="170" t="str">
        <f t="shared" si="334"/>
        <v>0,15-0,5 MW, Bonusregel K wenn Anlage 3 erfüllt</v>
      </c>
      <c r="AV875" s="169" t="str">
        <f t="shared" si="335"/>
        <v/>
      </c>
      <c r="AW875" s="170" t="str">
        <f t="shared" si="336"/>
        <v>Anteil KWK gemäß Anlage 3</v>
      </c>
      <c r="AX875" s="169" t="str">
        <f t="shared" si="337"/>
        <v/>
      </c>
      <c r="AY875" t="str">
        <f t="shared" si="338"/>
        <v/>
      </c>
      <c r="AZ875" t="str">
        <f t="shared" si="339"/>
        <v/>
      </c>
    </row>
    <row r="876" spans="1:52" x14ac:dyDescent="0.35">
      <c r="A876" s="497" t="s">
        <v>2348</v>
      </c>
      <c r="B876" s="13" t="s">
        <v>5547</v>
      </c>
      <c r="C876" s="13" t="s">
        <v>1288</v>
      </c>
      <c r="D876" s="13" t="s">
        <v>7088</v>
      </c>
      <c r="E876" s="13" t="s">
        <v>674</v>
      </c>
      <c r="F876" s="373">
        <f t="shared" si="346"/>
        <v>12.75</v>
      </c>
      <c r="G876" s="430">
        <v>12.75</v>
      </c>
      <c r="H876" s="399">
        <f t="shared" si="347"/>
        <v>10.199999999999999</v>
      </c>
      <c r="I876" s="576"/>
      <c r="J876" s="549" t="s">
        <v>5804</v>
      </c>
      <c r="K876" s="11"/>
      <c r="M876" s="37">
        <f t="shared" si="348"/>
        <v>12.75</v>
      </c>
      <c r="N876" s="29">
        <v>9.75</v>
      </c>
      <c r="O876" s="41"/>
      <c r="P876" s="11"/>
      <c r="Q876" t="s">
        <v>1017</v>
      </c>
      <c r="S876" t="s">
        <v>4179</v>
      </c>
      <c r="T876" t="s">
        <v>4179</v>
      </c>
      <c r="U876" s="42"/>
      <c r="W876" s="50"/>
      <c r="X876" s="50"/>
      <c r="Z876" s="50"/>
      <c r="AC876" s="50"/>
      <c r="AE876" s="75"/>
      <c r="AF876" s="50"/>
      <c r="AG876" s="50"/>
      <c r="AH876" s="166" t="str">
        <f t="shared" si="354"/>
        <v/>
      </c>
      <c r="AI876" s="168" t="str">
        <f t="shared" si="340"/>
        <v/>
      </c>
      <c r="AJ876" s="168" t="str">
        <f t="shared" si="341"/>
        <v/>
      </c>
      <c r="AK876" s="168" t="str">
        <f t="shared" si="342"/>
        <v/>
      </c>
      <c r="AL876" s="168" t="str">
        <f t="shared" si="343"/>
        <v/>
      </c>
      <c r="AM876" s="168" t="str">
        <f t="shared" si="344"/>
        <v/>
      </c>
      <c r="AN876" s="167" t="str">
        <f t="shared" si="327"/>
        <v/>
      </c>
      <c r="AO876" s="167" t="str">
        <f t="shared" si="328"/>
        <v/>
      </c>
      <c r="AP876" s="167" t="str">
        <f t="shared" si="329"/>
        <v/>
      </c>
      <c r="AQ876" s="169" t="str">
        <f t="shared" si="330"/>
        <v/>
      </c>
      <c r="AR876" s="170" t="str">
        <f t="shared" si="331"/>
        <v>BiK82K09----05</v>
      </c>
      <c r="AS876" s="169" t="str">
        <f t="shared" si="332"/>
        <v/>
      </c>
      <c r="AT876">
        <f t="shared" si="333"/>
        <v>14</v>
      </c>
      <c r="AU876" s="170" t="str">
        <f t="shared" si="334"/>
        <v>0,15-0,5 MW, Bonusregel K erstmals 2009</v>
      </c>
      <c r="AV876" s="169" t="str">
        <f t="shared" si="335"/>
        <v/>
      </c>
      <c r="AW876" s="170" t="str">
        <f t="shared" si="336"/>
        <v>Anteil KWK, erstmals 2009</v>
      </c>
      <c r="AX876" s="169" t="str">
        <f t="shared" si="337"/>
        <v/>
      </c>
      <c r="AY876" t="str">
        <f t="shared" si="338"/>
        <v/>
      </c>
      <c r="AZ876" t="str">
        <f t="shared" si="339"/>
        <v/>
      </c>
    </row>
    <row r="877" spans="1:52" x14ac:dyDescent="0.35">
      <c r="A877" s="497" t="s">
        <v>3591</v>
      </c>
      <c r="B877" s="13" t="s">
        <v>5547</v>
      </c>
      <c r="C877" s="13" t="s">
        <v>1288</v>
      </c>
      <c r="D877" s="13" t="s">
        <v>7089</v>
      </c>
      <c r="E877" s="13" t="s">
        <v>3566</v>
      </c>
      <c r="F877" s="373">
        <f t="shared" si="346"/>
        <v>12.72</v>
      </c>
      <c r="G877" s="430">
        <v>12.72</v>
      </c>
      <c r="H877" s="399">
        <f t="shared" si="347"/>
        <v>10.18</v>
      </c>
      <c r="I877" s="576"/>
      <c r="J877" s="549" t="s">
        <v>5804</v>
      </c>
      <c r="K877" s="11"/>
      <c r="M877" s="37">
        <f t="shared" si="348"/>
        <v>12.72</v>
      </c>
      <c r="N877" s="29">
        <v>9.75</v>
      </c>
      <c r="O877" s="41"/>
      <c r="P877" s="11"/>
      <c r="R877" t="s">
        <v>1017</v>
      </c>
      <c r="S877" t="s">
        <v>4179</v>
      </c>
      <c r="T877" t="s">
        <v>4179</v>
      </c>
      <c r="U877" s="42"/>
      <c r="W877" s="50"/>
      <c r="X877" s="50"/>
      <c r="Z877" s="50"/>
      <c r="AC877" s="50"/>
      <c r="AE877" s="75"/>
      <c r="AF877" s="50"/>
      <c r="AG877" s="50"/>
      <c r="AH877" s="166" t="str">
        <f t="shared" si="354"/>
        <v>2010</v>
      </c>
      <c r="AI877" s="168" t="str">
        <f t="shared" si="340"/>
        <v/>
      </c>
      <c r="AJ877" s="168" t="str">
        <f t="shared" si="341"/>
        <v/>
      </c>
      <c r="AK877" s="168" t="str">
        <f t="shared" si="342"/>
        <v/>
      </c>
      <c r="AL877" s="168" t="str">
        <f t="shared" si="343"/>
        <v/>
      </c>
      <c r="AM877" s="168" t="str">
        <f t="shared" si="344"/>
        <v/>
      </c>
      <c r="AN877" s="167" t="str">
        <f t="shared" si="327"/>
        <v>2010</v>
      </c>
      <c r="AO877" s="167" t="str">
        <f t="shared" si="328"/>
        <v>2010</v>
      </c>
      <c r="AP877" s="167" t="str">
        <f t="shared" si="329"/>
        <v>2010</v>
      </c>
      <c r="AQ877" s="169" t="str">
        <f t="shared" si="330"/>
        <v/>
      </c>
      <c r="AR877" s="170" t="str">
        <f t="shared" si="331"/>
        <v>BiK82K10----05</v>
      </c>
      <c r="AS877" s="169" t="str">
        <f t="shared" si="332"/>
        <v/>
      </c>
      <c r="AT877">
        <f t="shared" si="333"/>
        <v>14</v>
      </c>
      <c r="AU877" s="170" t="str">
        <f t="shared" si="334"/>
        <v>0,15-0,5 MW, Bonusregel K erstmals 2010</v>
      </c>
      <c r="AV877" s="169" t="str">
        <f t="shared" si="335"/>
        <v/>
      </c>
      <c r="AW877" s="170" t="str">
        <f t="shared" si="336"/>
        <v>Anteil KWK, erstmals 2010</v>
      </c>
      <c r="AX877" s="169" t="str">
        <f t="shared" si="337"/>
        <v/>
      </c>
      <c r="AY877" t="str">
        <f t="shared" si="338"/>
        <v/>
      </c>
      <c r="AZ877" t="str">
        <f t="shared" si="339"/>
        <v/>
      </c>
    </row>
    <row r="878" spans="1:52" x14ac:dyDescent="0.35">
      <c r="A878" s="497" t="s">
        <v>5322</v>
      </c>
      <c r="B878" s="13" t="s">
        <v>5547</v>
      </c>
      <c r="C878" s="13" t="s">
        <v>1288</v>
      </c>
      <c r="D878" s="13" t="s">
        <v>7090</v>
      </c>
      <c r="E878" s="13" t="s">
        <v>3054</v>
      </c>
      <c r="F878" s="373">
        <f t="shared" si="346"/>
        <v>12.69</v>
      </c>
      <c r="G878" s="430">
        <v>12.69</v>
      </c>
      <c r="H878" s="399">
        <f t="shared" si="347"/>
        <v>10.15</v>
      </c>
      <c r="I878" s="576"/>
      <c r="J878" s="549" t="s">
        <v>5804</v>
      </c>
      <c r="K878" s="11"/>
      <c r="M878" s="37">
        <f t="shared" si="348"/>
        <v>12.69</v>
      </c>
      <c r="N878" s="29">
        <v>9.75</v>
      </c>
      <c r="O878" s="41"/>
      <c r="P878" s="11"/>
      <c r="S878" t="s">
        <v>1017</v>
      </c>
      <c r="T878" t="s">
        <v>4179</v>
      </c>
      <c r="U878" s="42"/>
      <c r="W878" s="50"/>
      <c r="X878" s="50"/>
      <c r="Z878" s="50"/>
      <c r="AC878" s="50"/>
      <c r="AE878" s="75"/>
      <c r="AF878" s="50"/>
      <c r="AG878" s="50"/>
      <c r="AH878" s="166" t="str">
        <f t="shared" si="354"/>
        <v>2011</v>
      </c>
      <c r="AI878" s="168" t="str">
        <f t="shared" si="340"/>
        <v/>
      </c>
      <c r="AJ878" s="168" t="str">
        <f t="shared" si="341"/>
        <v/>
      </c>
      <c r="AK878" s="168" t="str">
        <f t="shared" si="342"/>
        <v/>
      </c>
      <c r="AL878" s="168" t="str">
        <f t="shared" si="343"/>
        <v/>
      </c>
      <c r="AM878" s="168" t="str">
        <f t="shared" si="344"/>
        <v/>
      </c>
      <c r="AN878" s="167" t="str">
        <f t="shared" si="327"/>
        <v>2011</v>
      </c>
      <c r="AO878" s="167" t="str">
        <f t="shared" si="328"/>
        <v>2011</v>
      </c>
      <c r="AP878" s="167" t="str">
        <f t="shared" si="329"/>
        <v>2011</v>
      </c>
      <c r="AQ878" s="169" t="str">
        <f t="shared" si="330"/>
        <v/>
      </c>
      <c r="AR878" s="170" t="str">
        <f t="shared" si="331"/>
        <v>BiK82K11----05</v>
      </c>
      <c r="AS878" s="169" t="str">
        <f t="shared" si="332"/>
        <v/>
      </c>
      <c r="AT878">
        <f t="shared" si="333"/>
        <v>14</v>
      </c>
      <c r="AU878" s="170" t="str">
        <f t="shared" si="334"/>
        <v>0,15-0,5 MW, Bonusregel K erstmals 2011</v>
      </c>
      <c r="AV878" s="169" t="str">
        <f t="shared" si="335"/>
        <v/>
      </c>
      <c r="AW878" s="170" t="str">
        <f t="shared" si="336"/>
        <v>Anteil KWK, erstmals 2011</v>
      </c>
      <c r="AX878" s="169" t="str">
        <f t="shared" si="337"/>
        <v/>
      </c>
      <c r="AY878" t="str">
        <f t="shared" si="338"/>
        <v>x</v>
      </c>
      <c r="AZ878" t="str">
        <f t="shared" si="339"/>
        <v/>
      </c>
    </row>
    <row r="879" spans="1:52" x14ac:dyDescent="0.35">
      <c r="A879" s="511" t="s">
        <v>1573</v>
      </c>
      <c r="B879" s="173" t="s">
        <v>5547</v>
      </c>
      <c r="C879" s="173" t="s">
        <v>1288</v>
      </c>
      <c r="D879" s="173" t="s">
        <v>7091</v>
      </c>
      <c r="E879" s="173" t="s">
        <v>1980</v>
      </c>
      <c r="F879" s="374">
        <f t="shared" si="346"/>
        <v>12.66</v>
      </c>
      <c r="G879" s="431">
        <v>12.66</v>
      </c>
      <c r="H879" s="400">
        <f t="shared" si="347"/>
        <v>10.130000000000001</v>
      </c>
      <c r="I879" s="577"/>
      <c r="J879" s="549" t="s">
        <v>5804</v>
      </c>
      <c r="K879" s="11"/>
      <c r="M879" s="37">
        <f t="shared" si="348"/>
        <v>12.66</v>
      </c>
      <c r="N879" s="29">
        <v>9.75</v>
      </c>
      <c r="O879" s="41"/>
      <c r="P879" s="11"/>
      <c r="S879" t="s">
        <v>4179</v>
      </c>
      <c r="T879" t="s">
        <v>1017</v>
      </c>
      <c r="U879" s="42"/>
      <c r="W879" s="50"/>
      <c r="X879" s="50"/>
      <c r="Z879" s="50"/>
      <c r="AC879" s="50"/>
      <c r="AE879" s="75"/>
      <c r="AF879" s="50"/>
      <c r="AG879" s="50"/>
      <c r="AH879" s="171" t="s">
        <v>4178</v>
      </c>
      <c r="AI879" s="168" t="str">
        <f t="shared" si="340"/>
        <v/>
      </c>
      <c r="AJ879" s="168" t="str">
        <f t="shared" si="341"/>
        <v/>
      </c>
      <c r="AK879" s="168" t="str">
        <f t="shared" si="342"/>
        <v/>
      </c>
      <c r="AL879" s="168" t="str">
        <f t="shared" si="343"/>
        <v/>
      </c>
      <c r="AM879" s="168" t="str">
        <f t="shared" si="344"/>
        <v/>
      </c>
      <c r="AN879" s="167" t="str">
        <f t="shared" si="327"/>
        <v>2012</v>
      </c>
      <c r="AO879" s="167" t="str">
        <f t="shared" si="328"/>
        <v>2012</v>
      </c>
      <c r="AP879" s="167" t="str">
        <f t="shared" si="329"/>
        <v>2012</v>
      </c>
      <c r="AQ879" s="169" t="str">
        <f t="shared" si="330"/>
        <v/>
      </c>
      <c r="AR879" s="170" t="str">
        <f t="shared" si="331"/>
        <v>BiK82K12----05</v>
      </c>
      <c r="AS879" s="169" t="str">
        <f t="shared" si="332"/>
        <v/>
      </c>
      <c r="AT879">
        <f t="shared" si="333"/>
        <v>14</v>
      </c>
      <c r="AU879" s="170" t="str">
        <f t="shared" si="334"/>
        <v>0,15-0,5 MW, Bonusregel K erstmals 2012</v>
      </c>
      <c r="AV879" s="169" t="str">
        <f t="shared" si="335"/>
        <v/>
      </c>
      <c r="AW879" s="170" t="str">
        <f t="shared" si="336"/>
        <v>Anteil KWK, erstmals 2012</v>
      </c>
      <c r="AX879" s="169" t="str">
        <f t="shared" si="337"/>
        <v/>
      </c>
      <c r="AY879" t="str">
        <f t="shared" si="338"/>
        <v/>
      </c>
      <c r="AZ879" t="str">
        <f t="shared" si="339"/>
        <v>x</v>
      </c>
    </row>
    <row r="880" spans="1:52" x14ac:dyDescent="0.35">
      <c r="A880" s="497" t="s">
        <v>1325</v>
      </c>
      <c r="B880" s="13" t="s">
        <v>5547</v>
      </c>
      <c r="C880" s="13" t="s">
        <v>1288</v>
      </c>
      <c r="D880" s="13" t="s">
        <v>7092</v>
      </c>
      <c r="E880" s="13" t="s">
        <v>4809</v>
      </c>
      <c r="F880" s="373">
        <f t="shared" si="346"/>
        <v>10.75</v>
      </c>
      <c r="G880" s="430">
        <v>10.75</v>
      </c>
      <c r="H880" s="399">
        <f t="shared" si="347"/>
        <v>8.6</v>
      </c>
      <c r="I880" s="576"/>
      <c r="J880" s="549" t="s">
        <v>5804</v>
      </c>
      <c r="K880" s="11"/>
      <c r="M880" s="37">
        <f t="shared" si="348"/>
        <v>10.75</v>
      </c>
      <c r="N880" s="29">
        <v>9.75</v>
      </c>
      <c r="O880" s="41"/>
      <c r="P880" s="11"/>
      <c r="S880" t="s">
        <v>4179</v>
      </c>
      <c r="T880" t="s">
        <v>4179</v>
      </c>
      <c r="U880" s="42" t="s">
        <v>1017</v>
      </c>
      <c r="W880" s="50"/>
      <c r="X880" s="50"/>
      <c r="Z880" s="50"/>
      <c r="AC880" s="50"/>
      <c r="AE880" s="75"/>
      <c r="AF880" s="50"/>
      <c r="AG880" s="50"/>
      <c r="AH880" s="166" t="str">
        <f t="shared" ref="AH880:AH885" si="355">IF(ISERROR(SEARCH("K erstmals 201",D880)),"",RIGHT(D880,4))</f>
        <v/>
      </c>
      <c r="AI880" s="168" t="str">
        <f t="shared" si="340"/>
        <v/>
      </c>
      <c r="AJ880" s="168" t="str">
        <f t="shared" si="341"/>
        <v/>
      </c>
      <c r="AK880" s="168" t="str">
        <f t="shared" si="342"/>
        <v/>
      </c>
      <c r="AL880" s="168" t="str">
        <f t="shared" si="343"/>
        <v/>
      </c>
      <c r="AM880" s="168" t="str">
        <f t="shared" si="344"/>
        <v/>
      </c>
      <c r="AN880" s="167" t="str">
        <f t="shared" si="327"/>
        <v/>
      </c>
      <c r="AO880" s="167" t="str">
        <f t="shared" si="328"/>
        <v/>
      </c>
      <c r="AP880" s="167" t="str">
        <f t="shared" si="329"/>
        <v/>
      </c>
      <c r="AQ880" s="169" t="str">
        <f t="shared" si="330"/>
        <v/>
      </c>
      <c r="AR880" s="170" t="str">
        <f t="shared" si="331"/>
        <v>BiK82y------05</v>
      </c>
      <c r="AS880" s="169" t="str">
        <f t="shared" si="332"/>
        <v/>
      </c>
      <c r="AT880">
        <f t="shared" si="333"/>
        <v>14</v>
      </c>
      <c r="AU880" s="170" t="str">
        <f t="shared" si="334"/>
        <v>0,15-0,5 MW, Bonusregel y</v>
      </c>
      <c r="AV880" s="169" t="str">
        <f t="shared" si="335"/>
        <v/>
      </c>
      <c r="AW880" s="170" t="str">
        <f t="shared" si="336"/>
        <v>Anteil Nicht-KWK</v>
      </c>
      <c r="AX880" s="169" t="str">
        <f t="shared" si="337"/>
        <v/>
      </c>
      <c r="AY880" t="str">
        <f t="shared" si="338"/>
        <v/>
      </c>
      <c r="AZ880" t="str">
        <f t="shared" si="339"/>
        <v/>
      </c>
    </row>
    <row r="881" spans="1:52" x14ac:dyDescent="0.35">
      <c r="A881" s="497" t="s">
        <v>1326</v>
      </c>
      <c r="B881" s="13" t="s">
        <v>5547</v>
      </c>
      <c r="C881" s="13" t="s">
        <v>1288</v>
      </c>
      <c r="D881" s="13" t="s">
        <v>7093</v>
      </c>
      <c r="E881" s="13" t="s">
        <v>4811</v>
      </c>
      <c r="F881" s="373">
        <f t="shared" si="346"/>
        <v>12.75</v>
      </c>
      <c r="G881" s="430">
        <v>12.75</v>
      </c>
      <c r="H881" s="399">
        <f t="shared" si="347"/>
        <v>10.199999999999999</v>
      </c>
      <c r="I881" s="576"/>
      <c r="J881" s="549" t="s">
        <v>5804</v>
      </c>
      <c r="K881" s="11"/>
      <c r="M881" s="37">
        <f t="shared" si="348"/>
        <v>12.75</v>
      </c>
      <c r="N881" s="29">
        <v>9.75</v>
      </c>
      <c r="O881" s="41" t="s">
        <v>1017</v>
      </c>
      <c r="P881" s="11"/>
      <c r="S881" t="s">
        <v>4179</v>
      </c>
      <c r="T881" t="s">
        <v>4179</v>
      </c>
      <c r="U881" s="42" t="s">
        <v>1017</v>
      </c>
      <c r="W881" s="50"/>
      <c r="X881" s="50"/>
      <c r="Z881" s="50"/>
      <c r="AC881" s="50"/>
      <c r="AE881" s="75"/>
      <c r="AF881" s="50"/>
      <c r="AG881" s="50"/>
      <c r="AH881" s="166" t="str">
        <f t="shared" si="355"/>
        <v/>
      </c>
      <c r="AI881" s="168" t="str">
        <f t="shared" si="340"/>
        <v/>
      </c>
      <c r="AJ881" s="168" t="str">
        <f t="shared" si="341"/>
        <v/>
      </c>
      <c r="AK881" s="168" t="str">
        <f t="shared" si="342"/>
        <v/>
      </c>
      <c r="AL881" s="168" t="str">
        <f t="shared" si="343"/>
        <v/>
      </c>
      <c r="AM881" s="168" t="str">
        <f t="shared" si="344"/>
        <v/>
      </c>
      <c r="AN881" s="167" t="str">
        <f t="shared" si="327"/>
        <v/>
      </c>
      <c r="AO881" s="167" t="str">
        <f t="shared" si="328"/>
        <v/>
      </c>
      <c r="AP881" s="167" t="str">
        <f t="shared" si="329"/>
        <v/>
      </c>
      <c r="AQ881" s="169" t="str">
        <f t="shared" si="330"/>
        <v/>
      </c>
      <c r="AR881" s="170" t="str">
        <f t="shared" si="331"/>
        <v>BiK82KWKy---05</v>
      </c>
      <c r="AS881" s="169" t="str">
        <f t="shared" si="332"/>
        <v/>
      </c>
      <c r="AT881">
        <f t="shared" si="333"/>
        <v>14</v>
      </c>
      <c r="AU881" s="170" t="str">
        <f t="shared" si="334"/>
        <v>0,15-0,5 MW, Bonusregeln y und KWK</v>
      </c>
      <c r="AV881" s="169" t="str">
        <f t="shared" si="335"/>
        <v/>
      </c>
      <c r="AW881" s="170" t="str">
        <f t="shared" si="336"/>
        <v>Anteil KWK</v>
      </c>
      <c r="AX881" s="169" t="str">
        <f t="shared" si="337"/>
        <v/>
      </c>
      <c r="AY881" t="str">
        <f t="shared" si="338"/>
        <v/>
      </c>
      <c r="AZ881" t="str">
        <f t="shared" si="339"/>
        <v/>
      </c>
    </row>
    <row r="882" spans="1:52" x14ac:dyDescent="0.35">
      <c r="A882" s="497" t="s">
        <v>1327</v>
      </c>
      <c r="B882" s="13" t="s">
        <v>5547</v>
      </c>
      <c r="C882" s="13" t="s">
        <v>1288</v>
      </c>
      <c r="D882" s="13" t="s">
        <v>7094</v>
      </c>
      <c r="E882" s="13" t="s">
        <v>4330</v>
      </c>
      <c r="F882" s="373">
        <f t="shared" si="346"/>
        <v>13.75</v>
      </c>
      <c r="G882" s="430">
        <v>13.75</v>
      </c>
      <c r="H882" s="399">
        <f t="shared" si="347"/>
        <v>11</v>
      </c>
      <c r="I882" s="576"/>
      <c r="J882" s="549" t="s">
        <v>5804</v>
      </c>
      <c r="K882" s="11"/>
      <c r="M882" s="37">
        <f t="shared" si="348"/>
        <v>13.75</v>
      </c>
      <c r="N882" s="29">
        <v>9.75</v>
      </c>
      <c r="O882" s="41"/>
      <c r="P882" t="s">
        <v>1017</v>
      </c>
      <c r="S882" t="s">
        <v>4179</v>
      </c>
      <c r="T882" t="s">
        <v>4179</v>
      </c>
      <c r="U882" s="42" t="s">
        <v>1017</v>
      </c>
      <c r="W882" s="50"/>
      <c r="X882" s="50"/>
      <c r="Z882" s="50"/>
      <c r="AC882" s="50"/>
      <c r="AE882" s="75"/>
      <c r="AF882" s="50"/>
      <c r="AG882" s="50"/>
      <c r="AH882" s="166" t="str">
        <f t="shared" si="355"/>
        <v/>
      </c>
      <c r="AI882" s="168" t="str">
        <f t="shared" si="340"/>
        <v/>
      </c>
      <c r="AJ882" s="168" t="str">
        <f t="shared" si="341"/>
        <v/>
      </c>
      <c r="AK882" s="168" t="str">
        <f t="shared" si="342"/>
        <v/>
      </c>
      <c r="AL882" s="168" t="str">
        <f t="shared" si="343"/>
        <v/>
      </c>
      <c r="AM882" s="168" t="str">
        <f t="shared" si="344"/>
        <v/>
      </c>
      <c r="AN882" s="167" t="str">
        <f t="shared" si="327"/>
        <v/>
      </c>
      <c r="AO882" s="167" t="str">
        <f t="shared" si="328"/>
        <v/>
      </c>
      <c r="AP882" s="167" t="str">
        <f t="shared" si="329"/>
        <v/>
      </c>
      <c r="AQ882" s="169" t="str">
        <f t="shared" si="330"/>
        <v/>
      </c>
      <c r="AR882" s="170" t="str">
        <f t="shared" si="331"/>
        <v>BiK82KA3y---05</v>
      </c>
      <c r="AS882" s="169" t="str">
        <f t="shared" si="332"/>
        <v/>
      </c>
      <c r="AT882">
        <f t="shared" si="333"/>
        <v>14</v>
      </c>
      <c r="AU882" s="170" t="str">
        <f t="shared" si="334"/>
        <v>0,15-0,5 MW, Bonusregeln y und K wenn Anlage 3 erfüllt</v>
      </c>
      <c r="AV882" s="169" t="str">
        <f t="shared" si="335"/>
        <v/>
      </c>
      <c r="AW882" s="170" t="str">
        <f t="shared" si="336"/>
        <v>Anteil KWK gemäß Anlage 3</v>
      </c>
      <c r="AX882" s="169" t="str">
        <f t="shared" si="337"/>
        <v/>
      </c>
      <c r="AY882" t="str">
        <f t="shared" si="338"/>
        <v/>
      </c>
      <c r="AZ882" t="str">
        <f t="shared" si="339"/>
        <v/>
      </c>
    </row>
    <row r="883" spans="1:52" x14ac:dyDescent="0.35">
      <c r="A883" s="497" t="s">
        <v>1328</v>
      </c>
      <c r="B883" s="13" t="s">
        <v>5547</v>
      </c>
      <c r="C883" s="13" t="s">
        <v>1288</v>
      </c>
      <c r="D883" s="13" t="s">
        <v>7095</v>
      </c>
      <c r="E883" s="13" t="s">
        <v>674</v>
      </c>
      <c r="F883" s="373">
        <f t="shared" si="346"/>
        <v>13.75</v>
      </c>
      <c r="G883" s="430">
        <v>13.75</v>
      </c>
      <c r="H883" s="399">
        <f t="shared" si="347"/>
        <v>11</v>
      </c>
      <c r="I883" s="576"/>
      <c r="J883" s="549" t="s">
        <v>5804</v>
      </c>
      <c r="K883" s="11"/>
      <c r="M883" s="37">
        <f t="shared" si="348"/>
        <v>13.75</v>
      </c>
      <c r="N883" s="29">
        <v>9.75</v>
      </c>
      <c r="O883" s="41"/>
      <c r="P883" s="11"/>
      <c r="Q883" t="s">
        <v>1017</v>
      </c>
      <c r="S883" t="s">
        <v>4179</v>
      </c>
      <c r="T883" t="s">
        <v>4179</v>
      </c>
      <c r="U883" s="42" t="s">
        <v>1017</v>
      </c>
      <c r="W883" s="50"/>
      <c r="X883" s="50"/>
      <c r="Z883" s="50"/>
      <c r="AC883" s="50"/>
      <c r="AE883" s="75"/>
      <c r="AF883" s="50"/>
      <c r="AG883" s="50"/>
      <c r="AH883" s="166" t="str">
        <f t="shared" si="355"/>
        <v/>
      </c>
      <c r="AI883" s="168" t="str">
        <f t="shared" si="340"/>
        <v/>
      </c>
      <c r="AJ883" s="168" t="str">
        <f t="shared" si="341"/>
        <v/>
      </c>
      <c r="AK883" s="168" t="str">
        <f t="shared" si="342"/>
        <v/>
      </c>
      <c r="AL883" s="168" t="str">
        <f t="shared" si="343"/>
        <v/>
      </c>
      <c r="AM883" s="168" t="str">
        <f t="shared" si="344"/>
        <v/>
      </c>
      <c r="AN883" s="167" t="str">
        <f t="shared" si="327"/>
        <v/>
      </c>
      <c r="AO883" s="167" t="str">
        <f t="shared" si="328"/>
        <v/>
      </c>
      <c r="AP883" s="167" t="str">
        <f t="shared" si="329"/>
        <v/>
      </c>
      <c r="AQ883" s="169" t="str">
        <f t="shared" si="330"/>
        <v/>
      </c>
      <c r="AR883" s="170" t="str">
        <f t="shared" si="331"/>
        <v>BiK82K09y---05</v>
      </c>
      <c r="AS883" s="169" t="str">
        <f t="shared" si="332"/>
        <v/>
      </c>
      <c r="AT883">
        <f t="shared" si="333"/>
        <v>14</v>
      </c>
      <c r="AU883" s="170" t="str">
        <f t="shared" si="334"/>
        <v>0,15-0,5 MW, Bonusregeln y und K erstmals 2009</v>
      </c>
      <c r="AV883" s="169" t="str">
        <f t="shared" si="335"/>
        <v/>
      </c>
      <c r="AW883" s="170" t="str">
        <f t="shared" si="336"/>
        <v>Anteil KWK, erstmals 2009</v>
      </c>
      <c r="AX883" s="169" t="str">
        <f t="shared" si="337"/>
        <v/>
      </c>
      <c r="AY883" t="str">
        <f t="shared" si="338"/>
        <v/>
      </c>
      <c r="AZ883" t="str">
        <f t="shared" si="339"/>
        <v/>
      </c>
    </row>
    <row r="884" spans="1:52" x14ac:dyDescent="0.35">
      <c r="A884" s="497" t="s">
        <v>3592</v>
      </c>
      <c r="B884" s="13" t="s">
        <v>5547</v>
      </c>
      <c r="C884" s="13" t="s">
        <v>1288</v>
      </c>
      <c r="D884" s="13" t="s">
        <v>7096</v>
      </c>
      <c r="E884" s="13" t="s">
        <v>3566</v>
      </c>
      <c r="F884" s="373">
        <f t="shared" si="346"/>
        <v>13.72</v>
      </c>
      <c r="G884" s="430">
        <v>13.72</v>
      </c>
      <c r="H884" s="399">
        <f t="shared" si="347"/>
        <v>10.98</v>
      </c>
      <c r="I884" s="576"/>
      <c r="J884" s="549" t="s">
        <v>5804</v>
      </c>
      <c r="K884" s="11"/>
      <c r="M884" s="37">
        <f t="shared" si="348"/>
        <v>13.72</v>
      </c>
      <c r="N884" s="29">
        <v>9.75</v>
      </c>
      <c r="O884" s="41"/>
      <c r="P884" s="11"/>
      <c r="R884" t="s">
        <v>1017</v>
      </c>
      <c r="S884" t="s">
        <v>4179</v>
      </c>
      <c r="T884" t="s">
        <v>4179</v>
      </c>
      <c r="U884" s="42" t="s">
        <v>1017</v>
      </c>
      <c r="W884" s="50"/>
      <c r="X884" s="50"/>
      <c r="Z884" s="50"/>
      <c r="AC884" s="50"/>
      <c r="AE884" s="75"/>
      <c r="AF884" s="50"/>
      <c r="AG884" s="50"/>
      <c r="AH884" s="166" t="str">
        <f t="shared" si="355"/>
        <v>2010</v>
      </c>
      <c r="AI884" s="168" t="str">
        <f t="shared" si="340"/>
        <v/>
      </c>
      <c r="AJ884" s="168" t="str">
        <f t="shared" si="341"/>
        <v/>
      </c>
      <c r="AK884" s="168" t="str">
        <f t="shared" si="342"/>
        <v/>
      </c>
      <c r="AL884" s="168" t="str">
        <f t="shared" si="343"/>
        <v/>
      </c>
      <c r="AM884" s="168" t="str">
        <f t="shared" si="344"/>
        <v/>
      </c>
      <c r="AN884" s="167" t="str">
        <f t="shared" si="327"/>
        <v>2010</v>
      </c>
      <c r="AO884" s="167" t="str">
        <f t="shared" si="328"/>
        <v>2010</v>
      </c>
      <c r="AP884" s="167" t="str">
        <f t="shared" si="329"/>
        <v>2010</v>
      </c>
      <c r="AQ884" s="169" t="str">
        <f t="shared" si="330"/>
        <v/>
      </c>
      <c r="AR884" s="170" t="str">
        <f t="shared" si="331"/>
        <v>BiK82K10y---05</v>
      </c>
      <c r="AS884" s="169" t="str">
        <f t="shared" si="332"/>
        <v/>
      </c>
      <c r="AT884">
        <f t="shared" si="333"/>
        <v>14</v>
      </c>
      <c r="AU884" s="170" t="str">
        <f t="shared" si="334"/>
        <v>0,15-0,5 MW, Bonusregeln y und K erstmals 2010</v>
      </c>
      <c r="AV884" s="169" t="str">
        <f t="shared" si="335"/>
        <v/>
      </c>
      <c r="AW884" s="170" t="str">
        <f t="shared" si="336"/>
        <v>Anteil KWK, erstmals 2010</v>
      </c>
      <c r="AX884" s="169" t="str">
        <f t="shared" si="337"/>
        <v/>
      </c>
      <c r="AY884" t="str">
        <f t="shared" si="338"/>
        <v/>
      </c>
      <c r="AZ884" t="str">
        <f t="shared" si="339"/>
        <v/>
      </c>
    </row>
    <row r="885" spans="1:52" x14ac:dyDescent="0.35">
      <c r="A885" s="497" t="s">
        <v>5323</v>
      </c>
      <c r="B885" s="13" t="s">
        <v>5547</v>
      </c>
      <c r="C885" s="13" t="s">
        <v>1288</v>
      </c>
      <c r="D885" s="13" t="s">
        <v>7097</v>
      </c>
      <c r="E885" s="13" t="s">
        <v>3054</v>
      </c>
      <c r="F885" s="373">
        <f t="shared" si="346"/>
        <v>13.69</v>
      </c>
      <c r="G885" s="430">
        <v>13.69</v>
      </c>
      <c r="H885" s="399">
        <f t="shared" si="347"/>
        <v>10.95</v>
      </c>
      <c r="I885" s="576"/>
      <c r="J885" s="549" t="s">
        <v>5804</v>
      </c>
      <c r="K885" s="11"/>
      <c r="M885" s="37">
        <f t="shared" si="348"/>
        <v>13.69</v>
      </c>
      <c r="N885" s="29">
        <v>9.75</v>
      </c>
      <c r="O885" s="41"/>
      <c r="P885" s="11"/>
      <c r="S885" t="s">
        <v>1017</v>
      </c>
      <c r="T885" t="s">
        <v>4179</v>
      </c>
      <c r="U885" s="42" t="s">
        <v>1017</v>
      </c>
      <c r="W885" s="50"/>
      <c r="X885" s="50"/>
      <c r="Z885" s="50"/>
      <c r="AC885" s="50"/>
      <c r="AE885" s="75"/>
      <c r="AF885" s="50"/>
      <c r="AG885" s="50"/>
      <c r="AH885" s="166" t="str">
        <f t="shared" si="355"/>
        <v>2011</v>
      </c>
      <c r="AI885" s="168" t="str">
        <f t="shared" si="340"/>
        <v/>
      </c>
      <c r="AJ885" s="168" t="str">
        <f t="shared" si="341"/>
        <v/>
      </c>
      <c r="AK885" s="168" t="str">
        <f t="shared" si="342"/>
        <v/>
      </c>
      <c r="AL885" s="168" t="str">
        <f t="shared" si="343"/>
        <v/>
      </c>
      <c r="AM885" s="168" t="str">
        <f t="shared" si="344"/>
        <v/>
      </c>
      <c r="AN885" s="167" t="str">
        <f t="shared" si="327"/>
        <v>2011</v>
      </c>
      <c r="AO885" s="167" t="str">
        <f t="shared" si="328"/>
        <v>2011</v>
      </c>
      <c r="AP885" s="167" t="str">
        <f t="shared" si="329"/>
        <v>2011</v>
      </c>
      <c r="AQ885" s="169" t="str">
        <f t="shared" si="330"/>
        <v/>
      </c>
      <c r="AR885" s="170" t="str">
        <f t="shared" si="331"/>
        <v>BiK82K11y---05</v>
      </c>
      <c r="AS885" s="169" t="str">
        <f t="shared" si="332"/>
        <v/>
      </c>
      <c r="AT885">
        <f t="shared" si="333"/>
        <v>14</v>
      </c>
      <c r="AU885" s="170" t="str">
        <f t="shared" si="334"/>
        <v>0,15-0,5 MW, Bonusregeln y und K erstmals 2011</v>
      </c>
      <c r="AV885" s="169" t="str">
        <f t="shared" si="335"/>
        <v/>
      </c>
      <c r="AW885" s="170" t="str">
        <f t="shared" si="336"/>
        <v>Anteil KWK, erstmals 2011</v>
      </c>
      <c r="AX885" s="169" t="str">
        <f t="shared" si="337"/>
        <v/>
      </c>
      <c r="AY885" t="str">
        <f t="shared" si="338"/>
        <v>x</v>
      </c>
      <c r="AZ885" t="str">
        <f t="shared" si="339"/>
        <v/>
      </c>
    </row>
    <row r="886" spans="1:52" x14ac:dyDescent="0.35">
      <c r="A886" s="511" t="s">
        <v>1574</v>
      </c>
      <c r="B886" s="173" t="s">
        <v>5547</v>
      </c>
      <c r="C886" s="173" t="s">
        <v>1288</v>
      </c>
      <c r="D886" s="173" t="s">
        <v>7098</v>
      </c>
      <c r="E886" s="173" t="s">
        <v>1980</v>
      </c>
      <c r="F886" s="374">
        <f t="shared" si="346"/>
        <v>13.66</v>
      </c>
      <c r="G886" s="431">
        <v>13.66</v>
      </c>
      <c r="H886" s="400">
        <f t="shared" si="347"/>
        <v>10.93</v>
      </c>
      <c r="I886" s="577"/>
      <c r="J886" s="549" t="s">
        <v>5804</v>
      </c>
      <c r="K886" s="11"/>
      <c r="M886" s="37">
        <f t="shared" si="348"/>
        <v>13.66</v>
      </c>
      <c r="N886" s="29">
        <v>9.75</v>
      </c>
      <c r="O886" s="41"/>
      <c r="P886" s="11"/>
      <c r="S886" t="s">
        <v>4179</v>
      </c>
      <c r="T886" t="s">
        <v>1017</v>
      </c>
      <c r="U886" s="42" t="s">
        <v>1017</v>
      </c>
      <c r="W886" s="50"/>
      <c r="X886" s="50"/>
      <c r="Z886" s="50"/>
      <c r="AC886" s="50"/>
      <c r="AE886" s="75"/>
      <c r="AF886" s="50"/>
      <c r="AG886" s="50"/>
      <c r="AH886" s="171" t="s">
        <v>4178</v>
      </c>
      <c r="AI886" s="168" t="str">
        <f t="shared" si="340"/>
        <v/>
      </c>
      <c r="AJ886" s="168" t="str">
        <f t="shared" si="341"/>
        <v/>
      </c>
      <c r="AK886" s="168" t="str">
        <f t="shared" si="342"/>
        <v/>
      </c>
      <c r="AL886" s="168" t="str">
        <f t="shared" si="343"/>
        <v/>
      </c>
      <c r="AM886" s="168" t="str">
        <f t="shared" si="344"/>
        <v/>
      </c>
      <c r="AN886" s="167" t="str">
        <f t="shared" si="327"/>
        <v>2012</v>
      </c>
      <c r="AO886" s="167" t="str">
        <f t="shared" si="328"/>
        <v>2012</v>
      </c>
      <c r="AP886" s="167" t="str">
        <f t="shared" si="329"/>
        <v>2012</v>
      </c>
      <c r="AQ886" s="169" t="str">
        <f t="shared" si="330"/>
        <v/>
      </c>
      <c r="AR886" s="170" t="str">
        <f t="shared" si="331"/>
        <v>BiK82K12y---05</v>
      </c>
      <c r="AS886" s="169" t="str">
        <f t="shared" si="332"/>
        <v/>
      </c>
      <c r="AT886">
        <f t="shared" si="333"/>
        <v>14</v>
      </c>
      <c r="AU886" s="170" t="str">
        <f t="shared" si="334"/>
        <v>0,15-0,5 MW, Bonusregeln y und K erstmals 2012</v>
      </c>
      <c r="AV886" s="169" t="str">
        <f t="shared" si="335"/>
        <v/>
      </c>
      <c r="AW886" s="170" t="str">
        <f t="shared" si="336"/>
        <v>Anteil KWK, erstmals 2012</v>
      </c>
      <c r="AX886" s="169" t="str">
        <f t="shared" si="337"/>
        <v/>
      </c>
      <c r="AY886" t="str">
        <f t="shared" si="338"/>
        <v/>
      </c>
      <c r="AZ886" t="str">
        <f t="shared" si="339"/>
        <v>x</v>
      </c>
    </row>
    <row r="887" spans="1:52" x14ac:dyDescent="0.35">
      <c r="A887" s="496" t="s">
        <v>4515</v>
      </c>
      <c r="B887" s="1" t="s">
        <v>5547</v>
      </c>
      <c r="C887" s="1" t="s">
        <v>1288</v>
      </c>
      <c r="D887" s="1" t="s">
        <v>7099</v>
      </c>
      <c r="E887" s="1" t="s">
        <v>4809</v>
      </c>
      <c r="F887" s="375">
        <f t="shared" si="346"/>
        <v>15.75</v>
      </c>
      <c r="G887" s="432">
        <v>15.75</v>
      </c>
      <c r="H887" s="401">
        <f t="shared" si="347"/>
        <v>12.6</v>
      </c>
      <c r="I887" s="578"/>
      <c r="J887" s="549" t="s">
        <v>5804</v>
      </c>
      <c r="K887" s="11"/>
      <c r="M887" s="37">
        <f t="shared" si="348"/>
        <v>15.75</v>
      </c>
      <c r="N887" s="29">
        <v>9.75</v>
      </c>
      <c r="O887" s="41"/>
      <c r="P887" s="11"/>
      <c r="S887" t="s">
        <v>4179</v>
      </c>
      <c r="T887" t="s">
        <v>4179</v>
      </c>
      <c r="U887" s="42"/>
      <c r="V887" t="s">
        <v>1017</v>
      </c>
      <c r="W887" s="50"/>
      <c r="X887" s="50"/>
      <c r="Z887" s="50"/>
      <c r="AC887" s="50"/>
      <c r="AE887" s="75"/>
      <c r="AF887" s="50"/>
      <c r="AG887" s="50"/>
      <c r="AH887" s="166" t="str">
        <f t="shared" ref="AH887:AH892" si="356">IF(ISERROR(SEARCH("K erstmals 201",D887)),"",RIGHT(D887,4))</f>
        <v/>
      </c>
      <c r="AI887" s="168" t="str">
        <f t="shared" si="340"/>
        <v/>
      </c>
      <c r="AJ887" s="168" t="str">
        <f t="shared" si="341"/>
        <v/>
      </c>
      <c r="AK887" s="168" t="str">
        <f t="shared" si="342"/>
        <v/>
      </c>
      <c r="AL887" s="168" t="str">
        <f t="shared" si="343"/>
        <v/>
      </c>
      <c r="AM887" s="168" t="str">
        <f t="shared" si="344"/>
        <v/>
      </c>
      <c r="AN887" s="167" t="str">
        <f t="shared" si="327"/>
        <v/>
      </c>
      <c r="AO887" s="167" t="str">
        <f t="shared" si="328"/>
        <v/>
      </c>
      <c r="AP887" s="167" t="str">
        <f t="shared" si="329"/>
        <v/>
      </c>
      <c r="AQ887" s="169" t="str">
        <f t="shared" si="330"/>
        <v/>
      </c>
      <c r="AR887" s="170" t="str">
        <f t="shared" si="331"/>
        <v>BiK82a1-----05</v>
      </c>
      <c r="AS887" s="169" t="str">
        <f t="shared" si="332"/>
        <v/>
      </c>
      <c r="AT887">
        <f t="shared" si="333"/>
        <v>14</v>
      </c>
      <c r="AU887" s="170" t="str">
        <f t="shared" si="334"/>
        <v>0,15-0,5 MW, Bonusregel a1</v>
      </c>
      <c r="AV887" s="169" t="str">
        <f t="shared" si="335"/>
        <v/>
      </c>
      <c r="AW887" s="170" t="str">
        <f t="shared" si="336"/>
        <v>Anteil Nicht-KWK</v>
      </c>
      <c r="AX887" s="169" t="str">
        <f t="shared" si="337"/>
        <v/>
      </c>
      <c r="AY887" t="str">
        <f t="shared" si="338"/>
        <v/>
      </c>
      <c r="AZ887" t="str">
        <f t="shared" si="339"/>
        <v/>
      </c>
    </row>
    <row r="888" spans="1:52" x14ac:dyDescent="0.35">
      <c r="A888" s="496" t="s">
        <v>4121</v>
      </c>
      <c r="B888" s="1" t="s">
        <v>5547</v>
      </c>
      <c r="C888" s="1" t="s">
        <v>1288</v>
      </c>
      <c r="D888" s="1" t="s">
        <v>7212</v>
      </c>
      <c r="E888" s="1" t="s">
        <v>4811</v>
      </c>
      <c r="F888" s="375">
        <f t="shared" si="346"/>
        <v>17.75</v>
      </c>
      <c r="G888" s="432">
        <v>17.75</v>
      </c>
      <c r="H888" s="401">
        <f t="shared" si="347"/>
        <v>14.2</v>
      </c>
      <c r="I888" s="578"/>
      <c r="J888" s="549" t="s">
        <v>5804</v>
      </c>
      <c r="K888" s="11"/>
      <c r="M888" s="37">
        <f t="shared" si="348"/>
        <v>17.75</v>
      </c>
      <c r="N888" s="29">
        <v>9.75</v>
      </c>
      <c r="O888" s="41" t="s">
        <v>1017</v>
      </c>
      <c r="P888" s="11"/>
      <c r="S888" t="s">
        <v>4179</v>
      </c>
      <c r="T888" t="s">
        <v>4179</v>
      </c>
      <c r="U888" s="42"/>
      <c r="V888" t="s">
        <v>1017</v>
      </c>
      <c r="W888" s="50"/>
      <c r="X888" s="50"/>
      <c r="Z888" s="50"/>
      <c r="AC888" s="50"/>
      <c r="AE888" s="75"/>
      <c r="AF888" s="50"/>
      <c r="AG888" s="50"/>
      <c r="AH888" s="166" t="str">
        <f t="shared" si="356"/>
        <v/>
      </c>
      <c r="AI888" s="168" t="str">
        <f t="shared" si="340"/>
        <v/>
      </c>
      <c r="AJ888" s="168" t="str">
        <f t="shared" si="341"/>
        <v/>
      </c>
      <c r="AK888" s="168" t="str">
        <f t="shared" si="342"/>
        <v/>
      </c>
      <c r="AL888" s="168" t="str">
        <f t="shared" si="343"/>
        <v/>
      </c>
      <c r="AM888" s="168" t="str">
        <f t="shared" si="344"/>
        <v/>
      </c>
      <c r="AN888" s="167" t="str">
        <f t="shared" si="327"/>
        <v/>
      </c>
      <c r="AO888" s="167" t="str">
        <f t="shared" si="328"/>
        <v/>
      </c>
      <c r="AP888" s="167" t="str">
        <f t="shared" si="329"/>
        <v/>
      </c>
      <c r="AQ888" s="169" t="str">
        <f t="shared" si="330"/>
        <v/>
      </c>
      <c r="AR888" s="170" t="str">
        <f t="shared" si="331"/>
        <v>BiK82a1KWK--05</v>
      </c>
      <c r="AS888" s="169" t="str">
        <f t="shared" si="332"/>
        <v/>
      </c>
      <c r="AT888">
        <f t="shared" si="333"/>
        <v>14</v>
      </c>
      <c r="AU888" s="170" t="str">
        <f t="shared" si="334"/>
        <v>0,15-0,5 MW, Bonusregeln a1 und KWK</v>
      </c>
      <c r="AV888" s="169" t="str">
        <f t="shared" si="335"/>
        <v/>
      </c>
      <c r="AW888" s="170" t="str">
        <f t="shared" si="336"/>
        <v>Anteil KWK</v>
      </c>
      <c r="AX888" s="169" t="str">
        <f t="shared" si="337"/>
        <v/>
      </c>
      <c r="AY888" t="str">
        <f t="shared" si="338"/>
        <v/>
      </c>
      <c r="AZ888" t="str">
        <f t="shared" si="339"/>
        <v/>
      </c>
    </row>
    <row r="889" spans="1:52" s="145" customFormat="1" x14ac:dyDescent="0.35">
      <c r="A889" s="497" t="s">
        <v>4346</v>
      </c>
      <c r="B889" s="13" t="s">
        <v>5547</v>
      </c>
      <c r="C889" s="13" t="s">
        <v>1288</v>
      </c>
      <c r="D889" s="13" t="s">
        <v>7101</v>
      </c>
      <c r="E889" s="13" t="s">
        <v>4330</v>
      </c>
      <c r="F889" s="373">
        <f t="shared" si="346"/>
        <v>18.75</v>
      </c>
      <c r="G889" s="430">
        <v>18.75</v>
      </c>
      <c r="H889" s="399">
        <f t="shared" si="347"/>
        <v>15</v>
      </c>
      <c r="I889" s="576"/>
      <c r="J889" s="549" t="s">
        <v>5804</v>
      </c>
      <c r="K889" s="11"/>
      <c r="L889"/>
      <c r="M889" s="37">
        <f t="shared" si="348"/>
        <v>18.75</v>
      </c>
      <c r="N889" s="29">
        <v>9.75</v>
      </c>
      <c r="O889" s="41"/>
      <c r="P889" t="s">
        <v>1017</v>
      </c>
      <c r="Q889"/>
      <c r="R889"/>
      <c r="S889" t="s">
        <v>4179</v>
      </c>
      <c r="T889" s="145" t="s">
        <v>4179</v>
      </c>
      <c r="U889" s="42"/>
      <c r="V889" t="s">
        <v>1017</v>
      </c>
      <c r="W889" s="50"/>
      <c r="X889" s="50"/>
      <c r="Y889"/>
      <c r="Z889" s="50"/>
      <c r="AA889"/>
      <c r="AB889"/>
      <c r="AC889" s="50"/>
      <c r="AD889"/>
      <c r="AE889" s="75"/>
      <c r="AF889" s="50"/>
      <c r="AG889" s="50"/>
      <c r="AH889" s="166" t="str">
        <f t="shared" si="356"/>
        <v/>
      </c>
      <c r="AI889" s="168" t="str">
        <f t="shared" si="340"/>
        <v/>
      </c>
      <c r="AJ889" s="168" t="str">
        <f t="shared" si="341"/>
        <v/>
      </c>
      <c r="AK889" s="168" t="str">
        <f t="shared" si="342"/>
        <v/>
      </c>
      <c r="AL889" s="168" t="str">
        <f t="shared" si="343"/>
        <v/>
      </c>
      <c r="AM889" s="168" t="str">
        <f t="shared" si="344"/>
        <v/>
      </c>
      <c r="AN889" s="167" t="str">
        <f t="shared" si="327"/>
        <v/>
      </c>
      <c r="AO889" s="167" t="str">
        <f t="shared" si="328"/>
        <v/>
      </c>
      <c r="AP889" s="167" t="str">
        <f t="shared" si="329"/>
        <v/>
      </c>
      <c r="AQ889" s="169" t="str">
        <f t="shared" si="330"/>
        <v/>
      </c>
      <c r="AR889" s="170" t="str">
        <f t="shared" si="331"/>
        <v>BiK82a1KA3--05</v>
      </c>
      <c r="AS889" s="169" t="str">
        <f t="shared" si="332"/>
        <v/>
      </c>
      <c r="AT889">
        <f t="shared" si="333"/>
        <v>14</v>
      </c>
      <c r="AU889" s="170" t="str">
        <f t="shared" si="334"/>
        <v>0,15-0,5 MW, Bonusregeln a1 und K wenn Anlage 3 erfüllt</v>
      </c>
      <c r="AV889" s="169" t="str">
        <f t="shared" si="335"/>
        <v/>
      </c>
      <c r="AW889" s="170" t="str">
        <f t="shared" si="336"/>
        <v>Anteil KWK gemäß Anlage 3</v>
      </c>
      <c r="AX889" s="169" t="str">
        <f t="shared" si="337"/>
        <v/>
      </c>
      <c r="AY889" t="str">
        <f t="shared" si="338"/>
        <v/>
      </c>
      <c r="AZ889" t="str">
        <f t="shared" si="339"/>
        <v/>
      </c>
    </row>
    <row r="890" spans="1:52" s="145" customFormat="1" x14ac:dyDescent="0.35">
      <c r="A890" s="497" t="s">
        <v>2349</v>
      </c>
      <c r="B890" s="13" t="s">
        <v>5547</v>
      </c>
      <c r="C890" s="13" t="s">
        <v>1288</v>
      </c>
      <c r="D890" s="13" t="s">
        <v>7102</v>
      </c>
      <c r="E890" s="13" t="s">
        <v>674</v>
      </c>
      <c r="F890" s="373">
        <f t="shared" si="346"/>
        <v>18.75</v>
      </c>
      <c r="G890" s="430">
        <v>18.75</v>
      </c>
      <c r="H890" s="399">
        <f t="shared" si="347"/>
        <v>15</v>
      </c>
      <c r="I890" s="576"/>
      <c r="J890" s="549" t="s">
        <v>5804</v>
      </c>
      <c r="K890" s="11"/>
      <c r="L890"/>
      <c r="M890" s="37">
        <f t="shared" si="348"/>
        <v>18.75</v>
      </c>
      <c r="N890" s="29">
        <v>9.75</v>
      </c>
      <c r="O890" s="41"/>
      <c r="P890" s="11"/>
      <c r="Q890" t="s">
        <v>1017</v>
      </c>
      <c r="R890"/>
      <c r="S890" t="s">
        <v>4179</v>
      </c>
      <c r="T890" s="145" t="s">
        <v>4179</v>
      </c>
      <c r="U890" s="42"/>
      <c r="V890" t="s">
        <v>1017</v>
      </c>
      <c r="W890" s="50"/>
      <c r="X890" s="50"/>
      <c r="Y890"/>
      <c r="Z890" s="50"/>
      <c r="AA890"/>
      <c r="AB890"/>
      <c r="AC890" s="50"/>
      <c r="AD890"/>
      <c r="AE890" s="75"/>
      <c r="AF890" s="50"/>
      <c r="AG890" s="50"/>
      <c r="AH890" s="166" t="str">
        <f t="shared" si="356"/>
        <v/>
      </c>
      <c r="AI890" s="168" t="str">
        <f t="shared" si="340"/>
        <v/>
      </c>
      <c r="AJ890" s="168" t="str">
        <f t="shared" si="341"/>
        <v/>
      </c>
      <c r="AK890" s="168" t="str">
        <f t="shared" si="342"/>
        <v/>
      </c>
      <c r="AL890" s="168" t="str">
        <f t="shared" si="343"/>
        <v/>
      </c>
      <c r="AM890" s="168" t="str">
        <f t="shared" si="344"/>
        <v/>
      </c>
      <c r="AN890" s="167" t="str">
        <f t="shared" si="327"/>
        <v/>
      </c>
      <c r="AO890" s="167" t="str">
        <f t="shared" si="328"/>
        <v/>
      </c>
      <c r="AP890" s="167" t="str">
        <f t="shared" si="329"/>
        <v/>
      </c>
      <c r="AQ890" s="169" t="str">
        <f t="shared" si="330"/>
        <v/>
      </c>
      <c r="AR890" s="170" t="str">
        <f t="shared" si="331"/>
        <v>BiK82a1K09--05</v>
      </c>
      <c r="AS890" s="169" t="str">
        <f t="shared" si="332"/>
        <v/>
      </c>
      <c r="AT890">
        <f t="shared" si="333"/>
        <v>14</v>
      </c>
      <c r="AU890" s="170" t="str">
        <f t="shared" si="334"/>
        <v>0,15-0,5 MW, Bonusregeln a1 und K erstmals 2009</v>
      </c>
      <c r="AV890" s="169" t="str">
        <f t="shared" si="335"/>
        <v/>
      </c>
      <c r="AW890" s="170" t="str">
        <f t="shared" si="336"/>
        <v>Anteil KWK, erstmals 2009</v>
      </c>
      <c r="AX890" s="169" t="str">
        <f t="shared" si="337"/>
        <v/>
      </c>
      <c r="AY890" t="str">
        <f t="shared" si="338"/>
        <v/>
      </c>
      <c r="AZ890" t="str">
        <f t="shared" si="339"/>
        <v/>
      </c>
    </row>
    <row r="891" spans="1:52" s="145" customFormat="1" x14ac:dyDescent="0.35">
      <c r="A891" s="497" t="s">
        <v>3593</v>
      </c>
      <c r="B891" s="13" t="s">
        <v>5547</v>
      </c>
      <c r="C891" s="13" t="s">
        <v>1288</v>
      </c>
      <c r="D891" s="13" t="s">
        <v>7103</v>
      </c>
      <c r="E891" s="13" t="s">
        <v>3566</v>
      </c>
      <c r="F891" s="373">
        <f t="shared" si="346"/>
        <v>18.72</v>
      </c>
      <c r="G891" s="430">
        <v>18.72</v>
      </c>
      <c r="H891" s="399">
        <f t="shared" si="347"/>
        <v>14.98</v>
      </c>
      <c r="I891" s="576"/>
      <c r="J891" s="549" t="s">
        <v>5804</v>
      </c>
      <c r="K891" s="11"/>
      <c r="L891"/>
      <c r="M891" s="37">
        <f t="shared" si="348"/>
        <v>18.72</v>
      </c>
      <c r="N891" s="29">
        <v>9.75</v>
      </c>
      <c r="O891" s="41"/>
      <c r="P891" s="11"/>
      <c r="Q891"/>
      <c r="R891" t="s">
        <v>1017</v>
      </c>
      <c r="S891" t="s">
        <v>4179</v>
      </c>
      <c r="T891" s="145" t="s">
        <v>4179</v>
      </c>
      <c r="U891" s="42"/>
      <c r="V891" t="s">
        <v>1017</v>
      </c>
      <c r="W891" s="50"/>
      <c r="X891" s="50"/>
      <c r="Y891"/>
      <c r="Z891" s="50"/>
      <c r="AA891"/>
      <c r="AB891"/>
      <c r="AC891" s="50"/>
      <c r="AD891"/>
      <c r="AE891" s="75"/>
      <c r="AF891" s="50"/>
      <c r="AG891" s="50"/>
      <c r="AH891" s="166" t="str">
        <f t="shared" si="356"/>
        <v>2010</v>
      </c>
      <c r="AI891" s="168" t="str">
        <f t="shared" si="340"/>
        <v/>
      </c>
      <c r="AJ891" s="168" t="str">
        <f t="shared" si="341"/>
        <v/>
      </c>
      <c r="AK891" s="168" t="str">
        <f t="shared" si="342"/>
        <v/>
      </c>
      <c r="AL891" s="168" t="str">
        <f t="shared" si="343"/>
        <v/>
      </c>
      <c r="AM891" s="168" t="str">
        <f t="shared" si="344"/>
        <v/>
      </c>
      <c r="AN891" s="167" t="str">
        <f t="shared" si="327"/>
        <v>2010</v>
      </c>
      <c r="AO891" s="167" t="str">
        <f t="shared" si="328"/>
        <v>2010</v>
      </c>
      <c r="AP891" s="167" t="str">
        <f t="shared" si="329"/>
        <v>2010</v>
      </c>
      <c r="AQ891" s="169" t="str">
        <f t="shared" si="330"/>
        <v/>
      </c>
      <c r="AR891" s="170" t="str">
        <f t="shared" si="331"/>
        <v>BiK82a1K10--05</v>
      </c>
      <c r="AS891" s="169" t="str">
        <f t="shared" si="332"/>
        <v/>
      </c>
      <c r="AT891">
        <f t="shared" si="333"/>
        <v>14</v>
      </c>
      <c r="AU891" s="170" t="str">
        <f t="shared" si="334"/>
        <v>0,15-0,5 MW, Bonusregeln a1 und K erstmals 2010</v>
      </c>
      <c r="AV891" s="169" t="str">
        <f t="shared" si="335"/>
        <v/>
      </c>
      <c r="AW891" s="170" t="str">
        <f t="shared" si="336"/>
        <v>Anteil KWK, erstmals 2010</v>
      </c>
      <c r="AX891" s="169" t="str">
        <f t="shared" si="337"/>
        <v/>
      </c>
      <c r="AY891" t="str">
        <f t="shared" si="338"/>
        <v/>
      </c>
      <c r="AZ891" t="str">
        <f t="shared" si="339"/>
        <v/>
      </c>
    </row>
    <row r="892" spans="1:52" s="145" customFormat="1" x14ac:dyDescent="0.35">
      <c r="A892" s="497" t="s">
        <v>5324</v>
      </c>
      <c r="B892" s="13" t="s">
        <v>5547</v>
      </c>
      <c r="C892" s="13" t="s">
        <v>1288</v>
      </c>
      <c r="D892" s="13" t="s">
        <v>7104</v>
      </c>
      <c r="E892" s="13" t="s">
        <v>3054</v>
      </c>
      <c r="F892" s="373">
        <f t="shared" si="346"/>
        <v>18.689999999999998</v>
      </c>
      <c r="G892" s="430">
        <v>18.689999999999998</v>
      </c>
      <c r="H892" s="399">
        <f t="shared" si="347"/>
        <v>14.95</v>
      </c>
      <c r="I892" s="576"/>
      <c r="J892" s="549" t="s">
        <v>5804</v>
      </c>
      <c r="K892" s="11"/>
      <c r="L892"/>
      <c r="M892" s="37">
        <f t="shared" si="348"/>
        <v>18.689999999999998</v>
      </c>
      <c r="N892" s="29">
        <v>9.75</v>
      </c>
      <c r="O892" s="41"/>
      <c r="P892" s="11"/>
      <c r="Q892"/>
      <c r="R892"/>
      <c r="S892" t="s">
        <v>1017</v>
      </c>
      <c r="T892" s="145" t="s">
        <v>4179</v>
      </c>
      <c r="U892" s="42"/>
      <c r="V892" t="s">
        <v>1017</v>
      </c>
      <c r="W892" s="50"/>
      <c r="X892" s="50"/>
      <c r="Y892"/>
      <c r="Z892" s="50"/>
      <c r="AA892"/>
      <c r="AB892"/>
      <c r="AC892" s="50"/>
      <c r="AD892"/>
      <c r="AE892" s="75"/>
      <c r="AF892" s="50"/>
      <c r="AG892" s="50"/>
      <c r="AH892" s="166" t="str">
        <f t="shared" si="356"/>
        <v>2011</v>
      </c>
      <c r="AI892" s="168" t="str">
        <f t="shared" si="340"/>
        <v/>
      </c>
      <c r="AJ892" s="168" t="str">
        <f t="shared" si="341"/>
        <v/>
      </c>
      <c r="AK892" s="168" t="str">
        <f t="shared" si="342"/>
        <v/>
      </c>
      <c r="AL892" s="168" t="str">
        <f t="shared" si="343"/>
        <v/>
      </c>
      <c r="AM892" s="168" t="str">
        <f t="shared" si="344"/>
        <v/>
      </c>
      <c r="AN892" s="167" t="str">
        <f t="shared" ref="AN892:AN955" si="357">IF(ISERROR(SEARCH("K1",A892)),"","20"&amp;MID(A892,SEARCH("K1",A892)+1,2))</f>
        <v>2011</v>
      </c>
      <c r="AO892" s="167" t="str">
        <f t="shared" ref="AO892:AO955" si="358">IF(ISERROR(SEARCH("erstmals 201",E892)),"",MID(E892,SEARCH("erstmals ",E892)+9,4))</f>
        <v>2011</v>
      </c>
      <c r="AP892" s="167" t="str">
        <f t="shared" ref="AP892:AP955" si="359">IF(R892="x","2010",IF(S892="x","2011",IF(T892="x","2012","")))</f>
        <v>2011</v>
      </c>
      <c r="AQ892" s="169" t="str">
        <f t="shared" ref="AQ892:AQ955" si="360">IF(OR(AH892&lt;&gt;AN892,AH892&lt;&gt;AO892,AH892&lt;&gt;AP892),"DIFF","")</f>
        <v/>
      </c>
      <c r="AR892" s="170" t="str">
        <f t="shared" ref="AR892:AR955" si="361">IF(A892="","",IF(ISERROR(SEARCH("K1",A892)),A892,LEFT(A892,SEARCH("K1",A892)+1)&amp;RIGHT(AH892,1)&amp;MID(A892,SEARCH("K1",A892)+3,14)))</f>
        <v>BiK82a1K11--05</v>
      </c>
      <c r="AS892" s="169" t="str">
        <f t="shared" ref="AS892:AS955" si="362">IF(OR(A892&lt;&gt;AR892),"DIFF","")</f>
        <v/>
      </c>
      <c r="AT892">
        <f t="shared" ref="AT892:AT955" si="363">LEN(AR892)</f>
        <v>14</v>
      </c>
      <c r="AU892" s="170" t="str">
        <f t="shared" ref="AU892:AU955" si="364">IF(D892="","",IF(OR(A892="",ISERROR(SEARCH("erstmals 201",D892))),D892,LEFT(D892,SEARCH("erstmals 201",D892)+8) &amp; AH892 &amp; MID(D892,SEARCH("erstmals 201",D892)+13,255)))</f>
        <v>0,15-0,5 MW, Bonusregeln a1 und K erstmals 2011</v>
      </c>
      <c r="AV892" s="169" t="str">
        <f t="shared" ref="AV892:AV955" si="365">IF(OR(D892&lt;&gt;AU892),"DIFF","")</f>
        <v/>
      </c>
      <c r="AW892" s="170" t="str">
        <f t="shared" ref="AW892:AW955" si="366">IF(E892="","",IF(OR(E892="",ISERROR(SEARCH("erstmals 201",E892))),E892,LEFT(E892,SEARCH("erstmals 201",E892)+8) &amp; AH892 &amp; MID(E892,SEARCH("erstmals 201",E892)+13,255)))</f>
        <v>Anteil KWK, erstmals 2011</v>
      </c>
      <c r="AX892" s="169" t="str">
        <f t="shared" ref="AX892:AX955" si="367">IF(OR(E892&lt;&gt;AW892),"DIFF","")</f>
        <v/>
      </c>
      <c r="AY892" t="str">
        <f t="shared" ref="AY892:AY955" si="368">IF(AH892="2011","x",IF(AH892="2012","","" &amp; S892))</f>
        <v>x</v>
      </c>
      <c r="AZ892" t="str">
        <f t="shared" ref="AZ892:AZ955" si="369">IF(AH892="2012","x",IF(AH892="2011","","" &amp; T892))</f>
        <v/>
      </c>
    </row>
    <row r="893" spans="1:52" s="145" customFormat="1" x14ac:dyDescent="0.35">
      <c r="A893" s="511" t="s">
        <v>1575</v>
      </c>
      <c r="B893" s="173" t="s">
        <v>5547</v>
      </c>
      <c r="C893" s="173" t="s">
        <v>1288</v>
      </c>
      <c r="D893" s="173" t="s">
        <v>7105</v>
      </c>
      <c r="E893" s="173" t="s">
        <v>1980</v>
      </c>
      <c r="F893" s="374">
        <f t="shared" si="346"/>
        <v>18.66</v>
      </c>
      <c r="G893" s="431">
        <v>18.66</v>
      </c>
      <c r="H893" s="400">
        <f t="shared" si="347"/>
        <v>14.93</v>
      </c>
      <c r="I893" s="577"/>
      <c r="J893" s="549" t="s">
        <v>5804</v>
      </c>
      <c r="K893" s="11"/>
      <c r="L893"/>
      <c r="M893" s="37">
        <f t="shared" si="348"/>
        <v>18.66</v>
      </c>
      <c r="N893" s="29">
        <v>9.75</v>
      </c>
      <c r="O893" s="41"/>
      <c r="P893" s="11"/>
      <c r="Q893"/>
      <c r="R893"/>
      <c r="S893" t="s">
        <v>4179</v>
      </c>
      <c r="T893" s="145" t="s">
        <v>1017</v>
      </c>
      <c r="U893" s="42"/>
      <c r="V893" t="s">
        <v>1017</v>
      </c>
      <c r="W893" s="50"/>
      <c r="X893" s="50"/>
      <c r="Y893"/>
      <c r="Z893" s="50"/>
      <c r="AA893"/>
      <c r="AB893"/>
      <c r="AC893" s="50"/>
      <c r="AD893"/>
      <c r="AE893" s="75"/>
      <c r="AF893" s="50"/>
      <c r="AG893" s="50"/>
      <c r="AH893" s="171" t="s">
        <v>4178</v>
      </c>
      <c r="AI893" s="168" t="str">
        <f t="shared" ref="AI893:AI956" si="370">IF(AND($AH893&lt;&gt;"",AH893 =AH892),"Gleich","")</f>
        <v/>
      </c>
      <c r="AJ893" s="168" t="str">
        <f t="shared" ref="AJ893:AJ956" si="371">IF(AND($AH893&lt;&gt;"",A893 =A892),"Gleich","")</f>
        <v/>
      </c>
      <c r="AK893" s="168" t="str">
        <f t="shared" ref="AK893:AK956" si="372">IF(AND($AH893&lt;&gt;"",D893 =D892),"Gleich","")</f>
        <v/>
      </c>
      <c r="AL893" s="168" t="str">
        <f t="shared" ref="AL893:AL956" si="373">IF(AND($AH893&lt;&gt;"",E893 =E892),"Gleich","")</f>
        <v/>
      </c>
      <c r="AM893" s="168" t="str">
        <f t="shared" ref="AM893:AM956" si="374">IF(AND($AH893&lt;&gt;"",F893 =F892),"Gleich","")</f>
        <v/>
      </c>
      <c r="AN893" s="167" t="str">
        <f t="shared" si="357"/>
        <v>2012</v>
      </c>
      <c r="AO893" s="167" t="str">
        <f t="shared" si="358"/>
        <v>2012</v>
      </c>
      <c r="AP893" s="167" t="str">
        <f t="shared" si="359"/>
        <v>2012</v>
      </c>
      <c r="AQ893" s="169" t="str">
        <f t="shared" si="360"/>
        <v/>
      </c>
      <c r="AR893" s="170" t="str">
        <f t="shared" si="361"/>
        <v>BiK82a1K12--05</v>
      </c>
      <c r="AS893" s="169" t="str">
        <f t="shared" si="362"/>
        <v/>
      </c>
      <c r="AT893">
        <f t="shared" si="363"/>
        <v>14</v>
      </c>
      <c r="AU893" s="170" t="str">
        <f t="shared" si="364"/>
        <v>0,15-0,5 MW, Bonusregeln a1 und K erstmals 2012</v>
      </c>
      <c r="AV893" s="169" t="str">
        <f t="shared" si="365"/>
        <v/>
      </c>
      <c r="AW893" s="170" t="str">
        <f t="shared" si="366"/>
        <v>Anteil KWK, erstmals 2012</v>
      </c>
      <c r="AX893" s="169" t="str">
        <f t="shared" si="367"/>
        <v/>
      </c>
      <c r="AY893" t="str">
        <f t="shared" si="368"/>
        <v/>
      </c>
      <c r="AZ893" t="str">
        <f t="shared" si="369"/>
        <v>x</v>
      </c>
    </row>
    <row r="894" spans="1:52" s="145" customFormat="1" x14ac:dyDescent="0.35">
      <c r="A894" s="497" t="s">
        <v>1329</v>
      </c>
      <c r="B894" s="13" t="s">
        <v>5547</v>
      </c>
      <c r="C894" s="13" t="s">
        <v>1288</v>
      </c>
      <c r="D894" s="13" t="s">
        <v>7106</v>
      </c>
      <c r="E894" s="13" t="s">
        <v>4809</v>
      </c>
      <c r="F894" s="373">
        <f t="shared" si="346"/>
        <v>16.75</v>
      </c>
      <c r="G894" s="430">
        <v>16.75</v>
      </c>
      <c r="H894" s="399">
        <f t="shared" si="347"/>
        <v>13.4</v>
      </c>
      <c r="I894" s="576"/>
      <c r="J894" s="549" t="s">
        <v>5804</v>
      </c>
      <c r="K894" s="11"/>
      <c r="L894"/>
      <c r="M894" s="37">
        <f t="shared" si="348"/>
        <v>16.75</v>
      </c>
      <c r="N894" s="29">
        <v>9.75</v>
      </c>
      <c r="O894" s="41"/>
      <c r="P894" s="11"/>
      <c r="Q894"/>
      <c r="R894"/>
      <c r="S894" t="s">
        <v>4179</v>
      </c>
      <c r="T894" s="145" t="s">
        <v>4179</v>
      </c>
      <c r="U894" s="42" t="s">
        <v>1017</v>
      </c>
      <c r="V894" t="s">
        <v>1017</v>
      </c>
      <c r="W894" s="50"/>
      <c r="X894" s="50"/>
      <c r="Y894"/>
      <c r="Z894" s="50"/>
      <c r="AA894"/>
      <c r="AB894"/>
      <c r="AC894" s="50"/>
      <c r="AD894"/>
      <c r="AE894" s="75"/>
      <c r="AF894" s="50"/>
      <c r="AG894" s="50"/>
      <c r="AH894" s="166" t="str">
        <f t="shared" ref="AH894:AH899" si="375">IF(ISERROR(SEARCH("K erstmals 201",D894)),"",RIGHT(D894,4))</f>
        <v/>
      </c>
      <c r="AI894" s="168" t="str">
        <f t="shared" si="370"/>
        <v/>
      </c>
      <c r="AJ894" s="168" t="str">
        <f t="shared" si="371"/>
        <v/>
      </c>
      <c r="AK894" s="168" t="str">
        <f t="shared" si="372"/>
        <v/>
      </c>
      <c r="AL894" s="168" t="str">
        <f t="shared" si="373"/>
        <v/>
      </c>
      <c r="AM894" s="168" t="str">
        <f t="shared" si="374"/>
        <v/>
      </c>
      <c r="AN894" s="167" t="str">
        <f t="shared" si="357"/>
        <v/>
      </c>
      <c r="AO894" s="167" t="str">
        <f t="shared" si="358"/>
        <v/>
      </c>
      <c r="AP894" s="167" t="str">
        <f t="shared" si="359"/>
        <v/>
      </c>
      <c r="AQ894" s="169" t="str">
        <f t="shared" si="360"/>
        <v/>
      </c>
      <c r="AR894" s="170" t="str">
        <f t="shared" si="361"/>
        <v>BiK82a1y----05</v>
      </c>
      <c r="AS894" s="169" t="str">
        <f t="shared" si="362"/>
        <v/>
      </c>
      <c r="AT894">
        <f t="shared" si="363"/>
        <v>14</v>
      </c>
      <c r="AU894" s="170" t="str">
        <f t="shared" si="364"/>
        <v>0,15-0,5 MW, Bonusregeln a1, y</v>
      </c>
      <c r="AV894" s="169" t="str">
        <f t="shared" si="365"/>
        <v/>
      </c>
      <c r="AW894" s="170" t="str">
        <f t="shared" si="366"/>
        <v>Anteil Nicht-KWK</v>
      </c>
      <c r="AX894" s="169" t="str">
        <f t="shared" si="367"/>
        <v/>
      </c>
      <c r="AY894" t="str">
        <f t="shared" si="368"/>
        <v/>
      </c>
      <c r="AZ894" t="str">
        <f t="shared" si="369"/>
        <v/>
      </c>
    </row>
    <row r="895" spans="1:52" s="145" customFormat="1" x14ac:dyDescent="0.35">
      <c r="A895" s="497" t="s">
        <v>1330</v>
      </c>
      <c r="B895" s="13" t="s">
        <v>5547</v>
      </c>
      <c r="C895" s="13" t="s">
        <v>1288</v>
      </c>
      <c r="D895" s="13" t="s">
        <v>7107</v>
      </c>
      <c r="E895" s="13" t="s">
        <v>4811</v>
      </c>
      <c r="F895" s="373">
        <f t="shared" si="346"/>
        <v>18.75</v>
      </c>
      <c r="G895" s="430">
        <v>18.75</v>
      </c>
      <c r="H895" s="399">
        <f t="shared" si="347"/>
        <v>15</v>
      </c>
      <c r="I895" s="576"/>
      <c r="J895" s="549" t="s">
        <v>5804</v>
      </c>
      <c r="K895" s="11"/>
      <c r="L895"/>
      <c r="M895" s="37">
        <f t="shared" si="348"/>
        <v>18.75</v>
      </c>
      <c r="N895" s="29">
        <v>9.75</v>
      </c>
      <c r="O895" s="41" t="s">
        <v>1017</v>
      </c>
      <c r="P895" s="11"/>
      <c r="Q895"/>
      <c r="R895"/>
      <c r="S895" t="s">
        <v>4179</v>
      </c>
      <c r="T895" s="145" t="s">
        <v>4179</v>
      </c>
      <c r="U895" s="42" t="s">
        <v>1017</v>
      </c>
      <c r="V895" t="s">
        <v>1017</v>
      </c>
      <c r="W895" s="50"/>
      <c r="X895" s="50"/>
      <c r="Y895"/>
      <c r="Z895" s="50"/>
      <c r="AA895"/>
      <c r="AB895"/>
      <c r="AC895" s="50"/>
      <c r="AD895"/>
      <c r="AE895" s="75"/>
      <c r="AF895" s="50"/>
      <c r="AG895" s="50"/>
      <c r="AH895" s="166" t="str">
        <f t="shared" si="375"/>
        <v/>
      </c>
      <c r="AI895" s="168" t="str">
        <f t="shared" si="370"/>
        <v/>
      </c>
      <c r="AJ895" s="168" t="str">
        <f t="shared" si="371"/>
        <v/>
      </c>
      <c r="AK895" s="168" t="str">
        <f t="shared" si="372"/>
        <v/>
      </c>
      <c r="AL895" s="168" t="str">
        <f t="shared" si="373"/>
        <v/>
      </c>
      <c r="AM895" s="168" t="str">
        <f t="shared" si="374"/>
        <v/>
      </c>
      <c r="AN895" s="167" t="str">
        <f t="shared" si="357"/>
        <v/>
      </c>
      <c r="AO895" s="167" t="str">
        <f t="shared" si="358"/>
        <v/>
      </c>
      <c r="AP895" s="167" t="str">
        <f t="shared" si="359"/>
        <v/>
      </c>
      <c r="AQ895" s="169" t="str">
        <f t="shared" si="360"/>
        <v/>
      </c>
      <c r="AR895" s="170" t="str">
        <f t="shared" si="361"/>
        <v>BiK82a1KWKy-05</v>
      </c>
      <c r="AS895" s="169" t="str">
        <f t="shared" si="362"/>
        <v/>
      </c>
      <c r="AT895">
        <f t="shared" si="363"/>
        <v>14</v>
      </c>
      <c r="AU895" s="170" t="str">
        <f t="shared" si="364"/>
        <v>0,15-0,5 MW, Bonusregeln a1, y und KWK</v>
      </c>
      <c r="AV895" s="169" t="str">
        <f t="shared" si="365"/>
        <v/>
      </c>
      <c r="AW895" s="170" t="str">
        <f t="shared" si="366"/>
        <v>Anteil KWK</v>
      </c>
      <c r="AX895" s="169" t="str">
        <f t="shared" si="367"/>
        <v/>
      </c>
      <c r="AY895" t="str">
        <f t="shared" si="368"/>
        <v/>
      </c>
      <c r="AZ895" t="str">
        <f t="shared" si="369"/>
        <v/>
      </c>
    </row>
    <row r="896" spans="1:52" s="145" customFormat="1" x14ac:dyDescent="0.35">
      <c r="A896" s="497" t="s">
        <v>1331</v>
      </c>
      <c r="B896" s="13" t="s">
        <v>5547</v>
      </c>
      <c r="C896" s="13" t="s">
        <v>1288</v>
      </c>
      <c r="D896" s="13" t="s">
        <v>7108</v>
      </c>
      <c r="E896" s="13" t="s">
        <v>4330</v>
      </c>
      <c r="F896" s="373">
        <f t="shared" si="346"/>
        <v>19.75</v>
      </c>
      <c r="G896" s="430">
        <v>19.75</v>
      </c>
      <c r="H896" s="399">
        <f t="shared" si="347"/>
        <v>15.8</v>
      </c>
      <c r="I896" s="576"/>
      <c r="J896" s="549" t="s">
        <v>5804</v>
      </c>
      <c r="K896" s="11"/>
      <c r="L896"/>
      <c r="M896" s="37">
        <f t="shared" si="348"/>
        <v>19.75</v>
      </c>
      <c r="N896" s="29">
        <v>9.75</v>
      </c>
      <c r="O896" s="41"/>
      <c r="P896" t="s">
        <v>1017</v>
      </c>
      <c r="Q896"/>
      <c r="R896"/>
      <c r="S896" t="s">
        <v>4179</v>
      </c>
      <c r="T896" s="145" t="s">
        <v>4179</v>
      </c>
      <c r="U896" s="42" t="s">
        <v>1017</v>
      </c>
      <c r="V896" t="s">
        <v>1017</v>
      </c>
      <c r="W896" s="50"/>
      <c r="X896" s="50"/>
      <c r="Y896"/>
      <c r="Z896" s="50"/>
      <c r="AA896"/>
      <c r="AB896"/>
      <c r="AC896" s="50"/>
      <c r="AD896"/>
      <c r="AE896" s="75"/>
      <c r="AF896" s="50"/>
      <c r="AG896" s="50"/>
      <c r="AH896" s="166" t="str">
        <f t="shared" si="375"/>
        <v/>
      </c>
      <c r="AI896" s="168" t="str">
        <f t="shared" si="370"/>
        <v/>
      </c>
      <c r="AJ896" s="168" t="str">
        <f t="shared" si="371"/>
        <v/>
      </c>
      <c r="AK896" s="168" t="str">
        <f t="shared" si="372"/>
        <v/>
      </c>
      <c r="AL896" s="168" t="str">
        <f t="shared" si="373"/>
        <v/>
      </c>
      <c r="AM896" s="168" t="str">
        <f t="shared" si="374"/>
        <v/>
      </c>
      <c r="AN896" s="167" t="str">
        <f t="shared" si="357"/>
        <v/>
      </c>
      <c r="AO896" s="167" t="str">
        <f t="shared" si="358"/>
        <v/>
      </c>
      <c r="AP896" s="167" t="str">
        <f t="shared" si="359"/>
        <v/>
      </c>
      <c r="AQ896" s="169" t="str">
        <f t="shared" si="360"/>
        <v/>
      </c>
      <c r="AR896" s="170" t="str">
        <f t="shared" si="361"/>
        <v>BiK82a1KA3y-05</v>
      </c>
      <c r="AS896" s="169" t="str">
        <f t="shared" si="362"/>
        <v/>
      </c>
      <c r="AT896">
        <f t="shared" si="363"/>
        <v>14</v>
      </c>
      <c r="AU896" s="170" t="str">
        <f t="shared" si="364"/>
        <v>0,15-0,5 MW, Bonusregeln a1, y und K wenn Anlage 3 erfüllt</v>
      </c>
      <c r="AV896" s="169" t="str">
        <f t="shared" si="365"/>
        <v/>
      </c>
      <c r="AW896" s="170" t="str">
        <f t="shared" si="366"/>
        <v>Anteil KWK gemäß Anlage 3</v>
      </c>
      <c r="AX896" s="169" t="str">
        <f t="shared" si="367"/>
        <v/>
      </c>
      <c r="AY896" t="str">
        <f t="shared" si="368"/>
        <v/>
      </c>
      <c r="AZ896" t="str">
        <f t="shared" si="369"/>
        <v/>
      </c>
    </row>
    <row r="897" spans="1:52" s="145" customFormat="1" x14ac:dyDescent="0.35">
      <c r="A897" s="497" t="s">
        <v>1332</v>
      </c>
      <c r="B897" s="13" t="s">
        <v>5547</v>
      </c>
      <c r="C897" s="13" t="s">
        <v>1288</v>
      </c>
      <c r="D897" s="13" t="s">
        <v>7109</v>
      </c>
      <c r="E897" s="13" t="s">
        <v>674</v>
      </c>
      <c r="F897" s="373">
        <f t="shared" ref="F897:F960" si="376">M897</f>
        <v>19.75</v>
      </c>
      <c r="G897" s="430">
        <v>19.75</v>
      </c>
      <c r="H897" s="399">
        <f t="shared" ref="H897:H960" si="377">IF(ISNUMBER(G897),ROUND(0.8*G897,2),"")</f>
        <v>15.8</v>
      </c>
      <c r="I897" s="576"/>
      <c r="J897" s="549" t="s">
        <v>5804</v>
      </c>
      <c r="K897" s="11"/>
      <c r="L897"/>
      <c r="M897" s="37">
        <f t="shared" ref="M897:M960" si="378">N897+SUMIF(O897:AG897,"x",O$704:AG$704)</f>
        <v>19.75</v>
      </c>
      <c r="N897" s="29">
        <v>9.75</v>
      </c>
      <c r="O897" s="41"/>
      <c r="P897" s="11"/>
      <c r="Q897" t="s">
        <v>1017</v>
      </c>
      <c r="R897"/>
      <c r="S897" t="s">
        <v>4179</v>
      </c>
      <c r="T897" s="145" t="s">
        <v>4179</v>
      </c>
      <c r="U897" s="42" t="s">
        <v>1017</v>
      </c>
      <c r="V897" t="s">
        <v>1017</v>
      </c>
      <c r="W897" s="50"/>
      <c r="X897" s="50"/>
      <c r="Y897"/>
      <c r="Z897" s="50"/>
      <c r="AA897"/>
      <c r="AB897"/>
      <c r="AC897" s="50"/>
      <c r="AD897"/>
      <c r="AE897" s="75"/>
      <c r="AF897" s="50"/>
      <c r="AG897" s="50"/>
      <c r="AH897" s="166" t="str">
        <f t="shared" si="375"/>
        <v/>
      </c>
      <c r="AI897" s="168" t="str">
        <f t="shared" si="370"/>
        <v/>
      </c>
      <c r="AJ897" s="168" t="str">
        <f t="shared" si="371"/>
        <v/>
      </c>
      <c r="AK897" s="168" t="str">
        <f t="shared" si="372"/>
        <v/>
      </c>
      <c r="AL897" s="168" t="str">
        <f t="shared" si="373"/>
        <v/>
      </c>
      <c r="AM897" s="168" t="str">
        <f t="shared" si="374"/>
        <v/>
      </c>
      <c r="AN897" s="167" t="str">
        <f t="shared" si="357"/>
        <v/>
      </c>
      <c r="AO897" s="167" t="str">
        <f t="shared" si="358"/>
        <v/>
      </c>
      <c r="AP897" s="167" t="str">
        <f t="shared" si="359"/>
        <v/>
      </c>
      <c r="AQ897" s="169" t="str">
        <f t="shared" si="360"/>
        <v/>
      </c>
      <c r="AR897" s="170" t="str">
        <f t="shared" si="361"/>
        <v>BiK82a1K09y-05</v>
      </c>
      <c r="AS897" s="169" t="str">
        <f t="shared" si="362"/>
        <v/>
      </c>
      <c r="AT897">
        <f t="shared" si="363"/>
        <v>14</v>
      </c>
      <c r="AU897" s="170" t="str">
        <f t="shared" si="364"/>
        <v>0,15-0,5 MW, Bonusregeln a1, y und K erstmals 2009</v>
      </c>
      <c r="AV897" s="169" t="str">
        <f t="shared" si="365"/>
        <v/>
      </c>
      <c r="AW897" s="170" t="str">
        <f t="shared" si="366"/>
        <v>Anteil KWK, erstmals 2009</v>
      </c>
      <c r="AX897" s="169" t="str">
        <f t="shared" si="367"/>
        <v/>
      </c>
      <c r="AY897" t="str">
        <f t="shared" si="368"/>
        <v/>
      </c>
      <c r="AZ897" t="str">
        <f t="shared" si="369"/>
        <v/>
      </c>
    </row>
    <row r="898" spans="1:52" s="145" customFormat="1" x14ac:dyDescent="0.35">
      <c r="A898" s="497" t="s">
        <v>3594</v>
      </c>
      <c r="B898" s="13" t="s">
        <v>5547</v>
      </c>
      <c r="C898" s="13" t="s">
        <v>1288</v>
      </c>
      <c r="D898" s="13" t="s">
        <v>7110</v>
      </c>
      <c r="E898" s="13" t="s">
        <v>3566</v>
      </c>
      <c r="F898" s="373">
        <f t="shared" si="376"/>
        <v>19.72</v>
      </c>
      <c r="G898" s="430">
        <v>19.72</v>
      </c>
      <c r="H898" s="399">
        <f t="shared" si="377"/>
        <v>15.78</v>
      </c>
      <c r="I898" s="576"/>
      <c r="J898" s="549" t="s">
        <v>5804</v>
      </c>
      <c r="K898" s="11"/>
      <c r="L898"/>
      <c r="M898" s="37">
        <f t="shared" si="378"/>
        <v>19.72</v>
      </c>
      <c r="N898" s="29">
        <v>9.75</v>
      </c>
      <c r="O898" s="41"/>
      <c r="P898" s="11"/>
      <c r="Q898"/>
      <c r="R898" t="s">
        <v>1017</v>
      </c>
      <c r="S898" t="s">
        <v>4179</v>
      </c>
      <c r="T898" s="145" t="s">
        <v>4179</v>
      </c>
      <c r="U898" s="42" t="s">
        <v>1017</v>
      </c>
      <c r="V898" t="s">
        <v>1017</v>
      </c>
      <c r="W898" s="50"/>
      <c r="X898" s="50"/>
      <c r="Y898"/>
      <c r="Z898" s="50"/>
      <c r="AA898"/>
      <c r="AB898"/>
      <c r="AC898" s="50"/>
      <c r="AD898"/>
      <c r="AE898" s="75"/>
      <c r="AF898" s="50"/>
      <c r="AG898" s="50"/>
      <c r="AH898" s="166" t="str">
        <f t="shared" si="375"/>
        <v>2010</v>
      </c>
      <c r="AI898" s="168" t="str">
        <f t="shared" si="370"/>
        <v/>
      </c>
      <c r="AJ898" s="168" t="str">
        <f t="shared" si="371"/>
        <v/>
      </c>
      <c r="AK898" s="168" t="str">
        <f t="shared" si="372"/>
        <v/>
      </c>
      <c r="AL898" s="168" t="str">
        <f t="shared" si="373"/>
        <v/>
      </c>
      <c r="AM898" s="168" t="str">
        <f t="shared" si="374"/>
        <v/>
      </c>
      <c r="AN898" s="167" t="str">
        <f t="shared" si="357"/>
        <v>2010</v>
      </c>
      <c r="AO898" s="167" t="str">
        <f t="shared" si="358"/>
        <v>2010</v>
      </c>
      <c r="AP898" s="167" t="str">
        <f t="shared" si="359"/>
        <v>2010</v>
      </c>
      <c r="AQ898" s="169" t="str">
        <f t="shared" si="360"/>
        <v/>
      </c>
      <c r="AR898" s="170" t="str">
        <f t="shared" si="361"/>
        <v>BiK82a1K10y-05</v>
      </c>
      <c r="AS898" s="169" t="str">
        <f t="shared" si="362"/>
        <v/>
      </c>
      <c r="AT898">
        <f t="shared" si="363"/>
        <v>14</v>
      </c>
      <c r="AU898" s="170" t="str">
        <f t="shared" si="364"/>
        <v>0,15-0,5 MW, Bonusregeln a1, y und K erstmals 2010</v>
      </c>
      <c r="AV898" s="169" t="str">
        <f t="shared" si="365"/>
        <v/>
      </c>
      <c r="AW898" s="170" t="str">
        <f t="shared" si="366"/>
        <v>Anteil KWK, erstmals 2010</v>
      </c>
      <c r="AX898" s="169" t="str">
        <f t="shared" si="367"/>
        <v/>
      </c>
      <c r="AY898" t="str">
        <f t="shared" si="368"/>
        <v/>
      </c>
      <c r="AZ898" t="str">
        <f t="shared" si="369"/>
        <v/>
      </c>
    </row>
    <row r="899" spans="1:52" s="145" customFormat="1" x14ac:dyDescent="0.35">
      <c r="A899" s="497" t="s">
        <v>5325</v>
      </c>
      <c r="B899" s="13" t="s">
        <v>5547</v>
      </c>
      <c r="C899" s="13" t="s">
        <v>1288</v>
      </c>
      <c r="D899" s="13" t="s">
        <v>7111</v>
      </c>
      <c r="E899" s="13" t="s">
        <v>3054</v>
      </c>
      <c r="F899" s="373">
        <f t="shared" si="376"/>
        <v>19.689999999999998</v>
      </c>
      <c r="G899" s="430">
        <v>19.689999999999998</v>
      </c>
      <c r="H899" s="399">
        <f t="shared" si="377"/>
        <v>15.75</v>
      </c>
      <c r="I899" s="576"/>
      <c r="J899" s="549" t="s">
        <v>5804</v>
      </c>
      <c r="K899" s="11"/>
      <c r="L899"/>
      <c r="M899" s="37">
        <f t="shared" si="378"/>
        <v>19.689999999999998</v>
      </c>
      <c r="N899" s="29">
        <v>9.75</v>
      </c>
      <c r="O899" s="41"/>
      <c r="P899" s="11"/>
      <c r="Q899"/>
      <c r="R899"/>
      <c r="S899" t="s">
        <v>1017</v>
      </c>
      <c r="T899" s="145" t="s">
        <v>4179</v>
      </c>
      <c r="U899" s="42" t="s">
        <v>1017</v>
      </c>
      <c r="V899" t="s">
        <v>1017</v>
      </c>
      <c r="W899" s="50"/>
      <c r="X899" s="50"/>
      <c r="Y899"/>
      <c r="Z899" s="50"/>
      <c r="AA899"/>
      <c r="AB899"/>
      <c r="AC899" s="50"/>
      <c r="AD899"/>
      <c r="AE899" s="75"/>
      <c r="AF899" s="50"/>
      <c r="AG899" s="50"/>
      <c r="AH899" s="166" t="str">
        <f t="shared" si="375"/>
        <v>2011</v>
      </c>
      <c r="AI899" s="168" t="str">
        <f t="shared" si="370"/>
        <v/>
      </c>
      <c r="AJ899" s="168" t="str">
        <f t="shared" si="371"/>
        <v/>
      </c>
      <c r="AK899" s="168" t="str">
        <f t="shared" si="372"/>
        <v/>
      </c>
      <c r="AL899" s="168" t="str">
        <f t="shared" si="373"/>
        <v/>
      </c>
      <c r="AM899" s="168" t="str">
        <f t="shared" si="374"/>
        <v/>
      </c>
      <c r="AN899" s="167" t="str">
        <f t="shared" si="357"/>
        <v>2011</v>
      </c>
      <c r="AO899" s="167" t="str">
        <f t="shared" si="358"/>
        <v>2011</v>
      </c>
      <c r="AP899" s="167" t="str">
        <f t="shared" si="359"/>
        <v>2011</v>
      </c>
      <c r="AQ899" s="169" t="str">
        <f t="shared" si="360"/>
        <v/>
      </c>
      <c r="AR899" s="170" t="str">
        <f t="shared" si="361"/>
        <v>BiK82a1K11y-05</v>
      </c>
      <c r="AS899" s="169" t="str">
        <f t="shared" si="362"/>
        <v/>
      </c>
      <c r="AT899">
        <f t="shared" si="363"/>
        <v>14</v>
      </c>
      <c r="AU899" s="170" t="str">
        <f t="shared" si="364"/>
        <v>0,15-0,5 MW, Bonusregeln a1, y und K erstmals 2011</v>
      </c>
      <c r="AV899" s="169" t="str">
        <f t="shared" si="365"/>
        <v/>
      </c>
      <c r="AW899" s="170" t="str">
        <f t="shared" si="366"/>
        <v>Anteil KWK, erstmals 2011</v>
      </c>
      <c r="AX899" s="169" t="str">
        <f t="shared" si="367"/>
        <v/>
      </c>
      <c r="AY899" t="str">
        <f t="shared" si="368"/>
        <v>x</v>
      </c>
      <c r="AZ899" t="str">
        <f t="shared" si="369"/>
        <v/>
      </c>
    </row>
    <row r="900" spans="1:52" s="145" customFormat="1" x14ac:dyDescent="0.35">
      <c r="A900" s="511" t="s">
        <v>1576</v>
      </c>
      <c r="B900" s="173" t="s">
        <v>5547</v>
      </c>
      <c r="C900" s="173" t="s">
        <v>1288</v>
      </c>
      <c r="D900" s="173" t="s">
        <v>7112</v>
      </c>
      <c r="E900" s="173" t="s">
        <v>1980</v>
      </c>
      <c r="F900" s="374">
        <f t="shared" si="376"/>
        <v>19.66</v>
      </c>
      <c r="G900" s="431">
        <v>19.66</v>
      </c>
      <c r="H900" s="400">
        <f t="shared" si="377"/>
        <v>15.73</v>
      </c>
      <c r="I900" s="577"/>
      <c r="J900" s="549" t="s">
        <v>5804</v>
      </c>
      <c r="K900" s="11"/>
      <c r="L900"/>
      <c r="M900" s="37">
        <f t="shared" si="378"/>
        <v>19.66</v>
      </c>
      <c r="N900" s="29">
        <v>9.75</v>
      </c>
      <c r="O900" s="41"/>
      <c r="P900" s="11"/>
      <c r="Q900"/>
      <c r="R900"/>
      <c r="S900" t="s">
        <v>4179</v>
      </c>
      <c r="T900" s="145" t="s">
        <v>1017</v>
      </c>
      <c r="U900" s="42" t="s">
        <v>1017</v>
      </c>
      <c r="V900" t="s">
        <v>1017</v>
      </c>
      <c r="W900" s="50"/>
      <c r="X900" s="50"/>
      <c r="Y900"/>
      <c r="Z900" s="50"/>
      <c r="AA900"/>
      <c r="AB900"/>
      <c r="AC900" s="50"/>
      <c r="AD900"/>
      <c r="AE900" s="75"/>
      <c r="AF900" s="50"/>
      <c r="AG900" s="50"/>
      <c r="AH900" s="171" t="s">
        <v>4178</v>
      </c>
      <c r="AI900" s="168" t="str">
        <f t="shared" si="370"/>
        <v/>
      </c>
      <c r="AJ900" s="168" t="str">
        <f t="shared" si="371"/>
        <v/>
      </c>
      <c r="AK900" s="168" t="str">
        <f t="shared" si="372"/>
        <v/>
      </c>
      <c r="AL900" s="168" t="str">
        <f t="shared" si="373"/>
        <v/>
      </c>
      <c r="AM900" s="168" t="str">
        <f t="shared" si="374"/>
        <v/>
      </c>
      <c r="AN900" s="167" t="str">
        <f t="shared" si="357"/>
        <v>2012</v>
      </c>
      <c r="AO900" s="167" t="str">
        <f t="shared" si="358"/>
        <v>2012</v>
      </c>
      <c r="AP900" s="167" t="str">
        <f t="shared" si="359"/>
        <v>2012</v>
      </c>
      <c r="AQ900" s="169" t="str">
        <f t="shared" si="360"/>
        <v/>
      </c>
      <c r="AR900" s="170" t="str">
        <f t="shared" si="361"/>
        <v>BiK82a1K12y-05</v>
      </c>
      <c r="AS900" s="169" t="str">
        <f t="shared" si="362"/>
        <v/>
      </c>
      <c r="AT900">
        <f t="shared" si="363"/>
        <v>14</v>
      </c>
      <c r="AU900" s="170" t="str">
        <f t="shared" si="364"/>
        <v>0,15-0,5 MW, Bonusregeln a1, y und K erstmals 2012</v>
      </c>
      <c r="AV900" s="169" t="str">
        <f t="shared" si="365"/>
        <v/>
      </c>
      <c r="AW900" s="170" t="str">
        <f t="shared" si="366"/>
        <v>Anteil KWK, erstmals 2012</v>
      </c>
      <c r="AX900" s="169" t="str">
        <f t="shared" si="367"/>
        <v/>
      </c>
      <c r="AY900" t="str">
        <f t="shared" si="368"/>
        <v/>
      </c>
      <c r="AZ900" t="str">
        <f t="shared" si="369"/>
        <v>x</v>
      </c>
    </row>
    <row r="901" spans="1:52" s="145" customFormat="1" x14ac:dyDescent="0.35">
      <c r="A901" s="497" t="s">
        <v>2454</v>
      </c>
      <c r="B901" s="13" t="s">
        <v>5547</v>
      </c>
      <c r="C901" s="13" t="s">
        <v>1288</v>
      </c>
      <c r="D901" s="13" t="s">
        <v>7029</v>
      </c>
      <c r="E901" s="13" t="s">
        <v>4809</v>
      </c>
      <c r="F901" s="373">
        <f t="shared" si="376"/>
        <v>16.75</v>
      </c>
      <c r="G901" s="430">
        <v>16.75</v>
      </c>
      <c r="H901" s="399">
        <f t="shared" si="377"/>
        <v>13.4</v>
      </c>
      <c r="I901" s="576"/>
      <c r="J901" s="549" t="s">
        <v>5804</v>
      </c>
      <c r="K901" s="11"/>
      <c r="L901"/>
      <c r="M901" s="37">
        <f t="shared" si="378"/>
        <v>16.75</v>
      </c>
      <c r="N901" s="29">
        <v>9.75</v>
      </c>
      <c r="O901" s="149"/>
      <c r="P901" s="144"/>
      <c r="S901" s="145" t="s">
        <v>4179</v>
      </c>
      <c r="T901" s="145" t="s">
        <v>4179</v>
      </c>
      <c r="U901" s="146"/>
      <c r="W901" s="147"/>
      <c r="X901" s="147"/>
      <c r="Y901" s="145" t="s">
        <v>1017</v>
      </c>
      <c r="Z901" s="147"/>
      <c r="AC901" s="147"/>
      <c r="AE901" s="148"/>
      <c r="AF901" s="147"/>
      <c r="AG901" s="147"/>
      <c r="AH901" s="166" t="str">
        <f t="shared" ref="AH901:AH906" si="379">IF(ISERROR(SEARCH("K erstmals 201",D901)),"",RIGHT(D901,4))</f>
        <v/>
      </c>
      <c r="AI901" s="168" t="str">
        <f t="shared" si="370"/>
        <v/>
      </c>
      <c r="AJ901" s="168" t="str">
        <f t="shared" si="371"/>
        <v/>
      </c>
      <c r="AK901" s="168" t="str">
        <f t="shared" si="372"/>
        <v/>
      </c>
      <c r="AL901" s="168" t="str">
        <f t="shared" si="373"/>
        <v/>
      </c>
      <c r="AM901" s="168" t="str">
        <f t="shared" si="374"/>
        <v/>
      </c>
      <c r="AN901" s="167" t="str">
        <f t="shared" si="357"/>
        <v/>
      </c>
      <c r="AO901" s="167" t="str">
        <f t="shared" si="358"/>
        <v/>
      </c>
      <c r="AP901" s="167" t="str">
        <f t="shared" si="359"/>
        <v/>
      </c>
      <c r="AQ901" s="169" t="str">
        <f t="shared" si="360"/>
        <v/>
      </c>
      <c r="AR901" s="170" t="str">
        <f t="shared" si="361"/>
        <v>BiK82G------05</v>
      </c>
      <c r="AS901" s="169" t="str">
        <f t="shared" si="362"/>
        <v/>
      </c>
      <c r="AT901">
        <f t="shared" si="363"/>
        <v>14</v>
      </c>
      <c r="AU901" s="170" t="str">
        <f t="shared" si="364"/>
        <v>0,15-0,5 MW, Bonusregel G</v>
      </c>
      <c r="AV901" s="169" t="str">
        <f t="shared" si="365"/>
        <v/>
      </c>
      <c r="AW901" s="170" t="str">
        <f t="shared" si="366"/>
        <v>Anteil Nicht-KWK</v>
      </c>
      <c r="AX901" s="169" t="str">
        <f t="shared" si="367"/>
        <v/>
      </c>
      <c r="AY901" t="str">
        <f t="shared" si="368"/>
        <v/>
      </c>
      <c r="AZ901" t="str">
        <f t="shared" si="369"/>
        <v/>
      </c>
    </row>
    <row r="902" spans="1:52" s="145" customFormat="1" x14ac:dyDescent="0.35">
      <c r="A902" s="497" t="s">
        <v>2455</v>
      </c>
      <c r="B902" s="13" t="s">
        <v>5547</v>
      </c>
      <c r="C902" s="13" t="s">
        <v>1288</v>
      </c>
      <c r="D902" s="13" t="s">
        <v>7113</v>
      </c>
      <c r="E902" s="13" t="s">
        <v>4811</v>
      </c>
      <c r="F902" s="373">
        <f t="shared" si="376"/>
        <v>18.75</v>
      </c>
      <c r="G902" s="430">
        <v>18.75</v>
      </c>
      <c r="H902" s="399">
        <f t="shared" si="377"/>
        <v>15</v>
      </c>
      <c r="I902" s="576"/>
      <c r="J902" s="549" t="s">
        <v>5804</v>
      </c>
      <c r="K902" s="11"/>
      <c r="L902"/>
      <c r="M902" s="37">
        <f t="shared" si="378"/>
        <v>18.75</v>
      </c>
      <c r="N902" s="29">
        <v>9.75</v>
      </c>
      <c r="O902" s="149" t="s">
        <v>1017</v>
      </c>
      <c r="P902" s="144"/>
      <c r="S902" s="145" t="s">
        <v>4179</v>
      </c>
      <c r="T902" s="145" t="s">
        <v>4179</v>
      </c>
      <c r="U902" s="146"/>
      <c r="W902" s="147"/>
      <c r="X902" s="147"/>
      <c r="Y902" s="145" t="s">
        <v>1017</v>
      </c>
      <c r="Z902" s="147"/>
      <c r="AC902" s="147"/>
      <c r="AE902" s="148"/>
      <c r="AF902" s="147"/>
      <c r="AG902" s="147"/>
      <c r="AH902" s="166" t="str">
        <f t="shared" si="379"/>
        <v/>
      </c>
      <c r="AI902" s="168" t="str">
        <f t="shared" si="370"/>
        <v/>
      </c>
      <c r="AJ902" s="168" t="str">
        <f t="shared" si="371"/>
        <v/>
      </c>
      <c r="AK902" s="168" t="str">
        <f t="shared" si="372"/>
        <v/>
      </c>
      <c r="AL902" s="168" t="str">
        <f t="shared" si="373"/>
        <v/>
      </c>
      <c r="AM902" s="168" t="str">
        <f t="shared" si="374"/>
        <v/>
      </c>
      <c r="AN902" s="167" t="str">
        <f t="shared" si="357"/>
        <v/>
      </c>
      <c r="AO902" s="167" t="str">
        <f t="shared" si="358"/>
        <v/>
      </c>
      <c r="AP902" s="167" t="str">
        <f t="shared" si="359"/>
        <v/>
      </c>
      <c r="AQ902" s="169" t="str">
        <f t="shared" si="360"/>
        <v/>
      </c>
      <c r="AR902" s="170" t="str">
        <f t="shared" si="361"/>
        <v>BiK82GKWK---05</v>
      </c>
      <c r="AS902" s="169" t="str">
        <f t="shared" si="362"/>
        <v/>
      </c>
      <c r="AT902">
        <f t="shared" si="363"/>
        <v>14</v>
      </c>
      <c r="AU902" s="170" t="str">
        <f t="shared" si="364"/>
        <v>0,15-0,5 MW, Bonusregeln G und KWK</v>
      </c>
      <c r="AV902" s="169" t="str">
        <f t="shared" si="365"/>
        <v/>
      </c>
      <c r="AW902" s="170" t="str">
        <f t="shared" si="366"/>
        <v>Anteil KWK</v>
      </c>
      <c r="AX902" s="169" t="str">
        <f t="shared" si="367"/>
        <v/>
      </c>
      <c r="AY902" t="str">
        <f t="shared" si="368"/>
        <v/>
      </c>
      <c r="AZ902" t="str">
        <f t="shared" si="369"/>
        <v/>
      </c>
    </row>
    <row r="903" spans="1:52" s="145" customFormat="1" x14ac:dyDescent="0.35">
      <c r="A903" s="497" t="s">
        <v>2456</v>
      </c>
      <c r="B903" s="13" t="s">
        <v>5547</v>
      </c>
      <c r="C903" s="13" t="s">
        <v>1288</v>
      </c>
      <c r="D903" s="13" t="s">
        <v>7030</v>
      </c>
      <c r="E903" s="13" t="s">
        <v>4330</v>
      </c>
      <c r="F903" s="373">
        <f t="shared" si="376"/>
        <v>19.75</v>
      </c>
      <c r="G903" s="430">
        <v>19.75</v>
      </c>
      <c r="H903" s="399">
        <f t="shared" si="377"/>
        <v>15.8</v>
      </c>
      <c r="I903" s="576"/>
      <c r="J903" s="549" t="s">
        <v>5804</v>
      </c>
      <c r="K903" s="11"/>
      <c r="L903"/>
      <c r="M903" s="37">
        <f t="shared" si="378"/>
        <v>19.75</v>
      </c>
      <c r="N903" s="29">
        <v>9.75</v>
      </c>
      <c r="O903" s="149"/>
      <c r="P903" s="145" t="s">
        <v>1017</v>
      </c>
      <c r="S903" s="145" t="s">
        <v>4179</v>
      </c>
      <c r="T903" s="145" t="s">
        <v>4179</v>
      </c>
      <c r="U903" s="146"/>
      <c r="W903" s="147"/>
      <c r="X903" s="147"/>
      <c r="Y903" s="145" t="s">
        <v>1017</v>
      </c>
      <c r="Z903" s="147"/>
      <c r="AC903" s="147"/>
      <c r="AE903" s="148"/>
      <c r="AF903" s="147"/>
      <c r="AG903" s="147"/>
      <c r="AH903" s="166" t="str">
        <f t="shared" si="379"/>
        <v/>
      </c>
      <c r="AI903" s="168" t="str">
        <f t="shared" si="370"/>
        <v/>
      </c>
      <c r="AJ903" s="168" t="str">
        <f t="shared" si="371"/>
        <v/>
      </c>
      <c r="AK903" s="168" t="str">
        <f t="shared" si="372"/>
        <v/>
      </c>
      <c r="AL903" s="168" t="str">
        <f t="shared" si="373"/>
        <v/>
      </c>
      <c r="AM903" s="168" t="str">
        <f t="shared" si="374"/>
        <v/>
      </c>
      <c r="AN903" s="167" t="str">
        <f t="shared" si="357"/>
        <v/>
      </c>
      <c r="AO903" s="167" t="str">
        <f t="shared" si="358"/>
        <v/>
      </c>
      <c r="AP903" s="167" t="str">
        <f t="shared" si="359"/>
        <v/>
      </c>
      <c r="AQ903" s="169" t="str">
        <f t="shared" si="360"/>
        <v/>
      </c>
      <c r="AR903" s="170" t="str">
        <f t="shared" si="361"/>
        <v>BiK82GKA3---05</v>
      </c>
      <c r="AS903" s="169" t="str">
        <f t="shared" si="362"/>
        <v/>
      </c>
      <c r="AT903">
        <f t="shared" si="363"/>
        <v>14</v>
      </c>
      <c r="AU903" s="170" t="str">
        <f t="shared" si="364"/>
        <v>0,15-0,5 MW, Bonusregeln G und K wenn Anlage 3 erfüllt</v>
      </c>
      <c r="AV903" s="169" t="str">
        <f t="shared" si="365"/>
        <v/>
      </c>
      <c r="AW903" s="170" t="str">
        <f t="shared" si="366"/>
        <v>Anteil KWK gemäß Anlage 3</v>
      </c>
      <c r="AX903" s="169" t="str">
        <f t="shared" si="367"/>
        <v/>
      </c>
      <c r="AY903" t="str">
        <f t="shared" si="368"/>
        <v/>
      </c>
      <c r="AZ903" t="str">
        <f t="shared" si="369"/>
        <v/>
      </c>
    </row>
    <row r="904" spans="1:52" s="145" customFormat="1" x14ac:dyDescent="0.35">
      <c r="A904" s="497" t="s">
        <v>2457</v>
      </c>
      <c r="B904" s="13" t="s">
        <v>5547</v>
      </c>
      <c r="C904" s="13" t="s">
        <v>1288</v>
      </c>
      <c r="D904" s="13" t="s">
        <v>7031</v>
      </c>
      <c r="E904" s="13" t="s">
        <v>674</v>
      </c>
      <c r="F904" s="373">
        <f t="shared" si="376"/>
        <v>19.75</v>
      </c>
      <c r="G904" s="430">
        <v>19.75</v>
      </c>
      <c r="H904" s="399">
        <f t="shared" si="377"/>
        <v>15.8</v>
      </c>
      <c r="I904" s="576"/>
      <c r="J904" s="549" t="s">
        <v>5804</v>
      </c>
      <c r="K904" s="11"/>
      <c r="L904"/>
      <c r="M904" s="37">
        <f t="shared" si="378"/>
        <v>19.75</v>
      </c>
      <c r="N904" s="29">
        <v>9.75</v>
      </c>
      <c r="O904" s="149"/>
      <c r="P904" s="144"/>
      <c r="Q904" s="145" t="s">
        <v>1017</v>
      </c>
      <c r="S904" s="145" t="s">
        <v>4179</v>
      </c>
      <c r="T904" s="145" t="s">
        <v>4179</v>
      </c>
      <c r="U904" s="146"/>
      <c r="W904" s="147"/>
      <c r="X904" s="147"/>
      <c r="Y904" s="145" t="s">
        <v>1017</v>
      </c>
      <c r="Z904" s="147"/>
      <c r="AC904" s="147"/>
      <c r="AE904" s="148"/>
      <c r="AF904" s="147"/>
      <c r="AG904" s="147"/>
      <c r="AH904" s="166" t="str">
        <f t="shared" si="379"/>
        <v/>
      </c>
      <c r="AI904" s="168" t="str">
        <f t="shared" si="370"/>
        <v/>
      </c>
      <c r="AJ904" s="168" t="str">
        <f t="shared" si="371"/>
        <v/>
      </c>
      <c r="AK904" s="168" t="str">
        <f t="shared" si="372"/>
        <v/>
      </c>
      <c r="AL904" s="168" t="str">
        <f t="shared" si="373"/>
        <v/>
      </c>
      <c r="AM904" s="168" t="str">
        <f t="shared" si="374"/>
        <v/>
      </c>
      <c r="AN904" s="167" t="str">
        <f t="shared" si="357"/>
        <v/>
      </c>
      <c r="AO904" s="167" t="str">
        <f t="shared" si="358"/>
        <v/>
      </c>
      <c r="AP904" s="167" t="str">
        <f t="shared" si="359"/>
        <v/>
      </c>
      <c r="AQ904" s="169" t="str">
        <f t="shared" si="360"/>
        <v/>
      </c>
      <c r="AR904" s="170" t="str">
        <f t="shared" si="361"/>
        <v>BiK82GK09---05</v>
      </c>
      <c r="AS904" s="169" t="str">
        <f t="shared" si="362"/>
        <v/>
      </c>
      <c r="AT904">
        <f t="shared" si="363"/>
        <v>14</v>
      </c>
      <c r="AU904" s="170" t="str">
        <f t="shared" si="364"/>
        <v>0,15-0,5 MW, Bonusregeln G und K erstmals 2009</v>
      </c>
      <c r="AV904" s="169" t="str">
        <f t="shared" si="365"/>
        <v/>
      </c>
      <c r="AW904" s="170" t="str">
        <f t="shared" si="366"/>
        <v>Anteil KWK, erstmals 2009</v>
      </c>
      <c r="AX904" s="169" t="str">
        <f t="shared" si="367"/>
        <v/>
      </c>
      <c r="AY904" t="str">
        <f t="shared" si="368"/>
        <v/>
      </c>
      <c r="AZ904" t="str">
        <f t="shared" si="369"/>
        <v/>
      </c>
    </row>
    <row r="905" spans="1:52" s="145" customFormat="1" x14ac:dyDescent="0.35">
      <c r="A905" s="497" t="s">
        <v>3595</v>
      </c>
      <c r="B905" s="13" t="s">
        <v>5547</v>
      </c>
      <c r="C905" s="13" t="s">
        <v>1288</v>
      </c>
      <c r="D905" s="13" t="s">
        <v>7032</v>
      </c>
      <c r="E905" s="13" t="s">
        <v>3566</v>
      </c>
      <c r="F905" s="373">
        <f t="shared" si="376"/>
        <v>19.72</v>
      </c>
      <c r="G905" s="430">
        <v>19.72</v>
      </c>
      <c r="H905" s="399">
        <f t="shared" si="377"/>
        <v>15.78</v>
      </c>
      <c r="I905" s="576"/>
      <c r="J905" s="549" t="s">
        <v>5804</v>
      </c>
      <c r="K905" s="11"/>
      <c r="L905"/>
      <c r="M905" s="37">
        <f t="shared" si="378"/>
        <v>19.72</v>
      </c>
      <c r="N905" s="29">
        <v>9.75</v>
      </c>
      <c r="O905" s="149"/>
      <c r="P905" s="144"/>
      <c r="R905" s="145" t="s">
        <v>1017</v>
      </c>
      <c r="S905" s="145" t="s">
        <v>4179</v>
      </c>
      <c r="T905" s="145" t="s">
        <v>4179</v>
      </c>
      <c r="U905" s="146"/>
      <c r="W905" s="147"/>
      <c r="X905" s="147"/>
      <c r="Y905" s="145" t="s">
        <v>1017</v>
      </c>
      <c r="Z905" s="147"/>
      <c r="AC905" s="147"/>
      <c r="AE905" s="148"/>
      <c r="AF905" s="147"/>
      <c r="AG905" s="147"/>
      <c r="AH905" s="166" t="str">
        <f t="shared" si="379"/>
        <v>2010</v>
      </c>
      <c r="AI905" s="168" t="str">
        <f t="shared" si="370"/>
        <v/>
      </c>
      <c r="AJ905" s="168" t="str">
        <f t="shared" si="371"/>
        <v/>
      </c>
      <c r="AK905" s="168" t="str">
        <f t="shared" si="372"/>
        <v/>
      </c>
      <c r="AL905" s="168" t="str">
        <f t="shared" si="373"/>
        <v/>
      </c>
      <c r="AM905" s="168" t="str">
        <f t="shared" si="374"/>
        <v/>
      </c>
      <c r="AN905" s="167" t="str">
        <f t="shared" si="357"/>
        <v>2010</v>
      </c>
      <c r="AO905" s="167" t="str">
        <f t="shared" si="358"/>
        <v>2010</v>
      </c>
      <c r="AP905" s="167" t="str">
        <f t="shared" si="359"/>
        <v>2010</v>
      </c>
      <c r="AQ905" s="169" t="str">
        <f t="shared" si="360"/>
        <v/>
      </c>
      <c r="AR905" s="170" t="str">
        <f t="shared" si="361"/>
        <v>BiK82GK10---05</v>
      </c>
      <c r="AS905" s="169" t="str">
        <f t="shared" si="362"/>
        <v/>
      </c>
      <c r="AT905">
        <f t="shared" si="363"/>
        <v>14</v>
      </c>
      <c r="AU905" s="170" t="str">
        <f t="shared" si="364"/>
        <v>0,15-0,5 MW, Bonusregeln G und K erstmals 2010</v>
      </c>
      <c r="AV905" s="169" t="str">
        <f t="shared" si="365"/>
        <v/>
      </c>
      <c r="AW905" s="170" t="str">
        <f t="shared" si="366"/>
        <v>Anteil KWK, erstmals 2010</v>
      </c>
      <c r="AX905" s="169" t="str">
        <f t="shared" si="367"/>
        <v/>
      </c>
      <c r="AY905" t="str">
        <f t="shared" si="368"/>
        <v/>
      </c>
      <c r="AZ905" t="str">
        <f t="shared" si="369"/>
        <v/>
      </c>
    </row>
    <row r="906" spans="1:52" s="145" customFormat="1" x14ac:dyDescent="0.35">
      <c r="A906" s="497" t="s">
        <v>5326</v>
      </c>
      <c r="B906" s="13" t="s">
        <v>5547</v>
      </c>
      <c r="C906" s="13" t="s">
        <v>1288</v>
      </c>
      <c r="D906" s="13" t="s">
        <v>7033</v>
      </c>
      <c r="E906" s="13" t="s">
        <v>3054</v>
      </c>
      <c r="F906" s="373">
        <f t="shared" si="376"/>
        <v>19.689999999999998</v>
      </c>
      <c r="G906" s="430">
        <v>19.689999999999998</v>
      </c>
      <c r="H906" s="399">
        <f t="shared" si="377"/>
        <v>15.75</v>
      </c>
      <c r="I906" s="576"/>
      <c r="J906" s="549" t="s">
        <v>5804</v>
      </c>
      <c r="K906" s="11"/>
      <c r="L906"/>
      <c r="M906" s="37">
        <f t="shared" si="378"/>
        <v>19.689999999999998</v>
      </c>
      <c r="N906" s="29">
        <v>9.75</v>
      </c>
      <c r="O906" s="149"/>
      <c r="P906" s="144"/>
      <c r="S906" s="145" t="s">
        <v>1017</v>
      </c>
      <c r="T906" s="145" t="s">
        <v>4179</v>
      </c>
      <c r="U906" s="146"/>
      <c r="W906" s="147"/>
      <c r="X906" s="147"/>
      <c r="Y906" s="145" t="s">
        <v>1017</v>
      </c>
      <c r="Z906" s="147"/>
      <c r="AC906" s="147"/>
      <c r="AE906" s="148"/>
      <c r="AF906" s="147"/>
      <c r="AG906" s="147"/>
      <c r="AH906" s="166" t="str">
        <f t="shared" si="379"/>
        <v>2011</v>
      </c>
      <c r="AI906" s="168" t="str">
        <f t="shared" si="370"/>
        <v/>
      </c>
      <c r="AJ906" s="168" t="str">
        <f t="shared" si="371"/>
        <v/>
      </c>
      <c r="AK906" s="168" t="str">
        <f t="shared" si="372"/>
        <v/>
      </c>
      <c r="AL906" s="168" t="str">
        <f t="shared" si="373"/>
        <v/>
      </c>
      <c r="AM906" s="168" t="str">
        <f t="shared" si="374"/>
        <v/>
      </c>
      <c r="AN906" s="167" t="str">
        <f t="shared" si="357"/>
        <v>2011</v>
      </c>
      <c r="AO906" s="167" t="str">
        <f t="shared" si="358"/>
        <v>2011</v>
      </c>
      <c r="AP906" s="167" t="str">
        <f t="shared" si="359"/>
        <v>2011</v>
      </c>
      <c r="AQ906" s="169" t="str">
        <f t="shared" si="360"/>
        <v/>
      </c>
      <c r="AR906" s="170" t="str">
        <f t="shared" si="361"/>
        <v>BiK82GK11---05</v>
      </c>
      <c r="AS906" s="169" t="str">
        <f t="shared" si="362"/>
        <v/>
      </c>
      <c r="AT906">
        <f t="shared" si="363"/>
        <v>14</v>
      </c>
      <c r="AU906" s="170" t="str">
        <f t="shared" si="364"/>
        <v>0,15-0,5 MW, Bonusregeln G und K erstmals 2011</v>
      </c>
      <c r="AV906" s="169" t="str">
        <f t="shared" si="365"/>
        <v/>
      </c>
      <c r="AW906" s="170" t="str">
        <f t="shared" si="366"/>
        <v>Anteil KWK, erstmals 2011</v>
      </c>
      <c r="AX906" s="169" t="str">
        <f t="shared" si="367"/>
        <v/>
      </c>
      <c r="AY906" t="str">
        <f t="shared" si="368"/>
        <v>x</v>
      </c>
      <c r="AZ906" t="str">
        <f t="shared" si="369"/>
        <v/>
      </c>
    </row>
    <row r="907" spans="1:52" s="145" customFormat="1" x14ac:dyDescent="0.35">
      <c r="A907" s="511" t="s">
        <v>1577</v>
      </c>
      <c r="B907" s="173" t="s">
        <v>5547</v>
      </c>
      <c r="C907" s="173" t="s">
        <v>1288</v>
      </c>
      <c r="D907" s="173" t="s">
        <v>7034</v>
      </c>
      <c r="E907" s="173" t="s">
        <v>1980</v>
      </c>
      <c r="F907" s="374">
        <f t="shared" si="376"/>
        <v>19.66</v>
      </c>
      <c r="G907" s="431">
        <v>19.66</v>
      </c>
      <c r="H907" s="400">
        <f t="shared" si="377"/>
        <v>15.73</v>
      </c>
      <c r="I907" s="577"/>
      <c r="J907" s="549" t="s">
        <v>5804</v>
      </c>
      <c r="K907" s="11"/>
      <c r="L907"/>
      <c r="M907" s="37">
        <f t="shared" si="378"/>
        <v>19.66</v>
      </c>
      <c r="N907" s="29">
        <v>9.75</v>
      </c>
      <c r="O907" s="149"/>
      <c r="P907" s="144"/>
      <c r="S907" s="145" t="s">
        <v>4179</v>
      </c>
      <c r="T907" s="145" t="s">
        <v>1017</v>
      </c>
      <c r="U907" s="146"/>
      <c r="W907" s="147"/>
      <c r="X907" s="147"/>
      <c r="Y907" s="145" t="s">
        <v>1017</v>
      </c>
      <c r="Z907" s="147"/>
      <c r="AC907" s="147"/>
      <c r="AE907" s="148"/>
      <c r="AF907" s="147"/>
      <c r="AG907" s="147"/>
      <c r="AH907" s="171" t="s">
        <v>4178</v>
      </c>
      <c r="AI907" s="168" t="str">
        <f t="shared" si="370"/>
        <v/>
      </c>
      <c r="AJ907" s="168" t="str">
        <f t="shared" si="371"/>
        <v/>
      </c>
      <c r="AK907" s="168" t="str">
        <f t="shared" si="372"/>
        <v/>
      </c>
      <c r="AL907" s="168" t="str">
        <f t="shared" si="373"/>
        <v/>
      </c>
      <c r="AM907" s="168" t="str">
        <f t="shared" si="374"/>
        <v/>
      </c>
      <c r="AN907" s="167" t="str">
        <f t="shared" si="357"/>
        <v>2012</v>
      </c>
      <c r="AO907" s="167" t="str">
        <f t="shared" si="358"/>
        <v>2012</v>
      </c>
      <c r="AP907" s="167" t="str">
        <f t="shared" si="359"/>
        <v>2012</v>
      </c>
      <c r="AQ907" s="169" t="str">
        <f t="shared" si="360"/>
        <v/>
      </c>
      <c r="AR907" s="170" t="str">
        <f t="shared" si="361"/>
        <v>BiK82GK12---05</v>
      </c>
      <c r="AS907" s="169" t="str">
        <f t="shared" si="362"/>
        <v/>
      </c>
      <c r="AT907">
        <f t="shared" si="363"/>
        <v>14</v>
      </c>
      <c r="AU907" s="170" t="str">
        <f t="shared" si="364"/>
        <v>0,15-0,5 MW, Bonusregeln G und K erstmals 2012</v>
      </c>
      <c r="AV907" s="169" t="str">
        <f t="shared" si="365"/>
        <v/>
      </c>
      <c r="AW907" s="170" t="str">
        <f t="shared" si="366"/>
        <v>Anteil KWK, erstmals 2012</v>
      </c>
      <c r="AX907" s="169" t="str">
        <f t="shared" si="367"/>
        <v/>
      </c>
      <c r="AY907" t="str">
        <f t="shared" si="368"/>
        <v/>
      </c>
      <c r="AZ907" t="str">
        <f t="shared" si="369"/>
        <v>x</v>
      </c>
    </row>
    <row r="908" spans="1:52" s="145" customFormat="1" x14ac:dyDescent="0.35">
      <c r="A908" s="497" t="s">
        <v>2458</v>
      </c>
      <c r="B908" s="13" t="s">
        <v>5547</v>
      </c>
      <c r="C908" s="13" t="s">
        <v>1288</v>
      </c>
      <c r="D908" s="13" t="s">
        <v>7035</v>
      </c>
      <c r="E908" s="13" t="s">
        <v>4809</v>
      </c>
      <c r="F908" s="373">
        <f t="shared" si="376"/>
        <v>17.75</v>
      </c>
      <c r="G908" s="430">
        <v>17.75</v>
      </c>
      <c r="H908" s="399">
        <f t="shared" si="377"/>
        <v>14.2</v>
      </c>
      <c r="I908" s="576"/>
      <c r="J908" s="549" t="s">
        <v>5804</v>
      </c>
      <c r="K908" s="11"/>
      <c r="L908"/>
      <c r="M908" s="37">
        <f t="shared" si="378"/>
        <v>17.75</v>
      </c>
      <c r="N908" s="29">
        <v>9.75</v>
      </c>
      <c r="O908" s="149"/>
      <c r="P908" s="144"/>
      <c r="S908" s="145" t="s">
        <v>4179</v>
      </c>
      <c r="T908" s="145" t="s">
        <v>4179</v>
      </c>
      <c r="U908" s="146" t="s">
        <v>1017</v>
      </c>
      <c r="W908" s="147"/>
      <c r="X908" s="147"/>
      <c r="Y908" s="145" t="s">
        <v>1017</v>
      </c>
      <c r="Z908" s="147"/>
      <c r="AC908" s="147"/>
      <c r="AE908" s="148"/>
      <c r="AF908" s="147"/>
      <c r="AG908" s="147"/>
      <c r="AH908" s="166" t="str">
        <f t="shared" ref="AH908:AH913" si="380">IF(ISERROR(SEARCH("K erstmals 201",D908)),"",RIGHT(D908,4))</f>
        <v/>
      </c>
      <c r="AI908" s="168" t="str">
        <f t="shared" si="370"/>
        <v/>
      </c>
      <c r="AJ908" s="168" t="str">
        <f t="shared" si="371"/>
        <v/>
      </c>
      <c r="AK908" s="168" t="str">
        <f t="shared" si="372"/>
        <v/>
      </c>
      <c r="AL908" s="168" t="str">
        <f t="shared" si="373"/>
        <v/>
      </c>
      <c r="AM908" s="168" t="str">
        <f t="shared" si="374"/>
        <v/>
      </c>
      <c r="AN908" s="167" t="str">
        <f t="shared" si="357"/>
        <v/>
      </c>
      <c r="AO908" s="167" t="str">
        <f t="shared" si="358"/>
        <v/>
      </c>
      <c r="AP908" s="167" t="str">
        <f t="shared" si="359"/>
        <v/>
      </c>
      <c r="AQ908" s="169" t="str">
        <f t="shared" si="360"/>
        <v/>
      </c>
      <c r="AR908" s="170" t="str">
        <f t="shared" si="361"/>
        <v>BiK82Gy-----05</v>
      </c>
      <c r="AS908" s="169" t="str">
        <f t="shared" si="362"/>
        <v/>
      </c>
      <c r="AT908">
        <f t="shared" si="363"/>
        <v>14</v>
      </c>
      <c r="AU908" s="170" t="str">
        <f t="shared" si="364"/>
        <v>0,15-0,5 MW, Bonusregel G, y</v>
      </c>
      <c r="AV908" s="169" t="str">
        <f t="shared" si="365"/>
        <v/>
      </c>
      <c r="AW908" s="170" t="str">
        <f t="shared" si="366"/>
        <v>Anteil Nicht-KWK</v>
      </c>
      <c r="AX908" s="169" t="str">
        <f t="shared" si="367"/>
        <v/>
      </c>
      <c r="AY908" t="str">
        <f t="shared" si="368"/>
        <v/>
      </c>
      <c r="AZ908" t="str">
        <f t="shared" si="369"/>
        <v/>
      </c>
    </row>
    <row r="909" spans="1:52" s="145" customFormat="1" x14ac:dyDescent="0.35">
      <c r="A909" s="497" t="s">
        <v>2459</v>
      </c>
      <c r="B909" s="13" t="s">
        <v>5547</v>
      </c>
      <c r="C909" s="13" t="s">
        <v>1288</v>
      </c>
      <c r="D909" s="13" t="s">
        <v>7114</v>
      </c>
      <c r="E909" s="13" t="s">
        <v>4811</v>
      </c>
      <c r="F909" s="373">
        <f t="shared" si="376"/>
        <v>19.75</v>
      </c>
      <c r="G909" s="430">
        <v>19.75</v>
      </c>
      <c r="H909" s="399">
        <f t="shared" si="377"/>
        <v>15.8</v>
      </c>
      <c r="I909" s="576"/>
      <c r="J909" s="549" t="s">
        <v>5804</v>
      </c>
      <c r="K909" s="11"/>
      <c r="L909"/>
      <c r="M909" s="37">
        <f t="shared" si="378"/>
        <v>19.75</v>
      </c>
      <c r="N909" s="29">
        <v>9.75</v>
      </c>
      <c r="O909" s="149" t="s">
        <v>1017</v>
      </c>
      <c r="P909" s="144"/>
      <c r="S909" s="145" t="s">
        <v>4179</v>
      </c>
      <c r="T909" s="145" t="s">
        <v>4179</v>
      </c>
      <c r="U909" s="146" t="s">
        <v>1017</v>
      </c>
      <c r="W909" s="147"/>
      <c r="X909" s="147"/>
      <c r="Y909" s="145" t="s">
        <v>1017</v>
      </c>
      <c r="Z909" s="147"/>
      <c r="AC909" s="147"/>
      <c r="AE909" s="148"/>
      <c r="AF909" s="147"/>
      <c r="AG909" s="147"/>
      <c r="AH909" s="166" t="str">
        <f t="shared" si="380"/>
        <v/>
      </c>
      <c r="AI909" s="168" t="str">
        <f t="shared" si="370"/>
        <v/>
      </c>
      <c r="AJ909" s="168" t="str">
        <f t="shared" si="371"/>
        <v/>
      </c>
      <c r="AK909" s="168" t="str">
        <f t="shared" si="372"/>
        <v/>
      </c>
      <c r="AL909" s="168" t="str">
        <f t="shared" si="373"/>
        <v/>
      </c>
      <c r="AM909" s="168" t="str">
        <f t="shared" si="374"/>
        <v/>
      </c>
      <c r="AN909" s="167" t="str">
        <f t="shared" si="357"/>
        <v/>
      </c>
      <c r="AO909" s="167" t="str">
        <f t="shared" si="358"/>
        <v/>
      </c>
      <c r="AP909" s="167" t="str">
        <f t="shared" si="359"/>
        <v/>
      </c>
      <c r="AQ909" s="169" t="str">
        <f t="shared" si="360"/>
        <v/>
      </c>
      <c r="AR909" s="170" t="str">
        <f t="shared" si="361"/>
        <v>BiK82GKWKy--05</v>
      </c>
      <c r="AS909" s="169" t="str">
        <f t="shared" si="362"/>
        <v/>
      </c>
      <c r="AT909">
        <f t="shared" si="363"/>
        <v>14</v>
      </c>
      <c r="AU909" s="170" t="str">
        <f t="shared" si="364"/>
        <v>0,15-0,5 MW, Bonusregeln G, y und KWK</v>
      </c>
      <c r="AV909" s="169" t="str">
        <f t="shared" si="365"/>
        <v/>
      </c>
      <c r="AW909" s="170" t="str">
        <f t="shared" si="366"/>
        <v>Anteil KWK</v>
      </c>
      <c r="AX909" s="169" t="str">
        <f t="shared" si="367"/>
        <v/>
      </c>
      <c r="AY909" t="str">
        <f t="shared" si="368"/>
        <v/>
      </c>
      <c r="AZ909" t="str">
        <f t="shared" si="369"/>
        <v/>
      </c>
    </row>
    <row r="910" spans="1:52" s="145" customFormat="1" x14ac:dyDescent="0.35">
      <c r="A910" s="497" t="s">
        <v>2460</v>
      </c>
      <c r="B910" s="13" t="s">
        <v>5547</v>
      </c>
      <c r="C910" s="13" t="s">
        <v>1288</v>
      </c>
      <c r="D910" s="88" t="s">
        <v>7036</v>
      </c>
      <c r="E910" s="13" t="s">
        <v>4330</v>
      </c>
      <c r="F910" s="373">
        <f t="shared" si="376"/>
        <v>20.75</v>
      </c>
      <c r="G910" s="430">
        <v>20.75</v>
      </c>
      <c r="H910" s="399">
        <f t="shared" si="377"/>
        <v>16.600000000000001</v>
      </c>
      <c r="I910" s="576"/>
      <c r="J910" s="549" t="s">
        <v>5804</v>
      </c>
      <c r="K910" s="11"/>
      <c r="L910"/>
      <c r="M910" s="37">
        <f t="shared" si="378"/>
        <v>20.75</v>
      </c>
      <c r="N910" s="29">
        <v>9.75</v>
      </c>
      <c r="O910" s="149"/>
      <c r="P910" s="145" t="s">
        <v>1017</v>
      </c>
      <c r="S910" s="145" t="s">
        <v>4179</v>
      </c>
      <c r="T910" s="145" t="s">
        <v>4179</v>
      </c>
      <c r="U910" s="146" t="s">
        <v>1017</v>
      </c>
      <c r="W910" s="147"/>
      <c r="X910" s="147"/>
      <c r="Y910" s="145" t="s">
        <v>1017</v>
      </c>
      <c r="Z910" s="147"/>
      <c r="AC910" s="147"/>
      <c r="AE910" s="148"/>
      <c r="AF910" s="147"/>
      <c r="AG910" s="147"/>
      <c r="AH910" s="166" t="str">
        <f t="shared" si="380"/>
        <v/>
      </c>
      <c r="AI910" s="168" t="str">
        <f t="shared" si="370"/>
        <v/>
      </c>
      <c r="AJ910" s="168" t="str">
        <f t="shared" si="371"/>
        <v/>
      </c>
      <c r="AK910" s="168" t="str">
        <f t="shared" si="372"/>
        <v/>
      </c>
      <c r="AL910" s="168" t="str">
        <f t="shared" si="373"/>
        <v/>
      </c>
      <c r="AM910" s="168" t="str">
        <f t="shared" si="374"/>
        <v/>
      </c>
      <c r="AN910" s="167" t="str">
        <f t="shared" si="357"/>
        <v/>
      </c>
      <c r="AO910" s="167" t="str">
        <f t="shared" si="358"/>
        <v/>
      </c>
      <c r="AP910" s="167" t="str">
        <f t="shared" si="359"/>
        <v/>
      </c>
      <c r="AQ910" s="169" t="str">
        <f t="shared" si="360"/>
        <v/>
      </c>
      <c r="AR910" s="170" t="str">
        <f t="shared" si="361"/>
        <v>BiK82GKA3y--05</v>
      </c>
      <c r="AS910" s="169" t="str">
        <f t="shared" si="362"/>
        <v/>
      </c>
      <c r="AT910">
        <f t="shared" si="363"/>
        <v>14</v>
      </c>
      <c r="AU910" s="170" t="str">
        <f t="shared" si="364"/>
        <v>0,15-0,5 MW, Bonusregeln G, y und K wenn Anlage 3 erfüllt</v>
      </c>
      <c r="AV910" s="169" t="str">
        <f t="shared" si="365"/>
        <v/>
      </c>
      <c r="AW910" s="170" t="str">
        <f t="shared" si="366"/>
        <v>Anteil KWK gemäß Anlage 3</v>
      </c>
      <c r="AX910" s="169" t="str">
        <f t="shared" si="367"/>
        <v/>
      </c>
      <c r="AY910" t="str">
        <f t="shared" si="368"/>
        <v/>
      </c>
      <c r="AZ910" t="str">
        <f t="shared" si="369"/>
        <v/>
      </c>
    </row>
    <row r="911" spans="1:52" s="145" customFormat="1" x14ac:dyDescent="0.35">
      <c r="A911" s="497" t="s">
        <v>2461</v>
      </c>
      <c r="B911" s="13" t="s">
        <v>5547</v>
      </c>
      <c r="C911" s="13" t="s">
        <v>1288</v>
      </c>
      <c r="D911" s="13" t="s">
        <v>7037</v>
      </c>
      <c r="E911" s="13" t="s">
        <v>674</v>
      </c>
      <c r="F911" s="373">
        <f t="shared" si="376"/>
        <v>20.75</v>
      </c>
      <c r="G911" s="430">
        <v>20.75</v>
      </c>
      <c r="H911" s="399">
        <f t="shared" si="377"/>
        <v>16.600000000000001</v>
      </c>
      <c r="I911" s="576"/>
      <c r="J911" s="549" t="s">
        <v>5804</v>
      </c>
      <c r="K911" s="11"/>
      <c r="L911"/>
      <c r="M911" s="37">
        <f t="shared" si="378"/>
        <v>20.75</v>
      </c>
      <c r="N911" s="29">
        <v>9.75</v>
      </c>
      <c r="O911" s="149"/>
      <c r="P911" s="144"/>
      <c r="Q911" s="145" t="s">
        <v>1017</v>
      </c>
      <c r="S911" s="145" t="s">
        <v>4179</v>
      </c>
      <c r="T911" s="145" t="s">
        <v>4179</v>
      </c>
      <c r="U911" s="146" t="s">
        <v>1017</v>
      </c>
      <c r="W911" s="147"/>
      <c r="X911" s="147"/>
      <c r="Y911" s="145" t="s">
        <v>1017</v>
      </c>
      <c r="Z911" s="147"/>
      <c r="AC911" s="147"/>
      <c r="AE911" s="148"/>
      <c r="AF911" s="147"/>
      <c r="AG911" s="147"/>
      <c r="AH911" s="166" t="str">
        <f t="shared" si="380"/>
        <v/>
      </c>
      <c r="AI911" s="168" t="str">
        <f t="shared" si="370"/>
        <v/>
      </c>
      <c r="AJ911" s="168" t="str">
        <f t="shared" si="371"/>
        <v/>
      </c>
      <c r="AK911" s="168" t="str">
        <f t="shared" si="372"/>
        <v/>
      </c>
      <c r="AL911" s="168" t="str">
        <f t="shared" si="373"/>
        <v/>
      </c>
      <c r="AM911" s="168" t="str">
        <f t="shared" si="374"/>
        <v/>
      </c>
      <c r="AN911" s="167" t="str">
        <f t="shared" si="357"/>
        <v/>
      </c>
      <c r="AO911" s="167" t="str">
        <f t="shared" si="358"/>
        <v/>
      </c>
      <c r="AP911" s="167" t="str">
        <f t="shared" si="359"/>
        <v/>
      </c>
      <c r="AQ911" s="169" t="str">
        <f t="shared" si="360"/>
        <v/>
      </c>
      <c r="AR911" s="170" t="str">
        <f t="shared" si="361"/>
        <v>BiK82GK09y--05</v>
      </c>
      <c r="AS911" s="169" t="str">
        <f t="shared" si="362"/>
        <v/>
      </c>
      <c r="AT911">
        <f t="shared" si="363"/>
        <v>14</v>
      </c>
      <c r="AU911" s="170" t="str">
        <f t="shared" si="364"/>
        <v>0,15-0,5 MW, Bonusregeln G, y und K erstmals 2009</v>
      </c>
      <c r="AV911" s="169" t="str">
        <f t="shared" si="365"/>
        <v/>
      </c>
      <c r="AW911" s="170" t="str">
        <f t="shared" si="366"/>
        <v>Anteil KWK, erstmals 2009</v>
      </c>
      <c r="AX911" s="169" t="str">
        <f t="shared" si="367"/>
        <v/>
      </c>
      <c r="AY911" t="str">
        <f t="shared" si="368"/>
        <v/>
      </c>
      <c r="AZ911" t="str">
        <f t="shared" si="369"/>
        <v/>
      </c>
    </row>
    <row r="912" spans="1:52" s="145" customFormat="1" x14ac:dyDescent="0.35">
      <c r="A912" s="497" t="s">
        <v>3596</v>
      </c>
      <c r="B912" s="13" t="s">
        <v>5547</v>
      </c>
      <c r="C912" s="13" t="s">
        <v>1288</v>
      </c>
      <c r="D912" s="13" t="s">
        <v>7038</v>
      </c>
      <c r="E912" s="13" t="s">
        <v>3566</v>
      </c>
      <c r="F912" s="373">
        <f t="shared" si="376"/>
        <v>20.72</v>
      </c>
      <c r="G912" s="430">
        <v>20.72</v>
      </c>
      <c r="H912" s="399">
        <f t="shared" si="377"/>
        <v>16.579999999999998</v>
      </c>
      <c r="I912" s="576"/>
      <c r="J912" s="549" t="s">
        <v>5804</v>
      </c>
      <c r="K912" s="11"/>
      <c r="L912"/>
      <c r="M912" s="37">
        <f t="shared" si="378"/>
        <v>20.72</v>
      </c>
      <c r="N912" s="29">
        <v>9.75</v>
      </c>
      <c r="O912" s="149"/>
      <c r="P912" s="144"/>
      <c r="R912" s="145" t="s">
        <v>1017</v>
      </c>
      <c r="S912" s="145" t="s">
        <v>4179</v>
      </c>
      <c r="T912" s="145" t="s">
        <v>4179</v>
      </c>
      <c r="U912" s="146" t="s">
        <v>1017</v>
      </c>
      <c r="W912" s="147"/>
      <c r="X912" s="147"/>
      <c r="Y912" s="145" t="s">
        <v>1017</v>
      </c>
      <c r="Z912" s="147"/>
      <c r="AC912" s="147"/>
      <c r="AE912" s="148"/>
      <c r="AF912" s="147"/>
      <c r="AG912" s="147"/>
      <c r="AH912" s="166" t="str">
        <f t="shared" si="380"/>
        <v>2010</v>
      </c>
      <c r="AI912" s="168" t="str">
        <f t="shared" si="370"/>
        <v/>
      </c>
      <c r="AJ912" s="168" t="str">
        <f t="shared" si="371"/>
        <v/>
      </c>
      <c r="AK912" s="168" t="str">
        <f t="shared" si="372"/>
        <v/>
      </c>
      <c r="AL912" s="168" t="str">
        <f t="shared" si="373"/>
        <v/>
      </c>
      <c r="AM912" s="168" t="str">
        <f t="shared" si="374"/>
        <v/>
      </c>
      <c r="AN912" s="167" t="str">
        <f t="shared" si="357"/>
        <v>2010</v>
      </c>
      <c r="AO912" s="167" t="str">
        <f t="shared" si="358"/>
        <v>2010</v>
      </c>
      <c r="AP912" s="167" t="str">
        <f t="shared" si="359"/>
        <v>2010</v>
      </c>
      <c r="AQ912" s="169" t="str">
        <f t="shared" si="360"/>
        <v/>
      </c>
      <c r="AR912" s="170" t="str">
        <f t="shared" si="361"/>
        <v>BiK82GK10y--05</v>
      </c>
      <c r="AS912" s="169" t="str">
        <f t="shared" si="362"/>
        <v/>
      </c>
      <c r="AT912">
        <f t="shared" si="363"/>
        <v>14</v>
      </c>
      <c r="AU912" s="170" t="str">
        <f t="shared" si="364"/>
        <v>0,15-0,5 MW, Bonusregeln G, y und K erstmals 2010</v>
      </c>
      <c r="AV912" s="169" t="str">
        <f t="shared" si="365"/>
        <v/>
      </c>
      <c r="AW912" s="170" t="str">
        <f t="shared" si="366"/>
        <v>Anteil KWK, erstmals 2010</v>
      </c>
      <c r="AX912" s="169" t="str">
        <f t="shared" si="367"/>
        <v/>
      </c>
      <c r="AY912" t="str">
        <f t="shared" si="368"/>
        <v/>
      </c>
      <c r="AZ912" t="str">
        <f t="shared" si="369"/>
        <v/>
      </c>
    </row>
    <row r="913" spans="1:52" s="145" customFormat="1" x14ac:dyDescent="0.35">
      <c r="A913" s="497" t="s">
        <v>5327</v>
      </c>
      <c r="B913" s="13" t="s">
        <v>5547</v>
      </c>
      <c r="C913" s="13" t="s">
        <v>1288</v>
      </c>
      <c r="D913" s="13" t="s">
        <v>7039</v>
      </c>
      <c r="E913" s="13" t="s">
        <v>3054</v>
      </c>
      <c r="F913" s="373">
        <f t="shared" si="376"/>
        <v>20.689999999999998</v>
      </c>
      <c r="G913" s="430">
        <v>20.689999999999998</v>
      </c>
      <c r="H913" s="399">
        <f t="shared" si="377"/>
        <v>16.55</v>
      </c>
      <c r="I913" s="576"/>
      <c r="J913" s="549" t="s">
        <v>5804</v>
      </c>
      <c r="K913" s="11"/>
      <c r="L913"/>
      <c r="M913" s="37">
        <f t="shared" si="378"/>
        <v>20.689999999999998</v>
      </c>
      <c r="N913" s="29">
        <v>9.75</v>
      </c>
      <c r="O913" s="149"/>
      <c r="P913" s="144"/>
      <c r="S913" s="145" t="s">
        <v>1017</v>
      </c>
      <c r="T913" s="145" t="s">
        <v>4179</v>
      </c>
      <c r="U913" s="146" t="s">
        <v>1017</v>
      </c>
      <c r="W913" s="147"/>
      <c r="X913" s="147"/>
      <c r="Y913" s="145" t="s">
        <v>1017</v>
      </c>
      <c r="Z913" s="147"/>
      <c r="AC913" s="147"/>
      <c r="AE913" s="148"/>
      <c r="AF913" s="147"/>
      <c r="AG913" s="147"/>
      <c r="AH913" s="166" t="str">
        <f t="shared" si="380"/>
        <v>2011</v>
      </c>
      <c r="AI913" s="168" t="str">
        <f t="shared" si="370"/>
        <v/>
      </c>
      <c r="AJ913" s="168" t="str">
        <f t="shared" si="371"/>
        <v/>
      </c>
      <c r="AK913" s="168" t="str">
        <f t="shared" si="372"/>
        <v/>
      </c>
      <c r="AL913" s="168" t="str">
        <f t="shared" si="373"/>
        <v/>
      </c>
      <c r="AM913" s="168" t="str">
        <f t="shared" si="374"/>
        <v/>
      </c>
      <c r="AN913" s="167" t="str">
        <f t="shared" si="357"/>
        <v>2011</v>
      </c>
      <c r="AO913" s="167" t="str">
        <f t="shared" si="358"/>
        <v>2011</v>
      </c>
      <c r="AP913" s="167" t="str">
        <f t="shared" si="359"/>
        <v>2011</v>
      </c>
      <c r="AQ913" s="169" t="str">
        <f t="shared" si="360"/>
        <v/>
      </c>
      <c r="AR913" s="170" t="str">
        <f t="shared" si="361"/>
        <v>BiK82GK11y--05</v>
      </c>
      <c r="AS913" s="169" t="str">
        <f t="shared" si="362"/>
        <v/>
      </c>
      <c r="AT913">
        <f t="shared" si="363"/>
        <v>14</v>
      </c>
      <c r="AU913" s="170" t="str">
        <f t="shared" si="364"/>
        <v>0,15-0,5 MW, Bonusregeln G, y und K erstmals 2011</v>
      </c>
      <c r="AV913" s="169" t="str">
        <f t="shared" si="365"/>
        <v/>
      </c>
      <c r="AW913" s="170" t="str">
        <f t="shared" si="366"/>
        <v>Anteil KWK, erstmals 2011</v>
      </c>
      <c r="AX913" s="169" t="str">
        <f t="shared" si="367"/>
        <v/>
      </c>
      <c r="AY913" t="str">
        <f t="shared" si="368"/>
        <v>x</v>
      </c>
      <c r="AZ913" t="str">
        <f t="shared" si="369"/>
        <v/>
      </c>
    </row>
    <row r="914" spans="1:52" s="145" customFormat="1" x14ac:dyDescent="0.35">
      <c r="A914" s="511" t="s">
        <v>1578</v>
      </c>
      <c r="B914" s="173" t="s">
        <v>5547</v>
      </c>
      <c r="C914" s="173" t="s">
        <v>1288</v>
      </c>
      <c r="D914" s="173" t="s">
        <v>7040</v>
      </c>
      <c r="E914" s="173" t="s">
        <v>1980</v>
      </c>
      <c r="F914" s="374">
        <f t="shared" si="376"/>
        <v>20.66</v>
      </c>
      <c r="G914" s="431">
        <v>20.66</v>
      </c>
      <c r="H914" s="400">
        <f t="shared" si="377"/>
        <v>16.53</v>
      </c>
      <c r="I914" s="577"/>
      <c r="J914" s="549" t="s">
        <v>5804</v>
      </c>
      <c r="K914" s="11"/>
      <c r="L914"/>
      <c r="M914" s="37">
        <f t="shared" si="378"/>
        <v>20.66</v>
      </c>
      <c r="N914" s="29">
        <v>9.75</v>
      </c>
      <c r="O914" s="149"/>
      <c r="P914" s="144"/>
      <c r="S914" s="145" t="s">
        <v>4179</v>
      </c>
      <c r="T914" s="145" t="s">
        <v>1017</v>
      </c>
      <c r="U914" s="146" t="s">
        <v>1017</v>
      </c>
      <c r="W914" s="147"/>
      <c r="X914" s="147"/>
      <c r="Y914" s="145" t="s">
        <v>1017</v>
      </c>
      <c r="Z914" s="147"/>
      <c r="AC914" s="147"/>
      <c r="AE914" s="148"/>
      <c r="AF914" s="147"/>
      <c r="AG914" s="147"/>
      <c r="AH914" s="171" t="s">
        <v>4178</v>
      </c>
      <c r="AI914" s="168" t="str">
        <f t="shared" si="370"/>
        <v/>
      </c>
      <c r="AJ914" s="168" t="str">
        <f t="shared" si="371"/>
        <v/>
      </c>
      <c r="AK914" s="168" t="str">
        <f t="shared" si="372"/>
        <v/>
      </c>
      <c r="AL914" s="168" t="str">
        <f t="shared" si="373"/>
        <v/>
      </c>
      <c r="AM914" s="168" t="str">
        <f t="shared" si="374"/>
        <v/>
      </c>
      <c r="AN914" s="167" t="str">
        <f t="shared" si="357"/>
        <v>2012</v>
      </c>
      <c r="AO914" s="167" t="str">
        <f t="shared" si="358"/>
        <v>2012</v>
      </c>
      <c r="AP914" s="167" t="str">
        <f t="shared" si="359"/>
        <v>2012</v>
      </c>
      <c r="AQ914" s="169" t="str">
        <f t="shared" si="360"/>
        <v/>
      </c>
      <c r="AR914" s="170" t="str">
        <f t="shared" si="361"/>
        <v>BiK82GK12y--05</v>
      </c>
      <c r="AS914" s="169" t="str">
        <f t="shared" si="362"/>
        <v/>
      </c>
      <c r="AT914">
        <f t="shared" si="363"/>
        <v>14</v>
      </c>
      <c r="AU914" s="170" t="str">
        <f t="shared" si="364"/>
        <v>0,15-0,5 MW, Bonusregeln G, y und K erstmals 2012</v>
      </c>
      <c r="AV914" s="169" t="str">
        <f t="shared" si="365"/>
        <v/>
      </c>
      <c r="AW914" s="170" t="str">
        <f t="shared" si="366"/>
        <v>Anteil KWK, erstmals 2012</v>
      </c>
      <c r="AX914" s="169" t="str">
        <f t="shared" si="367"/>
        <v/>
      </c>
      <c r="AY914" t="str">
        <f t="shared" si="368"/>
        <v/>
      </c>
      <c r="AZ914" t="str">
        <f t="shared" si="369"/>
        <v>x</v>
      </c>
    </row>
    <row r="915" spans="1:52" s="145" customFormat="1" x14ac:dyDescent="0.35">
      <c r="A915" s="497" t="s">
        <v>2462</v>
      </c>
      <c r="B915" s="13" t="s">
        <v>5547</v>
      </c>
      <c r="C915" s="13" t="s">
        <v>1288</v>
      </c>
      <c r="D915" s="13" t="s">
        <v>7041</v>
      </c>
      <c r="E915" s="13" t="s">
        <v>4809</v>
      </c>
      <c r="F915" s="373">
        <f t="shared" si="376"/>
        <v>17.75</v>
      </c>
      <c r="G915" s="430">
        <v>17.75</v>
      </c>
      <c r="H915" s="399">
        <f t="shared" si="377"/>
        <v>14.2</v>
      </c>
      <c r="I915" s="576"/>
      <c r="J915" s="549" t="s">
        <v>5804</v>
      </c>
      <c r="K915" s="11"/>
      <c r="L915"/>
      <c r="M915" s="37">
        <f t="shared" si="378"/>
        <v>17.75</v>
      </c>
      <c r="N915" s="29">
        <v>9.75</v>
      </c>
      <c r="O915" s="149"/>
      <c r="P915" s="144"/>
      <c r="S915" s="145" t="s">
        <v>4179</v>
      </c>
      <c r="T915" s="145" t="s">
        <v>4179</v>
      </c>
      <c r="U915" s="146"/>
      <c r="W915" s="147"/>
      <c r="X915" s="147"/>
      <c r="Z915" s="147"/>
      <c r="AA915" s="145" t="s">
        <v>1017</v>
      </c>
      <c r="AC915" s="147"/>
      <c r="AE915" s="148"/>
      <c r="AF915" s="147"/>
      <c r="AG915" s="147"/>
      <c r="AH915" s="166" t="str">
        <f t="shared" ref="AH915:AH920" si="381">IF(ISERROR(SEARCH("K erstmals 201",D915)),"",RIGHT(D915,4))</f>
        <v/>
      </c>
      <c r="AI915" s="168" t="str">
        <f t="shared" si="370"/>
        <v/>
      </c>
      <c r="AJ915" s="168" t="str">
        <f t="shared" si="371"/>
        <v/>
      </c>
      <c r="AK915" s="168" t="str">
        <f t="shared" si="372"/>
        <v/>
      </c>
      <c r="AL915" s="168" t="str">
        <f t="shared" si="373"/>
        <v/>
      </c>
      <c r="AM915" s="168" t="str">
        <f t="shared" si="374"/>
        <v/>
      </c>
      <c r="AN915" s="167" t="str">
        <f t="shared" si="357"/>
        <v/>
      </c>
      <c r="AO915" s="167" t="str">
        <f t="shared" si="358"/>
        <v/>
      </c>
      <c r="AP915" s="167" t="str">
        <f t="shared" si="359"/>
        <v/>
      </c>
      <c r="AQ915" s="169" t="str">
        <f t="shared" si="360"/>
        <v/>
      </c>
      <c r="AR915" s="170" t="str">
        <f t="shared" si="361"/>
        <v>BiK82M2-----05</v>
      </c>
      <c r="AS915" s="169" t="str">
        <f t="shared" si="362"/>
        <v/>
      </c>
      <c r="AT915">
        <f t="shared" si="363"/>
        <v>14</v>
      </c>
      <c r="AU915" s="170" t="str">
        <f t="shared" si="364"/>
        <v>0,15-0,5 MW, Bonusregel M2</v>
      </c>
      <c r="AV915" s="169" t="str">
        <f t="shared" si="365"/>
        <v/>
      </c>
      <c r="AW915" s="170" t="str">
        <f t="shared" si="366"/>
        <v>Anteil Nicht-KWK</v>
      </c>
      <c r="AX915" s="169" t="str">
        <f t="shared" si="367"/>
        <v/>
      </c>
      <c r="AY915" t="str">
        <f t="shared" si="368"/>
        <v/>
      </c>
      <c r="AZ915" t="str">
        <f t="shared" si="369"/>
        <v/>
      </c>
    </row>
    <row r="916" spans="1:52" s="145" customFormat="1" x14ac:dyDescent="0.35">
      <c r="A916" s="497" t="s">
        <v>2463</v>
      </c>
      <c r="B916" s="13" t="s">
        <v>5547</v>
      </c>
      <c r="C916" s="13" t="s">
        <v>1288</v>
      </c>
      <c r="D916" s="13" t="s">
        <v>7115</v>
      </c>
      <c r="E916" s="13" t="s">
        <v>4811</v>
      </c>
      <c r="F916" s="373">
        <f t="shared" si="376"/>
        <v>19.75</v>
      </c>
      <c r="G916" s="430">
        <v>19.75</v>
      </c>
      <c r="H916" s="399">
        <f t="shared" si="377"/>
        <v>15.8</v>
      </c>
      <c r="I916" s="576"/>
      <c r="J916" s="549" t="s">
        <v>5804</v>
      </c>
      <c r="K916" s="11"/>
      <c r="L916"/>
      <c r="M916" s="37">
        <f t="shared" si="378"/>
        <v>19.75</v>
      </c>
      <c r="N916" s="29">
        <v>9.75</v>
      </c>
      <c r="O916" s="149" t="s">
        <v>1017</v>
      </c>
      <c r="P916" s="144"/>
      <c r="S916" s="145" t="s">
        <v>4179</v>
      </c>
      <c r="T916" s="145" t="s">
        <v>4179</v>
      </c>
      <c r="U916" s="146"/>
      <c r="W916" s="147"/>
      <c r="X916" s="147"/>
      <c r="Z916" s="147"/>
      <c r="AA916" s="145" t="s">
        <v>1017</v>
      </c>
      <c r="AC916" s="147"/>
      <c r="AE916" s="148"/>
      <c r="AF916" s="147"/>
      <c r="AG916" s="147"/>
      <c r="AH916" s="166" t="str">
        <f t="shared" si="381"/>
        <v/>
      </c>
      <c r="AI916" s="168" t="str">
        <f t="shared" si="370"/>
        <v/>
      </c>
      <c r="AJ916" s="168" t="str">
        <f t="shared" si="371"/>
        <v/>
      </c>
      <c r="AK916" s="168" t="str">
        <f t="shared" si="372"/>
        <v/>
      </c>
      <c r="AL916" s="168" t="str">
        <f t="shared" si="373"/>
        <v/>
      </c>
      <c r="AM916" s="168" t="str">
        <f t="shared" si="374"/>
        <v/>
      </c>
      <c r="AN916" s="167" t="str">
        <f t="shared" si="357"/>
        <v/>
      </c>
      <c r="AO916" s="167" t="str">
        <f t="shared" si="358"/>
        <v/>
      </c>
      <c r="AP916" s="167" t="str">
        <f t="shared" si="359"/>
        <v/>
      </c>
      <c r="AQ916" s="169" t="str">
        <f t="shared" si="360"/>
        <v/>
      </c>
      <c r="AR916" s="170" t="str">
        <f t="shared" si="361"/>
        <v>BiK82M2KWK--05</v>
      </c>
      <c r="AS916" s="169" t="str">
        <f t="shared" si="362"/>
        <v/>
      </c>
      <c r="AT916">
        <f t="shared" si="363"/>
        <v>14</v>
      </c>
      <c r="AU916" s="170" t="str">
        <f t="shared" si="364"/>
        <v>0,15-0,5 MW, Bonusregeln M2 und KWK</v>
      </c>
      <c r="AV916" s="169" t="str">
        <f t="shared" si="365"/>
        <v/>
      </c>
      <c r="AW916" s="170" t="str">
        <f t="shared" si="366"/>
        <v>Anteil KWK</v>
      </c>
      <c r="AX916" s="169" t="str">
        <f t="shared" si="367"/>
        <v/>
      </c>
      <c r="AY916" t="str">
        <f t="shared" si="368"/>
        <v/>
      </c>
      <c r="AZ916" t="str">
        <f t="shared" si="369"/>
        <v/>
      </c>
    </row>
    <row r="917" spans="1:52" s="145" customFormat="1" x14ac:dyDescent="0.35">
      <c r="A917" s="497" t="s">
        <v>2464</v>
      </c>
      <c r="B917" s="13" t="s">
        <v>5547</v>
      </c>
      <c r="C917" s="13" t="s">
        <v>1288</v>
      </c>
      <c r="D917" s="13" t="s">
        <v>7042</v>
      </c>
      <c r="E917" s="13" t="s">
        <v>4330</v>
      </c>
      <c r="F917" s="373">
        <f t="shared" si="376"/>
        <v>20.75</v>
      </c>
      <c r="G917" s="430">
        <v>20.75</v>
      </c>
      <c r="H917" s="399">
        <f t="shared" si="377"/>
        <v>16.600000000000001</v>
      </c>
      <c r="I917" s="576"/>
      <c r="J917" s="549" t="s">
        <v>5804</v>
      </c>
      <c r="K917" s="11"/>
      <c r="L917"/>
      <c r="M917" s="37">
        <f t="shared" si="378"/>
        <v>20.75</v>
      </c>
      <c r="N917" s="29">
        <v>9.75</v>
      </c>
      <c r="O917" s="149"/>
      <c r="P917" s="145" t="s">
        <v>1017</v>
      </c>
      <c r="S917" s="145" t="s">
        <v>4179</v>
      </c>
      <c r="T917" s="145" t="s">
        <v>4179</v>
      </c>
      <c r="U917" s="146"/>
      <c r="W917" s="147"/>
      <c r="X917" s="147"/>
      <c r="Z917" s="147"/>
      <c r="AA917" s="145" t="s">
        <v>1017</v>
      </c>
      <c r="AC917" s="147"/>
      <c r="AE917" s="148"/>
      <c r="AF917" s="147"/>
      <c r="AG917" s="147"/>
      <c r="AH917" s="166" t="str">
        <f t="shared" si="381"/>
        <v/>
      </c>
      <c r="AI917" s="168" t="str">
        <f t="shared" si="370"/>
        <v/>
      </c>
      <c r="AJ917" s="168" t="str">
        <f t="shared" si="371"/>
        <v/>
      </c>
      <c r="AK917" s="168" t="str">
        <f t="shared" si="372"/>
        <v/>
      </c>
      <c r="AL917" s="168" t="str">
        <f t="shared" si="373"/>
        <v/>
      </c>
      <c r="AM917" s="168" t="str">
        <f t="shared" si="374"/>
        <v/>
      </c>
      <c r="AN917" s="167" t="str">
        <f t="shared" si="357"/>
        <v/>
      </c>
      <c r="AO917" s="167" t="str">
        <f t="shared" si="358"/>
        <v/>
      </c>
      <c r="AP917" s="167" t="str">
        <f t="shared" si="359"/>
        <v/>
      </c>
      <c r="AQ917" s="169" t="str">
        <f t="shared" si="360"/>
        <v/>
      </c>
      <c r="AR917" s="170" t="str">
        <f t="shared" si="361"/>
        <v>BiK82M2KA3--05</v>
      </c>
      <c r="AS917" s="169" t="str">
        <f t="shared" si="362"/>
        <v/>
      </c>
      <c r="AT917">
        <f t="shared" si="363"/>
        <v>14</v>
      </c>
      <c r="AU917" s="170" t="str">
        <f t="shared" si="364"/>
        <v>0,15-0,5 MW, Bonusregeln M2 und K wenn Anlage 3 erfüllt</v>
      </c>
      <c r="AV917" s="169" t="str">
        <f t="shared" si="365"/>
        <v/>
      </c>
      <c r="AW917" s="170" t="str">
        <f t="shared" si="366"/>
        <v>Anteil KWK gemäß Anlage 3</v>
      </c>
      <c r="AX917" s="169" t="str">
        <f t="shared" si="367"/>
        <v/>
      </c>
      <c r="AY917" t="str">
        <f t="shared" si="368"/>
        <v/>
      </c>
      <c r="AZ917" t="str">
        <f t="shared" si="369"/>
        <v/>
      </c>
    </row>
    <row r="918" spans="1:52" s="145" customFormat="1" x14ac:dyDescent="0.35">
      <c r="A918" s="497" t="s">
        <v>2465</v>
      </c>
      <c r="B918" s="13" t="s">
        <v>5547</v>
      </c>
      <c r="C918" s="13" t="s">
        <v>1288</v>
      </c>
      <c r="D918" s="13" t="s">
        <v>7116</v>
      </c>
      <c r="E918" s="13" t="s">
        <v>674</v>
      </c>
      <c r="F918" s="373">
        <f t="shared" si="376"/>
        <v>20.75</v>
      </c>
      <c r="G918" s="430">
        <v>20.75</v>
      </c>
      <c r="H918" s="399">
        <f t="shared" si="377"/>
        <v>16.600000000000001</v>
      </c>
      <c r="I918" s="576"/>
      <c r="J918" s="549" t="s">
        <v>5804</v>
      </c>
      <c r="K918" s="11"/>
      <c r="L918"/>
      <c r="M918" s="37">
        <f t="shared" si="378"/>
        <v>20.75</v>
      </c>
      <c r="N918" s="29">
        <v>9.75</v>
      </c>
      <c r="O918" s="149"/>
      <c r="P918" s="144"/>
      <c r="Q918" s="145" t="s">
        <v>1017</v>
      </c>
      <c r="S918" s="145" t="s">
        <v>4179</v>
      </c>
      <c r="T918" s="145" t="s">
        <v>4179</v>
      </c>
      <c r="U918" s="146"/>
      <c r="W918" s="147"/>
      <c r="X918" s="147"/>
      <c r="Z918" s="147"/>
      <c r="AA918" s="145" t="s">
        <v>1017</v>
      </c>
      <c r="AC918" s="147"/>
      <c r="AE918" s="148"/>
      <c r="AF918" s="147"/>
      <c r="AG918" s="147"/>
      <c r="AH918" s="166" t="str">
        <f t="shared" si="381"/>
        <v/>
      </c>
      <c r="AI918" s="168" t="str">
        <f t="shared" si="370"/>
        <v/>
      </c>
      <c r="AJ918" s="168" t="str">
        <f t="shared" si="371"/>
        <v/>
      </c>
      <c r="AK918" s="168" t="str">
        <f t="shared" si="372"/>
        <v/>
      </c>
      <c r="AL918" s="168" t="str">
        <f t="shared" si="373"/>
        <v/>
      </c>
      <c r="AM918" s="168" t="str">
        <f t="shared" si="374"/>
        <v/>
      </c>
      <c r="AN918" s="167" t="str">
        <f t="shared" si="357"/>
        <v/>
      </c>
      <c r="AO918" s="167" t="str">
        <f t="shared" si="358"/>
        <v/>
      </c>
      <c r="AP918" s="167" t="str">
        <f t="shared" si="359"/>
        <v/>
      </c>
      <c r="AQ918" s="169" t="str">
        <f t="shared" si="360"/>
        <v/>
      </c>
      <c r="AR918" s="170" t="str">
        <f t="shared" si="361"/>
        <v>BiK82M2K09--05</v>
      </c>
      <c r="AS918" s="169" t="str">
        <f t="shared" si="362"/>
        <v/>
      </c>
      <c r="AT918">
        <f t="shared" si="363"/>
        <v>14</v>
      </c>
      <c r="AU918" s="170" t="str">
        <f t="shared" si="364"/>
        <v>0,15-0,5 MW, Bonusregeln M2, K erstmals 2009</v>
      </c>
      <c r="AV918" s="169" t="str">
        <f t="shared" si="365"/>
        <v/>
      </c>
      <c r="AW918" s="170" t="str">
        <f t="shared" si="366"/>
        <v>Anteil KWK, erstmals 2009</v>
      </c>
      <c r="AX918" s="169" t="str">
        <f t="shared" si="367"/>
        <v/>
      </c>
      <c r="AY918" t="str">
        <f t="shared" si="368"/>
        <v/>
      </c>
      <c r="AZ918" t="str">
        <f t="shared" si="369"/>
        <v/>
      </c>
    </row>
    <row r="919" spans="1:52" s="145" customFormat="1" x14ac:dyDescent="0.35">
      <c r="A919" s="497" t="s">
        <v>3597</v>
      </c>
      <c r="B919" s="13" t="s">
        <v>5547</v>
      </c>
      <c r="C919" s="13" t="s">
        <v>1288</v>
      </c>
      <c r="D919" s="13" t="s">
        <v>7117</v>
      </c>
      <c r="E919" s="13" t="s">
        <v>3566</v>
      </c>
      <c r="F919" s="373">
        <f t="shared" si="376"/>
        <v>20.72</v>
      </c>
      <c r="G919" s="430">
        <v>20.72</v>
      </c>
      <c r="H919" s="399">
        <f t="shared" si="377"/>
        <v>16.579999999999998</v>
      </c>
      <c r="I919" s="576"/>
      <c r="J919" s="549" t="s">
        <v>5804</v>
      </c>
      <c r="K919" s="11"/>
      <c r="L919"/>
      <c r="M919" s="37">
        <f t="shared" si="378"/>
        <v>20.72</v>
      </c>
      <c r="N919" s="29">
        <v>9.75</v>
      </c>
      <c r="O919" s="149"/>
      <c r="P919" s="144"/>
      <c r="R919" s="145" t="s">
        <v>1017</v>
      </c>
      <c r="S919" s="145" t="s">
        <v>4179</v>
      </c>
      <c r="T919" s="145" t="s">
        <v>4179</v>
      </c>
      <c r="U919" s="146"/>
      <c r="W919" s="147"/>
      <c r="X919" s="147"/>
      <c r="Z919" s="147"/>
      <c r="AA919" s="145" t="s">
        <v>1017</v>
      </c>
      <c r="AC919" s="147"/>
      <c r="AE919" s="148"/>
      <c r="AF919" s="147"/>
      <c r="AG919" s="147"/>
      <c r="AH919" s="166" t="str">
        <f t="shared" si="381"/>
        <v>2010</v>
      </c>
      <c r="AI919" s="168" t="str">
        <f t="shared" si="370"/>
        <v/>
      </c>
      <c r="AJ919" s="168" t="str">
        <f t="shared" si="371"/>
        <v/>
      </c>
      <c r="AK919" s="168" t="str">
        <f t="shared" si="372"/>
        <v/>
      </c>
      <c r="AL919" s="168" t="str">
        <f t="shared" si="373"/>
        <v/>
      </c>
      <c r="AM919" s="168" t="str">
        <f t="shared" si="374"/>
        <v/>
      </c>
      <c r="AN919" s="167" t="str">
        <f t="shared" si="357"/>
        <v>2010</v>
      </c>
      <c r="AO919" s="167" t="str">
        <f t="shared" si="358"/>
        <v>2010</v>
      </c>
      <c r="AP919" s="167" t="str">
        <f t="shared" si="359"/>
        <v>2010</v>
      </c>
      <c r="AQ919" s="169" t="str">
        <f t="shared" si="360"/>
        <v/>
      </c>
      <c r="AR919" s="170" t="str">
        <f t="shared" si="361"/>
        <v>BiK82M2K10--05</v>
      </c>
      <c r="AS919" s="169" t="str">
        <f t="shared" si="362"/>
        <v/>
      </c>
      <c r="AT919">
        <f t="shared" si="363"/>
        <v>14</v>
      </c>
      <c r="AU919" s="170" t="str">
        <f t="shared" si="364"/>
        <v>0,15-0,5 MW, Bonusregeln M2, K erstmals 2010</v>
      </c>
      <c r="AV919" s="169" t="str">
        <f t="shared" si="365"/>
        <v/>
      </c>
      <c r="AW919" s="170" t="str">
        <f t="shared" si="366"/>
        <v>Anteil KWK, erstmals 2010</v>
      </c>
      <c r="AX919" s="169" t="str">
        <f t="shared" si="367"/>
        <v/>
      </c>
      <c r="AY919" t="str">
        <f t="shared" si="368"/>
        <v/>
      </c>
      <c r="AZ919" t="str">
        <f t="shared" si="369"/>
        <v/>
      </c>
    </row>
    <row r="920" spans="1:52" s="145" customFormat="1" x14ac:dyDescent="0.35">
      <c r="A920" s="497" t="s">
        <v>5328</v>
      </c>
      <c r="B920" s="13" t="s">
        <v>5547</v>
      </c>
      <c r="C920" s="13" t="s">
        <v>1288</v>
      </c>
      <c r="D920" s="13" t="s">
        <v>7118</v>
      </c>
      <c r="E920" s="13" t="s">
        <v>3054</v>
      </c>
      <c r="F920" s="373">
        <f t="shared" si="376"/>
        <v>20.689999999999998</v>
      </c>
      <c r="G920" s="430">
        <v>20.689999999999998</v>
      </c>
      <c r="H920" s="399">
        <f t="shared" si="377"/>
        <v>16.55</v>
      </c>
      <c r="I920" s="576"/>
      <c r="J920" s="549" t="s">
        <v>5804</v>
      </c>
      <c r="K920" s="11"/>
      <c r="L920"/>
      <c r="M920" s="37">
        <f t="shared" si="378"/>
        <v>20.689999999999998</v>
      </c>
      <c r="N920" s="29">
        <v>9.75</v>
      </c>
      <c r="O920" s="149"/>
      <c r="P920" s="144"/>
      <c r="S920" s="145" t="s">
        <v>1017</v>
      </c>
      <c r="T920" s="145" t="s">
        <v>4179</v>
      </c>
      <c r="U920" s="146"/>
      <c r="W920" s="147"/>
      <c r="X920" s="147"/>
      <c r="Z920" s="147"/>
      <c r="AA920" s="145" t="s">
        <v>1017</v>
      </c>
      <c r="AC920" s="147"/>
      <c r="AE920" s="148"/>
      <c r="AF920" s="147"/>
      <c r="AG920" s="147"/>
      <c r="AH920" s="166" t="str">
        <f t="shared" si="381"/>
        <v>2011</v>
      </c>
      <c r="AI920" s="168" t="str">
        <f t="shared" si="370"/>
        <v/>
      </c>
      <c r="AJ920" s="168" t="str">
        <f t="shared" si="371"/>
        <v/>
      </c>
      <c r="AK920" s="168" t="str">
        <f t="shared" si="372"/>
        <v/>
      </c>
      <c r="AL920" s="168" t="str">
        <f t="shared" si="373"/>
        <v/>
      </c>
      <c r="AM920" s="168" t="str">
        <f t="shared" si="374"/>
        <v/>
      </c>
      <c r="AN920" s="167" t="str">
        <f t="shared" si="357"/>
        <v>2011</v>
      </c>
      <c r="AO920" s="167" t="str">
        <f t="shared" si="358"/>
        <v>2011</v>
      </c>
      <c r="AP920" s="167" t="str">
        <f t="shared" si="359"/>
        <v>2011</v>
      </c>
      <c r="AQ920" s="169" t="str">
        <f t="shared" si="360"/>
        <v/>
      </c>
      <c r="AR920" s="170" t="str">
        <f t="shared" si="361"/>
        <v>BiK82M2K11--05</v>
      </c>
      <c r="AS920" s="169" t="str">
        <f t="shared" si="362"/>
        <v/>
      </c>
      <c r="AT920">
        <f t="shared" si="363"/>
        <v>14</v>
      </c>
      <c r="AU920" s="170" t="str">
        <f t="shared" si="364"/>
        <v>0,15-0,5 MW, Bonusregeln M2, K erstmals 2011</v>
      </c>
      <c r="AV920" s="169" t="str">
        <f t="shared" si="365"/>
        <v/>
      </c>
      <c r="AW920" s="170" t="str">
        <f t="shared" si="366"/>
        <v>Anteil KWK, erstmals 2011</v>
      </c>
      <c r="AX920" s="169" t="str">
        <f t="shared" si="367"/>
        <v/>
      </c>
      <c r="AY920" t="str">
        <f t="shared" si="368"/>
        <v>x</v>
      </c>
      <c r="AZ920" t="str">
        <f t="shared" si="369"/>
        <v/>
      </c>
    </row>
    <row r="921" spans="1:52" s="145" customFormat="1" x14ac:dyDescent="0.35">
      <c r="A921" s="511" t="s">
        <v>1579</v>
      </c>
      <c r="B921" s="173" t="s">
        <v>5547</v>
      </c>
      <c r="C921" s="173" t="s">
        <v>1288</v>
      </c>
      <c r="D921" s="173" t="s">
        <v>7119</v>
      </c>
      <c r="E921" s="173" t="s">
        <v>1980</v>
      </c>
      <c r="F921" s="374">
        <f t="shared" si="376"/>
        <v>20.66</v>
      </c>
      <c r="G921" s="431">
        <v>20.66</v>
      </c>
      <c r="H921" s="400">
        <f t="shared" si="377"/>
        <v>16.53</v>
      </c>
      <c r="I921" s="577"/>
      <c r="J921" s="549" t="s">
        <v>5804</v>
      </c>
      <c r="K921" s="11"/>
      <c r="L921"/>
      <c r="M921" s="37">
        <f t="shared" si="378"/>
        <v>20.66</v>
      </c>
      <c r="N921" s="29">
        <v>9.75</v>
      </c>
      <c r="O921" s="149"/>
      <c r="P921" s="144"/>
      <c r="S921" s="145" t="s">
        <v>4179</v>
      </c>
      <c r="T921" s="145" t="s">
        <v>1017</v>
      </c>
      <c r="U921" s="146"/>
      <c r="W921" s="147"/>
      <c r="X921" s="147"/>
      <c r="Z921" s="147"/>
      <c r="AA921" s="145" t="s">
        <v>1017</v>
      </c>
      <c r="AC921" s="147"/>
      <c r="AE921" s="148"/>
      <c r="AF921" s="147"/>
      <c r="AG921" s="147"/>
      <c r="AH921" s="171" t="s">
        <v>4178</v>
      </c>
      <c r="AI921" s="168" t="str">
        <f t="shared" si="370"/>
        <v/>
      </c>
      <c r="AJ921" s="168" t="str">
        <f t="shared" si="371"/>
        <v/>
      </c>
      <c r="AK921" s="168" t="str">
        <f t="shared" si="372"/>
        <v/>
      </c>
      <c r="AL921" s="168" t="str">
        <f t="shared" si="373"/>
        <v/>
      </c>
      <c r="AM921" s="168" t="str">
        <f t="shared" si="374"/>
        <v/>
      </c>
      <c r="AN921" s="167" t="str">
        <f t="shared" si="357"/>
        <v>2012</v>
      </c>
      <c r="AO921" s="167" t="str">
        <f t="shared" si="358"/>
        <v>2012</v>
      </c>
      <c r="AP921" s="167" t="str">
        <f t="shared" si="359"/>
        <v>2012</v>
      </c>
      <c r="AQ921" s="169" t="str">
        <f t="shared" si="360"/>
        <v/>
      </c>
      <c r="AR921" s="170" t="str">
        <f t="shared" si="361"/>
        <v>BiK82M2K12--05</v>
      </c>
      <c r="AS921" s="169" t="str">
        <f t="shared" si="362"/>
        <v/>
      </c>
      <c r="AT921">
        <f t="shared" si="363"/>
        <v>14</v>
      </c>
      <c r="AU921" s="170" t="str">
        <f t="shared" si="364"/>
        <v>0,15-0,5 MW, Bonusregeln M2, K erstmals 2012</v>
      </c>
      <c r="AV921" s="169" t="str">
        <f t="shared" si="365"/>
        <v/>
      </c>
      <c r="AW921" s="170" t="str">
        <f t="shared" si="366"/>
        <v>Anteil KWK, erstmals 2012</v>
      </c>
      <c r="AX921" s="169" t="str">
        <f t="shared" si="367"/>
        <v/>
      </c>
      <c r="AY921" t="str">
        <f t="shared" si="368"/>
        <v/>
      </c>
      <c r="AZ921" t="str">
        <f t="shared" si="369"/>
        <v>x</v>
      </c>
    </row>
    <row r="922" spans="1:52" s="145" customFormat="1" x14ac:dyDescent="0.35">
      <c r="A922" s="497" t="s">
        <v>2466</v>
      </c>
      <c r="B922" s="13" t="s">
        <v>5547</v>
      </c>
      <c r="C922" s="13" t="s">
        <v>1288</v>
      </c>
      <c r="D922" s="13" t="s">
        <v>7047</v>
      </c>
      <c r="E922" s="13" t="s">
        <v>4809</v>
      </c>
      <c r="F922" s="373">
        <f t="shared" si="376"/>
        <v>18.75</v>
      </c>
      <c r="G922" s="430">
        <v>18.75</v>
      </c>
      <c r="H922" s="399">
        <f t="shared" si="377"/>
        <v>15</v>
      </c>
      <c r="I922" s="576"/>
      <c r="J922" s="549" t="s">
        <v>5804</v>
      </c>
      <c r="K922" s="11"/>
      <c r="L922"/>
      <c r="M922" s="37">
        <f t="shared" si="378"/>
        <v>18.75</v>
      </c>
      <c r="N922" s="29">
        <v>9.75</v>
      </c>
      <c r="O922" s="149"/>
      <c r="P922" s="144"/>
      <c r="S922" s="145" t="s">
        <v>4179</v>
      </c>
      <c r="T922" s="145" t="s">
        <v>4179</v>
      </c>
      <c r="U922" s="146" t="s">
        <v>1017</v>
      </c>
      <c r="W922" s="147"/>
      <c r="X922" s="147"/>
      <c r="Z922" s="147"/>
      <c r="AA922" s="145" t="s">
        <v>1017</v>
      </c>
      <c r="AC922" s="147"/>
      <c r="AE922" s="148"/>
      <c r="AF922" s="147"/>
      <c r="AG922" s="147"/>
      <c r="AH922" s="166" t="str">
        <f t="shared" ref="AH922:AH927" si="382">IF(ISERROR(SEARCH("K erstmals 201",D922)),"",RIGHT(D922,4))</f>
        <v/>
      </c>
      <c r="AI922" s="168" t="str">
        <f t="shared" si="370"/>
        <v/>
      </c>
      <c r="AJ922" s="168" t="str">
        <f t="shared" si="371"/>
        <v/>
      </c>
      <c r="AK922" s="168" t="str">
        <f t="shared" si="372"/>
        <v/>
      </c>
      <c r="AL922" s="168" t="str">
        <f t="shared" si="373"/>
        <v/>
      </c>
      <c r="AM922" s="168" t="str">
        <f t="shared" si="374"/>
        <v/>
      </c>
      <c r="AN922" s="167" t="str">
        <f t="shared" si="357"/>
        <v/>
      </c>
      <c r="AO922" s="167" t="str">
        <f t="shared" si="358"/>
        <v/>
      </c>
      <c r="AP922" s="167" t="str">
        <f t="shared" si="359"/>
        <v/>
      </c>
      <c r="AQ922" s="169" t="str">
        <f t="shared" si="360"/>
        <v/>
      </c>
      <c r="AR922" s="170" t="str">
        <f t="shared" si="361"/>
        <v>BiK82M2y----05</v>
      </c>
      <c r="AS922" s="169" t="str">
        <f t="shared" si="362"/>
        <v/>
      </c>
      <c r="AT922">
        <f t="shared" si="363"/>
        <v>14</v>
      </c>
      <c r="AU922" s="170" t="str">
        <f t="shared" si="364"/>
        <v>0,15-0,5 MW, Bonusregeln M2, y</v>
      </c>
      <c r="AV922" s="169" t="str">
        <f t="shared" si="365"/>
        <v/>
      </c>
      <c r="AW922" s="170" t="str">
        <f t="shared" si="366"/>
        <v>Anteil Nicht-KWK</v>
      </c>
      <c r="AX922" s="169" t="str">
        <f t="shared" si="367"/>
        <v/>
      </c>
      <c r="AY922" t="str">
        <f t="shared" si="368"/>
        <v/>
      </c>
      <c r="AZ922" t="str">
        <f t="shared" si="369"/>
        <v/>
      </c>
    </row>
    <row r="923" spans="1:52" s="145" customFormat="1" x14ac:dyDescent="0.35">
      <c r="A923" s="497" t="s">
        <v>2467</v>
      </c>
      <c r="B923" s="13" t="s">
        <v>5547</v>
      </c>
      <c r="C923" s="13" t="s">
        <v>1288</v>
      </c>
      <c r="D923" s="13" t="s">
        <v>7120</v>
      </c>
      <c r="E923" s="13" t="s">
        <v>4811</v>
      </c>
      <c r="F923" s="373">
        <f t="shared" si="376"/>
        <v>20.75</v>
      </c>
      <c r="G923" s="430">
        <v>20.75</v>
      </c>
      <c r="H923" s="399">
        <f t="shared" si="377"/>
        <v>16.600000000000001</v>
      </c>
      <c r="I923" s="576"/>
      <c r="J923" s="549" t="s">
        <v>5804</v>
      </c>
      <c r="K923" s="11"/>
      <c r="L923"/>
      <c r="M923" s="37">
        <f t="shared" si="378"/>
        <v>20.75</v>
      </c>
      <c r="N923" s="29">
        <v>9.75</v>
      </c>
      <c r="O923" s="149" t="s">
        <v>1017</v>
      </c>
      <c r="P923" s="144"/>
      <c r="S923" s="145" t="s">
        <v>4179</v>
      </c>
      <c r="T923" s="145" t="s">
        <v>4179</v>
      </c>
      <c r="U923" s="146" t="s">
        <v>1017</v>
      </c>
      <c r="W923" s="147"/>
      <c r="X923" s="147"/>
      <c r="Z923" s="147"/>
      <c r="AA923" s="145" t="s">
        <v>1017</v>
      </c>
      <c r="AC923" s="147"/>
      <c r="AE923" s="148"/>
      <c r="AF923" s="147"/>
      <c r="AG923" s="147"/>
      <c r="AH923" s="166" t="str">
        <f t="shared" si="382"/>
        <v/>
      </c>
      <c r="AI923" s="168" t="str">
        <f t="shared" si="370"/>
        <v/>
      </c>
      <c r="AJ923" s="168" t="str">
        <f t="shared" si="371"/>
        <v/>
      </c>
      <c r="AK923" s="168" t="str">
        <f t="shared" si="372"/>
        <v/>
      </c>
      <c r="AL923" s="168" t="str">
        <f t="shared" si="373"/>
        <v/>
      </c>
      <c r="AM923" s="168" t="str">
        <f t="shared" si="374"/>
        <v/>
      </c>
      <c r="AN923" s="167" t="str">
        <f t="shared" si="357"/>
        <v/>
      </c>
      <c r="AO923" s="167" t="str">
        <f t="shared" si="358"/>
        <v/>
      </c>
      <c r="AP923" s="167" t="str">
        <f t="shared" si="359"/>
        <v/>
      </c>
      <c r="AQ923" s="169" t="str">
        <f t="shared" si="360"/>
        <v/>
      </c>
      <c r="AR923" s="170" t="str">
        <f t="shared" si="361"/>
        <v>BiK82M2KWKy-05</v>
      </c>
      <c r="AS923" s="169" t="str">
        <f t="shared" si="362"/>
        <v/>
      </c>
      <c r="AT923">
        <f t="shared" si="363"/>
        <v>14</v>
      </c>
      <c r="AU923" s="170" t="str">
        <f t="shared" si="364"/>
        <v>0,15-0,5 MW, Bonusregeln M2, y und KWK</v>
      </c>
      <c r="AV923" s="169" t="str">
        <f t="shared" si="365"/>
        <v/>
      </c>
      <c r="AW923" s="170" t="str">
        <f t="shared" si="366"/>
        <v>Anteil KWK</v>
      </c>
      <c r="AX923" s="169" t="str">
        <f t="shared" si="367"/>
        <v/>
      </c>
      <c r="AY923" t="str">
        <f t="shared" si="368"/>
        <v/>
      </c>
      <c r="AZ923" t="str">
        <f t="shared" si="369"/>
        <v/>
      </c>
    </row>
    <row r="924" spans="1:52" s="145" customFormat="1" x14ac:dyDescent="0.35">
      <c r="A924" s="497" t="s">
        <v>2468</v>
      </c>
      <c r="B924" s="13" t="s">
        <v>5547</v>
      </c>
      <c r="C924" s="13" t="s">
        <v>1288</v>
      </c>
      <c r="D924" s="88" t="s">
        <v>7048</v>
      </c>
      <c r="E924" s="13" t="s">
        <v>4330</v>
      </c>
      <c r="F924" s="373">
        <f t="shared" si="376"/>
        <v>21.75</v>
      </c>
      <c r="G924" s="430">
        <v>21.75</v>
      </c>
      <c r="H924" s="399">
        <f t="shared" si="377"/>
        <v>17.399999999999999</v>
      </c>
      <c r="I924" s="576"/>
      <c r="J924" s="549" t="s">
        <v>5804</v>
      </c>
      <c r="K924" s="11"/>
      <c r="L924"/>
      <c r="M924" s="37">
        <f t="shared" si="378"/>
        <v>21.75</v>
      </c>
      <c r="N924" s="29">
        <v>9.75</v>
      </c>
      <c r="O924" s="149"/>
      <c r="P924" s="145" t="s">
        <v>1017</v>
      </c>
      <c r="S924" s="145" t="s">
        <v>4179</v>
      </c>
      <c r="T924" s="145" t="s">
        <v>4179</v>
      </c>
      <c r="U924" s="146" t="s">
        <v>1017</v>
      </c>
      <c r="W924" s="147"/>
      <c r="X924" s="147"/>
      <c r="Z924" s="147"/>
      <c r="AA924" s="145" t="s">
        <v>1017</v>
      </c>
      <c r="AC924" s="147"/>
      <c r="AE924" s="148"/>
      <c r="AF924" s="147"/>
      <c r="AG924" s="147"/>
      <c r="AH924" s="166" t="str">
        <f t="shared" si="382"/>
        <v/>
      </c>
      <c r="AI924" s="168" t="str">
        <f t="shared" si="370"/>
        <v/>
      </c>
      <c r="AJ924" s="168" t="str">
        <f t="shared" si="371"/>
        <v/>
      </c>
      <c r="AK924" s="168" t="str">
        <f t="shared" si="372"/>
        <v/>
      </c>
      <c r="AL924" s="168" t="str">
        <f t="shared" si="373"/>
        <v/>
      </c>
      <c r="AM924" s="168" t="str">
        <f t="shared" si="374"/>
        <v/>
      </c>
      <c r="AN924" s="167" t="str">
        <f t="shared" si="357"/>
        <v/>
      </c>
      <c r="AO924" s="167" t="str">
        <f t="shared" si="358"/>
        <v/>
      </c>
      <c r="AP924" s="167" t="str">
        <f t="shared" si="359"/>
        <v/>
      </c>
      <c r="AQ924" s="169" t="str">
        <f t="shared" si="360"/>
        <v/>
      </c>
      <c r="AR924" s="170" t="str">
        <f t="shared" si="361"/>
        <v>BiK82M2KA3y-05</v>
      </c>
      <c r="AS924" s="169" t="str">
        <f t="shared" si="362"/>
        <v/>
      </c>
      <c r="AT924">
        <f t="shared" si="363"/>
        <v>14</v>
      </c>
      <c r="AU924" s="170" t="str">
        <f t="shared" si="364"/>
        <v>0,15-0,5 MW, Bonusregeln M2, y und K wenn Anlage 3 erfüllt</v>
      </c>
      <c r="AV924" s="169" t="str">
        <f t="shared" si="365"/>
        <v/>
      </c>
      <c r="AW924" s="170" t="str">
        <f t="shared" si="366"/>
        <v>Anteil KWK gemäß Anlage 3</v>
      </c>
      <c r="AX924" s="169" t="str">
        <f t="shared" si="367"/>
        <v/>
      </c>
      <c r="AY924" t="str">
        <f t="shared" si="368"/>
        <v/>
      </c>
      <c r="AZ924" t="str">
        <f t="shared" si="369"/>
        <v/>
      </c>
    </row>
    <row r="925" spans="1:52" s="145" customFormat="1" x14ac:dyDescent="0.35">
      <c r="A925" s="497" t="s">
        <v>2469</v>
      </c>
      <c r="B925" s="13" t="s">
        <v>5547</v>
      </c>
      <c r="C925" s="13" t="s">
        <v>1288</v>
      </c>
      <c r="D925" s="13" t="s">
        <v>7049</v>
      </c>
      <c r="E925" s="13" t="s">
        <v>674</v>
      </c>
      <c r="F925" s="373">
        <f t="shared" si="376"/>
        <v>21.75</v>
      </c>
      <c r="G925" s="430">
        <v>21.75</v>
      </c>
      <c r="H925" s="399">
        <f t="shared" si="377"/>
        <v>17.399999999999999</v>
      </c>
      <c r="I925" s="576"/>
      <c r="J925" s="549" t="s">
        <v>5804</v>
      </c>
      <c r="K925" s="11"/>
      <c r="L925"/>
      <c r="M925" s="37">
        <f t="shared" si="378"/>
        <v>21.75</v>
      </c>
      <c r="N925" s="29">
        <v>9.75</v>
      </c>
      <c r="O925" s="149"/>
      <c r="P925" s="144"/>
      <c r="Q925" s="145" t="s">
        <v>1017</v>
      </c>
      <c r="S925" s="145" t="s">
        <v>4179</v>
      </c>
      <c r="T925" s="145" t="s">
        <v>4179</v>
      </c>
      <c r="U925" s="146" t="s">
        <v>1017</v>
      </c>
      <c r="W925" s="147"/>
      <c r="X925" s="147"/>
      <c r="Z925" s="147"/>
      <c r="AA925" s="145" t="s">
        <v>1017</v>
      </c>
      <c r="AC925" s="147"/>
      <c r="AE925" s="148"/>
      <c r="AF925" s="147"/>
      <c r="AG925" s="147"/>
      <c r="AH925" s="166" t="str">
        <f t="shared" si="382"/>
        <v/>
      </c>
      <c r="AI925" s="168" t="str">
        <f t="shared" si="370"/>
        <v/>
      </c>
      <c r="AJ925" s="168" t="str">
        <f t="shared" si="371"/>
        <v/>
      </c>
      <c r="AK925" s="168" t="str">
        <f t="shared" si="372"/>
        <v/>
      </c>
      <c r="AL925" s="168" t="str">
        <f t="shared" si="373"/>
        <v/>
      </c>
      <c r="AM925" s="168" t="str">
        <f t="shared" si="374"/>
        <v/>
      </c>
      <c r="AN925" s="167" t="str">
        <f t="shared" si="357"/>
        <v/>
      </c>
      <c r="AO925" s="167" t="str">
        <f t="shared" si="358"/>
        <v/>
      </c>
      <c r="AP925" s="167" t="str">
        <f t="shared" si="359"/>
        <v/>
      </c>
      <c r="AQ925" s="169" t="str">
        <f t="shared" si="360"/>
        <v/>
      </c>
      <c r="AR925" s="170" t="str">
        <f t="shared" si="361"/>
        <v>BiK82M2K09y-05</v>
      </c>
      <c r="AS925" s="169" t="str">
        <f t="shared" si="362"/>
        <v/>
      </c>
      <c r="AT925">
        <f t="shared" si="363"/>
        <v>14</v>
      </c>
      <c r="AU925" s="170" t="str">
        <f t="shared" si="364"/>
        <v>0,15-0,5 MW, Bonusregeln M2, y und K erstmals 2009</v>
      </c>
      <c r="AV925" s="169" t="str">
        <f t="shared" si="365"/>
        <v/>
      </c>
      <c r="AW925" s="170" t="str">
        <f t="shared" si="366"/>
        <v>Anteil KWK, erstmals 2009</v>
      </c>
      <c r="AX925" s="169" t="str">
        <f t="shared" si="367"/>
        <v/>
      </c>
      <c r="AY925" t="str">
        <f t="shared" si="368"/>
        <v/>
      </c>
      <c r="AZ925" t="str">
        <f t="shared" si="369"/>
        <v/>
      </c>
    </row>
    <row r="926" spans="1:52" s="145" customFormat="1" x14ac:dyDescent="0.35">
      <c r="A926" s="497" t="s">
        <v>3598</v>
      </c>
      <c r="B926" s="13" t="s">
        <v>5547</v>
      </c>
      <c r="C926" s="13" t="s">
        <v>1288</v>
      </c>
      <c r="D926" s="13" t="s">
        <v>7050</v>
      </c>
      <c r="E926" s="13" t="s">
        <v>3566</v>
      </c>
      <c r="F926" s="373">
        <f t="shared" si="376"/>
        <v>21.72</v>
      </c>
      <c r="G926" s="430">
        <v>21.72</v>
      </c>
      <c r="H926" s="399">
        <f t="shared" si="377"/>
        <v>17.38</v>
      </c>
      <c r="I926" s="576"/>
      <c r="J926" s="549" t="s">
        <v>5804</v>
      </c>
      <c r="K926" s="11"/>
      <c r="L926"/>
      <c r="M926" s="37">
        <f t="shared" si="378"/>
        <v>21.72</v>
      </c>
      <c r="N926" s="29">
        <v>9.75</v>
      </c>
      <c r="O926" s="149"/>
      <c r="P926" s="144"/>
      <c r="R926" s="145" t="s">
        <v>1017</v>
      </c>
      <c r="S926" s="145" t="s">
        <v>4179</v>
      </c>
      <c r="T926" s="145" t="s">
        <v>4179</v>
      </c>
      <c r="U926" s="146" t="s">
        <v>1017</v>
      </c>
      <c r="W926" s="147"/>
      <c r="X926" s="147"/>
      <c r="Z926" s="147"/>
      <c r="AA926" s="145" t="s">
        <v>1017</v>
      </c>
      <c r="AC926" s="147"/>
      <c r="AE926" s="148"/>
      <c r="AF926" s="147"/>
      <c r="AG926" s="147"/>
      <c r="AH926" s="166" t="str">
        <f t="shared" si="382"/>
        <v>2010</v>
      </c>
      <c r="AI926" s="168" t="str">
        <f t="shared" si="370"/>
        <v/>
      </c>
      <c r="AJ926" s="168" t="str">
        <f t="shared" si="371"/>
        <v/>
      </c>
      <c r="AK926" s="168" t="str">
        <f t="shared" si="372"/>
        <v/>
      </c>
      <c r="AL926" s="168" t="str">
        <f t="shared" si="373"/>
        <v/>
      </c>
      <c r="AM926" s="168" t="str">
        <f t="shared" si="374"/>
        <v/>
      </c>
      <c r="AN926" s="167" t="str">
        <f t="shared" si="357"/>
        <v>2010</v>
      </c>
      <c r="AO926" s="167" t="str">
        <f t="shared" si="358"/>
        <v>2010</v>
      </c>
      <c r="AP926" s="167" t="str">
        <f t="shared" si="359"/>
        <v>2010</v>
      </c>
      <c r="AQ926" s="169" t="str">
        <f t="shared" si="360"/>
        <v/>
      </c>
      <c r="AR926" s="170" t="str">
        <f t="shared" si="361"/>
        <v>BiK82M2K10y-05</v>
      </c>
      <c r="AS926" s="169" t="str">
        <f t="shared" si="362"/>
        <v/>
      </c>
      <c r="AT926">
        <f t="shared" si="363"/>
        <v>14</v>
      </c>
      <c r="AU926" s="170" t="str">
        <f t="shared" si="364"/>
        <v>0,15-0,5 MW, Bonusregeln M2, y und K erstmals 2010</v>
      </c>
      <c r="AV926" s="169" t="str">
        <f t="shared" si="365"/>
        <v/>
      </c>
      <c r="AW926" s="170" t="str">
        <f t="shared" si="366"/>
        <v>Anteil KWK, erstmals 2010</v>
      </c>
      <c r="AX926" s="169" t="str">
        <f t="shared" si="367"/>
        <v/>
      </c>
      <c r="AY926" t="str">
        <f t="shared" si="368"/>
        <v/>
      </c>
      <c r="AZ926" t="str">
        <f t="shared" si="369"/>
        <v/>
      </c>
    </row>
    <row r="927" spans="1:52" s="145" customFormat="1" x14ac:dyDescent="0.35">
      <c r="A927" s="497" t="s">
        <v>5329</v>
      </c>
      <c r="B927" s="13" t="s">
        <v>5547</v>
      </c>
      <c r="C927" s="13" t="s">
        <v>1288</v>
      </c>
      <c r="D927" s="13" t="s">
        <v>7051</v>
      </c>
      <c r="E927" s="13" t="s">
        <v>3054</v>
      </c>
      <c r="F927" s="373">
        <f t="shared" si="376"/>
        <v>21.689999999999998</v>
      </c>
      <c r="G927" s="430">
        <v>21.689999999999998</v>
      </c>
      <c r="H927" s="399">
        <f t="shared" si="377"/>
        <v>17.350000000000001</v>
      </c>
      <c r="I927" s="576"/>
      <c r="J927" s="549" t="s">
        <v>5804</v>
      </c>
      <c r="K927" s="11"/>
      <c r="L927"/>
      <c r="M927" s="37">
        <f t="shared" si="378"/>
        <v>21.689999999999998</v>
      </c>
      <c r="N927" s="29">
        <v>9.75</v>
      </c>
      <c r="O927" s="149"/>
      <c r="P927" s="144"/>
      <c r="S927" s="145" t="s">
        <v>1017</v>
      </c>
      <c r="T927" s="145" t="s">
        <v>4179</v>
      </c>
      <c r="U927" s="146" t="s">
        <v>1017</v>
      </c>
      <c r="W927" s="147"/>
      <c r="X927" s="147"/>
      <c r="Z927" s="147"/>
      <c r="AA927" s="145" t="s">
        <v>1017</v>
      </c>
      <c r="AC927" s="147"/>
      <c r="AE927" s="148"/>
      <c r="AF927" s="147"/>
      <c r="AG927" s="147"/>
      <c r="AH927" s="166" t="str">
        <f t="shared" si="382"/>
        <v>2011</v>
      </c>
      <c r="AI927" s="168" t="str">
        <f t="shared" si="370"/>
        <v/>
      </c>
      <c r="AJ927" s="168" t="str">
        <f t="shared" si="371"/>
        <v/>
      </c>
      <c r="AK927" s="168" t="str">
        <f t="shared" si="372"/>
        <v/>
      </c>
      <c r="AL927" s="168" t="str">
        <f t="shared" si="373"/>
        <v/>
      </c>
      <c r="AM927" s="168" t="str">
        <f t="shared" si="374"/>
        <v/>
      </c>
      <c r="AN927" s="167" t="str">
        <f t="shared" si="357"/>
        <v>2011</v>
      </c>
      <c r="AO927" s="167" t="str">
        <f t="shared" si="358"/>
        <v>2011</v>
      </c>
      <c r="AP927" s="167" t="str">
        <f t="shared" si="359"/>
        <v>2011</v>
      </c>
      <c r="AQ927" s="169" t="str">
        <f t="shared" si="360"/>
        <v/>
      </c>
      <c r="AR927" s="170" t="str">
        <f t="shared" si="361"/>
        <v>BiK82M2K11y-05</v>
      </c>
      <c r="AS927" s="169" t="str">
        <f t="shared" si="362"/>
        <v/>
      </c>
      <c r="AT927">
        <f t="shared" si="363"/>
        <v>14</v>
      </c>
      <c r="AU927" s="170" t="str">
        <f t="shared" si="364"/>
        <v>0,15-0,5 MW, Bonusregeln M2, y und K erstmals 2011</v>
      </c>
      <c r="AV927" s="169" t="str">
        <f t="shared" si="365"/>
        <v/>
      </c>
      <c r="AW927" s="170" t="str">
        <f t="shared" si="366"/>
        <v>Anteil KWK, erstmals 2011</v>
      </c>
      <c r="AX927" s="169" t="str">
        <f t="shared" si="367"/>
        <v/>
      </c>
      <c r="AY927" t="str">
        <f t="shared" si="368"/>
        <v>x</v>
      </c>
      <c r="AZ927" t="str">
        <f t="shared" si="369"/>
        <v/>
      </c>
    </row>
    <row r="928" spans="1:52" s="145" customFormat="1" x14ac:dyDescent="0.35">
      <c r="A928" s="511" t="s">
        <v>1580</v>
      </c>
      <c r="B928" s="173" t="s">
        <v>5547</v>
      </c>
      <c r="C928" s="173" t="s">
        <v>1288</v>
      </c>
      <c r="D928" s="173" t="s">
        <v>7052</v>
      </c>
      <c r="E928" s="173" t="s">
        <v>1980</v>
      </c>
      <c r="F928" s="374">
        <f t="shared" si="376"/>
        <v>21.66</v>
      </c>
      <c r="G928" s="431">
        <v>21.66</v>
      </c>
      <c r="H928" s="400">
        <f t="shared" si="377"/>
        <v>17.329999999999998</v>
      </c>
      <c r="I928" s="577"/>
      <c r="J928" s="549" t="s">
        <v>5804</v>
      </c>
      <c r="K928" s="11"/>
      <c r="L928"/>
      <c r="M928" s="37">
        <f t="shared" si="378"/>
        <v>21.66</v>
      </c>
      <c r="N928" s="29">
        <v>9.75</v>
      </c>
      <c r="O928" s="149"/>
      <c r="P928" s="144"/>
      <c r="S928" s="145" t="s">
        <v>4179</v>
      </c>
      <c r="T928" s="145" t="s">
        <v>1017</v>
      </c>
      <c r="U928" s="146" t="s">
        <v>1017</v>
      </c>
      <c r="W928" s="147"/>
      <c r="X928" s="147"/>
      <c r="Z928" s="147"/>
      <c r="AA928" s="145" t="s">
        <v>1017</v>
      </c>
      <c r="AC928" s="147"/>
      <c r="AE928" s="148"/>
      <c r="AF928" s="147"/>
      <c r="AG928" s="147"/>
      <c r="AH928" s="171" t="s">
        <v>4178</v>
      </c>
      <c r="AI928" s="168" t="str">
        <f t="shared" si="370"/>
        <v/>
      </c>
      <c r="AJ928" s="168" t="str">
        <f t="shared" si="371"/>
        <v/>
      </c>
      <c r="AK928" s="168" t="str">
        <f t="shared" si="372"/>
        <v/>
      </c>
      <c r="AL928" s="168" t="str">
        <f t="shared" si="373"/>
        <v/>
      </c>
      <c r="AM928" s="168" t="str">
        <f t="shared" si="374"/>
        <v/>
      </c>
      <c r="AN928" s="167" t="str">
        <f t="shared" si="357"/>
        <v>2012</v>
      </c>
      <c r="AO928" s="167" t="str">
        <f t="shared" si="358"/>
        <v>2012</v>
      </c>
      <c r="AP928" s="167" t="str">
        <f t="shared" si="359"/>
        <v>2012</v>
      </c>
      <c r="AQ928" s="169" t="str">
        <f t="shared" si="360"/>
        <v/>
      </c>
      <c r="AR928" s="170" t="str">
        <f t="shared" si="361"/>
        <v>BiK82M2K12y-05</v>
      </c>
      <c r="AS928" s="169" t="str">
        <f t="shared" si="362"/>
        <v/>
      </c>
      <c r="AT928">
        <f t="shared" si="363"/>
        <v>14</v>
      </c>
      <c r="AU928" s="170" t="str">
        <f t="shared" si="364"/>
        <v>0,15-0,5 MW, Bonusregeln M2, y und K erstmals 2012</v>
      </c>
      <c r="AV928" s="169" t="str">
        <f t="shared" si="365"/>
        <v/>
      </c>
      <c r="AW928" s="170" t="str">
        <f t="shared" si="366"/>
        <v>Anteil KWK, erstmals 2012</v>
      </c>
      <c r="AX928" s="169" t="str">
        <f t="shared" si="367"/>
        <v/>
      </c>
      <c r="AY928" t="str">
        <f t="shared" si="368"/>
        <v/>
      </c>
      <c r="AZ928" t="str">
        <f t="shared" si="369"/>
        <v>x</v>
      </c>
    </row>
    <row r="929" spans="1:52" s="145" customFormat="1" x14ac:dyDescent="0.35">
      <c r="A929" s="497" t="s">
        <v>2470</v>
      </c>
      <c r="B929" s="13" t="s">
        <v>5547</v>
      </c>
      <c r="C929" s="13" t="s">
        <v>1288</v>
      </c>
      <c r="D929" s="13" t="s">
        <v>7053</v>
      </c>
      <c r="E929" s="13" t="s">
        <v>4809</v>
      </c>
      <c r="F929" s="373">
        <f t="shared" si="376"/>
        <v>18.75</v>
      </c>
      <c r="G929" s="430">
        <v>18.75</v>
      </c>
      <c r="H929" s="399">
        <f t="shared" si="377"/>
        <v>15</v>
      </c>
      <c r="I929" s="576"/>
      <c r="J929" s="549" t="s">
        <v>5804</v>
      </c>
      <c r="K929" s="11"/>
      <c r="L929"/>
      <c r="M929" s="37">
        <f t="shared" si="378"/>
        <v>18.75</v>
      </c>
      <c r="N929" s="29">
        <v>9.75</v>
      </c>
      <c r="O929" s="149"/>
      <c r="P929" s="144"/>
      <c r="S929" s="145" t="s">
        <v>4179</v>
      </c>
      <c r="T929" s="145" t="s">
        <v>4179</v>
      </c>
      <c r="U929" s="146"/>
      <c r="W929" s="147"/>
      <c r="X929" s="147"/>
      <c r="Z929" s="147"/>
      <c r="AB929" s="145" t="s">
        <v>1017</v>
      </c>
      <c r="AC929" s="147"/>
      <c r="AE929" s="148"/>
      <c r="AF929" s="147"/>
      <c r="AG929" s="147"/>
      <c r="AH929" s="166" t="str">
        <f t="shared" ref="AH929:AH934" si="383">IF(ISERROR(SEARCH("K erstmals 201",D929)),"",RIGHT(D929,4))</f>
        <v/>
      </c>
      <c r="AI929" s="168" t="str">
        <f t="shared" si="370"/>
        <v/>
      </c>
      <c r="AJ929" s="168" t="str">
        <f t="shared" si="371"/>
        <v/>
      </c>
      <c r="AK929" s="168" t="str">
        <f t="shared" si="372"/>
        <v/>
      </c>
      <c r="AL929" s="168" t="str">
        <f t="shared" si="373"/>
        <v/>
      </c>
      <c r="AM929" s="168" t="str">
        <f t="shared" si="374"/>
        <v/>
      </c>
      <c r="AN929" s="167" t="str">
        <f t="shared" si="357"/>
        <v/>
      </c>
      <c r="AO929" s="167" t="str">
        <f t="shared" si="358"/>
        <v/>
      </c>
      <c r="AP929" s="167" t="str">
        <f t="shared" si="359"/>
        <v/>
      </c>
      <c r="AQ929" s="169" t="str">
        <f t="shared" si="360"/>
        <v/>
      </c>
      <c r="AR929" s="170" t="str">
        <f t="shared" si="361"/>
        <v>BiK82L------05</v>
      </c>
      <c r="AS929" s="169" t="str">
        <f t="shared" si="362"/>
        <v/>
      </c>
      <c r="AT929">
        <f t="shared" si="363"/>
        <v>14</v>
      </c>
      <c r="AU929" s="170" t="str">
        <f t="shared" si="364"/>
        <v>0,15-0,5 MW, Bonusregel L</v>
      </c>
      <c r="AV929" s="169" t="str">
        <f t="shared" si="365"/>
        <v/>
      </c>
      <c r="AW929" s="170" t="str">
        <f t="shared" si="366"/>
        <v>Anteil Nicht-KWK</v>
      </c>
      <c r="AX929" s="169" t="str">
        <f t="shared" si="367"/>
        <v/>
      </c>
      <c r="AY929" t="str">
        <f t="shared" si="368"/>
        <v/>
      </c>
      <c r="AZ929" t="str">
        <f t="shared" si="369"/>
        <v/>
      </c>
    </row>
    <row r="930" spans="1:52" s="145" customFormat="1" x14ac:dyDescent="0.35">
      <c r="A930" s="497" t="s">
        <v>2471</v>
      </c>
      <c r="B930" s="13" t="s">
        <v>5547</v>
      </c>
      <c r="C930" s="13" t="s">
        <v>1288</v>
      </c>
      <c r="D930" s="13" t="s">
        <v>7121</v>
      </c>
      <c r="E930" s="13" t="s">
        <v>4811</v>
      </c>
      <c r="F930" s="373">
        <f t="shared" si="376"/>
        <v>20.75</v>
      </c>
      <c r="G930" s="430">
        <v>20.75</v>
      </c>
      <c r="H930" s="399">
        <f t="shared" si="377"/>
        <v>16.600000000000001</v>
      </c>
      <c r="I930" s="576"/>
      <c r="J930" s="549" t="s">
        <v>5804</v>
      </c>
      <c r="K930" s="11"/>
      <c r="L930"/>
      <c r="M930" s="37">
        <f t="shared" si="378"/>
        <v>20.75</v>
      </c>
      <c r="N930" s="29">
        <v>9.75</v>
      </c>
      <c r="O930" s="149" t="s">
        <v>1017</v>
      </c>
      <c r="P930" s="144"/>
      <c r="S930" s="145" t="s">
        <v>4179</v>
      </c>
      <c r="T930" s="145" t="s">
        <v>4179</v>
      </c>
      <c r="U930" s="146"/>
      <c r="W930" s="147"/>
      <c r="X930" s="147"/>
      <c r="Z930" s="147"/>
      <c r="AB930" s="145" t="s">
        <v>1017</v>
      </c>
      <c r="AC930" s="147"/>
      <c r="AE930" s="148"/>
      <c r="AF930" s="147"/>
      <c r="AG930" s="147"/>
      <c r="AH930" s="166" t="str">
        <f t="shared" si="383"/>
        <v/>
      </c>
      <c r="AI930" s="168" t="str">
        <f t="shared" si="370"/>
        <v/>
      </c>
      <c r="AJ930" s="168" t="str">
        <f t="shared" si="371"/>
        <v/>
      </c>
      <c r="AK930" s="168" t="str">
        <f t="shared" si="372"/>
        <v/>
      </c>
      <c r="AL930" s="168" t="str">
        <f t="shared" si="373"/>
        <v/>
      </c>
      <c r="AM930" s="168" t="str">
        <f t="shared" si="374"/>
        <v/>
      </c>
      <c r="AN930" s="167" t="str">
        <f t="shared" si="357"/>
        <v/>
      </c>
      <c r="AO930" s="167" t="str">
        <f t="shared" si="358"/>
        <v/>
      </c>
      <c r="AP930" s="167" t="str">
        <f t="shared" si="359"/>
        <v/>
      </c>
      <c r="AQ930" s="169" t="str">
        <f t="shared" si="360"/>
        <v/>
      </c>
      <c r="AR930" s="170" t="str">
        <f t="shared" si="361"/>
        <v>BiK82LKWK---05</v>
      </c>
      <c r="AS930" s="169" t="str">
        <f t="shared" si="362"/>
        <v/>
      </c>
      <c r="AT930">
        <f t="shared" si="363"/>
        <v>14</v>
      </c>
      <c r="AU930" s="170" t="str">
        <f t="shared" si="364"/>
        <v>0,15-0,5 MW, Bonusregeln L und KWK</v>
      </c>
      <c r="AV930" s="169" t="str">
        <f t="shared" si="365"/>
        <v/>
      </c>
      <c r="AW930" s="170" t="str">
        <f t="shared" si="366"/>
        <v>Anteil KWK</v>
      </c>
      <c r="AX930" s="169" t="str">
        <f t="shared" si="367"/>
        <v/>
      </c>
      <c r="AY930" t="str">
        <f t="shared" si="368"/>
        <v/>
      </c>
      <c r="AZ930" t="str">
        <f t="shared" si="369"/>
        <v/>
      </c>
    </row>
    <row r="931" spans="1:52" s="145" customFormat="1" x14ac:dyDescent="0.35">
      <c r="A931" s="497" t="s">
        <v>2472</v>
      </c>
      <c r="B931" s="13" t="s">
        <v>5547</v>
      </c>
      <c r="C931" s="13" t="s">
        <v>1288</v>
      </c>
      <c r="D931" s="13" t="s">
        <v>7054</v>
      </c>
      <c r="E931" s="13" t="s">
        <v>4330</v>
      </c>
      <c r="F931" s="373">
        <f t="shared" si="376"/>
        <v>21.75</v>
      </c>
      <c r="G931" s="430">
        <v>21.75</v>
      </c>
      <c r="H931" s="399">
        <f t="shared" si="377"/>
        <v>17.399999999999999</v>
      </c>
      <c r="I931" s="576"/>
      <c r="J931" s="549" t="s">
        <v>5804</v>
      </c>
      <c r="K931" s="11"/>
      <c r="L931"/>
      <c r="M931" s="37">
        <f t="shared" si="378"/>
        <v>21.75</v>
      </c>
      <c r="N931" s="29">
        <v>9.75</v>
      </c>
      <c r="O931" s="149"/>
      <c r="P931" s="145" t="s">
        <v>1017</v>
      </c>
      <c r="S931" s="145" t="s">
        <v>4179</v>
      </c>
      <c r="T931" s="145" t="s">
        <v>4179</v>
      </c>
      <c r="U931" s="146"/>
      <c r="W931" s="147"/>
      <c r="X931" s="147"/>
      <c r="Z931" s="147"/>
      <c r="AB931" s="145" t="s">
        <v>1017</v>
      </c>
      <c r="AC931" s="147"/>
      <c r="AE931" s="148"/>
      <c r="AF931" s="147"/>
      <c r="AG931" s="147"/>
      <c r="AH931" s="166" t="str">
        <f t="shared" si="383"/>
        <v/>
      </c>
      <c r="AI931" s="168" t="str">
        <f t="shared" si="370"/>
        <v/>
      </c>
      <c r="AJ931" s="168" t="str">
        <f t="shared" si="371"/>
        <v/>
      </c>
      <c r="AK931" s="168" t="str">
        <f t="shared" si="372"/>
        <v/>
      </c>
      <c r="AL931" s="168" t="str">
        <f t="shared" si="373"/>
        <v/>
      </c>
      <c r="AM931" s="168" t="str">
        <f t="shared" si="374"/>
        <v/>
      </c>
      <c r="AN931" s="167" t="str">
        <f t="shared" si="357"/>
        <v/>
      </c>
      <c r="AO931" s="167" t="str">
        <f t="shared" si="358"/>
        <v/>
      </c>
      <c r="AP931" s="167" t="str">
        <f t="shared" si="359"/>
        <v/>
      </c>
      <c r="AQ931" s="169" t="str">
        <f t="shared" si="360"/>
        <v/>
      </c>
      <c r="AR931" s="170" t="str">
        <f t="shared" si="361"/>
        <v>BiK82LKA3---05</v>
      </c>
      <c r="AS931" s="169" t="str">
        <f t="shared" si="362"/>
        <v/>
      </c>
      <c r="AT931">
        <f t="shared" si="363"/>
        <v>14</v>
      </c>
      <c r="AU931" s="170" t="str">
        <f t="shared" si="364"/>
        <v>0,15-0,5 MW, Bonusregeln L und K wenn Anlage 3 erfüllt</v>
      </c>
      <c r="AV931" s="169" t="str">
        <f t="shared" si="365"/>
        <v/>
      </c>
      <c r="AW931" s="170" t="str">
        <f t="shared" si="366"/>
        <v>Anteil KWK gemäß Anlage 3</v>
      </c>
      <c r="AX931" s="169" t="str">
        <f t="shared" si="367"/>
        <v/>
      </c>
      <c r="AY931" t="str">
        <f t="shared" si="368"/>
        <v/>
      </c>
      <c r="AZ931" t="str">
        <f t="shared" si="369"/>
        <v/>
      </c>
    </row>
    <row r="932" spans="1:52" s="145" customFormat="1" x14ac:dyDescent="0.35">
      <c r="A932" s="497" t="s">
        <v>2473</v>
      </c>
      <c r="B932" s="13" t="s">
        <v>5547</v>
      </c>
      <c r="C932" s="13" t="s">
        <v>1288</v>
      </c>
      <c r="D932" s="13" t="s">
        <v>7055</v>
      </c>
      <c r="E932" s="13" t="s">
        <v>674</v>
      </c>
      <c r="F932" s="373">
        <f t="shared" si="376"/>
        <v>21.75</v>
      </c>
      <c r="G932" s="430">
        <v>21.75</v>
      </c>
      <c r="H932" s="399">
        <f t="shared" si="377"/>
        <v>17.399999999999999</v>
      </c>
      <c r="I932" s="576"/>
      <c r="J932" s="549" t="s">
        <v>5804</v>
      </c>
      <c r="K932" s="11"/>
      <c r="L932"/>
      <c r="M932" s="37">
        <f t="shared" si="378"/>
        <v>21.75</v>
      </c>
      <c r="N932" s="29">
        <v>9.75</v>
      </c>
      <c r="O932" s="149"/>
      <c r="P932" s="144"/>
      <c r="Q932" s="145" t="s">
        <v>1017</v>
      </c>
      <c r="S932" s="145" t="s">
        <v>4179</v>
      </c>
      <c r="T932" s="145" t="s">
        <v>4179</v>
      </c>
      <c r="U932" s="146"/>
      <c r="W932" s="147"/>
      <c r="X932" s="147"/>
      <c r="Z932" s="147"/>
      <c r="AB932" s="145" t="s">
        <v>1017</v>
      </c>
      <c r="AC932" s="147"/>
      <c r="AE932" s="148"/>
      <c r="AF932" s="147"/>
      <c r="AG932" s="147"/>
      <c r="AH932" s="166" t="str">
        <f t="shared" si="383"/>
        <v/>
      </c>
      <c r="AI932" s="168" t="str">
        <f t="shared" si="370"/>
        <v/>
      </c>
      <c r="AJ932" s="168" t="str">
        <f t="shared" si="371"/>
        <v/>
      </c>
      <c r="AK932" s="168" t="str">
        <f t="shared" si="372"/>
        <v/>
      </c>
      <c r="AL932" s="168" t="str">
        <f t="shared" si="373"/>
        <v/>
      </c>
      <c r="AM932" s="168" t="str">
        <f t="shared" si="374"/>
        <v/>
      </c>
      <c r="AN932" s="167" t="str">
        <f t="shared" si="357"/>
        <v/>
      </c>
      <c r="AO932" s="167" t="str">
        <f t="shared" si="358"/>
        <v/>
      </c>
      <c r="AP932" s="167" t="str">
        <f t="shared" si="359"/>
        <v/>
      </c>
      <c r="AQ932" s="169" t="str">
        <f t="shared" si="360"/>
        <v/>
      </c>
      <c r="AR932" s="170" t="str">
        <f t="shared" si="361"/>
        <v>BiK82LK09---05</v>
      </c>
      <c r="AS932" s="169" t="str">
        <f t="shared" si="362"/>
        <v/>
      </c>
      <c r="AT932">
        <f t="shared" si="363"/>
        <v>14</v>
      </c>
      <c r="AU932" s="170" t="str">
        <f t="shared" si="364"/>
        <v>0,15-0,5 MW, Bonusregeln L und K erstmals 2009</v>
      </c>
      <c r="AV932" s="169" t="str">
        <f t="shared" si="365"/>
        <v/>
      </c>
      <c r="AW932" s="170" t="str">
        <f t="shared" si="366"/>
        <v>Anteil KWK, erstmals 2009</v>
      </c>
      <c r="AX932" s="169" t="str">
        <f t="shared" si="367"/>
        <v/>
      </c>
      <c r="AY932" t="str">
        <f t="shared" si="368"/>
        <v/>
      </c>
      <c r="AZ932" t="str">
        <f t="shared" si="369"/>
        <v/>
      </c>
    </row>
    <row r="933" spans="1:52" s="145" customFormat="1" x14ac:dyDescent="0.35">
      <c r="A933" s="497" t="s">
        <v>3599</v>
      </c>
      <c r="B933" s="13" t="s">
        <v>5547</v>
      </c>
      <c r="C933" s="13" t="s">
        <v>1288</v>
      </c>
      <c r="D933" s="13" t="s">
        <v>7056</v>
      </c>
      <c r="E933" s="13" t="s">
        <v>3566</v>
      </c>
      <c r="F933" s="373">
        <f t="shared" si="376"/>
        <v>21.72</v>
      </c>
      <c r="G933" s="430">
        <v>21.72</v>
      </c>
      <c r="H933" s="399">
        <f t="shared" si="377"/>
        <v>17.38</v>
      </c>
      <c r="I933" s="576"/>
      <c r="J933" s="549" t="s">
        <v>5804</v>
      </c>
      <c r="K933" s="11"/>
      <c r="L933"/>
      <c r="M933" s="37">
        <f t="shared" si="378"/>
        <v>21.72</v>
      </c>
      <c r="N933" s="29">
        <v>9.75</v>
      </c>
      <c r="O933" s="149"/>
      <c r="P933" s="144"/>
      <c r="R933" s="145" t="s">
        <v>1017</v>
      </c>
      <c r="S933" s="145" t="s">
        <v>4179</v>
      </c>
      <c r="T933" s="145" t="s">
        <v>4179</v>
      </c>
      <c r="U933" s="146"/>
      <c r="W933" s="147"/>
      <c r="X933" s="147"/>
      <c r="Z933" s="147"/>
      <c r="AB933" s="145" t="s">
        <v>1017</v>
      </c>
      <c r="AC933" s="147"/>
      <c r="AE933" s="148"/>
      <c r="AF933" s="147"/>
      <c r="AG933" s="147"/>
      <c r="AH933" s="166" t="str">
        <f t="shared" si="383"/>
        <v>2010</v>
      </c>
      <c r="AI933" s="168" t="str">
        <f t="shared" si="370"/>
        <v/>
      </c>
      <c r="AJ933" s="168" t="str">
        <f t="shared" si="371"/>
        <v/>
      </c>
      <c r="AK933" s="168" t="str">
        <f t="shared" si="372"/>
        <v/>
      </c>
      <c r="AL933" s="168" t="str">
        <f t="shared" si="373"/>
        <v/>
      </c>
      <c r="AM933" s="168" t="str">
        <f t="shared" si="374"/>
        <v/>
      </c>
      <c r="AN933" s="167" t="str">
        <f t="shared" si="357"/>
        <v>2010</v>
      </c>
      <c r="AO933" s="167" t="str">
        <f t="shared" si="358"/>
        <v>2010</v>
      </c>
      <c r="AP933" s="167" t="str">
        <f t="shared" si="359"/>
        <v>2010</v>
      </c>
      <c r="AQ933" s="169" t="str">
        <f t="shared" si="360"/>
        <v/>
      </c>
      <c r="AR933" s="170" t="str">
        <f t="shared" si="361"/>
        <v>BiK82LK10---05</v>
      </c>
      <c r="AS933" s="169" t="str">
        <f t="shared" si="362"/>
        <v/>
      </c>
      <c r="AT933">
        <f t="shared" si="363"/>
        <v>14</v>
      </c>
      <c r="AU933" s="170" t="str">
        <f t="shared" si="364"/>
        <v>0,15-0,5 MW, Bonusregeln L und K erstmals 2010</v>
      </c>
      <c r="AV933" s="169" t="str">
        <f t="shared" si="365"/>
        <v/>
      </c>
      <c r="AW933" s="170" t="str">
        <f t="shared" si="366"/>
        <v>Anteil KWK, erstmals 2010</v>
      </c>
      <c r="AX933" s="169" t="str">
        <f t="shared" si="367"/>
        <v/>
      </c>
      <c r="AY933" t="str">
        <f t="shared" si="368"/>
        <v/>
      </c>
      <c r="AZ933" t="str">
        <f t="shared" si="369"/>
        <v/>
      </c>
    </row>
    <row r="934" spans="1:52" s="145" customFormat="1" x14ac:dyDescent="0.35">
      <c r="A934" s="497" t="s">
        <v>5330</v>
      </c>
      <c r="B934" s="13" t="s">
        <v>5547</v>
      </c>
      <c r="C934" s="13" t="s">
        <v>1288</v>
      </c>
      <c r="D934" s="13" t="s">
        <v>7057</v>
      </c>
      <c r="E934" s="13" t="s">
        <v>3054</v>
      </c>
      <c r="F934" s="373">
        <f t="shared" si="376"/>
        <v>21.689999999999998</v>
      </c>
      <c r="G934" s="430">
        <v>21.689999999999998</v>
      </c>
      <c r="H934" s="399">
        <f t="shared" si="377"/>
        <v>17.350000000000001</v>
      </c>
      <c r="I934" s="576"/>
      <c r="J934" s="549" t="s">
        <v>5804</v>
      </c>
      <c r="K934" s="11"/>
      <c r="L934"/>
      <c r="M934" s="37">
        <f t="shared" si="378"/>
        <v>21.689999999999998</v>
      </c>
      <c r="N934" s="29">
        <v>9.75</v>
      </c>
      <c r="O934" s="149"/>
      <c r="P934" s="144"/>
      <c r="S934" s="145" t="s">
        <v>1017</v>
      </c>
      <c r="T934" s="145" t="s">
        <v>4179</v>
      </c>
      <c r="U934" s="146"/>
      <c r="W934" s="147"/>
      <c r="X934" s="147"/>
      <c r="Z934" s="147"/>
      <c r="AB934" s="145" t="s">
        <v>1017</v>
      </c>
      <c r="AC934" s="147"/>
      <c r="AE934" s="148"/>
      <c r="AF934" s="147"/>
      <c r="AG934" s="147"/>
      <c r="AH934" s="166" t="str">
        <f t="shared" si="383"/>
        <v>2011</v>
      </c>
      <c r="AI934" s="168" t="str">
        <f t="shared" si="370"/>
        <v/>
      </c>
      <c r="AJ934" s="168" t="str">
        <f t="shared" si="371"/>
        <v/>
      </c>
      <c r="AK934" s="168" t="str">
        <f t="shared" si="372"/>
        <v/>
      </c>
      <c r="AL934" s="168" t="str">
        <f t="shared" si="373"/>
        <v/>
      </c>
      <c r="AM934" s="168" t="str">
        <f t="shared" si="374"/>
        <v/>
      </c>
      <c r="AN934" s="167" t="str">
        <f t="shared" si="357"/>
        <v>2011</v>
      </c>
      <c r="AO934" s="167" t="str">
        <f t="shared" si="358"/>
        <v>2011</v>
      </c>
      <c r="AP934" s="167" t="str">
        <f t="shared" si="359"/>
        <v>2011</v>
      </c>
      <c r="AQ934" s="169" t="str">
        <f t="shared" si="360"/>
        <v/>
      </c>
      <c r="AR934" s="170" t="str">
        <f t="shared" si="361"/>
        <v>BiK82LK11---05</v>
      </c>
      <c r="AS934" s="169" t="str">
        <f t="shared" si="362"/>
        <v/>
      </c>
      <c r="AT934">
        <f t="shared" si="363"/>
        <v>14</v>
      </c>
      <c r="AU934" s="170" t="str">
        <f t="shared" si="364"/>
        <v>0,15-0,5 MW, Bonusregeln L und K erstmals 2011</v>
      </c>
      <c r="AV934" s="169" t="str">
        <f t="shared" si="365"/>
        <v/>
      </c>
      <c r="AW934" s="170" t="str">
        <f t="shared" si="366"/>
        <v>Anteil KWK, erstmals 2011</v>
      </c>
      <c r="AX934" s="169" t="str">
        <f t="shared" si="367"/>
        <v/>
      </c>
      <c r="AY934" t="str">
        <f t="shared" si="368"/>
        <v>x</v>
      </c>
      <c r="AZ934" t="str">
        <f t="shared" si="369"/>
        <v/>
      </c>
    </row>
    <row r="935" spans="1:52" s="145" customFormat="1" x14ac:dyDescent="0.35">
      <c r="A935" s="511" t="s">
        <v>1581</v>
      </c>
      <c r="B935" s="173" t="s">
        <v>5547</v>
      </c>
      <c r="C935" s="173" t="s">
        <v>1288</v>
      </c>
      <c r="D935" s="173" t="s">
        <v>7058</v>
      </c>
      <c r="E935" s="173" t="s">
        <v>1980</v>
      </c>
      <c r="F935" s="374">
        <f t="shared" si="376"/>
        <v>21.66</v>
      </c>
      <c r="G935" s="431">
        <v>21.66</v>
      </c>
      <c r="H935" s="400">
        <f t="shared" si="377"/>
        <v>17.329999999999998</v>
      </c>
      <c r="I935" s="577"/>
      <c r="J935" s="549" t="s">
        <v>5804</v>
      </c>
      <c r="K935" s="11"/>
      <c r="L935"/>
      <c r="M935" s="37">
        <f t="shared" si="378"/>
        <v>21.66</v>
      </c>
      <c r="N935" s="29">
        <v>9.75</v>
      </c>
      <c r="O935" s="149"/>
      <c r="P935" s="144"/>
      <c r="S935" s="145" t="s">
        <v>4179</v>
      </c>
      <c r="T935" s="145" t="s">
        <v>1017</v>
      </c>
      <c r="U935" s="146"/>
      <c r="W935" s="147"/>
      <c r="X935" s="147"/>
      <c r="Z935" s="147"/>
      <c r="AB935" s="145" t="s">
        <v>1017</v>
      </c>
      <c r="AC935" s="147"/>
      <c r="AE935" s="148"/>
      <c r="AF935" s="147"/>
      <c r="AG935" s="147"/>
      <c r="AH935" s="171" t="s">
        <v>4178</v>
      </c>
      <c r="AI935" s="168" t="str">
        <f t="shared" si="370"/>
        <v/>
      </c>
      <c r="AJ935" s="168" t="str">
        <f t="shared" si="371"/>
        <v/>
      </c>
      <c r="AK935" s="168" t="str">
        <f t="shared" si="372"/>
        <v/>
      </c>
      <c r="AL935" s="168" t="str">
        <f t="shared" si="373"/>
        <v/>
      </c>
      <c r="AM935" s="168" t="str">
        <f t="shared" si="374"/>
        <v/>
      </c>
      <c r="AN935" s="167" t="str">
        <f t="shared" si="357"/>
        <v>2012</v>
      </c>
      <c r="AO935" s="167" t="str">
        <f t="shared" si="358"/>
        <v>2012</v>
      </c>
      <c r="AP935" s="167" t="str">
        <f t="shared" si="359"/>
        <v>2012</v>
      </c>
      <c r="AQ935" s="169" t="str">
        <f t="shared" si="360"/>
        <v/>
      </c>
      <c r="AR935" s="170" t="str">
        <f t="shared" si="361"/>
        <v>BiK82LK12---05</v>
      </c>
      <c r="AS935" s="169" t="str">
        <f t="shared" si="362"/>
        <v/>
      </c>
      <c r="AT935">
        <f t="shared" si="363"/>
        <v>14</v>
      </c>
      <c r="AU935" s="170" t="str">
        <f t="shared" si="364"/>
        <v>0,15-0,5 MW, Bonusregeln L und K erstmals 2012</v>
      </c>
      <c r="AV935" s="169" t="str">
        <f t="shared" si="365"/>
        <v/>
      </c>
      <c r="AW935" s="170" t="str">
        <f t="shared" si="366"/>
        <v>Anteil KWK, erstmals 2012</v>
      </c>
      <c r="AX935" s="169" t="str">
        <f t="shared" si="367"/>
        <v/>
      </c>
      <c r="AY935" t="str">
        <f t="shared" si="368"/>
        <v/>
      </c>
      <c r="AZ935" t="str">
        <f t="shared" si="369"/>
        <v>x</v>
      </c>
    </row>
    <row r="936" spans="1:52" x14ac:dyDescent="0.35">
      <c r="A936" s="497" t="s">
        <v>2474</v>
      </c>
      <c r="B936" s="13" t="s">
        <v>5547</v>
      </c>
      <c r="C936" s="13" t="s">
        <v>1288</v>
      </c>
      <c r="D936" s="13" t="s">
        <v>7059</v>
      </c>
      <c r="E936" s="13" t="s">
        <v>4809</v>
      </c>
      <c r="F936" s="373">
        <f t="shared" si="376"/>
        <v>19.75</v>
      </c>
      <c r="G936" s="430">
        <v>19.75</v>
      </c>
      <c r="H936" s="399">
        <f t="shared" si="377"/>
        <v>15.8</v>
      </c>
      <c r="I936" s="576"/>
      <c r="J936" s="549" t="s">
        <v>5804</v>
      </c>
      <c r="K936" s="11"/>
      <c r="M936" s="37">
        <f t="shared" si="378"/>
        <v>19.75</v>
      </c>
      <c r="N936" s="29">
        <v>9.75</v>
      </c>
      <c r="O936" s="149"/>
      <c r="P936" s="144"/>
      <c r="Q936" s="145"/>
      <c r="R936" s="145"/>
      <c r="S936" s="145" t="s">
        <v>4179</v>
      </c>
      <c r="T936" t="s">
        <v>4179</v>
      </c>
      <c r="U936" s="146" t="s">
        <v>1017</v>
      </c>
      <c r="V936" s="145"/>
      <c r="W936" s="147"/>
      <c r="X936" s="147"/>
      <c r="Y936" s="145"/>
      <c r="Z936" s="147"/>
      <c r="AA936" s="145"/>
      <c r="AB936" s="145" t="s">
        <v>1017</v>
      </c>
      <c r="AC936" s="147"/>
      <c r="AD936" s="145"/>
      <c r="AE936" s="148"/>
      <c r="AF936" s="147"/>
      <c r="AG936" s="147"/>
      <c r="AH936" s="166" t="str">
        <f t="shared" ref="AH936:AH941" si="384">IF(ISERROR(SEARCH("K erstmals 201",D936)),"",RIGHT(D936,4))</f>
        <v/>
      </c>
      <c r="AI936" s="168" t="str">
        <f t="shared" si="370"/>
        <v/>
      </c>
      <c r="AJ936" s="168" t="str">
        <f t="shared" si="371"/>
        <v/>
      </c>
      <c r="AK936" s="168" t="str">
        <f t="shared" si="372"/>
        <v/>
      </c>
      <c r="AL936" s="168" t="str">
        <f t="shared" si="373"/>
        <v/>
      </c>
      <c r="AM936" s="168" t="str">
        <f t="shared" si="374"/>
        <v/>
      </c>
      <c r="AN936" s="167" t="str">
        <f t="shared" si="357"/>
        <v/>
      </c>
      <c r="AO936" s="167" t="str">
        <f t="shared" si="358"/>
        <v/>
      </c>
      <c r="AP936" s="167" t="str">
        <f t="shared" si="359"/>
        <v/>
      </c>
      <c r="AQ936" s="169" t="str">
        <f t="shared" si="360"/>
        <v/>
      </c>
      <c r="AR936" s="170" t="str">
        <f t="shared" si="361"/>
        <v>BiK82Ly-----05</v>
      </c>
      <c r="AS936" s="169" t="str">
        <f t="shared" si="362"/>
        <v/>
      </c>
      <c r="AT936">
        <f t="shared" si="363"/>
        <v>14</v>
      </c>
      <c r="AU936" s="170" t="str">
        <f t="shared" si="364"/>
        <v>0,15-0,5 MW, Bonusregeln L, y</v>
      </c>
      <c r="AV936" s="169" t="str">
        <f t="shared" si="365"/>
        <v/>
      </c>
      <c r="AW936" s="170" t="str">
        <f t="shared" si="366"/>
        <v>Anteil Nicht-KWK</v>
      </c>
      <c r="AX936" s="169" t="str">
        <f t="shared" si="367"/>
        <v/>
      </c>
      <c r="AY936" t="str">
        <f t="shared" si="368"/>
        <v/>
      </c>
      <c r="AZ936" t="str">
        <f t="shared" si="369"/>
        <v/>
      </c>
    </row>
    <row r="937" spans="1:52" x14ac:dyDescent="0.35">
      <c r="A937" s="497" t="s">
        <v>2475</v>
      </c>
      <c r="B937" s="13" t="s">
        <v>5547</v>
      </c>
      <c r="C937" s="13" t="s">
        <v>1288</v>
      </c>
      <c r="D937" s="13" t="s">
        <v>7122</v>
      </c>
      <c r="E937" s="13" t="s">
        <v>4811</v>
      </c>
      <c r="F937" s="373">
        <f t="shared" si="376"/>
        <v>21.75</v>
      </c>
      <c r="G937" s="430">
        <v>21.75</v>
      </c>
      <c r="H937" s="399">
        <f t="shared" si="377"/>
        <v>17.399999999999999</v>
      </c>
      <c r="I937" s="576"/>
      <c r="J937" s="549" t="s">
        <v>5804</v>
      </c>
      <c r="K937" s="11"/>
      <c r="M937" s="37">
        <f t="shared" si="378"/>
        <v>21.75</v>
      </c>
      <c r="N937" s="29">
        <v>9.75</v>
      </c>
      <c r="O937" s="149" t="s">
        <v>1017</v>
      </c>
      <c r="P937" s="144"/>
      <c r="Q937" s="145"/>
      <c r="R937" s="145"/>
      <c r="S937" s="145" t="s">
        <v>4179</v>
      </c>
      <c r="T937" t="s">
        <v>4179</v>
      </c>
      <c r="U937" s="146" t="s">
        <v>1017</v>
      </c>
      <c r="V937" s="145"/>
      <c r="W937" s="147"/>
      <c r="X937" s="147"/>
      <c r="Y937" s="145"/>
      <c r="Z937" s="147"/>
      <c r="AA937" s="145"/>
      <c r="AB937" s="145" t="s">
        <v>1017</v>
      </c>
      <c r="AC937" s="147"/>
      <c r="AD937" s="145"/>
      <c r="AE937" s="148"/>
      <c r="AF937" s="147"/>
      <c r="AG937" s="147"/>
      <c r="AH937" s="166" t="str">
        <f t="shared" si="384"/>
        <v/>
      </c>
      <c r="AI937" s="168" t="str">
        <f t="shared" si="370"/>
        <v/>
      </c>
      <c r="AJ937" s="168" t="str">
        <f t="shared" si="371"/>
        <v/>
      </c>
      <c r="AK937" s="168" t="str">
        <f t="shared" si="372"/>
        <v/>
      </c>
      <c r="AL937" s="168" t="str">
        <f t="shared" si="373"/>
        <v/>
      </c>
      <c r="AM937" s="168" t="str">
        <f t="shared" si="374"/>
        <v/>
      </c>
      <c r="AN937" s="167" t="str">
        <f t="shared" si="357"/>
        <v/>
      </c>
      <c r="AO937" s="167" t="str">
        <f t="shared" si="358"/>
        <v/>
      </c>
      <c r="AP937" s="167" t="str">
        <f t="shared" si="359"/>
        <v/>
      </c>
      <c r="AQ937" s="169" t="str">
        <f t="shared" si="360"/>
        <v/>
      </c>
      <c r="AR937" s="170" t="str">
        <f t="shared" si="361"/>
        <v>BiK82LKWKy--05</v>
      </c>
      <c r="AS937" s="169" t="str">
        <f t="shared" si="362"/>
        <v/>
      </c>
      <c r="AT937">
        <f t="shared" si="363"/>
        <v>14</v>
      </c>
      <c r="AU937" s="170" t="str">
        <f t="shared" si="364"/>
        <v>0,15-0,5 MW, Bonusregeln L, y und KWK</v>
      </c>
      <c r="AV937" s="169" t="str">
        <f t="shared" si="365"/>
        <v/>
      </c>
      <c r="AW937" s="170" t="str">
        <f t="shared" si="366"/>
        <v>Anteil KWK</v>
      </c>
      <c r="AX937" s="169" t="str">
        <f t="shared" si="367"/>
        <v/>
      </c>
      <c r="AY937" t="str">
        <f t="shared" si="368"/>
        <v/>
      </c>
      <c r="AZ937" t="str">
        <f t="shared" si="369"/>
        <v/>
      </c>
    </row>
    <row r="938" spans="1:52" x14ac:dyDescent="0.35">
      <c r="A938" s="497" t="s">
        <v>2476</v>
      </c>
      <c r="B938" s="13" t="s">
        <v>5547</v>
      </c>
      <c r="C938" s="13" t="s">
        <v>1288</v>
      </c>
      <c r="D938" s="88" t="s">
        <v>7060</v>
      </c>
      <c r="E938" s="13" t="s">
        <v>4330</v>
      </c>
      <c r="F938" s="373">
        <f t="shared" si="376"/>
        <v>22.75</v>
      </c>
      <c r="G938" s="430">
        <v>22.75</v>
      </c>
      <c r="H938" s="399">
        <f t="shared" si="377"/>
        <v>18.2</v>
      </c>
      <c r="I938" s="576"/>
      <c r="J938" s="549" t="s">
        <v>5804</v>
      </c>
      <c r="K938" s="11"/>
      <c r="M938" s="37">
        <f t="shared" si="378"/>
        <v>22.75</v>
      </c>
      <c r="N938" s="29">
        <v>9.75</v>
      </c>
      <c r="O938" s="149"/>
      <c r="P938" s="145" t="s">
        <v>1017</v>
      </c>
      <c r="Q938" s="145"/>
      <c r="R938" s="145"/>
      <c r="S938" s="145" t="s">
        <v>4179</v>
      </c>
      <c r="T938" t="s">
        <v>4179</v>
      </c>
      <c r="U938" s="146" t="s">
        <v>1017</v>
      </c>
      <c r="V938" s="145"/>
      <c r="W938" s="147"/>
      <c r="X938" s="147"/>
      <c r="Y938" s="145"/>
      <c r="Z938" s="147"/>
      <c r="AA938" s="145"/>
      <c r="AB938" s="145" t="s">
        <v>1017</v>
      </c>
      <c r="AC938" s="147"/>
      <c r="AD938" s="145"/>
      <c r="AE938" s="148"/>
      <c r="AF938" s="147"/>
      <c r="AG938" s="147"/>
      <c r="AH938" s="166" t="str">
        <f t="shared" si="384"/>
        <v/>
      </c>
      <c r="AI938" s="168" t="str">
        <f t="shared" si="370"/>
        <v/>
      </c>
      <c r="AJ938" s="168" t="str">
        <f t="shared" si="371"/>
        <v/>
      </c>
      <c r="AK938" s="168" t="str">
        <f t="shared" si="372"/>
        <v/>
      </c>
      <c r="AL938" s="168" t="str">
        <f t="shared" si="373"/>
        <v/>
      </c>
      <c r="AM938" s="168" t="str">
        <f t="shared" si="374"/>
        <v/>
      </c>
      <c r="AN938" s="167" t="str">
        <f t="shared" si="357"/>
        <v/>
      </c>
      <c r="AO938" s="167" t="str">
        <f t="shared" si="358"/>
        <v/>
      </c>
      <c r="AP938" s="167" t="str">
        <f t="shared" si="359"/>
        <v/>
      </c>
      <c r="AQ938" s="169" t="str">
        <f t="shared" si="360"/>
        <v/>
      </c>
      <c r="AR938" s="170" t="str">
        <f t="shared" si="361"/>
        <v>BiK82LKA3y--05</v>
      </c>
      <c r="AS938" s="169" t="str">
        <f t="shared" si="362"/>
        <v/>
      </c>
      <c r="AT938">
        <f t="shared" si="363"/>
        <v>14</v>
      </c>
      <c r="AU938" s="170" t="str">
        <f t="shared" si="364"/>
        <v>0,15-0,5 MW, Bonusregeln L, y und K wenn Anlage 3 erfüllt</v>
      </c>
      <c r="AV938" s="169" t="str">
        <f t="shared" si="365"/>
        <v/>
      </c>
      <c r="AW938" s="170" t="str">
        <f t="shared" si="366"/>
        <v>Anteil KWK gemäß Anlage 3</v>
      </c>
      <c r="AX938" s="169" t="str">
        <f t="shared" si="367"/>
        <v/>
      </c>
      <c r="AY938" t="str">
        <f t="shared" si="368"/>
        <v/>
      </c>
      <c r="AZ938" t="str">
        <f t="shared" si="369"/>
        <v/>
      </c>
    </row>
    <row r="939" spans="1:52" x14ac:dyDescent="0.35">
      <c r="A939" s="497" t="s">
        <v>2477</v>
      </c>
      <c r="B939" s="13" t="s">
        <v>5547</v>
      </c>
      <c r="C939" s="13" t="s">
        <v>1288</v>
      </c>
      <c r="D939" s="13" t="s">
        <v>7061</v>
      </c>
      <c r="E939" s="13" t="s">
        <v>674</v>
      </c>
      <c r="F939" s="373">
        <f t="shared" si="376"/>
        <v>22.75</v>
      </c>
      <c r="G939" s="430">
        <v>22.75</v>
      </c>
      <c r="H939" s="399">
        <f t="shared" si="377"/>
        <v>18.2</v>
      </c>
      <c r="I939" s="576"/>
      <c r="J939" s="549" t="s">
        <v>5804</v>
      </c>
      <c r="K939" s="11"/>
      <c r="M939" s="37">
        <f t="shared" si="378"/>
        <v>22.75</v>
      </c>
      <c r="N939" s="29">
        <v>9.75</v>
      </c>
      <c r="O939" s="149"/>
      <c r="P939" s="144"/>
      <c r="Q939" s="145" t="s">
        <v>1017</v>
      </c>
      <c r="R939" s="145"/>
      <c r="S939" s="145" t="s">
        <v>4179</v>
      </c>
      <c r="T939" t="s">
        <v>4179</v>
      </c>
      <c r="U939" s="146" t="s">
        <v>1017</v>
      </c>
      <c r="V939" s="145"/>
      <c r="W939" s="147"/>
      <c r="X939" s="147"/>
      <c r="Y939" s="145"/>
      <c r="Z939" s="147"/>
      <c r="AA939" s="145"/>
      <c r="AB939" s="145" t="s">
        <v>1017</v>
      </c>
      <c r="AC939" s="147"/>
      <c r="AD939" s="145"/>
      <c r="AE939" s="148"/>
      <c r="AF939" s="147"/>
      <c r="AG939" s="147"/>
      <c r="AH939" s="166" t="str">
        <f t="shared" si="384"/>
        <v/>
      </c>
      <c r="AI939" s="168" t="str">
        <f t="shared" si="370"/>
        <v/>
      </c>
      <c r="AJ939" s="168" t="str">
        <f t="shared" si="371"/>
        <v/>
      </c>
      <c r="AK939" s="168" t="str">
        <f t="shared" si="372"/>
        <v/>
      </c>
      <c r="AL939" s="168" t="str">
        <f t="shared" si="373"/>
        <v/>
      </c>
      <c r="AM939" s="168" t="str">
        <f t="shared" si="374"/>
        <v/>
      </c>
      <c r="AN939" s="167" t="str">
        <f t="shared" si="357"/>
        <v/>
      </c>
      <c r="AO939" s="167" t="str">
        <f t="shared" si="358"/>
        <v/>
      </c>
      <c r="AP939" s="167" t="str">
        <f t="shared" si="359"/>
        <v/>
      </c>
      <c r="AQ939" s="169" t="str">
        <f t="shared" si="360"/>
        <v/>
      </c>
      <c r="AR939" s="170" t="str">
        <f t="shared" si="361"/>
        <v>BiK82LK09y--05</v>
      </c>
      <c r="AS939" s="169" t="str">
        <f t="shared" si="362"/>
        <v/>
      </c>
      <c r="AT939">
        <f t="shared" si="363"/>
        <v>14</v>
      </c>
      <c r="AU939" s="170" t="str">
        <f t="shared" si="364"/>
        <v>0,15-0,5 MW, Bonusregeln L, y und K erstmals 2009</v>
      </c>
      <c r="AV939" s="169" t="str">
        <f t="shared" si="365"/>
        <v/>
      </c>
      <c r="AW939" s="170" t="str">
        <f t="shared" si="366"/>
        <v>Anteil KWK, erstmals 2009</v>
      </c>
      <c r="AX939" s="169" t="str">
        <f t="shared" si="367"/>
        <v/>
      </c>
      <c r="AY939" t="str">
        <f t="shared" si="368"/>
        <v/>
      </c>
      <c r="AZ939" t="str">
        <f t="shared" si="369"/>
        <v/>
      </c>
    </row>
    <row r="940" spans="1:52" x14ac:dyDescent="0.35">
      <c r="A940" s="497" t="s">
        <v>3600</v>
      </c>
      <c r="B940" s="13" t="s">
        <v>5547</v>
      </c>
      <c r="C940" s="13" t="s">
        <v>1288</v>
      </c>
      <c r="D940" s="13" t="s">
        <v>7062</v>
      </c>
      <c r="E940" s="13" t="s">
        <v>3566</v>
      </c>
      <c r="F940" s="373">
        <f t="shared" si="376"/>
        <v>22.72</v>
      </c>
      <c r="G940" s="430">
        <v>22.72</v>
      </c>
      <c r="H940" s="399">
        <f t="shared" si="377"/>
        <v>18.18</v>
      </c>
      <c r="I940" s="576"/>
      <c r="J940" s="549" t="s">
        <v>5804</v>
      </c>
      <c r="K940" s="11"/>
      <c r="M940" s="37">
        <f t="shared" si="378"/>
        <v>22.72</v>
      </c>
      <c r="N940" s="29">
        <v>9.75</v>
      </c>
      <c r="O940" s="149"/>
      <c r="P940" s="144"/>
      <c r="Q940" s="145"/>
      <c r="R940" s="145" t="s">
        <v>1017</v>
      </c>
      <c r="S940" s="145" t="s">
        <v>4179</v>
      </c>
      <c r="T940" t="s">
        <v>4179</v>
      </c>
      <c r="U940" s="146" t="s">
        <v>1017</v>
      </c>
      <c r="V940" s="145"/>
      <c r="W940" s="147"/>
      <c r="X940" s="147"/>
      <c r="Y940" s="145"/>
      <c r="Z940" s="147"/>
      <c r="AA940" s="145"/>
      <c r="AB940" s="145" t="s">
        <v>1017</v>
      </c>
      <c r="AC940" s="147"/>
      <c r="AD940" s="145"/>
      <c r="AE940" s="148"/>
      <c r="AF940" s="147"/>
      <c r="AG940" s="147"/>
      <c r="AH940" s="166" t="str">
        <f t="shared" si="384"/>
        <v>2010</v>
      </c>
      <c r="AI940" s="168" t="str">
        <f t="shared" si="370"/>
        <v/>
      </c>
      <c r="AJ940" s="168" t="str">
        <f t="shared" si="371"/>
        <v/>
      </c>
      <c r="AK940" s="168" t="str">
        <f t="shared" si="372"/>
        <v/>
      </c>
      <c r="AL940" s="168" t="str">
        <f t="shared" si="373"/>
        <v/>
      </c>
      <c r="AM940" s="168" t="str">
        <f t="shared" si="374"/>
        <v/>
      </c>
      <c r="AN940" s="167" t="str">
        <f t="shared" si="357"/>
        <v>2010</v>
      </c>
      <c r="AO940" s="167" t="str">
        <f t="shared" si="358"/>
        <v>2010</v>
      </c>
      <c r="AP940" s="167" t="str">
        <f t="shared" si="359"/>
        <v>2010</v>
      </c>
      <c r="AQ940" s="169" t="str">
        <f t="shared" si="360"/>
        <v/>
      </c>
      <c r="AR940" s="170" t="str">
        <f t="shared" si="361"/>
        <v>BiK82LK10y--05</v>
      </c>
      <c r="AS940" s="169" t="str">
        <f t="shared" si="362"/>
        <v/>
      </c>
      <c r="AT940">
        <f t="shared" si="363"/>
        <v>14</v>
      </c>
      <c r="AU940" s="170" t="str">
        <f t="shared" si="364"/>
        <v>0,15-0,5 MW, Bonusregeln L, y und K erstmals 2010</v>
      </c>
      <c r="AV940" s="169" t="str">
        <f t="shared" si="365"/>
        <v/>
      </c>
      <c r="AW940" s="170" t="str">
        <f t="shared" si="366"/>
        <v>Anteil KWK, erstmals 2010</v>
      </c>
      <c r="AX940" s="169" t="str">
        <f t="shared" si="367"/>
        <v/>
      </c>
      <c r="AY940" t="str">
        <f t="shared" si="368"/>
        <v/>
      </c>
      <c r="AZ940" t="str">
        <f t="shared" si="369"/>
        <v/>
      </c>
    </row>
    <row r="941" spans="1:52" x14ac:dyDescent="0.35">
      <c r="A941" s="497" t="s">
        <v>5331</v>
      </c>
      <c r="B941" s="13" t="s">
        <v>5547</v>
      </c>
      <c r="C941" s="13" t="s">
        <v>1288</v>
      </c>
      <c r="D941" s="13" t="s">
        <v>7063</v>
      </c>
      <c r="E941" s="13" t="s">
        <v>3054</v>
      </c>
      <c r="F941" s="373">
        <f t="shared" si="376"/>
        <v>22.689999999999998</v>
      </c>
      <c r="G941" s="430">
        <v>22.689999999999998</v>
      </c>
      <c r="H941" s="399">
        <f t="shared" si="377"/>
        <v>18.149999999999999</v>
      </c>
      <c r="I941" s="576"/>
      <c r="J941" s="549" t="s">
        <v>5804</v>
      </c>
      <c r="K941" s="11"/>
      <c r="M941" s="37">
        <f t="shared" si="378"/>
        <v>22.689999999999998</v>
      </c>
      <c r="N941" s="29">
        <v>9.75</v>
      </c>
      <c r="O941" s="149"/>
      <c r="P941" s="144"/>
      <c r="Q941" s="145"/>
      <c r="R941" s="145"/>
      <c r="S941" s="145" t="s">
        <v>1017</v>
      </c>
      <c r="T941" t="s">
        <v>4179</v>
      </c>
      <c r="U941" s="146" t="s">
        <v>1017</v>
      </c>
      <c r="V941" s="145"/>
      <c r="W941" s="147"/>
      <c r="X941" s="147"/>
      <c r="Y941" s="145"/>
      <c r="Z941" s="147"/>
      <c r="AA941" s="145"/>
      <c r="AB941" s="145" t="s">
        <v>1017</v>
      </c>
      <c r="AC941" s="147"/>
      <c r="AD941" s="145"/>
      <c r="AE941" s="148"/>
      <c r="AF941" s="147"/>
      <c r="AG941" s="147"/>
      <c r="AH941" s="166" t="str">
        <f t="shared" si="384"/>
        <v>2011</v>
      </c>
      <c r="AI941" s="168" t="str">
        <f t="shared" si="370"/>
        <v/>
      </c>
      <c r="AJ941" s="168" t="str">
        <f t="shared" si="371"/>
        <v/>
      </c>
      <c r="AK941" s="168" t="str">
        <f t="shared" si="372"/>
        <v/>
      </c>
      <c r="AL941" s="168" t="str">
        <f t="shared" si="373"/>
        <v/>
      </c>
      <c r="AM941" s="168" t="str">
        <f t="shared" si="374"/>
        <v/>
      </c>
      <c r="AN941" s="167" t="str">
        <f t="shared" si="357"/>
        <v>2011</v>
      </c>
      <c r="AO941" s="167" t="str">
        <f t="shared" si="358"/>
        <v>2011</v>
      </c>
      <c r="AP941" s="167" t="str">
        <f t="shared" si="359"/>
        <v>2011</v>
      </c>
      <c r="AQ941" s="169" t="str">
        <f t="shared" si="360"/>
        <v/>
      </c>
      <c r="AR941" s="170" t="str">
        <f t="shared" si="361"/>
        <v>BiK82LK11y--05</v>
      </c>
      <c r="AS941" s="169" t="str">
        <f t="shared" si="362"/>
        <v/>
      </c>
      <c r="AT941">
        <f t="shared" si="363"/>
        <v>14</v>
      </c>
      <c r="AU941" s="170" t="str">
        <f t="shared" si="364"/>
        <v>0,15-0,5 MW, Bonusregeln L, y und K erstmals 2011</v>
      </c>
      <c r="AV941" s="169" t="str">
        <f t="shared" si="365"/>
        <v/>
      </c>
      <c r="AW941" s="170" t="str">
        <f t="shared" si="366"/>
        <v>Anteil KWK, erstmals 2011</v>
      </c>
      <c r="AX941" s="169" t="str">
        <f t="shared" si="367"/>
        <v/>
      </c>
      <c r="AY941" t="str">
        <f t="shared" si="368"/>
        <v>x</v>
      </c>
      <c r="AZ941" t="str">
        <f t="shared" si="369"/>
        <v/>
      </c>
    </row>
    <row r="942" spans="1:52" x14ac:dyDescent="0.35">
      <c r="A942" s="511" t="s">
        <v>1582</v>
      </c>
      <c r="B942" s="173" t="s">
        <v>5547</v>
      </c>
      <c r="C942" s="173" t="s">
        <v>1288</v>
      </c>
      <c r="D942" s="173" t="s">
        <v>7064</v>
      </c>
      <c r="E942" s="173" t="s">
        <v>1980</v>
      </c>
      <c r="F942" s="374">
        <f t="shared" si="376"/>
        <v>22.66</v>
      </c>
      <c r="G942" s="431">
        <v>22.66</v>
      </c>
      <c r="H942" s="400">
        <f t="shared" si="377"/>
        <v>18.13</v>
      </c>
      <c r="I942" s="577"/>
      <c r="J942" s="549" t="s">
        <v>5804</v>
      </c>
      <c r="K942" s="11"/>
      <c r="M942" s="37">
        <f t="shared" si="378"/>
        <v>22.66</v>
      </c>
      <c r="N942" s="29">
        <v>9.75</v>
      </c>
      <c r="O942" s="149"/>
      <c r="P942" s="144"/>
      <c r="Q942" s="145"/>
      <c r="R942" s="145"/>
      <c r="S942" s="145" t="s">
        <v>4179</v>
      </c>
      <c r="T942" t="s">
        <v>1017</v>
      </c>
      <c r="U942" s="146" t="s">
        <v>1017</v>
      </c>
      <c r="V942" s="145"/>
      <c r="W942" s="147"/>
      <c r="X942" s="147"/>
      <c r="Y942" s="145"/>
      <c r="Z942" s="147"/>
      <c r="AA942" s="145"/>
      <c r="AB942" s="145" t="s">
        <v>1017</v>
      </c>
      <c r="AC942" s="147"/>
      <c r="AD942" s="145"/>
      <c r="AE942" s="148"/>
      <c r="AF942" s="147"/>
      <c r="AG942" s="147"/>
      <c r="AH942" s="171" t="s">
        <v>4178</v>
      </c>
      <c r="AI942" s="168" t="str">
        <f t="shared" si="370"/>
        <v/>
      </c>
      <c r="AJ942" s="168" t="str">
        <f t="shared" si="371"/>
        <v/>
      </c>
      <c r="AK942" s="168" t="str">
        <f t="shared" si="372"/>
        <v/>
      </c>
      <c r="AL942" s="168" t="str">
        <f t="shared" si="373"/>
        <v/>
      </c>
      <c r="AM942" s="168" t="str">
        <f t="shared" si="374"/>
        <v/>
      </c>
      <c r="AN942" s="167" t="str">
        <f t="shared" si="357"/>
        <v>2012</v>
      </c>
      <c r="AO942" s="167" t="str">
        <f t="shared" si="358"/>
        <v>2012</v>
      </c>
      <c r="AP942" s="167" t="str">
        <f t="shared" si="359"/>
        <v>2012</v>
      </c>
      <c r="AQ942" s="169" t="str">
        <f t="shared" si="360"/>
        <v/>
      </c>
      <c r="AR942" s="170" t="str">
        <f t="shared" si="361"/>
        <v>BiK82LK12y--05</v>
      </c>
      <c r="AS942" s="169" t="str">
        <f t="shared" si="362"/>
        <v/>
      </c>
      <c r="AT942">
        <f t="shared" si="363"/>
        <v>14</v>
      </c>
      <c r="AU942" s="170" t="str">
        <f t="shared" si="364"/>
        <v>0,15-0,5 MW, Bonusregeln L, y und K erstmals 2012</v>
      </c>
      <c r="AV942" s="169" t="str">
        <f t="shared" si="365"/>
        <v/>
      </c>
      <c r="AW942" s="170" t="str">
        <f t="shared" si="366"/>
        <v>Anteil KWK, erstmals 2012</v>
      </c>
      <c r="AX942" s="169" t="str">
        <f t="shared" si="367"/>
        <v/>
      </c>
      <c r="AY942" t="str">
        <f t="shared" si="368"/>
        <v/>
      </c>
      <c r="AZ942" t="str">
        <f t="shared" si="369"/>
        <v>x</v>
      </c>
    </row>
    <row r="943" spans="1:52" x14ac:dyDescent="0.35">
      <c r="A943" s="497" t="s">
        <v>2478</v>
      </c>
      <c r="B943" s="13" t="s">
        <v>5547</v>
      </c>
      <c r="C943" s="13" t="s">
        <v>1288</v>
      </c>
      <c r="D943" s="13" t="s">
        <v>7065</v>
      </c>
      <c r="E943" s="13" t="s">
        <v>4809</v>
      </c>
      <c r="F943" s="373">
        <f t="shared" si="376"/>
        <v>19.75</v>
      </c>
      <c r="G943" s="430">
        <v>19.75</v>
      </c>
      <c r="H943" s="399">
        <f t="shared" si="377"/>
        <v>15.8</v>
      </c>
      <c r="I943" s="576"/>
      <c r="J943" s="549" t="s">
        <v>5804</v>
      </c>
      <c r="K943" s="11"/>
      <c r="M943" s="37">
        <f t="shared" si="378"/>
        <v>19.75</v>
      </c>
      <c r="N943" s="29">
        <v>9.75</v>
      </c>
      <c r="O943" s="149"/>
      <c r="P943" s="144"/>
      <c r="Q943" s="145"/>
      <c r="R943" s="145"/>
      <c r="S943" s="145" t="s">
        <v>4179</v>
      </c>
      <c r="T943" t="s">
        <v>4179</v>
      </c>
      <c r="U943" s="146"/>
      <c r="V943" s="145"/>
      <c r="W943" s="147"/>
      <c r="X943" s="147"/>
      <c r="Y943" s="145"/>
      <c r="Z943" s="147"/>
      <c r="AA943" s="145"/>
      <c r="AB943" s="145"/>
      <c r="AC943" s="147"/>
      <c r="AD943" s="145" t="s">
        <v>1017</v>
      </c>
      <c r="AE943" s="148"/>
      <c r="AF943" s="147"/>
      <c r="AG943" s="147"/>
      <c r="AH943" s="166" t="str">
        <f t="shared" ref="AH943:AH948" si="385">IF(ISERROR(SEARCH("K erstmals 201",D943)),"",RIGHT(D943,4))</f>
        <v/>
      </c>
      <c r="AI943" s="168" t="str">
        <f t="shared" si="370"/>
        <v/>
      </c>
      <c r="AJ943" s="168" t="str">
        <f t="shared" si="371"/>
        <v/>
      </c>
      <c r="AK943" s="168" t="str">
        <f t="shared" si="372"/>
        <v/>
      </c>
      <c r="AL943" s="168" t="str">
        <f t="shared" si="373"/>
        <v/>
      </c>
      <c r="AM943" s="168" t="str">
        <f t="shared" si="374"/>
        <v/>
      </c>
      <c r="AN943" s="167" t="str">
        <f t="shared" si="357"/>
        <v/>
      </c>
      <c r="AO943" s="167" t="str">
        <f t="shared" si="358"/>
        <v/>
      </c>
      <c r="AP943" s="167" t="str">
        <f t="shared" si="359"/>
        <v/>
      </c>
      <c r="AQ943" s="169" t="str">
        <f t="shared" si="360"/>
        <v/>
      </c>
      <c r="AR943" s="170" t="str">
        <f t="shared" si="361"/>
        <v>BiK82X2-----05</v>
      </c>
      <c r="AS943" s="169" t="str">
        <f t="shared" si="362"/>
        <v/>
      </c>
      <c r="AT943">
        <f t="shared" si="363"/>
        <v>14</v>
      </c>
      <c r="AU943" s="170" t="str">
        <f t="shared" si="364"/>
        <v>0,15-0,5 MW, Bonusregel X2</v>
      </c>
      <c r="AV943" s="169" t="str">
        <f t="shared" si="365"/>
        <v/>
      </c>
      <c r="AW943" s="170" t="str">
        <f t="shared" si="366"/>
        <v>Anteil Nicht-KWK</v>
      </c>
      <c r="AX943" s="169" t="str">
        <f t="shared" si="367"/>
        <v/>
      </c>
      <c r="AY943" t="str">
        <f t="shared" si="368"/>
        <v/>
      </c>
      <c r="AZ943" t="str">
        <f t="shared" si="369"/>
        <v/>
      </c>
    </row>
    <row r="944" spans="1:52" x14ac:dyDescent="0.35">
      <c r="A944" s="497" t="s">
        <v>2479</v>
      </c>
      <c r="B944" s="13" t="s">
        <v>5547</v>
      </c>
      <c r="C944" s="13" t="s">
        <v>1288</v>
      </c>
      <c r="D944" s="13" t="s">
        <v>7123</v>
      </c>
      <c r="E944" s="13" t="s">
        <v>4811</v>
      </c>
      <c r="F944" s="373">
        <f t="shared" si="376"/>
        <v>21.75</v>
      </c>
      <c r="G944" s="430">
        <v>21.75</v>
      </c>
      <c r="H944" s="399">
        <f t="shared" si="377"/>
        <v>17.399999999999999</v>
      </c>
      <c r="I944" s="576"/>
      <c r="J944" s="549" t="s">
        <v>5804</v>
      </c>
      <c r="K944" s="11"/>
      <c r="M944" s="37">
        <f t="shared" si="378"/>
        <v>21.75</v>
      </c>
      <c r="N944" s="29">
        <v>9.75</v>
      </c>
      <c r="O944" s="149" t="s">
        <v>1017</v>
      </c>
      <c r="P944" s="144"/>
      <c r="Q944" s="145"/>
      <c r="R944" s="145"/>
      <c r="S944" s="145" t="s">
        <v>4179</v>
      </c>
      <c r="T944" t="s">
        <v>4179</v>
      </c>
      <c r="U944" s="146"/>
      <c r="V944" s="145"/>
      <c r="W944" s="147"/>
      <c r="X944" s="147"/>
      <c r="Y944" s="145"/>
      <c r="Z944" s="147"/>
      <c r="AA944" s="145"/>
      <c r="AB944" s="145"/>
      <c r="AC944" s="147"/>
      <c r="AD944" s="145" t="s">
        <v>1017</v>
      </c>
      <c r="AE944" s="148"/>
      <c r="AF944" s="147"/>
      <c r="AG944" s="147"/>
      <c r="AH944" s="166" t="str">
        <f t="shared" si="385"/>
        <v/>
      </c>
      <c r="AI944" s="168" t="str">
        <f t="shared" si="370"/>
        <v/>
      </c>
      <c r="AJ944" s="168" t="str">
        <f t="shared" si="371"/>
        <v/>
      </c>
      <c r="AK944" s="168" t="str">
        <f t="shared" si="372"/>
        <v/>
      </c>
      <c r="AL944" s="168" t="str">
        <f t="shared" si="373"/>
        <v/>
      </c>
      <c r="AM944" s="168" t="str">
        <f t="shared" si="374"/>
        <v/>
      </c>
      <c r="AN944" s="167" t="str">
        <f t="shared" si="357"/>
        <v/>
      </c>
      <c r="AO944" s="167" t="str">
        <f t="shared" si="358"/>
        <v/>
      </c>
      <c r="AP944" s="167" t="str">
        <f t="shared" si="359"/>
        <v/>
      </c>
      <c r="AQ944" s="169" t="str">
        <f t="shared" si="360"/>
        <v/>
      </c>
      <c r="AR944" s="170" t="str">
        <f t="shared" si="361"/>
        <v>BiK82X2KWK--05</v>
      </c>
      <c r="AS944" s="169" t="str">
        <f t="shared" si="362"/>
        <v/>
      </c>
      <c r="AT944">
        <f t="shared" si="363"/>
        <v>14</v>
      </c>
      <c r="AU944" s="170" t="str">
        <f t="shared" si="364"/>
        <v>0,15-0,5 MW, Bonusregeln X2 und KWK</v>
      </c>
      <c r="AV944" s="169" t="str">
        <f t="shared" si="365"/>
        <v/>
      </c>
      <c r="AW944" s="170" t="str">
        <f t="shared" si="366"/>
        <v>Anteil KWK</v>
      </c>
      <c r="AX944" s="169" t="str">
        <f t="shared" si="367"/>
        <v/>
      </c>
      <c r="AY944" t="str">
        <f t="shared" si="368"/>
        <v/>
      </c>
      <c r="AZ944" t="str">
        <f t="shared" si="369"/>
        <v/>
      </c>
    </row>
    <row r="945" spans="1:52" x14ac:dyDescent="0.35">
      <c r="A945" s="497" t="s">
        <v>2480</v>
      </c>
      <c r="B945" s="13" t="s">
        <v>5547</v>
      </c>
      <c r="C945" s="13" t="s">
        <v>1288</v>
      </c>
      <c r="D945" s="13" t="s">
        <v>7066</v>
      </c>
      <c r="E945" s="13" t="s">
        <v>4330</v>
      </c>
      <c r="F945" s="373">
        <f t="shared" si="376"/>
        <v>22.75</v>
      </c>
      <c r="G945" s="430">
        <v>22.75</v>
      </c>
      <c r="H945" s="399">
        <f t="shared" si="377"/>
        <v>18.2</v>
      </c>
      <c r="I945" s="576"/>
      <c r="J945" s="549" t="s">
        <v>5804</v>
      </c>
      <c r="K945" s="11"/>
      <c r="M945" s="37">
        <f t="shared" si="378"/>
        <v>22.75</v>
      </c>
      <c r="N945" s="29">
        <v>9.75</v>
      </c>
      <c r="O945" s="149"/>
      <c r="P945" s="145" t="s">
        <v>1017</v>
      </c>
      <c r="Q945" s="145"/>
      <c r="R945" s="145"/>
      <c r="S945" s="145" t="s">
        <v>4179</v>
      </c>
      <c r="T945" t="s">
        <v>4179</v>
      </c>
      <c r="U945" s="146"/>
      <c r="V945" s="145"/>
      <c r="W945" s="147"/>
      <c r="X945" s="147"/>
      <c r="Y945" s="145"/>
      <c r="Z945" s="147"/>
      <c r="AA945" s="145"/>
      <c r="AB945" s="145"/>
      <c r="AC945" s="147"/>
      <c r="AD945" s="145" t="s">
        <v>1017</v>
      </c>
      <c r="AE945" s="148"/>
      <c r="AF945" s="147"/>
      <c r="AG945" s="147"/>
      <c r="AH945" s="166" t="str">
        <f t="shared" si="385"/>
        <v/>
      </c>
      <c r="AI945" s="168" t="str">
        <f t="shared" si="370"/>
        <v/>
      </c>
      <c r="AJ945" s="168" t="str">
        <f t="shared" si="371"/>
        <v/>
      </c>
      <c r="AK945" s="168" t="str">
        <f t="shared" si="372"/>
        <v/>
      </c>
      <c r="AL945" s="168" t="str">
        <f t="shared" si="373"/>
        <v/>
      </c>
      <c r="AM945" s="168" t="str">
        <f t="shared" si="374"/>
        <v/>
      </c>
      <c r="AN945" s="167" t="str">
        <f t="shared" si="357"/>
        <v/>
      </c>
      <c r="AO945" s="167" t="str">
        <f t="shared" si="358"/>
        <v/>
      </c>
      <c r="AP945" s="167" t="str">
        <f t="shared" si="359"/>
        <v/>
      </c>
      <c r="AQ945" s="169" t="str">
        <f t="shared" si="360"/>
        <v/>
      </c>
      <c r="AR945" s="170" t="str">
        <f t="shared" si="361"/>
        <v>BiK82X2KA3--05</v>
      </c>
      <c r="AS945" s="169" t="str">
        <f t="shared" si="362"/>
        <v/>
      </c>
      <c r="AT945">
        <f t="shared" si="363"/>
        <v>14</v>
      </c>
      <c r="AU945" s="170" t="str">
        <f t="shared" si="364"/>
        <v>0,15-0,5 MW, Bonusregeln X2 und K wenn Anlage 3 erfüllt</v>
      </c>
      <c r="AV945" s="169" t="str">
        <f t="shared" si="365"/>
        <v/>
      </c>
      <c r="AW945" s="170" t="str">
        <f t="shared" si="366"/>
        <v>Anteil KWK gemäß Anlage 3</v>
      </c>
      <c r="AX945" s="169" t="str">
        <f t="shared" si="367"/>
        <v/>
      </c>
      <c r="AY945" t="str">
        <f t="shared" si="368"/>
        <v/>
      </c>
      <c r="AZ945" t="str">
        <f t="shared" si="369"/>
        <v/>
      </c>
    </row>
    <row r="946" spans="1:52" x14ac:dyDescent="0.35">
      <c r="A946" s="497" t="s">
        <v>2481</v>
      </c>
      <c r="B946" s="13" t="s">
        <v>5547</v>
      </c>
      <c r="C946" s="13" t="s">
        <v>1288</v>
      </c>
      <c r="D946" s="13" t="s">
        <v>7067</v>
      </c>
      <c r="E946" s="13" t="s">
        <v>674</v>
      </c>
      <c r="F946" s="373">
        <f t="shared" si="376"/>
        <v>22.75</v>
      </c>
      <c r="G946" s="430">
        <v>22.75</v>
      </c>
      <c r="H946" s="399">
        <f t="shared" si="377"/>
        <v>18.2</v>
      </c>
      <c r="I946" s="576"/>
      <c r="J946" s="549" t="s">
        <v>5804</v>
      </c>
      <c r="K946" s="11"/>
      <c r="M946" s="37">
        <f t="shared" si="378"/>
        <v>22.75</v>
      </c>
      <c r="N946" s="29">
        <v>9.75</v>
      </c>
      <c r="O946" s="149"/>
      <c r="P946" s="144"/>
      <c r="Q946" s="145" t="s">
        <v>1017</v>
      </c>
      <c r="R946" s="145"/>
      <c r="S946" s="145" t="s">
        <v>4179</v>
      </c>
      <c r="T946" t="s">
        <v>4179</v>
      </c>
      <c r="U946" s="146"/>
      <c r="V946" s="145"/>
      <c r="W946" s="147"/>
      <c r="X946" s="147"/>
      <c r="Y946" s="145"/>
      <c r="Z946" s="147"/>
      <c r="AA946" s="145"/>
      <c r="AB946" s="145"/>
      <c r="AC946" s="147"/>
      <c r="AD946" s="145" t="s">
        <v>1017</v>
      </c>
      <c r="AE946" s="148"/>
      <c r="AF946" s="147"/>
      <c r="AG946" s="147"/>
      <c r="AH946" s="166" t="str">
        <f t="shared" si="385"/>
        <v/>
      </c>
      <c r="AI946" s="168" t="str">
        <f t="shared" si="370"/>
        <v/>
      </c>
      <c r="AJ946" s="168" t="str">
        <f t="shared" si="371"/>
        <v/>
      </c>
      <c r="AK946" s="168" t="str">
        <f t="shared" si="372"/>
        <v/>
      </c>
      <c r="AL946" s="168" t="str">
        <f t="shared" si="373"/>
        <v/>
      </c>
      <c r="AM946" s="168" t="str">
        <f t="shared" si="374"/>
        <v/>
      </c>
      <c r="AN946" s="167" t="str">
        <f t="shared" si="357"/>
        <v/>
      </c>
      <c r="AO946" s="167" t="str">
        <f t="shared" si="358"/>
        <v/>
      </c>
      <c r="AP946" s="167" t="str">
        <f t="shared" si="359"/>
        <v/>
      </c>
      <c r="AQ946" s="169" t="str">
        <f t="shared" si="360"/>
        <v/>
      </c>
      <c r="AR946" s="170" t="str">
        <f t="shared" si="361"/>
        <v>BiK82X2K09--05</v>
      </c>
      <c r="AS946" s="169" t="str">
        <f t="shared" si="362"/>
        <v/>
      </c>
      <c r="AT946">
        <f t="shared" si="363"/>
        <v>14</v>
      </c>
      <c r="AU946" s="170" t="str">
        <f t="shared" si="364"/>
        <v>0,15-0,5 MW, Bonusregeln X2 und K erstmals 2009</v>
      </c>
      <c r="AV946" s="169" t="str">
        <f t="shared" si="365"/>
        <v/>
      </c>
      <c r="AW946" s="170" t="str">
        <f t="shared" si="366"/>
        <v>Anteil KWK, erstmals 2009</v>
      </c>
      <c r="AX946" s="169" t="str">
        <f t="shared" si="367"/>
        <v/>
      </c>
      <c r="AY946" t="str">
        <f t="shared" si="368"/>
        <v/>
      </c>
      <c r="AZ946" t="str">
        <f t="shared" si="369"/>
        <v/>
      </c>
    </row>
    <row r="947" spans="1:52" x14ac:dyDescent="0.35">
      <c r="A947" s="497" t="s">
        <v>3601</v>
      </c>
      <c r="B947" s="13" t="s">
        <v>5547</v>
      </c>
      <c r="C947" s="13" t="s">
        <v>1288</v>
      </c>
      <c r="D947" s="13" t="s">
        <v>7068</v>
      </c>
      <c r="E947" s="13" t="s">
        <v>3566</v>
      </c>
      <c r="F947" s="373">
        <f t="shared" si="376"/>
        <v>22.72</v>
      </c>
      <c r="G947" s="430">
        <v>22.72</v>
      </c>
      <c r="H947" s="399">
        <f t="shared" si="377"/>
        <v>18.18</v>
      </c>
      <c r="I947" s="576"/>
      <c r="J947" s="549" t="s">
        <v>5804</v>
      </c>
      <c r="K947" s="11"/>
      <c r="M947" s="37">
        <f t="shared" si="378"/>
        <v>22.72</v>
      </c>
      <c r="N947" s="29">
        <v>9.75</v>
      </c>
      <c r="O947" s="149"/>
      <c r="P947" s="144"/>
      <c r="Q947" s="145"/>
      <c r="R947" s="145" t="s">
        <v>1017</v>
      </c>
      <c r="S947" s="145" t="s">
        <v>4179</v>
      </c>
      <c r="T947" t="s">
        <v>4179</v>
      </c>
      <c r="U947" s="146"/>
      <c r="V947" s="145"/>
      <c r="W947" s="147"/>
      <c r="X947" s="147"/>
      <c r="Y947" s="145"/>
      <c r="Z947" s="147"/>
      <c r="AA947" s="145"/>
      <c r="AB947" s="145"/>
      <c r="AC947" s="147"/>
      <c r="AD947" s="145" t="s">
        <v>1017</v>
      </c>
      <c r="AE947" s="148"/>
      <c r="AF947" s="147"/>
      <c r="AG947" s="147"/>
      <c r="AH947" s="166" t="str">
        <f t="shared" si="385"/>
        <v>2010</v>
      </c>
      <c r="AI947" s="168" t="str">
        <f t="shared" si="370"/>
        <v/>
      </c>
      <c r="AJ947" s="168" t="str">
        <f t="shared" si="371"/>
        <v/>
      </c>
      <c r="AK947" s="168" t="str">
        <f t="shared" si="372"/>
        <v/>
      </c>
      <c r="AL947" s="168" t="str">
        <f t="shared" si="373"/>
        <v/>
      </c>
      <c r="AM947" s="168" t="str">
        <f t="shared" si="374"/>
        <v/>
      </c>
      <c r="AN947" s="167" t="str">
        <f t="shared" si="357"/>
        <v>2010</v>
      </c>
      <c r="AO947" s="167" t="str">
        <f t="shared" si="358"/>
        <v>2010</v>
      </c>
      <c r="AP947" s="167" t="str">
        <f t="shared" si="359"/>
        <v>2010</v>
      </c>
      <c r="AQ947" s="169" t="str">
        <f t="shared" si="360"/>
        <v/>
      </c>
      <c r="AR947" s="170" t="str">
        <f t="shared" si="361"/>
        <v>BiK82X2K10--05</v>
      </c>
      <c r="AS947" s="169" t="str">
        <f t="shared" si="362"/>
        <v/>
      </c>
      <c r="AT947">
        <f t="shared" si="363"/>
        <v>14</v>
      </c>
      <c r="AU947" s="170" t="str">
        <f t="shared" si="364"/>
        <v>0,15-0,5 MW, Bonusregeln X2 und K erstmals 2010</v>
      </c>
      <c r="AV947" s="169" t="str">
        <f t="shared" si="365"/>
        <v/>
      </c>
      <c r="AW947" s="170" t="str">
        <f t="shared" si="366"/>
        <v>Anteil KWK, erstmals 2010</v>
      </c>
      <c r="AX947" s="169" t="str">
        <f t="shared" si="367"/>
        <v/>
      </c>
      <c r="AY947" t="str">
        <f t="shared" si="368"/>
        <v/>
      </c>
      <c r="AZ947" t="str">
        <f t="shared" si="369"/>
        <v/>
      </c>
    </row>
    <row r="948" spans="1:52" x14ac:dyDescent="0.35">
      <c r="A948" s="497" t="s">
        <v>5332</v>
      </c>
      <c r="B948" s="13" t="s">
        <v>5547</v>
      </c>
      <c r="C948" s="13" t="s">
        <v>1288</v>
      </c>
      <c r="D948" s="13" t="s">
        <v>7069</v>
      </c>
      <c r="E948" s="13" t="s">
        <v>3054</v>
      </c>
      <c r="F948" s="373">
        <f t="shared" si="376"/>
        <v>22.689999999999998</v>
      </c>
      <c r="G948" s="430">
        <v>22.689999999999998</v>
      </c>
      <c r="H948" s="399">
        <f t="shared" si="377"/>
        <v>18.149999999999999</v>
      </c>
      <c r="I948" s="576"/>
      <c r="J948" s="549" t="s">
        <v>5804</v>
      </c>
      <c r="K948" s="11"/>
      <c r="M948" s="37">
        <f t="shared" si="378"/>
        <v>22.689999999999998</v>
      </c>
      <c r="N948" s="29">
        <v>9.75</v>
      </c>
      <c r="O948" s="149"/>
      <c r="P948" s="144"/>
      <c r="Q948" s="145"/>
      <c r="R948" s="145"/>
      <c r="S948" s="145" t="s">
        <v>1017</v>
      </c>
      <c r="T948" t="s">
        <v>4179</v>
      </c>
      <c r="U948" s="146"/>
      <c r="V948" s="145"/>
      <c r="W948" s="147"/>
      <c r="X948" s="147"/>
      <c r="Y948" s="145"/>
      <c r="Z948" s="147"/>
      <c r="AA948" s="145"/>
      <c r="AB948" s="145"/>
      <c r="AC948" s="147"/>
      <c r="AD948" s="145" t="s">
        <v>1017</v>
      </c>
      <c r="AE948" s="148"/>
      <c r="AF948" s="147"/>
      <c r="AG948" s="147"/>
      <c r="AH948" s="166" t="str">
        <f t="shared" si="385"/>
        <v>2011</v>
      </c>
      <c r="AI948" s="168" t="str">
        <f t="shared" si="370"/>
        <v/>
      </c>
      <c r="AJ948" s="168" t="str">
        <f t="shared" si="371"/>
        <v/>
      </c>
      <c r="AK948" s="168" t="str">
        <f t="shared" si="372"/>
        <v/>
      </c>
      <c r="AL948" s="168" t="str">
        <f t="shared" si="373"/>
        <v/>
      </c>
      <c r="AM948" s="168" t="str">
        <f t="shared" si="374"/>
        <v/>
      </c>
      <c r="AN948" s="167" t="str">
        <f t="shared" si="357"/>
        <v>2011</v>
      </c>
      <c r="AO948" s="167" t="str">
        <f t="shared" si="358"/>
        <v>2011</v>
      </c>
      <c r="AP948" s="167" t="str">
        <f t="shared" si="359"/>
        <v>2011</v>
      </c>
      <c r="AQ948" s="169" t="str">
        <f t="shared" si="360"/>
        <v/>
      </c>
      <c r="AR948" s="170" t="str">
        <f t="shared" si="361"/>
        <v>BiK82X2K11--05</v>
      </c>
      <c r="AS948" s="169" t="str">
        <f t="shared" si="362"/>
        <v/>
      </c>
      <c r="AT948">
        <f t="shared" si="363"/>
        <v>14</v>
      </c>
      <c r="AU948" s="170" t="str">
        <f t="shared" si="364"/>
        <v>0,15-0,5 MW, Bonusregeln X2 und K erstmals 2011</v>
      </c>
      <c r="AV948" s="169" t="str">
        <f t="shared" si="365"/>
        <v/>
      </c>
      <c r="AW948" s="170" t="str">
        <f t="shared" si="366"/>
        <v>Anteil KWK, erstmals 2011</v>
      </c>
      <c r="AX948" s="169" t="str">
        <f t="shared" si="367"/>
        <v/>
      </c>
      <c r="AY948" t="str">
        <f t="shared" si="368"/>
        <v>x</v>
      </c>
      <c r="AZ948" t="str">
        <f t="shared" si="369"/>
        <v/>
      </c>
    </row>
    <row r="949" spans="1:52" x14ac:dyDescent="0.35">
      <c r="A949" s="511" t="s">
        <v>1583</v>
      </c>
      <c r="B949" s="173" t="s">
        <v>5547</v>
      </c>
      <c r="C949" s="173" t="s">
        <v>1288</v>
      </c>
      <c r="D949" s="173" t="s">
        <v>7070</v>
      </c>
      <c r="E949" s="173" t="s">
        <v>1980</v>
      </c>
      <c r="F949" s="374">
        <f t="shared" si="376"/>
        <v>22.66</v>
      </c>
      <c r="G949" s="431">
        <v>22.66</v>
      </c>
      <c r="H949" s="400">
        <f t="shared" si="377"/>
        <v>18.13</v>
      </c>
      <c r="I949" s="577"/>
      <c r="J949" s="549" t="s">
        <v>5804</v>
      </c>
      <c r="K949" s="11"/>
      <c r="M949" s="37">
        <f t="shared" si="378"/>
        <v>22.66</v>
      </c>
      <c r="N949" s="29">
        <v>9.75</v>
      </c>
      <c r="O949" s="149"/>
      <c r="P949" s="144"/>
      <c r="Q949" s="145"/>
      <c r="R949" s="145"/>
      <c r="S949" s="145" t="s">
        <v>4179</v>
      </c>
      <c r="T949" t="s">
        <v>1017</v>
      </c>
      <c r="U949" s="146"/>
      <c r="V949" s="145"/>
      <c r="W949" s="147"/>
      <c r="X949" s="147"/>
      <c r="Y949" s="145"/>
      <c r="Z949" s="147"/>
      <c r="AA949" s="145"/>
      <c r="AB949" s="145"/>
      <c r="AC949" s="147"/>
      <c r="AD949" s="145" t="s">
        <v>1017</v>
      </c>
      <c r="AE949" s="148"/>
      <c r="AF949" s="147"/>
      <c r="AG949" s="147"/>
      <c r="AH949" s="171" t="s">
        <v>4178</v>
      </c>
      <c r="AI949" s="168" t="str">
        <f t="shared" si="370"/>
        <v/>
      </c>
      <c r="AJ949" s="168" t="str">
        <f t="shared" si="371"/>
        <v/>
      </c>
      <c r="AK949" s="168" t="str">
        <f t="shared" si="372"/>
        <v/>
      </c>
      <c r="AL949" s="168" t="str">
        <f t="shared" si="373"/>
        <v/>
      </c>
      <c r="AM949" s="168" t="str">
        <f t="shared" si="374"/>
        <v/>
      </c>
      <c r="AN949" s="167" t="str">
        <f t="shared" si="357"/>
        <v>2012</v>
      </c>
      <c r="AO949" s="167" t="str">
        <f t="shared" si="358"/>
        <v>2012</v>
      </c>
      <c r="AP949" s="167" t="str">
        <f t="shared" si="359"/>
        <v>2012</v>
      </c>
      <c r="AQ949" s="169" t="str">
        <f t="shared" si="360"/>
        <v/>
      </c>
      <c r="AR949" s="170" t="str">
        <f t="shared" si="361"/>
        <v>BiK82X2K12--05</v>
      </c>
      <c r="AS949" s="169" t="str">
        <f t="shared" si="362"/>
        <v/>
      </c>
      <c r="AT949">
        <f t="shared" si="363"/>
        <v>14</v>
      </c>
      <c r="AU949" s="170" t="str">
        <f t="shared" si="364"/>
        <v>0,15-0,5 MW, Bonusregeln X2 und K erstmals 2012</v>
      </c>
      <c r="AV949" s="169" t="str">
        <f t="shared" si="365"/>
        <v/>
      </c>
      <c r="AW949" s="170" t="str">
        <f t="shared" si="366"/>
        <v>Anteil KWK, erstmals 2012</v>
      </c>
      <c r="AX949" s="169" t="str">
        <f t="shared" si="367"/>
        <v/>
      </c>
      <c r="AY949" t="str">
        <f t="shared" si="368"/>
        <v/>
      </c>
      <c r="AZ949" t="str">
        <f t="shared" si="369"/>
        <v>x</v>
      </c>
    </row>
    <row r="950" spans="1:52" x14ac:dyDescent="0.35">
      <c r="A950" s="497" t="s">
        <v>2482</v>
      </c>
      <c r="B950" s="13" t="s">
        <v>5547</v>
      </c>
      <c r="C950" s="13" t="s">
        <v>1288</v>
      </c>
      <c r="D950" s="13" t="s">
        <v>7071</v>
      </c>
      <c r="E950" s="13" t="s">
        <v>4809</v>
      </c>
      <c r="F950" s="373">
        <f t="shared" si="376"/>
        <v>20.75</v>
      </c>
      <c r="G950" s="430">
        <v>20.75</v>
      </c>
      <c r="H950" s="399">
        <f t="shared" si="377"/>
        <v>16.600000000000001</v>
      </c>
      <c r="I950" s="576"/>
      <c r="J950" s="549" t="s">
        <v>5804</v>
      </c>
      <c r="K950" s="11"/>
      <c r="M950" s="37">
        <f t="shared" si="378"/>
        <v>20.75</v>
      </c>
      <c r="N950" s="29">
        <v>9.75</v>
      </c>
      <c r="O950" s="149"/>
      <c r="P950" s="144"/>
      <c r="Q950" s="145"/>
      <c r="R950" s="145"/>
      <c r="S950" s="145" t="s">
        <v>4179</v>
      </c>
      <c r="T950" t="s">
        <v>4179</v>
      </c>
      <c r="U950" s="146" t="s">
        <v>1017</v>
      </c>
      <c r="V950" s="145"/>
      <c r="W950" s="147"/>
      <c r="X950" s="147"/>
      <c r="Y950" s="145"/>
      <c r="Z950" s="147"/>
      <c r="AA950" s="145"/>
      <c r="AB950" s="145"/>
      <c r="AC950" s="147"/>
      <c r="AD950" s="145" t="s">
        <v>1017</v>
      </c>
      <c r="AE950" s="148"/>
      <c r="AF950" s="147"/>
      <c r="AG950" s="147"/>
      <c r="AH950" s="166" t="str">
        <f t="shared" ref="AH950:AH955" si="386">IF(ISERROR(SEARCH("K erstmals 201",D950)),"",RIGHT(D950,4))</f>
        <v/>
      </c>
      <c r="AI950" s="168" t="str">
        <f t="shared" si="370"/>
        <v/>
      </c>
      <c r="AJ950" s="168" t="str">
        <f t="shared" si="371"/>
        <v/>
      </c>
      <c r="AK950" s="168" t="str">
        <f t="shared" si="372"/>
        <v/>
      </c>
      <c r="AL950" s="168" t="str">
        <f t="shared" si="373"/>
        <v/>
      </c>
      <c r="AM950" s="168" t="str">
        <f t="shared" si="374"/>
        <v/>
      </c>
      <c r="AN950" s="167" t="str">
        <f t="shared" si="357"/>
        <v/>
      </c>
      <c r="AO950" s="167" t="str">
        <f t="shared" si="358"/>
        <v/>
      </c>
      <c r="AP950" s="167" t="str">
        <f t="shared" si="359"/>
        <v/>
      </c>
      <c r="AQ950" s="169" t="str">
        <f t="shared" si="360"/>
        <v/>
      </c>
      <c r="AR950" s="170" t="str">
        <f t="shared" si="361"/>
        <v>BiK82X2y----05</v>
      </c>
      <c r="AS950" s="169" t="str">
        <f t="shared" si="362"/>
        <v/>
      </c>
      <c r="AT950">
        <f t="shared" si="363"/>
        <v>14</v>
      </c>
      <c r="AU950" s="170" t="str">
        <f t="shared" si="364"/>
        <v>0,15-0,5 MW, Bonusregeln X2, y</v>
      </c>
      <c r="AV950" s="169" t="str">
        <f t="shared" si="365"/>
        <v/>
      </c>
      <c r="AW950" s="170" t="str">
        <f t="shared" si="366"/>
        <v>Anteil Nicht-KWK</v>
      </c>
      <c r="AX950" s="169" t="str">
        <f t="shared" si="367"/>
        <v/>
      </c>
      <c r="AY950" t="str">
        <f t="shared" si="368"/>
        <v/>
      </c>
      <c r="AZ950" t="str">
        <f t="shared" si="369"/>
        <v/>
      </c>
    </row>
    <row r="951" spans="1:52" x14ac:dyDescent="0.35">
      <c r="A951" s="497" t="s">
        <v>2483</v>
      </c>
      <c r="B951" s="13" t="s">
        <v>5547</v>
      </c>
      <c r="C951" s="13" t="s">
        <v>1288</v>
      </c>
      <c r="D951" s="13" t="s">
        <v>7124</v>
      </c>
      <c r="E951" s="13" t="s">
        <v>4811</v>
      </c>
      <c r="F951" s="373">
        <f t="shared" si="376"/>
        <v>22.75</v>
      </c>
      <c r="G951" s="430">
        <v>22.75</v>
      </c>
      <c r="H951" s="399">
        <f t="shared" si="377"/>
        <v>18.2</v>
      </c>
      <c r="I951" s="576"/>
      <c r="J951" s="549" t="s">
        <v>5804</v>
      </c>
      <c r="K951" s="11"/>
      <c r="M951" s="37">
        <f t="shared" si="378"/>
        <v>22.75</v>
      </c>
      <c r="N951" s="29">
        <v>9.75</v>
      </c>
      <c r="O951" s="149" t="s">
        <v>1017</v>
      </c>
      <c r="P951" s="144"/>
      <c r="Q951" s="145"/>
      <c r="R951" s="145"/>
      <c r="S951" s="145" t="s">
        <v>4179</v>
      </c>
      <c r="T951" t="s">
        <v>4179</v>
      </c>
      <c r="U951" s="146" t="s">
        <v>1017</v>
      </c>
      <c r="V951" s="145"/>
      <c r="W951" s="147"/>
      <c r="X951" s="147"/>
      <c r="Y951" s="145"/>
      <c r="Z951" s="147"/>
      <c r="AA951" s="145"/>
      <c r="AB951" s="145"/>
      <c r="AC951" s="147"/>
      <c r="AD951" s="145" t="s">
        <v>1017</v>
      </c>
      <c r="AE951" s="148"/>
      <c r="AF951" s="147"/>
      <c r="AG951" s="147"/>
      <c r="AH951" s="166" t="str">
        <f t="shared" si="386"/>
        <v/>
      </c>
      <c r="AI951" s="168" t="str">
        <f t="shared" si="370"/>
        <v/>
      </c>
      <c r="AJ951" s="168" t="str">
        <f t="shared" si="371"/>
        <v/>
      </c>
      <c r="AK951" s="168" t="str">
        <f t="shared" si="372"/>
        <v/>
      </c>
      <c r="AL951" s="168" t="str">
        <f t="shared" si="373"/>
        <v/>
      </c>
      <c r="AM951" s="168" t="str">
        <f t="shared" si="374"/>
        <v/>
      </c>
      <c r="AN951" s="167" t="str">
        <f t="shared" si="357"/>
        <v/>
      </c>
      <c r="AO951" s="167" t="str">
        <f t="shared" si="358"/>
        <v/>
      </c>
      <c r="AP951" s="167" t="str">
        <f t="shared" si="359"/>
        <v/>
      </c>
      <c r="AQ951" s="169" t="str">
        <f t="shared" si="360"/>
        <v/>
      </c>
      <c r="AR951" s="170" t="str">
        <f t="shared" si="361"/>
        <v>BiK82X2KWKy-05</v>
      </c>
      <c r="AS951" s="169" t="str">
        <f t="shared" si="362"/>
        <v/>
      </c>
      <c r="AT951">
        <f t="shared" si="363"/>
        <v>14</v>
      </c>
      <c r="AU951" s="170" t="str">
        <f t="shared" si="364"/>
        <v>0,15-0,5 MW, Bonusregeln X2, y und KWK</v>
      </c>
      <c r="AV951" s="169" t="str">
        <f t="shared" si="365"/>
        <v/>
      </c>
      <c r="AW951" s="170" t="str">
        <f t="shared" si="366"/>
        <v>Anteil KWK</v>
      </c>
      <c r="AX951" s="169" t="str">
        <f t="shared" si="367"/>
        <v/>
      </c>
      <c r="AY951" t="str">
        <f t="shared" si="368"/>
        <v/>
      </c>
      <c r="AZ951" t="str">
        <f t="shared" si="369"/>
        <v/>
      </c>
    </row>
    <row r="952" spans="1:52" x14ac:dyDescent="0.35">
      <c r="A952" s="497" t="s">
        <v>2484</v>
      </c>
      <c r="B952" s="13" t="s">
        <v>5547</v>
      </c>
      <c r="C952" s="13" t="s">
        <v>1288</v>
      </c>
      <c r="D952" s="88" t="s">
        <v>7072</v>
      </c>
      <c r="E952" s="13" t="s">
        <v>4330</v>
      </c>
      <c r="F952" s="373">
        <f t="shared" si="376"/>
        <v>23.75</v>
      </c>
      <c r="G952" s="430">
        <v>23.75</v>
      </c>
      <c r="H952" s="399">
        <f t="shared" si="377"/>
        <v>19</v>
      </c>
      <c r="I952" s="576"/>
      <c r="J952" s="549" t="s">
        <v>5804</v>
      </c>
      <c r="K952" s="11"/>
      <c r="M952" s="37">
        <f t="shared" si="378"/>
        <v>23.75</v>
      </c>
      <c r="N952" s="29">
        <v>9.75</v>
      </c>
      <c r="O952" s="149"/>
      <c r="P952" s="145" t="s">
        <v>1017</v>
      </c>
      <c r="Q952" s="145"/>
      <c r="R952" s="145"/>
      <c r="S952" s="145" t="s">
        <v>4179</v>
      </c>
      <c r="T952" t="s">
        <v>4179</v>
      </c>
      <c r="U952" s="146" t="s">
        <v>1017</v>
      </c>
      <c r="V952" s="145"/>
      <c r="W952" s="147"/>
      <c r="X952" s="147"/>
      <c r="Y952" s="145"/>
      <c r="Z952" s="147"/>
      <c r="AA952" s="145"/>
      <c r="AB952" s="145"/>
      <c r="AC952" s="147"/>
      <c r="AD952" s="145" t="s">
        <v>1017</v>
      </c>
      <c r="AE952" s="148"/>
      <c r="AF952" s="147"/>
      <c r="AG952" s="147"/>
      <c r="AH952" s="166" t="str">
        <f t="shared" si="386"/>
        <v/>
      </c>
      <c r="AI952" s="168" t="str">
        <f t="shared" si="370"/>
        <v/>
      </c>
      <c r="AJ952" s="168" t="str">
        <f t="shared" si="371"/>
        <v/>
      </c>
      <c r="AK952" s="168" t="str">
        <f t="shared" si="372"/>
        <v/>
      </c>
      <c r="AL952" s="168" t="str">
        <f t="shared" si="373"/>
        <v/>
      </c>
      <c r="AM952" s="168" t="str">
        <f t="shared" si="374"/>
        <v/>
      </c>
      <c r="AN952" s="167" t="str">
        <f t="shared" si="357"/>
        <v/>
      </c>
      <c r="AO952" s="167" t="str">
        <f t="shared" si="358"/>
        <v/>
      </c>
      <c r="AP952" s="167" t="str">
        <f t="shared" si="359"/>
        <v/>
      </c>
      <c r="AQ952" s="169" t="str">
        <f t="shared" si="360"/>
        <v/>
      </c>
      <c r="AR952" s="170" t="str">
        <f t="shared" si="361"/>
        <v>BiK82X2KA3y-05</v>
      </c>
      <c r="AS952" s="169" t="str">
        <f t="shared" si="362"/>
        <v/>
      </c>
      <c r="AT952">
        <f t="shared" si="363"/>
        <v>14</v>
      </c>
      <c r="AU952" s="170" t="str">
        <f t="shared" si="364"/>
        <v>0,15-0,5 MW, Bonusregeln X2, y und K wenn Anlage 3 erfüllt</v>
      </c>
      <c r="AV952" s="169" t="str">
        <f t="shared" si="365"/>
        <v/>
      </c>
      <c r="AW952" s="170" t="str">
        <f t="shared" si="366"/>
        <v>Anteil KWK gemäß Anlage 3</v>
      </c>
      <c r="AX952" s="169" t="str">
        <f t="shared" si="367"/>
        <v/>
      </c>
      <c r="AY952" t="str">
        <f t="shared" si="368"/>
        <v/>
      </c>
      <c r="AZ952" t="str">
        <f t="shared" si="369"/>
        <v/>
      </c>
    </row>
    <row r="953" spans="1:52" x14ac:dyDescent="0.35">
      <c r="A953" s="497" t="s">
        <v>2485</v>
      </c>
      <c r="B953" s="13" t="s">
        <v>5547</v>
      </c>
      <c r="C953" s="13" t="s">
        <v>1288</v>
      </c>
      <c r="D953" s="13" t="s">
        <v>7073</v>
      </c>
      <c r="E953" s="13" t="s">
        <v>674</v>
      </c>
      <c r="F953" s="373">
        <f t="shared" si="376"/>
        <v>23.75</v>
      </c>
      <c r="G953" s="430">
        <v>23.75</v>
      </c>
      <c r="H953" s="399">
        <f t="shared" si="377"/>
        <v>19</v>
      </c>
      <c r="I953" s="576"/>
      <c r="J953" s="549" t="s">
        <v>5804</v>
      </c>
      <c r="K953" s="11"/>
      <c r="M953" s="37">
        <f t="shared" si="378"/>
        <v>23.75</v>
      </c>
      <c r="N953" s="29">
        <v>9.75</v>
      </c>
      <c r="O953" s="149"/>
      <c r="P953" s="144"/>
      <c r="Q953" s="145" t="s">
        <v>1017</v>
      </c>
      <c r="R953" s="145"/>
      <c r="S953" s="145" t="s">
        <v>4179</v>
      </c>
      <c r="T953" t="s">
        <v>4179</v>
      </c>
      <c r="U953" s="146" t="s">
        <v>1017</v>
      </c>
      <c r="V953" s="145"/>
      <c r="W953" s="147"/>
      <c r="X953" s="147"/>
      <c r="Y953" s="145"/>
      <c r="Z953" s="147"/>
      <c r="AA953" s="145"/>
      <c r="AB953" s="145"/>
      <c r="AC953" s="147"/>
      <c r="AD953" s="145" t="s">
        <v>1017</v>
      </c>
      <c r="AE953" s="148"/>
      <c r="AF953" s="147"/>
      <c r="AG953" s="147"/>
      <c r="AH953" s="166" t="str">
        <f t="shared" si="386"/>
        <v/>
      </c>
      <c r="AI953" s="168" t="str">
        <f t="shared" si="370"/>
        <v/>
      </c>
      <c r="AJ953" s="168" t="str">
        <f t="shared" si="371"/>
        <v/>
      </c>
      <c r="AK953" s="168" t="str">
        <f t="shared" si="372"/>
        <v/>
      </c>
      <c r="AL953" s="168" t="str">
        <f t="shared" si="373"/>
        <v/>
      </c>
      <c r="AM953" s="168" t="str">
        <f t="shared" si="374"/>
        <v/>
      </c>
      <c r="AN953" s="167" t="str">
        <f t="shared" si="357"/>
        <v/>
      </c>
      <c r="AO953" s="167" t="str">
        <f t="shared" si="358"/>
        <v/>
      </c>
      <c r="AP953" s="167" t="str">
        <f t="shared" si="359"/>
        <v/>
      </c>
      <c r="AQ953" s="169" t="str">
        <f t="shared" si="360"/>
        <v/>
      </c>
      <c r="AR953" s="170" t="str">
        <f t="shared" si="361"/>
        <v>BiK82X2K09y-05</v>
      </c>
      <c r="AS953" s="169" t="str">
        <f t="shared" si="362"/>
        <v/>
      </c>
      <c r="AT953">
        <f t="shared" si="363"/>
        <v>14</v>
      </c>
      <c r="AU953" s="170" t="str">
        <f t="shared" si="364"/>
        <v>0,15-0,5 MW, Bonusregeln X2, y und K erstmals 2009</v>
      </c>
      <c r="AV953" s="169" t="str">
        <f t="shared" si="365"/>
        <v/>
      </c>
      <c r="AW953" s="170" t="str">
        <f t="shared" si="366"/>
        <v>Anteil KWK, erstmals 2009</v>
      </c>
      <c r="AX953" s="169" t="str">
        <f t="shared" si="367"/>
        <v/>
      </c>
      <c r="AY953" t="str">
        <f t="shared" si="368"/>
        <v/>
      </c>
      <c r="AZ953" t="str">
        <f t="shared" si="369"/>
        <v/>
      </c>
    </row>
    <row r="954" spans="1:52" x14ac:dyDescent="0.35">
      <c r="A954" s="497" t="s">
        <v>3602</v>
      </c>
      <c r="B954" s="13" t="s">
        <v>5547</v>
      </c>
      <c r="C954" s="13" t="s">
        <v>1288</v>
      </c>
      <c r="D954" s="13" t="s">
        <v>7074</v>
      </c>
      <c r="E954" s="13" t="s">
        <v>3566</v>
      </c>
      <c r="F954" s="373">
        <f t="shared" si="376"/>
        <v>23.72</v>
      </c>
      <c r="G954" s="430">
        <v>23.72</v>
      </c>
      <c r="H954" s="399">
        <f t="shared" si="377"/>
        <v>18.98</v>
      </c>
      <c r="I954" s="576"/>
      <c r="J954" s="549" t="s">
        <v>5804</v>
      </c>
      <c r="K954" s="11"/>
      <c r="M954" s="37">
        <f t="shared" si="378"/>
        <v>23.72</v>
      </c>
      <c r="N954" s="29">
        <v>9.75</v>
      </c>
      <c r="O954" s="149"/>
      <c r="P954" s="144"/>
      <c r="Q954" s="145"/>
      <c r="R954" s="145" t="s">
        <v>1017</v>
      </c>
      <c r="S954" s="145" t="s">
        <v>4179</v>
      </c>
      <c r="T954" t="s">
        <v>4179</v>
      </c>
      <c r="U954" s="146" t="s">
        <v>1017</v>
      </c>
      <c r="V954" s="145"/>
      <c r="W954" s="147"/>
      <c r="X954" s="147"/>
      <c r="Y954" s="145"/>
      <c r="Z954" s="147"/>
      <c r="AA954" s="145"/>
      <c r="AB954" s="145"/>
      <c r="AC954" s="147"/>
      <c r="AD954" s="145" t="s">
        <v>1017</v>
      </c>
      <c r="AE954" s="148"/>
      <c r="AF954" s="147"/>
      <c r="AG954" s="147"/>
      <c r="AH954" s="166" t="str">
        <f t="shared" si="386"/>
        <v>2010</v>
      </c>
      <c r="AI954" s="168" t="str">
        <f t="shared" si="370"/>
        <v/>
      </c>
      <c r="AJ954" s="168" t="str">
        <f t="shared" si="371"/>
        <v/>
      </c>
      <c r="AK954" s="168" t="str">
        <f t="shared" si="372"/>
        <v/>
      </c>
      <c r="AL954" s="168" t="str">
        <f t="shared" si="373"/>
        <v/>
      </c>
      <c r="AM954" s="168" t="str">
        <f t="shared" si="374"/>
        <v/>
      </c>
      <c r="AN954" s="167" t="str">
        <f t="shared" si="357"/>
        <v>2010</v>
      </c>
      <c r="AO954" s="167" t="str">
        <f t="shared" si="358"/>
        <v>2010</v>
      </c>
      <c r="AP954" s="167" t="str">
        <f t="shared" si="359"/>
        <v>2010</v>
      </c>
      <c r="AQ954" s="169" t="str">
        <f t="shared" si="360"/>
        <v/>
      </c>
      <c r="AR954" s="170" t="str">
        <f t="shared" si="361"/>
        <v>BiK82X2K10y-05</v>
      </c>
      <c r="AS954" s="169" t="str">
        <f t="shared" si="362"/>
        <v/>
      </c>
      <c r="AT954">
        <f t="shared" si="363"/>
        <v>14</v>
      </c>
      <c r="AU954" s="170" t="str">
        <f t="shared" si="364"/>
        <v>0,15-0,5 MW, Bonusregeln X2, y und K erstmals 2010</v>
      </c>
      <c r="AV954" s="169" t="str">
        <f t="shared" si="365"/>
        <v/>
      </c>
      <c r="AW954" s="170" t="str">
        <f t="shared" si="366"/>
        <v>Anteil KWK, erstmals 2010</v>
      </c>
      <c r="AX954" s="169" t="str">
        <f t="shared" si="367"/>
        <v/>
      </c>
      <c r="AY954" t="str">
        <f t="shared" si="368"/>
        <v/>
      </c>
      <c r="AZ954" t="str">
        <f t="shared" si="369"/>
        <v/>
      </c>
    </row>
    <row r="955" spans="1:52" x14ac:dyDescent="0.35">
      <c r="A955" s="497" t="s">
        <v>5333</v>
      </c>
      <c r="B955" s="13" t="s">
        <v>5547</v>
      </c>
      <c r="C955" s="13" t="s">
        <v>1288</v>
      </c>
      <c r="D955" s="13" t="s">
        <v>7075</v>
      </c>
      <c r="E955" s="13" t="s">
        <v>3054</v>
      </c>
      <c r="F955" s="373">
        <f t="shared" si="376"/>
        <v>23.689999999999998</v>
      </c>
      <c r="G955" s="430">
        <v>23.689999999999998</v>
      </c>
      <c r="H955" s="399">
        <f t="shared" si="377"/>
        <v>18.95</v>
      </c>
      <c r="I955" s="576"/>
      <c r="J955" s="549" t="s">
        <v>5804</v>
      </c>
      <c r="K955" s="11"/>
      <c r="M955" s="37">
        <f t="shared" si="378"/>
        <v>23.689999999999998</v>
      </c>
      <c r="N955" s="29">
        <v>9.75</v>
      </c>
      <c r="O955" s="149"/>
      <c r="P955" s="144"/>
      <c r="Q955" s="145"/>
      <c r="R955" s="145"/>
      <c r="S955" s="145" t="s">
        <v>1017</v>
      </c>
      <c r="T955" t="s">
        <v>4179</v>
      </c>
      <c r="U955" s="146" t="s">
        <v>1017</v>
      </c>
      <c r="V955" s="145"/>
      <c r="W955" s="147"/>
      <c r="X955" s="147"/>
      <c r="Y955" s="145"/>
      <c r="Z955" s="147"/>
      <c r="AA955" s="145"/>
      <c r="AB955" s="145"/>
      <c r="AC955" s="147"/>
      <c r="AD955" s="145" t="s">
        <v>1017</v>
      </c>
      <c r="AE955" s="148"/>
      <c r="AF955" s="147"/>
      <c r="AG955" s="147"/>
      <c r="AH955" s="166" t="str">
        <f t="shared" si="386"/>
        <v>2011</v>
      </c>
      <c r="AI955" s="168" t="str">
        <f t="shared" si="370"/>
        <v/>
      </c>
      <c r="AJ955" s="168" t="str">
        <f t="shared" si="371"/>
        <v/>
      </c>
      <c r="AK955" s="168" t="str">
        <f t="shared" si="372"/>
        <v/>
      </c>
      <c r="AL955" s="168" t="str">
        <f t="shared" si="373"/>
        <v/>
      </c>
      <c r="AM955" s="168" t="str">
        <f t="shared" si="374"/>
        <v/>
      </c>
      <c r="AN955" s="167" t="str">
        <f t="shared" si="357"/>
        <v>2011</v>
      </c>
      <c r="AO955" s="167" t="str">
        <f t="shared" si="358"/>
        <v>2011</v>
      </c>
      <c r="AP955" s="167" t="str">
        <f t="shared" si="359"/>
        <v>2011</v>
      </c>
      <c r="AQ955" s="169" t="str">
        <f t="shared" si="360"/>
        <v/>
      </c>
      <c r="AR955" s="170" t="str">
        <f t="shared" si="361"/>
        <v>BiK82X2K11y-05</v>
      </c>
      <c r="AS955" s="169" t="str">
        <f t="shared" si="362"/>
        <v/>
      </c>
      <c r="AT955">
        <f t="shared" si="363"/>
        <v>14</v>
      </c>
      <c r="AU955" s="170" t="str">
        <f t="shared" si="364"/>
        <v>0,15-0,5 MW, Bonusregeln X2, y und K erstmals 2011</v>
      </c>
      <c r="AV955" s="169" t="str">
        <f t="shared" si="365"/>
        <v/>
      </c>
      <c r="AW955" s="170" t="str">
        <f t="shared" si="366"/>
        <v>Anteil KWK, erstmals 2011</v>
      </c>
      <c r="AX955" s="169" t="str">
        <f t="shared" si="367"/>
        <v/>
      </c>
      <c r="AY955" t="str">
        <f t="shared" si="368"/>
        <v>x</v>
      </c>
      <c r="AZ955" t="str">
        <f t="shared" si="369"/>
        <v/>
      </c>
    </row>
    <row r="956" spans="1:52" x14ac:dyDescent="0.35">
      <c r="A956" s="511" t="s">
        <v>1584</v>
      </c>
      <c r="B956" s="173" t="s">
        <v>5547</v>
      </c>
      <c r="C956" s="173" t="s">
        <v>1288</v>
      </c>
      <c r="D956" s="173" t="s">
        <v>7076</v>
      </c>
      <c r="E956" s="173" t="s">
        <v>1980</v>
      </c>
      <c r="F956" s="374">
        <f t="shared" si="376"/>
        <v>23.66</v>
      </c>
      <c r="G956" s="431">
        <v>23.66</v>
      </c>
      <c r="H956" s="400">
        <f t="shared" si="377"/>
        <v>18.93</v>
      </c>
      <c r="I956" s="577"/>
      <c r="J956" s="549" t="s">
        <v>5804</v>
      </c>
      <c r="K956" s="11"/>
      <c r="M956" s="37">
        <f t="shared" si="378"/>
        <v>23.66</v>
      </c>
      <c r="N956" s="29">
        <v>9.75</v>
      </c>
      <c r="O956" s="149"/>
      <c r="P956" s="144"/>
      <c r="Q956" s="145"/>
      <c r="R956" s="145"/>
      <c r="S956" s="145" t="s">
        <v>4179</v>
      </c>
      <c r="T956" t="s">
        <v>1017</v>
      </c>
      <c r="U956" s="146" t="s">
        <v>1017</v>
      </c>
      <c r="V956" s="145"/>
      <c r="W956" s="147"/>
      <c r="X956" s="147"/>
      <c r="Y956" s="145"/>
      <c r="Z956" s="147"/>
      <c r="AA956" s="145"/>
      <c r="AB956" s="145"/>
      <c r="AC956" s="147"/>
      <c r="AD956" s="145" t="s">
        <v>1017</v>
      </c>
      <c r="AE956" s="148"/>
      <c r="AF956" s="147"/>
      <c r="AG956" s="147"/>
      <c r="AH956" s="171" t="s">
        <v>4178</v>
      </c>
      <c r="AI956" s="168" t="str">
        <f t="shared" si="370"/>
        <v/>
      </c>
      <c r="AJ956" s="168" t="str">
        <f t="shared" si="371"/>
        <v/>
      </c>
      <c r="AK956" s="168" t="str">
        <f t="shared" si="372"/>
        <v/>
      </c>
      <c r="AL956" s="168" t="str">
        <f t="shared" si="373"/>
        <v/>
      </c>
      <c r="AM956" s="168" t="str">
        <f t="shared" si="374"/>
        <v/>
      </c>
      <c r="AN956" s="167" t="str">
        <f t="shared" ref="AN956:AN1019" si="387">IF(ISERROR(SEARCH("K1",A956)),"","20"&amp;MID(A956,SEARCH("K1",A956)+1,2))</f>
        <v>2012</v>
      </c>
      <c r="AO956" s="167" t="str">
        <f t="shared" ref="AO956:AO1019" si="388">IF(ISERROR(SEARCH("erstmals 201",E956)),"",MID(E956,SEARCH("erstmals ",E956)+9,4))</f>
        <v>2012</v>
      </c>
      <c r="AP956" s="167" t="str">
        <f t="shared" ref="AP956:AP1019" si="389">IF(R956="x","2010",IF(S956="x","2011",IF(T956="x","2012","")))</f>
        <v>2012</v>
      </c>
      <c r="AQ956" s="169" t="str">
        <f t="shared" ref="AQ956:AQ1019" si="390">IF(OR(AH956&lt;&gt;AN956,AH956&lt;&gt;AO956,AH956&lt;&gt;AP956),"DIFF","")</f>
        <v/>
      </c>
      <c r="AR956" s="170" t="str">
        <f t="shared" ref="AR956:AR1019" si="391">IF(A956="","",IF(ISERROR(SEARCH("K1",A956)),A956,LEFT(A956,SEARCH("K1",A956)+1)&amp;RIGHT(AH956,1)&amp;MID(A956,SEARCH("K1",A956)+3,14)))</f>
        <v>BiK82X2K12y-05</v>
      </c>
      <c r="AS956" s="169" t="str">
        <f t="shared" ref="AS956:AS1019" si="392">IF(OR(A956&lt;&gt;AR956),"DIFF","")</f>
        <v/>
      </c>
      <c r="AT956">
        <f t="shared" ref="AT956:AT1019" si="393">LEN(AR956)</f>
        <v>14</v>
      </c>
      <c r="AU956" s="170" t="str">
        <f t="shared" ref="AU956:AU1019" si="394">IF(D956="","",IF(OR(A956="",ISERROR(SEARCH("erstmals 201",D956))),D956,LEFT(D956,SEARCH("erstmals 201",D956)+8) &amp; AH956 &amp; MID(D956,SEARCH("erstmals 201",D956)+13,255)))</f>
        <v>0,15-0,5 MW, Bonusregeln X2, y und K erstmals 2012</v>
      </c>
      <c r="AV956" s="169" t="str">
        <f t="shared" ref="AV956:AV1019" si="395">IF(OR(D956&lt;&gt;AU956),"DIFF","")</f>
        <v/>
      </c>
      <c r="AW956" s="170" t="str">
        <f t="shared" ref="AW956:AW1019" si="396">IF(E956="","",IF(OR(E956="",ISERROR(SEARCH("erstmals 201",E956))),E956,LEFT(E956,SEARCH("erstmals 201",E956)+8) &amp; AH956 &amp; MID(E956,SEARCH("erstmals 201",E956)+13,255)))</f>
        <v>Anteil KWK, erstmals 2012</v>
      </c>
      <c r="AX956" s="169" t="str">
        <f t="shared" ref="AX956:AX1019" si="397">IF(OR(E956&lt;&gt;AW956),"DIFF","")</f>
        <v/>
      </c>
      <c r="AY956" t="str">
        <f t="shared" ref="AY956:AY1019" si="398">IF(AH956="2011","x",IF(AH956="2012","","" &amp; S956))</f>
        <v/>
      </c>
      <c r="AZ956" t="str">
        <f t="shared" ref="AZ956:AZ1019" si="399">IF(AH956="2012","x",IF(AH956="2011","","" &amp; T956))</f>
        <v>x</v>
      </c>
    </row>
    <row r="957" spans="1:52" x14ac:dyDescent="0.35">
      <c r="A957" s="496" t="s">
        <v>4122</v>
      </c>
      <c r="B957" s="1" t="s">
        <v>5547</v>
      </c>
      <c r="C957" s="1" t="s">
        <v>1288</v>
      </c>
      <c r="D957" s="1" t="s">
        <v>7125</v>
      </c>
      <c r="E957" s="1" t="s">
        <v>4809</v>
      </c>
      <c r="F957" s="375">
        <f t="shared" si="376"/>
        <v>11.75</v>
      </c>
      <c r="G957" s="432">
        <v>11.75</v>
      </c>
      <c r="H957" s="401">
        <f t="shared" si="377"/>
        <v>9.4</v>
      </c>
      <c r="I957" s="578"/>
      <c r="J957" s="549" t="s">
        <v>5804</v>
      </c>
      <c r="K957" s="11"/>
      <c r="M957" s="37">
        <f t="shared" si="378"/>
        <v>11.75</v>
      </c>
      <c r="N957" s="29">
        <v>9.75</v>
      </c>
      <c r="O957" s="41"/>
      <c r="P957" s="11"/>
      <c r="S957" t="s">
        <v>4179</v>
      </c>
      <c r="T957" t="s">
        <v>4179</v>
      </c>
      <c r="U957" s="42"/>
      <c r="W957" s="50"/>
      <c r="X957" s="50"/>
      <c r="Z957" s="50"/>
      <c r="AC957" s="50"/>
      <c r="AE957" s="75" t="s">
        <v>1017</v>
      </c>
      <c r="AF957" s="50"/>
      <c r="AG957" s="50"/>
      <c r="AH957" s="166" t="str">
        <f t="shared" ref="AH957:AH962" si="400">IF(ISERROR(SEARCH("K erstmals 201",D957)),"",RIGHT(D957,4))</f>
        <v/>
      </c>
      <c r="AI957" s="168" t="str">
        <f t="shared" ref="AI957:AI1020" si="401">IF(AND($AH957&lt;&gt;"",AH957 =AH956),"Gleich","")</f>
        <v/>
      </c>
      <c r="AJ957" s="168" t="str">
        <f t="shared" ref="AJ957:AJ1020" si="402">IF(AND($AH957&lt;&gt;"",A957 =A956),"Gleich","")</f>
        <v/>
      </c>
      <c r="AK957" s="168" t="str">
        <f t="shared" ref="AK957:AK1020" si="403">IF(AND($AH957&lt;&gt;"",D957 =D956),"Gleich","")</f>
        <v/>
      </c>
      <c r="AL957" s="168" t="str">
        <f t="shared" ref="AL957:AL1020" si="404">IF(AND($AH957&lt;&gt;"",E957 =E956),"Gleich","")</f>
        <v/>
      </c>
      <c r="AM957" s="168" t="str">
        <f t="shared" ref="AM957:AM1020" si="405">IF(AND($AH957&lt;&gt;"",F957 =F956),"Gleich","")</f>
        <v/>
      </c>
      <c r="AN957" s="167" t="str">
        <f t="shared" si="387"/>
        <v/>
      </c>
      <c r="AO957" s="167" t="str">
        <f t="shared" si="388"/>
        <v/>
      </c>
      <c r="AP957" s="167" t="str">
        <f t="shared" si="389"/>
        <v/>
      </c>
      <c r="AQ957" s="169" t="str">
        <f t="shared" si="390"/>
        <v/>
      </c>
      <c r="AR957" s="170" t="str">
        <f t="shared" si="391"/>
        <v>BiK82b------05</v>
      </c>
      <c r="AS957" s="169" t="str">
        <f t="shared" si="392"/>
        <v/>
      </c>
      <c r="AT957">
        <f t="shared" si="393"/>
        <v>14</v>
      </c>
      <c r="AU957" s="170" t="str">
        <f t="shared" si="394"/>
        <v>0,15-0,5 MW, Bonusregel b</v>
      </c>
      <c r="AV957" s="169" t="str">
        <f t="shared" si="395"/>
        <v/>
      </c>
      <c r="AW957" s="170" t="str">
        <f t="shared" si="396"/>
        <v>Anteil Nicht-KWK</v>
      </c>
      <c r="AX957" s="169" t="str">
        <f t="shared" si="397"/>
        <v/>
      </c>
      <c r="AY957" t="str">
        <f t="shared" si="398"/>
        <v/>
      </c>
      <c r="AZ957" t="str">
        <f t="shared" si="399"/>
        <v/>
      </c>
    </row>
    <row r="958" spans="1:52" x14ac:dyDescent="0.35">
      <c r="A958" s="496" t="s">
        <v>4158</v>
      </c>
      <c r="B958" s="1" t="s">
        <v>5547</v>
      </c>
      <c r="C958" s="1" t="s">
        <v>1288</v>
      </c>
      <c r="D958" s="1" t="s">
        <v>7126</v>
      </c>
      <c r="E958" s="1" t="s">
        <v>4811</v>
      </c>
      <c r="F958" s="375">
        <f t="shared" si="376"/>
        <v>13.75</v>
      </c>
      <c r="G958" s="432">
        <v>13.75</v>
      </c>
      <c r="H958" s="401">
        <f t="shared" si="377"/>
        <v>11</v>
      </c>
      <c r="I958" s="578"/>
      <c r="J958" s="549" t="s">
        <v>5804</v>
      </c>
      <c r="K958" s="11"/>
      <c r="M958" s="37">
        <f t="shared" si="378"/>
        <v>13.75</v>
      </c>
      <c r="N958" s="29">
        <v>9.75</v>
      </c>
      <c r="O958" s="41" t="s">
        <v>1017</v>
      </c>
      <c r="P958" s="11"/>
      <c r="S958" t="s">
        <v>4179</v>
      </c>
      <c r="T958" t="s">
        <v>4179</v>
      </c>
      <c r="U958" s="42"/>
      <c r="W958" s="50"/>
      <c r="X958" s="50"/>
      <c r="Z958" s="50"/>
      <c r="AC958" s="50"/>
      <c r="AE958" s="75" t="s">
        <v>1017</v>
      </c>
      <c r="AF958" s="50"/>
      <c r="AG958" s="50"/>
      <c r="AH958" s="166" t="str">
        <f t="shared" si="400"/>
        <v/>
      </c>
      <c r="AI958" s="168" t="str">
        <f t="shared" si="401"/>
        <v/>
      </c>
      <c r="AJ958" s="168" t="str">
        <f t="shared" si="402"/>
        <v/>
      </c>
      <c r="AK958" s="168" t="str">
        <f t="shared" si="403"/>
        <v/>
      </c>
      <c r="AL958" s="168" t="str">
        <f t="shared" si="404"/>
        <v/>
      </c>
      <c r="AM958" s="168" t="str">
        <f t="shared" si="405"/>
        <v/>
      </c>
      <c r="AN958" s="167" t="str">
        <f t="shared" si="387"/>
        <v/>
      </c>
      <c r="AO958" s="167" t="str">
        <f t="shared" si="388"/>
        <v/>
      </c>
      <c r="AP958" s="167" t="str">
        <f t="shared" si="389"/>
        <v/>
      </c>
      <c r="AQ958" s="169" t="str">
        <f t="shared" si="390"/>
        <v/>
      </c>
      <c r="AR958" s="170" t="str">
        <f t="shared" si="391"/>
        <v>BiK82bKWK---05</v>
      </c>
      <c r="AS958" s="169" t="str">
        <f t="shared" si="392"/>
        <v/>
      </c>
      <c r="AT958">
        <f t="shared" si="393"/>
        <v>14</v>
      </c>
      <c r="AU958" s="170" t="str">
        <f t="shared" si="394"/>
        <v>0,15-0,5 MW, Bonusregeln b und KWK</v>
      </c>
      <c r="AV958" s="169" t="str">
        <f t="shared" si="395"/>
        <v/>
      </c>
      <c r="AW958" s="170" t="str">
        <f t="shared" si="396"/>
        <v>Anteil KWK</v>
      </c>
      <c r="AX958" s="169" t="str">
        <f t="shared" si="397"/>
        <v/>
      </c>
      <c r="AY958" t="str">
        <f t="shared" si="398"/>
        <v/>
      </c>
      <c r="AZ958" t="str">
        <f t="shared" si="399"/>
        <v/>
      </c>
    </row>
    <row r="959" spans="1:52" s="145" customFormat="1" x14ac:dyDescent="0.35">
      <c r="A959" s="497" t="s">
        <v>4347</v>
      </c>
      <c r="B959" s="13" t="s">
        <v>5547</v>
      </c>
      <c r="C959" s="13" t="s">
        <v>1288</v>
      </c>
      <c r="D959" s="13" t="s">
        <v>7127</v>
      </c>
      <c r="E959" s="13" t="s">
        <v>4330</v>
      </c>
      <c r="F959" s="373">
        <f t="shared" si="376"/>
        <v>14.75</v>
      </c>
      <c r="G959" s="430">
        <v>14.75</v>
      </c>
      <c r="H959" s="399">
        <f t="shared" si="377"/>
        <v>11.8</v>
      </c>
      <c r="I959" s="576"/>
      <c r="J959" s="549" t="s">
        <v>5804</v>
      </c>
      <c r="K959" s="11"/>
      <c r="L959"/>
      <c r="M959" s="37">
        <f t="shared" si="378"/>
        <v>14.75</v>
      </c>
      <c r="N959" s="29">
        <v>9.75</v>
      </c>
      <c r="O959" s="41"/>
      <c r="P959" t="s">
        <v>1017</v>
      </c>
      <c r="Q959"/>
      <c r="R959"/>
      <c r="S959" t="s">
        <v>4179</v>
      </c>
      <c r="T959" s="145" t="s">
        <v>4179</v>
      </c>
      <c r="U959" s="42"/>
      <c r="V959"/>
      <c r="W959" s="50"/>
      <c r="X959" s="50"/>
      <c r="Y959"/>
      <c r="Z959" s="50"/>
      <c r="AA959"/>
      <c r="AB959"/>
      <c r="AC959" s="50"/>
      <c r="AD959"/>
      <c r="AE959" s="75" t="s">
        <v>1017</v>
      </c>
      <c r="AF959" s="50"/>
      <c r="AG959" s="50"/>
      <c r="AH959" s="166" t="str">
        <f t="shared" si="400"/>
        <v/>
      </c>
      <c r="AI959" s="168" t="str">
        <f t="shared" si="401"/>
        <v/>
      </c>
      <c r="AJ959" s="168" t="str">
        <f t="shared" si="402"/>
        <v/>
      </c>
      <c r="AK959" s="168" t="str">
        <f t="shared" si="403"/>
        <v/>
      </c>
      <c r="AL959" s="168" t="str">
        <f t="shared" si="404"/>
        <v/>
      </c>
      <c r="AM959" s="168" t="str">
        <f t="shared" si="405"/>
        <v/>
      </c>
      <c r="AN959" s="167" t="str">
        <f t="shared" si="387"/>
        <v/>
      </c>
      <c r="AO959" s="167" t="str">
        <f t="shared" si="388"/>
        <v/>
      </c>
      <c r="AP959" s="167" t="str">
        <f t="shared" si="389"/>
        <v/>
      </c>
      <c r="AQ959" s="169" t="str">
        <f t="shared" si="390"/>
        <v/>
      </c>
      <c r="AR959" s="170" t="str">
        <f t="shared" si="391"/>
        <v>BiK82bKA3---05</v>
      </c>
      <c r="AS959" s="169" t="str">
        <f t="shared" si="392"/>
        <v/>
      </c>
      <c r="AT959">
        <f t="shared" si="393"/>
        <v>14</v>
      </c>
      <c r="AU959" s="170" t="str">
        <f t="shared" si="394"/>
        <v>0,15-0,5 MW, Bonusregeln b und K wenn Anlage 3 erfüllt</v>
      </c>
      <c r="AV959" s="169" t="str">
        <f t="shared" si="395"/>
        <v/>
      </c>
      <c r="AW959" s="170" t="str">
        <f t="shared" si="396"/>
        <v>Anteil KWK gemäß Anlage 3</v>
      </c>
      <c r="AX959" s="169" t="str">
        <f t="shared" si="397"/>
        <v/>
      </c>
      <c r="AY959" t="str">
        <f t="shared" si="398"/>
        <v/>
      </c>
      <c r="AZ959" t="str">
        <f t="shared" si="399"/>
        <v/>
      </c>
    </row>
    <row r="960" spans="1:52" s="145" customFormat="1" x14ac:dyDescent="0.35">
      <c r="A960" s="497" t="s">
        <v>2350</v>
      </c>
      <c r="B960" s="13" t="s">
        <v>5547</v>
      </c>
      <c r="C960" s="13" t="s">
        <v>1288</v>
      </c>
      <c r="D960" s="13" t="s">
        <v>7128</v>
      </c>
      <c r="E960" s="13" t="s">
        <v>674</v>
      </c>
      <c r="F960" s="373">
        <f t="shared" si="376"/>
        <v>14.75</v>
      </c>
      <c r="G960" s="430">
        <v>14.75</v>
      </c>
      <c r="H960" s="399">
        <f t="shared" si="377"/>
        <v>11.8</v>
      </c>
      <c r="I960" s="576"/>
      <c r="J960" s="549" t="s">
        <v>5804</v>
      </c>
      <c r="K960" s="11"/>
      <c r="L960"/>
      <c r="M960" s="37">
        <f t="shared" si="378"/>
        <v>14.75</v>
      </c>
      <c r="N960" s="29">
        <v>9.75</v>
      </c>
      <c r="O960" s="41"/>
      <c r="P960" s="11"/>
      <c r="Q960" t="s">
        <v>1017</v>
      </c>
      <c r="R960"/>
      <c r="S960" t="s">
        <v>4179</v>
      </c>
      <c r="T960" s="145" t="s">
        <v>4179</v>
      </c>
      <c r="U960" s="42"/>
      <c r="V960"/>
      <c r="W960" s="50"/>
      <c r="X960" s="50"/>
      <c r="Y960"/>
      <c r="Z960" s="50"/>
      <c r="AA960"/>
      <c r="AB960"/>
      <c r="AC960" s="50"/>
      <c r="AD960"/>
      <c r="AE960" s="75" t="s">
        <v>1017</v>
      </c>
      <c r="AF960" s="50"/>
      <c r="AG960" s="50"/>
      <c r="AH960" s="166" t="str">
        <f t="shared" si="400"/>
        <v/>
      </c>
      <c r="AI960" s="168" t="str">
        <f t="shared" si="401"/>
        <v/>
      </c>
      <c r="AJ960" s="168" t="str">
        <f t="shared" si="402"/>
        <v/>
      </c>
      <c r="AK960" s="168" t="str">
        <f t="shared" si="403"/>
        <v/>
      </c>
      <c r="AL960" s="168" t="str">
        <f t="shared" si="404"/>
        <v/>
      </c>
      <c r="AM960" s="168" t="str">
        <f t="shared" si="405"/>
        <v/>
      </c>
      <c r="AN960" s="167" t="str">
        <f t="shared" si="387"/>
        <v/>
      </c>
      <c r="AO960" s="167" t="str">
        <f t="shared" si="388"/>
        <v/>
      </c>
      <c r="AP960" s="167" t="str">
        <f t="shared" si="389"/>
        <v/>
      </c>
      <c r="AQ960" s="169" t="str">
        <f t="shared" si="390"/>
        <v/>
      </c>
      <c r="AR960" s="170" t="str">
        <f t="shared" si="391"/>
        <v>BiK82bK09---05</v>
      </c>
      <c r="AS960" s="169" t="str">
        <f t="shared" si="392"/>
        <v/>
      </c>
      <c r="AT960">
        <f t="shared" si="393"/>
        <v>14</v>
      </c>
      <c r="AU960" s="170" t="str">
        <f t="shared" si="394"/>
        <v>0,15-0,5 MW, Bonusregeln b und K erstmals 2009</v>
      </c>
      <c r="AV960" s="169" t="str">
        <f t="shared" si="395"/>
        <v/>
      </c>
      <c r="AW960" s="170" t="str">
        <f t="shared" si="396"/>
        <v>Anteil KWK, erstmals 2009</v>
      </c>
      <c r="AX960" s="169" t="str">
        <f t="shared" si="397"/>
        <v/>
      </c>
      <c r="AY960" t="str">
        <f t="shared" si="398"/>
        <v/>
      </c>
      <c r="AZ960" t="str">
        <f t="shared" si="399"/>
        <v/>
      </c>
    </row>
    <row r="961" spans="1:52" s="145" customFormat="1" x14ac:dyDescent="0.35">
      <c r="A961" s="497" t="s">
        <v>3603</v>
      </c>
      <c r="B961" s="13" t="s">
        <v>5547</v>
      </c>
      <c r="C961" s="13" t="s">
        <v>1288</v>
      </c>
      <c r="D961" s="13" t="s">
        <v>7129</v>
      </c>
      <c r="E961" s="13" t="s">
        <v>3566</v>
      </c>
      <c r="F961" s="373">
        <f t="shared" ref="F961:F1024" si="406">M961</f>
        <v>14.72</v>
      </c>
      <c r="G961" s="430">
        <v>14.72</v>
      </c>
      <c r="H961" s="399">
        <f t="shared" ref="H961:H1024" si="407">IF(ISNUMBER(G961),ROUND(0.8*G961,2),"")</f>
        <v>11.78</v>
      </c>
      <c r="I961" s="576"/>
      <c r="J961" s="549" t="s">
        <v>5804</v>
      </c>
      <c r="K961" s="11"/>
      <c r="L961"/>
      <c r="M961" s="37">
        <f t="shared" ref="M961:M1024" si="408">N961+SUMIF(O961:AG961,"x",O$704:AG$704)</f>
        <v>14.72</v>
      </c>
      <c r="N961" s="29">
        <v>9.75</v>
      </c>
      <c r="O961" s="41"/>
      <c r="P961" s="11"/>
      <c r="Q961"/>
      <c r="R961" t="s">
        <v>1017</v>
      </c>
      <c r="S961" t="s">
        <v>4179</v>
      </c>
      <c r="T961" s="145" t="s">
        <v>4179</v>
      </c>
      <c r="U961" s="42"/>
      <c r="V961"/>
      <c r="W961" s="50"/>
      <c r="X961" s="50"/>
      <c r="Y961"/>
      <c r="Z961" s="50"/>
      <c r="AA961"/>
      <c r="AB961"/>
      <c r="AC961" s="50"/>
      <c r="AD961"/>
      <c r="AE961" s="75" t="s">
        <v>1017</v>
      </c>
      <c r="AF961" s="50"/>
      <c r="AG961" s="50"/>
      <c r="AH961" s="166" t="str">
        <f t="shared" si="400"/>
        <v>2010</v>
      </c>
      <c r="AI961" s="168" t="str">
        <f t="shared" si="401"/>
        <v/>
      </c>
      <c r="AJ961" s="168" t="str">
        <f t="shared" si="402"/>
        <v/>
      </c>
      <c r="AK961" s="168" t="str">
        <f t="shared" si="403"/>
        <v/>
      </c>
      <c r="AL961" s="168" t="str">
        <f t="shared" si="404"/>
        <v/>
      </c>
      <c r="AM961" s="168" t="str">
        <f t="shared" si="405"/>
        <v/>
      </c>
      <c r="AN961" s="167" t="str">
        <f t="shared" si="387"/>
        <v>2010</v>
      </c>
      <c r="AO961" s="167" t="str">
        <f t="shared" si="388"/>
        <v>2010</v>
      </c>
      <c r="AP961" s="167" t="str">
        <f t="shared" si="389"/>
        <v>2010</v>
      </c>
      <c r="AQ961" s="169" t="str">
        <f t="shared" si="390"/>
        <v/>
      </c>
      <c r="AR961" s="170" t="str">
        <f t="shared" si="391"/>
        <v>BiK82bK10---05</v>
      </c>
      <c r="AS961" s="169" t="str">
        <f t="shared" si="392"/>
        <v/>
      </c>
      <c r="AT961">
        <f t="shared" si="393"/>
        <v>14</v>
      </c>
      <c r="AU961" s="170" t="str">
        <f t="shared" si="394"/>
        <v>0,15-0,5 MW, Bonusregeln b und K erstmals 2010</v>
      </c>
      <c r="AV961" s="169" t="str">
        <f t="shared" si="395"/>
        <v/>
      </c>
      <c r="AW961" s="170" t="str">
        <f t="shared" si="396"/>
        <v>Anteil KWK, erstmals 2010</v>
      </c>
      <c r="AX961" s="169" t="str">
        <f t="shared" si="397"/>
        <v/>
      </c>
      <c r="AY961" t="str">
        <f t="shared" si="398"/>
        <v/>
      </c>
      <c r="AZ961" t="str">
        <f t="shared" si="399"/>
        <v/>
      </c>
    </row>
    <row r="962" spans="1:52" s="145" customFormat="1" x14ac:dyDescent="0.35">
      <c r="A962" s="497" t="s">
        <v>5334</v>
      </c>
      <c r="B962" s="13" t="s">
        <v>5547</v>
      </c>
      <c r="C962" s="13" t="s">
        <v>1288</v>
      </c>
      <c r="D962" s="13" t="s">
        <v>7130</v>
      </c>
      <c r="E962" s="13" t="s">
        <v>3054</v>
      </c>
      <c r="F962" s="373">
        <f t="shared" si="406"/>
        <v>14.69</v>
      </c>
      <c r="G962" s="430">
        <v>14.69</v>
      </c>
      <c r="H962" s="399">
        <f t="shared" si="407"/>
        <v>11.75</v>
      </c>
      <c r="I962" s="576"/>
      <c r="J962" s="549" t="s">
        <v>5804</v>
      </c>
      <c r="K962" s="11"/>
      <c r="L962"/>
      <c r="M962" s="37">
        <f t="shared" si="408"/>
        <v>14.69</v>
      </c>
      <c r="N962" s="29">
        <v>9.75</v>
      </c>
      <c r="O962" s="41"/>
      <c r="P962" s="11"/>
      <c r="Q962"/>
      <c r="R962"/>
      <c r="S962" t="s">
        <v>1017</v>
      </c>
      <c r="T962" s="145" t="s">
        <v>4179</v>
      </c>
      <c r="U962" s="42"/>
      <c r="V962"/>
      <c r="W962" s="50"/>
      <c r="X962" s="50"/>
      <c r="Y962"/>
      <c r="Z962" s="50"/>
      <c r="AA962"/>
      <c r="AB962"/>
      <c r="AC962" s="50"/>
      <c r="AD962"/>
      <c r="AE962" s="75" t="s">
        <v>1017</v>
      </c>
      <c r="AF962" s="50"/>
      <c r="AG962" s="50"/>
      <c r="AH962" s="166" t="str">
        <f t="shared" si="400"/>
        <v>2011</v>
      </c>
      <c r="AI962" s="168" t="str">
        <f t="shared" si="401"/>
        <v/>
      </c>
      <c r="AJ962" s="168" t="str">
        <f t="shared" si="402"/>
        <v/>
      </c>
      <c r="AK962" s="168" t="str">
        <f t="shared" si="403"/>
        <v/>
      </c>
      <c r="AL962" s="168" t="str">
        <f t="shared" si="404"/>
        <v/>
      </c>
      <c r="AM962" s="168" t="str">
        <f t="shared" si="405"/>
        <v/>
      </c>
      <c r="AN962" s="167" t="str">
        <f t="shared" si="387"/>
        <v>2011</v>
      </c>
      <c r="AO962" s="167" t="str">
        <f t="shared" si="388"/>
        <v>2011</v>
      </c>
      <c r="AP962" s="167" t="str">
        <f t="shared" si="389"/>
        <v>2011</v>
      </c>
      <c r="AQ962" s="169" t="str">
        <f t="shared" si="390"/>
        <v/>
      </c>
      <c r="AR962" s="170" t="str">
        <f t="shared" si="391"/>
        <v>BiK82bK11---05</v>
      </c>
      <c r="AS962" s="169" t="str">
        <f t="shared" si="392"/>
        <v/>
      </c>
      <c r="AT962">
        <f t="shared" si="393"/>
        <v>14</v>
      </c>
      <c r="AU962" s="170" t="str">
        <f t="shared" si="394"/>
        <v>0,15-0,5 MW, Bonusregeln b und K erstmals 2011</v>
      </c>
      <c r="AV962" s="169" t="str">
        <f t="shared" si="395"/>
        <v/>
      </c>
      <c r="AW962" s="170" t="str">
        <f t="shared" si="396"/>
        <v>Anteil KWK, erstmals 2011</v>
      </c>
      <c r="AX962" s="169" t="str">
        <f t="shared" si="397"/>
        <v/>
      </c>
      <c r="AY962" t="str">
        <f t="shared" si="398"/>
        <v>x</v>
      </c>
      <c r="AZ962" t="str">
        <f t="shared" si="399"/>
        <v/>
      </c>
    </row>
    <row r="963" spans="1:52" s="145" customFormat="1" x14ac:dyDescent="0.35">
      <c r="A963" s="511" t="s">
        <v>1585</v>
      </c>
      <c r="B963" s="173" t="s">
        <v>5547</v>
      </c>
      <c r="C963" s="173" t="s">
        <v>1288</v>
      </c>
      <c r="D963" s="173" t="s">
        <v>7131</v>
      </c>
      <c r="E963" s="173" t="s">
        <v>1980</v>
      </c>
      <c r="F963" s="374">
        <f t="shared" si="406"/>
        <v>14.66</v>
      </c>
      <c r="G963" s="431">
        <v>14.66</v>
      </c>
      <c r="H963" s="400">
        <f t="shared" si="407"/>
        <v>11.73</v>
      </c>
      <c r="I963" s="577"/>
      <c r="J963" s="549" t="s">
        <v>5804</v>
      </c>
      <c r="K963" s="11"/>
      <c r="L963"/>
      <c r="M963" s="37">
        <f t="shared" si="408"/>
        <v>14.66</v>
      </c>
      <c r="N963" s="29">
        <v>9.75</v>
      </c>
      <c r="O963" s="41"/>
      <c r="P963" s="11"/>
      <c r="Q963"/>
      <c r="R963"/>
      <c r="S963" t="s">
        <v>4179</v>
      </c>
      <c r="T963" s="145" t="s">
        <v>1017</v>
      </c>
      <c r="U963" s="42"/>
      <c r="V963"/>
      <c r="W963" s="50"/>
      <c r="X963" s="50"/>
      <c r="Y963"/>
      <c r="Z963" s="50"/>
      <c r="AA963"/>
      <c r="AB963"/>
      <c r="AC963" s="50"/>
      <c r="AD963"/>
      <c r="AE963" s="75" t="s">
        <v>1017</v>
      </c>
      <c r="AF963" s="50"/>
      <c r="AG963" s="50"/>
      <c r="AH963" s="171" t="s">
        <v>4178</v>
      </c>
      <c r="AI963" s="168" t="str">
        <f t="shared" si="401"/>
        <v/>
      </c>
      <c r="AJ963" s="168" t="str">
        <f t="shared" si="402"/>
        <v/>
      </c>
      <c r="AK963" s="168" t="str">
        <f t="shared" si="403"/>
        <v/>
      </c>
      <c r="AL963" s="168" t="str">
        <f t="shared" si="404"/>
        <v/>
      </c>
      <c r="AM963" s="168" t="str">
        <f t="shared" si="405"/>
        <v/>
      </c>
      <c r="AN963" s="167" t="str">
        <f t="shared" si="387"/>
        <v>2012</v>
      </c>
      <c r="AO963" s="167" t="str">
        <f t="shared" si="388"/>
        <v>2012</v>
      </c>
      <c r="AP963" s="167" t="str">
        <f t="shared" si="389"/>
        <v>2012</v>
      </c>
      <c r="AQ963" s="169" t="str">
        <f t="shared" si="390"/>
        <v/>
      </c>
      <c r="AR963" s="170" t="str">
        <f t="shared" si="391"/>
        <v>BiK82bK12---05</v>
      </c>
      <c r="AS963" s="169" t="str">
        <f t="shared" si="392"/>
        <v/>
      </c>
      <c r="AT963">
        <f t="shared" si="393"/>
        <v>14</v>
      </c>
      <c r="AU963" s="170" t="str">
        <f t="shared" si="394"/>
        <v>0,15-0,5 MW, Bonusregeln b und K erstmals 2012</v>
      </c>
      <c r="AV963" s="169" t="str">
        <f t="shared" si="395"/>
        <v/>
      </c>
      <c r="AW963" s="170" t="str">
        <f t="shared" si="396"/>
        <v>Anteil KWK, erstmals 2012</v>
      </c>
      <c r="AX963" s="169" t="str">
        <f t="shared" si="397"/>
        <v/>
      </c>
      <c r="AY963" t="str">
        <f t="shared" si="398"/>
        <v/>
      </c>
      <c r="AZ963" t="str">
        <f t="shared" si="399"/>
        <v>x</v>
      </c>
    </row>
    <row r="964" spans="1:52" s="145" customFormat="1" x14ac:dyDescent="0.35">
      <c r="A964" s="497" t="s">
        <v>1333</v>
      </c>
      <c r="B964" s="13" t="s">
        <v>5547</v>
      </c>
      <c r="C964" s="13" t="s">
        <v>1288</v>
      </c>
      <c r="D964" s="13" t="s">
        <v>7132</v>
      </c>
      <c r="E964" s="13" t="s">
        <v>4809</v>
      </c>
      <c r="F964" s="373">
        <f t="shared" si="406"/>
        <v>12.75</v>
      </c>
      <c r="G964" s="430">
        <v>12.75</v>
      </c>
      <c r="H964" s="399">
        <f t="shared" si="407"/>
        <v>10.199999999999999</v>
      </c>
      <c r="I964" s="576"/>
      <c r="J964" s="549" t="s">
        <v>5804</v>
      </c>
      <c r="K964" s="11"/>
      <c r="L964"/>
      <c r="M964" s="37">
        <f t="shared" si="408"/>
        <v>12.75</v>
      </c>
      <c r="N964" s="29">
        <v>9.75</v>
      </c>
      <c r="O964" s="41"/>
      <c r="P964" s="11"/>
      <c r="Q964"/>
      <c r="R964"/>
      <c r="S964" t="s">
        <v>4179</v>
      </c>
      <c r="T964" s="145" t="s">
        <v>4179</v>
      </c>
      <c r="U964" s="42" t="s">
        <v>1017</v>
      </c>
      <c r="V964"/>
      <c r="W964" s="50"/>
      <c r="X964" s="50"/>
      <c r="Y964"/>
      <c r="Z964" s="50"/>
      <c r="AA964"/>
      <c r="AB964"/>
      <c r="AC964" s="50"/>
      <c r="AD964"/>
      <c r="AE964" s="75" t="s">
        <v>1017</v>
      </c>
      <c r="AF964" s="50"/>
      <c r="AG964" s="50"/>
      <c r="AH964" s="166" t="str">
        <f t="shared" ref="AH964:AH969" si="409">IF(ISERROR(SEARCH("K erstmals 201",D964)),"",RIGHT(D964,4))</f>
        <v/>
      </c>
      <c r="AI964" s="168" t="str">
        <f t="shared" si="401"/>
        <v/>
      </c>
      <c r="AJ964" s="168" t="str">
        <f t="shared" si="402"/>
        <v/>
      </c>
      <c r="AK964" s="168" t="str">
        <f t="shared" si="403"/>
        <v/>
      </c>
      <c r="AL964" s="168" t="str">
        <f t="shared" si="404"/>
        <v/>
      </c>
      <c r="AM964" s="168" t="str">
        <f t="shared" si="405"/>
        <v/>
      </c>
      <c r="AN964" s="167" t="str">
        <f t="shared" si="387"/>
        <v/>
      </c>
      <c r="AO964" s="167" t="str">
        <f t="shared" si="388"/>
        <v/>
      </c>
      <c r="AP964" s="167" t="str">
        <f t="shared" si="389"/>
        <v/>
      </c>
      <c r="AQ964" s="169" t="str">
        <f t="shared" si="390"/>
        <v/>
      </c>
      <c r="AR964" s="170" t="str">
        <f t="shared" si="391"/>
        <v>BiK82by-----05</v>
      </c>
      <c r="AS964" s="169" t="str">
        <f t="shared" si="392"/>
        <v/>
      </c>
      <c r="AT964">
        <f t="shared" si="393"/>
        <v>14</v>
      </c>
      <c r="AU964" s="170" t="str">
        <f t="shared" si="394"/>
        <v>0,15-0,5 MW, Bonusregeln b, y</v>
      </c>
      <c r="AV964" s="169" t="str">
        <f t="shared" si="395"/>
        <v/>
      </c>
      <c r="AW964" s="170" t="str">
        <f t="shared" si="396"/>
        <v>Anteil Nicht-KWK</v>
      </c>
      <c r="AX964" s="169" t="str">
        <f t="shared" si="397"/>
        <v/>
      </c>
      <c r="AY964" t="str">
        <f t="shared" si="398"/>
        <v/>
      </c>
      <c r="AZ964" t="str">
        <f t="shared" si="399"/>
        <v/>
      </c>
    </row>
    <row r="965" spans="1:52" s="145" customFormat="1" x14ac:dyDescent="0.35">
      <c r="A965" s="497" t="s">
        <v>1334</v>
      </c>
      <c r="B965" s="13" t="s">
        <v>5547</v>
      </c>
      <c r="C965" s="13" t="s">
        <v>1288</v>
      </c>
      <c r="D965" s="13" t="s">
        <v>7133</v>
      </c>
      <c r="E965" s="13" t="s">
        <v>4811</v>
      </c>
      <c r="F965" s="373">
        <f t="shared" si="406"/>
        <v>14.75</v>
      </c>
      <c r="G965" s="430">
        <v>14.75</v>
      </c>
      <c r="H965" s="399">
        <f t="shared" si="407"/>
        <v>11.8</v>
      </c>
      <c r="I965" s="576"/>
      <c r="J965" s="549" t="s">
        <v>5804</v>
      </c>
      <c r="K965" s="11"/>
      <c r="L965"/>
      <c r="M965" s="37">
        <f t="shared" si="408"/>
        <v>14.75</v>
      </c>
      <c r="N965" s="29">
        <v>9.75</v>
      </c>
      <c r="O965" s="41" t="s">
        <v>1017</v>
      </c>
      <c r="P965" s="11"/>
      <c r="Q965"/>
      <c r="R965"/>
      <c r="S965" t="s">
        <v>4179</v>
      </c>
      <c r="T965" s="145" t="s">
        <v>4179</v>
      </c>
      <c r="U965" s="42" t="s">
        <v>1017</v>
      </c>
      <c r="V965"/>
      <c r="W965" s="50"/>
      <c r="X965" s="50"/>
      <c r="Y965"/>
      <c r="Z965" s="50"/>
      <c r="AA965"/>
      <c r="AB965"/>
      <c r="AC965" s="50"/>
      <c r="AD965"/>
      <c r="AE965" s="75" t="s">
        <v>1017</v>
      </c>
      <c r="AF965" s="50"/>
      <c r="AG965" s="50"/>
      <c r="AH965" s="166" t="str">
        <f t="shared" si="409"/>
        <v/>
      </c>
      <c r="AI965" s="168" t="str">
        <f t="shared" si="401"/>
        <v/>
      </c>
      <c r="AJ965" s="168" t="str">
        <f t="shared" si="402"/>
        <v/>
      </c>
      <c r="AK965" s="168" t="str">
        <f t="shared" si="403"/>
        <v/>
      </c>
      <c r="AL965" s="168" t="str">
        <f t="shared" si="404"/>
        <v/>
      </c>
      <c r="AM965" s="168" t="str">
        <f t="shared" si="405"/>
        <v/>
      </c>
      <c r="AN965" s="167" t="str">
        <f t="shared" si="387"/>
        <v/>
      </c>
      <c r="AO965" s="167" t="str">
        <f t="shared" si="388"/>
        <v/>
      </c>
      <c r="AP965" s="167" t="str">
        <f t="shared" si="389"/>
        <v/>
      </c>
      <c r="AQ965" s="169" t="str">
        <f t="shared" si="390"/>
        <v/>
      </c>
      <c r="AR965" s="170" t="str">
        <f t="shared" si="391"/>
        <v>BiK82bKWKy--05</v>
      </c>
      <c r="AS965" s="169" t="str">
        <f t="shared" si="392"/>
        <v/>
      </c>
      <c r="AT965">
        <f t="shared" si="393"/>
        <v>14</v>
      </c>
      <c r="AU965" s="170" t="str">
        <f t="shared" si="394"/>
        <v>0,15-0,5 MW, Bonusregeln b, y und KWK</v>
      </c>
      <c r="AV965" s="169" t="str">
        <f t="shared" si="395"/>
        <v/>
      </c>
      <c r="AW965" s="170" t="str">
        <f t="shared" si="396"/>
        <v>Anteil KWK</v>
      </c>
      <c r="AX965" s="169" t="str">
        <f t="shared" si="397"/>
        <v/>
      </c>
      <c r="AY965" t="str">
        <f t="shared" si="398"/>
        <v/>
      </c>
      <c r="AZ965" t="str">
        <f t="shared" si="399"/>
        <v/>
      </c>
    </row>
    <row r="966" spans="1:52" s="145" customFormat="1" x14ac:dyDescent="0.35">
      <c r="A966" s="497" t="s">
        <v>1335</v>
      </c>
      <c r="B966" s="13" t="s">
        <v>5547</v>
      </c>
      <c r="C966" s="13" t="s">
        <v>1288</v>
      </c>
      <c r="D966" s="13" t="s">
        <v>7134</v>
      </c>
      <c r="E966" s="13" t="s">
        <v>4330</v>
      </c>
      <c r="F966" s="373">
        <f t="shared" si="406"/>
        <v>15.75</v>
      </c>
      <c r="G966" s="430">
        <v>15.75</v>
      </c>
      <c r="H966" s="399">
        <f t="shared" si="407"/>
        <v>12.6</v>
      </c>
      <c r="I966" s="576"/>
      <c r="J966" s="549" t="s">
        <v>5804</v>
      </c>
      <c r="K966" s="11"/>
      <c r="L966"/>
      <c r="M966" s="37">
        <f t="shared" si="408"/>
        <v>15.75</v>
      </c>
      <c r="N966" s="29">
        <v>9.75</v>
      </c>
      <c r="O966" s="41"/>
      <c r="P966" t="s">
        <v>1017</v>
      </c>
      <c r="Q966"/>
      <c r="R966"/>
      <c r="S966" t="s">
        <v>4179</v>
      </c>
      <c r="T966" s="145" t="s">
        <v>4179</v>
      </c>
      <c r="U966" s="42" t="s">
        <v>1017</v>
      </c>
      <c r="V966"/>
      <c r="W966" s="50"/>
      <c r="X966" s="50"/>
      <c r="Y966"/>
      <c r="Z966" s="50"/>
      <c r="AA966"/>
      <c r="AB966"/>
      <c r="AC966" s="50"/>
      <c r="AD966"/>
      <c r="AE966" s="75" t="s">
        <v>1017</v>
      </c>
      <c r="AF966" s="50"/>
      <c r="AG966" s="50"/>
      <c r="AH966" s="166" t="str">
        <f t="shared" si="409"/>
        <v/>
      </c>
      <c r="AI966" s="168" t="str">
        <f t="shared" si="401"/>
        <v/>
      </c>
      <c r="AJ966" s="168" t="str">
        <f t="shared" si="402"/>
        <v/>
      </c>
      <c r="AK966" s="168" t="str">
        <f t="shared" si="403"/>
        <v/>
      </c>
      <c r="AL966" s="168" t="str">
        <f t="shared" si="404"/>
        <v/>
      </c>
      <c r="AM966" s="168" t="str">
        <f t="shared" si="405"/>
        <v/>
      </c>
      <c r="AN966" s="167" t="str">
        <f t="shared" si="387"/>
        <v/>
      </c>
      <c r="AO966" s="167" t="str">
        <f t="shared" si="388"/>
        <v/>
      </c>
      <c r="AP966" s="167" t="str">
        <f t="shared" si="389"/>
        <v/>
      </c>
      <c r="AQ966" s="169" t="str">
        <f t="shared" si="390"/>
        <v/>
      </c>
      <c r="AR966" s="170" t="str">
        <f t="shared" si="391"/>
        <v>BiK82bKA3y--05</v>
      </c>
      <c r="AS966" s="169" t="str">
        <f t="shared" si="392"/>
        <v/>
      </c>
      <c r="AT966">
        <f t="shared" si="393"/>
        <v>14</v>
      </c>
      <c r="AU966" s="170" t="str">
        <f t="shared" si="394"/>
        <v>0,15-0,5 MW, Bonusregeln b, y und K wenn Anlage 3 erfüllt</v>
      </c>
      <c r="AV966" s="169" t="str">
        <f t="shared" si="395"/>
        <v/>
      </c>
      <c r="AW966" s="170" t="str">
        <f t="shared" si="396"/>
        <v>Anteil KWK gemäß Anlage 3</v>
      </c>
      <c r="AX966" s="169" t="str">
        <f t="shared" si="397"/>
        <v/>
      </c>
      <c r="AY966" t="str">
        <f t="shared" si="398"/>
        <v/>
      </c>
      <c r="AZ966" t="str">
        <f t="shared" si="399"/>
        <v/>
      </c>
    </row>
    <row r="967" spans="1:52" s="145" customFormat="1" x14ac:dyDescent="0.35">
      <c r="A967" s="497" t="s">
        <v>1336</v>
      </c>
      <c r="B967" s="13" t="s">
        <v>5547</v>
      </c>
      <c r="C967" s="13" t="s">
        <v>1288</v>
      </c>
      <c r="D967" s="13" t="s">
        <v>7135</v>
      </c>
      <c r="E967" s="13" t="s">
        <v>674</v>
      </c>
      <c r="F967" s="373">
        <f t="shared" si="406"/>
        <v>15.75</v>
      </c>
      <c r="G967" s="430">
        <v>15.75</v>
      </c>
      <c r="H967" s="399">
        <f t="shared" si="407"/>
        <v>12.6</v>
      </c>
      <c r="I967" s="576"/>
      <c r="J967" s="549" t="s">
        <v>5804</v>
      </c>
      <c r="K967" s="11"/>
      <c r="L967"/>
      <c r="M967" s="37">
        <f t="shared" si="408"/>
        <v>15.75</v>
      </c>
      <c r="N967" s="29">
        <v>9.75</v>
      </c>
      <c r="O967" s="41"/>
      <c r="P967" s="11"/>
      <c r="Q967" t="s">
        <v>1017</v>
      </c>
      <c r="R967"/>
      <c r="S967" t="s">
        <v>4179</v>
      </c>
      <c r="T967" s="145" t="s">
        <v>4179</v>
      </c>
      <c r="U967" s="42" t="s">
        <v>1017</v>
      </c>
      <c r="V967"/>
      <c r="W967" s="50"/>
      <c r="X967" s="50"/>
      <c r="Y967"/>
      <c r="Z967" s="50"/>
      <c r="AA967"/>
      <c r="AB967"/>
      <c r="AC967" s="50"/>
      <c r="AD967"/>
      <c r="AE967" s="75" t="s">
        <v>1017</v>
      </c>
      <c r="AF967" s="50"/>
      <c r="AG967" s="50"/>
      <c r="AH967" s="166" t="str">
        <f t="shared" si="409"/>
        <v/>
      </c>
      <c r="AI967" s="168" t="str">
        <f t="shared" si="401"/>
        <v/>
      </c>
      <c r="AJ967" s="168" t="str">
        <f t="shared" si="402"/>
        <v/>
      </c>
      <c r="AK967" s="168" t="str">
        <f t="shared" si="403"/>
        <v/>
      </c>
      <c r="AL967" s="168" t="str">
        <f t="shared" si="404"/>
        <v/>
      </c>
      <c r="AM967" s="168" t="str">
        <f t="shared" si="405"/>
        <v/>
      </c>
      <c r="AN967" s="167" t="str">
        <f t="shared" si="387"/>
        <v/>
      </c>
      <c r="AO967" s="167" t="str">
        <f t="shared" si="388"/>
        <v/>
      </c>
      <c r="AP967" s="167" t="str">
        <f t="shared" si="389"/>
        <v/>
      </c>
      <c r="AQ967" s="169" t="str">
        <f t="shared" si="390"/>
        <v/>
      </c>
      <c r="AR967" s="170" t="str">
        <f t="shared" si="391"/>
        <v>BiK82bK09y--05</v>
      </c>
      <c r="AS967" s="169" t="str">
        <f t="shared" si="392"/>
        <v/>
      </c>
      <c r="AT967">
        <f t="shared" si="393"/>
        <v>14</v>
      </c>
      <c r="AU967" s="170" t="str">
        <f t="shared" si="394"/>
        <v>0,15-0,5 MW, Bonusregeln b, y und K erstmals 2009</v>
      </c>
      <c r="AV967" s="169" t="str">
        <f t="shared" si="395"/>
        <v/>
      </c>
      <c r="AW967" s="170" t="str">
        <f t="shared" si="396"/>
        <v>Anteil KWK, erstmals 2009</v>
      </c>
      <c r="AX967" s="169" t="str">
        <f t="shared" si="397"/>
        <v/>
      </c>
      <c r="AY967" t="str">
        <f t="shared" si="398"/>
        <v/>
      </c>
      <c r="AZ967" t="str">
        <f t="shared" si="399"/>
        <v/>
      </c>
    </row>
    <row r="968" spans="1:52" s="145" customFormat="1" x14ac:dyDescent="0.35">
      <c r="A968" s="497" t="s">
        <v>3604</v>
      </c>
      <c r="B968" s="13" t="s">
        <v>5547</v>
      </c>
      <c r="C968" s="13" t="s">
        <v>1288</v>
      </c>
      <c r="D968" s="13" t="s">
        <v>7136</v>
      </c>
      <c r="E968" s="13" t="s">
        <v>3566</v>
      </c>
      <c r="F968" s="373">
        <f t="shared" si="406"/>
        <v>15.72</v>
      </c>
      <c r="G968" s="430">
        <v>15.72</v>
      </c>
      <c r="H968" s="399">
        <f t="shared" si="407"/>
        <v>12.58</v>
      </c>
      <c r="I968" s="576"/>
      <c r="J968" s="549" t="s">
        <v>5804</v>
      </c>
      <c r="K968" s="11"/>
      <c r="L968"/>
      <c r="M968" s="37">
        <f t="shared" si="408"/>
        <v>15.72</v>
      </c>
      <c r="N968" s="29">
        <v>9.75</v>
      </c>
      <c r="O968" s="41"/>
      <c r="P968" s="11"/>
      <c r="Q968"/>
      <c r="R968" t="s">
        <v>1017</v>
      </c>
      <c r="S968" t="s">
        <v>4179</v>
      </c>
      <c r="T968" s="145" t="s">
        <v>4179</v>
      </c>
      <c r="U968" s="42" t="s">
        <v>1017</v>
      </c>
      <c r="V968"/>
      <c r="W968" s="50"/>
      <c r="X968" s="50"/>
      <c r="Y968"/>
      <c r="Z968" s="50"/>
      <c r="AA968"/>
      <c r="AB968"/>
      <c r="AC968" s="50"/>
      <c r="AD968"/>
      <c r="AE968" s="75" t="s">
        <v>1017</v>
      </c>
      <c r="AF968" s="50"/>
      <c r="AG968" s="50"/>
      <c r="AH968" s="166" t="str">
        <f t="shared" si="409"/>
        <v>2010</v>
      </c>
      <c r="AI968" s="168" t="str">
        <f t="shared" si="401"/>
        <v/>
      </c>
      <c r="AJ968" s="168" t="str">
        <f t="shared" si="402"/>
        <v/>
      </c>
      <c r="AK968" s="168" t="str">
        <f t="shared" si="403"/>
        <v/>
      </c>
      <c r="AL968" s="168" t="str">
        <f t="shared" si="404"/>
        <v/>
      </c>
      <c r="AM968" s="168" t="str">
        <f t="shared" si="405"/>
        <v/>
      </c>
      <c r="AN968" s="167" t="str">
        <f t="shared" si="387"/>
        <v>2010</v>
      </c>
      <c r="AO968" s="167" t="str">
        <f t="shared" si="388"/>
        <v>2010</v>
      </c>
      <c r="AP968" s="167" t="str">
        <f t="shared" si="389"/>
        <v>2010</v>
      </c>
      <c r="AQ968" s="169" t="str">
        <f t="shared" si="390"/>
        <v/>
      </c>
      <c r="AR968" s="170" t="str">
        <f t="shared" si="391"/>
        <v>BiK82bK10y--05</v>
      </c>
      <c r="AS968" s="169" t="str">
        <f t="shared" si="392"/>
        <v/>
      </c>
      <c r="AT968">
        <f t="shared" si="393"/>
        <v>14</v>
      </c>
      <c r="AU968" s="170" t="str">
        <f t="shared" si="394"/>
        <v>0,15-0,5 MW, Bonusregeln b, y und K erstmals 2010</v>
      </c>
      <c r="AV968" s="169" t="str">
        <f t="shared" si="395"/>
        <v/>
      </c>
      <c r="AW968" s="170" t="str">
        <f t="shared" si="396"/>
        <v>Anteil KWK, erstmals 2010</v>
      </c>
      <c r="AX968" s="169" t="str">
        <f t="shared" si="397"/>
        <v/>
      </c>
      <c r="AY968" t="str">
        <f t="shared" si="398"/>
        <v/>
      </c>
      <c r="AZ968" t="str">
        <f t="shared" si="399"/>
        <v/>
      </c>
    </row>
    <row r="969" spans="1:52" s="145" customFormat="1" x14ac:dyDescent="0.35">
      <c r="A969" s="497" t="s">
        <v>5335</v>
      </c>
      <c r="B969" s="13" t="s">
        <v>5547</v>
      </c>
      <c r="C969" s="13" t="s">
        <v>1288</v>
      </c>
      <c r="D969" s="13" t="s">
        <v>7137</v>
      </c>
      <c r="E969" s="13" t="s">
        <v>3054</v>
      </c>
      <c r="F969" s="373">
        <f t="shared" si="406"/>
        <v>15.69</v>
      </c>
      <c r="G969" s="430">
        <v>15.69</v>
      </c>
      <c r="H969" s="399">
        <f t="shared" si="407"/>
        <v>12.55</v>
      </c>
      <c r="I969" s="576"/>
      <c r="J969" s="549" t="s">
        <v>5804</v>
      </c>
      <c r="K969" s="11"/>
      <c r="L969"/>
      <c r="M969" s="37">
        <f t="shared" si="408"/>
        <v>15.69</v>
      </c>
      <c r="N969" s="29">
        <v>9.75</v>
      </c>
      <c r="O969" s="41"/>
      <c r="P969" s="11"/>
      <c r="Q969"/>
      <c r="R969"/>
      <c r="S969" t="s">
        <v>1017</v>
      </c>
      <c r="T969" s="145" t="s">
        <v>4179</v>
      </c>
      <c r="U969" s="42" t="s">
        <v>1017</v>
      </c>
      <c r="V969"/>
      <c r="W969" s="50"/>
      <c r="X969" s="50"/>
      <c r="Y969"/>
      <c r="Z969" s="50"/>
      <c r="AA969"/>
      <c r="AB969"/>
      <c r="AC969" s="50"/>
      <c r="AD969"/>
      <c r="AE969" s="75" t="s">
        <v>1017</v>
      </c>
      <c r="AF969" s="50"/>
      <c r="AG969" s="50"/>
      <c r="AH969" s="166" t="str">
        <f t="shared" si="409"/>
        <v>2011</v>
      </c>
      <c r="AI969" s="168" t="str">
        <f t="shared" si="401"/>
        <v/>
      </c>
      <c r="AJ969" s="168" t="str">
        <f t="shared" si="402"/>
        <v/>
      </c>
      <c r="AK969" s="168" t="str">
        <f t="shared" si="403"/>
        <v/>
      </c>
      <c r="AL969" s="168" t="str">
        <f t="shared" si="404"/>
        <v/>
      </c>
      <c r="AM969" s="168" t="str">
        <f t="shared" si="405"/>
        <v/>
      </c>
      <c r="AN969" s="167" t="str">
        <f t="shared" si="387"/>
        <v>2011</v>
      </c>
      <c r="AO969" s="167" t="str">
        <f t="shared" si="388"/>
        <v>2011</v>
      </c>
      <c r="AP969" s="167" t="str">
        <f t="shared" si="389"/>
        <v>2011</v>
      </c>
      <c r="AQ969" s="169" t="str">
        <f t="shared" si="390"/>
        <v/>
      </c>
      <c r="AR969" s="170" t="str">
        <f t="shared" si="391"/>
        <v>BiK82bK11y--05</v>
      </c>
      <c r="AS969" s="169" t="str">
        <f t="shared" si="392"/>
        <v/>
      </c>
      <c r="AT969">
        <f t="shared" si="393"/>
        <v>14</v>
      </c>
      <c r="AU969" s="170" t="str">
        <f t="shared" si="394"/>
        <v>0,15-0,5 MW, Bonusregeln b, y und K erstmals 2011</v>
      </c>
      <c r="AV969" s="169" t="str">
        <f t="shared" si="395"/>
        <v/>
      </c>
      <c r="AW969" s="170" t="str">
        <f t="shared" si="396"/>
        <v>Anteil KWK, erstmals 2011</v>
      </c>
      <c r="AX969" s="169" t="str">
        <f t="shared" si="397"/>
        <v/>
      </c>
      <c r="AY969" t="str">
        <f t="shared" si="398"/>
        <v>x</v>
      </c>
      <c r="AZ969" t="str">
        <f t="shared" si="399"/>
        <v/>
      </c>
    </row>
    <row r="970" spans="1:52" s="145" customFormat="1" x14ac:dyDescent="0.35">
      <c r="A970" s="511" t="s">
        <v>1586</v>
      </c>
      <c r="B970" s="173" t="s">
        <v>5547</v>
      </c>
      <c r="C970" s="173" t="s">
        <v>1288</v>
      </c>
      <c r="D970" s="173" t="s">
        <v>7138</v>
      </c>
      <c r="E970" s="173" t="s">
        <v>1980</v>
      </c>
      <c r="F970" s="374">
        <f t="shared" si="406"/>
        <v>15.66</v>
      </c>
      <c r="G970" s="431">
        <v>15.66</v>
      </c>
      <c r="H970" s="400">
        <f t="shared" si="407"/>
        <v>12.53</v>
      </c>
      <c r="I970" s="577"/>
      <c r="J970" s="549" t="s">
        <v>5804</v>
      </c>
      <c r="K970" s="11"/>
      <c r="L970"/>
      <c r="M970" s="37">
        <f t="shared" si="408"/>
        <v>15.66</v>
      </c>
      <c r="N970" s="29">
        <v>9.75</v>
      </c>
      <c r="O970" s="41"/>
      <c r="P970" s="11"/>
      <c r="Q970"/>
      <c r="R970"/>
      <c r="S970" t="s">
        <v>4179</v>
      </c>
      <c r="T970" s="145" t="s">
        <v>1017</v>
      </c>
      <c r="U970" s="42" t="s">
        <v>1017</v>
      </c>
      <c r="V970"/>
      <c r="W970" s="50"/>
      <c r="X970" s="50"/>
      <c r="Y970"/>
      <c r="Z970" s="50"/>
      <c r="AA970"/>
      <c r="AB970"/>
      <c r="AC970" s="50"/>
      <c r="AD970"/>
      <c r="AE970" s="75" t="s">
        <v>1017</v>
      </c>
      <c r="AF970" s="50"/>
      <c r="AG970" s="50"/>
      <c r="AH970" s="171" t="s">
        <v>4178</v>
      </c>
      <c r="AI970" s="168" t="str">
        <f t="shared" si="401"/>
        <v/>
      </c>
      <c r="AJ970" s="168" t="str">
        <f t="shared" si="402"/>
        <v/>
      </c>
      <c r="AK970" s="168" t="str">
        <f t="shared" si="403"/>
        <v/>
      </c>
      <c r="AL970" s="168" t="str">
        <f t="shared" si="404"/>
        <v/>
      </c>
      <c r="AM970" s="168" t="str">
        <f t="shared" si="405"/>
        <v/>
      </c>
      <c r="AN970" s="167" t="str">
        <f t="shared" si="387"/>
        <v>2012</v>
      </c>
      <c r="AO970" s="167" t="str">
        <f t="shared" si="388"/>
        <v>2012</v>
      </c>
      <c r="AP970" s="167" t="str">
        <f t="shared" si="389"/>
        <v>2012</v>
      </c>
      <c r="AQ970" s="169" t="str">
        <f t="shared" si="390"/>
        <v/>
      </c>
      <c r="AR970" s="170" t="str">
        <f t="shared" si="391"/>
        <v>BiK82bK12y--05</v>
      </c>
      <c r="AS970" s="169" t="str">
        <f t="shared" si="392"/>
        <v/>
      </c>
      <c r="AT970">
        <f t="shared" si="393"/>
        <v>14</v>
      </c>
      <c r="AU970" s="170" t="str">
        <f t="shared" si="394"/>
        <v>0,15-0,5 MW, Bonusregeln b, y und K erstmals 2012</v>
      </c>
      <c r="AV970" s="169" t="str">
        <f t="shared" si="395"/>
        <v/>
      </c>
      <c r="AW970" s="170" t="str">
        <f t="shared" si="396"/>
        <v>Anteil KWK, erstmals 2012</v>
      </c>
      <c r="AX970" s="169" t="str">
        <f t="shared" si="397"/>
        <v/>
      </c>
      <c r="AY970" t="str">
        <f t="shared" si="398"/>
        <v/>
      </c>
      <c r="AZ970" t="str">
        <f t="shared" si="399"/>
        <v>x</v>
      </c>
    </row>
    <row r="971" spans="1:52" s="145" customFormat="1" x14ac:dyDescent="0.35">
      <c r="A971" s="496" t="s">
        <v>3490</v>
      </c>
      <c r="B971" s="1" t="s">
        <v>5547</v>
      </c>
      <c r="C971" s="1" t="s">
        <v>1288</v>
      </c>
      <c r="D971" s="1" t="s">
        <v>7139</v>
      </c>
      <c r="E971" s="1" t="s">
        <v>4809</v>
      </c>
      <c r="F971" s="375">
        <f t="shared" si="406"/>
        <v>17.75</v>
      </c>
      <c r="G971" s="432">
        <v>17.75</v>
      </c>
      <c r="H971" s="401">
        <f t="shared" si="407"/>
        <v>14.2</v>
      </c>
      <c r="I971" s="578"/>
      <c r="J971" s="549" t="s">
        <v>5804</v>
      </c>
      <c r="K971" s="11"/>
      <c r="L971"/>
      <c r="M971" s="37">
        <f t="shared" si="408"/>
        <v>17.75</v>
      </c>
      <c r="N971" s="29">
        <v>9.75</v>
      </c>
      <c r="O971" s="41"/>
      <c r="P971" s="11"/>
      <c r="Q971"/>
      <c r="R971"/>
      <c r="S971" t="s">
        <v>4179</v>
      </c>
      <c r="T971" s="145" t="s">
        <v>4179</v>
      </c>
      <c r="U971" s="42"/>
      <c r="V971" t="s">
        <v>1017</v>
      </c>
      <c r="W971" s="50"/>
      <c r="X971" s="50"/>
      <c r="Y971"/>
      <c r="Z971" s="50"/>
      <c r="AA971"/>
      <c r="AB971"/>
      <c r="AC971" s="50"/>
      <c r="AD971"/>
      <c r="AE971" s="75" t="s">
        <v>1017</v>
      </c>
      <c r="AF971" s="50"/>
      <c r="AG971" s="50"/>
      <c r="AH971" s="166" t="str">
        <f t="shared" ref="AH971:AH976" si="410">IF(ISERROR(SEARCH("K erstmals 201",D971)),"",RIGHT(D971,4))</f>
        <v/>
      </c>
      <c r="AI971" s="168" t="str">
        <f t="shared" si="401"/>
        <v/>
      </c>
      <c r="AJ971" s="168" t="str">
        <f t="shared" si="402"/>
        <v/>
      </c>
      <c r="AK971" s="168" t="str">
        <f t="shared" si="403"/>
        <v/>
      </c>
      <c r="AL971" s="168" t="str">
        <f t="shared" si="404"/>
        <v/>
      </c>
      <c r="AM971" s="168" t="str">
        <f t="shared" si="405"/>
        <v/>
      </c>
      <c r="AN971" s="167" t="str">
        <f t="shared" si="387"/>
        <v/>
      </c>
      <c r="AO971" s="167" t="str">
        <f t="shared" si="388"/>
        <v/>
      </c>
      <c r="AP971" s="167" t="str">
        <f t="shared" si="389"/>
        <v/>
      </c>
      <c r="AQ971" s="169" t="str">
        <f t="shared" si="390"/>
        <v/>
      </c>
      <c r="AR971" s="170" t="str">
        <f t="shared" si="391"/>
        <v>BiK82a1b----05</v>
      </c>
      <c r="AS971" s="169" t="str">
        <f t="shared" si="392"/>
        <v/>
      </c>
      <c r="AT971">
        <f t="shared" si="393"/>
        <v>14</v>
      </c>
      <c r="AU971" s="170" t="str">
        <f t="shared" si="394"/>
        <v>0,15-0,5 MW, Bonusregeln a1 und b</v>
      </c>
      <c r="AV971" s="169" t="str">
        <f t="shared" si="395"/>
        <v/>
      </c>
      <c r="AW971" s="170" t="str">
        <f t="shared" si="396"/>
        <v>Anteil Nicht-KWK</v>
      </c>
      <c r="AX971" s="169" t="str">
        <f t="shared" si="397"/>
        <v/>
      </c>
      <c r="AY971" t="str">
        <f t="shared" si="398"/>
        <v/>
      </c>
      <c r="AZ971" t="str">
        <f t="shared" si="399"/>
        <v/>
      </c>
    </row>
    <row r="972" spans="1:52" s="145" customFormat="1" x14ac:dyDescent="0.35">
      <c r="A972" s="496" t="s">
        <v>3491</v>
      </c>
      <c r="B972" s="1" t="s">
        <v>5547</v>
      </c>
      <c r="C972" s="1" t="s">
        <v>1288</v>
      </c>
      <c r="D972" s="1" t="s">
        <v>7140</v>
      </c>
      <c r="E972" s="1" t="s">
        <v>4811</v>
      </c>
      <c r="F972" s="375">
        <f t="shared" si="406"/>
        <v>19.75</v>
      </c>
      <c r="G972" s="432">
        <v>19.75</v>
      </c>
      <c r="H972" s="401">
        <f t="shared" si="407"/>
        <v>15.8</v>
      </c>
      <c r="I972" s="578"/>
      <c r="J972" s="549" t="s">
        <v>5804</v>
      </c>
      <c r="K972" s="11"/>
      <c r="L972"/>
      <c r="M972" s="37">
        <f t="shared" si="408"/>
        <v>19.75</v>
      </c>
      <c r="N972" s="29">
        <v>9.75</v>
      </c>
      <c r="O972" s="41" t="s">
        <v>1017</v>
      </c>
      <c r="P972" s="11"/>
      <c r="Q972"/>
      <c r="R972"/>
      <c r="S972" t="s">
        <v>4179</v>
      </c>
      <c r="T972" s="145" t="s">
        <v>4179</v>
      </c>
      <c r="U972" s="42"/>
      <c r="V972" t="s">
        <v>1017</v>
      </c>
      <c r="W972" s="50"/>
      <c r="X972" s="50"/>
      <c r="Y972"/>
      <c r="Z972" s="50"/>
      <c r="AA972"/>
      <c r="AB972"/>
      <c r="AC972" s="50"/>
      <c r="AD972"/>
      <c r="AE972" s="75" t="s">
        <v>1017</v>
      </c>
      <c r="AF972" s="50"/>
      <c r="AG972" s="50"/>
      <c r="AH972" s="166" t="str">
        <f t="shared" si="410"/>
        <v/>
      </c>
      <c r="AI972" s="168" t="str">
        <f t="shared" si="401"/>
        <v/>
      </c>
      <c r="AJ972" s="168" t="str">
        <f t="shared" si="402"/>
        <v/>
      </c>
      <c r="AK972" s="168" t="str">
        <f t="shared" si="403"/>
        <v/>
      </c>
      <c r="AL972" s="168" t="str">
        <f t="shared" si="404"/>
        <v/>
      </c>
      <c r="AM972" s="168" t="str">
        <f t="shared" si="405"/>
        <v/>
      </c>
      <c r="AN972" s="167" t="str">
        <f t="shared" si="387"/>
        <v/>
      </c>
      <c r="AO972" s="167" t="str">
        <f t="shared" si="388"/>
        <v/>
      </c>
      <c r="AP972" s="167" t="str">
        <f t="shared" si="389"/>
        <v/>
      </c>
      <c r="AQ972" s="169" t="str">
        <f t="shared" si="390"/>
        <v/>
      </c>
      <c r="AR972" s="170" t="str">
        <f t="shared" si="391"/>
        <v>BiK82a1bKWK-05</v>
      </c>
      <c r="AS972" s="169" t="str">
        <f t="shared" si="392"/>
        <v/>
      </c>
      <c r="AT972">
        <f t="shared" si="393"/>
        <v>14</v>
      </c>
      <c r="AU972" s="170" t="str">
        <f t="shared" si="394"/>
        <v>0,15-0,5 MW, Bonusregeln a1, b und KWK</v>
      </c>
      <c r="AV972" s="169" t="str">
        <f t="shared" si="395"/>
        <v/>
      </c>
      <c r="AW972" s="170" t="str">
        <f t="shared" si="396"/>
        <v>Anteil KWK</v>
      </c>
      <c r="AX972" s="169" t="str">
        <f t="shared" si="397"/>
        <v/>
      </c>
      <c r="AY972" t="str">
        <f t="shared" si="398"/>
        <v/>
      </c>
      <c r="AZ972" t="str">
        <f t="shared" si="399"/>
        <v/>
      </c>
    </row>
    <row r="973" spans="1:52" s="145" customFormat="1" x14ac:dyDescent="0.35">
      <c r="A973" s="497" t="s">
        <v>4348</v>
      </c>
      <c r="B973" s="13" t="s">
        <v>5547</v>
      </c>
      <c r="C973" s="13" t="s">
        <v>1288</v>
      </c>
      <c r="D973" s="13" t="s">
        <v>7141</v>
      </c>
      <c r="E973" s="13" t="s">
        <v>4330</v>
      </c>
      <c r="F973" s="373">
        <f t="shared" si="406"/>
        <v>20.75</v>
      </c>
      <c r="G973" s="430">
        <v>20.75</v>
      </c>
      <c r="H973" s="399">
        <f t="shared" si="407"/>
        <v>16.600000000000001</v>
      </c>
      <c r="I973" s="576"/>
      <c r="J973" s="549" t="s">
        <v>5804</v>
      </c>
      <c r="K973" s="11"/>
      <c r="L973"/>
      <c r="M973" s="37">
        <f t="shared" si="408"/>
        <v>20.75</v>
      </c>
      <c r="N973" s="29">
        <v>9.75</v>
      </c>
      <c r="O973" s="41"/>
      <c r="P973" t="s">
        <v>1017</v>
      </c>
      <c r="Q973"/>
      <c r="R973"/>
      <c r="S973" t="s">
        <v>4179</v>
      </c>
      <c r="T973" s="145" t="s">
        <v>4179</v>
      </c>
      <c r="U973" s="42"/>
      <c r="V973" t="s">
        <v>1017</v>
      </c>
      <c r="W973" s="50"/>
      <c r="X973" s="50"/>
      <c r="Y973"/>
      <c r="Z973" s="50"/>
      <c r="AA973"/>
      <c r="AB973"/>
      <c r="AC973" s="50"/>
      <c r="AD973"/>
      <c r="AE973" s="75" t="s">
        <v>1017</v>
      </c>
      <c r="AF973" s="50"/>
      <c r="AG973" s="50"/>
      <c r="AH973" s="166" t="str">
        <f t="shared" si="410"/>
        <v/>
      </c>
      <c r="AI973" s="168" t="str">
        <f t="shared" si="401"/>
        <v/>
      </c>
      <c r="AJ973" s="168" t="str">
        <f t="shared" si="402"/>
        <v/>
      </c>
      <c r="AK973" s="168" t="str">
        <f t="shared" si="403"/>
        <v/>
      </c>
      <c r="AL973" s="168" t="str">
        <f t="shared" si="404"/>
        <v/>
      </c>
      <c r="AM973" s="168" t="str">
        <f t="shared" si="405"/>
        <v/>
      </c>
      <c r="AN973" s="167" t="str">
        <f t="shared" si="387"/>
        <v/>
      </c>
      <c r="AO973" s="167" t="str">
        <f t="shared" si="388"/>
        <v/>
      </c>
      <c r="AP973" s="167" t="str">
        <f t="shared" si="389"/>
        <v/>
      </c>
      <c r="AQ973" s="169" t="str">
        <f t="shared" si="390"/>
        <v/>
      </c>
      <c r="AR973" s="170" t="str">
        <f t="shared" si="391"/>
        <v>BiK82a1bKA3-05</v>
      </c>
      <c r="AS973" s="169" t="str">
        <f t="shared" si="392"/>
        <v/>
      </c>
      <c r="AT973">
        <f t="shared" si="393"/>
        <v>14</v>
      </c>
      <c r="AU973" s="170" t="str">
        <f t="shared" si="394"/>
        <v>0,15-0,5 MW, Bonusregeln a1, b und K wenn Anlage 3 erfüllt</v>
      </c>
      <c r="AV973" s="169" t="str">
        <f t="shared" si="395"/>
        <v/>
      </c>
      <c r="AW973" s="170" t="str">
        <f t="shared" si="396"/>
        <v>Anteil KWK gemäß Anlage 3</v>
      </c>
      <c r="AX973" s="169" t="str">
        <f t="shared" si="397"/>
        <v/>
      </c>
      <c r="AY973" t="str">
        <f t="shared" si="398"/>
        <v/>
      </c>
      <c r="AZ973" t="str">
        <f t="shared" si="399"/>
        <v/>
      </c>
    </row>
    <row r="974" spans="1:52" s="145" customFormat="1" x14ac:dyDescent="0.35">
      <c r="A974" s="497" t="s">
        <v>2351</v>
      </c>
      <c r="B974" s="13" t="s">
        <v>5547</v>
      </c>
      <c r="C974" s="13" t="s">
        <v>1288</v>
      </c>
      <c r="D974" s="13" t="s">
        <v>7142</v>
      </c>
      <c r="E974" s="13" t="s">
        <v>674</v>
      </c>
      <c r="F974" s="373">
        <f t="shared" si="406"/>
        <v>20.75</v>
      </c>
      <c r="G974" s="430">
        <v>20.75</v>
      </c>
      <c r="H974" s="399">
        <f t="shared" si="407"/>
        <v>16.600000000000001</v>
      </c>
      <c r="I974" s="576"/>
      <c r="J974" s="549" t="s">
        <v>5804</v>
      </c>
      <c r="K974" s="11"/>
      <c r="L974"/>
      <c r="M974" s="37">
        <f t="shared" si="408"/>
        <v>20.75</v>
      </c>
      <c r="N974" s="29">
        <v>9.75</v>
      </c>
      <c r="O974" s="41"/>
      <c r="P974" s="11"/>
      <c r="Q974" t="s">
        <v>1017</v>
      </c>
      <c r="R974"/>
      <c r="S974" t="s">
        <v>4179</v>
      </c>
      <c r="T974" s="145" t="s">
        <v>4179</v>
      </c>
      <c r="U974" s="42"/>
      <c r="V974" t="s">
        <v>1017</v>
      </c>
      <c r="W974" s="50"/>
      <c r="X974" s="50"/>
      <c r="Y974"/>
      <c r="Z974" s="50"/>
      <c r="AA974"/>
      <c r="AB974"/>
      <c r="AC974" s="50"/>
      <c r="AD974"/>
      <c r="AE974" s="75" t="s">
        <v>1017</v>
      </c>
      <c r="AF974" s="50"/>
      <c r="AG974" s="50"/>
      <c r="AH974" s="166" t="str">
        <f t="shared" si="410"/>
        <v/>
      </c>
      <c r="AI974" s="168" t="str">
        <f t="shared" si="401"/>
        <v/>
      </c>
      <c r="AJ974" s="168" t="str">
        <f t="shared" si="402"/>
        <v/>
      </c>
      <c r="AK974" s="168" t="str">
        <f t="shared" si="403"/>
        <v/>
      </c>
      <c r="AL974" s="168" t="str">
        <f t="shared" si="404"/>
        <v/>
      </c>
      <c r="AM974" s="168" t="str">
        <f t="shared" si="405"/>
        <v/>
      </c>
      <c r="AN974" s="167" t="str">
        <f t="shared" si="387"/>
        <v/>
      </c>
      <c r="AO974" s="167" t="str">
        <f t="shared" si="388"/>
        <v/>
      </c>
      <c r="AP974" s="167" t="str">
        <f t="shared" si="389"/>
        <v/>
      </c>
      <c r="AQ974" s="169" t="str">
        <f t="shared" si="390"/>
        <v/>
      </c>
      <c r="AR974" s="170" t="str">
        <f t="shared" si="391"/>
        <v>BiK82a1bK09-05</v>
      </c>
      <c r="AS974" s="169" t="str">
        <f t="shared" si="392"/>
        <v/>
      </c>
      <c r="AT974">
        <f t="shared" si="393"/>
        <v>14</v>
      </c>
      <c r="AU974" s="170" t="str">
        <f t="shared" si="394"/>
        <v>0,15-0,5 MW, Bonusregeln a1, b und K erstmals 2009</v>
      </c>
      <c r="AV974" s="169" t="str">
        <f t="shared" si="395"/>
        <v/>
      </c>
      <c r="AW974" s="170" t="str">
        <f t="shared" si="396"/>
        <v>Anteil KWK, erstmals 2009</v>
      </c>
      <c r="AX974" s="169" t="str">
        <f t="shared" si="397"/>
        <v/>
      </c>
      <c r="AY974" t="str">
        <f t="shared" si="398"/>
        <v/>
      </c>
      <c r="AZ974" t="str">
        <f t="shared" si="399"/>
        <v/>
      </c>
    </row>
    <row r="975" spans="1:52" s="145" customFormat="1" x14ac:dyDescent="0.35">
      <c r="A975" s="497" t="s">
        <v>3605</v>
      </c>
      <c r="B975" s="13" t="s">
        <v>5547</v>
      </c>
      <c r="C975" s="13" t="s">
        <v>1288</v>
      </c>
      <c r="D975" s="13" t="s">
        <v>7143</v>
      </c>
      <c r="E975" s="13" t="s">
        <v>3566</v>
      </c>
      <c r="F975" s="373">
        <f t="shared" si="406"/>
        <v>20.72</v>
      </c>
      <c r="G975" s="430">
        <v>20.72</v>
      </c>
      <c r="H975" s="399">
        <f t="shared" si="407"/>
        <v>16.579999999999998</v>
      </c>
      <c r="I975" s="576"/>
      <c r="J975" s="549" t="s">
        <v>5804</v>
      </c>
      <c r="K975" s="11"/>
      <c r="L975"/>
      <c r="M975" s="37">
        <f t="shared" si="408"/>
        <v>20.72</v>
      </c>
      <c r="N975" s="29">
        <v>9.75</v>
      </c>
      <c r="O975" s="41"/>
      <c r="P975" s="11"/>
      <c r="Q975"/>
      <c r="R975" t="s">
        <v>1017</v>
      </c>
      <c r="S975" t="s">
        <v>4179</v>
      </c>
      <c r="T975" s="145" t="s">
        <v>4179</v>
      </c>
      <c r="U975" s="42"/>
      <c r="V975" t="s">
        <v>1017</v>
      </c>
      <c r="W975" s="50"/>
      <c r="X975" s="50"/>
      <c r="Y975"/>
      <c r="Z975" s="50"/>
      <c r="AA975"/>
      <c r="AB975"/>
      <c r="AC975" s="50"/>
      <c r="AD975"/>
      <c r="AE975" s="75" t="s">
        <v>1017</v>
      </c>
      <c r="AF975" s="50"/>
      <c r="AG975" s="50"/>
      <c r="AH975" s="166" t="str">
        <f t="shared" si="410"/>
        <v>2010</v>
      </c>
      <c r="AI975" s="168" t="str">
        <f t="shared" si="401"/>
        <v/>
      </c>
      <c r="AJ975" s="168" t="str">
        <f t="shared" si="402"/>
        <v/>
      </c>
      <c r="AK975" s="168" t="str">
        <f t="shared" si="403"/>
        <v/>
      </c>
      <c r="AL975" s="168" t="str">
        <f t="shared" si="404"/>
        <v/>
      </c>
      <c r="AM975" s="168" t="str">
        <f t="shared" si="405"/>
        <v/>
      </c>
      <c r="AN975" s="167" t="str">
        <f t="shared" si="387"/>
        <v>2010</v>
      </c>
      <c r="AO975" s="167" t="str">
        <f t="shared" si="388"/>
        <v>2010</v>
      </c>
      <c r="AP975" s="167" t="str">
        <f t="shared" si="389"/>
        <v>2010</v>
      </c>
      <c r="AQ975" s="169" t="str">
        <f t="shared" si="390"/>
        <v/>
      </c>
      <c r="AR975" s="170" t="str">
        <f t="shared" si="391"/>
        <v>BiK82a1bK10-05</v>
      </c>
      <c r="AS975" s="169" t="str">
        <f t="shared" si="392"/>
        <v/>
      </c>
      <c r="AT975">
        <f t="shared" si="393"/>
        <v>14</v>
      </c>
      <c r="AU975" s="170" t="str">
        <f t="shared" si="394"/>
        <v>0,15-0,5 MW, Bonusregeln a1, b und K erstmals 2010</v>
      </c>
      <c r="AV975" s="169" t="str">
        <f t="shared" si="395"/>
        <v/>
      </c>
      <c r="AW975" s="170" t="str">
        <f t="shared" si="396"/>
        <v>Anteil KWK, erstmals 2010</v>
      </c>
      <c r="AX975" s="169" t="str">
        <f t="shared" si="397"/>
        <v/>
      </c>
      <c r="AY975" t="str">
        <f t="shared" si="398"/>
        <v/>
      </c>
      <c r="AZ975" t="str">
        <f t="shared" si="399"/>
        <v/>
      </c>
    </row>
    <row r="976" spans="1:52" s="145" customFormat="1" x14ac:dyDescent="0.35">
      <c r="A976" s="497" t="s">
        <v>5336</v>
      </c>
      <c r="B976" s="13" t="s">
        <v>5547</v>
      </c>
      <c r="C976" s="13" t="s">
        <v>1288</v>
      </c>
      <c r="D976" s="13" t="s">
        <v>7144</v>
      </c>
      <c r="E976" s="13" t="s">
        <v>3054</v>
      </c>
      <c r="F976" s="373">
        <f t="shared" si="406"/>
        <v>20.689999999999998</v>
      </c>
      <c r="G976" s="430">
        <v>20.689999999999998</v>
      </c>
      <c r="H976" s="399">
        <f t="shared" si="407"/>
        <v>16.55</v>
      </c>
      <c r="I976" s="576"/>
      <c r="J976" s="549" t="s">
        <v>5804</v>
      </c>
      <c r="K976" s="11"/>
      <c r="L976"/>
      <c r="M976" s="37">
        <f t="shared" si="408"/>
        <v>20.689999999999998</v>
      </c>
      <c r="N976" s="29">
        <v>9.75</v>
      </c>
      <c r="O976" s="41"/>
      <c r="P976" s="11"/>
      <c r="Q976"/>
      <c r="R976"/>
      <c r="S976" t="s">
        <v>1017</v>
      </c>
      <c r="T976" s="145" t="s">
        <v>4179</v>
      </c>
      <c r="U976" s="42"/>
      <c r="V976" t="s">
        <v>1017</v>
      </c>
      <c r="W976" s="50"/>
      <c r="X976" s="50"/>
      <c r="Y976"/>
      <c r="Z976" s="50"/>
      <c r="AA976"/>
      <c r="AB976"/>
      <c r="AC976" s="50"/>
      <c r="AD976"/>
      <c r="AE976" s="75" t="s">
        <v>1017</v>
      </c>
      <c r="AF976" s="50"/>
      <c r="AG976" s="50"/>
      <c r="AH976" s="166" t="str">
        <f t="shared" si="410"/>
        <v>2011</v>
      </c>
      <c r="AI976" s="168" t="str">
        <f t="shared" si="401"/>
        <v/>
      </c>
      <c r="AJ976" s="168" t="str">
        <f t="shared" si="402"/>
        <v/>
      </c>
      <c r="AK976" s="168" t="str">
        <f t="shared" si="403"/>
        <v/>
      </c>
      <c r="AL976" s="168" t="str">
        <f t="shared" si="404"/>
        <v/>
      </c>
      <c r="AM976" s="168" t="str">
        <f t="shared" si="405"/>
        <v/>
      </c>
      <c r="AN976" s="167" t="str">
        <f t="shared" si="387"/>
        <v>2011</v>
      </c>
      <c r="AO976" s="167" t="str">
        <f t="shared" si="388"/>
        <v>2011</v>
      </c>
      <c r="AP976" s="167" t="str">
        <f t="shared" si="389"/>
        <v>2011</v>
      </c>
      <c r="AQ976" s="169" t="str">
        <f t="shared" si="390"/>
        <v/>
      </c>
      <c r="AR976" s="170" t="str">
        <f t="shared" si="391"/>
        <v>BiK82a1bK11-05</v>
      </c>
      <c r="AS976" s="169" t="str">
        <f t="shared" si="392"/>
        <v/>
      </c>
      <c r="AT976">
        <f t="shared" si="393"/>
        <v>14</v>
      </c>
      <c r="AU976" s="170" t="str">
        <f t="shared" si="394"/>
        <v>0,15-0,5 MW, Bonusregeln a1, b und K erstmals 2011</v>
      </c>
      <c r="AV976" s="169" t="str">
        <f t="shared" si="395"/>
        <v/>
      </c>
      <c r="AW976" s="170" t="str">
        <f t="shared" si="396"/>
        <v>Anteil KWK, erstmals 2011</v>
      </c>
      <c r="AX976" s="169" t="str">
        <f t="shared" si="397"/>
        <v/>
      </c>
      <c r="AY976" t="str">
        <f t="shared" si="398"/>
        <v>x</v>
      </c>
      <c r="AZ976" t="str">
        <f t="shared" si="399"/>
        <v/>
      </c>
    </row>
    <row r="977" spans="1:52" s="145" customFormat="1" x14ac:dyDescent="0.35">
      <c r="A977" s="511" t="s">
        <v>1587</v>
      </c>
      <c r="B977" s="173" t="s">
        <v>5547</v>
      </c>
      <c r="C977" s="173" t="s">
        <v>1288</v>
      </c>
      <c r="D977" s="173" t="s">
        <v>7145</v>
      </c>
      <c r="E977" s="173" t="s">
        <v>1980</v>
      </c>
      <c r="F977" s="374">
        <f t="shared" si="406"/>
        <v>20.66</v>
      </c>
      <c r="G977" s="431">
        <v>20.66</v>
      </c>
      <c r="H977" s="400">
        <f t="shared" si="407"/>
        <v>16.53</v>
      </c>
      <c r="I977" s="577"/>
      <c r="J977" s="549" t="s">
        <v>5804</v>
      </c>
      <c r="K977" s="11"/>
      <c r="L977"/>
      <c r="M977" s="37">
        <f t="shared" si="408"/>
        <v>20.66</v>
      </c>
      <c r="N977" s="29">
        <v>9.75</v>
      </c>
      <c r="O977" s="41"/>
      <c r="P977" s="11"/>
      <c r="Q977"/>
      <c r="R977"/>
      <c r="S977" t="s">
        <v>4179</v>
      </c>
      <c r="T977" s="145" t="s">
        <v>1017</v>
      </c>
      <c r="U977" s="42"/>
      <c r="V977" t="s">
        <v>1017</v>
      </c>
      <c r="W977" s="50"/>
      <c r="X977" s="50"/>
      <c r="Y977"/>
      <c r="Z977" s="50"/>
      <c r="AA977"/>
      <c r="AB977"/>
      <c r="AC977" s="50"/>
      <c r="AD977"/>
      <c r="AE977" s="75" t="s">
        <v>1017</v>
      </c>
      <c r="AF977" s="50"/>
      <c r="AG977" s="50"/>
      <c r="AH977" s="171" t="s">
        <v>4178</v>
      </c>
      <c r="AI977" s="168" t="str">
        <f t="shared" si="401"/>
        <v/>
      </c>
      <c r="AJ977" s="168" t="str">
        <f t="shared" si="402"/>
        <v/>
      </c>
      <c r="AK977" s="168" t="str">
        <f t="shared" si="403"/>
        <v/>
      </c>
      <c r="AL977" s="168" t="str">
        <f t="shared" si="404"/>
        <v/>
      </c>
      <c r="AM977" s="168" t="str">
        <f t="shared" si="405"/>
        <v/>
      </c>
      <c r="AN977" s="167" t="str">
        <f t="shared" si="387"/>
        <v>2012</v>
      </c>
      <c r="AO977" s="167" t="str">
        <f t="shared" si="388"/>
        <v>2012</v>
      </c>
      <c r="AP977" s="167" t="str">
        <f t="shared" si="389"/>
        <v>2012</v>
      </c>
      <c r="AQ977" s="169" t="str">
        <f t="shared" si="390"/>
        <v/>
      </c>
      <c r="AR977" s="170" t="str">
        <f t="shared" si="391"/>
        <v>BiK82a1bK12-05</v>
      </c>
      <c r="AS977" s="169" t="str">
        <f t="shared" si="392"/>
        <v/>
      </c>
      <c r="AT977">
        <f t="shared" si="393"/>
        <v>14</v>
      </c>
      <c r="AU977" s="170" t="str">
        <f t="shared" si="394"/>
        <v>0,15-0,5 MW, Bonusregeln a1, b und K erstmals 2012</v>
      </c>
      <c r="AV977" s="169" t="str">
        <f t="shared" si="395"/>
        <v/>
      </c>
      <c r="AW977" s="170" t="str">
        <f t="shared" si="396"/>
        <v>Anteil KWK, erstmals 2012</v>
      </c>
      <c r="AX977" s="169" t="str">
        <f t="shared" si="397"/>
        <v/>
      </c>
      <c r="AY977" t="str">
        <f t="shared" si="398"/>
        <v/>
      </c>
      <c r="AZ977" t="str">
        <f t="shared" si="399"/>
        <v>x</v>
      </c>
    </row>
    <row r="978" spans="1:52" s="145" customFormat="1" x14ac:dyDescent="0.35">
      <c r="A978" s="497" t="s">
        <v>1337</v>
      </c>
      <c r="B978" s="13" t="s">
        <v>5547</v>
      </c>
      <c r="C978" s="13" t="s">
        <v>1288</v>
      </c>
      <c r="D978" s="13" t="s">
        <v>7146</v>
      </c>
      <c r="E978" s="13" t="s">
        <v>4809</v>
      </c>
      <c r="F978" s="373">
        <f t="shared" si="406"/>
        <v>18.75</v>
      </c>
      <c r="G978" s="430">
        <v>18.75</v>
      </c>
      <c r="H978" s="399">
        <f t="shared" si="407"/>
        <v>15</v>
      </c>
      <c r="I978" s="576"/>
      <c r="J978" s="549" t="s">
        <v>5804</v>
      </c>
      <c r="K978" s="11"/>
      <c r="L978"/>
      <c r="M978" s="37">
        <f t="shared" si="408"/>
        <v>18.75</v>
      </c>
      <c r="N978" s="29">
        <v>9.75</v>
      </c>
      <c r="O978" s="41"/>
      <c r="P978" s="11"/>
      <c r="Q978"/>
      <c r="R978"/>
      <c r="S978" t="s">
        <v>4179</v>
      </c>
      <c r="T978" s="145" t="s">
        <v>4179</v>
      </c>
      <c r="U978" s="42" t="s">
        <v>1017</v>
      </c>
      <c r="V978" t="s">
        <v>1017</v>
      </c>
      <c r="W978" s="50"/>
      <c r="X978" s="50"/>
      <c r="Y978"/>
      <c r="Z978" s="50"/>
      <c r="AA978"/>
      <c r="AB978"/>
      <c r="AC978" s="50"/>
      <c r="AD978"/>
      <c r="AE978" s="75" t="s">
        <v>1017</v>
      </c>
      <c r="AF978" s="50"/>
      <c r="AG978" s="50"/>
      <c r="AH978" s="166" t="str">
        <f t="shared" ref="AH978:AH983" si="411">IF(ISERROR(SEARCH("K erstmals 201",D978)),"",RIGHT(D978,4))</f>
        <v/>
      </c>
      <c r="AI978" s="168" t="str">
        <f t="shared" si="401"/>
        <v/>
      </c>
      <c r="AJ978" s="168" t="str">
        <f t="shared" si="402"/>
        <v/>
      </c>
      <c r="AK978" s="168" t="str">
        <f t="shared" si="403"/>
        <v/>
      </c>
      <c r="AL978" s="168" t="str">
        <f t="shared" si="404"/>
        <v/>
      </c>
      <c r="AM978" s="168" t="str">
        <f t="shared" si="405"/>
        <v/>
      </c>
      <c r="AN978" s="167" t="str">
        <f t="shared" si="387"/>
        <v/>
      </c>
      <c r="AO978" s="167" t="str">
        <f t="shared" si="388"/>
        <v/>
      </c>
      <c r="AP978" s="167" t="str">
        <f t="shared" si="389"/>
        <v/>
      </c>
      <c r="AQ978" s="169" t="str">
        <f t="shared" si="390"/>
        <v/>
      </c>
      <c r="AR978" s="170" t="str">
        <f t="shared" si="391"/>
        <v>BiK82a1by---05</v>
      </c>
      <c r="AS978" s="169" t="str">
        <f t="shared" si="392"/>
        <v/>
      </c>
      <c r="AT978">
        <f t="shared" si="393"/>
        <v>14</v>
      </c>
      <c r="AU978" s="170" t="str">
        <f t="shared" si="394"/>
        <v>0,15-0,5 MW, Bonusregeln a1, b, y</v>
      </c>
      <c r="AV978" s="169" t="str">
        <f t="shared" si="395"/>
        <v/>
      </c>
      <c r="AW978" s="170" t="str">
        <f t="shared" si="396"/>
        <v>Anteil Nicht-KWK</v>
      </c>
      <c r="AX978" s="169" t="str">
        <f t="shared" si="397"/>
        <v/>
      </c>
      <c r="AY978" t="str">
        <f t="shared" si="398"/>
        <v/>
      </c>
      <c r="AZ978" t="str">
        <f t="shared" si="399"/>
        <v/>
      </c>
    </row>
    <row r="979" spans="1:52" s="145" customFormat="1" x14ac:dyDescent="0.35">
      <c r="A979" s="497" t="s">
        <v>1338</v>
      </c>
      <c r="B979" s="13" t="s">
        <v>5547</v>
      </c>
      <c r="C979" s="13" t="s">
        <v>1288</v>
      </c>
      <c r="D979" s="13" t="s">
        <v>7147</v>
      </c>
      <c r="E979" s="13" t="s">
        <v>4811</v>
      </c>
      <c r="F979" s="373">
        <f t="shared" si="406"/>
        <v>20.75</v>
      </c>
      <c r="G979" s="430">
        <v>20.75</v>
      </c>
      <c r="H979" s="399">
        <f t="shared" si="407"/>
        <v>16.600000000000001</v>
      </c>
      <c r="I979" s="576"/>
      <c r="J979" s="549" t="s">
        <v>5804</v>
      </c>
      <c r="K979" s="11"/>
      <c r="L979"/>
      <c r="M979" s="37">
        <f t="shared" si="408"/>
        <v>20.75</v>
      </c>
      <c r="N979" s="29">
        <v>9.75</v>
      </c>
      <c r="O979" s="41" t="s">
        <v>1017</v>
      </c>
      <c r="P979" s="11"/>
      <c r="Q979"/>
      <c r="R979"/>
      <c r="S979" t="s">
        <v>4179</v>
      </c>
      <c r="T979" s="145" t="s">
        <v>4179</v>
      </c>
      <c r="U979" s="42" t="s">
        <v>1017</v>
      </c>
      <c r="V979" t="s">
        <v>1017</v>
      </c>
      <c r="W979" s="50"/>
      <c r="X979" s="50"/>
      <c r="Y979"/>
      <c r="Z979" s="50"/>
      <c r="AA979"/>
      <c r="AB979"/>
      <c r="AC979" s="50"/>
      <c r="AD979"/>
      <c r="AE979" s="75" t="s">
        <v>1017</v>
      </c>
      <c r="AF979" s="50"/>
      <c r="AG979" s="50"/>
      <c r="AH979" s="166" t="str">
        <f t="shared" si="411"/>
        <v/>
      </c>
      <c r="AI979" s="168" t="str">
        <f t="shared" si="401"/>
        <v/>
      </c>
      <c r="AJ979" s="168" t="str">
        <f t="shared" si="402"/>
        <v/>
      </c>
      <c r="AK979" s="168" t="str">
        <f t="shared" si="403"/>
        <v/>
      </c>
      <c r="AL979" s="168" t="str">
        <f t="shared" si="404"/>
        <v/>
      </c>
      <c r="AM979" s="168" t="str">
        <f t="shared" si="405"/>
        <v/>
      </c>
      <c r="AN979" s="167" t="str">
        <f t="shared" si="387"/>
        <v/>
      </c>
      <c r="AO979" s="167" t="str">
        <f t="shared" si="388"/>
        <v/>
      </c>
      <c r="AP979" s="167" t="str">
        <f t="shared" si="389"/>
        <v/>
      </c>
      <c r="AQ979" s="169" t="str">
        <f t="shared" si="390"/>
        <v/>
      </c>
      <c r="AR979" s="170" t="str">
        <f t="shared" si="391"/>
        <v>BiK82a1bKWKy05</v>
      </c>
      <c r="AS979" s="169" t="str">
        <f t="shared" si="392"/>
        <v/>
      </c>
      <c r="AT979">
        <f t="shared" si="393"/>
        <v>14</v>
      </c>
      <c r="AU979" s="170" t="str">
        <f t="shared" si="394"/>
        <v>0,15-0,5 MW, Bonusregeln a1, b, y und KWK</v>
      </c>
      <c r="AV979" s="169" t="str">
        <f t="shared" si="395"/>
        <v/>
      </c>
      <c r="AW979" s="170" t="str">
        <f t="shared" si="396"/>
        <v>Anteil KWK</v>
      </c>
      <c r="AX979" s="169" t="str">
        <f t="shared" si="397"/>
        <v/>
      </c>
      <c r="AY979" t="str">
        <f t="shared" si="398"/>
        <v/>
      </c>
      <c r="AZ979" t="str">
        <f t="shared" si="399"/>
        <v/>
      </c>
    </row>
    <row r="980" spans="1:52" s="145" customFormat="1" x14ac:dyDescent="0.35">
      <c r="A980" s="497" t="s">
        <v>1339</v>
      </c>
      <c r="B980" s="13" t="s">
        <v>5547</v>
      </c>
      <c r="C980" s="13" t="s">
        <v>1288</v>
      </c>
      <c r="D980" s="13" t="s">
        <v>7148</v>
      </c>
      <c r="E980" s="13" t="s">
        <v>4330</v>
      </c>
      <c r="F980" s="373">
        <f t="shared" si="406"/>
        <v>21.75</v>
      </c>
      <c r="G980" s="430">
        <v>21.75</v>
      </c>
      <c r="H980" s="399">
        <f t="shared" si="407"/>
        <v>17.399999999999999</v>
      </c>
      <c r="I980" s="576"/>
      <c r="J980" s="549" t="s">
        <v>5804</v>
      </c>
      <c r="K980" s="11"/>
      <c r="L980"/>
      <c r="M980" s="37">
        <f t="shared" si="408"/>
        <v>21.75</v>
      </c>
      <c r="N980" s="29">
        <v>9.75</v>
      </c>
      <c r="O980" s="41"/>
      <c r="P980" t="s">
        <v>1017</v>
      </c>
      <c r="Q980"/>
      <c r="R980"/>
      <c r="S980" t="s">
        <v>4179</v>
      </c>
      <c r="T980" s="145" t="s">
        <v>4179</v>
      </c>
      <c r="U980" s="42" t="s">
        <v>1017</v>
      </c>
      <c r="V980" t="s">
        <v>1017</v>
      </c>
      <c r="W980" s="50"/>
      <c r="X980" s="50"/>
      <c r="Y980"/>
      <c r="Z980" s="50"/>
      <c r="AA980"/>
      <c r="AB980"/>
      <c r="AC980" s="50"/>
      <c r="AD980"/>
      <c r="AE980" s="75" t="s">
        <v>1017</v>
      </c>
      <c r="AF980" s="50"/>
      <c r="AG980" s="50"/>
      <c r="AH980" s="166" t="str">
        <f t="shared" si="411"/>
        <v/>
      </c>
      <c r="AI980" s="168" t="str">
        <f t="shared" si="401"/>
        <v/>
      </c>
      <c r="AJ980" s="168" t="str">
        <f t="shared" si="402"/>
        <v/>
      </c>
      <c r="AK980" s="168" t="str">
        <f t="shared" si="403"/>
        <v/>
      </c>
      <c r="AL980" s="168" t="str">
        <f t="shared" si="404"/>
        <v/>
      </c>
      <c r="AM980" s="168" t="str">
        <f t="shared" si="405"/>
        <v/>
      </c>
      <c r="AN980" s="167" t="str">
        <f t="shared" si="387"/>
        <v/>
      </c>
      <c r="AO980" s="167" t="str">
        <f t="shared" si="388"/>
        <v/>
      </c>
      <c r="AP980" s="167" t="str">
        <f t="shared" si="389"/>
        <v/>
      </c>
      <c r="AQ980" s="169" t="str">
        <f t="shared" si="390"/>
        <v/>
      </c>
      <c r="AR980" s="170" t="str">
        <f t="shared" si="391"/>
        <v>BiK82a1bKA3y05</v>
      </c>
      <c r="AS980" s="169" t="str">
        <f t="shared" si="392"/>
        <v/>
      </c>
      <c r="AT980">
        <f t="shared" si="393"/>
        <v>14</v>
      </c>
      <c r="AU980" s="170" t="str">
        <f t="shared" si="394"/>
        <v>0,15-0,5 MW, Bonusregeln a1, b, y und K wenn Anlage 3 erfüllt</v>
      </c>
      <c r="AV980" s="169" t="str">
        <f t="shared" si="395"/>
        <v/>
      </c>
      <c r="AW980" s="170" t="str">
        <f t="shared" si="396"/>
        <v>Anteil KWK gemäß Anlage 3</v>
      </c>
      <c r="AX980" s="169" t="str">
        <f t="shared" si="397"/>
        <v/>
      </c>
      <c r="AY980" t="str">
        <f t="shared" si="398"/>
        <v/>
      </c>
      <c r="AZ980" t="str">
        <f t="shared" si="399"/>
        <v/>
      </c>
    </row>
    <row r="981" spans="1:52" s="145" customFormat="1" x14ac:dyDescent="0.35">
      <c r="A981" s="497" t="s">
        <v>1340</v>
      </c>
      <c r="B981" s="13" t="s">
        <v>5547</v>
      </c>
      <c r="C981" s="13" t="s">
        <v>1288</v>
      </c>
      <c r="D981" s="13" t="s">
        <v>7149</v>
      </c>
      <c r="E981" s="13" t="s">
        <v>674</v>
      </c>
      <c r="F981" s="373">
        <f t="shared" si="406"/>
        <v>21.75</v>
      </c>
      <c r="G981" s="430">
        <v>21.75</v>
      </c>
      <c r="H981" s="399">
        <f t="shared" si="407"/>
        <v>17.399999999999999</v>
      </c>
      <c r="I981" s="576"/>
      <c r="J981" s="549" t="s">
        <v>5804</v>
      </c>
      <c r="K981" s="11"/>
      <c r="L981"/>
      <c r="M981" s="37">
        <f t="shared" si="408"/>
        <v>21.75</v>
      </c>
      <c r="N981" s="29">
        <v>9.75</v>
      </c>
      <c r="O981" s="41"/>
      <c r="P981" s="11"/>
      <c r="Q981" t="s">
        <v>1017</v>
      </c>
      <c r="R981"/>
      <c r="S981" t="s">
        <v>4179</v>
      </c>
      <c r="T981" s="145" t="s">
        <v>4179</v>
      </c>
      <c r="U981" s="42" t="s">
        <v>1017</v>
      </c>
      <c r="V981" t="s">
        <v>1017</v>
      </c>
      <c r="W981" s="50"/>
      <c r="X981" s="50"/>
      <c r="Y981"/>
      <c r="Z981" s="50"/>
      <c r="AA981"/>
      <c r="AB981"/>
      <c r="AC981" s="50"/>
      <c r="AD981"/>
      <c r="AE981" s="75" t="s">
        <v>1017</v>
      </c>
      <c r="AF981" s="50"/>
      <c r="AG981" s="50"/>
      <c r="AH981" s="166" t="str">
        <f t="shared" si="411"/>
        <v/>
      </c>
      <c r="AI981" s="168" t="str">
        <f t="shared" si="401"/>
        <v/>
      </c>
      <c r="AJ981" s="168" t="str">
        <f t="shared" si="402"/>
        <v/>
      </c>
      <c r="AK981" s="168" t="str">
        <f t="shared" si="403"/>
        <v/>
      </c>
      <c r="AL981" s="168" t="str">
        <f t="shared" si="404"/>
        <v/>
      </c>
      <c r="AM981" s="168" t="str">
        <f t="shared" si="405"/>
        <v/>
      </c>
      <c r="AN981" s="167" t="str">
        <f t="shared" si="387"/>
        <v/>
      </c>
      <c r="AO981" s="167" t="str">
        <f t="shared" si="388"/>
        <v/>
      </c>
      <c r="AP981" s="167" t="str">
        <f t="shared" si="389"/>
        <v/>
      </c>
      <c r="AQ981" s="169" t="str">
        <f t="shared" si="390"/>
        <v/>
      </c>
      <c r="AR981" s="170" t="str">
        <f t="shared" si="391"/>
        <v>BiK82a1bK09y05</v>
      </c>
      <c r="AS981" s="169" t="str">
        <f t="shared" si="392"/>
        <v/>
      </c>
      <c r="AT981">
        <f t="shared" si="393"/>
        <v>14</v>
      </c>
      <c r="AU981" s="170" t="str">
        <f t="shared" si="394"/>
        <v>0,15-0,5 MW, Bonusregeln a1, b, y und K erstmals 2009</v>
      </c>
      <c r="AV981" s="169" t="str">
        <f t="shared" si="395"/>
        <v/>
      </c>
      <c r="AW981" s="170" t="str">
        <f t="shared" si="396"/>
        <v>Anteil KWK, erstmals 2009</v>
      </c>
      <c r="AX981" s="169" t="str">
        <f t="shared" si="397"/>
        <v/>
      </c>
      <c r="AY981" t="str">
        <f t="shared" si="398"/>
        <v/>
      </c>
      <c r="AZ981" t="str">
        <f t="shared" si="399"/>
        <v/>
      </c>
    </row>
    <row r="982" spans="1:52" s="145" customFormat="1" x14ac:dyDescent="0.35">
      <c r="A982" s="497" t="s">
        <v>3606</v>
      </c>
      <c r="B982" s="13" t="s">
        <v>5547</v>
      </c>
      <c r="C982" s="13" t="s">
        <v>1288</v>
      </c>
      <c r="D982" s="13" t="s">
        <v>7150</v>
      </c>
      <c r="E982" s="13" t="s">
        <v>3566</v>
      </c>
      <c r="F982" s="373">
        <f t="shared" si="406"/>
        <v>21.72</v>
      </c>
      <c r="G982" s="430">
        <v>21.72</v>
      </c>
      <c r="H982" s="399">
        <f t="shared" si="407"/>
        <v>17.38</v>
      </c>
      <c r="I982" s="576"/>
      <c r="J982" s="549" t="s">
        <v>5804</v>
      </c>
      <c r="K982" s="11"/>
      <c r="L982"/>
      <c r="M982" s="37">
        <f t="shared" si="408"/>
        <v>21.72</v>
      </c>
      <c r="N982" s="29">
        <v>9.75</v>
      </c>
      <c r="O982" s="41"/>
      <c r="P982" s="11"/>
      <c r="Q982"/>
      <c r="R982" t="s">
        <v>1017</v>
      </c>
      <c r="S982" t="s">
        <v>4179</v>
      </c>
      <c r="T982" s="145" t="s">
        <v>4179</v>
      </c>
      <c r="U982" s="42" t="s">
        <v>1017</v>
      </c>
      <c r="V982" t="s">
        <v>1017</v>
      </c>
      <c r="W982" s="50"/>
      <c r="X982" s="50"/>
      <c r="Y982"/>
      <c r="Z982" s="50"/>
      <c r="AA982"/>
      <c r="AB982"/>
      <c r="AC982" s="50"/>
      <c r="AD982"/>
      <c r="AE982" s="75" t="s">
        <v>1017</v>
      </c>
      <c r="AF982" s="50"/>
      <c r="AG982" s="50"/>
      <c r="AH982" s="166" t="str">
        <f t="shared" si="411"/>
        <v>2010</v>
      </c>
      <c r="AI982" s="168" t="str">
        <f t="shared" si="401"/>
        <v/>
      </c>
      <c r="AJ982" s="168" t="str">
        <f t="shared" si="402"/>
        <v/>
      </c>
      <c r="AK982" s="168" t="str">
        <f t="shared" si="403"/>
        <v/>
      </c>
      <c r="AL982" s="168" t="str">
        <f t="shared" si="404"/>
        <v/>
      </c>
      <c r="AM982" s="168" t="str">
        <f t="shared" si="405"/>
        <v/>
      </c>
      <c r="AN982" s="167" t="str">
        <f t="shared" si="387"/>
        <v>2010</v>
      </c>
      <c r="AO982" s="167" t="str">
        <f t="shared" si="388"/>
        <v>2010</v>
      </c>
      <c r="AP982" s="167" t="str">
        <f t="shared" si="389"/>
        <v>2010</v>
      </c>
      <c r="AQ982" s="169" t="str">
        <f t="shared" si="390"/>
        <v/>
      </c>
      <c r="AR982" s="170" t="str">
        <f t="shared" si="391"/>
        <v>BiK82a1bK10y05</v>
      </c>
      <c r="AS982" s="169" t="str">
        <f t="shared" si="392"/>
        <v/>
      </c>
      <c r="AT982">
        <f t="shared" si="393"/>
        <v>14</v>
      </c>
      <c r="AU982" s="170" t="str">
        <f t="shared" si="394"/>
        <v>0,15-0,5 MW, Bonusregeln a1, b, y und K erstmals 2010</v>
      </c>
      <c r="AV982" s="169" t="str">
        <f t="shared" si="395"/>
        <v/>
      </c>
      <c r="AW982" s="170" t="str">
        <f t="shared" si="396"/>
        <v>Anteil KWK, erstmals 2010</v>
      </c>
      <c r="AX982" s="169" t="str">
        <f t="shared" si="397"/>
        <v/>
      </c>
      <c r="AY982" t="str">
        <f t="shared" si="398"/>
        <v/>
      </c>
      <c r="AZ982" t="str">
        <f t="shared" si="399"/>
        <v/>
      </c>
    </row>
    <row r="983" spans="1:52" s="145" customFormat="1" x14ac:dyDescent="0.35">
      <c r="A983" s="497" t="s">
        <v>5337</v>
      </c>
      <c r="B983" s="13" t="s">
        <v>5547</v>
      </c>
      <c r="C983" s="13" t="s">
        <v>1288</v>
      </c>
      <c r="D983" s="13" t="s">
        <v>7151</v>
      </c>
      <c r="E983" s="13" t="s">
        <v>3054</v>
      </c>
      <c r="F983" s="373">
        <f t="shared" si="406"/>
        <v>21.689999999999998</v>
      </c>
      <c r="G983" s="430">
        <v>21.689999999999998</v>
      </c>
      <c r="H983" s="399">
        <f t="shared" si="407"/>
        <v>17.350000000000001</v>
      </c>
      <c r="I983" s="576"/>
      <c r="J983" s="549" t="s">
        <v>5804</v>
      </c>
      <c r="K983" s="11"/>
      <c r="L983"/>
      <c r="M983" s="37">
        <f t="shared" si="408"/>
        <v>21.689999999999998</v>
      </c>
      <c r="N983" s="29">
        <v>9.75</v>
      </c>
      <c r="O983" s="41"/>
      <c r="P983" s="11"/>
      <c r="Q983"/>
      <c r="R983"/>
      <c r="S983" t="s">
        <v>1017</v>
      </c>
      <c r="T983" s="145" t="s">
        <v>4179</v>
      </c>
      <c r="U983" s="42" t="s">
        <v>1017</v>
      </c>
      <c r="V983" t="s">
        <v>1017</v>
      </c>
      <c r="W983" s="50"/>
      <c r="X983" s="50"/>
      <c r="Y983"/>
      <c r="Z983" s="50"/>
      <c r="AA983"/>
      <c r="AB983"/>
      <c r="AC983" s="50"/>
      <c r="AD983"/>
      <c r="AE983" s="75" t="s">
        <v>1017</v>
      </c>
      <c r="AF983" s="50"/>
      <c r="AG983" s="50"/>
      <c r="AH983" s="166" t="str">
        <f t="shared" si="411"/>
        <v>2011</v>
      </c>
      <c r="AI983" s="168" t="str">
        <f t="shared" si="401"/>
        <v/>
      </c>
      <c r="AJ983" s="168" t="str">
        <f t="shared" si="402"/>
        <v/>
      </c>
      <c r="AK983" s="168" t="str">
        <f t="shared" si="403"/>
        <v/>
      </c>
      <c r="AL983" s="168" t="str">
        <f t="shared" si="404"/>
        <v/>
      </c>
      <c r="AM983" s="168" t="str">
        <f t="shared" si="405"/>
        <v/>
      </c>
      <c r="AN983" s="167" t="str">
        <f t="shared" si="387"/>
        <v>2011</v>
      </c>
      <c r="AO983" s="167" t="str">
        <f t="shared" si="388"/>
        <v>2011</v>
      </c>
      <c r="AP983" s="167" t="str">
        <f t="shared" si="389"/>
        <v>2011</v>
      </c>
      <c r="AQ983" s="169" t="str">
        <f t="shared" si="390"/>
        <v/>
      </c>
      <c r="AR983" s="170" t="str">
        <f t="shared" si="391"/>
        <v>BiK82a1bK11y05</v>
      </c>
      <c r="AS983" s="169" t="str">
        <f t="shared" si="392"/>
        <v/>
      </c>
      <c r="AT983">
        <f t="shared" si="393"/>
        <v>14</v>
      </c>
      <c r="AU983" s="170" t="str">
        <f t="shared" si="394"/>
        <v>0,15-0,5 MW, Bonusregeln a1, b, y und K erstmals 2011</v>
      </c>
      <c r="AV983" s="169" t="str">
        <f t="shared" si="395"/>
        <v/>
      </c>
      <c r="AW983" s="170" t="str">
        <f t="shared" si="396"/>
        <v>Anteil KWK, erstmals 2011</v>
      </c>
      <c r="AX983" s="169" t="str">
        <f t="shared" si="397"/>
        <v/>
      </c>
      <c r="AY983" t="str">
        <f t="shared" si="398"/>
        <v>x</v>
      </c>
      <c r="AZ983" t="str">
        <f t="shared" si="399"/>
        <v/>
      </c>
    </row>
    <row r="984" spans="1:52" s="145" customFormat="1" x14ac:dyDescent="0.35">
      <c r="A984" s="511" t="s">
        <v>1588</v>
      </c>
      <c r="B984" s="173" t="s">
        <v>5547</v>
      </c>
      <c r="C984" s="173" t="s">
        <v>1288</v>
      </c>
      <c r="D984" s="173" t="s">
        <v>7152</v>
      </c>
      <c r="E984" s="173" t="s">
        <v>1980</v>
      </c>
      <c r="F984" s="374">
        <f t="shared" si="406"/>
        <v>21.66</v>
      </c>
      <c r="G984" s="431">
        <v>21.66</v>
      </c>
      <c r="H984" s="400">
        <f t="shared" si="407"/>
        <v>17.329999999999998</v>
      </c>
      <c r="I984" s="577"/>
      <c r="J984" s="549" t="s">
        <v>5804</v>
      </c>
      <c r="K984" s="11"/>
      <c r="L984"/>
      <c r="M984" s="37">
        <f t="shared" si="408"/>
        <v>21.66</v>
      </c>
      <c r="N984" s="29">
        <v>9.75</v>
      </c>
      <c r="O984" s="41"/>
      <c r="P984" s="11"/>
      <c r="Q984"/>
      <c r="R984"/>
      <c r="S984" t="s">
        <v>4179</v>
      </c>
      <c r="T984" s="145" t="s">
        <v>1017</v>
      </c>
      <c r="U984" s="42" t="s">
        <v>1017</v>
      </c>
      <c r="V984" t="s">
        <v>1017</v>
      </c>
      <c r="W984" s="50"/>
      <c r="X984" s="50"/>
      <c r="Y984"/>
      <c r="Z984" s="50"/>
      <c r="AA984"/>
      <c r="AB984"/>
      <c r="AC984" s="50"/>
      <c r="AD984"/>
      <c r="AE984" s="75" t="s">
        <v>1017</v>
      </c>
      <c r="AF984" s="50"/>
      <c r="AG984" s="50"/>
      <c r="AH984" s="171" t="s">
        <v>4178</v>
      </c>
      <c r="AI984" s="168" t="str">
        <f t="shared" si="401"/>
        <v/>
      </c>
      <c r="AJ984" s="168" t="str">
        <f t="shared" si="402"/>
        <v/>
      </c>
      <c r="AK984" s="168" t="str">
        <f t="shared" si="403"/>
        <v/>
      </c>
      <c r="AL984" s="168" t="str">
        <f t="shared" si="404"/>
        <v/>
      </c>
      <c r="AM984" s="168" t="str">
        <f t="shared" si="405"/>
        <v/>
      </c>
      <c r="AN984" s="167" t="str">
        <f t="shared" si="387"/>
        <v>2012</v>
      </c>
      <c r="AO984" s="167" t="str">
        <f t="shared" si="388"/>
        <v>2012</v>
      </c>
      <c r="AP984" s="167" t="str">
        <f t="shared" si="389"/>
        <v>2012</v>
      </c>
      <c r="AQ984" s="169" t="str">
        <f t="shared" si="390"/>
        <v/>
      </c>
      <c r="AR984" s="170" t="str">
        <f t="shared" si="391"/>
        <v>BiK82a1bK12y05</v>
      </c>
      <c r="AS984" s="169" t="str">
        <f t="shared" si="392"/>
        <v/>
      </c>
      <c r="AT984">
        <f t="shared" si="393"/>
        <v>14</v>
      </c>
      <c r="AU984" s="170" t="str">
        <f t="shared" si="394"/>
        <v>0,15-0,5 MW, Bonusregeln a1, b, y und K erstmals 2012</v>
      </c>
      <c r="AV984" s="169" t="str">
        <f t="shared" si="395"/>
        <v/>
      </c>
      <c r="AW984" s="170" t="str">
        <f t="shared" si="396"/>
        <v>Anteil KWK, erstmals 2012</v>
      </c>
      <c r="AX984" s="169" t="str">
        <f t="shared" si="397"/>
        <v/>
      </c>
      <c r="AY984" t="str">
        <f t="shared" si="398"/>
        <v/>
      </c>
      <c r="AZ984" t="str">
        <f t="shared" si="399"/>
        <v>x</v>
      </c>
    </row>
    <row r="985" spans="1:52" s="145" customFormat="1" x14ac:dyDescent="0.35">
      <c r="A985" s="497" t="s">
        <v>2486</v>
      </c>
      <c r="B985" s="13" t="s">
        <v>5547</v>
      </c>
      <c r="C985" s="13" t="s">
        <v>1288</v>
      </c>
      <c r="D985" s="13" t="s">
        <v>7153</v>
      </c>
      <c r="E985" s="13" t="s">
        <v>4809</v>
      </c>
      <c r="F985" s="373">
        <f t="shared" si="406"/>
        <v>18.75</v>
      </c>
      <c r="G985" s="430">
        <v>18.75</v>
      </c>
      <c r="H985" s="399">
        <f t="shared" si="407"/>
        <v>15</v>
      </c>
      <c r="I985" s="576"/>
      <c r="J985" s="549" t="s">
        <v>5804</v>
      </c>
      <c r="K985" s="11"/>
      <c r="L985"/>
      <c r="M985" s="37">
        <f t="shared" si="408"/>
        <v>18.75</v>
      </c>
      <c r="N985" s="29">
        <v>9.75</v>
      </c>
      <c r="O985" s="149"/>
      <c r="P985" s="144"/>
      <c r="S985" s="145" t="s">
        <v>4179</v>
      </c>
      <c r="T985" s="145" t="s">
        <v>4179</v>
      </c>
      <c r="U985" s="146"/>
      <c r="W985" s="147"/>
      <c r="X985" s="147"/>
      <c r="Y985" s="145" t="s">
        <v>1017</v>
      </c>
      <c r="Z985" s="147"/>
      <c r="AC985" s="147"/>
      <c r="AE985" s="148" t="s">
        <v>1017</v>
      </c>
      <c r="AF985" s="147"/>
      <c r="AG985" s="147"/>
      <c r="AH985" s="166" t="str">
        <f t="shared" ref="AH985:AH990" si="412">IF(ISERROR(SEARCH("K erstmals 201",D985)),"",RIGHT(D985,4))</f>
        <v/>
      </c>
      <c r="AI985" s="168" t="str">
        <f t="shared" si="401"/>
        <v/>
      </c>
      <c r="AJ985" s="168" t="str">
        <f t="shared" si="402"/>
        <v/>
      </c>
      <c r="AK985" s="168" t="str">
        <f t="shared" si="403"/>
        <v/>
      </c>
      <c r="AL985" s="168" t="str">
        <f t="shared" si="404"/>
        <v/>
      </c>
      <c r="AM985" s="168" t="str">
        <f t="shared" si="405"/>
        <v/>
      </c>
      <c r="AN985" s="167" t="str">
        <f t="shared" si="387"/>
        <v/>
      </c>
      <c r="AO985" s="167" t="str">
        <f t="shared" si="388"/>
        <v/>
      </c>
      <c r="AP985" s="167" t="str">
        <f t="shared" si="389"/>
        <v/>
      </c>
      <c r="AQ985" s="169" t="str">
        <f t="shared" si="390"/>
        <v/>
      </c>
      <c r="AR985" s="170" t="str">
        <f t="shared" si="391"/>
        <v>BiK82Gb-----05</v>
      </c>
      <c r="AS985" s="169" t="str">
        <f t="shared" si="392"/>
        <v/>
      </c>
      <c r="AT985">
        <f t="shared" si="393"/>
        <v>14</v>
      </c>
      <c r="AU985" s="170" t="str">
        <f t="shared" si="394"/>
        <v>0,15-0,5 MW, Bonusregeln G, b</v>
      </c>
      <c r="AV985" s="169" t="str">
        <f t="shared" si="395"/>
        <v/>
      </c>
      <c r="AW985" s="170" t="str">
        <f t="shared" si="396"/>
        <v>Anteil Nicht-KWK</v>
      </c>
      <c r="AX985" s="169" t="str">
        <f t="shared" si="397"/>
        <v/>
      </c>
      <c r="AY985" t="str">
        <f t="shared" si="398"/>
        <v/>
      </c>
      <c r="AZ985" t="str">
        <f t="shared" si="399"/>
        <v/>
      </c>
    </row>
    <row r="986" spans="1:52" s="145" customFormat="1" x14ac:dyDescent="0.35">
      <c r="A986" s="497" t="s">
        <v>2487</v>
      </c>
      <c r="B986" s="13" t="s">
        <v>5547</v>
      </c>
      <c r="C986" s="13" t="s">
        <v>1288</v>
      </c>
      <c r="D986" s="13" t="s">
        <v>7154</v>
      </c>
      <c r="E986" s="13" t="s">
        <v>4811</v>
      </c>
      <c r="F986" s="373">
        <f t="shared" si="406"/>
        <v>20.75</v>
      </c>
      <c r="G986" s="430">
        <v>20.75</v>
      </c>
      <c r="H986" s="399">
        <f t="shared" si="407"/>
        <v>16.600000000000001</v>
      </c>
      <c r="I986" s="576"/>
      <c r="J986" s="549" t="s">
        <v>5804</v>
      </c>
      <c r="K986" s="11"/>
      <c r="L986"/>
      <c r="M986" s="37">
        <f t="shared" si="408"/>
        <v>20.75</v>
      </c>
      <c r="N986" s="29">
        <v>9.75</v>
      </c>
      <c r="O986" s="149" t="s">
        <v>1017</v>
      </c>
      <c r="P986" s="144"/>
      <c r="S986" s="145" t="s">
        <v>4179</v>
      </c>
      <c r="T986" s="145" t="s">
        <v>4179</v>
      </c>
      <c r="U986" s="146"/>
      <c r="W986" s="147"/>
      <c r="X986" s="147"/>
      <c r="Y986" s="145" t="s">
        <v>1017</v>
      </c>
      <c r="Z986" s="147"/>
      <c r="AC986" s="147"/>
      <c r="AE986" s="148" t="s">
        <v>1017</v>
      </c>
      <c r="AF986" s="147"/>
      <c r="AG986" s="147"/>
      <c r="AH986" s="166" t="str">
        <f t="shared" si="412"/>
        <v/>
      </c>
      <c r="AI986" s="168" t="str">
        <f t="shared" si="401"/>
        <v/>
      </c>
      <c r="AJ986" s="168" t="str">
        <f t="shared" si="402"/>
        <v/>
      </c>
      <c r="AK986" s="168" t="str">
        <f t="shared" si="403"/>
        <v/>
      </c>
      <c r="AL986" s="168" t="str">
        <f t="shared" si="404"/>
        <v/>
      </c>
      <c r="AM986" s="168" t="str">
        <f t="shared" si="405"/>
        <v/>
      </c>
      <c r="AN986" s="167" t="str">
        <f t="shared" si="387"/>
        <v/>
      </c>
      <c r="AO986" s="167" t="str">
        <f t="shared" si="388"/>
        <v/>
      </c>
      <c r="AP986" s="167" t="str">
        <f t="shared" si="389"/>
        <v/>
      </c>
      <c r="AQ986" s="169" t="str">
        <f t="shared" si="390"/>
        <v/>
      </c>
      <c r="AR986" s="170" t="str">
        <f t="shared" si="391"/>
        <v>BiK82GbKWK--05</v>
      </c>
      <c r="AS986" s="169" t="str">
        <f t="shared" si="392"/>
        <v/>
      </c>
      <c r="AT986">
        <f t="shared" si="393"/>
        <v>14</v>
      </c>
      <c r="AU986" s="170" t="str">
        <f t="shared" si="394"/>
        <v>0,15-0,5 MW, Bonusregeln G, b und KWK</v>
      </c>
      <c r="AV986" s="169" t="str">
        <f t="shared" si="395"/>
        <v/>
      </c>
      <c r="AW986" s="170" t="str">
        <f t="shared" si="396"/>
        <v>Anteil KWK</v>
      </c>
      <c r="AX986" s="169" t="str">
        <f t="shared" si="397"/>
        <v/>
      </c>
      <c r="AY986" t="str">
        <f t="shared" si="398"/>
        <v/>
      </c>
      <c r="AZ986" t="str">
        <f t="shared" si="399"/>
        <v/>
      </c>
    </row>
    <row r="987" spans="1:52" s="145" customFormat="1" x14ac:dyDescent="0.35">
      <c r="A987" s="497" t="s">
        <v>2488</v>
      </c>
      <c r="B987" s="13" t="s">
        <v>5547</v>
      </c>
      <c r="C987" s="13" t="s">
        <v>1288</v>
      </c>
      <c r="D987" s="13" t="s">
        <v>7155</v>
      </c>
      <c r="E987" s="13" t="s">
        <v>4330</v>
      </c>
      <c r="F987" s="373">
        <f t="shared" si="406"/>
        <v>21.75</v>
      </c>
      <c r="G987" s="430">
        <v>21.75</v>
      </c>
      <c r="H987" s="399">
        <f t="shared" si="407"/>
        <v>17.399999999999999</v>
      </c>
      <c r="I987" s="576"/>
      <c r="J987" s="549" t="s">
        <v>5804</v>
      </c>
      <c r="K987" s="11"/>
      <c r="L987"/>
      <c r="M987" s="37">
        <f t="shared" si="408"/>
        <v>21.75</v>
      </c>
      <c r="N987" s="29">
        <v>9.75</v>
      </c>
      <c r="O987" s="149"/>
      <c r="P987" s="145" t="s">
        <v>1017</v>
      </c>
      <c r="S987" s="145" t="s">
        <v>4179</v>
      </c>
      <c r="T987" s="145" t="s">
        <v>4179</v>
      </c>
      <c r="U987" s="146"/>
      <c r="W987" s="147"/>
      <c r="X987" s="147"/>
      <c r="Y987" s="145" t="s">
        <v>1017</v>
      </c>
      <c r="Z987" s="147"/>
      <c r="AC987" s="147"/>
      <c r="AE987" s="148" t="s">
        <v>1017</v>
      </c>
      <c r="AF987" s="147"/>
      <c r="AG987" s="147"/>
      <c r="AH987" s="166" t="str">
        <f t="shared" si="412"/>
        <v/>
      </c>
      <c r="AI987" s="168" t="str">
        <f t="shared" si="401"/>
        <v/>
      </c>
      <c r="AJ987" s="168" t="str">
        <f t="shared" si="402"/>
        <v/>
      </c>
      <c r="AK987" s="168" t="str">
        <f t="shared" si="403"/>
        <v/>
      </c>
      <c r="AL987" s="168" t="str">
        <f t="shared" si="404"/>
        <v/>
      </c>
      <c r="AM987" s="168" t="str">
        <f t="shared" si="405"/>
        <v/>
      </c>
      <c r="AN987" s="167" t="str">
        <f t="shared" si="387"/>
        <v/>
      </c>
      <c r="AO987" s="167" t="str">
        <f t="shared" si="388"/>
        <v/>
      </c>
      <c r="AP987" s="167" t="str">
        <f t="shared" si="389"/>
        <v/>
      </c>
      <c r="AQ987" s="169" t="str">
        <f t="shared" si="390"/>
        <v/>
      </c>
      <c r="AR987" s="170" t="str">
        <f t="shared" si="391"/>
        <v>BiK82GbKA3--05</v>
      </c>
      <c r="AS987" s="169" t="str">
        <f t="shared" si="392"/>
        <v/>
      </c>
      <c r="AT987">
        <f t="shared" si="393"/>
        <v>14</v>
      </c>
      <c r="AU987" s="170" t="str">
        <f t="shared" si="394"/>
        <v>0,15-0,5 MW, Bonusregeln G, b und K wenn Anlage 3 erfüllt</v>
      </c>
      <c r="AV987" s="169" t="str">
        <f t="shared" si="395"/>
        <v/>
      </c>
      <c r="AW987" s="170" t="str">
        <f t="shared" si="396"/>
        <v>Anteil KWK gemäß Anlage 3</v>
      </c>
      <c r="AX987" s="169" t="str">
        <f t="shared" si="397"/>
        <v/>
      </c>
      <c r="AY987" t="str">
        <f t="shared" si="398"/>
        <v/>
      </c>
      <c r="AZ987" t="str">
        <f t="shared" si="399"/>
        <v/>
      </c>
    </row>
    <row r="988" spans="1:52" s="145" customFormat="1" x14ac:dyDescent="0.35">
      <c r="A988" s="497" t="s">
        <v>2489</v>
      </c>
      <c r="B988" s="13" t="s">
        <v>5547</v>
      </c>
      <c r="C988" s="13" t="s">
        <v>1288</v>
      </c>
      <c r="D988" s="13" t="s">
        <v>7156</v>
      </c>
      <c r="E988" s="13" t="s">
        <v>674</v>
      </c>
      <c r="F988" s="373">
        <f t="shared" si="406"/>
        <v>21.75</v>
      </c>
      <c r="G988" s="430">
        <v>21.75</v>
      </c>
      <c r="H988" s="399">
        <f t="shared" si="407"/>
        <v>17.399999999999999</v>
      </c>
      <c r="I988" s="576"/>
      <c r="J988" s="549" t="s">
        <v>5804</v>
      </c>
      <c r="K988" s="11"/>
      <c r="L988"/>
      <c r="M988" s="37">
        <f t="shared" si="408"/>
        <v>21.75</v>
      </c>
      <c r="N988" s="29">
        <v>9.75</v>
      </c>
      <c r="O988" s="149"/>
      <c r="P988" s="144"/>
      <c r="Q988" s="145" t="s">
        <v>1017</v>
      </c>
      <c r="S988" s="145" t="s">
        <v>4179</v>
      </c>
      <c r="T988" s="145" t="s">
        <v>4179</v>
      </c>
      <c r="U988" s="146"/>
      <c r="W988" s="147"/>
      <c r="X988" s="147"/>
      <c r="Y988" s="145" t="s">
        <v>1017</v>
      </c>
      <c r="Z988" s="147"/>
      <c r="AC988" s="147"/>
      <c r="AE988" s="148" t="s">
        <v>1017</v>
      </c>
      <c r="AF988" s="147"/>
      <c r="AG988" s="147"/>
      <c r="AH988" s="166" t="str">
        <f t="shared" si="412"/>
        <v/>
      </c>
      <c r="AI988" s="168" t="str">
        <f t="shared" si="401"/>
        <v/>
      </c>
      <c r="AJ988" s="168" t="str">
        <f t="shared" si="402"/>
        <v/>
      </c>
      <c r="AK988" s="168" t="str">
        <f t="shared" si="403"/>
        <v/>
      </c>
      <c r="AL988" s="168" t="str">
        <f t="shared" si="404"/>
        <v/>
      </c>
      <c r="AM988" s="168" t="str">
        <f t="shared" si="405"/>
        <v/>
      </c>
      <c r="AN988" s="167" t="str">
        <f t="shared" si="387"/>
        <v/>
      </c>
      <c r="AO988" s="167" t="str">
        <f t="shared" si="388"/>
        <v/>
      </c>
      <c r="AP988" s="167" t="str">
        <f t="shared" si="389"/>
        <v/>
      </c>
      <c r="AQ988" s="169" t="str">
        <f t="shared" si="390"/>
        <v/>
      </c>
      <c r="AR988" s="170" t="str">
        <f t="shared" si="391"/>
        <v>BiK82GbK09--05</v>
      </c>
      <c r="AS988" s="169" t="str">
        <f t="shared" si="392"/>
        <v/>
      </c>
      <c r="AT988">
        <f t="shared" si="393"/>
        <v>14</v>
      </c>
      <c r="AU988" s="170" t="str">
        <f t="shared" si="394"/>
        <v>0,15-0,5 MW, Bonusregeln G, b und K erstmals 2009</v>
      </c>
      <c r="AV988" s="169" t="str">
        <f t="shared" si="395"/>
        <v/>
      </c>
      <c r="AW988" s="170" t="str">
        <f t="shared" si="396"/>
        <v>Anteil KWK, erstmals 2009</v>
      </c>
      <c r="AX988" s="169" t="str">
        <f t="shared" si="397"/>
        <v/>
      </c>
      <c r="AY988" t="str">
        <f t="shared" si="398"/>
        <v/>
      </c>
      <c r="AZ988" t="str">
        <f t="shared" si="399"/>
        <v/>
      </c>
    </row>
    <row r="989" spans="1:52" s="145" customFormat="1" x14ac:dyDescent="0.35">
      <c r="A989" s="497" t="s">
        <v>3607</v>
      </c>
      <c r="B989" s="13" t="s">
        <v>5547</v>
      </c>
      <c r="C989" s="13" t="s">
        <v>1288</v>
      </c>
      <c r="D989" s="13" t="s">
        <v>7157</v>
      </c>
      <c r="E989" s="13" t="s">
        <v>3566</v>
      </c>
      <c r="F989" s="373">
        <f t="shared" si="406"/>
        <v>21.72</v>
      </c>
      <c r="G989" s="430">
        <v>21.72</v>
      </c>
      <c r="H989" s="399">
        <f t="shared" si="407"/>
        <v>17.38</v>
      </c>
      <c r="I989" s="576"/>
      <c r="J989" s="549" t="s">
        <v>5804</v>
      </c>
      <c r="K989" s="11"/>
      <c r="L989"/>
      <c r="M989" s="37">
        <f t="shared" si="408"/>
        <v>21.72</v>
      </c>
      <c r="N989" s="29">
        <v>9.75</v>
      </c>
      <c r="O989" s="149"/>
      <c r="P989" s="144"/>
      <c r="R989" s="145" t="s">
        <v>1017</v>
      </c>
      <c r="S989" s="145" t="s">
        <v>4179</v>
      </c>
      <c r="T989" s="145" t="s">
        <v>4179</v>
      </c>
      <c r="U989" s="146"/>
      <c r="W989" s="147"/>
      <c r="X989" s="147"/>
      <c r="Y989" s="145" t="s">
        <v>1017</v>
      </c>
      <c r="Z989" s="147"/>
      <c r="AC989" s="147"/>
      <c r="AE989" s="148" t="s">
        <v>1017</v>
      </c>
      <c r="AF989" s="147"/>
      <c r="AG989" s="147"/>
      <c r="AH989" s="166" t="str">
        <f t="shared" si="412"/>
        <v>2010</v>
      </c>
      <c r="AI989" s="168" t="str">
        <f t="shared" si="401"/>
        <v/>
      </c>
      <c r="AJ989" s="168" t="str">
        <f t="shared" si="402"/>
        <v/>
      </c>
      <c r="AK989" s="168" t="str">
        <f t="shared" si="403"/>
        <v/>
      </c>
      <c r="AL989" s="168" t="str">
        <f t="shared" si="404"/>
        <v/>
      </c>
      <c r="AM989" s="168" t="str">
        <f t="shared" si="405"/>
        <v/>
      </c>
      <c r="AN989" s="167" t="str">
        <f t="shared" si="387"/>
        <v>2010</v>
      </c>
      <c r="AO989" s="167" t="str">
        <f t="shared" si="388"/>
        <v>2010</v>
      </c>
      <c r="AP989" s="167" t="str">
        <f t="shared" si="389"/>
        <v>2010</v>
      </c>
      <c r="AQ989" s="169" t="str">
        <f t="shared" si="390"/>
        <v/>
      </c>
      <c r="AR989" s="170" t="str">
        <f t="shared" si="391"/>
        <v>BiK82GbK10--05</v>
      </c>
      <c r="AS989" s="169" t="str">
        <f t="shared" si="392"/>
        <v/>
      </c>
      <c r="AT989">
        <f t="shared" si="393"/>
        <v>14</v>
      </c>
      <c r="AU989" s="170" t="str">
        <f t="shared" si="394"/>
        <v>0,15-0,5 MW, Bonusregeln G, b und K erstmals 2010</v>
      </c>
      <c r="AV989" s="169" t="str">
        <f t="shared" si="395"/>
        <v/>
      </c>
      <c r="AW989" s="170" t="str">
        <f t="shared" si="396"/>
        <v>Anteil KWK, erstmals 2010</v>
      </c>
      <c r="AX989" s="169" t="str">
        <f t="shared" si="397"/>
        <v/>
      </c>
      <c r="AY989" t="str">
        <f t="shared" si="398"/>
        <v/>
      </c>
      <c r="AZ989" t="str">
        <f t="shared" si="399"/>
        <v/>
      </c>
    </row>
    <row r="990" spans="1:52" s="145" customFormat="1" x14ac:dyDescent="0.35">
      <c r="A990" s="497" t="s">
        <v>5338</v>
      </c>
      <c r="B990" s="13" t="s">
        <v>5547</v>
      </c>
      <c r="C990" s="13" t="s">
        <v>1288</v>
      </c>
      <c r="D990" s="13" t="s">
        <v>7158</v>
      </c>
      <c r="E990" s="13" t="s">
        <v>3054</v>
      </c>
      <c r="F990" s="373">
        <f t="shared" si="406"/>
        <v>21.689999999999998</v>
      </c>
      <c r="G990" s="430">
        <v>21.689999999999998</v>
      </c>
      <c r="H990" s="399">
        <f t="shared" si="407"/>
        <v>17.350000000000001</v>
      </c>
      <c r="I990" s="576"/>
      <c r="J990" s="549" t="s">
        <v>5804</v>
      </c>
      <c r="K990" s="11"/>
      <c r="L990"/>
      <c r="M990" s="37">
        <f t="shared" si="408"/>
        <v>21.689999999999998</v>
      </c>
      <c r="N990" s="29">
        <v>9.75</v>
      </c>
      <c r="O990" s="149"/>
      <c r="P990" s="144"/>
      <c r="S990" s="145" t="s">
        <v>1017</v>
      </c>
      <c r="T990" s="145" t="s">
        <v>4179</v>
      </c>
      <c r="U990" s="146"/>
      <c r="W990" s="147"/>
      <c r="X990" s="147"/>
      <c r="Y990" s="145" t="s">
        <v>1017</v>
      </c>
      <c r="Z990" s="147"/>
      <c r="AC990" s="147"/>
      <c r="AE990" s="148" t="s">
        <v>1017</v>
      </c>
      <c r="AF990" s="147"/>
      <c r="AG990" s="147"/>
      <c r="AH990" s="166" t="str">
        <f t="shared" si="412"/>
        <v>2011</v>
      </c>
      <c r="AI990" s="168" t="str">
        <f t="shared" si="401"/>
        <v/>
      </c>
      <c r="AJ990" s="168" t="str">
        <f t="shared" si="402"/>
        <v/>
      </c>
      <c r="AK990" s="168" t="str">
        <f t="shared" si="403"/>
        <v/>
      </c>
      <c r="AL990" s="168" t="str">
        <f t="shared" si="404"/>
        <v/>
      </c>
      <c r="AM990" s="168" t="str">
        <f t="shared" si="405"/>
        <v/>
      </c>
      <c r="AN990" s="167" t="str">
        <f t="shared" si="387"/>
        <v>2011</v>
      </c>
      <c r="AO990" s="167" t="str">
        <f t="shared" si="388"/>
        <v>2011</v>
      </c>
      <c r="AP990" s="167" t="str">
        <f t="shared" si="389"/>
        <v>2011</v>
      </c>
      <c r="AQ990" s="169" t="str">
        <f t="shared" si="390"/>
        <v/>
      </c>
      <c r="AR990" s="170" t="str">
        <f t="shared" si="391"/>
        <v>BiK82GbK11--05</v>
      </c>
      <c r="AS990" s="169" t="str">
        <f t="shared" si="392"/>
        <v/>
      </c>
      <c r="AT990">
        <f t="shared" si="393"/>
        <v>14</v>
      </c>
      <c r="AU990" s="170" t="str">
        <f t="shared" si="394"/>
        <v>0,15-0,5 MW, Bonusregeln G, b und K erstmals 2011</v>
      </c>
      <c r="AV990" s="169" t="str">
        <f t="shared" si="395"/>
        <v/>
      </c>
      <c r="AW990" s="170" t="str">
        <f t="shared" si="396"/>
        <v>Anteil KWK, erstmals 2011</v>
      </c>
      <c r="AX990" s="169" t="str">
        <f t="shared" si="397"/>
        <v/>
      </c>
      <c r="AY990" t="str">
        <f t="shared" si="398"/>
        <v>x</v>
      </c>
      <c r="AZ990" t="str">
        <f t="shared" si="399"/>
        <v/>
      </c>
    </row>
    <row r="991" spans="1:52" s="145" customFormat="1" x14ac:dyDescent="0.35">
      <c r="A991" s="511" t="s">
        <v>1589</v>
      </c>
      <c r="B991" s="173" t="s">
        <v>5547</v>
      </c>
      <c r="C991" s="173" t="s">
        <v>1288</v>
      </c>
      <c r="D991" s="173" t="s">
        <v>7159</v>
      </c>
      <c r="E991" s="173" t="s">
        <v>1980</v>
      </c>
      <c r="F991" s="374">
        <f t="shared" si="406"/>
        <v>21.66</v>
      </c>
      <c r="G991" s="431">
        <v>21.66</v>
      </c>
      <c r="H991" s="400">
        <f t="shared" si="407"/>
        <v>17.329999999999998</v>
      </c>
      <c r="I991" s="577"/>
      <c r="J991" s="549" t="s">
        <v>5804</v>
      </c>
      <c r="K991" s="11"/>
      <c r="L991"/>
      <c r="M991" s="37">
        <f t="shared" si="408"/>
        <v>21.66</v>
      </c>
      <c r="N991" s="29">
        <v>9.75</v>
      </c>
      <c r="O991" s="149"/>
      <c r="P991" s="144"/>
      <c r="S991" s="145" t="s">
        <v>4179</v>
      </c>
      <c r="T991" s="145" t="s">
        <v>1017</v>
      </c>
      <c r="U991" s="146"/>
      <c r="W991" s="147"/>
      <c r="X991" s="147"/>
      <c r="Y991" s="145" t="s">
        <v>1017</v>
      </c>
      <c r="Z991" s="147"/>
      <c r="AC991" s="147"/>
      <c r="AE991" s="148" t="s">
        <v>1017</v>
      </c>
      <c r="AF991" s="147"/>
      <c r="AG991" s="147"/>
      <c r="AH991" s="171" t="s">
        <v>4178</v>
      </c>
      <c r="AI991" s="168" t="str">
        <f t="shared" si="401"/>
        <v/>
      </c>
      <c r="AJ991" s="168" t="str">
        <f t="shared" si="402"/>
        <v/>
      </c>
      <c r="AK991" s="168" t="str">
        <f t="shared" si="403"/>
        <v/>
      </c>
      <c r="AL991" s="168" t="str">
        <f t="shared" si="404"/>
        <v/>
      </c>
      <c r="AM991" s="168" t="str">
        <f t="shared" si="405"/>
        <v/>
      </c>
      <c r="AN991" s="167" t="str">
        <f t="shared" si="387"/>
        <v>2012</v>
      </c>
      <c r="AO991" s="167" t="str">
        <f t="shared" si="388"/>
        <v>2012</v>
      </c>
      <c r="AP991" s="167" t="str">
        <f t="shared" si="389"/>
        <v>2012</v>
      </c>
      <c r="AQ991" s="169" t="str">
        <f t="shared" si="390"/>
        <v/>
      </c>
      <c r="AR991" s="170" t="str">
        <f t="shared" si="391"/>
        <v>BiK82GbK12--05</v>
      </c>
      <c r="AS991" s="169" t="str">
        <f t="shared" si="392"/>
        <v/>
      </c>
      <c r="AT991">
        <f t="shared" si="393"/>
        <v>14</v>
      </c>
      <c r="AU991" s="170" t="str">
        <f t="shared" si="394"/>
        <v>0,15-0,5 MW, Bonusregeln G, b und K erstmals 2012</v>
      </c>
      <c r="AV991" s="169" t="str">
        <f t="shared" si="395"/>
        <v/>
      </c>
      <c r="AW991" s="170" t="str">
        <f t="shared" si="396"/>
        <v>Anteil KWK, erstmals 2012</v>
      </c>
      <c r="AX991" s="169" t="str">
        <f t="shared" si="397"/>
        <v/>
      </c>
      <c r="AY991" t="str">
        <f t="shared" si="398"/>
        <v/>
      </c>
      <c r="AZ991" t="str">
        <f t="shared" si="399"/>
        <v>x</v>
      </c>
    </row>
    <row r="992" spans="1:52" s="145" customFormat="1" x14ac:dyDescent="0.35">
      <c r="A992" s="497" t="s">
        <v>2490</v>
      </c>
      <c r="B992" s="13" t="s">
        <v>5547</v>
      </c>
      <c r="C992" s="13" t="s">
        <v>1288</v>
      </c>
      <c r="D992" s="13" t="s">
        <v>7160</v>
      </c>
      <c r="E992" s="13" t="s">
        <v>4809</v>
      </c>
      <c r="F992" s="373">
        <f t="shared" si="406"/>
        <v>19.75</v>
      </c>
      <c r="G992" s="430">
        <v>19.75</v>
      </c>
      <c r="H992" s="399">
        <f t="shared" si="407"/>
        <v>15.8</v>
      </c>
      <c r="I992" s="576"/>
      <c r="J992" s="549" t="s">
        <v>5804</v>
      </c>
      <c r="K992" s="11"/>
      <c r="L992"/>
      <c r="M992" s="37">
        <f t="shared" si="408"/>
        <v>19.75</v>
      </c>
      <c r="N992" s="29">
        <v>9.75</v>
      </c>
      <c r="O992" s="149"/>
      <c r="P992" s="144"/>
      <c r="S992" s="145" t="s">
        <v>4179</v>
      </c>
      <c r="T992" s="145" t="s">
        <v>4179</v>
      </c>
      <c r="U992" s="146" t="s">
        <v>1017</v>
      </c>
      <c r="W992" s="147"/>
      <c r="X992" s="147"/>
      <c r="Y992" s="145" t="s">
        <v>1017</v>
      </c>
      <c r="Z992" s="147"/>
      <c r="AC992" s="147"/>
      <c r="AE992" s="148" t="s">
        <v>1017</v>
      </c>
      <c r="AF992" s="147"/>
      <c r="AG992" s="147"/>
      <c r="AH992" s="166" t="str">
        <f t="shared" ref="AH992:AH997" si="413">IF(ISERROR(SEARCH("K erstmals 201",D992)),"",RIGHT(D992,4))</f>
        <v/>
      </c>
      <c r="AI992" s="168" t="str">
        <f t="shared" si="401"/>
        <v/>
      </c>
      <c r="AJ992" s="168" t="str">
        <f t="shared" si="402"/>
        <v/>
      </c>
      <c r="AK992" s="168" t="str">
        <f t="shared" si="403"/>
        <v/>
      </c>
      <c r="AL992" s="168" t="str">
        <f t="shared" si="404"/>
        <v/>
      </c>
      <c r="AM992" s="168" t="str">
        <f t="shared" si="405"/>
        <v/>
      </c>
      <c r="AN992" s="167" t="str">
        <f t="shared" si="387"/>
        <v/>
      </c>
      <c r="AO992" s="167" t="str">
        <f t="shared" si="388"/>
        <v/>
      </c>
      <c r="AP992" s="167" t="str">
        <f t="shared" si="389"/>
        <v/>
      </c>
      <c r="AQ992" s="169" t="str">
        <f t="shared" si="390"/>
        <v/>
      </c>
      <c r="AR992" s="170" t="str">
        <f t="shared" si="391"/>
        <v>BiK82Gby----05</v>
      </c>
      <c r="AS992" s="169" t="str">
        <f t="shared" si="392"/>
        <v/>
      </c>
      <c r="AT992">
        <f t="shared" si="393"/>
        <v>14</v>
      </c>
      <c r="AU992" s="170" t="str">
        <f t="shared" si="394"/>
        <v>0,15-0,5 MW, Bonusregeln G, y, b</v>
      </c>
      <c r="AV992" s="169" t="str">
        <f t="shared" si="395"/>
        <v/>
      </c>
      <c r="AW992" s="170" t="str">
        <f t="shared" si="396"/>
        <v>Anteil Nicht-KWK</v>
      </c>
      <c r="AX992" s="169" t="str">
        <f t="shared" si="397"/>
        <v/>
      </c>
      <c r="AY992" t="str">
        <f t="shared" si="398"/>
        <v/>
      </c>
      <c r="AZ992" t="str">
        <f t="shared" si="399"/>
        <v/>
      </c>
    </row>
    <row r="993" spans="1:52" s="145" customFormat="1" x14ac:dyDescent="0.35">
      <c r="A993" s="497" t="s">
        <v>2491</v>
      </c>
      <c r="B993" s="13" t="s">
        <v>5547</v>
      </c>
      <c r="C993" s="13" t="s">
        <v>1288</v>
      </c>
      <c r="D993" s="13" t="s">
        <v>7161</v>
      </c>
      <c r="E993" s="13" t="s">
        <v>4811</v>
      </c>
      <c r="F993" s="373">
        <f t="shared" si="406"/>
        <v>21.75</v>
      </c>
      <c r="G993" s="430">
        <v>21.75</v>
      </c>
      <c r="H993" s="399">
        <f t="shared" si="407"/>
        <v>17.399999999999999</v>
      </c>
      <c r="I993" s="576"/>
      <c r="J993" s="549" t="s">
        <v>5804</v>
      </c>
      <c r="K993" s="11"/>
      <c r="L993"/>
      <c r="M993" s="37">
        <f t="shared" si="408"/>
        <v>21.75</v>
      </c>
      <c r="N993" s="29">
        <v>9.75</v>
      </c>
      <c r="O993" s="149" t="s">
        <v>1017</v>
      </c>
      <c r="P993" s="144"/>
      <c r="S993" s="145" t="s">
        <v>4179</v>
      </c>
      <c r="T993" s="145" t="s">
        <v>4179</v>
      </c>
      <c r="U993" s="146" t="s">
        <v>1017</v>
      </c>
      <c r="W993" s="147"/>
      <c r="X993" s="147"/>
      <c r="Y993" s="145" t="s">
        <v>1017</v>
      </c>
      <c r="Z993" s="147"/>
      <c r="AC993" s="147"/>
      <c r="AE993" s="148" t="s">
        <v>1017</v>
      </c>
      <c r="AF993" s="147"/>
      <c r="AG993" s="147"/>
      <c r="AH993" s="166" t="str">
        <f t="shared" si="413"/>
        <v/>
      </c>
      <c r="AI993" s="168" t="str">
        <f t="shared" si="401"/>
        <v/>
      </c>
      <c r="AJ993" s="168" t="str">
        <f t="shared" si="402"/>
        <v/>
      </c>
      <c r="AK993" s="168" t="str">
        <f t="shared" si="403"/>
        <v/>
      </c>
      <c r="AL993" s="168" t="str">
        <f t="shared" si="404"/>
        <v/>
      </c>
      <c r="AM993" s="168" t="str">
        <f t="shared" si="405"/>
        <v/>
      </c>
      <c r="AN993" s="167" t="str">
        <f t="shared" si="387"/>
        <v/>
      </c>
      <c r="AO993" s="167" t="str">
        <f t="shared" si="388"/>
        <v/>
      </c>
      <c r="AP993" s="167" t="str">
        <f t="shared" si="389"/>
        <v/>
      </c>
      <c r="AQ993" s="169" t="str">
        <f t="shared" si="390"/>
        <v/>
      </c>
      <c r="AR993" s="170" t="str">
        <f t="shared" si="391"/>
        <v>BiK82GbKWKy-05</v>
      </c>
      <c r="AS993" s="169" t="str">
        <f t="shared" si="392"/>
        <v/>
      </c>
      <c r="AT993">
        <f t="shared" si="393"/>
        <v>14</v>
      </c>
      <c r="AU993" s="170" t="str">
        <f t="shared" si="394"/>
        <v>0,15-0,5 MW, Bonusregeln G, y, b und KWK</v>
      </c>
      <c r="AV993" s="169" t="str">
        <f t="shared" si="395"/>
        <v/>
      </c>
      <c r="AW993" s="170" t="str">
        <f t="shared" si="396"/>
        <v>Anteil KWK</v>
      </c>
      <c r="AX993" s="169" t="str">
        <f t="shared" si="397"/>
        <v/>
      </c>
      <c r="AY993" t="str">
        <f t="shared" si="398"/>
        <v/>
      </c>
      <c r="AZ993" t="str">
        <f t="shared" si="399"/>
        <v/>
      </c>
    </row>
    <row r="994" spans="1:52" s="145" customFormat="1" x14ac:dyDescent="0.35">
      <c r="A994" s="497" t="s">
        <v>2492</v>
      </c>
      <c r="B994" s="13" t="s">
        <v>5547</v>
      </c>
      <c r="C994" s="13" t="s">
        <v>1288</v>
      </c>
      <c r="D994" s="88" t="s">
        <v>7162</v>
      </c>
      <c r="E994" s="13" t="s">
        <v>4330</v>
      </c>
      <c r="F994" s="373">
        <f t="shared" si="406"/>
        <v>22.75</v>
      </c>
      <c r="G994" s="430">
        <v>22.75</v>
      </c>
      <c r="H994" s="399">
        <f t="shared" si="407"/>
        <v>18.2</v>
      </c>
      <c r="I994" s="576"/>
      <c r="J994" s="549" t="s">
        <v>5804</v>
      </c>
      <c r="K994" s="11"/>
      <c r="L994"/>
      <c r="M994" s="37">
        <f t="shared" si="408"/>
        <v>22.75</v>
      </c>
      <c r="N994" s="29">
        <v>9.75</v>
      </c>
      <c r="O994" s="149"/>
      <c r="P994" s="145" t="s">
        <v>1017</v>
      </c>
      <c r="S994" s="145" t="s">
        <v>4179</v>
      </c>
      <c r="T994" s="145" t="s">
        <v>4179</v>
      </c>
      <c r="U994" s="146" t="s">
        <v>1017</v>
      </c>
      <c r="W994" s="147"/>
      <c r="X994" s="147"/>
      <c r="Y994" s="145" t="s">
        <v>1017</v>
      </c>
      <c r="Z994" s="147"/>
      <c r="AC994" s="147"/>
      <c r="AE994" s="148" t="s">
        <v>1017</v>
      </c>
      <c r="AF994" s="147"/>
      <c r="AG994" s="147"/>
      <c r="AH994" s="166" t="str">
        <f t="shared" si="413"/>
        <v/>
      </c>
      <c r="AI994" s="168" t="str">
        <f t="shared" si="401"/>
        <v/>
      </c>
      <c r="AJ994" s="168" t="str">
        <f t="shared" si="402"/>
        <v/>
      </c>
      <c r="AK994" s="168" t="str">
        <f t="shared" si="403"/>
        <v/>
      </c>
      <c r="AL994" s="168" t="str">
        <f t="shared" si="404"/>
        <v/>
      </c>
      <c r="AM994" s="168" t="str">
        <f t="shared" si="405"/>
        <v/>
      </c>
      <c r="AN994" s="167" t="str">
        <f t="shared" si="387"/>
        <v/>
      </c>
      <c r="AO994" s="167" t="str">
        <f t="shared" si="388"/>
        <v/>
      </c>
      <c r="AP994" s="167" t="str">
        <f t="shared" si="389"/>
        <v/>
      </c>
      <c r="AQ994" s="169" t="str">
        <f t="shared" si="390"/>
        <v/>
      </c>
      <c r="AR994" s="170" t="str">
        <f t="shared" si="391"/>
        <v>BiK82GbKA3y-05</v>
      </c>
      <c r="AS994" s="169" t="str">
        <f t="shared" si="392"/>
        <v/>
      </c>
      <c r="AT994">
        <f t="shared" si="393"/>
        <v>14</v>
      </c>
      <c r="AU994" s="170" t="str">
        <f t="shared" si="394"/>
        <v>0,15-0,5 MW, Bonusregeln G, y, b und K wenn Anlage 3 erfüllt</v>
      </c>
      <c r="AV994" s="169" t="str">
        <f t="shared" si="395"/>
        <v/>
      </c>
      <c r="AW994" s="170" t="str">
        <f t="shared" si="396"/>
        <v>Anteil KWK gemäß Anlage 3</v>
      </c>
      <c r="AX994" s="169" t="str">
        <f t="shared" si="397"/>
        <v/>
      </c>
      <c r="AY994" t="str">
        <f t="shared" si="398"/>
        <v/>
      </c>
      <c r="AZ994" t="str">
        <f t="shared" si="399"/>
        <v/>
      </c>
    </row>
    <row r="995" spans="1:52" s="145" customFormat="1" x14ac:dyDescent="0.35">
      <c r="A995" s="497" t="s">
        <v>2493</v>
      </c>
      <c r="B995" s="13" t="s">
        <v>5547</v>
      </c>
      <c r="C995" s="13" t="s">
        <v>1288</v>
      </c>
      <c r="D995" s="13" t="s">
        <v>7163</v>
      </c>
      <c r="E995" s="13" t="s">
        <v>674</v>
      </c>
      <c r="F995" s="373">
        <f t="shared" si="406"/>
        <v>22.75</v>
      </c>
      <c r="G995" s="430">
        <v>22.75</v>
      </c>
      <c r="H995" s="399">
        <f t="shared" si="407"/>
        <v>18.2</v>
      </c>
      <c r="I995" s="576"/>
      <c r="J995" s="549" t="s">
        <v>5804</v>
      </c>
      <c r="K995" s="11"/>
      <c r="L995"/>
      <c r="M995" s="37">
        <f t="shared" si="408"/>
        <v>22.75</v>
      </c>
      <c r="N995" s="29">
        <v>9.75</v>
      </c>
      <c r="O995" s="149"/>
      <c r="P995" s="144"/>
      <c r="Q995" s="145" t="s">
        <v>1017</v>
      </c>
      <c r="S995" s="145" t="s">
        <v>4179</v>
      </c>
      <c r="T995" s="145" t="s">
        <v>4179</v>
      </c>
      <c r="U995" s="146" t="s">
        <v>1017</v>
      </c>
      <c r="W995" s="147"/>
      <c r="X995" s="147"/>
      <c r="Y995" s="145" t="s">
        <v>1017</v>
      </c>
      <c r="Z995" s="147"/>
      <c r="AC995" s="147"/>
      <c r="AE995" s="148" t="s">
        <v>1017</v>
      </c>
      <c r="AF995" s="147"/>
      <c r="AG995" s="147"/>
      <c r="AH995" s="166" t="str">
        <f t="shared" si="413"/>
        <v/>
      </c>
      <c r="AI995" s="168" t="str">
        <f t="shared" si="401"/>
        <v/>
      </c>
      <c r="AJ995" s="168" t="str">
        <f t="shared" si="402"/>
        <v/>
      </c>
      <c r="AK995" s="168" t="str">
        <f t="shared" si="403"/>
        <v/>
      </c>
      <c r="AL995" s="168" t="str">
        <f t="shared" si="404"/>
        <v/>
      </c>
      <c r="AM995" s="168" t="str">
        <f t="shared" si="405"/>
        <v/>
      </c>
      <c r="AN995" s="167" t="str">
        <f t="shared" si="387"/>
        <v/>
      </c>
      <c r="AO995" s="167" t="str">
        <f t="shared" si="388"/>
        <v/>
      </c>
      <c r="AP995" s="167" t="str">
        <f t="shared" si="389"/>
        <v/>
      </c>
      <c r="AQ995" s="169" t="str">
        <f t="shared" si="390"/>
        <v/>
      </c>
      <c r="AR995" s="170" t="str">
        <f t="shared" si="391"/>
        <v>BiK82GbK09y-05</v>
      </c>
      <c r="AS995" s="169" t="str">
        <f t="shared" si="392"/>
        <v/>
      </c>
      <c r="AT995">
        <f t="shared" si="393"/>
        <v>14</v>
      </c>
      <c r="AU995" s="170" t="str">
        <f t="shared" si="394"/>
        <v>0,15-0,5 MW, Bonusregeln G, y, b und K erstmals 2009</v>
      </c>
      <c r="AV995" s="169" t="str">
        <f t="shared" si="395"/>
        <v/>
      </c>
      <c r="AW995" s="170" t="str">
        <f t="shared" si="396"/>
        <v>Anteil KWK, erstmals 2009</v>
      </c>
      <c r="AX995" s="169" t="str">
        <f t="shared" si="397"/>
        <v/>
      </c>
      <c r="AY995" t="str">
        <f t="shared" si="398"/>
        <v/>
      </c>
      <c r="AZ995" t="str">
        <f t="shared" si="399"/>
        <v/>
      </c>
    </row>
    <row r="996" spans="1:52" s="145" customFormat="1" x14ac:dyDescent="0.35">
      <c r="A996" s="497" t="s">
        <v>3608</v>
      </c>
      <c r="B996" s="13" t="s">
        <v>5547</v>
      </c>
      <c r="C996" s="13" t="s">
        <v>1288</v>
      </c>
      <c r="D996" s="13" t="s">
        <v>7164</v>
      </c>
      <c r="E996" s="13" t="s">
        <v>3566</v>
      </c>
      <c r="F996" s="373">
        <f t="shared" si="406"/>
        <v>22.72</v>
      </c>
      <c r="G996" s="430">
        <v>22.72</v>
      </c>
      <c r="H996" s="399">
        <f t="shared" si="407"/>
        <v>18.18</v>
      </c>
      <c r="I996" s="576"/>
      <c r="J996" s="549" t="s">
        <v>5804</v>
      </c>
      <c r="K996" s="11"/>
      <c r="L996"/>
      <c r="M996" s="37">
        <f t="shared" si="408"/>
        <v>22.72</v>
      </c>
      <c r="N996" s="29">
        <v>9.75</v>
      </c>
      <c r="O996" s="149"/>
      <c r="P996" s="144"/>
      <c r="R996" s="145" t="s">
        <v>1017</v>
      </c>
      <c r="S996" s="145" t="s">
        <v>4179</v>
      </c>
      <c r="T996" s="145" t="s">
        <v>4179</v>
      </c>
      <c r="U996" s="146" t="s">
        <v>1017</v>
      </c>
      <c r="W996" s="147"/>
      <c r="X996" s="147"/>
      <c r="Y996" s="145" t="s">
        <v>1017</v>
      </c>
      <c r="Z996" s="147"/>
      <c r="AC996" s="147"/>
      <c r="AE996" s="148" t="s">
        <v>1017</v>
      </c>
      <c r="AF996" s="147"/>
      <c r="AG996" s="147"/>
      <c r="AH996" s="166" t="str">
        <f t="shared" si="413"/>
        <v>2010</v>
      </c>
      <c r="AI996" s="168" t="str">
        <f t="shared" si="401"/>
        <v/>
      </c>
      <c r="AJ996" s="168" t="str">
        <f t="shared" si="402"/>
        <v/>
      </c>
      <c r="AK996" s="168" t="str">
        <f t="shared" si="403"/>
        <v/>
      </c>
      <c r="AL996" s="168" t="str">
        <f t="shared" si="404"/>
        <v/>
      </c>
      <c r="AM996" s="168" t="str">
        <f t="shared" si="405"/>
        <v/>
      </c>
      <c r="AN996" s="167" t="str">
        <f t="shared" si="387"/>
        <v>2010</v>
      </c>
      <c r="AO996" s="167" t="str">
        <f t="shared" si="388"/>
        <v>2010</v>
      </c>
      <c r="AP996" s="167" t="str">
        <f t="shared" si="389"/>
        <v>2010</v>
      </c>
      <c r="AQ996" s="169" t="str">
        <f t="shared" si="390"/>
        <v/>
      </c>
      <c r="AR996" s="170" t="str">
        <f t="shared" si="391"/>
        <v>BiK82GbK10y-05</v>
      </c>
      <c r="AS996" s="169" t="str">
        <f t="shared" si="392"/>
        <v/>
      </c>
      <c r="AT996">
        <f t="shared" si="393"/>
        <v>14</v>
      </c>
      <c r="AU996" s="170" t="str">
        <f t="shared" si="394"/>
        <v>0,15-0,5 MW, Bonusregeln G, y, b und K erstmals 2010</v>
      </c>
      <c r="AV996" s="169" t="str">
        <f t="shared" si="395"/>
        <v/>
      </c>
      <c r="AW996" s="170" t="str">
        <f t="shared" si="396"/>
        <v>Anteil KWK, erstmals 2010</v>
      </c>
      <c r="AX996" s="169" t="str">
        <f t="shared" si="397"/>
        <v/>
      </c>
      <c r="AY996" t="str">
        <f t="shared" si="398"/>
        <v/>
      </c>
      <c r="AZ996" t="str">
        <f t="shared" si="399"/>
        <v/>
      </c>
    </row>
    <row r="997" spans="1:52" s="145" customFormat="1" x14ac:dyDescent="0.35">
      <c r="A997" s="497" t="s">
        <v>5339</v>
      </c>
      <c r="B997" s="13" t="s">
        <v>5547</v>
      </c>
      <c r="C997" s="13" t="s">
        <v>1288</v>
      </c>
      <c r="D997" s="13" t="s">
        <v>7165</v>
      </c>
      <c r="E997" s="13" t="s">
        <v>3054</v>
      </c>
      <c r="F997" s="373">
        <f t="shared" si="406"/>
        <v>22.689999999999998</v>
      </c>
      <c r="G997" s="430">
        <v>22.689999999999998</v>
      </c>
      <c r="H997" s="399">
        <f t="shared" si="407"/>
        <v>18.149999999999999</v>
      </c>
      <c r="I997" s="576"/>
      <c r="J997" s="549" t="s">
        <v>5804</v>
      </c>
      <c r="K997" s="11"/>
      <c r="L997"/>
      <c r="M997" s="37">
        <f t="shared" si="408"/>
        <v>22.689999999999998</v>
      </c>
      <c r="N997" s="29">
        <v>9.75</v>
      </c>
      <c r="O997" s="149"/>
      <c r="P997" s="144"/>
      <c r="S997" s="145" t="s">
        <v>1017</v>
      </c>
      <c r="T997" s="145" t="s">
        <v>4179</v>
      </c>
      <c r="U997" s="146" t="s">
        <v>1017</v>
      </c>
      <c r="W997" s="147"/>
      <c r="X997" s="147"/>
      <c r="Y997" s="145" t="s">
        <v>1017</v>
      </c>
      <c r="Z997" s="147"/>
      <c r="AC997" s="147"/>
      <c r="AE997" s="148" t="s">
        <v>1017</v>
      </c>
      <c r="AF997" s="147"/>
      <c r="AG997" s="147"/>
      <c r="AH997" s="166" t="str">
        <f t="shared" si="413"/>
        <v>2011</v>
      </c>
      <c r="AI997" s="168" t="str">
        <f t="shared" si="401"/>
        <v/>
      </c>
      <c r="AJ997" s="168" t="str">
        <f t="shared" si="402"/>
        <v/>
      </c>
      <c r="AK997" s="168" t="str">
        <f t="shared" si="403"/>
        <v/>
      </c>
      <c r="AL997" s="168" t="str">
        <f t="shared" si="404"/>
        <v/>
      </c>
      <c r="AM997" s="168" t="str">
        <f t="shared" si="405"/>
        <v/>
      </c>
      <c r="AN997" s="167" t="str">
        <f t="shared" si="387"/>
        <v>2011</v>
      </c>
      <c r="AO997" s="167" t="str">
        <f t="shared" si="388"/>
        <v>2011</v>
      </c>
      <c r="AP997" s="167" t="str">
        <f t="shared" si="389"/>
        <v>2011</v>
      </c>
      <c r="AQ997" s="169" t="str">
        <f t="shared" si="390"/>
        <v/>
      </c>
      <c r="AR997" s="170" t="str">
        <f t="shared" si="391"/>
        <v>BiK82GbK11y-05</v>
      </c>
      <c r="AS997" s="169" t="str">
        <f t="shared" si="392"/>
        <v/>
      </c>
      <c r="AT997">
        <f t="shared" si="393"/>
        <v>14</v>
      </c>
      <c r="AU997" s="170" t="str">
        <f t="shared" si="394"/>
        <v>0,15-0,5 MW, Bonusregeln G, y, b und K erstmals 2011</v>
      </c>
      <c r="AV997" s="169" t="str">
        <f t="shared" si="395"/>
        <v/>
      </c>
      <c r="AW997" s="170" t="str">
        <f t="shared" si="396"/>
        <v>Anteil KWK, erstmals 2011</v>
      </c>
      <c r="AX997" s="169" t="str">
        <f t="shared" si="397"/>
        <v/>
      </c>
      <c r="AY997" t="str">
        <f t="shared" si="398"/>
        <v>x</v>
      </c>
      <c r="AZ997" t="str">
        <f t="shared" si="399"/>
        <v/>
      </c>
    </row>
    <row r="998" spans="1:52" s="145" customFormat="1" x14ac:dyDescent="0.35">
      <c r="A998" s="511" t="s">
        <v>1590</v>
      </c>
      <c r="B998" s="173" t="s">
        <v>5547</v>
      </c>
      <c r="C998" s="173" t="s">
        <v>1288</v>
      </c>
      <c r="D998" s="173" t="s">
        <v>7166</v>
      </c>
      <c r="E998" s="173" t="s">
        <v>1980</v>
      </c>
      <c r="F998" s="374">
        <f t="shared" si="406"/>
        <v>22.66</v>
      </c>
      <c r="G998" s="431">
        <v>22.66</v>
      </c>
      <c r="H998" s="400">
        <f t="shared" si="407"/>
        <v>18.13</v>
      </c>
      <c r="I998" s="577"/>
      <c r="J998" s="549" t="s">
        <v>5804</v>
      </c>
      <c r="K998" s="11"/>
      <c r="L998"/>
      <c r="M998" s="37">
        <f t="shared" si="408"/>
        <v>22.66</v>
      </c>
      <c r="N998" s="29">
        <v>9.75</v>
      </c>
      <c r="O998" s="149"/>
      <c r="P998" s="144"/>
      <c r="S998" s="145" t="s">
        <v>4179</v>
      </c>
      <c r="T998" s="145" t="s">
        <v>1017</v>
      </c>
      <c r="U998" s="146" t="s">
        <v>1017</v>
      </c>
      <c r="W998" s="147"/>
      <c r="X998" s="147"/>
      <c r="Y998" s="145" t="s">
        <v>1017</v>
      </c>
      <c r="Z998" s="147"/>
      <c r="AC998" s="147"/>
      <c r="AE998" s="148" t="s">
        <v>1017</v>
      </c>
      <c r="AF998" s="147"/>
      <c r="AG998" s="147"/>
      <c r="AH998" s="171" t="s">
        <v>4178</v>
      </c>
      <c r="AI998" s="168" t="str">
        <f t="shared" si="401"/>
        <v/>
      </c>
      <c r="AJ998" s="168" t="str">
        <f t="shared" si="402"/>
        <v/>
      </c>
      <c r="AK998" s="168" t="str">
        <f t="shared" si="403"/>
        <v/>
      </c>
      <c r="AL998" s="168" t="str">
        <f t="shared" si="404"/>
        <v/>
      </c>
      <c r="AM998" s="168" t="str">
        <f t="shared" si="405"/>
        <v/>
      </c>
      <c r="AN998" s="167" t="str">
        <f t="shared" si="387"/>
        <v>2012</v>
      </c>
      <c r="AO998" s="167" t="str">
        <f t="shared" si="388"/>
        <v>2012</v>
      </c>
      <c r="AP998" s="167" t="str">
        <f t="shared" si="389"/>
        <v>2012</v>
      </c>
      <c r="AQ998" s="169" t="str">
        <f t="shared" si="390"/>
        <v/>
      </c>
      <c r="AR998" s="170" t="str">
        <f t="shared" si="391"/>
        <v>BiK82GbK12y-05</v>
      </c>
      <c r="AS998" s="169" t="str">
        <f t="shared" si="392"/>
        <v/>
      </c>
      <c r="AT998">
        <f t="shared" si="393"/>
        <v>14</v>
      </c>
      <c r="AU998" s="170" t="str">
        <f t="shared" si="394"/>
        <v>0,15-0,5 MW, Bonusregeln G, y, b und K erstmals 2012</v>
      </c>
      <c r="AV998" s="169" t="str">
        <f t="shared" si="395"/>
        <v/>
      </c>
      <c r="AW998" s="170" t="str">
        <f t="shared" si="396"/>
        <v>Anteil KWK, erstmals 2012</v>
      </c>
      <c r="AX998" s="169" t="str">
        <f t="shared" si="397"/>
        <v/>
      </c>
      <c r="AY998" t="str">
        <f t="shared" si="398"/>
        <v/>
      </c>
      <c r="AZ998" t="str">
        <f t="shared" si="399"/>
        <v>x</v>
      </c>
    </row>
    <row r="999" spans="1:52" s="145" customFormat="1" x14ac:dyDescent="0.35">
      <c r="A999" s="497" t="s">
        <v>3561</v>
      </c>
      <c r="B999" s="13" t="s">
        <v>5547</v>
      </c>
      <c r="C999" s="13" t="s">
        <v>1288</v>
      </c>
      <c r="D999" s="13" t="s">
        <v>7167</v>
      </c>
      <c r="E999" s="13" t="s">
        <v>4809</v>
      </c>
      <c r="F999" s="373">
        <f t="shared" si="406"/>
        <v>19.75</v>
      </c>
      <c r="G999" s="430">
        <v>19.75</v>
      </c>
      <c r="H999" s="399">
        <f t="shared" si="407"/>
        <v>15.8</v>
      </c>
      <c r="I999" s="576"/>
      <c r="J999" s="549" t="s">
        <v>5804</v>
      </c>
      <c r="K999" s="11"/>
      <c r="L999"/>
      <c r="M999" s="37">
        <f t="shared" si="408"/>
        <v>19.75</v>
      </c>
      <c r="N999" s="29">
        <v>9.75</v>
      </c>
      <c r="O999" s="149"/>
      <c r="P999" s="144"/>
      <c r="S999" s="145" t="s">
        <v>4179</v>
      </c>
      <c r="T999" s="145" t="s">
        <v>4179</v>
      </c>
      <c r="U999" s="146"/>
      <c r="W999" s="147"/>
      <c r="X999" s="147"/>
      <c r="Z999" s="147"/>
      <c r="AA999" s="145" t="s">
        <v>1017</v>
      </c>
      <c r="AC999" s="147"/>
      <c r="AE999" s="148" t="s">
        <v>1017</v>
      </c>
      <c r="AF999" s="147"/>
      <c r="AG999" s="147"/>
      <c r="AH999" s="166" t="str">
        <f t="shared" ref="AH999:AH1004" si="414">IF(ISERROR(SEARCH("K erstmals 201",D999)),"",RIGHT(D999,4))</f>
        <v/>
      </c>
      <c r="AI999" s="168" t="str">
        <f t="shared" si="401"/>
        <v/>
      </c>
      <c r="AJ999" s="168" t="str">
        <f t="shared" si="402"/>
        <v/>
      </c>
      <c r="AK999" s="168" t="str">
        <f t="shared" si="403"/>
        <v/>
      </c>
      <c r="AL999" s="168" t="str">
        <f t="shared" si="404"/>
        <v/>
      </c>
      <c r="AM999" s="168" t="str">
        <f t="shared" si="405"/>
        <v/>
      </c>
      <c r="AN999" s="167" t="str">
        <f t="shared" si="387"/>
        <v/>
      </c>
      <c r="AO999" s="167" t="str">
        <f t="shared" si="388"/>
        <v/>
      </c>
      <c r="AP999" s="167" t="str">
        <f t="shared" si="389"/>
        <v/>
      </c>
      <c r="AQ999" s="169" t="str">
        <f t="shared" si="390"/>
        <v/>
      </c>
      <c r="AR999" s="170" t="str">
        <f t="shared" si="391"/>
        <v>BiK82M2b----05</v>
      </c>
      <c r="AS999" s="169" t="str">
        <f t="shared" si="392"/>
        <v/>
      </c>
      <c r="AT999">
        <f t="shared" si="393"/>
        <v>14</v>
      </c>
      <c r="AU999" s="170" t="str">
        <f t="shared" si="394"/>
        <v>0,15-0,5 MW, Bonusregeln M2, b</v>
      </c>
      <c r="AV999" s="169" t="str">
        <f t="shared" si="395"/>
        <v/>
      </c>
      <c r="AW999" s="170" t="str">
        <f t="shared" si="396"/>
        <v>Anteil Nicht-KWK</v>
      </c>
      <c r="AX999" s="169" t="str">
        <f t="shared" si="397"/>
        <v/>
      </c>
      <c r="AY999" t="str">
        <f t="shared" si="398"/>
        <v/>
      </c>
      <c r="AZ999" t="str">
        <f t="shared" si="399"/>
        <v/>
      </c>
    </row>
    <row r="1000" spans="1:52" s="145" customFormat="1" x14ac:dyDescent="0.35">
      <c r="A1000" s="497" t="s">
        <v>3562</v>
      </c>
      <c r="B1000" s="13" t="s">
        <v>5547</v>
      </c>
      <c r="C1000" s="13" t="s">
        <v>1288</v>
      </c>
      <c r="D1000" s="13" t="s">
        <v>7168</v>
      </c>
      <c r="E1000" s="13" t="s">
        <v>4811</v>
      </c>
      <c r="F1000" s="373">
        <f t="shared" si="406"/>
        <v>21.75</v>
      </c>
      <c r="G1000" s="430">
        <v>21.75</v>
      </c>
      <c r="H1000" s="399">
        <f t="shared" si="407"/>
        <v>17.399999999999999</v>
      </c>
      <c r="I1000" s="576"/>
      <c r="J1000" s="549" t="s">
        <v>5804</v>
      </c>
      <c r="K1000" s="11"/>
      <c r="L1000"/>
      <c r="M1000" s="37">
        <f t="shared" si="408"/>
        <v>21.75</v>
      </c>
      <c r="N1000" s="29">
        <v>9.75</v>
      </c>
      <c r="O1000" s="149" t="s">
        <v>1017</v>
      </c>
      <c r="P1000" s="144"/>
      <c r="S1000" s="145" t="s">
        <v>4179</v>
      </c>
      <c r="T1000" s="145" t="s">
        <v>4179</v>
      </c>
      <c r="U1000" s="146"/>
      <c r="W1000" s="147"/>
      <c r="X1000" s="147"/>
      <c r="Z1000" s="147"/>
      <c r="AA1000" s="145" t="s">
        <v>1017</v>
      </c>
      <c r="AC1000" s="147"/>
      <c r="AE1000" s="148" t="s">
        <v>1017</v>
      </c>
      <c r="AF1000" s="147"/>
      <c r="AG1000" s="147"/>
      <c r="AH1000" s="166" t="str">
        <f t="shared" si="414"/>
        <v/>
      </c>
      <c r="AI1000" s="168" t="str">
        <f t="shared" si="401"/>
        <v/>
      </c>
      <c r="AJ1000" s="168" t="str">
        <f t="shared" si="402"/>
        <v/>
      </c>
      <c r="AK1000" s="168" t="str">
        <f t="shared" si="403"/>
        <v/>
      </c>
      <c r="AL1000" s="168" t="str">
        <f t="shared" si="404"/>
        <v/>
      </c>
      <c r="AM1000" s="168" t="str">
        <f t="shared" si="405"/>
        <v/>
      </c>
      <c r="AN1000" s="167" t="str">
        <f t="shared" si="387"/>
        <v/>
      </c>
      <c r="AO1000" s="167" t="str">
        <f t="shared" si="388"/>
        <v/>
      </c>
      <c r="AP1000" s="167" t="str">
        <f t="shared" si="389"/>
        <v/>
      </c>
      <c r="AQ1000" s="169" t="str">
        <f t="shared" si="390"/>
        <v/>
      </c>
      <c r="AR1000" s="170" t="str">
        <f t="shared" si="391"/>
        <v>BiK82M2bKWK-05</v>
      </c>
      <c r="AS1000" s="169" t="str">
        <f t="shared" si="392"/>
        <v/>
      </c>
      <c r="AT1000">
        <f t="shared" si="393"/>
        <v>14</v>
      </c>
      <c r="AU1000" s="170" t="str">
        <f t="shared" si="394"/>
        <v>0,15-0,5 MW, Bonusregeln M2, b und KWK</v>
      </c>
      <c r="AV1000" s="169" t="str">
        <f t="shared" si="395"/>
        <v/>
      </c>
      <c r="AW1000" s="170" t="str">
        <f t="shared" si="396"/>
        <v>Anteil KWK</v>
      </c>
      <c r="AX1000" s="169" t="str">
        <f t="shared" si="397"/>
        <v/>
      </c>
      <c r="AY1000" t="str">
        <f t="shared" si="398"/>
        <v/>
      </c>
      <c r="AZ1000" t="str">
        <f t="shared" si="399"/>
        <v/>
      </c>
    </row>
    <row r="1001" spans="1:52" s="145" customFormat="1" x14ac:dyDescent="0.35">
      <c r="A1001" s="497" t="s">
        <v>3563</v>
      </c>
      <c r="B1001" s="13" t="s">
        <v>5547</v>
      </c>
      <c r="C1001" s="13" t="s">
        <v>1288</v>
      </c>
      <c r="D1001" s="13" t="s">
        <v>7169</v>
      </c>
      <c r="E1001" s="13" t="s">
        <v>4330</v>
      </c>
      <c r="F1001" s="373">
        <f t="shared" si="406"/>
        <v>22.75</v>
      </c>
      <c r="G1001" s="430">
        <v>22.75</v>
      </c>
      <c r="H1001" s="399">
        <f t="shared" si="407"/>
        <v>18.2</v>
      </c>
      <c r="I1001" s="576"/>
      <c r="J1001" s="549" t="s">
        <v>5804</v>
      </c>
      <c r="K1001" s="11"/>
      <c r="L1001"/>
      <c r="M1001" s="37">
        <f t="shared" si="408"/>
        <v>22.75</v>
      </c>
      <c r="N1001" s="29">
        <v>9.75</v>
      </c>
      <c r="O1001" s="149"/>
      <c r="P1001" s="145" t="s">
        <v>1017</v>
      </c>
      <c r="S1001" s="145" t="s">
        <v>4179</v>
      </c>
      <c r="T1001" s="145" t="s">
        <v>4179</v>
      </c>
      <c r="U1001" s="146"/>
      <c r="W1001" s="147"/>
      <c r="X1001" s="147"/>
      <c r="Z1001" s="147"/>
      <c r="AA1001" s="145" t="s">
        <v>1017</v>
      </c>
      <c r="AC1001" s="147"/>
      <c r="AE1001" s="148" t="s">
        <v>1017</v>
      </c>
      <c r="AF1001" s="147"/>
      <c r="AG1001" s="147"/>
      <c r="AH1001" s="166" t="str">
        <f t="shared" si="414"/>
        <v/>
      </c>
      <c r="AI1001" s="168" t="str">
        <f t="shared" si="401"/>
        <v/>
      </c>
      <c r="AJ1001" s="168" t="str">
        <f t="shared" si="402"/>
        <v/>
      </c>
      <c r="AK1001" s="168" t="str">
        <f t="shared" si="403"/>
        <v/>
      </c>
      <c r="AL1001" s="168" t="str">
        <f t="shared" si="404"/>
        <v/>
      </c>
      <c r="AM1001" s="168" t="str">
        <f t="shared" si="405"/>
        <v/>
      </c>
      <c r="AN1001" s="167" t="str">
        <f t="shared" si="387"/>
        <v/>
      </c>
      <c r="AO1001" s="167" t="str">
        <f t="shared" si="388"/>
        <v/>
      </c>
      <c r="AP1001" s="167" t="str">
        <f t="shared" si="389"/>
        <v/>
      </c>
      <c r="AQ1001" s="169" t="str">
        <f t="shared" si="390"/>
        <v/>
      </c>
      <c r="AR1001" s="170" t="str">
        <f t="shared" si="391"/>
        <v>BiK82M2bKA3-05</v>
      </c>
      <c r="AS1001" s="169" t="str">
        <f t="shared" si="392"/>
        <v/>
      </c>
      <c r="AT1001">
        <f t="shared" si="393"/>
        <v>14</v>
      </c>
      <c r="AU1001" s="170" t="str">
        <f t="shared" si="394"/>
        <v>0,15-0,5 MW, Bonusregeln M2, b und K wenn Anlage 3 erfüllt</v>
      </c>
      <c r="AV1001" s="169" t="str">
        <f t="shared" si="395"/>
        <v/>
      </c>
      <c r="AW1001" s="170" t="str">
        <f t="shared" si="396"/>
        <v>Anteil KWK gemäß Anlage 3</v>
      </c>
      <c r="AX1001" s="169" t="str">
        <f t="shared" si="397"/>
        <v/>
      </c>
      <c r="AY1001" t="str">
        <f t="shared" si="398"/>
        <v/>
      </c>
      <c r="AZ1001" t="str">
        <f t="shared" si="399"/>
        <v/>
      </c>
    </row>
    <row r="1002" spans="1:52" s="145" customFormat="1" x14ac:dyDescent="0.35">
      <c r="A1002" s="497" t="s">
        <v>3564</v>
      </c>
      <c r="B1002" s="13" t="s">
        <v>5547</v>
      </c>
      <c r="C1002" s="13" t="s">
        <v>1288</v>
      </c>
      <c r="D1002" s="13" t="s">
        <v>7170</v>
      </c>
      <c r="E1002" s="13" t="s">
        <v>674</v>
      </c>
      <c r="F1002" s="373">
        <f t="shared" si="406"/>
        <v>22.75</v>
      </c>
      <c r="G1002" s="430">
        <v>22.75</v>
      </c>
      <c r="H1002" s="399">
        <f t="shared" si="407"/>
        <v>18.2</v>
      </c>
      <c r="I1002" s="576"/>
      <c r="J1002" s="549" t="s">
        <v>5804</v>
      </c>
      <c r="K1002" s="11"/>
      <c r="L1002"/>
      <c r="M1002" s="37">
        <f t="shared" si="408"/>
        <v>22.75</v>
      </c>
      <c r="N1002" s="29">
        <v>9.75</v>
      </c>
      <c r="O1002" s="149"/>
      <c r="P1002" s="144"/>
      <c r="Q1002" s="145" t="s">
        <v>1017</v>
      </c>
      <c r="S1002" s="145" t="s">
        <v>4179</v>
      </c>
      <c r="T1002" s="145" t="s">
        <v>4179</v>
      </c>
      <c r="U1002" s="146"/>
      <c r="W1002" s="147"/>
      <c r="X1002" s="147"/>
      <c r="Z1002" s="147"/>
      <c r="AA1002" s="145" t="s">
        <v>1017</v>
      </c>
      <c r="AC1002" s="147"/>
      <c r="AE1002" s="148" t="s">
        <v>1017</v>
      </c>
      <c r="AF1002" s="147"/>
      <c r="AG1002" s="147"/>
      <c r="AH1002" s="166" t="str">
        <f t="shared" si="414"/>
        <v/>
      </c>
      <c r="AI1002" s="168" t="str">
        <f t="shared" si="401"/>
        <v/>
      </c>
      <c r="AJ1002" s="168" t="str">
        <f t="shared" si="402"/>
        <v/>
      </c>
      <c r="AK1002" s="168" t="str">
        <f t="shared" si="403"/>
        <v/>
      </c>
      <c r="AL1002" s="168" t="str">
        <f t="shared" si="404"/>
        <v/>
      </c>
      <c r="AM1002" s="168" t="str">
        <f t="shared" si="405"/>
        <v/>
      </c>
      <c r="AN1002" s="167" t="str">
        <f t="shared" si="387"/>
        <v/>
      </c>
      <c r="AO1002" s="167" t="str">
        <f t="shared" si="388"/>
        <v/>
      </c>
      <c r="AP1002" s="167" t="str">
        <f t="shared" si="389"/>
        <v/>
      </c>
      <c r="AQ1002" s="169" t="str">
        <f t="shared" si="390"/>
        <v/>
      </c>
      <c r="AR1002" s="170" t="str">
        <f t="shared" si="391"/>
        <v>BiK82M2bK09-05</v>
      </c>
      <c r="AS1002" s="169" t="str">
        <f t="shared" si="392"/>
        <v/>
      </c>
      <c r="AT1002">
        <f t="shared" si="393"/>
        <v>14</v>
      </c>
      <c r="AU1002" s="170" t="str">
        <f t="shared" si="394"/>
        <v>0,15-0,5 MW, Bonusregeln M2, b und K erstmals 2009</v>
      </c>
      <c r="AV1002" s="169" t="str">
        <f t="shared" si="395"/>
        <v/>
      </c>
      <c r="AW1002" s="170" t="str">
        <f t="shared" si="396"/>
        <v>Anteil KWK, erstmals 2009</v>
      </c>
      <c r="AX1002" s="169" t="str">
        <f t="shared" si="397"/>
        <v/>
      </c>
      <c r="AY1002" t="str">
        <f t="shared" si="398"/>
        <v/>
      </c>
      <c r="AZ1002" t="str">
        <f t="shared" si="399"/>
        <v/>
      </c>
    </row>
    <row r="1003" spans="1:52" s="145" customFormat="1" x14ac:dyDescent="0.35">
      <c r="A1003" s="497" t="s">
        <v>3609</v>
      </c>
      <c r="B1003" s="13" t="s">
        <v>5547</v>
      </c>
      <c r="C1003" s="13" t="s">
        <v>1288</v>
      </c>
      <c r="D1003" s="13" t="s">
        <v>7171</v>
      </c>
      <c r="E1003" s="13" t="s">
        <v>3566</v>
      </c>
      <c r="F1003" s="373">
        <f t="shared" si="406"/>
        <v>22.72</v>
      </c>
      <c r="G1003" s="430">
        <v>22.72</v>
      </c>
      <c r="H1003" s="399">
        <f t="shared" si="407"/>
        <v>18.18</v>
      </c>
      <c r="I1003" s="576"/>
      <c r="J1003" s="549" t="s">
        <v>5804</v>
      </c>
      <c r="K1003" s="11"/>
      <c r="L1003"/>
      <c r="M1003" s="37">
        <f t="shared" si="408"/>
        <v>22.72</v>
      </c>
      <c r="N1003" s="29">
        <v>9.75</v>
      </c>
      <c r="O1003" s="149"/>
      <c r="P1003" s="144"/>
      <c r="R1003" s="145" t="s">
        <v>1017</v>
      </c>
      <c r="S1003" s="145" t="s">
        <v>4179</v>
      </c>
      <c r="T1003" s="145" t="s">
        <v>4179</v>
      </c>
      <c r="U1003" s="146"/>
      <c r="W1003" s="147"/>
      <c r="X1003" s="147"/>
      <c r="Z1003" s="147"/>
      <c r="AA1003" s="145" t="s">
        <v>1017</v>
      </c>
      <c r="AC1003" s="147"/>
      <c r="AE1003" s="148" t="s">
        <v>1017</v>
      </c>
      <c r="AF1003" s="147"/>
      <c r="AG1003" s="147"/>
      <c r="AH1003" s="166" t="str">
        <f t="shared" si="414"/>
        <v>2010</v>
      </c>
      <c r="AI1003" s="168" t="str">
        <f t="shared" si="401"/>
        <v/>
      </c>
      <c r="AJ1003" s="168" t="str">
        <f t="shared" si="402"/>
        <v/>
      </c>
      <c r="AK1003" s="168" t="str">
        <f t="shared" si="403"/>
        <v/>
      </c>
      <c r="AL1003" s="168" t="str">
        <f t="shared" si="404"/>
        <v/>
      </c>
      <c r="AM1003" s="168" t="str">
        <f t="shared" si="405"/>
        <v/>
      </c>
      <c r="AN1003" s="167" t="str">
        <f t="shared" si="387"/>
        <v>2010</v>
      </c>
      <c r="AO1003" s="167" t="str">
        <f t="shared" si="388"/>
        <v>2010</v>
      </c>
      <c r="AP1003" s="167" t="str">
        <f t="shared" si="389"/>
        <v>2010</v>
      </c>
      <c r="AQ1003" s="169" t="str">
        <f t="shared" si="390"/>
        <v/>
      </c>
      <c r="AR1003" s="170" t="str">
        <f t="shared" si="391"/>
        <v>BiK82M2bK10-05</v>
      </c>
      <c r="AS1003" s="169" t="str">
        <f t="shared" si="392"/>
        <v/>
      </c>
      <c r="AT1003">
        <f t="shared" si="393"/>
        <v>14</v>
      </c>
      <c r="AU1003" s="170" t="str">
        <f t="shared" si="394"/>
        <v>0,15-0,5 MW, Bonusregeln M2, b und K erstmals 2010</v>
      </c>
      <c r="AV1003" s="169" t="str">
        <f t="shared" si="395"/>
        <v/>
      </c>
      <c r="AW1003" s="170" t="str">
        <f t="shared" si="396"/>
        <v>Anteil KWK, erstmals 2010</v>
      </c>
      <c r="AX1003" s="169" t="str">
        <f t="shared" si="397"/>
        <v/>
      </c>
      <c r="AY1003" t="str">
        <f t="shared" si="398"/>
        <v/>
      </c>
      <c r="AZ1003" t="str">
        <f t="shared" si="399"/>
        <v/>
      </c>
    </row>
    <row r="1004" spans="1:52" s="145" customFormat="1" x14ac:dyDescent="0.35">
      <c r="A1004" s="497" t="s">
        <v>5340</v>
      </c>
      <c r="B1004" s="13" t="s">
        <v>5547</v>
      </c>
      <c r="C1004" s="13" t="s">
        <v>1288</v>
      </c>
      <c r="D1004" s="13" t="s">
        <v>7172</v>
      </c>
      <c r="E1004" s="13" t="s">
        <v>3054</v>
      </c>
      <c r="F1004" s="373">
        <f t="shared" si="406"/>
        <v>22.689999999999998</v>
      </c>
      <c r="G1004" s="430">
        <v>22.689999999999998</v>
      </c>
      <c r="H1004" s="399">
        <f t="shared" si="407"/>
        <v>18.149999999999999</v>
      </c>
      <c r="I1004" s="576"/>
      <c r="J1004" s="549" t="s">
        <v>5804</v>
      </c>
      <c r="K1004" s="11"/>
      <c r="L1004"/>
      <c r="M1004" s="37">
        <f t="shared" si="408"/>
        <v>22.689999999999998</v>
      </c>
      <c r="N1004" s="29">
        <v>9.75</v>
      </c>
      <c r="O1004" s="149"/>
      <c r="P1004" s="144"/>
      <c r="S1004" s="145" t="s">
        <v>1017</v>
      </c>
      <c r="T1004" s="145" t="s">
        <v>4179</v>
      </c>
      <c r="U1004" s="146"/>
      <c r="W1004" s="147"/>
      <c r="X1004" s="147"/>
      <c r="Z1004" s="147"/>
      <c r="AA1004" s="145" t="s">
        <v>1017</v>
      </c>
      <c r="AC1004" s="147"/>
      <c r="AE1004" s="148" t="s">
        <v>1017</v>
      </c>
      <c r="AF1004" s="147"/>
      <c r="AG1004" s="147"/>
      <c r="AH1004" s="166" t="str">
        <f t="shared" si="414"/>
        <v>2011</v>
      </c>
      <c r="AI1004" s="168" t="str">
        <f t="shared" si="401"/>
        <v/>
      </c>
      <c r="AJ1004" s="168" t="str">
        <f t="shared" si="402"/>
        <v/>
      </c>
      <c r="AK1004" s="168" t="str">
        <f t="shared" si="403"/>
        <v/>
      </c>
      <c r="AL1004" s="168" t="str">
        <f t="shared" si="404"/>
        <v/>
      </c>
      <c r="AM1004" s="168" t="str">
        <f t="shared" si="405"/>
        <v/>
      </c>
      <c r="AN1004" s="167" t="str">
        <f t="shared" si="387"/>
        <v>2011</v>
      </c>
      <c r="AO1004" s="167" t="str">
        <f t="shared" si="388"/>
        <v>2011</v>
      </c>
      <c r="AP1004" s="167" t="str">
        <f t="shared" si="389"/>
        <v>2011</v>
      </c>
      <c r="AQ1004" s="169" t="str">
        <f t="shared" si="390"/>
        <v/>
      </c>
      <c r="AR1004" s="170" t="str">
        <f t="shared" si="391"/>
        <v>BiK82M2bK11-05</v>
      </c>
      <c r="AS1004" s="169" t="str">
        <f t="shared" si="392"/>
        <v/>
      </c>
      <c r="AT1004">
        <f t="shared" si="393"/>
        <v>14</v>
      </c>
      <c r="AU1004" s="170" t="str">
        <f t="shared" si="394"/>
        <v>0,15-0,5 MW, Bonusregeln M2, b und K erstmals 2011</v>
      </c>
      <c r="AV1004" s="169" t="str">
        <f t="shared" si="395"/>
        <v/>
      </c>
      <c r="AW1004" s="170" t="str">
        <f t="shared" si="396"/>
        <v>Anteil KWK, erstmals 2011</v>
      </c>
      <c r="AX1004" s="169" t="str">
        <f t="shared" si="397"/>
        <v/>
      </c>
      <c r="AY1004" t="str">
        <f t="shared" si="398"/>
        <v>x</v>
      </c>
      <c r="AZ1004" t="str">
        <f t="shared" si="399"/>
        <v/>
      </c>
    </row>
    <row r="1005" spans="1:52" s="145" customFormat="1" x14ac:dyDescent="0.35">
      <c r="A1005" s="511" t="s">
        <v>1591</v>
      </c>
      <c r="B1005" s="173" t="s">
        <v>5547</v>
      </c>
      <c r="C1005" s="173" t="s">
        <v>1288</v>
      </c>
      <c r="D1005" s="173" t="s">
        <v>7173</v>
      </c>
      <c r="E1005" s="173" t="s">
        <v>1980</v>
      </c>
      <c r="F1005" s="374">
        <f t="shared" si="406"/>
        <v>22.66</v>
      </c>
      <c r="G1005" s="431">
        <v>22.66</v>
      </c>
      <c r="H1005" s="400">
        <f t="shared" si="407"/>
        <v>18.13</v>
      </c>
      <c r="I1005" s="577"/>
      <c r="J1005" s="549" t="s">
        <v>5804</v>
      </c>
      <c r="K1005" s="11"/>
      <c r="L1005"/>
      <c r="M1005" s="37">
        <f t="shared" si="408"/>
        <v>22.66</v>
      </c>
      <c r="N1005" s="29">
        <v>9.75</v>
      </c>
      <c r="O1005" s="149"/>
      <c r="P1005" s="144"/>
      <c r="S1005" s="145" t="s">
        <v>4179</v>
      </c>
      <c r="T1005" s="145" t="s">
        <v>1017</v>
      </c>
      <c r="U1005" s="146"/>
      <c r="W1005" s="147"/>
      <c r="X1005" s="147"/>
      <c r="Z1005" s="147"/>
      <c r="AA1005" s="145" t="s">
        <v>1017</v>
      </c>
      <c r="AC1005" s="147"/>
      <c r="AE1005" s="148" t="s">
        <v>1017</v>
      </c>
      <c r="AF1005" s="147"/>
      <c r="AG1005" s="147"/>
      <c r="AH1005" s="171" t="s">
        <v>4178</v>
      </c>
      <c r="AI1005" s="168" t="str">
        <f t="shared" si="401"/>
        <v/>
      </c>
      <c r="AJ1005" s="168" t="str">
        <f t="shared" si="402"/>
        <v/>
      </c>
      <c r="AK1005" s="168" t="str">
        <f t="shared" si="403"/>
        <v/>
      </c>
      <c r="AL1005" s="168" t="str">
        <f t="shared" si="404"/>
        <v/>
      </c>
      <c r="AM1005" s="168" t="str">
        <f t="shared" si="405"/>
        <v/>
      </c>
      <c r="AN1005" s="167" t="str">
        <f t="shared" si="387"/>
        <v>2012</v>
      </c>
      <c r="AO1005" s="167" t="str">
        <f t="shared" si="388"/>
        <v>2012</v>
      </c>
      <c r="AP1005" s="167" t="str">
        <f t="shared" si="389"/>
        <v>2012</v>
      </c>
      <c r="AQ1005" s="169" t="str">
        <f t="shared" si="390"/>
        <v/>
      </c>
      <c r="AR1005" s="170" t="str">
        <f t="shared" si="391"/>
        <v>BiK82M2bK12-05</v>
      </c>
      <c r="AS1005" s="169" t="str">
        <f t="shared" si="392"/>
        <v/>
      </c>
      <c r="AT1005">
        <f t="shared" si="393"/>
        <v>14</v>
      </c>
      <c r="AU1005" s="170" t="str">
        <f t="shared" si="394"/>
        <v>0,15-0,5 MW, Bonusregeln M2, b und K erstmals 2012</v>
      </c>
      <c r="AV1005" s="169" t="str">
        <f t="shared" si="395"/>
        <v/>
      </c>
      <c r="AW1005" s="170" t="str">
        <f t="shared" si="396"/>
        <v>Anteil KWK, erstmals 2012</v>
      </c>
      <c r="AX1005" s="169" t="str">
        <f t="shared" si="397"/>
        <v/>
      </c>
      <c r="AY1005" t="str">
        <f t="shared" si="398"/>
        <v/>
      </c>
      <c r="AZ1005" t="str">
        <f t="shared" si="399"/>
        <v>x</v>
      </c>
    </row>
    <row r="1006" spans="1:52" x14ac:dyDescent="0.35">
      <c r="A1006" s="497" t="s">
        <v>3565</v>
      </c>
      <c r="B1006" s="13" t="s">
        <v>5547</v>
      </c>
      <c r="C1006" s="13" t="s">
        <v>1288</v>
      </c>
      <c r="D1006" s="13" t="s">
        <v>7174</v>
      </c>
      <c r="E1006" s="13" t="s">
        <v>4809</v>
      </c>
      <c r="F1006" s="373">
        <f t="shared" si="406"/>
        <v>20.75</v>
      </c>
      <c r="G1006" s="430">
        <v>20.75</v>
      </c>
      <c r="H1006" s="399">
        <f t="shared" si="407"/>
        <v>16.600000000000001</v>
      </c>
      <c r="I1006" s="576"/>
      <c r="J1006" s="549" t="s">
        <v>5804</v>
      </c>
      <c r="K1006" s="11"/>
      <c r="M1006" s="37">
        <f t="shared" si="408"/>
        <v>20.75</v>
      </c>
      <c r="N1006" s="29">
        <v>9.75</v>
      </c>
      <c r="O1006" s="149"/>
      <c r="P1006" s="144"/>
      <c r="Q1006" s="145"/>
      <c r="R1006" s="145"/>
      <c r="S1006" s="145" t="s">
        <v>4179</v>
      </c>
      <c r="T1006" t="s">
        <v>4179</v>
      </c>
      <c r="U1006" s="146" t="s">
        <v>1017</v>
      </c>
      <c r="V1006" s="145"/>
      <c r="W1006" s="147"/>
      <c r="X1006" s="147"/>
      <c r="Y1006" s="145"/>
      <c r="Z1006" s="147"/>
      <c r="AA1006" s="145" t="s">
        <v>1017</v>
      </c>
      <c r="AB1006" s="145"/>
      <c r="AC1006" s="147"/>
      <c r="AD1006" s="145"/>
      <c r="AE1006" s="148" t="s">
        <v>1017</v>
      </c>
      <c r="AF1006" s="147"/>
      <c r="AG1006" s="147"/>
      <c r="AH1006" s="166" t="str">
        <f t="shared" ref="AH1006:AH1011" si="415">IF(ISERROR(SEARCH("K erstmals 201",D1006)),"",RIGHT(D1006,4))</f>
        <v/>
      </c>
      <c r="AI1006" s="168" t="str">
        <f t="shared" si="401"/>
        <v/>
      </c>
      <c r="AJ1006" s="168" t="str">
        <f t="shared" si="402"/>
        <v/>
      </c>
      <c r="AK1006" s="168" t="str">
        <f t="shared" si="403"/>
        <v/>
      </c>
      <c r="AL1006" s="168" t="str">
        <f t="shared" si="404"/>
        <v/>
      </c>
      <c r="AM1006" s="168" t="str">
        <f t="shared" si="405"/>
        <v/>
      </c>
      <c r="AN1006" s="167" t="str">
        <f t="shared" si="387"/>
        <v/>
      </c>
      <c r="AO1006" s="167" t="str">
        <f t="shared" si="388"/>
        <v/>
      </c>
      <c r="AP1006" s="167" t="str">
        <f t="shared" si="389"/>
        <v/>
      </c>
      <c r="AQ1006" s="169" t="str">
        <f t="shared" si="390"/>
        <v/>
      </c>
      <c r="AR1006" s="170" t="str">
        <f t="shared" si="391"/>
        <v>BiK82M2by---05</v>
      </c>
      <c r="AS1006" s="169" t="str">
        <f t="shared" si="392"/>
        <v/>
      </c>
      <c r="AT1006">
        <f t="shared" si="393"/>
        <v>14</v>
      </c>
      <c r="AU1006" s="170" t="str">
        <f t="shared" si="394"/>
        <v>0,15-0,5 MW, Bonusregeln M2, y, b</v>
      </c>
      <c r="AV1006" s="169" t="str">
        <f t="shared" si="395"/>
        <v/>
      </c>
      <c r="AW1006" s="170" t="str">
        <f t="shared" si="396"/>
        <v>Anteil Nicht-KWK</v>
      </c>
      <c r="AX1006" s="169" t="str">
        <f t="shared" si="397"/>
        <v/>
      </c>
      <c r="AY1006" t="str">
        <f t="shared" si="398"/>
        <v/>
      </c>
      <c r="AZ1006" t="str">
        <f t="shared" si="399"/>
        <v/>
      </c>
    </row>
    <row r="1007" spans="1:52" x14ac:dyDescent="0.35">
      <c r="A1007" s="497" t="s">
        <v>4709</v>
      </c>
      <c r="B1007" s="13" t="s">
        <v>5547</v>
      </c>
      <c r="C1007" s="13" t="s">
        <v>1288</v>
      </c>
      <c r="D1007" s="13" t="s">
        <v>7175</v>
      </c>
      <c r="E1007" s="13" t="s">
        <v>4811</v>
      </c>
      <c r="F1007" s="373">
        <f t="shared" si="406"/>
        <v>22.75</v>
      </c>
      <c r="G1007" s="430">
        <v>22.75</v>
      </c>
      <c r="H1007" s="399">
        <f t="shared" si="407"/>
        <v>18.2</v>
      </c>
      <c r="I1007" s="576"/>
      <c r="J1007" s="549" t="s">
        <v>5804</v>
      </c>
      <c r="K1007" s="11"/>
      <c r="M1007" s="37">
        <f t="shared" si="408"/>
        <v>22.75</v>
      </c>
      <c r="N1007" s="29">
        <v>9.75</v>
      </c>
      <c r="O1007" s="149" t="s">
        <v>1017</v>
      </c>
      <c r="P1007" s="144"/>
      <c r="Q1007" s="145"/>
      <c r="R1007" s="145"/>
      <c r="S1007" s="145" t="s">
        <v>4179</v>
      </c>
      <c r="T1007" t="s">
        <v>4179</v>
      </c>
      <c r="U1007" s="146" t="s">
        <v>1017</v>
      </c>
      <c r="V1007" s="145"/>
      <c r="W1007" s="147"/>
      <c r="X1007" s="147"/>
      <c r="Y1007" s="145"/>
      <c r="Z1007" s="147"/>
      <c r="AA1007" s="145" t="s">
        <v>1017</v>
      </c>
      <c r="AB1007" s="145"/>
      <c r="AC1007" s="147"/>
      <c r="AD1007" s="145"/>
      <c r="AE1007" s="148" t="s">
        <v>1017</v>
      </c>
      <c r="AF1007" s="147"/>
      <c r="AG1007" s="147"/>
      <c r="AH1007" s="166" t="str">
        <f t="shared" si="415"/>
        <v/>
      </c>
      <c r="AI1007" s="168" t="str">
        <f t="shared" si="401"/>
        <v/>
      </c>
      <c r="AJ1007" s="168" t="str">
        <f t="shared" si="402"/>
        <v/>
      </c>
      <c r="AK1007" s="168" t="str">
        <f t="shared" si="403"/>
        <v/>
      </c>
      <c r="AL1007" s="168" t="str">
        <f t="shared" si="404"/>
        <v/>
      </c>
      <c r="AM1007" s="168" t="str">
        <f t="shared" si="405"/>
        <v/>
      </c>
      <c r="AN1007" s="167" t="str">
        <f t="shared" si="387"/>
        <v/>
      </c>
      <c r="AO1007" s="167" t="str">
        <f t="shared" si="388"/>
        <v/>
      </c>
      <c r="AP1007" s="167" t="str">
        <f t="shared" si="389"/>
        <v/>
      </c>
      <c r="AQ1007" s="169" t="str">
        <f t="shared" si="390"/>
        <v/>
      </c>
      <c r="AR1007" s="170" t="str">
        <f t="shared" si="391"/>
        <v>BiK82M2bKWKy05</v>
      </c>
      <c r="AS1007" s="169" t="str">
        <f t="shared" si="392"/>
        <v/>
      </c>
      <c r="AT1007">
        <f t="shared" si="393"/>
        <v>14</v>
      </c>
      <c r="AU1007" s="170" t="str">
        <f t="shared" si="394"/>
        <v>0,15-0,5 MW, Bonusregeln M2, y, b und KWK</v>
      </c>
      <c r="AV1007" s="169" t="str">
        <f t="shared" si="395"/>
        <v/>
      </c>
      <c r="AW1007" s="170" t="str">
        <f t="shared" si="396"/>
        <v>Anteil KWK</v>
      </c>
      <c r="AX1007" s="169" t="str">
        <f t="shared" si="397"/>
        <v/>
      </c>
      <c r="AY1007" t="str">
        <f t="shared" si="398"/>
        <v/>
      </c>
      <c r="AZ1007" t="str">
        <f t="shared" si="399"/>
        <v/>
      </c>
    </row>
    <row r="1008" spans="1:52" x14ac:dyDescent="0.35">
      <c r="A1008" s="497" t="s">
        <v>4710</v>
      </c>
      <c r="B1008" s="13" t="s">
        <v>5547</v>
      </c>
      <c r="C1008" s="13" t="s">
        <v>1288</v>
      </c>
      <c r="D1008" s="88" t="s">
        <v>7176</v>
      </c>
      <c r="E1008" s="13" t="s">
        <v>4330</v>
      </c>
      <c r="F1008" s="373">
        <f t="shared" si="406"/>
        <v>23.75</v>
      </c>
      <c r="G1008" s="430">
        <v>23.75</v>
      </c>
      <c r="H1008" s="399">
        <f t="shared" si="407"/>
        <v>19</v>
      </c>
      <c r="I1008" s="576"/>
      <c r="J1008" s="549" t="s">
        <v>5804</v>
      </c>
      <c r="K1008" s="11"/>
      <c r="M1008" s="37">
        <f t="shared" si="408"/>
        <v>23.75</v>
      </c>
      <c r="N1008" s="29">
        <v>9.75</v>
      </c>
      <c r="O1008" s="149"/>
      <c r="P1008" s="145" t="s">
        <v>1017</v>
      </c>
      <c r="Q1008" s="145"/>
      <c r="R1008" s="145"/>
      <c r="S1008" s="145" t="s">
        <v>4179</v>
      </c>
      <c r="T1008" t="s">
        <v>4179</v>
      </c>
      <c r="U1008" s="146" t="s">
        <v>1017</v>
      </c>
      <c r="V1008" s="145"/>
      <c r="W1008" s="147"/>
      <c r="X1008" s="147"/>
      <c r="Y1008" s="145"/>
      <c r="Z1008" s="147"/>
      <c r="AA1008" s="145" t="s">
        <v>1017</v>
      </c>
      <c r="AB1008" s="145"/>
      <c r="AC1008" s="147"/>
      <c r="AD1008" s="145"/>
      <c r="AE1008" s="148" t="s">
        <v>1017</v>
      </c>
      <c r="AF1008" s="147"/>
      <c r="AG1008" s="147"/>
      <c r="AH1008" s="166" t="str">
        <f t="shared" si="415"/>
        <v/>
      </c>
      <c r="AI1008" s="168" t="str">
        <f t="shared" si="401"/>
        <v/>
      </c>
      <c r="AJ1008" s="168" t="str">
        <f t="shared" si="402"/>
        <v/>
      </c>
      <c r="AK1008" s="168" t="str">
        <f t="shared" si="403"/>
        <v/>
      </c>
      <c r="AL1008" s="168" t="str">
        <f t="shared" si="404"/>
        <v/>
      </c>
      <c r="AM1008" s="168" t="str">
        <f t="shared" si="405"/>
        <v/>
      </c>
      <c r="AN1008" s="167" t="str">
        <f t="shared" si="387"/>
        <v/>
      </c>
      <c r="AO1008" s="167" t="str">
        <f t="shared" si="388"/>
        <v/>
      </c>
      <c r="AP1008" s="167" t="str">
        <f t="shared" si="389"/>
        <v/>
      </c>
      <c r="AQ1008" s="169" t="str">
        <f t="shared" si="390"/>
        <v/>
      </c>
      <c r="AR1008" s="170" t="str">
        <f t="shared" si="391"/>
        <v>BiK82M2bKA3y05</v>
      </c>
      <c r="AS1008" s="169" t="str">
        <f t="shared" si="392"/>
        <v/>
      </c>
      <c r="AT1008">
        <f t="shared" si="393"/>
        <v>14</v>
      </c>
      <c r="AU1008" s="170" t="str">
        <f t="shared" si="394"/>
        <v>0,15-0,5 MW, Bonusregeln M2, y, b und K wenn Anlage 3 erfüllt</v>
      </c>
      <c r="AV1008" s="169" t="str">
        <f t="shared" si="395"/>
        <v/>
      </c>
      <c r="AW1008" s="170" t="str">
        <f t="shared" si="396"/>
        <v>Anteil KWK gemäß Anlage 3</v>
      </c>
      <c r="AX1008" s="169" t="str">
        <f t="shared" si="397"/>
        <v/>
      </c>
      <c r="AY1008" t="str">
        <f t="shared" si="398"/>
        <v/>
      </c>
      <c r="AZ1008" t="str">
        <f t="shared" si="399"/>
        <v/>
      </c>
    </row>
    <row r="1009" spans="1:52" x14ac:dyDescent="0.35">
      <c r="A1009" s="497" t="s">
        <v>4711</v>
      </c>
      <c r="B1009" s="13" t="s">
        <v>5547</v>
      </c>
      <c r="C1009" s="13" t="s">
        <v>1288</v>
      </c>
      <c r="D1009" s="13" t="s">
        <v>7177</v>
      </c>
      <c r="E1009" s="13" t="s">
        <v>674</v>
      </c>
      <c r="F1009" s="373">
        <f t="shared" si="406"/>
        <v>23.75</v>
      </c>
      <c r="G1009" s="430">
        <v>23.75</v>
      </c>
      <c r="H1009" s="399">
        <f t="shared" si="407"/>
        <v>19</v>
      </c>
      <c r="I1009" s="576"/>
      <c r="J1009" s="549" t="s">
        <v>5804</v>
      </c>
      <c r="K1009" s="11"/>
      <c r="M1009" s="37">
        <f t="shared" si="408"/>
        <v>23.75</v>
      </c>
      <c r="N1009" s="29">
        <v>9.75</v>
      </c>
      <c r="O1009" s="149"/>
      <c r="P1009" s="144"/>
      <c r="Q1009" s="145" t="s">
        <v>1017</v>
      </c>
      <c r="R1009" s="145"/>
      <c r="S1009" s="145" t="s">
        <v>4179</v>
      </c>
      <c r="T1009" t="s">
        <v>4179</v>
      </c>
      <c r="U1009" s="146" t="s">
        <v>1017</v>
      </c>
      <c r="V1009" s="145"/>
      <c r="W1009" s="147"/>
      <c r="X1009" s="147"/>
      <c r="Y1009" s="145"/>
      <c r="Z1009" s="147"/>
      <c r="AA1009" s="145" t="s">
        <v>1017</v>
      </c>
      <c r="AB1009" s="145"/>
      <c r="AC1009" s="147"/>
      <c r="AD1009" s="145"/>
      <c r="AE1009" s="148" t="s">
        <v>1017</v>
      </c>
      <c r="AF1009" s="147"/>
      <c r="AG1009" s="147"/>
      <c r="AH1009" s="166" t="str">
        <f t="shared" si="415"/>
        <v/>
      </c>
      <c r="AI1009" s="168" t="str">
        <f t="shared" si="401"/>
        <v/>
      </c>
      <c r="AJ1009" s="168" t="str">
        <f t="shared" si="402"/>
        <v/>
      </c>
      <c r="AK1009" s="168" t="str">
        <f t="shared" si="403"/>
        <v/>
      </c>
      <c r="AL1009" s="168" t="str">
        <f t="shared" si="404"/>
        <v/>
      </c>
      <c r="AM1009" s="168" t="str">
        <f t="shared" si="405"/>
        <v/>
      </c>
      <c r="AN1009" s="167" t="str">
        <f t="shared" si="387"/>
        <v/>
      </c>
      <c r="AO1009" s="167" t="str">
        <f t="shared" si="388"/>
        <v/>
      </c>
      <c r="AP1009" s="167" t="str">
        <f t="shared" si="389"/>
        <v/>
      </c>
      <c r="AQ1009" s="169" t="str">
        <f t="shared" si="390"/>
        <v/>
      </c>
      <c r="AR1009" s="170" t="str">
        <f t="shared" si="391"/>
        <v>BiK82M2bK09y05</v>
      </c>
      <c r="AS1009" s="169" t="str">
        <f t="shared" si="392"/>
        <v/>
      </c>
      <c r="AT1009">
        <f t="shared" si="393"/>
        <v>14</v>
      </c>
      <c r="AU1009" s="170" t="str">
        <f t="shared" si="394"/>
        <v>0,15-0,5 MW, Bonusregeln M2, y, b und K erstmals 2009</v>
      </c>
      <c r="AV1009" s="169" t="str">
        <f t="shared" si="395"/>
        <v/>
      </c>
      <c r="AW1009" s="170" t="str">
        <f t="shared" si="396"/>
        <v>Anteil KWK, erstmals 2009</v>
      </c>
      <c r="AX1009" s="169" t="str">
        <f t="shared" si="397"/>
        <v/>
      </c>
      <c r="AY1009" t="str">
        <f t="shared" si="398"/>
        <v/>
      </c>
      <c r="AZ1009" t="str">
        <f t="shared" si="399"/>
        <v/>
      </c>
    </row>
    <row r="1010" spans="1:52" x14ac:dyDescent="0.35">
      <c r="A1010" s="497" t="s">
        <v>3610</v>
      </c>
      <c r="B1010" s="13" t="s">
        <v>5547</v>
      </c>
      <c r="C1010" s="13" t="s">
        <v>1288</v>
      </c>
      <c r="D1010" s="13" t="s">
        <v>7178</v>
      </c>
      <c r="E1010" s="13" t="s">
        <v>3566</v>
      </c>
      <c r="F1010" s="373">
        <f t="shared" si="406"/>
        <v>23.72</v>
      </c>
      <c r="G1010" s="430">
        <v>23.72</v>
      </c>
      <c r="H1010" s="399">
        <f t="shared" si="407"/>
        <v>18.98</v>
      </c>
      <c r="I1010" s="576"/>
      <c r="J1010" s="549" t="s">
        <v>5804</v>
      </c>
      <c r="K1010" s="11"/>
      <c r="M1010" s="37">
        <f t="shared" si="408"/>
        <v>23.72</v>
      </c>
      <c r="N1010" s="29">
        <v>9.75</v>
      </c>
      <c r="O1010" s="149"/>
      <c r="P1010" s="144"/>
      <c r="Q1010" s="145"/>
      <c r="R1010" s="145" t="s">
        <v>1017</v>
      </c>
      <c r="S1010" s="145" t="s">
        <v>4179</v>
      </c>
      <c r="T1010" t="s">
        <v>4179</v>
      </c>
      <c r="U1010" s="146" t="s">
        <v>1017</v>
      </c>
      <c r="V1010" s="145"/>
      <c r="W1010" s="147"/>
      <c r="X1010" s="147"/>
      <c r="Y1010" s="145"/>
      <c r="Z1010" s="147"/>
      <c r="AA1010" s="145" t="s">
        <v>1017</v>
      </c>
      <c r="AB1010" s="145"/>
      <c r="AC1010" s="147"/>
      <c r="AD1010" s="145"/>
      <c r="AE1010" s="148" t="s">
        <v>1017</v>
      </c>
      <c r="AF1010" s="147"/>
      <c r="AG1010" s="147"/>
      <c r="AH1010" s="166" t="str">
        <f t="shared" si="415"/>
        <v>2010</v>
      </c>
      <c r="AI1010" s="168" t="str">
        <f t="shared" si="401"/>
        <v/>
      </c>
      <c r="AJ1010" s="168" t="str">
        <f t="shared" si="402"/>
        <v/>
      </c>
      <c r="AK1010" s="168" t="str">
        <f t="shared" si="403"/>
        <v/>
      </c>
      <c r="AL1010" s="168" t="str">
        <f t="shared" si="404"/>
        <v/>
      </c>
      <c r="AM1010" s="168" t="str">
        <f t="shared" si="405"/>
        <v/>
      </c>
      <c r="AN1010" s="167" t="str">
        <f t="shared" si="387"/>
        <v>2010</v>
      </c>
      <c r="AO1010" s="167" t="str">
        <f t="shared" si="388"/>
        <v>2010</v>
      </c>
      <c r="AP1010" s="167" t="str">
        <f t="shared" si="389"/>
        <v>2010</v>
      </c>
      <c r="AQ1010" s="169" t="str">
        <f t="shared" si="390"/>
        <v/>
      </c>
      <c r="AR1010" s="170" t="str">
        <f t="shared" si="391"/>
        <v>BiK82M2bK10y05</v>
      </c>
      <c r="AS1010" s="169" t="str">
        <f t="shared" si="392"/>
        <v/>
      </c>
      <c r="AT1010">
        <f t="shared" si="393"/>
        <v>14</v>
      </c>
      <c r="AU1010" s="170" t="str">
        <f t="shared" si="394"/>
        <v>0,15-0,5 MW, Bonusregeln M2, y, b und K erstmals 2010</v>
      </c>
      <c r="AV1010" s="169" t="str">
        <f t="shared" si="395"/>
        <v/>
      </c>
      <c r="AW1010" s="170" t="str">
        <f t="shared" si="396"/>
        <v>Anteil KWK, erstmals 2010</v>
      </c>
      <c r="AX1010" s="169" t="str">
        <f t="shared" si="397"/>
        <v/>
      </c>
      <c r="AY1010" t="str">
        <f t="shared" si="398"/>
        <v/>
      </c>
      <c r="AZ1010" t="str">
        <f t="shared" si="399"/>
        <v/>
      </c>
    </row>
    <row r="1011" spans="1:52" x14ac:dyDescent="0.35">
      <c r="A1011" s="497" t="s">
        <v>5341</v>
      </c>
      <c r="B1011" s="13" t="s">
        <v>5547</v>
      </c>
      <c r="C1011" s="13" t="s">
        <v>1288</v>
      </c>
      <c r="D1011" s="13" t="s">
        <v>7179</v>
      </c>
      <c r="E1011" s="13" t="s">
        <v>3054</v>
      </c>
      <c r="F1011" s="373">
        <f t="shared" si="406"/>
        <v>23.689999999999998</v>
      </c>
      <c r="G1011" s="430">
        <v>23.689999999999998</v>
      </c>
      <c r="H1011" s="399">
        <f t="shared" si="407"/>
        <v>18.95</v>
      </c>
      <c r="I1011" s="576"/>
      <c r="J1011" s="549" t="s">
        <v>5804</v>
      </c>
      <c r="K1011" s="11"/>
      <c r="M1011" s="37">
        <f t="shared" si="408"/>
        <v>23.689999999999998</v>
      </c>
      <c r="N1011" s="29">
        <v>9.75</v>
      </c>
      <c r="O1011" s="149"/>
      <c r="P1011" s="144"/>
      <c r="Q1011" s="145"/>
      <c r="R1011" s="145"/>
      <c r="S1011" s="145" t="s">
        <v>1017</v>
      </c>
      <c r="T1011" t="s">
        <v>4179</v>
      </c>
      <c r="U1011" s="146" t="s">
        <v>1017</v>
      </c>
      <c r="V1011" s="145"/>
      <c r="W1011" s="147"/>
      <c r="X1011" s="147"/>
      <c r="Y1011" s="145"/>
      <c r="Z1011" s="147"/>
      <c r="AA1011" s="145" t="s">
        <v>1017</v>
      </c>
      <c r="AB1011" s="145"/>
      <c r="AC1011" s="147"/>
      <c r="AD1011" s="145"/>
      <c r="AE1011" s="148" t="s">
        <v>1017</v>
      </c>
      <c r="AF1011" s="147"/>
      <c r="AG1011" s="147"/>
      <c r="AH1011" s="166" t="str">
        <f t="shared" si="415"/>
        <v>2011</v>
      </c>
      <c r="AI1011" s="168" t="str">
        <f t="shared" si="401"/>
        <v/>
      </c>
      <c r="AJ1011" s="168" t="str">
        <f t="shared" si="402"/>
        <v/>
      </c>
      <c r="AK1011" s="168" t="str">
        <f t="shared" si="403"/>
        <v/>
      </c>
      <c r="AL1011" s="168" t="str">
        <f t="shared" si="404"/>
        <v/>
      </c>
      <c r="AM1011" s="168" t="str">
        <f t="shared" si="405"/>
        <v/>
      </c>
      <c r="AN1011" s="167" t="str">
        <f t="shared" si="387"/>
        <v>2011</v>
      </c>
      <c r="AO1011" s="167" t="str">
        <f t="shared" si="388"/>
        <v>2011</v>
      </c>
      <c r="AP1011" s="167" t="str">
        <f t="shared" si="389"/>
        <v>2011</v>
      </c>
      <c r="AQ1011" s="169" t="str">
        <f t="shared" si="390"/>
        <v/>
      </c>
      <c r="AR1011" s="170" t="str">
        <f t="shared" si="391"/>
        <v>BiK82M2bK11y05</v>
      </c>
      <c r="AS1011" s="169" t="str">
        <f t="shared" si="392"/>
        <v/>
      </c>
      <c r="AT1011">
        <f t="shared" si="393"/>
        <v>14</v>
      </c>
      <c r="AU1011" s="170" t="str">
        <f t="shared" si="394"/>
        <v>0,15-0,5 MW, Bonusregeln M2, y, b und K erstmals 2011</v>
      </c>
      <c r="AV1011" s="169" t="str">
        <f t="shared" si="395"/>
        <v/>
      </c>
      <c r="AW1011" s="170" t="str">
        <f t="shared" si="396"/>
        <v>Anteil KWK, erstmals 2011</v>
      </c>
      <c r="AX1011" s="169" t="str">
        <f t="shared" si="397"/>
        <v/>
      </c>
      <c r="AY1011" t="str">
        <f t="shared" si="398"/>
        <v>x</v>
      </c>
      <c r="AZ1011" t="str">
        <f t="shared" si="399"/>
        <v/>
      </c>
    </row>
    <row r="1012" spans="1:52" x14ac:dyDescent="0.35">
      <c r="A1012" s="511" t="s">
        <v>1592</v>
      </c>
      <c r="B1012" s="173" t="s">
        <v>5547</v>
      </c>
      <c r="C1012" s="173" t="s">
        <v>1288</v>
      </c>
      <c r="D1012" s="173" t="s">
        <v>7180</v>
      </c>
      <c r="E1012" s="173" t="s">
        <v>1980</v>
      </c>
      <c r="F1012" s="374">
        <f t="shared" si="406"/>
        <v>23.66</v>
      </c>
      <c r="G1012" s="431">
        <v>23.66</v>
      </c>
      <c r="H1012" s="400">
        <f t="shared" si="407"/>
        <v>18.93</v>
      </c>
      <c r="I1012" s="577"/>
      <c r="J1012" s="549" t="s">
        <v>5804</v>
      </c>
      <c r="K1012" s="11"/>
      <c r="M1012" s="37">
        <f t="shared" si="408"/>
        <v>23.66</v>
      </c>
      <c r="N1012" s="29">
        <v>9.75</v>
      </c>
      <c r="O1012" s="149"/>
      <c r="P1012" s="144"/>
      <c r="Q1012" s="145"/>
      <c r="R1012" s="145"/>
      <c r="S1012" s="145" t="s">
        <v>4179</v>
      </c>
      <c r="T1012" t="s">
        <v>1017</v>
      </c>
      <c r="U1012" s="146" t="s">
        <v>1017</v>
      </c>
      <c r="V1012" s="145"/>
      <c r="W1012" s="147"/>
      <c r="X1012" s="147"/>
      <c r="Y1012" s="145"/>
      <c r="Z1012" s="147"/>
      <c r="AA1012" s="145" t="s">
        <v>1017</v>
      </c>
      <c r="AB1012" s="145"/>
      <c r="AC1012" s="147"/>
      <c r="AD1012" s="145"/>
      <c r="AE1012" s="148" t="s">
        <v>1017</v>
      </c>
      <c r="AF1012" s="147"/>
      <c r="AG1012" s="147"/>
      <c r="AH1012" s="171" t="s">
        <v>4178</v>
      </c>
      <c r="AI1012" s="168" t="str">
        <f t="shared" si="401"/>
        <v/>
      </c>
      <c r="AJ1012" s="168" t="str">
        <f t="shared" si="402"/>
        <v/>
      </c>
      <c r="AK1012" s="168" t="str">
        <f t="shared" si="403"/>
        <v/>
      </c>
      <c r="AL1012" s="168" t="str">
        <f t="shared" si="404"/>
        <v/>
      </c>
      <c r="AM1012" s="168" t="str">
        <f t="shared" si="405"/>
        <v/>
      </c>
      <c r="AN1012" s="167" t="str">
        <f t="shared" si="387"/>
        <v>2012</v>
      </c>
      <c r="AO1012" s="167" t="str">
        <f t="shared" si="388"/>
        <v>2012</v>
      </c>
      <c r="AP1012" s="167" t="str">
        <f t="shared" si="389"/>
        <v>2012</v>
      </c>
      <c r="AQ1012" s="169" t="str">
        <f t="shared" si="390"/>
        <v/>
      </c>
      <c r="AR1012" s="170" t="str">
        <f t="shared" si="391"/>
        <v>BiK82M2bK12y05</v>
      </c>
      <c r="AS1012" s="169" t="str">
        <f t="shared" si="392"/>
        <v/>
      </c>
      <c r="AT1012">
        <f t="shared" si="393"/>
        <v>14</v>
      </c>
      <c r="AU1012" s="170" t="str">
        <f t="shared" si="394"/>
        <v>0,15-0,5 MW, Bonusregeln M2, y, b und K erstmals 2012</v>
      </c>
      <c r="AV1012" s="169" t="str">
        <f t="shared" si="395"/>
        <v/>
      </c>
      <c r="AW1012" s="170" t="str">
        <f t="shared" si="396"/>
        <v>Anteil KWK, erstmals 2012</v>
      </c>
      <c r="AX1012" s="169" t="str">
        <f t="shared" si="397"/>
        <v/>
      </c>
      <c r="AY1012" t="str">
        <f t="shared" si="398"/>
        <v/>
      </c>
      <c r="AZ1012" t="str">
        <f t="shared" si="399"/>
        <v>x</v>
      </c>
    </row>
    <row r="1013" spans="1:52" x14ac:dyDescent="0.35">
      <c r="A1013" s="497" t="s">
        <v>2494</v>
      </c>
      <c r="B1013" s="13" t="s">
        <v>5547</v>
      </c>
      <c r="C1013" s="13" t="s">
        <v>1288</v>
      </c>
      <c r="D1013" s="13" t="s">
        <v>7181</v>
      </c>
      <c r="E1013" s="13" t="s">
        <v>4809</v>
      </c>
      <c r="F1013" s="373">
        <f t="shared" si="406"/>
        <v>20.75</v>
      </c>
      <c r="G1013" s="430">
        <v>20.75</v>
      </c>
      <c r="H1013" s="399">
        <f t="shared" si="407"/>
        <v>16.600000000000001</v>
      </c>
      <c r="I1013" s="576"/>
      <c r="J1013" s="549" t="s">
        <v>5804</v>
      </c>
      <c r="K1013" s="11"/>
      <c r="M1013" s="37">
        <f t="shared" si="408"/>
        <v>20.75</v>
      </c>
      <c r="N1013" s="29">
        <v>9.75</v>
      </c>
      <c r="O1013" s="149"/>
      <c r="P1013" s="144"/>
      <c r="Q1013" s="145"/>
      <c r="R1013" s="145"/>
      <c r="S1013" s="145" t="s">
        <v>4179</v>
      </c>
      <c r="T1013" t="s">
        <v>4179</v>
      </c>
      <c r="U1013" s="146"/>
      <c r="V1013" s="145"/>
      <c r="W1013" s="147"/>
      <c r="X1013" s="147"/>
      <c r="Y1013" s="145"/>
      <c r="Z1013" s="147"/>
      <c r="AA1013" s="145"/>
      <c r="AB1013" s="145" t="s">
        <v>1017</v>
      </c>
      <c r="AC1013" s="147"/>
      <c r="AD1013" s="145"/>
      <c r="AE1013" s="148" t="s">
        <v>1017</v>
      </c>
      <c r="AF1013" s="147"/>
      <c r="AG1013" s="147"/>
      <c r="AH1013" s="166" t="str">
        <f t="shared" ref="AH1013:AH1018" si="416">IF(ISERROR(SEARCH("K erstmals 201",D1013)),"",RIGHT(D1013,4))</f>
        <v/>
      </c>
      <c r="AI1013" s="168" t="str">
        <f t="shared" si="401"/>
        <v/>
      </c>
      <c r="AJ1013" s="168" t="str">
        <f t="shared" si="402"/>
        <v/>
      </c>
      <c r="AK1013" s="168" t="str">
        <f t="shared" si="403"/>
        <v/>
      </c>
      <c r="AL1013" s="168" t="str">
        <f t="shared" si="404"/>
        <v/>
      </c>
      <c r="AM1013" s="168" t="str">
        <f t="shared" si="405"/>
        <v/>
      </c>
      <c r="AN1013" s="167" t="str">
        <f t="shared" si="387"/>
        <v/>
      </c>
      <c r="AO1013" s="167" t="str">
        <f t="shared" si="388"/>
        <v/>
      </c>
      <c r="AP1013" s="167" t="str">
        <f t="shared" si="389"/>
        <v/>
      </c>
      <c r="AQ1013" s="169" t="str">
        <f t="shared" si="390"/>
        <v/>
      </c>
      <c r="AR1013" s="170" t="str">
        <f t="shared" si="391"/>
        <v>BiK82Lb-----05</v>
      </c>
      <c r="AS1013" s="169" t="str">
        <f t="shared" si="392"/>
        <v/>
      </c>
      <c r="AT1013">
        <f t="shared" si="393"/>
        <v>14</v>
      </c>
      <c r="AU1013" s="170" t="str">
        <f t="shared" si="394"/>
        <v>0,15-0,5 MW, Bonusregeln L, b</v>
      </c>
      <c r="AV1013" s="169" t="str">
        <f t="shared" si="395"/>
        <v/>
      </c>
      <c r="AW1013" s="170" t="str">
        <f t="shared" si="396"/>
        <v>Anteil Nicht-KWK</v>
      </c>
      <c r="AX1013" s="169" t="str">
        <f t="shared" si="397"/>
        <v/>
      </c>
      <c r="AY1013" t="str">
        <f t="shared" si="398"/>
        <v/>
      </c>
      <c r="AZ1013" t="str">
        <f t="shared" si="399"/>
        <v/>
      </c>
    </row>
    <row r="1014" spans="1:52" x14ac:dyDescent="0.35">
      <c r="A1014" s="497" t="s">
        <v>2495</v>
      </c>
      <c r="B1014" s="13" t="s">
        <v>5547</v>
      </c>
      <c r="C1014" s="13" t="s">
        <v>1288</v>
      </c>
      <c r="D1014" s="13" t="s">
        <v>7182</v>
      </c>
      <c r="E1014" s="13" t="s">
        <v>4811</v>
      </c>
      <c r="F1014" s="373">
        <f t="shared" si="406"/>
        <v>22.75</v>
      </c>
      <c r="G1014" s="430">
        <v>22.75</v>
      </c>
      <c r="H1014" s="399">
        <f t="shared" si="407"/>
        <v>18.2</v>
      </c>
      <c r="I1014" s="576"/>
      <c r="J1014" s="549" t="s">
        <v>5804</v>
      </c>
      <c r="K1014" s="11"/>
      <c r="M1014" s="37">
        <f t="shared" si="408"/>
        <v>22.75</v>
      </c>
      <c r="N1014" s="29">
        <v>9.75</v>
      </c>
      <c r="O1014" s="149" t="s">
        <v>1017</v>
      </c>
      <c r="P1014" s="144"/>
      <c r="Q1014" s="145"/>
      <c r="R1014" s="145"/>
      <c r="S1014" s="145" t="s">
        <v>4179</v>
      </c>
      <c r="T1014" t="s">
        <v>4179</v>
      </c>
      <c r="U1014" s="146"/>
      <c r="V1014" s="145"/>
      <c r="W1014" s="147"/>
      <c r="X1014" s="147"/>
      <c r="Y1014" s="145"/>
      <c r="Z1014" s="147"/>
      <c r="AA1014" s="145"/>
      <c r="AB1014" s="145" t="s">
        <v>1017</v>
      </c>
      <c r="AC1014" s="147"/>
      <c r="AD1014" s="145"/>
      <c r="AE1014" s="148" t="s">
        <v>1017</v>
      </c>
      <c r="AF1014" s="147"/>
      <c r="AG1014" s="147"/>
      <c r="AH1014" s="166" t="str">
        <f t="shared" si="416"/>
        <v/>
      </c>
      <c r="AI1014" s="168" t="str">
        <f t="shared" si="401"/>
        <v/>
      </c>
      <c r="AJ1014" s="168" t="str">
        <f t="shared" si="402"/>
        <v/>
      </c>
      <c r="AK1014" s="168" t="str">
        <f t="shared" si="403"/>
        <v/>
      </c>
      <c r="AL1014" s="168" t="str">
        <f t="shared" si="404"/>
        <v/>
      </c>
      <c r="AM1014" s="168" t="str">
        <f t="shared" si="405"/>
        <v/>
      </c>
      <c r="AN1014" s="167" t="str">
        <f t="shared" si="387"/>
        <v/>
      </c>
      <c r="AO1014" s="167" t="str">
        <f t="shared" si="388"/>
        <v/>
      </c>
      <c r="AP1014" s="167" t="str">
        <f t="shared" si="389"/>
        <v/>
      </c>
      <c r="AQ1014" s="169" t="str">
        <f t="shared" si="390"/>
        <v/>
      </c>
      <c r="AR1014" s="170" t="str">
        <f t="shared" si="391"/>
        <v>BiK82LbKWK--05</v>
      </c>
      <c r="AS1014" s="169" t="str">
        <f t="shared" si="392"/>
        <v/>
      </c>
      <c r="AT1014">
        <f t="shared" si="393"/>
        <v>14</v>
      </c>
      <c r="AU1014" s="170" t="str">
        <f t="shared" si="394"/>
        <v>0,15-0,5 MW, Bonusregeln L, b und KWK</v>
      </c>
      <c r="AV1014" s="169" t="str">
        <f t="shared" si="395"/>
        <v/>
      </c>
      <c r="AW1014" s="170" t="str">
        <f t="shared" si="396"/>
        <v>Anteil KWK</v>
      </c>
      <c r="AX1014" s="169" t="str">
        <f t="shared" si="397"/>
        <v/>
      </c>
      <c r="AY1014" t="str">
        <f t="shared" si="398"/>
        <v/>
      </c>
      <c r="AZ1014" t="str">
        <f t="shared" si="399"/>
        <v/>
      </c>
    </row>
    <row r="1015" spans="1:52" x14ac:dyDescent="0.35">
      <c r="A1015" s="497" t="s">
        <v>2496</v>
      </c>
      <c r="B1015" s="13" t="s">
        <v>5547</v>
      </c>
      <c r="C1015" s="13" t="s">
        <v>1288</v>
      </c>
      <c r="D1015" s="13" t="s">
        <v>7183</v>
      </c>
      <c r="E1015" s="13" t="s">
        <v>4330</v>
      </c>
      <c r="F1015" s="373">
        <f t="shared" si="406"/>
        <v>23.75</v>
      </c>
      <c r="G1015" s="430">
        <v>23.75</v>
      </c>
      <c r="H1015" s="399">
        <f t="shared" si="407"/>
        <v>19</v>
      </c>
      <c r="I1015" s="576"/>
      <c r="J1015" s="549" t="s">
        <v>5804</v>
      </c>
      <c r="K1015" s="11"/>
      <c r="M1015" s="37">
        <f t="shared" si="408"/>
        <v>23.75</v>
      </c>
      <c r="N1015" s="29">
        <v>9.75</v>
      </c>
      <c r="O1015" s="149"/>
      <c r="P1015" s="145" t="s">
        <v>1017</v>
      </c>
      <c r="Q1015" s="145"/>
      <c r="R1015" s="145"/>
      <c r="S1015" s="145" t="s">
        <v>4179</v>
      </c>
      <c r="T1015" t="s">
        <v>4179</v>
      </c>
      <c r="U1015" s="146"/>
      <c r="V1015" s="145"/>
      <c r="W1015" s="147"/>
      <c r="X1015" s="147"/>
      <c r="Y1015" s="145"/>
      <c r="Z1015" s="147"/>
      <c r="AA1015" s="145"/>
      <c r="AB1015" s="145" t="s">
        <v>1017</v>
      </c>
      <c r="AC1015" s="147"/>
      <c r="AD1015" s="145"/>
      <c r="AE1015" s="148" t="s">
        <v>1017</v>
      </c>
      <c r="AF1015" s="147"/>
      <c r="AG1015" s="147"/>
      <c r="AH1015" s="166" t="str">
        <f t="shared" si="416"/>
        <v/>
      </c>
      <c r="AI1015" s="168" t="str">
        <f t="shared" si="401"/>
        <v/>
      </c>
      <c r="AJ1015" s="168" t="str">
        <f t="shared" si="402"/>
        <v/>
      </c>
      <c r="AK1015" s="168" t="str">
        <f t="shared" si="403"/>
        <v/>
      </c>
      <c r="AL1015" s="168" t="str">
        <f t="shared" si="404"/>
        <v/>
      </c>
      <c r="AM1015" s="168" t="str">
        <f t="shared" si="405"/>
        <v/>
      </c>
      <c r="AN1015" s="167" t="str">
        <f t="shared" si="387"/>
        <v/>
      </c>
      <c r="AO1015" s="167" t="str">
        <f t="shared" si="388"/>
        <v/>
      </c>
      <c r="AP1015" s="167" t="str">
        <f t="shared" si="389"/>
        <v/>
      </c>
      <c r="AQ1015" s="169" t="str">
        <f t="shared" si="390"/>
        <v/>
      </c>
      <c r="AR1015" s="170" t="str">
        <f t="shared" si="391"/>
        <v>BiK82LbKA3--05</v>
      </c>
      <c r="AS1015" s="169" t="str">
        <f t="shared" si="392"/>
        <v/>
      </c>
      <c r="AT1015">
        <f t="shared" si="393"/>
        <v>14</v>
      </c>
      <c r="AU1015" s="170" t="str">
        <f t="shared" si="394"/>
        <v>0,15-0,5 MW, Bonusregeln L, b und K wenn Anlage 3 erfüllt</v>
      </c>
      <c r="AV1015" s="169" t="str">
        <f t="shared" si="395"/>
        <v/>
      </c>
      <c r="AW1015" s="170" t="str">
        <f t="shared" si="396"/>
        <v>Anteil KWK gemäß Anlage 3</v>
      </c>
      <c r="AX1015" s="169" t="str">
        <f t="shared" si="397"/>
        <v/>
      </c>
      <c r="AY1015" t="str">
        <f t="shared" si="398"/>
        <v/>
      </c>
      <c r="AZ1015" t="str">
        <f t="shared" si="399"/>
        <v/>
      </c>
    </row>
    <row r="1016" spans="1:52" x14ac:dyDescent="0.35">
      <c r="A1016" s="497" t="s">
        <v>2497</v>
      </c>
      <c r="B1016" s="13" t="s">
        <v>5547</v>
      </c>
      <c r="C1016" s="13" t="s">
        <v>1288</v>
      </c>
      <c r="D1016" s="13" t="s">
        <v>7184</v>
      </c>
      <c r="E1016" s="13" t="s">
        <v>674</v>
      </c>
      <c r="F1016" s="373">
        <f t="shared" si="406"/>
        <v>23.75</v>
      </c>
      <c r="G1016" s="430">
        <v>23.75</v>
      </c>
      <c r="H1016" s="399">
        <f t="shared" si="407"/>
        <v>19</v>
      </c>
      <c r="I1016" s="576"/>
      <c r="J1016" s="549" t="s">
        <v>5804</v>
      </c>
      <c r="K1016" s="11"/>
      <c r="M1016" s="37">
        <f t="shared" si="408"/>
        <v>23.75</v>
      </c>
      <c r="N1016" s="29">
        <v>9.75</v>
      </c>
      <c r="O1016" s="149"/>
      <c r="P1016" s="144"/>
      <c r="Q1016" s="145" t="s">
        <v>1017</v>
      </c>
      <c r="R1016" s="145"/>
      <c r="S1016" s="145" t="s">
        <v>4179</v>
      </c>
      <c r="T1016" t="s">
        <v>4179</v>
      </c>
      <c r="U1016" s="146"/>
      <c r="V1016" s="145"/>
      <c r="W1016" s="147"/>
      <c r="X1016" s="147"/>
      <c r="Y1016" s="145"/>
      <c r="Z1016" s="147"/>
      <c r="AA1016" s="145"/>
      <c r="AB1016" s="145" t="s">
        <v>1017</v>
      </c>
      <c r="AC1016" s="147"/>
      <c r="AD1016" s="145"/>
      <c r="AE1016" s="148" t="s">
        <v>1017</v>
      </c>
      <c r="AF1016" s="147"/>
      <c r="AG1016" s="147"/>
      <c r="AH1016" s="166" t="str">
        <f t="shared" si="416"/>
        <v/>
      </c>
      <c r="AI1016" s="168" t="str">
        <f t="shared" si="401"/>
        <v/>
      </c>
      <c r="AJ1016" s="168" t="str">
        <f t="shared" si="402"/>
        <v/>
      </c>
      <c r="AK1016" s="168" t="str">
        <f t="shared" si="403"/>
        <v/>
      </c>
      <c r="AL1016" s="168" t="str">
        <f t="shared" si="404"/>
        <v/>
      </c>
      <c r="AM1016" s="168" t="str">
        <f t="shared" si="405"/>
        <v/>
      </c>
      <c r="AN1016" s="167" t="str">
        <f t="shared" si="387"/>
        <v/>
      </c>
      <c r="AO1016" s="167" t="str">
        <f t="shared" si="388"/>
        <v/>
      </c>
      <c r="AP1016" s="167" t="str">
        <f t="shared" si="389"/>
        <v/>
      </c>
      <c r="AQ1016" s="169" t="str">
        <f t="shared" si="390"/>
        <v/>
      </c>
      <c r="AR1016" s="170" t="str">
        <f t="shared" si="391"/>
        <v>BiK82LbK09--05</v>
      </c>
      <c r="AS1016" s="169" t="str">
        <f t="shared" si="392"/>
        <v/>
      </c>
      <c r="AT1016">
        <f t="shared" si="393"/>
        <v>14</v>
      </c>
      <c r="AU1016" s="170" t="str">
        <f t="shared" si="394"/>
        <v>0,15-0,5 MW, Bonusregeln L, b und K erstmals 2009</v>
      </c>
      <c r="AV1016" s="169" t="str">
        <f t="shared" si="395"/>
        <v/>
      </c>
      <c r="AW1016" s="170" t="str">
        <f t="shared" si="396"/>
        <v>Anteil KWK, erstmals 2009</v>
      </c>
      <c r="AX1016" s="169" t="str">
        <f t="shared" si="397"/>
        <v/>
      </c>
      <c r="AY1016" t="str">
        <f t="shared" si="398"/>
        <v/>
      </c>
      <c r="AZ1016" t="str">
        <f t="shared" si="399"/>
        <v/>
      </c>
    </row>
    <row r="1017" spans="1:52" x14ac:dyDescent="0.35">
      <c r="A1017" s="497" t="s">
        <v>3611</v>
      </c>
      <c r="B1017" s="13" t="s">
        <v>5547</v>
      </c>
      <c r="C1017" s="13" t="s">
        <v>1288</v>
      </c>
      <c r="D1017" s="13" t="s">
        <v>7185</v>
      </c>
      <c r="E1017" s="13" t="s">
        <v>3566</v>
      </c>
      <c r="F1017" s="373">
        <f t="shared" si="406"/>
        <v>23.72</v>
      </c>
      <c r="G1017" s="430">
        <v>23.72</v>
      </c>
      <c r="H1017" s="399">
        <f t="shared" si="407"/>
        <v>18.98</v>
      </c>
      <c r="I1017" s="576"/>
      <c r="J1017" s="549" t="s">
        <v>5804</v>
      </c>
      <c r="K1017" s="11"/>
      <c r="M1017" s="37">
        <f t="shared" si="408"/>
        <v>23.72</v>
      </c>
      <c r="N1017" s="29">
        <v>9.75</v>
      </c>
      <c r="O1017" s="149"/>
      <c r="P1017" s="144"/>
      <c r="Q1017" s="145"/>
      <c r="R1017" s="145" t="s">
        <v>1017</v>
      </c>
      <c r="S1017" s="145" t="s">
        <v>4179</v>
      </c>
      <c r="T1017" t="s">
        <v>4179</v>
      </c>
      <c r="U1017" s="146"/>
      <c r="V1017" s="145"/>
      <c r="W1017" s="147"/>
      <c r="X1017" s="147"/>
      <c r="Y1017" s="145"/>
      <c r="Z1017" s="147"/>
      <c r="AA1017" s="145"/>
      <c r="AB1017" s="145" t="s">
        <v>1017</v>
      </c>
      <c r="AC1017" s="147"/>
      <c r="AD1017" s="145"/>
      <c r="AE1017" s="148" t="s">
        <v>1017</v>
      </c>
      <c r="AF1017" s="147"/>
      <c r="AG1017" s="147"/>
      <c r="AH1017" s="166" t="str">
        <f t="shared" si="416"/>
        <v>2010</v>
      </c>
      <c r="AI1017" s="168" t="str">
        <f t="shared" si="401"/>
        <v/>
      </c>
      <c r="AJ1017" s="168" t="str">
        <f t="shared" si="402"/>
        <v/>
      </c>
      <c r="AK1017" s="168" t="str">
        <f t="shared" si="403"/>
        <v/>
      </c>
      <c r="AL1017" s="168" t="str">
        <f t="shared" si="404"/>
        <v/>
      </c>
      <c r="AM1017" s="168" t="str">
        <f t="shared" si="405"/>
        <v/>
      </c>
      <c r="AN1017" s="167" t="str">
        <f t="shared" si="387"/>
        <v>2010</v>
      </c>
      <c r="AO1017" s="167" t="str">
        <f t="shared" si="388"/>
        <v>2010</v>
      </c>
      <c r="AP1017" s="167" t="str">
        <f t="shared" si="389"/>
        <v>2010</v>
      </c>
      <c r="AQ1017" s="169" t="str">
        <f t="shared" si="390"/>
        <v/>
      </c>
      <c r="AR1017" s="170" t="str">
        <f t="shared" si="391"/>
        <v>BiK82LbK10--05</v>
      </c>
      <c r="AS1017" s="169" t="str">
        <f t="shared" si="392"/>
        <v/>
      </c>
      <c r="AT1017">
        <f t="shared" si="393"/>
        <v>14</v>
      </c>
      <c r="AU1017" s="170" t="str">
        <f t="shared" si="394"/>
        <v>0,15-0,5 MW, Bonusregeln L, b und K erstmals 2010</v>
      </c>
      <c r="AV1017" s="169" t="str">
        <f t="shared" si="395"/>
        <v/>
      </c>
      <c r="AW1017" s="170" t="str">
        <f t="shared" si="396"/>
        <v>Anteil KWK, erstmals 2010</v>
      </c>
      <c r="AX1017" s="169" t="str">
        <f t="shared" si="397"/>
        <v/>
      </c>
      <c r="AY1017" t="str">
        <f t="shared" si="398"/>
        <v/>
      </c>
      <c r="AZ1017" t="str">
        <f t="shared" si="399"/>
        <v/>
      </c>
    </row>
    <row r="1018" spans="1:52" x14ac:dyDescent="0.35">
      <c r="A1018" s="497" t="s">
        <v>5342</v>
      </c>
      <c r="B1018" s="13" t="s">
        <v>5547</v>
      </c>
      <c r="C1018" s="13" t="s">
        <v>1288</v>
      </c>
      <c r="D1018" s="13" t="s">
        <v>7186</v>
      </c>
      <c r="E1018" s="13" t="s">
        <v>3054</v>
      </c>
      <c r="F1018" s="373">
        <f t="shared" si="406"/>
        <v>23.689999999999998</v>
      </c>
      <c r="G1018" s="430">
        <v>23.689999999999998</v>
      </c>
      <c r="H1018" s="399">
        <f t="shared" si="407"/>
        <v>18.95</v>
      </c>
      <c r="I1018" s="576"/>
      <c r="J1018" s="549" t="s">
        <v>5804</v>
      </c>
      <c r="K1018" s="11"/>
      <c r="M1018" s="37">
        <f t="shared" si="408"/>
        <v>23.689999999999998</v>
      </c>
      <c r="N1018" s="29">
        <v>9.75</v>
      </c>
      <c r="O1018" s="149"/>
      <c r="P1018" s="144"/>
      <c r="Q1018" s="145"/>
      <c r="R1018" s="145"/>
      <c r="S1018" s="145" t="s">
        <v>1017</v>
      </c>
      <c r="T1018" t="s">
        <v>4179</v>
      </c>
      <c r="U1018" s="146"/>
      <c r="V1018" s="145"/>
      <c r="W1018" s="147"/>
      <c r="X1018" s="147"/>
      <c r="Y1018" s="145"/>
      <c r="Z1018" s="147"/>
      <c r="AA1018" s="145"/>
      <c r="AB1018" s="145" t="s">
        <v>1017</v>
      </c>
      <c r="AC1018" s="147"/>
      <c r="AD1018" s="145"/>
      <c r="AE1018" s="148" t="s">
        <v>1017</v>
      </c>
      <c r="AF1018" s="147"/>
      <c r="AG1018" s="147"/>
      <c r="AH1018" s="166" t="str">
        <f t="shared" si="416"/>
        <v>2011</v>
      </c>
      <c r="AI1018" s="168" t="str">
        <f t="shared" si="401"/>
        <v/>
      </c>
      <c r="AJ1018" s="168" t="str">
        <f t="shared" si="402"/>
        <v/>
      </c>
      <c r="AK1018" s="168" t="str">
        <f t="shared" si="403"/>
        <v/>
      </c>
      <c r="AL1018" s="168" t="str">
        <f t="shared" si="404"/>
        <v/>
      </c>
      <c r="AM1018" s="168" t="str">
        <f t="shared" si="405"/>
        <v/>
      </c>
      <c r="AN1018" s="167" t="str">
        <f t="shared" si="387"/>
        <v>2011</v>
      </c>
      <c r="AO1018" s="167" t="str">
        <f t="shared" si="388"/>
        <v>2011</v>
      </c>
      <c r="AP1018" s="167" t="str">
        <f t="shared" si="389"/>
        <v>2011</v>
      </c>
      <c r="AQ1018" s="169" t="str">
        <f t="shared" si="390"/>
        <v/>
      </c>
      <c r="AR1018" s="170" t="str">
        <f t="shared" si="391"/>
        <v>BiK82LbK11--05</v>
      </c>
      <c r="AS1018" s="169" t="str">
        <f t="shared" si="392"/>
        <v/>
      </c>
      <c r="AT1018">
        <f t="shared" si="393"/>
        <v>14</v>
      </c>
      <c r="AU1018" s="170" t="str">
        <f t="shared" si="394"/>
        <v>0,15-0,5 MW, Bonusregeln L, b und K erstmals 2011</v>
      </c>
      <c r="AV1018" s="169" t="str">
        <f t="shared" si="395"/>
        <v/>
      </c>
      <c r="AW1018" s="170" t="str">
        <f t="shared" si="396"/>
        <v>Anteil KWK, erstmals 2011</v>
      </c>
      <c r="AX1018" s="169" t="str">
        <f t="shared" si="397"/>
        <v/>
      </c>
      <c r="AY1018" t="str">
        <f t="shared" si="398"/>
        <v>x</v>
      </c>
      <c r="AZ1018" t="str">
        <f t="shared" si="399"/>
        <v/>
      </c>
    </row>
    <row r="1019" spans="1:52" x14ac:dyDescent="0.35">
      <c r="A1019" s="511" t="s">
        <v>1593</v>
      </c>
      <c r="B1019" s="173" t="s">
        <v>5547</v>
      </c>
      <c r="C1019" s="173" t="s">
        <v>1288</v>
      </c>
      <c r="D1019" s="173" t="s">
        <v>7187</v>
      </c>
      <c r="E1019" s="173" t="s">
        <v>1980</v>
      </c>
      <c r="F1019" s="374">
        <f t="shared" si="406"/>
        <v>23.66</v>
      </c>
      <c r="G1019" s="431">
        <v>23.66</v>
      </c>
      <c r="H1019" s="400">
        <f t="shared" si="407"/>
        <v>18.93</v>
      </c>
      <c r="I1019" s="577"/>
      <c r="J1019" s="549" t="s">
        <v>5804</v>
      </c>
      <c r="K1019" s="11"/>
      <c r="M1019" s="37">
        <f t="shared" si="408"/>
        <v>23.66</v>
      </c>
      <c r="N1019" s="29">
        <v>9.75</v>
      </c>
      <c r="O1019" s="149"/>
      <c r="P1019" s="144"/>
      <c r="Q1019" s="145"/>
      <c r="R1019" s="145"/>
      <c r="S1019" s="145" t="s">
        <v>4179</v>
      </c>
      <c r="T1019" t="s">
        <v>1017</v>
      </c>
      <c r="U1019" s="146"/>
      <c r="V1019" s="145"/>
      <c r="W1019" s="147"/>
      <c r="X1019" s="147"/>
      <c r="Y1019" s="145"/>
      <c r="Z1019" s="147"/>
      <c r="AA1019" s="145"/>
      <c r="AB1019" s="145" t="s">
        <v>1017</v>
      </c>
      <c r="AC1019" s="147"/>
      <c r="AD1019" s="145"/>
      <c r="AE1019" s="148" t="s">
        <v>1017</v>
      </c>
      <c r="AF1019" s="147"/>
      <c r="AG1019" s="147"/>
      <c r="AH1019" s="171" t="s">
        <v>4178</v>
      </c>
      <c r="AI1019" s="168" t="str">
        <f t="shared" si="401"/>
        <v/>
      </c>
      <c r="AJ1019" s="168" t="str">
        <f t="shared" si="402"/>
        <v/>
      </c>
      <c r="AK1019" s="168" t="str">
        <f t="shared" si="403"/>
        <v/>
      </c>
      <c r="AL1019" s="168" t="str">
        <f t="shared" si="404"/>
        <v/>
      </c>
      <c r="AM1019" s="168" t="str">
        <f t="shared" si="405"/>
        <v/>
      </c>
      <c r="AN1019" s="167" t="str">
        <f t="shared" si="387"/>
        <v>2012</v>
      </c>
      <c r="AO1019" s="167" t="str">
        <f t="shared" si="388"/>
        <v>2012</v>
      </c>
      <c r="AP1019" s="167" t="str">
        <f t="shared" si="389"/>
        <v>2012</v>
      </c>
      <c r="AQ1019" s="169" t="str">
        <f t="shared" si="390"/>
        <v/>
      </c>
      <c r="AR1019" s="170" t="str">
        <f t="shared" si="391"/>
        <v>BiK82LbK12--05</v>
      </c>
      <c r="AS1019" s="169" t="str">
        <f t="shared" si="392"/>
        <v/>
      </c>
      <c r="AT1019">
        <f t="shared" si="393"/>
        <v>14</v>
      </c>
      <c r="AU1019" s="170" t="str">
        <f t="shared" si="394"/>
        <v>0,15-0,5 MW, Bonusregeln L, b und K erstmals 2012</v>
      </c>
      <c r="AV1019" s="169" t="str">
        <f t="shared" si="395"/>
        <v/>
      </c>
      <c r="AW1019" s="170" t="str">
        <f t="shared" si="396"/>
        <v>Anteil KWK, erstmals 2012</v>
      </c>
      <c r="AX1019" s="169" t="str">
        <f t="shared" si="397"/>
        <v/>
      </c>
      <c r="AY1019" t="str">
        <f t="shared" si="398"/>
        <v/>
      </c>
      <c r="AZ1019" t="str">
        <f t="shared" si="399"/>
        <v>x</v>
      </c>
    </row>
    <row r="1020" spans="1:52" x14ac:dyDescent="0.35">
      <c r="A1020" s="497" t="s">
        <v>2498</v>
      </c>
      <c r="B1020" s="13" t="s">
        <v>5547</v>
      </c>
      <c r="C1020" s="13" t="s">
        <v>1288</v>
      </c>
      <c r="D1020" s="13" t="s">
        <v>7188</v>
      </c>
      <c r="E1020" s="13" t="s">
        <v>4809</v>
      </c>
      <c r="F1020" s="373">
        <f t="shared" si="406"/>
        <v>21.75</v>
      </c>
      <c r="G1020" s="430">
        <v>21.75</v>
      </c>
      <c r="H1020" s="399">
        <f t="shared" si="407"/>
        <v>17.399999999999999</v>
      </c>
      <c r="I1020" s="576"/>
      <c r="J1020" s="549" t="s">
        <v>5804</v>
      </c>
      <c r="K1020" s="11"/>
      <c r="M1020" s="37">
        <f t="shared" si="408"/>
        <v>21.75</v>
      </c>
      <c r="N1020" s="29">
        <v>9.75</v>
      </c>
      <c r="O1020" s="149"/>
      <c r="P1020" s="144"/>
      <c r="Q1020" s="145"/>
      <c r="R1020" s="145"/>
      <c r="S1020" s="145" t="s">
        <v>4179</v>
      </c>
      <c r="T1020" t="s">
        <v>4179</v>
      </c>
      <c r="U1020" s="146" t="s">
        <v>1017</v>
      </c>
      <c r="V1020" s="145"/>
      <c r="W1020" s="147"/>
      <c r="X1020" s="147"/>
      <c r="Y1020" s="145"/>
      <c r="Z1020" s="147"/>
      <c r="AA1020" s="145"/>
      <c r="AB1020" s="145" t="s">
        <v>1017</v>
      </c>
      <c r="AC1020" s="147"/>
      <c r="AD1020" s="145"/>
      <c r="AE1020" s="148" t="s">
        <v>1017</v>
      </c>
      <c r="AF1020" s="147"/>
      <c r="AG1020" s="147"/>
      <c r="AH1020" s="166" t="str">
        <f t="shared" ref="AH1020:AH1025" si="417">IF(ISERROR(SEARCH("K erstmals 201",D1020)),"",RIGHT(D1020,4))</f>
        <v/>
      </c>
      <c r="AI1020" s="168" t="str">
        <f t="shared" si="401"/>
        <v/>
      </c>
      <c r="AJ1020" s="168" t="str">
        <f t="shared" si="402"/>
        <v/>
      </c>
      <c r="AK1020" s="168" t="str">
        <f t="shared" si="403"/>
        <v/>
      </c>
      <c r="AL1020" s="168" t="str">
        <f t="shared" si="404"/>
        <v/>
      </c>
      <c r="AM1020" s="168" t="str">
        <f t="shared" si="405"/>
        <v/>
      </c>
      <c r="AN1020" s="167" t="str">
        <f t="shared" ref="AN1020:AN1083" si="418">IF(ISERROR(SEARCH("K1",A1020)),"","20"&amp;MID(A1020,SEARCH("K1",A1020)+1,2))</f>
        <v/>
      </c>
      <c r="AO1020" s="167" t="str">
        <f t="shared" ref="AO1020:AO1083" si="419">IF(ISERROR(SEARCH("erstmals 201",E1020)),"",MID(E1020,SEARCH("erstmals ",E1020)+9,4))</f>
        <v/>
      </c>
      <c r="AP1020" s="167" t="str">
        <f t="shared" ref="AP1020:AP1083" si="420">IF(R1020="x","2010",IF(S1020="x","2011",IF(T1020="x","2012","")))</f>
        <v/>
      </c>
      <c r="AQ1020" s="169" t="str">
        <f t="shared" ref="AQ1020:AQ1083" si="421">IF(OR(AH1020&lt;&gt;AN1020,AH1020&lt;&gt;AO1020,AH1020&lt;&gt;AP1020),"DIFF","")</f>
        <v/>
      </c>
      <c r="AR1020" s="170" t="str">
        <f t="shared" ref="AR1020:AR1083" si="422">IF(A1020="","",IF(ISERROR(SEARCH("K1",A1020)),A1020,LEFT(A1020,SEARCH("K1",A1020)+1)&amp;RIGHT(AH1020,1)&amp;MID(A1020,SEARCH("K1",A1020)+3,14)))</f>
        <v>BiK82Lby----05</v>
      </c>
      <c r="AS1020" s="169" t="str">
        <f t="shared" ref="AS1020:AS1083" si="423">IF(OR(A1020&lt;&gt;AR1020),"DIFF","")</f>
        <v/>
      </c>
      <c r="AT1020">
        <f t="shared" ref="AT1020:AT1083" si="424">LEN(AR1020)</f>
        <v>14</v>
      </c>
      <c r="AU1020" s="170" t="str">
        <f t="shared" ref="AU1020:AU1083" si="425">IF(D1020="","",IF(OR(A1020="",ISERROR(SEARCH("erstmals 201",D1020))),D1020,LEFT(D1020,SEARCH("erstmals 201",D1020)+8) &amp; AH1020 &amp; MID(D1020,SEARCH("erstmals 201",D1020)+13,255)))</f>
        <v>0,15-0,5 MW, Bonusregeln L, y, b</v>
      </c>
      <c r="AV1020" s="169" t="str">
        <f t="shared" ref="AV1020:AV1083" si="426">IF(OR(D1020&lt;&gt;AU1020),"DIFF","")</f>
        <v/>
      </c>
      <c r="AW1020" s="170" t="str">
        <f t="shared" ref="AW1020:AW1083" si="427">IF(E1020="","",IF(OR(E1020="",ISERROR(SEARCH("erstmals 201",E1020))),E1020,LEFT(E1020,SEARCH("erstmals 201",E1020)+8) &amp; AH1020 &amp; MID(E1020,SEARCH("erstmals 201",E1020)+13,255)))</f>
        <v>Anteil Nicht-KWK</v>
      </c>
      <c r="AX1020" s="169" t="str">
        <f t="shared" ref="AX1020:AX1083" si="428">IF(OR(E1020&lt;&gt;AW1020),"DIFF","")</f>
        <v/>
      </c>
      <c r="AY1020" t="str">
        <f t="shared" ref="AY1020:AY1083" si="429">IF(AH1020="2011","x",IF(AH1020="2012","","" &amp; S1020))</f>
        <v/>
      </c>
      <c r="AZ1020" t="str">
        <f t="shared" ref="AZ1020:AZ1083" si="430">IF(AH1020="2012","x",IF(AH1020="2011","","" &amp; T1020))</f>
        <v/>
      </c>
    </row>
    <row r="1021" spans="1:52" x14ac:dyDescent="0.35">
      <c r="A1021" s="497" t="s">
        <v>2499</v>
      </c>
      <c r="B1021" s="13" t="s">
        <v>5547</v>
      </c>
      <c r="C1021" s="13" t="s">
        <v>1288</v>
      </c>
      <c r="D1021" s="13" t="s">
        <v>7189</v>
      </c>
      <c r="E1021" s="13" t="s">
        <v>4811</v>
      </c>
      <c r="F1021" s="373">
        <f t="shared" si="406"/>
        <v>23.75</v>
      </c>
      <c r="G1021" s="430">
        <v>23.75</v>
      </c>
      <c r="H1021" s="399">
        <f t="shared" si="407"/>
        <v>19</v>
      </c>
      <c r="I1021" s="576"/>
      <c r="J1021" s="549" t="s">
        <v>5804</v>
      </c>
      <c r="K1021" s="11"/>
      <c r="M1021" s="37">
        <f t="shared" si="408"/>
        <v>23.75</v>
      </c>
      <c r="N1021" s="29">
        <v>9.75</v>
      </c>
      <c r="O1021" s="149" t="s">
        <v>1017</v>
      </c>
      <c r="P1021" s="144"/>
      <c r="Q1021" s="145"/>
      <c r="R1021" s="145"/>
      <c r="S1021" s="145" t="s">
        <v>4179</v>
      </c>
      <c r="T1021" t="s">
        <v>4179</v>
      </c>
      <c r="U1021" s="146" t="s">
        <v>1017</v>
      </c>
      <c r="V1021" s="145"/>
      <c r="W1021" s="147"/>
      <c r="X1021" s="147"/>
      <c r="Y1021" s="145"/>
      <c r="Z1021" s="147"/>
      <c r="AA1021" s="145"/>
      <c r="AB1021" s="145" t="s">
        <v>1017</v>
      </c>
      <c r="AC1021" s="147"/>
      <c r="AD1021" s="145"/>
      <c r="AE1021" s="148" t="s">
        <v>1017</v>
      </c>
      <c r="AF1021" s="147"/>
      <c r="AG1021" s="147"/>
      <c r="AH1021" s="166" t="str">
        <f t="shared" si="417"/>
        <v/>
      </c>
      <c r="AI1021" s="168" t="str">
        <f t="shared" ref="AI1021:AI1082" si="431">IF(AND($AH1021&lt;&gt;"",AH1021 =AH1020),"Gleich","")</f>
        <v/>
      </c>
      <c r="AJ1021" s="168" t="str">
        <f t="shared" ref="AJ1021:AJ1082" si="432">IF(AND($AH1021&lt;&gt;"",A1021 =A1020),"Gleich","")</f>
        <v/>
      </c>
      <c r="AK1021" s="168" t="str">
        <f t="shared" ref="AK1021:AK1082" si="433">IF(AND($AH1021&lt;&gt;"",D1021 =D1020),"Gleich","")</f>
        <v/>
      </c>
      <c r="AL1021" s="168" t="str">
        <f t="shared" ref="AL1021:AL1082" si="434">IF(AND($AH1021&lt;&gt;"",E1021 =E1020),"Gleich","")</f>
        <v/>
      </c>
      <c r="AM1021" s="168" t="str">
        <f t="shared" ref="AM1021:AM1082" si="435">IF(AND($AH1021&lt;&gt;"",F1021 =F1020),"Gleich","")</f>
        <v/>
      </c>
      <c r="AN1021" s="167" t="str">
        <f t="shared" si="418"/>
        <v/>
      </c>
      <c r="AO1021" s="167" t="str">
        <f t="shared" si="419"/>
        <v/>
      </c>
      <c r="AP1021" s="167" t="str">
        <f t="shared" si="420"/>
        <v/>
      </c>
      <c r="AQ1021" s="169" t="str">
        <f t="shared" si="421"/>
        <v/>
      </c>
      <c r="AR1021" s="170" t="str">
        <f t="shared" si="422"/>
        <v>BiK82LbKWKy-05</v>
      </c>
      <c r="AS1021" s="169" t="str">
        <f t="shared" si="423"/>
        <v/>
      </c>
      <c r="AT1021">
        <f t="shared" si="424"/>
        <v>14</v>
      </c>
      <c r="AU1021" s="170" t="str">
        <f t="shared" si="425"/>
        <v>0,15-0,5 MW, Bonusregeln L, y, b und KWK</v>
      </c>
      <c r="AV1021" s="169" t="str">
        <f t="shared" si="426"/>
        <v/>
      </c>
      <c r="AW1021" s="170" t="str">
        <f t="shared" si="427"/>
        <v>Anteil KWK</v>
      </c>
      <c r="AX1021" s="169" t="str">
        <f t="shared" si="428"/>
        <v/>
      </c>
      <c r="AY1021" t="str">
        <f t="shared" si="429"/>
        <v/>
      </c>
      <c r="AZ1021" t="str">
        <f t="shared" si="430"/>
        <v/>
      </c>
    </row>
    <row r="1022" spans="1:52" x14ac:dyDescent="0.35">
      <c r="A1022" s="497" t="s">
        <v>2500</v>
      </c>
      <c r="B1022" s="13" t="s">
        <v>5547</v>
      </c>
      <c r="C1022" s="13" t="s">
        <v>1288</v>
      </c>
      <c r="D1022" s="88" t="s">
        <v>7190</v>
      </c>
      <c r="E1022" s="13" t="s">
        <v>4330</v>
      </c>
      <c r="F1022" s="373">
        <f t="shared" si="406"/>
        <v>24.75</v>
      </c>
      <c r="G1022" s="430">
        <v>24.75</v>
      </c>
      <c r="H1022" s="399">
        <f t="shared" si="407"/>
        <v>19.8</v>
      </c>
      <c r="I1022" s="576"/>
      <c r="J1022" s="549" t="s">
        <v>5804</v>
      </c>
      <c r="K1022" s="11"/>
      <c r="M1022" s="37">
        <f t="shared" si="408"/>
        <v>24.75</v>
      </c>
      <c r="N1022" s="29">
        <v>9.75</v>
      </c>
      <c r="O1022" s="149"/>
      <c r="P1022" s="145" t="s">
        <v>1017</v>
      </c>
      <c r="Q1022" s="145"/>
      <c r="R1022" s="145"/>
      <c r="S1022" s="145" t="s">
        <v>4179</v>
      </c>
      <c r="T1022" t="s">
        <v>4179</v>
      </c>
      <c r="U1022" s="146" t="s">
        <v>1017</v>
      </c>
      <c r="V1022" s="145"/>
      <c r="W1022" s="147"/>
      <c r="X1022" s="147"/>
      <c r="Y1022" s="145"/>
      <c r="Z1022" s="147"/>
      <c r="AA1022" s="145"/>
      <c r="AB1022" s="145" t="s">
        <v>1017</v>
      </c>
      <c r="AC1022" s="147"/>
      <c r="AD1022" s="145"/>
      <c r="AE1022" s="148" t="s">
        <v>1017</v>
      </c>
      <c r="AF1022" s="147"/>
      <c r="AG1022" s="147"/>
      <c r="AH1022" s="166" t="str">
        <f t="shared" si="417"/>
        <v/>
      </c>
      <c r="AI1022" s="168" t="str">
        <f t="shared" si="431"/>
        <v/>
      </c>
      <c r="AJ1022" s="168" t="str">
        <f t="shared" si="432"/>
        <v/>
      </c>
      <c r="AK1022" s="168" t="str">
        <f t="shared" si="433"/>
        <v/>
      </c>
      <c r="AL1022" s="168" t="str">
        <f t="shared" si="434"/>
        <v/>
      </c>
      <c r="AM1022" s="168" t="str">
        <f t="shared" si="435"/>
        <v/>
      </c>
      <c r="AN1022" s="167" t="str">
        <f t="shared" si="418"/>
        <v/>
      </c>
      <c r="AO1022" s="167" t="str">
        <f t="shared" si="419"/>
        <v/>
      </c>
      <c r="AP1022" s="167" t="str">
        <f t="shared" si="420"/>
        <v/>
      </c>
      <c r="AQ1022" s="169" t="str">
        <f t="shared" si="421"/>
        <v/>
      </c>
      <c r="AR1022" s="170" t="str">
        <f t="shared" si="422"/>
        <v>BiK82LbKA3y-05</v>
      </c>
      <c r="AS1022" s="169" t="str">
        <f t="shared" si="423"/>
        <v/>
      </c>
      <c r="AT1022">
        <f t="shared" si="424"/>
        <v>14</v>
      </c>
      <c r="AU1022" s="170" t="str">
        <f t="shared" si="425"/>
        <v>0,15-0,5 MW, Bonusregeln L, y, b und K wenn Anlage 3 erfüllt</v>
      </c>
      <c r="AV1022" s="169" t="str">
        <f t="shared" si="426"/>
        <v/>
      </c>
      <c r="AW1022" s="170" t="str">
        <f t="shared" si="427"/>
        <v>Anteil KWK gemäß Anlage 3</v>
      </c>
      <c r="AX1022" s="169" t="str">
        <f t="shared" si="428"/>
        <v/>
      </c>
      <c r="AY1022" t="str">
        <f t="shared" si="429"/>
        <v/>
      </c>
      <c r="AZ1022" t="str">
        <f t="shared" si="430"/>
        <v/>
      </c>
    </row>
    <row r="1023" spans="1:52" x14ac:dyDescent="0.35">
      <c r="A1023" s="497" t="s">
        <v>2501</v>
      </c>
      <c r="B1023" s="13" t="s">
        <v>5547</v>
      </c>
      <c r="C1023" s="13" t="s">
        <v>1288</v>
      </c>
      <c r="D1023" s="13" t="s">
        <v>7191</v>
      </c>
      <c r="E1023" s="13" t="s">
        <v>674</v>
      </c>
      <c r="F1023" s="373">
        <f t="shared" si="406"/>
        <v>24.75</v>
      </c>
      <c r="G1023" s="430">
        <v>24.75</v>
      </c>
      <c r="H1023" s="399">
        <f t="shared" si="407"/>
        <v>19.8</v>
      </c>
      <c r="I1023" s="576"/>
      <c r="J1023" s="549" t="s">
        <v>5804</v>
      </c>
      <c r="K1023" s="11"/>
      <c r="M1023" s="37">
        <f t="shared" si="408"/>
        <v>24.75</v>
      </c>
      <c r="N1023" s="29">
        <v>9.75</v>
      </c>
      <c r="O1023" s="149"/>
      <c r="P1023" s="144"/>
      <c r="Q1023" s="145" t="s">
        <v>1017</v>
      </c>
      <c r="R1023" s="145"/>
      <c r="S1023" s="145" t="s">
        <v>4179</v>
      </c>
      <c r="T1023" t="s">
        <v>4179</v>
      </c>
      <c r="U1023" s="146" t="s">
        <v>1017</v>
      </c>
      <c r="V1023" s="145"/>
      <c r="W1023" s="147"/>
      <c r="X1023" s="147"/>
      <c r="Y1023" s="145"/>
      <c r="Z1023" s="147"/>
      <c r="AA1023" s="145"/>
      <c r="AB1023" s="145" t="s">
        <v>1017</v>
      </c>
      <c r="AC1023" s="147"/>
      <c r="AD1023" s="145"/>
      <c r="AE1023" s="148" t="s">
        <v>1017</v>
      </c>
      <c r="AF1023" s="147"/>
      <c r="AG1023" s="147"/>
      <c r="AH1023" s="166" t="str">
        <f t="shared" si="417"/>
        <v/>
      </c>
      <c r="AI1023" s="168" t="str">
        <f t="shared" si="431"/>
        <v/>
      </c>
      <c r="AJ1023" s="168" t="str">
        <f t="shared" si="432"/>
        <v/>
      </c>
      <c r="AK1023" s="168" t="str">
        <f t="shared" si="433"/>
        <v/>
      </c>
      <c r="AL1023" s="168" t="str">
        <f t="shared" si="434"/>
        <v/>
      </c>
      <c r="AM1023" s="168" t="str">
        <f t="shared" si="435"/>
        <v/>
      </c>
      <c r="AN1023" s="167" t="str">
        <f t="shared" si="418"/>
        <v/>
      </c>
      <c r="AO1023" s="167" t="str">
        <f t="shared" si="419"/>
        <v/>
      </c>
      <c r="AP1023" s="167" t="str">
        <f t="shared" si="420"/>
        <v/>
      </c>
      <c r="AQ1023" s="169" t="str">
        <f t="shared" si="421"/>
        <v/>
      </c>
      <c r="AR1023" s="170" t="str">
        <f t="shared" si="422"/>
        <v>BiK82LbK09y-05</v>
      </c>
      <c r="AS1023" s="169" t="str">
        <f t="shared" si="423"/>
        <v/>
      </c>
      <c r="AT1023">
        <f t="shared" si="424"/>
        <v>14</v>
      </c>
      <c r="AU1023" s="170" t="str">
        <f t="shared" si="425"/>
        <v>0,15-0,5 MW, Bonusregeln L, y, b und K erstmals 2009</v>
      </c>
      <c r="AV1023" s="169" t="str">
        <f t="shared" si="426"/>
        <v/>
      </c>
      <c r="AW1023" s="170" t="str">
        <f t="shared" si="427"/>
        <v>Anteil KWK, erstmals 2009</v>
      </c>
      <c r="AX1023" s="169" t="str">
        <f t="shared" si="428"/>
        <v/>
      </c>
      <c r="AY1023" t="str">
        <f t="shared" si="429"/>
        <v/>
      </c>
      <c r="AZ1023" t="str">
        <f t="shared" si="430"/>
        <v/>
      </c>
    </row>
    <row r="1024" spans="1:52" x14ac:dyDescent="0.35">
      <c r="A1024" s="497" t="s">
        <v>3612</v>
      </c>
      <c r="B1024" s="13" t="s">
        <v>5547</v>
      </c>
      <c r="C1024" s="13" t="s">
        <v>1288</v>
      </c>
      <c r="D1024" s="13" t="s">
        <v>7192</v>
      </c>
      <c r="E1024" s="13" t="s">
        <v>3566</v>
      </c>
      <c r="F1024" s="373">
        <f t="shared" si="406"/>
        <v>24.72</v>
      </c>
      <c r="G1024" s="430">
        <v>24.72</v>
      </c>
      <c r="H1024" s="399">
        <f t="shared" si="407"/>
        <v>19.78</v>
      </c>
      <c r="I1024" s="576"/>
      <c r="J1024" s="549" t="s">
        <v>5804</v>
      </c>
      <c r="K1024" s="11"/>
      <c r="M1024" s="37">
        <f t="shared" si="408"/>
        <v>24.72</v>
      </c>
      <c r="N1024" s="29">
        <v>9.75</v>
      </c>
      <c r="O1024" s="149"/>
      <c r="P1024" s="144"/>
      <c r="Q1024" s="145"/>
      <c r="R1024" s="145" t="s">
        <v>1017</v>
      </c>
      <c r="S1024" s="145" t="s">
        <v>4179</v>
      </c>
      <c r="T1024" t="s">
        <v>4179</v>
      </c>
      <c r="U1024" s="146" t="s">
        <v>1017</v>
      </c>
      <c r="V1024" s="145"/>
      <c r="W1024" s="147"/>
      <c r="X1024" s="147"/>
      <c r="Y1024" s="145"/>
      <c r="Z1024" s="147"/>
      <c r="AA1024" s="145"/>
      <c r="AB1024" s="145" t="s">
        <v>1017</v>
      </c>
      <c r="AC1024" s="147"/>
      <c r="AD1024" s="145"/>
      <c r="AE1024" s="148" t="s">
        <v>1017</v>
      </c>
      <c r="AF1024" s="147"/>
      <c r="AG1024" s="147"/>
      <c r="AH1024" s="166" t="str">
        <f t="shared" si="417"/>
        <v>2010</v>
      </c>
      <c r="AI1024" s="168" t="str">
        <f t="shared" si="431"/>
        <v/>
      </c>
      <c r="AJ1024" s="168" t="str">
        <f t="shared" si="432"/>
        <v/>
      </c>
      <c r="AK1024" s="168" t="str">
        <f t="shared" si="433"/>
        <v/>
      </c>
      <c r="AL1024" s="168" t="str">
        <f t="shared" si="434"/>
        <v/>
      </c>
      <c r="AM1024" s="168" t="str">
        <f t="shared" si="435"/>
        <v/>
      </c>
      <c r="AN1024" s="167" t="str">
        <f t="shared" si="418"/>
        <v>2010</v>
      </c>
      <c r="AO1024" s="167" t="str">
        <f t="shared" si="419"/>
        <v>2010</v>
      </c>
      <c r="AP1024" s="167" t="str">
        <f t="shared" si="420"/>
        <v>2010</v>
      </c>
      <c r="AQ1024" s="169" t="str">
        <f t="shared" si="421"/>
        <v/>
      </c>
      <c r="AR1024" s="170" t="str">
        <f t="shared" si="422"/>
        <v>BiK82LbK10y-05</v>
      </c>
      <c r="AS1024" s="169" t="str">
        <f t="shared" si="423"/>
        <v/>
      </c>
      <c r="AT1024">
        <f t="shared" si="424"/>
        <v>14</v>
      </c>
      <c r="AU1024" s="170" t="str">
        <f t="shared" si="425"/>
        <v>0,15-0,5 MW, Bonusregeln L, y, b und K erstmals 2010</v>
      </c>
      <c r="AV1024" s="169" t="str">
        <f t="shared" si="426"/>
        <v/>
      </c>
      <c r="AW1024" s="170" t="str">
        <f t="shared" si="427"/>
        <v>Anteil KWK, erstmals 2010</v>
      </c>
      <c r="AX1024" s="169" t="str">
        <f t="shared" si="428"/>
        <v/>
      </c>
      <c r="AY1024" t="str">
        <f t="shared" si="429"/>
        <v/>
      </c>
      <c r="AZ1024" t="str">
        <f t="shared" si="430"/>
        <v/>
      </c>
    </row>
    <row r="1025" spans="1:52" x14ac:dyDescent="0.35">
      <c r="A1025" s="497" t="s">
        <v>5343</v>
      </c>
      <c r="B1025" s="13" t="s">
        <v>5547</v>
      </c>
      <c r="C1025" s="13" t="s">
        <v>1288</v>
      </c>
      <c r="D1025" s="13" t="s">
        <v>7193</v>
      </c>
      <c r="E1025" s="13" t="s">
        <v>3054</v>
      </c>
      <c r="F1025" s="373">
        <f t="shared" ref="F1025:F1082" si="436">M1025</f>
        <v>24.689999999999998</v>
      </c>
      <c r="G1025" s="430">
        <v>24.689999999999998</v>
      </c>
      <c r="H1025" s="399">
        <f t="shared" ref="H1025:H1088" si="437">IF(ISNUMBER(G1025),ROUND(0.8*G1025,2),"")</f>
        <v>19.75</v>
      </c>
      <c r="I1025" s="576"/>
      <c r="J1025" s="549" t="s">
        <v>5804</v>
      </c>
      <c r="K1025" s="11"/>
      <c r="M1025" s="37">
        <f t="shared" ref="M1025:M1082" si="438">N1025+SUMIF(O1025:AG1025,"x",O$704:AG$704)</f>
        <v>24.689999999999998</v>
      </c>
      <c r="N1025" s="29">
        <v>9.75</v>
      </c>
      <c r="O1025" s="149"/>
      <c r="P1025" s="144"/>
      <c r="Q1025" s="145"/>
      <c r="R1025" s="145"/>
      <c r="S1025" s="145" t="s">
        <v>1017</v>
      </c>
      <c r="T1025" t="s">
        <v>4179</v>
      </c>
      <c r="U1025" s="146" t="s">
        <v>1017</v>
      </c>
      <c r="V1025" s="145"/>
      <c r="W1025" s="147"/>
      <c r="X1025" s="147"/>
      <c r="Y1025" s="145"/>
      <c r="Z1025" s="147"/>
      <c r="AA1025" s="145"/>
      <c r="AB1025" s="145" t="s">
        <v>1017</v>
      </c>
      <c r="AC1025" s="147"/>
      <c r="AD1025" s="145"/>
      <c r="AE1025" s="148" t="s">
        <v>1017</v>
      </c>
      <c r="AF1025" s="147"/>
      <c r="AG1025" s="147"/>
      <c r="AH1025" s="166" t="str">
        <f t="shared" si="417"/>
        <v>2011</v>
      </c>
      <c r="AI1025" s="168" t="str">
        <f t="shared" si="431"/>
        <v/>
      </c>
      <c r="AJ1025" s="168" t="str">
        <f t="shared" si="432"/>
        <v/>
      </c>
      <c r="AK1025" s="168" t="str">
        <f t="shared" si="433"/>
        <v/>
      </c>
      <c r="AL1025" s="168" t="str">
        <f t="shared" si="434"/>
        <v/>
      </c>
      <c r="AM1025" s="168" t="str">
        <f t="shared" si="435"/>
        <v/>
      </c>
      <c r="AN1025" s="167" t="str">
        <f t="shared" si="418"/>
        <v>2011</v>
      </c>
      <c r="AO1025" s="167" t="str">
        <f t="shared" si="419"/>
        <v>2011</v>
      </c>
      <c r="AP1025" s="167" t="str">
        <f t="shared" si="420"/>
        <v>2011</v>
      </c>
      <c r="AQ1025" s="169" t="str">
        <f t="shared" si="421"/>
        <v/>
      </c>
      <c r="AR1025" s="170" t="str">
        <f t="shared" si="422"/>
        <v>BiK82LbK11y-05</v>
      </c>
      <c r="AS1025" s="169" t="str">
        <f t="shared" si="423"/>
        <v/>
      </c>
      <c r="AT1025">
        <f t="shared" si="424"/>
        <v>14</v>
      </c>
      <c r="AU1025" s="170" t="str">
        <f t="shared" si="425"/>
        <v>0,15-0,5 MW, Bonusregeln L, y, b und K erstmals 2011</v>
      </c>
      <c r="AV1025" s="169" t="str">
        <f t="shared" si="426"/>
        <v/>
      </c>
      <c r="AW1025" s="170" t="str">
        <f t="shared" si="427"/>
        <v>Anteil KWK, erstmals 2011</v>
      </c>
      <c r="AX1025" s="169" t="str">
        <f t="shared" si="428"/>
        <v/>
      </c>
      <c r="AY1025" t="str">
        <f t="shared" si="429"/>
        <v>x</v>
      </c>
      <c r="AZ1025" t="str">
        <f t="shared" si="430"/>
        <v/>
      </c>
    </row>
    <row r="1026" spans="1:52" x14ac:dyDescent="0.35">
      <c r="A1026" s="511" t="s">
        <v>1594</v>
      </c>
      <c r="B1026" s="173" t="s">
        <v>5547</v>
      </c>
      <c r="C1026" s="173" t="s">
        <v>1288</v>
      </c>
      <c r="D1026" s="173" t="s">
        <v>7194</v>
      </c>
      <c r="E1026" s="173" t="s">
        <v>1980</v>
      </c>
      <c r="F1026" s="374">
        <f t="shared" si="436"/>
        <v>24.66</v>
      </c>
      <c r="G1026" s="431">
        <v>24.66</v>
      </c>
      <c r="H1026" s="400">
        <f t="shared" si="437"/>
        <v>19.73</v>
      </c>
      <c r="I1026" s="577"/>
      <c r="J1026" s="549" t="s">
        <v>5804</v>
      </c>
      <c r="K1026" s="11"/>
      <c r="M1026" s="37">
        <f t="shared" si="438"/>
        <v>24.66</v>
      </c>
      <c r="N1026" s="29">
        <v>9.75</v>
      </c>
      <c r="O1026" s="149"/>
      <c r="P1026" s="144"/>
      <c r="Q1026" s="145"/>
      <c r="R1026" s="145"/>
      <c r="S1026" s="145" t="s">
        <v>4179</v>
      </c>
      <c r="T1026" t="s">
        <v>1017</v>
      </c>
      <c r="U1026" s="146" t="s">
        <v>1017</v>
      </c>
      <c r="V1026" s="145"/>
      <c r="W1026" s="147"/>
      <c r="X1026" s="147"/>
      <c r="Y1026" s="145"/>
      <c r="Z1026" s="147"/>
      <c r="AA1026" s="145"/>
      <c r="AB1026" s="145" t="s">
        <v>1017</v>
      </c>
      <c r="AC1026" s="147"/>
      <c r="AD1026" s="145"/>
      <c r="AE1026" s="148" t="s">
        <v>1017</v>
      </c>
      <c r="AF1026" s="147"/>
      <c r="AG1026" s="147"/>
      <c r="AH1026" s="171" t="s">
        <v>4178</v>
      </c>
      <c r="AI1026" s="168" t="str">
        <f t="shared" si="431"/>
        <v/>
      </c>
      <c r="AJ1026" s="168" t="str">
        <f t="shared" si="432"/>
        <v/>
      </c>
      <c r="AK1026" s="168" t="str">
        <f t="shared" si="433"/>
        <v/>
      </c>
      <c r="AL1026" s="168" t="str">
        <f t="shared" si="434"/>
        <v/>
      </c>
      <c r="AM1026" s="168" t="str">
        <f t="shared" si="435"/>
        <v/>
      </c>
      <c r="AN1026" s="167" t="str">
        <f t="shared" si="418"/>
        <v>2012</v>
      </c>
      <c r="AO1026" s="167" t="str">
        <f t="shared" si="419"/>
        <v>2012</v>
      </c>
      <c r="AP1026" s="167" t="str">
        <f t="shared" si="420"/>
        <v>2012</v>
      </c>
      <c r="AQ1026" s="169" t="str">
        <f t="shared" si="421"/>
        <v/>
      </c>
      <c r="AR1026" s="170" t="str">
        <f t="shared" si="422"/>
        <v>BiK82LbK12y-05</v>
      </c>
      <c r="AS1026" s="169" t="str">
        <f t="shared" si="423"/>
        <v/>
      </c>
      <c r="AT1026">
        <f t="shared" si="424"/>
        <v>14</v>
      </c>
      <c r="AU1026" s="170" t="str">
        <f t="shared" si="425"/>
        <v>0,15-0,5 MW, Bonusregeln L, y, b und K erstmals 2012</v>
      </c>
      <c r="AV1026" s="169" t="str">
        <f t="shared" si="426"/>
        <v/>
      </c>
      <c r="AW1026" s="170" t="str">
        <f t="shared" si="427"/>
        <v>Anteil KWK, erstmals 2012</v>
      </c>
      <c r="AX1026" s="169" t="str">
        <f t="shared" si="428"/>
        <v/>
      </c>
      <c r="AY1026" t="str">
        <f t="shared" si="429"/>
        <v/>
      </c>
      <c r="AZ1026" t="str">
        <f t="shared" si="430"/>
        <v>x</v>
      </c>
    </row>
    <row r="1027" spans="1:52" x14ac:dyDescent="0.35">
      <c r="A1027" s="497" t="s">
        <v>4411</v>
      </c>
      <c r="B1027" s="13" t="s">
        <v>5547</v>
      </c>
      <c r="C1027" s="13" t="s">
        <v>1288</v>
      </c>
      <c r="D1027" s="13" t="s">
        <v>7195</v>
      </c>
      <c r="E1027" s="13" t="s">
        <v>4809</v>
      </c>
      <c r="F1027" s="373">
        <f t="shared" si="436"/>
        <v>21.75</v>
      </c>
      <c r="G1027" s="430">
        <v>21.75</v>
      </c>
      <c r="H1027" s="399">
        <f t="shared" si="437"/>
        <v>17.399999999999999</v>
      </c>
      <c r="I1027" s="576"/>
      <c r="J1027" s="549" t="s">
        <v>5804</v>
      </c>
      <c r="K1027" s="11"/>
      <c r="M1027" s="37">
        <f t="shared" si="438"/>
        <v>21.75</v>
      </c>
      <c r="N1027" s="29">
        <v>9.75</v>
      </c>
      <c r="O1027" s="149"/>
      <c r="P1027" s="144"/>
      <c r="Q1027" s="145"/>
      <c r="R1027" s="145"/>
      <c r="S1027" s="145" t="s">
        <v>4179</v>
      </c>
      <c r="T1027" t="s">
        <v>4179</v>
      </c>
      <c r="U1027" s="146"/>
      <c r="V1027" s="145"/>
      <c r="W1027" s="147"/>
      <c r="X1027" s="147"/>
      <c r="Y1027" s="145"/>
      <c r="Z1027" s="147"/>
      <c r="AA1027" s="145"/>
      <c r="AB1027" s="145"/>
      <c r="AC1027" s="147"/>
      <c r="AD1027" s="145" t="s">
        <v>1017</v>
      </c>
      <c r="AE1027" s="148" t="s">
        <v>1017</v>
      </c>
      <c r="AF1027" s="147"/>
      <c r="AG1027" s="147"/>
      <c r="AH1027" s="166" t="str">
        <f t="shared" ref="AH1027:AH1032" si="439">IF(ISERROR(SEARCH("K erstmals 201",D1027)),"",RIGHT(D1027,4))</f>
        <v/>
      </c>
      <c r="AI1027" s="168" t="str">
        <f t="shared" si="431"/>
        <v/>
      </c>
      <c r="AJ1027" s="168" t="str">
        <f t="shared" si="432"/>
        <v/>
      </c>
      <c r="AK1027" s="168" t="str">
        <f t="shared" si="433"/>
        <v/>
      </c>
      <c r="AL1027" s="168" t="str">
        <f t="shared" si="434"/>
        <v/>
      </c>
      <c r="AM1027" s="168" t="str">
        <f t="shared" si="435"/>
        <v/>
      </c>
      <c r="AN1027" s="167" t="str">
        <f t="shared" si="418"/>
        <v/>
      </c>
      <c r="AO1027" s="167" t="str">
        <f t="shared" si="419"/>
        <v/>
      </c>
      <c r="AP1027" s="167" t="str">
        <f t="shared" si="420"/>
        <v/>
      </c>
      <c r="AQ1027" s="169" t="str">
        <f t="shared" si="421"/>
        <v/>
      </c>
      <c r="AR1027" s="170" t="str">
        <f t="shared" si="422"/>
        <v>BiK82X2b----05</v>
      </c>
      <c r="AS1027" s="169" t="str">
        <f t="shared" si="423"/>
        <v/>
      </c>
      <c r="AT1027">
        <f t="shared" si="424"/>
        <v>14</v>
      </c>
      <c r="AU1027" s="170" t="str">
        <f t="shared" si="425"/>
        <v>0,15-0,5 MW, Bonusregeln X2, b</v>
      </c>
      <c r="AV1027" s="169" t="str">
        <f t="shared" si="426"/>
        <v/>
      </c>
      <c r="AW1027" s="170" t="str">
        <f t="shared" si="427"/>
        <v>Anteil Nicht-KWK</v>
      </c>
      <c r="AX1027" s="169" t="str">
        <f t="shared" si="428"/>
        <v/>
      </c>
      <c r="AY1027" t="str">
        <f t="shared" si="429"/>
        <v/>
      </c>
      <c r="AZ1027" t="str">
        <f t="shared" si="430"/>
        <v/>
      </c>
    </row>
    <row r="1028" spans="1:52" x14ac:dyDescent="0.35">
      <c r="A1028" s="497" t="s">
        <v>4412</v>
      </c>
      <c r="B1028" s="13" t="s">
        <v>5547</v>
      </c>
      <c r="C1028" s="13" t="s">
        <v>1288</v>
      </c>
      <c r="D1028" s="13" t="s">
        <v>7196</v>
      </c>
      <c r="E1028" s="13" t="s">
        <v>4811</v>
      </c>
      <c r="F1028" s="373">
        <f t="shared" si="436"/>
        <v>23.75</v>
      </c>
      <c r="G1028" s="430">
        <v>23.75</v>
      </c>
      <c r="H1028" s="399">
        <f t="shared" si="437"/>
        <v>19</v>
      </c>
      <c r="I1028" s="576"/>
      <c r="J1028" s="549" t="s">
        <v>5804</v>
      </c>
      <c r="K1028" s="11"/>
      <c r="M1028" s="37">
        <f t="shared" si="438"/>
        <v>23.75</v>
      </c>
      <c r="N1028" s="29">
        <v>9.75</v>
      </c>
      <c r="O1028" s="149" t="s">
        <v>1017</v>
      </c>
      <c r="P1028" s="144"/>
      <c r="Q1028" s="145"/>
      <c r="R1028" s="145"/>
      <c r="S1028" s="145" t="s">
        <v>4179</v>
      </c>
      <c r="T1028" t="s">
        <v>4179</v>
      </c>
      <c r="U1028" s="146"/>
      <c r="V1028" s="145"/>
      <c r="W1028" s="147"/>
      <c r="X1028" s="147"/>
      <c r="Y1028" s="145"/>
      <c r="Z1028" s="147"/>
      <c r="AA1028" s="145"/>
      <c r="AB1028" s="145"/>
      <c r="AC1028" s="147"/>
      <c r="AD1028" s="145" t="s">
        <v>1017</v>
      </c>
      <c r="AE1028" s="148" t="s">
        <v>1017</v>
      </c>
      <c r="AF1028" s="147"/>
      <c r="AG1028" s="147"/>
      <c r="AH1028" s="166" t="str">
        <f t="shared" si="439"/>
        <v/>
      </c>
      <c r="AI1028" s="168" t="str">
        <f t="shared" si="431"/>
        <v/>
      </c>
      <c r="AJ1028" s="168" t="str">
        <f t="shared" si="432"/>
        <v/>
      </c>
      <c r="AK1028" s="168" t="str">
        <f t="shared" si="433"/>
        <v/>
      </c>
      <c r="AL1028" s="168" t="str">
        <f t="shared" si="434"/>
        <v/>
      </c>
      <c r="AM1028" s="168" t="str">
        <f t="shared" si="435"/>
        <v/>
      </c>
      <c r="AN1028" s="167" t="str">
        <f t="shared" si="418"/>
        <v/>
      </c>
      <c r="AO1028" s="167" t="str">
        <f t="shared" si="419"/>
        <v/>
      </c>
      <c r="AP1028" s="167" t="str">
        <f t="shared" si="420"/>
        <v/>
      </c>
      <c r="AQ1028" s="169" t="str">
        <f t="shared" si="421"/>
        <v/>
      </c>
      <c r="AR1028" s="170" t="str">
        <f t="shared" si="422"/>
        <v>BiK82X2bKWK-05</v>
      </c>
      <c r="AS1028" s="169" t="str">
        <f t="shared" si="423"/>
        <v/>
      </c>
      <c r="AT1028">
        <f t="shared" si="424"/>
        <v>14</v>
      </c>
      <c r="AU1028" s="170" t="str">
        <f t="shared" si="425"/>
        <v>0,15-0,5 MW, Bonusregeln X2, b und KWK</v>
      </c>
      <c r="AV1028" s="169" t="str">
        <f t="shared" si="426"/>
        <v/>
      </c>
      <c r="AW1028" s="170" t="str">
        <f t="shared" si="427"/>
        <v>Anteil KWK</v>
      </c>
      <c r="AX1028" s="169" t="str">
        <f t="shared" si="428"/>
        <v/>
      </c>
      <c r="AY1028" t="str">
        <f t="shared" si="429"/>
        <v/>
      </c>
      <c r="AZ1028" t="str">
        <f t="shared" si="430"/>
        <v/>
      </c>
    </row>
    <row r="1029" spans="1:52" s="145" customFormat="1" x14ac:dyDescent="0.35">
      <c r="A1029" s="497" t="s">
        <v>4413</v>
      </c>
      <c r="B1029" s="13" t="s">
        <v>5547</v>
      </c>
      <c r="C1029" s="13" t="s">
        <v>1288</v>
      </c>
      <c r="D1029" s="13" t="s">
        <v>7197</v>
      </c>
      <c r="E1029" s="13" t="s">
        <v>4330</v>
      </c>
      <c r="F1029" s="373">
        <f t="shared" si="436"/>
        <v>24.75</v>
      </c>
      <c r="G1029" s="430">
        <v>24.75</v>
      </c>
      <c r="H1029" s="399">
        <f t="shared" si="437"/>
        <v>19.8</v>
      </c>
      <c r="I1029" s="576"/>
      <c r="J1029" s="549" t="s">
        <v>5804</v>
      </c>
      <c r="K1029" s="11"/>
      <c r="L1029"/>
      <c r="M1029" s="37">
        <f t="shared" si="438"/>
        <v>24.75</v>
      </c>
      <c r="N1029" s="29">
        <v>9.75</v>
      </c>
      <c r="O1029" s="149"/>
      <c r="P1029" s="145" t="s">
        <v>1017</v>
      </c>
      <c r="S1029" s="145" t="s">
        <v>4179</v>
      </c>
      <c r="T1029" s="145" t="s">
        <v>4179</v>
      </c>
      <c r="U1029" s="146"/>
      <c r="W1029" s="147"/>
      <c r="X1029" s="147"/>
      <c r="Z1029" s="147"/>
      <c r="AC1029" s="147"/>
      <c r="AD1029" s="145" t="s">
        <v>1017</v>
      </c>
      <c r="AE1029" s="148" t="s">
        <v>1017</v>
      </c>
      <c r="AF1029" s="147"/>
      <c r="AG1029" s="147"/>
      <c r="AH1029" s="166" t="str">
        <f t="shared" si="439"/>
        <v/>
      </c>
      <c r="AI1029" s="168" t="str">
        <f t="shared" si="431"/>
        <v/>
      </c>
      <c r="AJ1029" s="168" t="str">
        <f t="shared" si="432"/>
        <v/>
      </c>
      <c r="AK1029" s="168" t="str">
        <f t="shared" si="433"/>
        <v/>
      </c>
      <c r="AL1029" s="168" t="str">
        <f t="shared" si="434"/>
        <v/>
      </c>
      <c r="AM1029" s="168" t="str">
        <f t="shared" si="435"/>
        <v/>
      </c>
      <c r="AN1029" s="167" t="str">
        <f t="shared" si="418"/>
        <v/>
      </c>
      <c r="AO1029" s="167" t="str">
        <f t="shared" si="419"/>
        <v/>
      </c>
      <c r="AP1029" s="167" t="str">
        <f t="shared" si="420"/>
        <v/>
      </c>
      <c r="AQ1029" s="169" t="str">
        <f t="shared" si="421"/>
        <v/>
      </c>
      <c r="AR1029" s="170" t="str">
        <f t="shared" si="422"/>
        <v>BiK82X2bKA3-05</v>
      </c>
      <c r="AS1029" s="169" t="str">
        <f t="shared" si="423"/>
        <v/>
      </c>
      <c r="AT1029">
        <f t="shared" si="424"/>
        <v>14</v>
      </c>
      <c r="AU1029" s="170" t="str">
        <f t="shared" si="425"/>
        <v>0,15-0,5 MW, Bonusregeln X2, b und K wenn Anlage 3 erfüllt</v>
      </c>
      <c r="AV1029" s="169" t="str">
        <f t="shared" si="426"/>
        <v/>
      </c>
      <c r="AW1029" s="170" t="str">
        <f t="shared" si="427"/>
        <v>Anteil KWK gemäß Anlage 3</v>
      </c>
      <c r="AX1029" s="169" t="str">
        <f t="shared" si="428"/>
        <v/>
      </c>
      <c r="AY1029" t="str">
        <f t="shared" si="429"/>
        <v/>
      </c>
      <c r="AZ1029" t="str">
        <f t="shared" si="430"/>
        <v/>
      </c>
    </row>
    <row r="1030" spans="1:52" s="145" customFormat="1" x14ac:dyDescent="0.35">
      <c r="A1030" s="497" t="s">
        <v>4414</v>
      </c>
      <c r="B1030" s="13" t="s">
        <v>5547</v>
      </c>
      <c r="C1030" s="13" t="s">
        <v>1288</v>
      </c>
      <c r="D1030" s="13" t="s">
        <v>7198</v>
      </c>
      <c r="E1030" s="13" t="s">
        <v>674</v>
      </c>
      <c r="F1030" s="373">
        <f t="shared" si="436"/>
        <v>24.75</v>
      </c>
      <c r="G1030" s="430">
        <v>24.75</v>
      </c>
      <c r="H1030" s="399">
        <f t="shared" si="437"/>
        <v>19.8</v>
      </c>
      <c r="I1030" s="576"/>
      <c r="J1030" s="549" t="s">
        <v>5804</v>
      </c>
      <c r="K1030" s="11"/>
      <c r="L1030"/>
      <c r="M1030" s="37">
        <f t="shared" si="438"/>
        <v>24.75</v>
      </c>
      <c r="N1030" s="29">
        <v>9.75</v>
      </c>
      <c r="O1030" s="149"/>
      <c r="P1030" s="144"/>
      <c r="Q1030" s="145" t="s">
        <v>1017</v>
      </c>
      <c r="S1030" s="145" t="s">
        <v>4179</v>
      </c>
      <c r="T1030" s="145" t="s">
        <v>4179</v>
      </c>
      <c r="U1030" s="146"/>
      <c r="W1030" s="147"/>
      <c r="X1030" s="147"/>
      <c r="Z1030" s="147"/>
      <c r="AC1030" s="147"/>
      <c r="AD1030" s="145" t="s">
        <v>1017</v>
      </c>
      <c r="AE1030" s="148" t="s">
        <v>1017</v>
      </c>
      <c r="AF1030" s="147"/>
      <c r="AG1030" s="147"/>
      <c r="AH1030" s="166" t="str">
        <f t="shared" si="439"/>
        <v/>
      </c>
      <c r="AI1030" s="168" t="str">
        <f t="shared" si="431"/>
        <v/>
      </c>
      <c r="AJ1030" s="168" t="str">
        <f t="shared" si="432"/>
        <v/>
      </c>
      <c r="AK1030" s="168" t="str">
        <f t="shared" si="433"/>
        <v/>
      </c>
      <c r="AL1030" s="168" t="str">
        <f t="shared" si="434"/>
        <v/>
      </c>
      <c r="AM1030" s="168" t="str">
        <f t="shared" si="435"/>
        <v/>
      </c>
      <c r="AN1030" s="167" t="str">
        <f t="shared" si="418"/>
        <v/>
      </c>
      <c r="AO1030" s="167" t="str">
        <f t="shared" si="419"/>
        <v/>
      </c>
      <c r="AP1030" s="167" t="str">
        <f t="shared" si="420"/>
        <v/>
      </c>
      <c r="AQ1030" s="169" t="str">
        <f t="shared" si="421"/>
        <v/>
      </c>
      <c r="AR1030" s="170" t="str">
        <f t="shared" si="422"/>
        <v>BiK82X2bK09-05</v>
      </c>
      <c r="AS1030" s="169" t="str">
        <f t="shared" si="423"/>
        <v/>
      </c>
      <c r="AT1030">
        <f t="shared" si="424"/>
        <v>14</v>
      </c>
      <c r="AU1030" s="170" t="str">
        <f t="shared" si="425"/>
        <v>0,15-0,5 MW, Bonusregeln X2, b und K erstmals 2009</v>
      </c>
      <c r="AV1030" s="169" t="str">
        <f t="shared" si="426"/>
        <v/>
      </c>
      <c r="AW1030" s="170" t="str">
        <f t="shared" si="427"/>
        <v>Anteil KWK, erstmals 2009</v>
      </c>
      <c r="AX1030" s="169" t="str">
        <f t="shared" si="428"/>
        <v/>
      </c>
      <c r="AY1030" t="str">
        <f t="shared" si="429"/>
        <v/>
      </c>
      <c r="AZ1030" t="str">
        <f t="shared" si="430"/>
        <v/>
      </c>
    </row>
    <row r="1031" spans="1:52" s="145" customFormat="1" x14ac:dyDescent="0.35">
      <c r="A1031" s="497" t="s">
        <v>3613</v>
      </c>
      <c r="B1031" s="13" t="s">
        <v>5547</v>
      </c>
      <c r="C1031" s="13" t="s">
        <v>1288</v>
      </c>
      <c r="D1031" s="13" t="s">
        <v>7199</v>
      </c>
      <c r="E1031" s="13" t="s">
        <v>3566</v>
      </c>
      <c r="F1031" s="373">
        <f t="shared" si="436"/>
        <v>24.72</v>
      </c>
      <c r="G1031" s="430">
        <v>24.72</v>
      </c>
      <c r="H1031" s="399">
        <f t="shared" si="437"/>
        <v>19.78</v>
      </c>
      <c r="I1031" s="576"/>
      <c r="J1031" s="549" t="s">
        <v>5804</v>
      </c>
      <c r="K1031" s="11"/>
      <c r="L1031"/>
      <c r="M1031" s="37">
        <f t="shared" si="438"/>
        <v>24.72</v>
      </c>
      <c r="N1031" s="29">
        <v>9.75</v>
      </c>
      <c r="O1031" s="149"/>
      <c r="P1031" s="144"/>
      <c r="R1031" s="145" t="s">
        <v>1017</v>
      </c>
      <c r="S1031" s="145" t="s">
        <v>4179</v>
      </c>
      <c r="T1031" s="145" t="s">
        <v>4179</v>
      </c>
      <c r="U1031" s="146"/>
      <c r="W1031" s="147"/>
      <c r="X1031" s="147"/>
      <c r="Z1031" s="147"/>
      <c r="AC1031" s="147"/>
      <c r="AD1031" s="145" t="s">
        <v>1017</v>
      </c>
      <c r="AE1031" s="148" t="s">
        <v>1017</v>
      </c>
      <c r="AF1031" s="147"/>
      <c r="AG1031" s="147"/>
      <c r="AH1031" s="166" t="str">
        <f t="shared" si="439"/>
        <v>2010</v>
      </c>
      <c r="AI1031" s="168" t="str">
        <f t="shared" si="431"/>
        <v/>
      </c>
      <c r="AJ1031" s="168" t="str">
        <f t="shared" si="432"/>
        <v/>
      </c>
      <c r="AK1031" s="168" t="str">
        <f t="shared" si="433"/>
        <v/>
      </c>
      <c r="AL1031" s="168" t="str">
        <f t="shared" si="434"/>
        <v/>
      </c>
      <c r="AM1031" s="168" t="str">
        <f t="shared" si="435"/>
        <v/>
      </c>
      <c r="AN1031" s="167" t="str">
        <f t="shared" si="418"/>
        <v>2010</v>
      </c>
      <c r="AO1031" s="167" t="str">
        <f t="shared" si="419"/>
        <v>2010</v>
      </c>
      <c r="AP1031" s="167" t="str">
        <f t="shared" si="420"/>
        <v>2010</v>
      </c>
      <c r="AQ1031" s="169" t="str">
        <f t="shared" si="421"/>
        <v/>
      </c>
      <c r="AR1031" s="170" t="str">
        <f t="shared" si="422"/>
        <v>BiK82X2bK10-05</v>
      </c>
      <c r="AS1031" s="169" t="str">
        <f t="shared" si="423"/>
        <v/>
      </c>
      <c r="AT1031">
        <f t="shared" si="424"/>
        <v>14</v>
      </c>
      <c r="AU1031" s="170" t="str">
        <f t="shared" si="425"/>
        <v>0,15-0,5 MW, Bonusregeln X2, b und K erstmals 2010</v>
      </c>
      <c r="AV1031" s="169" t="str">
        <f t="shared" si="426"/>
        <v/>
      </c>
      <c r="AW1031" s="170" t="str">
        <f t="shared" si="427"/>
        <v>Anteil KWK, erstmals 2010</v>
      </c>
      <c r="AX1031" s="169" t="str">
        <f t="shared" si="428"/>
        <v/>
      </c>
      <c r="AY1031" t="str">
        <f t="shared" si="429"/>
        <v/>
      </c>
      <c r="AZ1031" t="str">
        <f t="shared" si="430"/>
        <v/>
      </c>
    </row>
    <row r="1032" spans="1:52" s="145" customFormat="1" x14ac:dyDescent="0.35">
      <c r="A1032" s="497" t="s">
        <v>5344</v>
      </c>
      <c r="B1032" s="13" t="s">
        <v>5547</v>
      </c>
      <c r="C1032" s="13" t="s">
        <v>1288</v>
      </c>
      <c r="D1032" s="13" t="s">
        <v>7200</v>
      </c>
      <c r="E1032" s="13" t="s">
        <v>3054</v>
      </c>
      <c r="F1032" s="373">
        <f t="shared" si="436"/>
        <v>24.689999999999998</v>
      </c>
      <c r="G1032" s="430">
        <v>24.689999999999998</v>
      </c>
      <c r="H1032" s="399">
        <f t="shared" si="437"/>
        <v>19.75</v>
      </c>
      <c r="I1032" s="576"/>
      <c r="J1032" s="549" t="s">
        <v>5804</v>
      </c>
      <c r="K1032" s="11"/>
      <c r="L1032"/>
      <c r="M1032" s="37">
        <f t="shared" si="438"/>
        <v>24.689999999999998</v>
      </c>
      <c r="N1032" s="29">
        <v>9.75</v>
      </c>
      <c r="O1032" s="149"/>
      <c r="P1032" s="144"/>
      <c r="S1032" s="145" t="s">
        <v>1017</v>
      </c>
      <c r="T1032" s="145" t="s">
        <v>4179</v>
      </c>
      <c r="U1032" s="146"/>
      <c r="W1032" s="147"/>
      <c r="X1032" s="147"/>
      <c r="Z1032" s="147"/>
      <c r="AC1032" s="147"/>
      <c r="AD1032" s="145" t="s">
        <v>1017</v>
      </c>
      <c r="AE1032" s="148" t="s">
        <v>1017</v>
      </c>
      <c r="AF1032" s="147"/>
      <c r="AG1032" s="147"/>
      <c r="AH1032" s="166" t="str">
        <f t="shared" si="439"/>
        <v>2011</v>
      </c>
      <c r="AI1032" s="168" t="str">
        <f t="shared" si="431"/>
        <v/>
      </c>
      <c r="AJ1032" s="168" t="str">
        <f t="shared" si="432"/>
        <v/>
      </c>
      <c r="AK1032" s="168" t="str">
        <f t="shared" si="433"/>
        <v/>
      </c>
      <c r="AL1032" s="168" t="str">
        <f t="shared" si="434"/>
        <v/>
      </c>
      <c r="AM1032" s="168" t="str">
        <f t="shared" si="435"/>
        <v/>
      </c>
      <c r="AN1032" s="167" t="str">
        <f t="shared" si="418"/>
        <v>2011</v>
      </c>
      <c r="AO1032" s="167" t="str">
        <f t="shared" si="419"/>
        <v>2011</v>
      </c>
      <c r="AP1032" s="167" t="str">
        <f t="shared" si="420"/>
        <v>2011</v>
      </c>
      <c r="AQ1032" s="169" t="str">
        <f t="shared" si="421"/>
        <v/>
      </c>
      <c r="AR1032" s="170" t="str">
        <f t="shared" si="422"/>
        <v>BiK82X2bK11-05</v>
      </c>
      <c r="AS1032" s="169" t="str">
        <f t="shared" si="423"/>
        <v/>
      </c>
      <c r="AT1032">
        <f t="shared" si="424"/>
        <v>14</v>
      </c>
      <c r="AU1032" s="170" t="str">
        <f t="shared" si="425"/>
        <v>0,15-0,5 MW, Bonusregeln X2, b und K erstmals 2011</v>
      </c>
      <c r="AV1032" s="169" t="str">
        <f t="shared" si="426"/>
        <v/>
      </c>
      <c r="AW1032" s="170" t="str">
        <f t="shared" si="427"/>
        <v>Anteil KWK, erstmals 2011</v>
      </c>
      <c r="AX1032" s="169" t="str">
        <f t="shared" si="428"/>
        <v/>
      </c>
      <c r="AY1032" t="str">
        <f t="shared" si="429"/>
        <v>x</v>
      </c>
      <c r="AZ1032" t="str">
        <f t="shared" si="430"/>
        <v/>
      </c>
    </row>
    <row r="1033" spans="1:52" s="145" customFormat="1" x14ac:dyDescent="0.35">
      <c r="A1033" s="511" t="s">
        <v>1595</v>
      </c>
      <c r="B1033" s="173" t="s">
        <v>5547</v>
      </c>
      <c r="C1033" s="173" t="s">
        <v>1288</v>
      </c>
      <c r="D1033" s="173" t="s">
        <v>7201</v>
      </c>
      <c r="E1033" s="173" t="s">
        <v>1980</v>
      </c>
      <c r="F1033" s="374">
        <f t="shared" si="436"/>
        <v>24.66</v>
      </c>
      <c r="G1033" s="431">
        <v>24.66</v>
      </c>
      <c r="H1033" s="400">
        <f t="shared" si="437"/>
        <v>19.73</v>
      </c>
      <c r="I1033" s="577"/>
      <c r="J1033" s="549" t="s">
        <v>5804</v>
      </c>
      <c r="K1033" s="11"/>
      <c r="L1033"/>
      <c r="M1033" s="37">
        <f t="shared" si="438"/>
        <v>24.66</v>
      </c>
      <c r="N1033" s="29">
        <v>9.75</v>
      </c>
      <c r="O1033" s="149"/>
      <c r="P1033" s="144"/>
      <c r="S1033" s="145" t="s">
        <v>4179</v>
      </c>
      <c r="T1033" s="145" t="s">
        <v>1017</v>
      </c>
      <c r="U1033" s="146"/>
      <c r="W1033" s="147"/>
      <c r="X1033" s="147"/>
      <c r="Z1033" s="147"/>
      <c r="AC1033" s="147"/>
      <c r="AD1033" s="145" t="s">
        <v>1017</v>
      </c>
      <c r="AE1033" s="148" t="s">
        <v>1017</v>
      </c>
      <c r="AF1033" s="147"/>
      <c r="AG1033" s="147"/>
      <c r="AH1033" s="171" t="s">
        <v>4178</v>
      </c>
      <c r="AI1033" s="168" t="str">
        <f t="shared" si="431"/>
        <v/>
      </c>
      <c r="AJ1033" s="168" t="str">
        <f t="shared" si="432"/>
        <v/>
      </c>
      <c r="AK1033" s="168" t="str">
        <f t="shared" si="433"/>
        <v/>
      </c>
      <c r="AL1033" s="168" t="str">
        <f t="shared" si="434"/>
        <v/>
      </c>
      <c r="AM1033" s="168" t="str">
        <f t="shared" si="435"/>
        <v/>
      </c>
      <c r="AN1033" s="167" t="str">
        <f t="shared" si="418"/>
        <v>2012</v>
      </c>
      <c r="AO1033" s="167" t="str">
        <f t="shared" si="419"/>
        <v>2012</v>
      </c>
      <c r="AP1033" s="167" t="str">
        <f t="shared" si="420"/>
        <v>2012</v>
      </c>
      <c r="AQ1033" s="169" t="str">
        <f t="shared" si="421"/>
        <v/>
      </c>
      <c r="AR1033" s="170" t="str">
        <f t="shared" si="422"/>
        <v>BiK82X2bK12-05</v>
      </c>
      <c r="AS1033" s="169" t="str">
        <f t="shared" si="423"/>
        <v/>
      </c>
      <c r="AT1033">
        <f t="shared" si="424"/>
        <v>14</v>
      </c>
      <c r="AU1033" s="170" t="str">
        <f t="shared" si="425"/>
        <v>0,15-0,5 MW, Bonusregeln X2, b und K erstmals 2012</v>
      </c>
      <c r="AV1033" s="169" t="str">
        <f t="shared" si="426"/>
        <v/>
      </c>
      <c r="AW1033" s="170" t="str">
        <f t="shared" si="427"/>
        <v>Anteil KWK, erstmals 2012</v>
      </c>
      <c r="AX1033" s="169" t="str">
        <f t="shared" si="428"/>
        <v/>
      </c>
      <c r="AY1033" t="str">
        <f t="shared" si="429"/>
        <v/>
      </c>
      <c r="AZ1033" t="str">
        <f t="shared" si="430"/>
        <v>x</v>
      </c>
    </row>
    <row r="1034" spans="1:52" s="145" customFormat="1" x14ac:dyDescent="0.35">
      <c r="A1034" s="497" t="s">
        <v>4415</v>
      </c>
      <c r="B1034" s="13" t="s">
        <v>5547</v>
      </c>
      <c r="C1034" s="13" t="s">
        <v>1288</v>
      </c>
      <c r="D1034" s="13" t="s">
        <v>7202</v>
      </c>
      <c r="E1034" s="13" t="s">
        <v>4809</v>
      </c>
      <c r="F1034" s="373">
        <f t="shared" si="436"/>
        <v>22.75</v>
      </c>
      <c r="G1034" s="430">
        <v>22.75</v>
      </c>
      <c r="H1034" s="399">
        <f t="shared" si="437"/>
        <v>18.2</v>
      </c>
      <c r="I1034" s="576"/>
      <c r="J1034" s="549" t="s">
        <v>5804</v>
      </c>
      <c r="K1034" s="11"/>
      <c r="L1034"/>
      <c r="M1034" s="37">
        <f t="shared" si="438"/>
        <v>22.75</v>
      </c>
      <c r="N1034" s="29">
        <v>9.75</v>
      </c>
      <c r="O1034" s="149"/>
      <c r="P1034" s="144"/>
      <c r="S1034" s="145" t="s">
        <v>4179</v>
      </c>
      <c r="T1034" s="145" t="s">
        <v>4179</v>
      </c>
      <c r="U1034" s="146" t="s">
        <v>1017</v>
      </c>
      <c r="W1034" s="147"/>
      <c r="X1034" s="147"/>
      <c r="Z1034" s="147"/>
      <c r="AC1034" s="147"/>
      <c r="AD1034" s="145" t="s">
        <v>1017</v>
      </c>
      <c r="AE1034" s="148" t="s">
        <v>1017</v>
      </c>
      <c r="AF1034" s="147"/>
      <c r="AG1034" s="147"/>
      <c r="AH1034" s="166" t="str">
        <f t="shared" ref="AH1034:AH1039" si="440">IF(ISERROR(SEARCH("K erstmals 201",D1034)),"",RIGHT(D1034,4))</f>
        <v/>
      </c>
      <c r="AI1034" s="168" t="str">
        <f t="shared" si="431"/>
        <v/>
      </c>
      <c r="AJ1034" s="168" t="str">
        <f t="shared" si="432"/>
        <v/>
      </c>
      <c r="AK1034" s="168" t="str">
        <f t="shared" si="433"/>
        <v/>
      </c>
      <c r="AL1034" s="168" t="str">
        <f t="shared" si="434"/>
        <v/>
      </c>
      <c r="AM1034" s="168" t="str">
        <f t="shared" si="435"/>
        <v/>
      </c>
      <c r="AN1034" s="167" t="str">
        <f t="shared" si="418"/>
        <v/>
      </c>
      <c r="AO1034" s="167" t="str">
        <f t="shared" si="419"/>
        <v/>
      </c>
      <c r="AP1034" s="167" t="str">
        <f t="shared" si="420"/>
        <v/>
      </c>
      <c r="AQ1034" s="169" t="str">
        <f t="shared" si="421"/>
        <v/>
      </c>
      <c r="AR1034" s="170" t="str">
        <f t="shared" si="422"/>
        <v>BiK82X2by---05</v>
      </c>
      <c r="AS1034" s="169" t="str">
        <f t="shared" si="423"/>
        <v/>
      </c>
      <c r="AT1034">
        <f t="shared" si="424"/>
        <v>14</v>
      </c>
      <c r="AU1034" s="170" t="str">
        <f t="shared" si="425"/>
        <v>0,15-0,5 MW, Bonusregeln X2, y, b</v>
      </c>
      <c r="AV1034" s="169" t="str">
        <f t="shared" si="426"/>
        <v/>
      </c>
      <c r="AW1034" s="170" t="str">
        <f t="shared" si="427"/>
        <v>Anteil Nicht-KWK</v>
      </c>
      <c r="AX1034" s="169" t="str">
        <f t="shared" si="428"/>
        <v/>
      </c>
      <c r="AY1034" t="str">
        <f t="shared" si="429"/>
        <v/>
      </c>
      <c r="AZ1034" t="str">
        <f t="shared" si="430"/>
        <v/>
      </c>
    </row>
    <row r="1035" spans="1:52" s="145" customFormat="1" x14ac:dyDescent="0.35">
      <c r="A1035" s="497" t="s">
        <v>4416</v>
      </c>
      <c r="B1035" s="13" t="s">
        <v>5547</v>
      </c>
      <c r="C1035" s="13" t="s">
        <v>1288</v>
      </c>
      <c r="D1035" s="13" t="s">
        <v>7203</v>
      </c>
      <c r="E1035" s="13" t="s">
        <v>4811</v>
      </c>
      <c r="F1035" s="373">
        <f t="shared" si="436"/>
        <v>24.75</v>
      </c>
      <c r="G1035" s="430">
        <v>24.75</v>
      </c>
      <c r="H1035" s="399">
        <f t="shared" si="437"/>
        <v>19.8</v>
      </c>
      <c r="I1035" s="576"/>
      <c r="J1035" s="549" t="s">
        <v>5804</v>
      </c>
      <c r="K1035" s="11"/>
      <c r="L1035"/>
      <c r="M1035" s="37">
        <f t="shared" si="438"/>
        <v>24.75</v>
      </c>
      <c r="N1035" s="29">
        <v>9.75</v>
      </c>
      <c r="O1035" s="149" t="s">
        <v>1017</v>
      </c>
      <c r="P1035" s="144"/>
      <c r="S1035" s="145" t="s">
        <v>4179</v>
      </c>
      <c r="T1035" s="145" t="s">
        <v>4179</v>
      </c>
      <c r="U1035" s="146" t="s">
        <v>1017</v>
      </c>
      <c r="W1035" s="147"/>
      <c r="X1035" s="147"/>
      <c r="Z1035" s="147"/>
      <c r="AC1035" s="147"/>
      <c r="AD1035" s="145" t="s">
        <v>1017</v>
      </c>
      <c r="AE1035" s="148" t="s">
        <v>1017</v>
      </c>
      <c r="AF1035" s="147"/>
      <c r="AG1035" s="147"/>
      <c r="AH1035" s="166" t="str">
        <f t="shared" si="440"/>
        <v/>
      </c>
      <c r="AI1035" s="168" t="str">
        <f t="shared" si="431"/>
        <v/>
      </c>
      <c r="AJ1035" s="168" t="str">
        <f t="shared" si="432"/>
        <v/>
      </c>
      <c r="AK1035" s="168" t="str">
        <f t="shared" si="433"/>
        <v/>
      </c>
      <c r="AL1035" s="168" t="str">
        <f t="shared" si="434"/>
        <v/>
      </c>
      <c r="AM1035" s="168" t="str">
        <f t="shared" si="435"/>
        <v/>
      </c>
      <c r="AN1035" s="167" t="str">
        <f t="shared" si="418"/>
        <v/>
      </c>
      <c r="AO1035" s="167" t="str">
        <f t="shared" si="419"/>
        <v/>
      </c>
      <c r="AP1035" s="167" t="str">
        <f t="shared" si="420"/>
        <v/>
      </c>
      <c r="AQ1035" s="169" t="str">
        <f t="shared" si="421"/>
        <v/>
      </c>
      <c r="AR1035" s="170" t="str">
        <f t="shared" si="422"/>
        <v>BiK82X2bKWKy05</v>
      </c>
      <c r="AS1035" s="169" t="str">
        <f t="shared" si="423"/>
        <v/>
      </c>
      <c r="AT1035">
        <f t="shared" si="424"/>
        <v>14</v>
      </c>
      <c r="AU1035" s="170" t="str">
        <f t="shared" si="425"/>
        <v>0,15-0,5 MW, Bonusregeln X2, y, b und KWK</v>
      </c>
      <c r="AV1035" s="169" t="str">
        <f t="shared" si="426"/>
        <v/>
      </c>
      <c r="AW1035" s="170" t="str">
        <f t="shared" si="427"/>
        <v>Anteil KWK</v>
      </c>
      <c r="AX1035" s="169" t="str">
        <f t="shared" si="428"/>
        <v/>
      </c>
      <c r="AY1035" t="str">
        <f t="shared" si="429"/>
        <v/>
      </c>
      <c r="AZ1035" t="str">
        <f t="shared" si="430"/>
        <v/>
      </c>
    </row>
    <row r="1036" spans="1:52" s="145" customFormat="1" x14ac:dyDescent="0.35">
      <c r="A1036" s="497" t="s">
        <v>4417</v>
      </c>
      <c r="B1036" s="13" t="s">
        <v>5547</v>
      </c>
      <c r="C1036" s="13" t="s">
        <v>1288</v>
      </c>
      <c r="D1036" s="88" t="s">
        <v>7204</v>
      </c>
      <c r="E1036" s="13" t="s">
        <v>4330</v>
      </c>
      <c r="F1036" s="373">
        <f t="shared" si="436"/>
        <v>25.75</v>
      </c>
      <c r="G1036" s="430">
        <v>25.75</v>
      </c>
      <c r="H1036" s="399">
        <f t="shared" si="437"/>
        <v>20.6</v>
      </c>
      <c r="I1036" s="576"/>
      <c r="J1036" s="549" t="s">
        <v>5804</v>
      </c>
      <c r="K1036" s="11"/>
      <c r="L1036"/>
      <c r="M1036" s="37">
        <f t="shared" si="438"/>
        <v>25.75</v>
      </c>
      <c r="N1036" s="29">
        <v>9.75</v>
      </c>
      <c r="O1036" s="149"/>
      <c r="P1036" s="145" t="s">
        <v>1017</v>
      </c>
      <c r="S1036" s="145" t="s">
        <v>4179</v>
      </c>
      <c r="T1036" s="145" t="s">
        <v>4179</v>
      </c>
      <c r="U1036" s="146" t="s">
        <v>1017</v>
      </c>
      <c r="W1036" s="147"/>
      <c r="X1036" s="147"/>
      <c r="Z1036" s="147"/>
      <c r="AC1036" s="147"/>
      <c r="AD1036" s="145" t="s">
        <v>1017</v>
      </c>
      <c r="AE1036" s="148" t="s">
        <v>1017</v>
      </c>
      <c r="AF1036" s="147"/>
      <c r="AG1036" s="147"/>
      <c r="AH1036" s="166" t="str">
        <f t="shared" si="440"/>
        <v/>
      </c>
      <c r="AI1036" s="168" t="str">
        <f t="shared" si="431"/>
        <v/>
      </c>
      <c r="AJ1036" s="168" t="str">
        <f t="shared" si="432"/>
        <v/>
      </c>
      <c r="AK1036" s="168" t="str">
        <f t="shared" si="433"/>
        <v/>
      </c>
      <c r="AL1036" s="168" t="str">
        <f t="shared" si="434"/>
        <v/>
      </c>
      <c r="AM1036" s="168" t="str">
        <f t="shared" si="435"/>
        <v/>
      </c>
      <c r="AN1036" s="167" t="str">
        <f t="shared" si="418"/>
        <v/>
      </c>
      <c r="AO1036" s="167" t="str">
        <f t="shared" si="419"/>
        <v/>
      </c>
      <c r="AP1036" s="167" t="str">
        <f t="shared" si="420"/>
        <v/>
      </c>
      <c r="AQ1036" s="169" t="str">
        <f t="shared" si="421"/>
        <v/>
      </c>
      <c r="AR1036" s="170" t="str">
        <f t="shared" si="422"/>
        <v>BiK82X2bKA3y05</v>
      </c>
      <c r="AS1036" s="169" t="str">
        <f t="shared" si="423"/>
        <v/>
      </c>
      <c r="AT1036">
        <f t="shared" si="424"/>
        <v>14</v>
      </c>
      <c r="AU1036" s="170" t="str">
        <f t="shared" si="425"/>
        <v>0,15-0,5 MW, Bonusregeln X2, y, b und K wenn Anlage 3 erfüllt</v>
      </c>
      <c r="AV1036" s="169" t="str">
        <f t="shared" si="426"/>
        <v/>
      </c>
      <c r="AW1036" s="170" t="str">
        <f t="shared" si="427"/>
        <v>Anteil KWK gemäß Anlage 3</v>
      </c>
      <c r="AX1036" s="169" t="str">
        <f t="shared" si="428"/>
        <v/>
      </c>
      <c r="AY1036" t="str">
        <f t="shared" si="429"/>
        <v/>
      </c>
      <c r="AZ1036" t="str">
        <f t="shared" si="430"/>
        <v/>
      </c>
    </row>
    <row r="1037" spans="1:52" s="145" customFormat="1" x14ac:dyDescent="0.35">
      <c r="A1037" s="497" t="s">
        <v>4418</v>
      </c>
      <c r="B1037" s="13" t="s">
        <v>5547</v>
      </c>
      <c r="C1037" s="13" t="s">
        <v>1288</v>
      </c>
      <c r="D1037" s="13" t="s">
        <v>7205</v>
      </c>
      <c r="E1037" s="13" t="s">
        <v>674</v>
      </c>
      <c r="F1037" s="373">
        <f t="shared" si="436"/>
        <v>25.75</v>
      </c>
      <c r="G1037" s="430">
        <v>25.75</v>
      </c>
      <c r="H1037" s="399">
        <f t="shared" si="437"/>
        <v>20.6</v>
      </c>
      <c r="I1037" s="576"/>
      <c r="J1037" s="549" t="s">
        <v>5804</v>
      </c>
      <c r="K1037" s="11"/>
      <c r="L1037"/>
      <c r="M1037" s="37">
        <f t="shared" si="438"/>
        <v>25.75</v>
      </c>
      <c r="N1037" s="29">
        <v>9.75</v>
      </c>
      <c r="O1037" s="149"/>
      <c r="P1037" s="144"/>
      <c r="Q1037" s="145" t="s">
        <v>1017</v>
      </c>
      <c r="S1037" s="145" t="s">
        <v>4179</v>
      </c>
      <c r="T1037" s="145" t="s">
        <v>4179</v>
      </c>
      <c r="U1037" s="146" t="s">
        <v>1017</v>
      </c>
      <c r="W1037" s="147"/>
      <c r="X1037" s="147"/>
      <c r="Z1037" s="147"/>
      <c r="AC1037" s="147"/>
      <c r="AD1037" s="145" t="s">
        <v>1017</v>
      </c>
      <c r="AE1037" s="148" t="s">
        <v>1017</v>
      </c>
      <c r="AF1037" s="147"/>
      <c r="AG1037" s="147"/>
      <c r="AH1037" s="166" t="str">
        <f t="shared" si="440"/>
        <v/>
      </c>
      <c r="AI1037" s="168" t="str">
        <f t="shared" si="431"/>
        <v/>
      </c>
      <c r="AJ1037" s="168" t="str">
        <f t="shared" si="432"/>
        <v/>
      </c>
      <c r="AK1037" s="168" t="str">
        <f t="shared" si="433"/>
        <v/>
      </c>
      <c r="AL1037" s="168" t="str">
        <f t="shared" si="434"/>
        <v/>
      </c>
      <c r="AM1037" s="168" t="str">
        <f t="shared" si="435"/>
        <v/>
      </c>
      <c r="AN1037" s="167" t="str">
        <f t="shared" si="418"/>
        <v/>
      </c>
      <c r="AO1037" s="167" t="str">
        <f t="shared" si="419"/>
        <v/>
      </c>
      <c r="AP1037" s="167" t="str">
        <f t="shared" si="420"/>
        <v/>
      </c>
      <c r="AQ1037" s="169" t="str">
        <f t="shared" si="421"/>
        <v/>
      </c>
      <c r="AR1037" s="170" t="str">
        <f t="shared" si="422"/>
        <v>BiK82X2bK09y05</v>
      </c>
      <c r="AS1037" s="169" t="str">
        <f t="shared" si="423"/>
        <v/>
      </c>
      <c r="AT1037">
        <f t="shared" si="424"/>
        <v>14</v>
      </c>
      <c r="AU1037" s="170" t="str">
        <f t="shared" si="425"/>
        <v>0,15-0,5 MW, Bonusregeln X2, y, b und K erstmals 2009</v>
      </c>
      <c r="AV1037" s="169" t="str">
        <f t="shared" si="426"/>
        <v/>
      </c>
      <c r="AW1037" s="170" t="str">
        <f t="shared" si="427"/>
        <v>Anteil KWK, erstmals 2009</v>
      </c>
      <c r="AX1037" s="169" t="str">
        <f t="shared" si="428"/>
        <v/>
      </c>
      <c r="AY1037" t="str">
        <f t="shared" si="429"/>
        <v/>
      </c>
      <c r="AZ1037" t="str">
        <f t="shared" si="430"/>
        <v/>
      </c>
    </row>
    <row r="1038" spans="1:52" s="145" customFormat="1" x14ac:dyDescent="0.35">
      <c r="A1038" s="497" t="s">
        <v>3614</v>
      </c>
      <c r="B1038" s="13" t="s">
        <v>5547</v>
      </c>
      <c r="C1038" s="13" t="s">
        <v>1288</v>
      </c>
      <c r="D1038" s="13" t="s">
        <v>7206</v>
      </c>
      <c r="E1038" s="13" t="s">
        <v>3566</v>
      </c>
      <c r="F1038" s="373">
        <f t="shared" si="436"/>
        <v>25.72</v>
      </c>
      <c r="G1038" s="430">
        <v>25.72</v>
      </c>
      <c r="H1038" s="399">
        <f t="shared" si="437"/>
        <v>20.58</v>
      </c>
      <c r="I1038" s="576"/>
      <c r="J1038" s="549" t="s">
        <v>5804</v>
      </c>
      <c r="K1038" s="11"/>
      <c r="L1038"/>
      <c r="M1038" s="37">
        <f t="shared" si="438"/>
        <v>25.72</v>
      </c>
      <c r="N1038" s="29">
        <v>9.75</v>
      </c>
      <c r="O1038" s="149"/>
      <c r="P1038" s="144"/>
      <c r="R1038" s="145" t="s">
        <v>1017</v>
      </c>
      <c r="S1038" s="145" t="s">
        <v>4179</v>
      </c>
      <c r="T1038" s="145" t="s">
        <v>4179</v>
      </c>
      <c r="U1038" s="146" t="s">
        <v>1017</v>
      </c>
      <c r="W1038" s="147"/>
      <c r="X1038" s="147"/>
      <c r="Z1038" s="147"/>
      <c r="AC1038" s="147"/>
      <c r="AD1038" s="145" t="s">
        <v>1017</v>
      </c>
      <c r="AE1038" s="148" t="s">
        <v>1017</v>
      </c>
      <c r="AF1038" s="147"/>
      <c r="AG1038" s="147"/>
      <c r="AH1038" s="166" t="str">
        <f t="shared" si="440"/>
        <v>2010</v>
      </c>
      <c r="AI1038" s="168" t="str">
        <f t="shared" si="431"/>
        <v/>
      </c>
      <c r="AJ1038" s="168" t="str">
        <f t="shared" si="432"/>
        <v/>
      </c>
      <c r="AK1038" s="168" t="str">
        <f t="shared" si="433"/>
        <v/>
      </c>
      <c r="AL1038" s="168" t="str">
        <f t="shared" si="434"/>
        <v/>
      </c>
      <c r="AM1038" s="168" t="str">
        <f t="shared" si="435"/>
        <v/>
      </c>
      <c r="AN1038" s="167" t="str">
        <f t="shared" si="418"/>
        <v>2010</v>
      </c>
      <c r="AO1038" s="167" t="str">
        <f t="shared" si="419"/>
        <v>2010</v>
      </c>
      <c r="AP1038" s="167" t="str">
        <f t="shared" si="420"/>
        <v>2010</v>
      </c>
      <c r="AQ1038" s="169" t="str">
        <f t="shared" si="421"/>
        <v/>
      </c>
      <c r="AR1038" s="170" t="str">
        <f t="shared" si="422"/>
        <v>BiK82X2bK10y05</v>
      </c>
      <c r="AS1038" s="169" t="str">
        <f t="shared" si="423"/>
        <v/>
      </c>
      <c r="AT1038">
        <f t="shared" si="424"/>
        <v>14</v>
      </c>
      <c r="AU1038" s="170" t="str">
        <f t="shared" si="425"/>
        <v>0,15-0,5 MW, Bonusregeln X2, y, b und K erstmals 2010</v>
      </c>
      <c r="AV1038" s="169" t="str">
        <f t="shared" si="426"/>
        <v/>
      </c>
      <c r="AW1038" s="170" t="str">
        <f t="shared" si="427"/>
        <v>Anteil KWK, erstmals 2010</v>
      </c>
      <c r="AX1038" s="169" t="str">
        <f t="shared" si="428"/>
        <v/>
      </c>
      <c r="AY1038" t="str">
        <f t="shared" si="429"/>
        <v/>
      </c>
      <c r="AZ1038" t="str">
        <f t="shared" si="430"/>
        <v/>
      </c>
    </row>
    <row r="1039" spans="1:52" s="145" customFormat="1" x14ac:dyDescent="0.35">
      <c r="A1039" s="497" t="s">
        <v>5345</v>
      </c>
      <c r="B1039" s="13" t="s">
        <v>5547</v>
      </c>
      <c r="C1039" s="13" t="s">
        <v>1288</v>
      </c>
      <c r="D1039" s="13" t="s">
        <v>7207</v>
      </c>
      <c r="E1039" s="13" t="s">
        <v>3054</v>
      </c>
      <c r="F1039" s="373">
        <f t="shared" si="436"/>
        <v>25.689999999999998</v>
      </c>
      <c r="G1039" s="430">
        <v>25.689999999999998</v>
      </c>
      <c r="H1039" s="399">
        <f t="shared" si="437"/>
        <v>20.55</v>
      </c>
      <c r="I1039" s="576"/>
      <c r="J1039" s="549" t="s">
        <v>5804</v>
      </c>
      <c r="K1039" s="11"/>
      <c r="L1039"/>
      <c r="M1039" s="37">
        <f t="shared" si="438"/>
        <v>25.689999999999998</v>
      </c>
      <c r="N1039" s="29">
        <v>9.75</v>
      </c>
      <c r="O1039" s="149"/>
      <c r="P1039" s="144"/>
      <c r="S1039" s="145" t="s">
        <v>1017</v>
      </c>
      <c r="T1039" s="145" t="s">
        <v>4179</v>
      </c>
      <c r="U1039" s="146" t="s">
        <v>1017</v>
      </c>
      <c r="W1039" s="147"/>
      <c r="X1039" s="147"/>
      <c r="Z1039" s="147"/>
      <c r="AC1039" s="147"/>
      <c r="AD1039" s="145" t="s">
        <v>1017</v>
      </c>
      <c r="AE1039" s="148" t="s">
        <v>1017</v>
      </c>
      <c r="AF1039" s="147"/>
      <c r="AG1039" s="147"/>
      <c r="AH1039" s="166" t="str">
        <f t="shared" si="440"/>
        <v>2011</v>
      </c>
      <c r="AI1039" s="168" t="str">
        <f t="shared" si="431"/>
        <v/>
      </c>
      <c r="AJ1039" s="168" t="str">
        <f t="shared" si="432"/>
        <v/>
      </c>
      <c r="AK1039" s="168" t="str">
        <f t="shared" si="433"/>
        <v/>
      </c>
      <c r="AL1039" s="168" t="str">
        <f t="shared" si="434"/>
        <v/>
      </c>
      <c r="AM1039" s="168" t="str">
        <f t="shared" si="435"/>
        <v/>
      </c>
      <c r="AN1039" s="167" t="str">
        <f t="shared" si="418"/>
        <v>2011</v>
      </c>
      <c r="AO1039" s="167" t="str">
        <f t="shared" si="419"/>
        <v>2011</v>
      </c>
      <c r="AP1039" s="167" t="str">
        <f t="shared" si="420"/>
        <v>2011</v>
      </c>
      <c r="AQ1039" s="169" t="str">
        <f t="shared" si="421"/>
        <v/>
      </c>
      <c r="AR1039" s="170" t="str">
        <f t="shared" si="422"/>
        <v>BiK82X2bK11y05</v>
      </c>
      <c r="AS1039" s="169" t="str">
        <f t="shared" si="423"/>
        <v/>
      </c>
      <c r="AT1039">
        <f t="shared" si="424"/>
        <v>14</v>
      </c>
      <c r="AU1039" s="170" t="str">
        <f t="shared" si="425"/>
        <v>0,15-0,5 MW, Bonusregeln X2, y, b und K erstmals 2011</v>
      </c>
      <c r="AV1039" s="169" t="str">
        <f t="shared" si="426"/>
        <v/>
      </c>
      <c r="AW1039" s="170" t="str">
        <f t="shared" si="427"/>
        <v>Anteil KWK, erstmals 2011</v>
      </c>
      <c r="AX1039" s="169" t="str">
        <f t="shared" si="428"/>
        <v/>
      </c>
      <c r="AY1039" t="str">
        <f t="shared" si="429"/>
        <v>x</v>
      </c>
      <c r="AZ1039" t="str">
        <f t="shared" si="430"/>
        <v/>
      </c>
    </row>
    <row r="1040" spans="1:52" s="145" customFormat="1" x14ac:dyDescent="0.35">
      <c r="A1040" s="511" t="s">
        <v>1596</v>
      </c>
      <c r="B1040" s="173" t="s">
        <v>5547</v>
      </c>
      <c r="C1040" s="173" t="s">
        <v>1288</v>
      </c>
      <c r="D1040" s="173" t="s">
        <v>7208</v>
      </c>
      <c r="E1040" s="173" t="s">
        <v>1980</v>
      </c>
      <c r="F1040" s="374">
        <f t="shared" si="436"/>
        <v>25.66</v>
      </c>
      <c r="G1040" s="431">
        <v>25.66</v>
      </c>
      <c r="H1040" s="400">
        <f t="shared" si="437"/>
        <v>20.53</v>
      </c>
      <c r="I1040" s="577"/>
      <c r="J1040" s="549" t="s">
        <v>5804</v>
      </c>
      <c r="K1040" s="11"/>
      <c r="L1040"/>
      <c r="M1040" s="37">
        <f t="shared" si="438"/>
        <v>25.66</v>
      </c>
      <c r="N1040" s="29">
        <v>9.75</v>
      </c>
      <c r="O1040" s="149"/>
      <c r="P1040" s="144"/>
      <c r="S1040" s="145" t="s">
        <v>4179</v>
      </c>
      <c r="T1040" s="145" t="s">
        <v>1017</v>
      </c>
      <c r="U1040" s="146" t="s">
        <v>1017</v>
      </c>
      <c r="W1040" s="147"/>
      <c r="X1040" s="147"/>
      <c r="Z1040" s="147"/>
      <c r="AC1040" s="147"/>
      <c r="AD1040" s="145" t="s">
        <v>1017</v>
      </c>
      <c r="AE1040" s="148" t="s">
        <v>1017</v>
      </c>
      <c r="AF1040" s="147"/>
      <c r="AG1040" s="147"/>
      <c r="AH1040" s="171" t="s">
        <v>4178</v>
      </c>
      <c r="AI1040" s="168" t="str">
        <f t="shared" si="431"/>
        <v/>
      </c>
      <c r="AJ1040" s="168" t="str">
        <f t="shared" si="432"/>
        <v/>
      </c>
      <c r="AK1040" s="168" t="str">
        <f t="shared" si="433"/>
        <v/>
      </c>
      <c r="AL1040" s="168" t="str">
        <f t="shared" si="434"/>
        <v/>
      </c>
      <c r="AM1040" s="168" t="str">
        <f t="shared" si="435"/>
        <v/>
      </c>
      <c r="AN1040" s="167" t="str">
        <f t="shared" si="418"/>
        <v>2012</v>
      </c>
      <c r="AO1040" s="167" t="str">
        <f t="shared" si="419"/>
        <v>2012</v>
      </c>
      <c r="AP1040" s="167" t="str">
        <f t="shared" si="420"/>
        <v>2012</v>
      </c>
      <c r="AQ1040" s="169" t="str">
        <f t="shared" si="421"/>
        <v/>
      </c>
      <c r="AR1040" s="170" t="str">
        <f t="shared" si="422"/>
        <v>BiK82X2bK12y05</v>
      </c>
      <c r="AS1040" s="169" t="str">
        <f t="shared" si="423"/>
        <v/>
      </c>
      <c r="AT1040">
        <f t="shared" si="424"/>
        <v>14</v>
      </c>
      <c r="AU1040" s="170" t="str">
        <f t="shared" si="425"/>
        <v>0,15-0,5 MW, Bonusregeln X2, y, b und K erstmals 2012</v>
      </c>
      <c r="AV1040" s="169" t="str">
        <f t="shared" si="426"/>
        <v/>
      </c>
      <c r="AW1040" s="170" t="str">
        <f t="shared" si="427"/>
        <v>Anteil KWK, erstmals 2012</v>
      </c>
      <c r="AX1040" s="169" t="str">
        <f t="shared" si="428"/>
        <v/>
      </c>
      <c r="AY1040" t="str">
        <f t="shared" si="429"/>
        <v/>
      </c>
      <c r="AZ1040" t="str">
        <f t="shared" si="430"/>
        <v>x</v>
      </c>
    </row>
    <row r="1041" spans="1:52" s="145" customFormat="1" x14ac:dyDescent="0.35">
      <c r="A1041" s="496" t="s">
        <v>3492</v>
      </c>
      <c r="B1041" s="1" t="s">
        <v>5547</v>
      </c>
      <c r="C1041" s="1" t="s">
        <v>1288</v>
      </c>
      <c r="D1041" s="1" t="s">
        <v>5407</v>
      </c>
      <c r="E1041" s="1" t="s">
        <v>4809</v>
      </c>
      <c r="F1041" s="375">
        <f t="shared" si="436"/>
        <v>8.77</v>
      </c>
      <c r="G1041" s="432">
        <v>8.77</v>
      </c>
      <c r="H1041" s="401">
        <f t="shared" si="437"/>
        <v>7.02</v>
      </c>
      <c r="I1041" s="578"/>
      <c r="J1041" s="549" t="s">
        <v>5804</v>
      </c>
      <c r="K1041" s="11"/>
      <c r="L1041"/>
      <c r="M1041" s="37">
        <f t="shared" si="438"/>
        <v>8.77</v>
      </c>
      <c r="N1041" s="29">
        <v>8.77</v>
      </c>
      <c r="O1041" s="41"/>
      <c r="P1041" s="59"/>
      <c r="Q1041"/>
      <c r="R1041"/>
      <c r="S1041" t="s">
        <v>4179</v>
      </c>
      <c r="T1041" s="145" t="s">
        <v>4179</v>
      </c>
      <c r="U1041" s="60"/>
      <c r="V1041" s="50"/>
      <c r="W1041"/>
      <c r="X1041"/>
      <c r="Y1041" s="50"/>
      <c r="Z1041" s="50"/>
      <c r="AA1041" s="50"/>
      <c r="AB1041" s="50"/>
      <c r="AC1041" s="50"/>
      <c r="AD1041" s="50"/>
      <c r="AE1041" s="75"/>
      <c r="AF1041" s="50"/>
      <c r="AG1041" s="50"/>
      <c r="AH1041" s="166" t="str">
        <f>IF(ISERROR(SEARCH("K erstmals 201",D1041)),"",RIGHT(D1041,4))</f>
        <v/>
      </c>
      <c r="AI1041" s="168" t="str">
        <f t="shared" si="431"/>
        <v/>
      </c>
      <c r="AJ1041" s="168" t="str">
        <f t="shared" si="432"/>
        <v/>
      </c>
      <c r="AK1041" s="168" t="str">
        <f t="shared" si="433"/>
        <v/>
      </c>
      <c r="AL1041" s="168" t="str">
        <f t="shared" si="434"/>
        <v/>
      </c>
      <c r="AM1041" s="168" t="str">
        <f t="shared" si="435"/>
        <v/>
      </c>
      <c r="AN1041" s="167" t="str">
        <f t="shared" si="418"/>
        <v/>
      </c>
      <c r="AO1041" s="167" t="str">
        <f t="shared" si="419"/>
        <v/>
      </c>
      <c r="AP1041" s="167" t="str">
        <f t="shared" si="420"/>
        <v/>
      </c>
      <c r="AQ1041" s="169" t="str">
        <f t="shared" si="421"/>
        <v/>
      </c>
      <c r="AR1041" s="170" t="str">
        <f t="shared" si="422"/>
        <v>BiK83-------05</v>
      </c>
      <c r="AS1041" s="169" t="str">
        <f t="shared" si="423"/>
        <v/>
      </c>
      <c r="AT1041">
        <f t="shared" si="424"/>
        <v>14</v>
      </c>
      <c r="AU1041" s="170" t="str">
        <f t="shared" si="425"/>
        <v>0,5-5 MW</v>
      </c>
      <c r="AV1041" s="169" t="str">
        <f t="shared" si="426"/>
        <v/>
      </c>
      <c r="AW1041" s="170" t="str">
        <f t="shared" si="427"/>
        <v>Anteil Nicht-KWK</v>
      </c>
      <c r="AX1041" s="169" t="str">
        <f t="shared" si="428"/>
        <v/>
      </c>
      <c r="AY1041" t="str">
        <f t="shared" si="429"/>
        <v/>
      </c>
      <c r="AZ1041" t="str">
        <f t="shared" si="430"/>
        <v/>
      </c>
    </row>
    <row r="1042" spans="1:52" s="145" customFormat="1" x14ac:dyDescent="0.35">
      <c r="A1042" s="496" t="s">
        <v>3493</v>
      </c>
      <c r="B1042" s="1" t="s">
        <v>5547</v>
      </c>
      <c r="C1042" s="1" t="s">
        <v>1288</v>
      </c>
      <c r="D1042" s="1" t="s">
        <v>6769</v>
      </c>
      <c r="E1042" s="1" t="s">
        <v>4811</v>
      </c>
      <c r="F1042" s="375">
        <f t="shared" si="436"/>
        <v>10.77</v>
      </c>
      <c r="G1042" s="432">
        <v>10.77</v>
      </c>
      <c r="H1042" s="401">
        <f t="shared" si="437"/>
        <v>8.6199999999999992</v>
      </c>
      <c r="I1042" s="578"/>
      <c r="J1042" s="549" t="s">
        <v>5804</v>
      </c>
      <c r="K1042" s="11"/>
      <c r="L1042"/>
      <c r="M1042" s="37">
        <f t="shared" si="438"/>
        <v>10.77</v>
      </c>
      <c r="N1042" s="29">
        <v>8.77</v>
      </c>
      <c r="O1042" s="41" t="s">
        <v>1017</v>
      </c>
      <c r="P1042" s="59"/>
      <c r="Q1042"/>
      <c r="R1042"/>
      <c r="S1042" t="s">
        <v>4179</v>
      </c>
      <c r="T1042" s="145" t="s">
        <v>4179</v>
      </c>
      <c r="U1042" s="60"/>
      <c r="V1042" s="50"/>
      <c r="W1042"/>
      <c r="X1042"/>
      <c r="Y1042" s="50"/>
      <c r="Z1042" s="50"/>
      <c r="AA1042" s="50"/>
      <c r="AB1042" s="50"/>
      <c r="AC1042" s="50"/>
      <c r="AD1042" s="50"/>
      <c r="AE1042" s="75"/>
      <c r="AF1042" s="50"/>
      <c r="AG1042" s="50"/>
      <c r="AH1042" s="166" t="str">
        <f>IF(ISERROR(SEARCH("K erstmals 201",D1042)),"",RIGHT(D1042,4))</f>
        <v/>
      </c>
      <c r="AI1042" s="168" t="str">
        <f t="shared" si="431"/>
        <v/>
      </c>
      <c r="AJ1042" s="168" t="str">
        <f t="shared" si="432"/>
        <v/>
      </c>
      <c r="AK1042" s="168" t="str">
        <f t="shared" si="433"/>
        <v/>
      </c>
      <c r="AL1042" s="168" t="str">
        <f t="shared" si="434"/>
        <v/>
      </c>
      <c r="AM1042" s="168" t="str">
        <f t="shared" si="435"/>
        <v/>
      </c>
      <c r="AN1042" s="167" t="str">
        <f t="shared" si="418"/>
        <v/>
      </c>
      <c r="AO1042" s="167" t="str">
        <f t="shared" si="419"/>
        <v/>
      </c>
      <c r="AP1042" s="167" t="str">
        <f t="shared" si="420"/>
        <v/>
      </c>
      <c r="AQ1042" s="169" t="str">
        <f t="shared" si="421"/>
        <v/>
      </c>
      <c r="AR1042" s="170" t="str">
        <f t="shared" si="422"/>
        <v>BiK83KWK----05</v>
      </c>
      <c r="AS1042" s="169" t="str">
        <f t="shared" si="423"/>
        <v/>
      </c>
      <c r="AT1042">
        <f t="shared" si="424"/>
        <v>14</v>
      </c>
      <c r="AU1042" s="170" t="str">
        <f t="shared" si="425"/>
        <v>0,5-5 MW, Bonusregel KWK</v>
      </c>
      <c r="AV1042" s="169" t="str">
        <f t="shared" si="426"/>
        <v/>
      </c>
      <c r="AW1042" s="170" t="str">
        <f t="shared" si="427"/>
        <v>Anteil KWK</v>
      </c>
      <c r="AX1042" s="169" t="str">
        <f t="shared" si="428"/>
        <v/>
      </c>
      <c r="AY1042" t="str">
        <f t="shared" si="429"/>
        <v/>
      </c>
      <c r="AZ1042" t="str">
        <f t="shared" si="430"/>
        <v/>
      </c>
    </row>
    <row r="1043" spans="1:52" s="145" customFormat="1" x14ac:dyDescent="0.35">
      <c r="A1043" s="497" t="s">
        <v>2352</v>
      </c>
      <c r="B1043" s="13" t="s">
        <v>5547</v>
      </c>
      <c r="C1043" s="13" t="s">
        <v>1288</v>
      </c>
      <c r="D1043" s="13" t="s">
        <v>6749</v>
      </c>
      <c r="E1043" s="13" t="s">
        <v>674</v>
      </c>
      <c r="F1043" s="373">
        <f t="shared" si="436"/>
        <v>11.77</v>
      </c>
      <c r="G1043" s="430">
        <v>11.77</v>
      </c>
      <c r="H1043" s="399">
        <f t="shared" si="437"/>
        <v>9.42</v>
      </c>
      <c r="I1043" s="576"/>
      <c r="J1043" s="549" t="s">
        <v>5804</v>
      </c>
      <c r="K1043" s="11"/>
      <c r="L1043"/>
      <c r="M1043" s="37">
        <f t="shared" si="438"/>
        <v>11.77</v>
      </c>
      <c r="N1043" s="29">
        <v>8.77</v>
      </c>
      <c r="O1043" s="41"/>
      <c r="P1043" s="59"/>
      <c r="Q1043" t="s">
        <v>1017</v>
      </c>
      <c r="R1043"/>
      <c r="S1043" t="s">
        <v>4179</v>
      </c>
      <c r="T1043" s="145" t="s">
        <v>4179</v>
      </c>
      <c r="U1043" s="60"/>
      <c r="V1043" s="50"/>
      <c r="W1043"/>
      <c r="X1043"/>
      <c r="Y1043" s="50"/>
      <c r="Z1043" s="50"/>
      <c r="AA1043" s="50"/>
      <c r="AB1043" s="50"/>
      <c r="AC1043" s="50"/>
      <c r="AD1043" s="50"/>
      <c r="AE1043" s="75"/>
      <c r="AF1043" s="50"/>
      <c r="AG1043" s="50"/>
      <c r="AH1043" s="166" t="str">
        <f>IF(ISERROR(SEARCH("K erstmals 201",D1043)),"",RIGHT(D1043,4))</f>
        <v/>
      </c>
      <c r="AI1043" s="168" t="str">
        <f t="shared" si="431"/>
        <v/>
      </c>
      <c r="AJ1043" s="168" t="str">
        <f t="shared" si="432"/>
        <v/>
      </c>
      <c r="AK1043" s="168" t="str">
        <f t="shared" si="433"/>
        <v/>
      </c>
      <c r="AL1043" s="168" t="str">
        <f t="shared" si="434"/>
        <v/>
      </c>
      <c r="AM1043" s="168" t="str">
        <f t="shared" si="435"/>
        <v/>
      </c>
      <c r="AN1043" s="167" t="str">
        <f t="shared" si="418"/>
        <v/>
      </c>
      <c r="AO1043" s="167" t="str">
        <f t="shared" si="419"/>
        <v/>
      </c>
      <c r="AP1043" s="167" t="str">
        <f t="shared" si="420"/>
        <v/>
      </c>
      <c r="AQ1043" s="169" t="str">
        <f t="shared" si="421"/>
        <v/>
      </c>
      <c r="AR1043" s="170" t="str">
        <f t="shared" si="422"/>
        <v>BiK83K09----05</v>
      </c>
      <c r="AS1043" s="169" t="str">
        <f t="shared" si="423"/>
        <v/>
      </c>
      <c r="AT1043">
        <f t="shared" si="424"/>
        <v>14</v>
      </c>
      <c r="AU1043" s="170" t="str">
        <f t="shared" si="425"/>
        <v>0,5-5 MW, Bonusregel K erstmals 2009</v>
      </c>
      <c r="AV1043" s="169" t="str">
        <f t="shared" si="426"/>
        <v/>
      </c>
      <c r="AW1043" s="170" t="str">
        <f t="shared" si="427"/>
        <v>Anteil KWK, erstmals 2009</v>
      </c>
      <c r="AX1043" s="169" t="str">
        <f t="shared" si="428"/>
        <v/>
      </c>
      <c r="AY1043" t="str">
        <f t="shared" si="429"/>
        <v/>
      </c>
      <c r="AZ1043" t="str">
        <f t="shared" si="430"/>
        <v/>
      </c>
    </row>
    <row r="1044" spans="1:52" s="145" customFormat="1" x14ac:dyDescent="0.35">
      <c r="A1044" s="497" t="s">
        <v>3615</v>
      </c>
      <c r="B1044" s="13" t="s">
        <v>5547</v>
      </c>
      <c r="C1044" s="13" t="s">
        <v>1288</v>
      </c>
      <c r="D1044" s="13" t="s">
        <v>6750</v>
      </c>
      <c r="E1044" s="13" t="s">
        <v>3566</v>
      </c>
      <c r="F1044" s="373">
        <f t="shared" si="436"/>
        <v>11.74</v>
      </c>
      <c r="G1044" s="430">
        <v>11.74</v>
      </c>
      <c r="H1044" s="399">
        <f t="shared" si="437"/>
        <v>9.39</v>
      </c>
      <c r="I1044" s="576"/>
      <c r="J1044" s="549" t="s">
        <v>5804</v>
      </c>
      <c r="K1044" s="11"/>
      <c r="L1044"/>
      <c r="M1044" s="37">
        <f t="shared" si="438"/>
        <v>11.74</v>
      </c>
      <c r="N1044" s="29">
        <v>8.77</v>
      </c>
      <c r="O1044" s="41"/>
      <c r="P1044" s="59"/>
      <c r="Q1044"/>
      <c r="R1044" t="s">
        <v>1017</v>
      </c>
      <c r="S1044" t="s">
        <v>4179</v>
      </c>
      <c r="T1044" s="145" t="s">
        <v>4179</v>
      </c>
      <c r="U1044" s="60"/>
      <c r="V1044" s="50"/>
      <c r="W1044"/>
      <c r="X1044"/>
      <c r="Y1044" s="50"/>
      <c r="Z1044" s="50"/>
      <c r="AA1044" s="50"/>
      <c r="AB1044" s="50"/>
      <c r="AC1044" s="50"/>
      <c r="AD1044" s="50"/>
      <c r="AE1044" s="75"/>
      <c r="AF1044" s="50"/>
      <c r="AG1044" s="50"/>
      <c r="AH1044" s="166" t="str">
        <f>IF(ISERROR(SEARCH("K erstmals 201",D1044)),"",RIGHT(D1044,4))</f>
        <v>2010</v>
      </c>
      <c r="AI1044" s="168" t="str">
        <f t="shared" si="431"/>
        <v/>
      </c>
      <c r="AJ1044" s="168" t="str">
        <f t="shared" si="432"/>
        <v/>
      </c>
      <c r="AK1044" s="168" t="str">
        <f t="shared" si="433"/>
        <v/>
      </c>
      <c r="AL1044" s="168" t="str">
        <f t="shared" si="434"/>
        <v/>
      </c>
      <c r="AM1044" s="168" t="str">
        <f t="shared" si="435"/>
        <v/>
      </c>
      <c r="AN1044" s="167" t="str">
        <f t="shared" si="418"/>
        <v>2010</v>
      </c>
      <c r="AO1044" s="167" t="str">
        <f t="shared" si="419"/>
        <v>2010</v>
      </c>
      <c r="AP1044" s="167" t="str">
        <f t="shared" si="420"/>
        <v>2010</v>
      </c>
      <c r="AQ1044" s="169" t="str">
        <f t="shared" si="421"/>
        <v/>
      </c>
      <c r="AR1044" s="170" t="str">
        <f t="shared" si="422"/>
        <v>BiK83K10----05</v>
      </c>
      <c r="AS1044" s="169" t="str">
        <f t="shared" si="423"/>
        <v/>
      </c>
      <c r="AT1044">
        <f t="shared" si="424"/>
        <v>14</v>
      </c>
      <c r="AU1044" s="170" t="str">
        <f t="shared" si="425"/>
        <v>0,5-5 MW, Bonusregel K erstmals 2010</v>
      </c>
      <c r="AV1044" s="169" t="str">
        <f t="shared" si="426"/>
        <v/>
      </c>
      <c r="AW1044" s="170" t="str">
        <f t="shared" si="427"/>
        <v>Anteil KWK, erstmals 2010</v>
      </c>
      <c r="AX1044" s="169" t="str">
        <f t="shared" si="428"/>
        <v/>
      </c>
      <c r="AY1044" t="str">
        <f t="shared" si="429"/>
        <v/>
      </c>
      <c r="AZ1044" t="str">
        <f t="shared" si="430"/>
        <v/>
      </c>
    </row>
    <row r="1045" spans="1:52" s="145" customFormat="1" x14ac:dyDescent="0.35">
      <c r="A1045" s="497" t="s">
        <v>5346</v>
      </c>
      <c r="B1045" s="13" t="s">
        <v>5547</v>
      </c>
      <c r="C1045" s="13" t="s">
        <v>1288</v>
      </c>
      <c r="D1045" s="13" t="s">
        <v>6751</v>
      </c>
      <c r="E1045" s="13" t="s">
        <v>3054</v>
      </c>
      <c r="F1045" s="373">
        <f t="shared" si="436"/>
        <v>11.709999999999999</v>
      </c>
      <c r="G1045" s="430">
        <v>11.709999999999999</v>
      </c>
      <c r="H1045" s="399">
        <f t="shared" si="437"/>
        <v>9.3699999999999992</v>
      </c>
      <c r="I1045" s="576"/>
      <c r="J1045" s="549" t="s">
        <v>5804</v>
      </c>
      <c r="K1045" s="11"/>
      <c r="L1045"/>
      <c r="M1045" s="37">
        <f t="shared" si="438"/>
        <v>11.709999999999999</v>
      </c>
      <c r="N1045" s="29">
        <v>8.77</v>
      </c>
      <c r="O1045" s="41"/>
      <c r="P1045" s="59"/>
      <c r="Q1045"/>
      <c r="R1045"/>
      <c r="S1045" t="s">
        <v>1017</v>
      </c>
      <c r="T1045" s="145" t="s">
        <v>4179</v>
      </c>
      <c r="U1045" s="60"/>
      <c r="V1045" s="50"/>
      <c r="W1045"/>
      <c r="X1045"/>
      <c r="Y1045" s="50"/>
      <c r="Z1045" s="50"/>
      <c r="AA1045" s="50"/>
      <c r="AB1045" s="50"/>
      <c r="AC1045" s="50"/>
      <c r="AD1045" s="50"/>
      <c r="AE1045" s="75"/>
      <c r="AF1045" s="50"/>
      <c r="AG1045" s="50"/>
      <c r="AH1045" s="166" t="str">
        <f>IF(ISERROR(SEARCH("K erstmals 201",D1045)),"",RIGHT(D1045,4))</f>
        <v>2011</v>
      </c>
      <c r="AI1045" s="168" t="str">
        <f t="shared" si="431"/>
        <v/>
      </c>
      <c r="AJ1045" s="168" t="str">
        <f t="shared" si="432"/>
        <v/>
      </c>
      <c r="AK1045" s="168" t="str">
        <f t="shared" si="433"/>
        <v/>
      </c>
      <c r="AL1045" s="168" t="str">
        <f t="shared" si="434"/>
        <v/>
      </c>
      <c r="AM1045" s="168" t="str">
        <f t="shared" si="435"/>
        <v/>
      </c>
      <c r="AN1045" s="167" t="str">
        <f t="shared" si="418"/>
        <v>2011</v>
      </c>
      <c r="AO1045" s="167" t="str">
        <f t="shared" si="419"/>
        <v>2011</v>
      </c>
      <c r="AP1045" s="167" t="str">
        <f t="shared" si="420"/>
        <v>2011</v>
      </c>
      <c r="AQ1045" s="169" t="str">
        <f t="shared" si="421"/>
        <v/>
      </c>
      <c r="AR1045" s="170" t="str">
        <f t="shared" si="422"/>
        <v>BiK83K11----05</v>
      </c>
      <c r="AS1045" s="169" t="str">
        <f t="shared" si="423"/>
        <v/>
      </c>
      <c r="AT1045">
        <f t="shared" si="424"/>
        <v>14</v>
      </c>
      <c r="AU1045" s="170" t="str">
        <f t="shared" si="425"/>
        <v>0,5-5 MW, Bonusregel K erstmals 2011</v>
      </c>
      <c r="AV1045" s="169" t="str">
        <f t="shared" si="426"/>
        <v/>
      </c>
      <c r="AW1045" s="170" t="str">
        <f t="shared" si="427"/>
        <v>Anteil KWK, erstmals 2011</v>
      </c>
      <c r="AX1045" s="169" t="str">
        <f t="shared" si="428"/>
        <v/>
      </c>
      <c r="AY1045" t="str">
        <f t="shared" si="429"/>
        <v>x</v>
      </c>
      <c r="AZ1045" t="str">
        <f t="shared" si="430"/>
        <v/>
      </c>
    </row>
    <row r="1046" spans="1:52" s="145" customFormat="1" x14ac:dyDescent="0.35">
      <c r="A1046" s="511" t="s">
        <v>1597</v>
      </c>
      <c r="B1046" s="173" t="s">
        <v>5547</v>
      </c>
      <c r="C1046" s="173" t="s">
        <v>1288</v>
      </c>
      <c r="D1046" s="173" t="s">
        <v>6752</v>
      </c>
      <c r="E1046" s="173" t="s">
        <v>1980</v>
      </c>
      <c r="F1046" s="374">
        <f t="shared" si="436"/>
        <v>11.68</v>
      </c>
      <c r="G1046" s="431">
        <v>11.68</v>
      </c>
      <c r="H1046" s="400">
        <f t="shared" si="437"/>
        <v>9.34</v>
      </c>
      <c r="I1046" s="577"/>
      <c r="J1046" s="549" t="s">
        <v>5804</v>
      </c>
      <c r="K1046" s="11"/>
      <c r="L1046"/>
      <c r="M1046" s="37">
        <f t="shared" si="438"/>
        <v>11.68</v>
      </c>
      <c r="N1046" s="29">
        <v>8.77</v>
      </c>
      <c r="O1046" s="41"/>
      <c r="P1046" s="59"/>
      <c r="Q1046"/>
      <c r="R1046"/>
      <c r="S1046" t="s">
        <v>4179</v>
      </c>
      <c r="T1046" s="145" t="s">
        <v>1017</v>
      </c>
      <c r="U1046" s="60"/>
      <c r="V1046" s="50"/>
      <c r="W1046"/>
      <c r="X1046"/>
      <c r="Y1046" s="50"/>
      <c r="Z1046" s="50"/>
      <c r="AA1046" s="50"/>
      <c r="AB1046" s="50"/>
      <c r="AC1046" s="50"/>
      <c r="AD1046" s="50"/>
      <c r="AE1046" s="75"/>
      <c r="AF1046" s="50"/>
      <c r="AG1046" s="50"/>
      <c r="AH1046" s="171" t="s">
        <v>4178</v>
      </c>
      <c r="AI1046" s="168" t="str">
        <f t="shared" si="431"/>
        <v/>
      </c>
      <c r="AJ1046" s="168" t="str">
        <f t="shared" si="432"/>
        <v/>
      </c>
      <c r="AK1046" s="168" t="str">
        <f t="shared" si="433"/>
        <v/>
      </c>
      <c r="AL1046" s="168" t="str">
        <f t="shared" si="434"/>
        <v/>
      </c>
      <c r="AM1046" s="168" t="str">
        <f t="shared" si="435"/>
        <v/>
      </c>
      <c r="AN1046" s="167" t="str">
        <f t="shared" si="418"/>
        <v>2012</v>
      </c>
      <c r="AO1046" s="167" t="str">
        <f t="shared" si="419"/>
        <v>2012</v>
      </c>
      <c r="AP1046" s="167" t="str">
        <f t="shared" si="420"/>
        <v>2012</v>
      </c>
      <c r="AQ1046" s="169" t="str">
        <f t="shared" si="421"/>
        <v/>
      </c>
      <c r="AR1046" s="170" t="str">
        <f t="shared" si="422"/>
        <v>BiK83K12----05</v>
      </c>
      <c r="AS1046" s="169" t="str">
        <f t="shared" si="423"/>
        <v/>
      </c>
      <c r="AT1046">
        <f t="shared" si="424"/>
        <v>14</v>
      </c>
      <c r="AU1046" s="170" t="str">
        <f t="shared" si="425"/>
        <v>0,5-5 MW, Bonusregel K erstmals 2012</v>
      </c>
      <c r="AV1046" s="169" t="str">
        <f t="shared" si="426"/>
        <v/>
      </c>
      <c r="AW1046" s="170" t="str">
        <f t="shared" si="427"/>
        <v>Anteil KWK, erstmals 2012</v>
      </c>
      <c r="AX1046" s="169" t="str">
        <f t="shared" si="428"/>
        <v/>
      </c>
      <c r="AY1046" t="str">
        <f t="shared" si="429"/>
        <v/>
      </c>
      <c r="AZ1046" t="str">
        <f t="shared" si="430"/>
        <v>x</v>
      </c>
    </row>
    <row r="1047" spans="1:52" s="145" customFormat="1" x14ac:dyDescent="0.35">
      <c r="A1047" s="496" t="s">
        <v>3494</v>
      </c>
      <c r="B1047" s="1" t="s">
        <v>5547</v>
      </c>
      <c r="C1047" s="1" t="s">
        <v>1288</v>
      </c>
      <c r="D1047" s="1" t="s">
        <v>598</v>
      </c>
      <c r="E1047" s="1" t="s">
        <v>4809</v>
      </c>
      <c r="F1047" s="375">
        <f t="shared" si="436"/>
        <v>12.77</v>
      </c>
      <c r="G1047" s="432">
        <v>12.77</v>
      </c>
      <c r="H1047" s="401">
        <f t="shared" si="437"/>
        <v>10.220000000000001</v>
      </c>
      <c r="I1047" s="578"/>
      <c r="J1047" s="549" t="s">
        <v>5804</v>
      </c>
      <c r="K1047" s="11"/>
      <c r="L1047"/>
      <c r="M1047" s="37">
        <f t="shared" si="438"/>
        <v>12.77</v>
      </c>
      <c r="N1047" s="29">
        <v>8.77</v>
      </c>
      <c r="O1047" s="41"/>
      <c r="P1047" s="59"/>
      <c r="Q1047"/>
      <c r="R1047"/>
      <c r="S1047" t="s">
        <v>4179</v>
      </c>
      <c r="T1047" s="145" t="s">
        <v>4179</v>
      </c>
      <c r="U1047" s="60"/>
      <c r="V1047" s="50"/>
      <c r="W1047" t="s">
        <v>1017</v>
      </c>
      <c r="X1047"/>
      <c r="Y1047" s="50"/>
      <c r="Z1047" s="50"/>
      <c r="AA1047" s="50"/>
      <c r="AB1047" s="50"/>
      <c r="AC1047" s="50"/>
      <c r="AD1047" s="50"/>
      <c r="AE1047" s="75"/>
      <c r="AF1047" s="50"/>
      <c r="AG1047" s="50"/>
      <c r="AH1047" s="166" t="str">
        <f>IF(ISERROR(SEARCH("K erstmals 201",D1047)),"",RIGHT(D1047,4))</f>
        <v/>
      </c>
      <c r="AI1047" s="168" t="str">
        <f t="shared" si="431"/>
        <v/>
      </c>
      <c r="AJ1047" s="168" t="str">
        <f t="shared" si="432"/>
        <v/>
      </c>
      <c r="AK1047" s="168" t="str">
        <f t="shared" si="433"/>
        <v/>
      </c>
      <c r="AL1047" s="168" t="str">
        <f t="shared" si="434"/>
        <v/>
      </c>
      <c r="AM1047" s="168" t="str">
        <f t="shared" si="435"/>
        <v/>
      </c>
      <c r="AN1047" s="167" t="str">
        <f t="shared" si="418"/>
        <v/>
      </c>
      <c r="AO1047" s="167" t="str">
        <f t="shared" si="419"/>
        <v/>
      </c>
      <c r="AP1047" s="167" t="str">
        <f t="shared" si="420"/>
        <v/>
      </c>
      <c r="AQ1047" s="169" t="str">
        <f t="shared" si="421"/>
        <v/>
      </c>
      <c r="AR1047" s="170" t="str">
        <f t="shared" si="422"/>
        <v>BiK83a2-----05</v>
      </c>
      <c r="AS1047" s="169" t="str">
        <f t="shared" si="423"/>
        <v/>
      </c>
      <c r="AT1047">
        <f t="shared" si="424"/>
        <v>14</v>
      </c>
      <c r="AU1047" s="170" t="str">
        <f t="shared" si="425"/>
        <v>0,5-5 MW, Bonusregel a2</v>
      </c>
      <c r="AV1047" s="169" t="str">
        <f t="shared" si="426"/>
        <v/>
      </c>
      <c r="AW1047" s="170" t="str">
        <f t="shared" si="427"/>
        <v>Anteil Nicht-KWK</v>
      </c>
      <c r="AX1047" s="169" t="str">
        <f t="shared" si="428"/>
        <v/>
      </c>
      <c r="AY1047" t="str">
        <f t="shared" si="429"/>
        <v/>
      </c>
      <c r="AZ1047" t="str">
        <f t="shared" si="430"/>
        <v/>
      </c>
    </row>
    <row r="1048" spans="1:52" s="145" customFormat="1" x14ac:dyDescent="0.35">
      <c r="A1048" s="496" t="s">
        <v>3495</v>
      </c>
      <c r="B1048" s="1" t="s">
        <v>5547</v>
      </c>
      <c r="C1048" s="1" t="s">
        <v>1288</v>
      </c>
      <c r="D1048" s="1" t="s">
        <v>6770</v>
      </c>
      <c r="E1048" s="1" t="s">
        <v>4811</v>
      </c>
      <c r="F1048" s="375">
        <f t="shared" si="436"/>
        <v>14.77</v>
      </c>
      <c r="G1048" s="432">
        <v>14.77</v>
      </c>
      <c r="H1048" s="401">
        <f t="shared" si="437"/>
        <v>11.82</v>
      </c>
      <c r="I1048" s="578"/>
      <c r="J1048" s="549" t="s">
        <v>5804</v>
      </c>
      <c r="K1048" s="11"/>
      <c r="L1048"/>
      <c r="M1048" s="37">
        <f t="shared" si="438"/>
        <v>14.77</v>
      </c>
      <c r="N1048" s="29">
        <v>8.77</v>
      </c>
      <c r="O1048" s="41" t="s">
        <v>1017</v>
      </c>
      <c r="P1048" s="59"/>
      <c r="Q1048"/>
      <c r="R1048"/>
      <c r="S1048" t="s">
        <v>4179</v>
      </c>
      <c r="T1048" s="145" t="s">
        <v>4179</v>
      </c>
      <c r="U1048" s="60"/>
      <c r="V1048" s="50"/>
      <c r="W1048" t="s">
        <v>1017</v>
      </c>
      <c r="X1048"/>
      <c r="Y1048" s="50"/>
      <c r="Z1048" s="50"/>
      <c r="AA1048" s="50"/>
      <c r="AB1048" s="50"/>
      <c r="AC1048" s="50"/>
      <c r="AD1048" s="50"/>
      <c r="AE1048" s="75"/>
      <c r="AF1048" s="50"/>
      <c r="AG1048" s="50"/>
      <c r="AH1048" s="166" t="str">
        <f>IF(ISERROR(SEARCH("K erstmals 201",D1048)),"",RIGHT(D1048,4))</f>
        <v/>
      </c>
      <c r="AI1048" s="168" t="str">
        <f t="shared" si="431"/>
        <v/>
      </c>
      <c r="AJ1048" s="168" t="str">
        <f t="shared" si="432"/>
        <v/>
      </c>
      <c r="AK1048" s="168" t="str">
        <f t="shared" si="433"/>
        <v/>
      </c>
      <c r="AL1048" s="168" t="str">
        <f t="shared" si="434"/>
        <v/>
      </c>
      <c r="AM1048" s="168" t="str">
        <f t="shared" si="435"/>
        <v/>
      </c>
      <c r="AN1048" s="167" t="str">
        <f t="shared" si="418"/>
        <v/>
      </c>
      <c r="AO1048" s="167" t="str">
        <f t="shared" si="419"/>
        <v/>
      </c>
      <c r="AP1048" s="167" t="str">
        <f t="shared" si="420"/>
        <v/>
      </c>
      <c r="AQ1048" s="169" t="str">
        <f t="shared" si="421"/>
        <v/>
      </c>
      <c r="AR1048" s="170" t="str">
        <f t="shared" si="422"/>
        <v>BiK83a2KWK--05</v>
      </c>
      <c r="AS1048" s="169" t="str">
        <f t="shared" si="423"/>
        <v/>
      </c>
      <c r="AT1048">
        <f t="shared" si="424"/>
        <v>14</v>
      </c>
      <c r="AU1048" s="170" t="str">
        <f t="shared" si="425"/>
        <v>0,5-5 MW, Bonusregel a2 und KWK</v>
      </c>
      <c r="AV1048" s="169" t="str">
        <f t="shared" si="426"/>
        <v/>
      </c>
      <c r="AW1048" s="170" t="str">
        <f t="shared" si="427"/>
        <v>Anteil KWK</v>
      </c>
      <c r="AX1048" s="169" t="str">
        <f t="shared" si="428"/>
        <v/>
      </c>
      <c r="AY1048" t="str">
        <f t="shared" si="429"/>
        <v/>
      </c>
      <c r="AZ1048" t="str">
        <f t="shared" si="430"/>
        <v/>
      </c>
    </row>
    <row r="1049" spans="1:52" s="145" customFormat="1" x14ac:dyDescent="0.35">
      <c r="A1049" s="497" t="s">
        <v>2353</v>
      </c>
      <c r="B1049" s="13" t="s">
        <v>5547</v>
      </c>
      <c r="C1049" s="13" t="s">
        <v>1288</v>
      </c>
      <c r="D1049" s="13" t="s">
        <v>6771</v>
      </c>
      <c r="E1049" s="13" t="s">
        <v>674</v>
      </c>
      <c r="F1049" s="373">
        <f t="shared" si="436"/>
        <v>15.77</v>
      </c>
      <c r="G1049" s="430">
        <v>15.77</v>
      </c>
      <c r="H1049" s="399">
        <f t="shared" si="437"/>
        <v>12.62</v>
      </c>
      <c r="I1049" s="576"/>
      <c r="J1049" s="549" t="s">
        <v>5804</v>
      </c>
      <c r="K1049" s="11"/>
      <c r="L1049"/>
      <c r="M1049" s="37">
        <f t="shared" si="438"/>
        <v>15.77</v>
      </c>
      <c r="N1049" s="29">
        <v>8.77</v>
      </c>
      <c r="O1049" s="41"/>
      <c r="P1049" s="59"/>
      <c r="Q1049" t="s">
        <v>1017</v>
      </c>
      <c r="R1049"/>
      <c r="S1049" t="s">
        <v>4179</v>
      </c>
      <c r="T1049" s="145" t="s">
        <v>4179</v>
      </c>
      <c r="U1049" s="60"/>
      <c r="V1049" s="50"/>
      <c r="W1049" t="s">
        <v>1017</v>
      </c>
      <c r="X1049"/>
      <c r="Y1049" s="50"/>
      <c r="Z1049" s="50"/>
      <c r="AA1049" s="50"/>
      <c r="AB1049" s="50"/>
      <c r="AC1049" s="50"/>
      <c r="AD1049" s="50"/>
      <c r="AE1049" s="75"/>
      <c r="AF1049" s="50"/>
      <c r="AG1049" s="50"/>
      <c r="AH1049" s="166" t="str">
        <f>IF(ISERROR(SEARCH("K erstmals 201",D1049)),"",RIGHT(D1049,4))</f>
        <v/>
      </c>
      <c r="AI1049" s="168" t="str">
        <f t="shared" si="431"/>
        <v/>
      </c>
      <c r="AJ1049" s="168" t="str">
        <f t="shared" si="432"/>
        <v/>
      </c>
      <c r="AK1049" s="168" t="str">
        <f t="shared" si="433"/>
        <v/>
      </c>
      <c r="AL1049" s="168" t="str">
        <f t="shared" si="434"/>
        <v/>
      </c>
      <c r="AM1049" s="168" t="str">
        <f t="shared" si="435"/>
        <v/>
      </c>
      <c r="AN1049" s="167" t="str">
        <f t="shared" si="418"/>
        <v/>
      </c>
      <c r="AO1049" s="167" t="str">
        <f t="shared" si="419"/>
        <v/>
      </c>
      <c r="AP1049" s="167" t="str">
        <f t="shared" si="420"/>
        <v/>
      </c>
      <c r="AQ1049" s="169" t="str">
        <f t="shared" si="421"/>
        <v/>
      </c>
      <c r="AR1049" s="170" t="str">
        <f t="shared" si="422"/>
        <v>BiK83a2K09--05</v>
      </c>
      <c r="AS1049" s="169" t="str">
        <f t="shared" si="423"/>
        <v/>
      </c>
      <c r="AT1049">
        <f t="shared" si="424"/>
        <v>14</v>
      </c>
      <c r="AU1049" s="170" t="str">
        <f t="shared" si="425"/>
        <v>0,5-5 MW, Bonusregeln a2 und K erstmals 2009</v>
      </c>
      <c r="AV1049" s="169" t="str">
        <f t="shared" si="426"/>
        <v/>
      </c>
      <c r="AW1049" s="170" t="str">
        <f t="shared" si="427"/>
        <v>Anteil KWK, erstmals 2009</v>
      </c>
      <c r="AX1049" s="169" t="str">
        <f t="shared" si="428"/>
        <v/>
      </c>
      <c r="AY1049" t="str">
        <f t="shared" si="429"/>
        <v/>
      </c>
      <c r="AZ1049" t="str">
        <f t="shared" si="430"/>
        <v/>
      </c>
    </row>
    <row r="1050" spans="1:52" s="145" customFormat="1" x14ac:dyDescent="0.35">
      <c r="A1050" s="497" t="s">
        <v>3616</v>
      </c>
      <c r="B1050" s="13" t="s">
        <v>5547</v>
      </c>
      <c r="C1050" s="13" t="s">
        <v>1288</v>
      </c>
      <c r="D1050" s="13" t="s">
        <v>6772</v>
      </c>
      <c r="E1050" s="13" t="s">
        <v>3566</v>
      </c>
      <c r="F1050" s="373">
        <f t="shared" si="436"/>
        <v>15.74</v>
      </c>
      <c r="G1050" s="430">
        <v>15.74</v>
      </c>
      <c r="H1050" s="399">
        <f t="shared" si="437"/>
        <v>12.59</v>
      </c>
      <c r="I1050" s="576"/>
      <c r="J1050" s="549" t="s">
        <v>5804</v>
      </c>
      <c r="K1050" s="11"/>
      <c r="L1050"/>
      <c r="M1050" s="37">
        <f t="shared" si="438"/>
        <v>15.74</v>
      </c>
      <c r="N1050" s="29">
        <v>8.77</v>
      </c>
      <c r="O1050" s="41"/>
      <c r="P1050" s="59"/>
      <c r="Q1050"/>
      <c r="R1050" t="s">
        <v>1017</v>
      </c>
      <c r="S1050" t="s">
        <v>4179</v>
      </c>
      <c r="T1050" s="145" t="s">
        <v>4179</v>
      </c>
      <c r="U1050" s="60"/>
      <c r="V1050" s="50"/>
      <c r="W1050" t="s">
        <v>1017</v>
      </c>
      <c r="X1050"/>
      <c r="Y1050" s="50"/>
      <c r="Z1050" s="50"/>
      <c r="AA1050" s="50"/>
      <c r="AB1050" s="50"/>
      <c r="AC1050" s="50"/>
      <c r="AD1050" s="50"/>
      <c r="AE1050" s="75"/>
      <c r="AF1050" s="50"/>
      <c r="AG1050" s="50"/>
      <c r="AH1050" s="166" t="str">
        <f>IF(ISERROR(SEARCH("K erstmals 201",D1050)),"",RIGHT(D1050,4))</f>
        <v>2010</v>
      </c>
      <c r="AI1050" s="168" t="str">
        <f t="shared" si="431"/>
        <v/>
      </c>
      <c r="AJ1050" s="168" t="str">
        <f t="shared" si="432"/>
        <v/>
      </c>
      <c r="AK1050" s="168" t="str">
        <f t="shared" si="433"/>
        <v/>
      </c>
      <c r="AL1050" s="168" t="str">
        <f t="shared" si="434"/>
        <v/>
      </c>
      <c r="AM1050" s="168" t="str">
        <f t="shared" si="435"/>
        <v/>
      </c>
      <c r="AN1050" s="167" t="str">
        <f t="shared" si="418"/>
        <v>2010</v>
      </c>
      <c r="AO1050" s="167" t="str">
        <f t="shared" si="419"/>
        <v>2010</v>
      </c>
      <c r="AP1050" s="167" t="str">
        <f t="shared" si="420"/>
        <v>2010</v>
      </c>
      <c r="AQ1050" s="169" t="str">
        <f t="shared" si="421"/>
        <v/>
      </c>
      <c r="AR1050" s="170" t="str">
        <f t="shared" si="422"/>
        <v>BiK83a2K10--05</v>
      </c>
      <c r="AS1050" s="169" t="str">
        <f t="shared" si="423"/>
        <v/>
      </c>
      <c r="AT1050">
        <f t="shared" si="424"/>
        <v>14</v>
      </c>
      <c r="AU1050" s="170" t="str">
        <f t="shared" si="425"/>
        <v>0,5-5 MW, Bonusregeln a2 und K erstmals 2010</v>
      </c>
      <c r="AV1050" s="169" t="str">
        <f t="shared" si="426"/>
        <v/>
      </c>
      <c r="AW1050" s="170" t="str">
        <f t="shared" si="427"/>
        <v>Anteil KWK, erstmals 2010</v>
      </c>
      <c r="AX1050" s="169" t="str">
        <f t="shared" si="428"/>
        <v/>
      </c>
      <c r="AY1050" t="str">
        <f t="shared" si="429"/>
        <v/>
      </c>
      <c r="AZ1050" t="str">
        <f t="shared" si="430"/>
        <v/>
      </c>
    </row>
    <row r="1051" spans="1:52" s="145" customFormat="1" x14ac:dyDescent="0.35">
      <c r="A1051" s="497" t="s">
        <v>5347</v>
      </c>
      <c r="B1051" s="13" t="s">
        <v>5547</v>
      </c>
      <c r="C1051" s="13" t="s">
        <v>1288</v>
      </c>
      <c r="D1051" s="13" t="s">
        <v>6773</v>
      </c>
      <c r="E1051" s="13" t="s">
        <v>3054</v>
      </c>
      <c r="F1051" s="373">
        <f t="shared" si="436"/>
        <v>15.709999999999999</v>
      </c>
      <c r="G1051" s="430">
        <v>15.709999999999999</v>
      </c>
      <c r="H1051" s="399">
        <f t="shared" si="437"/>
        <v>12.57</v>
      </c>
      <c r="I1051" s="576"/>
      <c r="J1051" s="549" t="s">
        <v>5804</v>
      </c>
      <c r="K1051" s="11"/>
      <c r="L1051"/>
      <c r="M1051" s="37">
        <f t="shared" si="438"/>
        <v>15.709999999999999</v>
      </c>
      <c r="N1051" s="29">
        <v>8.77</v>
      </c>
      <c r="O1051" s="41"/>
      <c r="P1051" s="59"/>
      <c r="Q1051"/>
      <c r="R1051"/>
      <c r="S1051" t="s">
        <v>1017</v>
      </c>
      <c r="T1051" s="145" t="s">
        <v>4179</v>
      </c>
      <c r="U1051" s="60"/>
      <c r="V1051" s="50"/>
      <c r="W1051" t="s">
        <v>1017</v>
      </c>
      <c r="X1051"/>
      <c r="Y1051" s="50"/>
      <c r="Z1051" s="50"/>
      <c r="AA1051" s="50"/>
      <c r="AB1051" s="50"/>
      <c r="AC1051" s="50"/>
      <c r="AD1051" s="50"/>
      <c r="AE1051" s="75"/>
      <c r="AF1051" s="50"/>
      <c r="AG1051" s="50"/>
      <c r="AH1051" s="166" t="str">
        <f>IF(ISERROR(SEARCH("K erstmals 201",D1051)),"",RIGHT(D1051,4))</f>
        <v>2011</v>
      </c>
      <c r="AI1051" s="168" t="str">
        <f t="shared" si="431"/>
        <v/>
      </c>
      <c r="AJ1051" s="168" t="str">
        <f t="shared" si="432"/>
        <v/>
      </c>
      <c r="AK1051" s="168" t="str">
        <f t="shared" si="433"/>
        <v/>
      </c>
      <c r="AL1051" s="168" t="str">
        <f t="shared" si="434"/>
        <v/>
      </c>
      <c r="AM1051" s="168" t="str">
        <f t="shared" si="435"/>
        <v/>
      </c>
      <c r="AN1051" s="167" t="str">
        <f t="shared" si="418"/>
        <v>2011</v>
      </c>
      <c r="AO1051" s="167" t="str">
        <f t="shared" si="419"/>
        <v>2011</v>
      </c>
      <c r="AP1051" s="167" t="str">
        <f t="shared" si="420"/>
        <v>2011</v>
      </c>
      <c r="AQ1051" s="169" t="str">
        <f t="shared" si="421"/>
        <v/>
      </c>
      <c r="AR1051" s="170" t="str">
        <f t="shared" si="422"/>
        <v>BiK83a2K11--05</v>
      </c>
      <c r="AS1051" s="169" t="str">
        <f t="shared" si="423"/>
        <v/>
      </c>
      <c r="AT1051">
        <f t="shared" si="424"/>
        <v>14</v>
      </c>
      <c r="AU1051" s="170" t="str">
        <f t="shared" si="425"/>
        <v>0,5-5 MW, Bonusregeln a2 und K erstmals 2011</v>
      </c>
      <c r="AV1051" s="169" t="str">
        <f t="shared" si="426"/>
        <v/>
      </c>
      <c r="AW1051" s="170" t="str">
        <f t="shared" si="427"/>
        <v>Anteil KWK, erstmals 2011</v>
      </c>
      <c r="AX1051" s="169" t="str">
        <f t="shared" si="428"/>
        <v/>
      </c>
      <c r="AY1051" t="str">
        <f t="shared" si="429"/>
        <v>x</v>
      </c>
      <c r="AZ1051" t="str">
        <f t="shared" si="430"/>
        <v/>
      </c>
    </row>
    <row r="1052" spans="1:52" s="145" customFormat="1" x14ac:dyDescent="0.35">
      <c r="A1052" s="511" t="s">
        <v>1598</v>
      </c>
      <c r="B1052" s="173" t="s">
        <v>5547</v>
      </c>
      <c r="C1052" s="173" t="s">
        <v>1288</v>
      </c>
      <c r="D1052" s="173" t="s">
        <v>6774</v>
      </c>
      <c r="E1052" s="173" t="s">
        <v>1980</v>
      </c>
      <c r="F1052" s="374">
        <f t="shared" si="436"/>
        <v>15.68</v>
      </c>
      <c r="G1052" s="431">
        <v>15.68</v>
      </c>
      <c r="H1052" s="400">
        <f t="shared" si="437"/>
        <v>12.54</v>
      </c>
      <c r="I1052" s="577"/>
      <c r="J1052" s="549" t="s">
        <v>5804</v>
      </c>
      <c r="K1052" s="11"/>
      <c r="L1052"/>
      <c r="M1052" s="37">
        <f t="shared" si="438"/>
        <v>15.68</v>
      </c>
      <c r="N1052" s="29">
        <v>8.77</v>
      </c>
      <c r="O1052" s="41"/>
      <c r="P1052" s="59"/>
      <c r="Q1052"/>
      <c r="R1052"/>
      <c r="S1052" t="s">
        <v>4179</v>
      </c>
      <c r="T1052" s="145" t="s">
        <v>1017</v>
      </c>
      <c r="U1052" s="60"/>
      <c r="V1052" s="50"/>
      <c r="W1052" t="s">
        <v>1017</v>
      </c>
      <c r="X1052"/>
      <c r="Y1052" s="50"/>
      <c r="Z1052" s="50"/>
      <c r="AA1052" s="50"/>
      <c r="AB1052" s="50"/>
      <c r="AC1052" s="50"/>
      <c r="AD1052" s="50"/>
      <c r="AE1052" s="75"/>
      <c r="AF1052" s="50"/>
      <c r="AG1052" s="50"/>
      <c r="AH1052" s="171" t="s">
        <v>4178</v>
      </c>
      <c r="AI1052" s="168" t="str">
        <f t="shared" si="431"/>
        <v/>
      </c>
      <c r="AJ1052" s="168" t="str">
        <f t="shared" si="432"/>
        <v/>
      </c>
      <c r="AK1052" s="168" t="str">
        <f t="shared" si="433"/>
        <v/>
      </c>
      <c r="AL1052" s="168" t="str">
        <f t="shared" si="434"/>
        <v/>
      </c>
      <c r="AM1052" s="168" t="str">
        <f t="shared" si="435"/>
        <v/>
      </c>
      <c r="AN1052" s="167" t="str">
        <f t="shared" si="418"/>
        <v>2012</v>
      </c>
      <c r="AO1052" s="167" t="str">
        <f t="shared" si="419"/>
        <v>2012</v>
      </c>
      <c r="AP1052" s="167" t="str">
        <f t="shared" si="420"/>
        <v>2012</v>
      </c>
      <c r="AQ1052" s="169" t="str">
        <f t="shared" si="421"/>
        <v/>
      </c>
      <c r="AR1052" s="170" t="str">
        <f t="shared" si="422"/>
        <v>BiK83a2K12--05</v>
      </c>
      <c r="AS1052" s="169" t="str">
        <f t="shared" si="423"/>
        <v/>
      </c>
      <c r="AT1052">
        <f t="shared" si="424"/>
        <v>14</v>
      </c>
      <c r="AU1052" s="170" t="str">
        <f t="shared" si="425"/>
        <v>0,5-5 MW, Bonusregeln a2 und K erstmals 2012</v>
      </c>
      <c r="AV1052" s="169" t="str">
        <f t="shared" si="426"/>
        <v/>
      </c>
      <c r="AW1052" s="170" t="str">
        <f t="shared" si="427"/>
        <v>Anteil KWK, erstmals 2012</v>
      </c>
      <c r="AX1052" s="169" t="str">
        <f t="shared" si="428"/>
        <v/>
      </c>
      <c r="AY1052" t="str">
        <f t="shared" si="429"/>
        <v/>
      </c>
      <c r="AZ1052" t="str">
        <f t="shared" si="430"/>
        <v>x</v>
      </c>
    </row>
    <row r="1053" spans="1:52" s="145" customFormat="1" x14ac:dyDescent="0.35">
      <c r="A1053" s="496" t="s">
        <v>3496</v>
      </c>
      <c r="B1053" s="1" t="s">
        <v>5547</v>
      </c>
      <c r="C1053" s="1" t="s">
        <v>1288</v>
      </c>
      <c r="D1053" s="1" t="s">
        <v>6757</v>
      </c>
      <c r="E1053" s="1" t="s">
        <v>4809</v>
      </c>
      <c r="F1053" s="375">
        <f t="shared" si="436"/>
        <v>11.27</v>
      </c>
      <c r="G1053" s="432">
        <v>11.27</v>
      </c>
      <c r="H1053" s="401">
        <f t="shared" si="437"/>
        <v>9.02</v>
      </c>
      <c r="I1053" s="578"/>
      <c r="J1053" s="549" t="s">
        <v>5804</v>
      </c>
      <c r="K1053" s="11"/>
      <c r="L1053"/>
      <c r="M1053" s="37">
        <f t="shared" si="438"/>
        <v>11.27</v>
      </c>
      <c r="N1053" s="29">
        <v>8.77</v>
      </c>
      <c r="O1053" s="41"/>
      <c r="P1053" s="59"/>
      <c r="Q1053"/>
      <c r="R1053"/>
      <c r="S1053" t="s">
        <v>4179</v>
      </c>
      <c r="T1053" s="145" t="s">
        <v>4179</v>
      </c>
      <c r="U1053" s="60"/>
      <c r="V1053" s="50"/>
      <c r="W1053"/>
      <c r="X1053" t="s">
        <v>1017</v>
      </c>
      <c r="Y1053" s="50"/>
      <c r="Z1053" s="50"/>
      <c r="AA1053" s="50"/>
      <c r="AB1053" s="50"/>
      <c r="AC1053" s="50"/>
      <c r="AD1053" s="50"/>
      <c r="AE1053" s="75"/>
      <c r="AF1053" s="50"/>
      <c r="AG1053" s="50"/>
      <c r="AH1053" s="166" t="str">
        <f>IF(ISERROR(SEARCH("K erstmals 201",D1053)),"",RIGHT(D1053,4))</f>
        <v/>
      </c>
      <c r="AI1053" s="168" t="str">
        <f t="shared" si="431"/>
        <v/>
      </c>
      <c r="AJ1053" s="168" t="str">
        <f t="shared" si="432"/>
        <v/>
      </c>
      <c r="AK1053" s="168" t="str">
        <f t="shared" si="433"/>
        <v/>
      </c>
      <c r="AL1053" s="168" t="str">
        <f t="shared" si="434"/>
        <v/>
      </c>
      <c r="AM1053" s="168" t="str">
        <f t="shared" si="435"/>
        <v/>
      </c>
      <c r="AN1053" s="167" t="str">
        <f t="shared" si="418"/>
        <v/>
      </c>
      <c r="AO1053" s="167" t="str">
        <f t="shared" si="419"/>
        <v/>
      </c>
      <c r="AP1053" s="167" t="str">
        <f t="shared" si="420"/>
        <v/>
      </c>
      <c r="AQ1053" s="169" t="str">
        <f t="shared" si="421"/>
        <v/>
      </c>
      <c r="AR1053" s="170" t="str">
        <f t="shared" si="422"/>
        <v>BiK83a3-----05</v>
      </c>
      <c r="AS1053" s="169" t="str">
        <f t="shared" si="423"/>
        <v/>
      </c>
      <c r="AT1053">
        <f t="shared" si="424"/>
        <v>14</v>
      </c>
      <c r="AU1053" s="170" t="str">
        <f t="shared" si="425"/>
        <v>0,5-5 MW, Bonusregel a3</v>
      </c>
      <c r="AV1053" s="169" t="str">
        <f t="shared" si="426"/>
        <v/>
      </c>
      <c r="AW1053" s="170" t="str">
        <f t="shared" si="427"/>
        <v>Anteil Nicht-KWK</v>
      </c>
      <c r="AX1053" s="169" t="str">
        <f t="shared" si="428"/>
        <v/>
      </c>
      <c r="AY1053" t="str">
        <f t="shared" si="429"/>
        <v/>
      </c>
      <c r="AZ1053" t="str">
        <f t="shared" si="430"/>
        <v/>
      </c>
    </row>
    <row r="1054" spans="1:52" s="145" customFormat="1" x14ac:dyDescent="0.35">
      <c r="A1054" s="496" t="s">
        <v>3497</v>
      </c>
      <c r="B1054" s="1" t="s">
        <v>5547</v>
      </c>
      <c r="C1054" s="1" t="s">
        <v>1288</v>
      </c>
      <c r="D1054" s="1" t="s">
        <v>6775</v>
      </c>
      <c r="E1054" s="1" t="s">
        <v>4811</v>
      </c>
      <c r="F1054" s="375">
        <f t="shared" si="436"/>
        <v>13.27</v>
      </c>
      <c r="G1054" s="432">
        <v>13.27</v>
      </c>
      <c r="H1054" s="401">
        <f t="shared" si="437"/>
        <v>10.62</v>
      </c>
      <c r="I1054" s="578"/>
      <c r="J1054" s="549" t="s">
        <v>5804</v>
      </c>
      <c r="K1054" s="11"/>
      <c r="L1054"/>
      <c r="M1054" s="37">
        <f t="shared" si="438"/>
        <v>13.27</v>
      </c>
      <c r="N1054" s="29">
        <v>8.77</v>
      </c>
      <c r="O1054" s="41" t="s">
        <v>1017</v>
      </c>
      <c r="P1054" s="59"/>
      <c r="Q1054"/>
      <c r="R1054"/>
      <c r="S1054" t="s">
        <v>4179</v>
      </c>
      <c r="T1054" s="145" t="s">
        <v>4179</v>
      </c>
      <c r="U1054" s="60"/>
      <c r="V1054" s="50"/>
      <c r="W1054"/>
      <c r="X1054" t="s">
        <v>1017</v>
      </c>
      <c r="Y1054" s="50"/>
      <c r="Z1054" s="50"/>
      <c r="AA1054" s="50"/>
      <c r="AB1054" s="50"/>
      <c r="AC1054" s="50"/>
      <c r="AD1054" s="50"/>
      <c r="AE1054" s="75"/>
      <c r="AF1054" s="50"/>
      <c r="AG1054" s="50"/>
      <c r="AH1054" s="166" t="str">
        <f>IF(ISERROR(SEARCH("K erstmals 201",D1054)),"",RIGHT(D1054,4))</f>
        <v/>
      </c>
      <c r="AI1054" s="168" t="str">
        <f t="shared" si="431"/>
        <v/>
      </c>
      <c r="AJ1054" s="168" t="str">
        <f t="shared" si="432"/>
        <v/>
      </c>
      <c r="AK1054" s="168" t="str">
        <f t="shared" si="433"/>
        <v/>
      </c>
      <c r="AL1054" s="168" t="str">
        <f t="shared" si="434"/>
        <v/>
      </c>
      <c r="AM1054" s="168" t="str">
        <f t="shared" si="435"/>
        <v/>
      </c>
      <c r="AN1054" s="167" t="str">
        <f t="shared" si="418"/>
        <v/>
      </c>
      <c r="AO1054" s="167" t="str">
        <f t="shared" si="419"/>
        <v/>
      </c>
      <c r="AP1054" s="167" t="str">
        <f t="shared" si="420"/>
        <v/>
      </c>
      <c r="AQ1054" s="169" t="str">
        <f t="shared" si="421"/>
        <v/>
      </c>
      <c r="AR1054" s="170" t="str">
        <f t="shared" si="422"/>
        <v>BiK83a3KWK--05</v>
      </c>
      <c r="AS1054" s="169" t="str">
        <f t="shared" si="423"/>
        <v/>
      </c>
      <c r="AT1054">
        <f t="shared" si="424"/>
        <v>14</v>
      </c>
      <c r="AU1054" s="170" t="str">
        <f t="shared" si="425"/>
        <v>0,5-5 MW, Bonusregel a3 und KWK</v>
      </c>
      <c r="AV1054" s="169" t="str">
        <f t="shared" si="426"/>
        <v/>
      </c>
      <c r="AW1054" s="170" t="str">
        <f t="shared" si="427"/>
        <v>Anteil KWK</v>
      </c>
      <c r="AX1054" s="169" t="str">
        <f t="shared" si="428"/>
        <v/>
      </c>
      <c r="AY1054" t="str">
        <f t="shared" si="429"/>
        <v/>
      </c>
      <c r="AZ1054" t="str">
        <f t="shared" si="430"/>
        <v/>
      </c>
    </row>
    <row r="1055" spans="1:52" s="145" customFormat="1" x14ac:dyDescent="0.35">
      <c r="A1055" s="497" t="s">
        <v>2354</v>
      </c>
      <c r="B1055" s="13" t="s">
        <v>5547</v>
      </c>
      <c r="C1055" s="13" t="s">
        <v>1288</v>
      </c>
      <c r="D1055" s="13" t="s">
        <v>6776</v>
      </c>
      <c r="E1055" s="13" t="s">
        <v>674</v>
      </c>
      <c r="F1055" s="373">
        <f t="shared" si="436"/>
        <v>14.27</v>
      </c>
      <c r="G1055" s="430">
        <v>14.27</v>
      </c>
      <c r="H1055" s="399">
        <f t="shared" si="437"/>
        <v>11.42</v>
      </c>
      <c r="I1055" s="576"/>
      <c r="J1055" s="549" t="s">
        <v>5804</v>
      </c>
      <c r="K1055" s="11"/>
      <c r="L1055"/>
      <c r="M1055" s="37">
        <f t="shared" si="438"/>
        <v>14.27</v>
      </c>
      <c r="N1055" s="29">
        <v>8.77</v>
      </c>
      <c r="O1055" s="41"/>
      <c r="P1055" s="59"/>
      <c r="Q1055" t="s">
        <v>1017</v>
      </c>
      <c r="R1055"/>
      <c r="S1055" t="s">
        <v>4179</v>
      </c>
      <c r="T1055" s="145" t="s">
        <v>4179</v>
      </c>
      <c r="U1055" s="60"/>
      <c r="V1055" s="50"/>
      <c r="W1055"/>
      <c r="X1055" t="s">
        <v>1017</v>
      </c>
      <c r="Y1055" s="50"/>
      <c r="Z1055" s="50"/>
      <c r="AA1055" s="50"/>
      <c r="AB1055" s="50"/>
      <c r="AC1055" s="50"/>
      <c r="AD1055" s="50"/>
      <c r="AE1055" s="75"/>
      <c r="AF1055" s="50"/>
      <c r="AG1055" s="50"/>
      <c r="AH1055" s="166" t="str">
        <f>IF(ISERROR(SEARCH("K erstmals 201",D1055)),"",RIGHT(D1055,4))</f>
        <v/>
      </c>
      <c r="AI1055" s="168" t="str">
        <f t="shared" si="431"/>
        <v/>
      </c>
      <c r="AJ1055" s="168" t="str">
        <f t="shared" si="432"/>
        <v/>
      </c>
      <c r="AK1055" s="168" t="str">
        <f t="shared" si="433"/>
        <v/>
      </c>
      <c r="AL1055" s="168" t="str">
        <f t="shared" si="434"/>
        <v/>
      </c>
      <c r="AM1055" s="168" t="str">
        <f t="shared" si="435"/>
        <v/>
      </c>
      <c r="AN1055" s="167" t="str">
        <f t="shared" si="418"/>
        <v/>
      </c>
      <c r="AO1055" s="167" t="str">
        <f t="shared" si="419"/>
        <v/>
      </c>
      <c r="AP1055" s="167" t="str">
        <f t="shared" si="420"/>
        <v/>
      </c>
      <c r="AQ1055" s="169" t="str">
        <f t="shared" si="421"/>
        <v/>
      </c>
      <c r="AR1055" s="170" t="str">
        <f t="shared" si="422"/>
        <v>BiK83a3K09--05</v>
      </c>
      <c r="AS1055" s="169" t="str">
        <f t="shared" si="423"/>
        <v/>
      </c>
      <c r="AT1055">
        <f t="shared" si="424"/>
        <v>14</v>
      </c>
      <c r="AU1055" s="170" t="str">
        <f t="shared" si="425"/>
        <v>0,5-5 MW, Bonusregeln a3 und K erstmals 2009</v>
      </c>
      <c r="AV1055" s="169" t="str">
        <f t="shared" si="426"/>
        <v/>
      </c>
      <c r="AW1055" s="170" t="str">
        <f t="shared" si="427"/>
        <v>Anteil KWK, erstmals 2009</v>
      </c>
      <c r="AX1055" s="169" t="str">
        <f t="shared" si="428"/>
        <v/>
      </c>
      <c r="AY1055" t="str">
        <f t="shared" si="429"/>
        <v/>
      </c>
      <c r="AZ1055" t="str">
        <f t="shared" si="430"/>
        <v/>
      </c>
    </row>
    <row r="1056" spans="1:52" s="145" customFormat="1" x14ac:dyDescent="0.35">
      <c r="A1056" s="497" t="s">
        <v>3617</v>
      </c>
      <c r="B1056" s="13" t="s">
        <v>5547</v>
      </c>
      <c r="C1056" s="13" t="s">
        <v>1288</v>
      </c>
      <c r="D1056" s="13" t="s">
        <v>6777</v>
      </c>
      <c r="E1056" s="13" t="s">
        <v>3566</v>
      </c>
      <c r="F1056" s="373">
        <f t="shared" si="436"/>
        <v>14.24</v>
      </c>
      <c r="G1056" s="430">
        <v>14.24</v>
      </c>
      <c r="H1056" s="399">
        <f t="shared" si="437"/>
        <v>11.39</v>
      </c>
      <c r="I1056" s="576"/>
      <c r="J1056" s="549" t="s">
        <v>5804</v>
      </c>
      <c r="K1056" s="11"/>
      <c r="L1056"/>
      <c r="M1056" s="37">
        <f t="shared" si="438"/>
        <v>14.24</v>
      </c>
      <c r="N1056" s="29">
        <v>8.77</v>
      </c>
      <c r="O1056" s="41"/>
      <c r="P1056" s="59"/>
      <c r="Q1056"/>
      <c r="R1056" t="s">
        <v>1017</v>
      </c>
      <c r="S1056" t="s">
        <v>4179</v>
      </c>
      <c r="T1056" s="145" t="s">
        <v>4179</v>
      </c>
      <c r="U1056" s="60"/>
      <c r="V1056" s="50"/>
      <c r="W1056"/>
      <c r="X1056" t="s">
        <v>1017</v>
      </c>
      <c r="Y1056" s="50"/>
      <c r="Z1056" s="50"/>
      <c r="AA1056" s="50"/>
      <c r="AB1056" s="50"/>
      <c r="AC1056" s="50"/>
      <c r="AD1056" s="50"/>
      <c r="AE1056" s="75"/>
      <c r="AF1056" s="50"/>
      <c r="AG1056" s="50"/>
      <c r="AH1056" s="166" t="str">
        <f>IF(ISERROR(SEARCH("K erstmals 201",D1056)),"",RIGHT(D1056,4))</f>
        <v>2010</v>
      </c>
      <c r="AI1056" s="168" t="str">
        <f t="shared" si="431"/>
        <v/>
      </c>
      <c r="AJ1056" s="168" t="str">
        <f t="shared" si="432"/>
        <v/>
      </c>
      <c r="AK1056" s="168" t="str">
        <f t="shared" si="433"/>
        <v/>
      </c>
      <c r="AL1056" s="168" t="str">
        <f t="shared" si="434"/>
        <v/>
      </c>
      <c r="AM1056" s="168" t="str">
        <f t="shared" si="435"/>
        <v/>
      </c>
      <c r="AN1056" s="167" t="str">
        <f t="shared" si="418"/>
        <v>2010</v>
      </c>
      <c r="AO1056" s="167" t="str">
        <f t="shared" si="419"/>
        <v>2010</v>
      </c>
      <c r="AP1056" s="167" t="str">
        <f t="shared" si="420"/>
        <v>2010</v>
      </c>
      <c r="AQ1056" s="169" t="str">
        <f t="shared" si="421"/>
        <v/>
      </c>
      <c r="AR1056" s="170" t="str">
        <f t="shared" si="422"/>
        <v>BiK83a3K10--05</v>
      </c>
      <c r="AS1056" s="169" t="str">
        <f t="shared" si="423"/>
        <v/>
      </c>
      <c r="AT1056">
        <f t="shared" si="424"/>
        <v>14</v>
      </c>
      <c r="AU1056" s="170" t="str">
        <f t="shared" si="425"/>
        <v>0,5-5 MW, Bonusregeln a3 und K erstmals 2010</v>
      </c>
      <c r="AV1056" s="169" t="str">
        <f t="shared" si="426"/>
        <v/>
      </c>
      <c r="AW1056" s="170" t="str">
        <f t="shared" si="427"/>
        <v>Anteil KWK, erstmals 2010</v>
      </c>
      <c r="AX1056" s="169" t="str">
        <f t="shared" si="428"/>
        <v/>
      </c>
      <c r="AY1056" t="str">
        <f t="shared" si="429"/>
        <v/>
      </c>
      <c r="AZ1056" t="str">
        <f t="shared" si="430"/>
        <v/>
      </c>
    </row>
    <row r="1057" spans="1:52" s="145" customFormat="1" x14ac:dyDescent="0.35">
      <c r="A1057" s="497" t="s">
        <v>5348</v>
      </c>
      <c r="B1057" s="13" t="s">
        <v>5547</v>
      </c>
      <c r="C1057" s="13" t="s">
        <v>1288</v>
      </c>
      <c r="D1057" s="13" t="s">
        <v>6778</v>
      </c>
      <c r="E1057" s="13" t="s">
        <v>3054</v>
      </c>
      <c r="F1057" s="373">
        <f t="shared" si="436"/>
        <v>14.209999999999999</v>
      </c>
      <c r="G1057" s="430">
        <v>14.209999999999999</v>
      </c>
      <c r="H1057" s="399">
        <f t="shared" si="437"/>
        <v>11.37</v>
      </c>
      <c r="I1057" s="576"/>
      <c r="J1057" s="549" t="s">
        <v>5804</v>
      </c>
      <c r="K1057" s="11"/>
      <c r="L1057"/>
      <c r="M1057" s="37">
        <f t="shared" si="438"/>
        <v>14.209999999999999</v>
      </c>
      <c r="N1057" s="29">
        <v>8.77</v>
      </c>
      <c r="O1057" s="41"/>
      <c r="P1057" s="59"/>
      <c r="Q1057"/>
      <c r="R1057"/>
      <c r="S1057" t="s">
        <v>1017</v>
      </c>
      <c r="T1057" s="145" t="s">
        <v>4179</v>
      </c>
      <c r="U1057" s="60"/>
      <c r="V1057" s="50"/>
      <c r="W1057"/>
      <c r="X1057" t="s">
        <v>1017</v>
      </c>
      <c r="Y1057" s="50"/>
      <c r="Z1057" s="50"/>
      <c r="AA1057" s="50"/>
      <c r="AB1057" s="50"/>
      <c r="AC1057" s="50"/>
      <c r="AD1057" s="50"/>
      <c r="AE1057" s="75"/>
      <c r="AF1057" s="50"/>
      <c r="AG1057" s="50"/>
      <c r="AH1057" s="166" t="str">
        <f>IF(ISERROR(SEARCH("K erstmals 201",D1057)),"",RIGHT(D1057,4))</f>
        <v>2011</v>
      </c>
      <c r="AI1057" s="168" t="str">
        <f t="shared" si="431"/>
        <v/>
      </c>
      <c r="AJ1057" s="168" t="str">
        <f t="shared" si="432"/>
        <v/>
      </c>
      <c r="AK1057" s="168" t="str">
        <f t="shared" si="433"/>
        <v/>
      </c>
      <c r="AL1057" s="168" t="str">
        <f t="shared" si="434"/>
        <v/>
      </c>
      <c r="AM1057" s="168" t="str">
        <f t="shared" si="435"/>
        <v/>
      </c>
      <c r="AN1057" s="167" t="str">
        <f t="shared" si="418"/>
        <v>2011</v>
      </c>
      <c r="AO1057" s="167" t="str">
        <f t="shared" si="419"/>
        <v>2011</v>
      </c>
      <c r="AP1057" s="167" t="str">
        <f t="shared" si="420"/>
        <v>2011</v>
      </c>
      <c r="AQ1057" s="169" t="str">
        <f t="shared" si="421"/>
        <v/>
      </c>
      <c r="AR1057" s="170" t="str">
        <f t="shared" si="422"/>
        <v>BiK83a3K11--05</v>
      </c>
      <c r="AS1057" s="169" t="str">
        <f t="shared" si="423"/>
        <v/>
      </c>
      <c r="AT1057">
        <f t="shared" si="424"/>
        <v>14</v>
      </c>
      <c r="AU1057" s="170" t="str">
        <f t="shared" si="425"/>
        <v>0,5-5 MW, Bonusregeln a3 und K erstmals 2011</v>
      </c>
      <c r="AV1057" s="169" t="str">
        <f t="shared" si="426"/>
        <v/>
      </c>
      <c r="AW1057" s="170" t="str">
        <f t="shared" si="427"/>
        <v>Anteil KWK, erstmals 2011</v>
      </c>
      <c r="AX1057" s="169" t="str">
        <f t="shared" si="428"/>
        <v/>
      </c>
      <c r="AY1057" t="str">
        <f t="shared" si="429"/>
        <v>x</v>
      </c>
      <c r="AZ1057" t="str">
        <f t="shared" si="430"/>
        <v/>
      </c>
    </row>
    <row r="1058" spans="1:52" s="145" customFormat="1" x14ac:dyDescent="0.35">
      <c r="A1058" s="511" t="s">
        <v>1599</v>
      </c>
      <c r="B1058" s="173" t="s">
        <v>5547</v>
      </c>
      <c r="C1058" s="173" t="s">
        <v>1288</v>
      </c>
      <c r="D1058" s="173" t="s">
        <v>6779</v>
      </c>
      <c r="E1058" s="173" t="s">
        <v>1980</v>
      </c>
      <c r="F1058" s="374">
        <f t="shared" si="436"/>
        <v>14.18</v>
      </c>
      <c r="G1058" s="431">
        <v>14.18</v>
      </c>
      <c r="H1058" s="400">
        <f t="shared" si="437"/>
        <v>11.34</v>
      </c>
      <c r="I1058" s="577"/>
      <c r="J1058" s="549" t="s">
        <v>5804</v>
      </c>
      <c r="K1058" s="11"/>
      <c r="L1058"/>
      <c r="M1058" s="37">
        <f t="shared" si="438"/>
        <v>14.18</v>
      </c>
      <c r="N1058" s="29">
        <v>8.77</v>
      </c>
      <c r="O1058" s="41"/>
      <c r="P1058" s="59"/>
      <c r="Q1058"/>
      <c r="R1058"/>
      <c r="S1058" t="s">
        <v>4179</v>
      </c>
      <c r="T1058" s="145" t="s">
        <v>1017</v>
      </c>
      <c r="U1058" s="60"/>
      <c r="V1058" s="50"/>
      <c r="W1058"/>
      <c r="X1058" t="s">
        <v>1017</v>
      </c>
      <c r="Y1058" s="50"/>
      <c r="Z1058" s="50"/>
      <c r="AA1058" s="50"/>
      <c r="AB1058" s="50"/>
      <c r="AC1058" s="50"/>
      <c r="AD1058" s="50"/>
      <c r="AE1058" s="75"/>
      <c r="AF1058" s="50"/>
      <c r="AG1058" s="50"/>
      <c r="AH1058" s="171" t="s">
        <v>4178</v>
      </c>
      <c r="AI1058" s="168" t="str">
        <f t="shared" si="431"/>
        <v/>
      </c>
      <c r="AJ1058" s="168" t="str">
        <f t="shared" si="432"/>
        <v/>
      </c>
      <c r="AK1058" s="168" t="str">
        <f t="shared" si="433"/>
        <v/>
      </c>
      <c r="AL1058" s="168" t="str">
        <f t="shared" si="434"/>
        <v/>
      </c>
      <c r="AM1058" s="168" t="str">
        <f t="shared" si="435"/>
        <v/>
      </c>
      <c r="AN1058" s="167" t="str">
        <f t="shared" si="418"/>
        <v>2012</v>
      </c>
      <c r="AO1058" s="167" t="str">
        <f t="shared" si="419"/>
        <v>2012</v>
      </c>
      <c r="AP1058" s="167" t="str">
        <f t="shared" si="420"/>
        <v>2012</v>
      </c>
      <c r="AQ1058" s="169" t="str">
        <f t="shared" si="421"/>
        <v/>
      </c>
      <c r="AR1058" s="170" t="str">
        <f t="shared" si="422"/>
        <v>BiK83a3K12--05</v>
      </c>
      <c r="AS1058" s="169" t="str">
        <f t="shared" si="423"/>
        <v/>
      </c>
      <c r="AT1058">
        <f t="shared" si="424"/>
        <v>14</v>
      </c>
      <c r="AU1058" s="170" t="str">
        <f t="shared" si="425"/>
        <v>0,5-5 MW, Bonusregeln a3 und K erstmals 2012</v>
      </c>
      <c r="AV1058" s="169" t="str">
        <f t="shared" si="426"/>
        <v/>
      </c>
      <c r="AW1058" s="170" t="str">
        <f t="shared" si="427"/>
        <v>Anteil KWK, erstmals 2012</v>
      </c>
      <c r="AX1058" s="169" t="str">
        <f t="shared" si="428"/>
        <v/>
      </c>
      <c r="AY1058" t="str">
        <f t="shared" si="429"/>
        <v/>
      </c>
      <c r="AZ1058" t="str">
        <f t="shared" si="430"/>
        <v>x</v>
      </c>
    </row>
    <row r="1059" spans="1:52" s="145" customFormat="1" x14ac:dyDescent="0.35">
      <c r="A1059" s="496" t="s">
        <v>866</v>
      </c>
      <c r="B1059" s="1" t="s">
        <v>5547</v>
      </c>
      <c r="C1059" s="1" t="s">
        <v>1288</v>
      </c>
      <c r="D1059" s="1" t="s">
        <v>6780</v>
      </c>
      <c r="E1059" s="1" t="s">
        <v>4809</v>
      </c>
      <c r="F1059" s="375">
        <f t="shared" si="436"/>
        <v>10.77</v>
      </c>
      <c r="G1059" s="432">
        <v>10.77</v>
      </c>
      <c r="H1059" s="401">
        <f t="shared" si="437"/>
        <v>8.6199999999999992</v>
      </c>
      <c r="I1059" s="578"/>
      <c r="J1059" s="549" t="s">
        <v>5804</v>
      </c>
      <c r="K1059" s="11"/>
      <c r="L1059"/>
      <c r="M1059" s="37">
        <f t="shared" si="438"/>
        <v>10.77</v>
      </c>
      <c r="N1059" s="29">
        <v>8.77</v>
      </c>
      <c r="O1059" s="41"/>
      <c r="P1059" s="59"/>
      <c r="Q1059"/>
      <c r="R1059"/>
      <c r="S1059" t="s">
        <v>4179</v>
      </c>
      <c r="T1059" s="145" t="s">
        <v>4179</v>
      </c>
      <c r="U1059" s="60"/>
      <c r="V1059" s="50"/>
      <c r="W1059"/>
      <c r="X1059"/>
      <c r="Y1059" s="50"/>
      <c r="Z1059" s="50"/>
      <c r="AA1059" s="50"/>
      <c r="AB1059" s="50"/>
      <c r="AC1059" s="50"/>
      <c r="AD1059" s="50"/>
      <c r="AE1059" s="75" t="s">
        <v>1017</v>
      </c>
      <c r="AF1059" s="50"/>
      <c r="AG1059" s="50"/>
      <c r="AH1059" s="166" t="str">
        <f>IF(ISERROR(SEARCH("K erstmals 201",D1059)),"",RIGHT(D1059,4))</f>
        <v/>
      </c>
      <c r="AI1059" s="168" t="str">
        <f t="shared" si="431"/>
        <v/>
      </c>
      <c r="AJ1059" s="168" t="str">
        <f t="shared" si="432"/>
        <v/>
      </c>
      <c r="AK1059" s="168" t="str">
        <f t="shared" si="433"/>
        <v/>
      </c>
      <c r="AL1059" s="168" t="str">
        <f t="shared" si="434"/>
        <v/>
      </c>
      <c r="AM1059" s="168" t="str">
        <f t="shared" si="435"/>
        <v/>
      </c>
      <c r="AN1059" s="167" t="str">
        <f t="shared" si="418"/>
        <v/>
      </c>
      <c r="AO1059" s="167" t="str">
        <f t="shared" si="419"/>
        <v/>
      </c>
      <c r="AP1059" s="167" t="str">
        <f t="shared" si="420"/>
        <v/>
      </c>
      <c r="AQ1059" s="169" t="str">
        <f t="shared" si="421"/>
        <v/>
      </c>
      <c r="AR1059" s="170" t="str">
        <f t="shared" si="422"/>
        <v>BiK83b------05</v>
      </c>
      <c r="AS1059" s="169" t="str">
        <f t="shared" si="423"/>
        <v/>
      </c>
      <c r="AT1059">
        <f t="shared" si="424"/>
        <v>14</v>
      </c>
      <c r="AU1059" s="170" t="str">
        <f t="shared" si="425"/>
        <v>0,5-5 MW, Bonusregel b</v>
      </c>
      <c r="AV1059" s="169" t="str">
        <f t="shared" si="426"/>
        <v/>
      </c>
      <c r="AW1059" s="170" t="str">
        <f t="shared" si="427"/>
        <v>Anteil Nicht-KWK</v>
      </c>
      <c r="AX1059" s="169" t="str">
        <f t="shared" si="428"/>
        <v/>
      </c>
      <c r="AY1059" t="str">
        <f t="shared" si="429"/>
        <v/>
      </c>
      <c r="AZ1059" t="str">
        <f t="shared" si="430"/>
        <v/>
      </c>
    </row>
    <row r="1060" spans="1:52" s="145" customFormat="1" x14ac:dyDescent="0.35">
      <c r="A1060" s="496" t="s">
        <v>867</v>
      </c>
      <c r="B1060" s="1" t="s">
        <v>5547</v>
      </c>
      <c r="C1060" s="1" t="s">
        <v>1288</v>
      </c>
      <c r="D1060" s="1" t="s">
        <v>6781</v>
      </c>
      <c r="E1060" s="1" t="s">
        <v>4811</v>
      </c>
      <c r="F1060" s="375">
        <f t="shared" si="436"/>
        <v>12.77</v>
      </c>
      <c r="G1060" s="432">
        <v>12.77</v>
      </c>
      <c r="H1060" s="401">
        <f t="shared" si="437"/>
        <v>10.220000000000001</v>
      </c>
      <c r="I1060" s="578"/>
      <c r="J1060" s="549" t="s">
        <v>5804</v>
      </c>
      <c r="K1060" s="11"/>
      <c r="L1060"/>
      <c r="M1060" s="37">
        <f t="shared" si="438"/>
        <v>12.77</v>
      </c>
      <c r="N1060" s="29">
        <v>8.77</v>
      </c>
      <c r="O1060" s="41" t="s">
        <v>1017</v>
      </c>
      <c r="P1060" s="59"/>
      <c r="Q1060"/>
      <c r="R1060"/>
      <c r="S1060" t="s">
        <v>4179</v>
      </c>
      <c r="T1060" s="145" t="s">
        <v>4179</v>
      </c>
      <c r="U1060" s="60"/>
      <c r="V1060" s="50"/>
      <c r="W1060"/>
      <c r="X1060"/>
      <c r="Y1060" s="50"/>
      <c r="Z1060" s="50"/>
      <c r="AA1060" s="50"/>
      <c r="AB1060" s="50"/>
      <c r="AC1060" s="50"/>
      <c r="AD1060" s="50"/>
      <c r="AE1060" s="75" t="s">
        <v>1017</v>
      </c>
      <c r="AF1060" s="50"/>
      <c r="AG1060" s="50"/>
      <c r="AH1060" s="166" t="str">
        <f>IF(ISERROR(SEARCH("K erstmals 201",D1060)),"",RIGHT(D1060,4))</f>
        <v/>
      </c>
      <c r="AI1060" s="168" t="str">
        <f t="shared" si="431"/>
        <v/>
      </c>
      <c r="AJ1060" s="168" t="str">
        <f t="shared" si="432"/>
        <v/>
      </c>
      <c r="AK1060" s="168" t="str">
        <f t="shared" si="433"/>
        <v/>
      </c>
      <c r="AL1060" s="168" t="str">
        <f t="shared" si="434"/>
        <v/>
      </c>
      <c r="AM1060" s="168" t="str">
        <f t="shared" si="435"/>
        <v/>
      </c>
      <c r="AN1060" s="167" t="str">
        <f t="shared" si="418"/>
        <v/>
      </c>
      <c r="AO1060" s="167" t="str">
        <f t="shared" si="419"/>
        <v/>
      </c>
      <c r="AP1060" s="167" t="str">
        <f t="shared" si="420"/>
        <v/>
      </c>
      <c r="AQ1060" s="169" t="str">
        <f t="shared" si="421"/>
        <v/>
      </c>
      <c r="AR1060" s="170" t="str">
        <f t="shared" si="422"/>
        <v>BiK83bKWK---05</v>
      </c>
      <c r="AS1060" s="169" t="str">
        <f t="shared" si="423"/>
        <v/>
      </c>
      <c r="AT1060">
        <f t="shared" si="424"/>
        <v>14</v>
      </c>
      <c r="AU1060" s="170" t="str">
        <f t="shared" si="425"/>
        <v>0,5-5 MW, Bonusregel b und KWK</v>
      </c>
      <c r="AV1060" s="169" t="str">
        <f t="shared" si="426"/>
        <v/>
      </c>
      <c r="AW1060" s="170" t="str">
        <f t="shared" si="427"/>
        <v>Anteil KWK</v>
      </c>
      <c r="AX1060" s="169" t="str">
        <f t="shared" si="428"/>
        <v/>
      </c>
      <c r="AY1060" t="str">
        <f t="shared" si="429"/>
        <v/>
      </c>
      <c r="AZ1060" t="str">
        <f t="shared" si="430"/>
        <v/>
      </c>
    </row>
    <row r="1061" spans="1:52" s="145" customFormat="1" x14ac:dyDescent="0.35">
      <c r="A1061" s="497" t="s">
        <v>2355</v>
      </c>
      <c r="B1061" s="13" t="s">
        <v>5547</v>
      </c>
      <c r="C1061" s="13" t="s">
        <v>1288</v>
      </c>
      <c r="D1061" s="13" t="s">
        <v>6782</v>
      </c>
      <c r="E1061" s="13" t="s">
        <v>674</v>
      </c>
      <c r="F1061" s="373">
        <f t="shared" si="436"/>
        <v>13.77</v>
      </c>
      <c r="G1061" s="430">
        <v>13.77</v>
      </c>
      <c r="H1061" s="399">
        <f t="shared" si="437"/>
        <v>11.02</v>
      </c>
      <c r="I1061" s="576"/>
      <c r="J1061" s="549" t="s">
        <v>5804</v>
      </c>
      <c r="K1061" s="11"/>
      <c r="L1061"/>
      <c r="M1061" s="37">
        <f t="shared" si="438"/>
        <v>13.77</v>
      </c>
      <c r="N1061" s="29">
        <v>8.77</v>
      </c>
      <c r="O1061" s="41"/>
      <c r="P1061" s="59"/>
      <c r="Q1061" t="s">
        <v>1017</v>
      </c>
      <c r="R1061"/>
      <c r="S1061" t="s">
        <v>4179</v>
      </c>
      <c r="T1061" s="145" t="s">
        <v>4179</v>
      </c>
      <c r="U1061" s="60"/>
      <c r="V1061" s="50"/>
      <c r="W1061"/>
      <c r="X1061"/>
      <c r="Y1061" s="50"/>
      <c r="Z1061" s="50"/>
      <c r="AA1061" s="50"/>
      <c r="AB1061" s="50"/>
      <c r="AC1061" s="50"/>
      <c r="AD1061" s="50"/>
      <c r="AE1061" s="75" t="s">
        <v>1017</v>
      </c>
      <c r="AF1061" s="50"/>
      <c r="AG1061" s="50"/>
      <c r="AH1061" s="166" t="str">
        <f>IF(ISERROR(SEARCH("K erstmals 201",D1061)),"",RIGHT(D1061,4))</f>
        <v/>
      </c>
      <c r="AI1061" s="168" t="str">
        <f t="shared" si="431"/>
        <v/>
      </c>
      <c r="AJ1061" s="168" t="str">
        <f t="shared" si="432"/>
        <v/>
      </c>
      <c r="AK1061" s="168" t="str">
        <f t="shared" si="433"/>
        <v/>
      </c>
      <c r="AL1061" s="168" t="str">
        <f t="shared" si="434"/>
        <v/>
      </c>
      <c r="AM1061" s="168" t="str">
        <f t="shared" si="435"/>
        <v/>
      </c>
      <c r="AN1061" s="167" t="str">
        <f t="shared" si="418"/>
        <v/>
      </c>
      <c r="AO1061" s="167" t="str">
        <f t="shared" si="419"/>
        <v/>
      </c>
      <c r="AP1061" s="167" t="str">
        <f t="shared" si="420"/>
        <v/>
      </c>
      <c r="AQ1061" s="169" t="str">
        <f t="shared" si="421"/>
        <v/>
      </c>
      <c r="AR1061" s="170" t="str">
        <f t="shared" si="422"/>
        <v>BiK83bK09---05</v>
      </c>
      <c r="AS1061" s="169" t="str">
        <f t="shared" si="423"/>
        <v/>
      </c>
      <c r="AT1061">
        <f t="shared" si="424"/>
        <v>14</v>
      </c>
      <c r="AU1061" s="170" t="str">
        <f t="shared" si="425"/>
        <v>0,5-5 MW, Bonusregel b und K erstmals 2009</v>
      </c>
      <c r="AV1061" s="169" t="str">
        <f t="shared" si="426"/>
        <v/>
      </c>
      <c r="AW1061" s="170" t="str">
        <f t="shared" si="427"/>
        <v>Anteil KWK, erstmals 2009</v>
      </c>
      <c r="AX1061" s="169" t="str">
        <f t="shared" si="428"/>
        <v/>
      </c>
      <c r="AY1061" t="str">
        <f t="shared" si="429"/>
        <v/>
      </c>
      <c r="AZ1061" t="str">
        <f t="shared" si="430"/>
        <v/>
      </c>
    </row>
    <row r="1062" spans="1:52" s="145" customFormat="1" x14ac:dyDescent="0.35">
      <c r="A1062" s="497" t="s">
        <v>3618</v>
      </c>
      <c r="B1062" s="13" t="s">
        <v>5547</v>
      </c>
      <c r="C1062" s="13" t="s">
        <v>1288</v>
      </c>
      <c r="D1062" s="13" t="s">
        <v>6783</v>
      </c>
      <c r="E1062" s="13" t="s">
        <v>3566</v>
      </c>
      <c r="F1062" s="373">
        <f t="shared" si="436"/>
        <v>13.74</v>
      </c>
      <c r="G1062" s="430">
        <v>13.74</v>
      </c>
      <c r="H1062" s="399">
        <f t="shared" si="437"/>
        <v>10.99</v>
      </c>
      <c r="I1062" s="576"/>
      <c r="J1062" s="549" t="s">
        <v>5804</v>
      </c>
      <c r="K1062" s="11"/>
      <c r="L1062"/>
      <c r="M1062" s="37">
        <f t="shared" si="438"/>
        <v>13.74</v>
      </c>
      <c r="N1062" s="29">
        <v>8.77</v>
      </c>
      <c r="O1062" s="41"/>
      <c r="P1062" s="59"/>
      <c r="Q1062"/>
      <c r="R1062" t="s">
        <v>1017</v>
      </c>
      <c r="S1062" t="s">
        <v>4179</v>
      </c>
      <c r="T1062" s="145" t="s">
        <v>4179</v>
      </c>
      <c r="U1062" s="60"/>
      <c r="V1062" s="50"/>
      <c r="W1062"/>
      <c r="X1062"/>
      <c r="Y1062" s="50"/>
      <c r="Z1062" s="50"/>
      <c r="AA1062" s="50"/>
      <c r="AB1062" s="50"/>
      <c r="AC1062" s="50"/>
      <c r="AD1062" s="50"/>
      <c r="AE1062" s="75" t="s">
        <v>1017</v>
      </c>
      <c r="AF1062" s="50"/>
      <c r="AG1062" s="50"/>
      <c r="AH1062" s="166" t="str">
        <f>IF(ISERROR(SEARCH("K erstmals 201",D1062)),"",RIGHT(D1062,4))</f>
        <v>2010</v>
      </c>
      <c r="AI1062" s="168" t="str">
        <f t="shared" si="431"/>
        <v/>
      </c>
      <c r="AJ1062" s="168" t="str">
        <f t="shared" si="432"/>
        <v/>
      </c>
      <c r="AK1062" s="168" t="str">
        <f t="shared" si="433"/>
        <v/>
      </c>
      <c r="AL1062" s="168" t="str">
        <f t="shared" si="434"/>
        <v/>
      </c>
      <c r="AM1062" s="168" t="str">
        <f t="shared" si="435"/>
        <v/>
      </c>
      <c r="AN1062" s="167" t="str">
        <f t="shared" si="418"/>
        <v>2010</v>
      </c>
      <c r="AO1062" s="167" t="str">
        <f t="shared" si="419"/>
        <v>2010</v>
      </c>
      <c r="AP1062" s="167" t="str">
        <f t="shared" si="420"/>
        <v>2010</v>
      </c>
      <c r="AQ1062" s="169" t="str">
        <f t="shared" si="421"/>
        <v/>
      </c>
      <c r="AR1062" s="170" t="str">
        <f t="shared" si="422"/>
        <v>BiK83bK10---05</v>
      </c>
      <c r="AS1062" s="169" t="str">
        <f t="shared" si="423"/>
        <v/>
      </c>
      <c r="AT1062">
        <f t="shared" si="424"/>
        <v>14</v>
      </c>
      <c r="AU1062" s="170" t="str">
        <f t="shared" si="425"/>
        <v>0,5-5 MW, Bonusregel b und K erstmals 2010</v>
      </c>
      <c r="AV1062" s="169" t="str">
        <f t="shared" si="426"/>
        <v/>
      </c>
      <c r="AW1062" s="170" t="str">
        <f t="shared" si="427"/>
        <v>Anteil KWK, erstmals 2010</v>
      </c>
      <c r="AX1062" s="169" t="str">
        <f t="shared" si="428"/>
        <v/>
      </c>
      <c r="AY1062" t="str">
        <f t="shared" si="429"/>
        <v/>
      </c>
      <c r="AZ1062" t="str">
        <f t="shared" si="430"/>
        <v/>
      </c>
    </row>
    <row r="1063" spans="1:52" s="145" customFormat="1" x14ac:dyDescent="0.35">
      <c r="A1063" s="497" t="s">
        <v>5349</v>
      </c>
      <c r="B1063" s="13" t="s">
        <v>5547</v>
      </c>
      <c r="C1063" s="13" t="s">
        <v>1288</v>
      </c>
      <c r="D1063" s="13" t="s">
        <v>6784</v>
      </c>
      <c r="E1063" s="13" t="s">
        <v>3054</v>
      </c>
      <c r="F1063" s="373">
        <f t="shared" si="436"/>
        <v>13.709999999999999</v>
      </c>
      <c r="G1063" s="430">
        <v>13.709999999999999</v>
      </c>
      <c r="H1063" s="399">
        <f t="shared" si="437"/>
        <v>10.97</v>
      </c>
      <c r="I1063" s="576"/>
      <c r="J1063" s="549" t="s">
        <v>5804</v>
      </c>
      <c r="K1063" s="11"/>
      <c r="L1063"/>
      <c r="M1063" s="37">
        <f t="shared" si="438"/>
        <v>13.709999999999999</v>
      </c>
      <c r="N1063" s="29">
        <v>8.77</v>
      </c>
      <c r="O1063" s="41"/>
      <c r="P1063" s="59"/>
      <c r="Q1063"/>
      <c r="R1063"/>
      <c r="S1063" t="s">
        <v>1017</v>
      </c>
      <c r="T1063" s="145" t="s">
        <v>4179</v>
      </c>
      <c r="U1063" s="60"/>
      <c r="V1063" s="50"/>
      <c r="W1063"/>
      <c r="X1063"/>
      <c r="Y1063" s="50"/>
      <c r="Z1063" s="50"/>
      <c r="AA1063" s="50"/>
      <c r="AB1063" s="50"/>
      <c r="AC1063" s="50"/>
      <c r="AD1063" s="50"/>
      <c r="AE1063" s="75" t="s">
        <v>1017</v>
      </c>
      <c r="AF1063" s="50"/>
      <c r="AG1063" s="50"/>
      <c r="AH1063" s="166" t="str">
        <f>IF(ISERROR(SEARCH("K erstmals 201",D1063)),"",RIGHT(D1063,4))</f>
        <v>2011</v>
      </c>
      <c r="AI1063" s="168" t="str">
        <f t="shared" si="431"/>
        <v/>
      </c>
      <c r="AJ1063" s="168" t="str">
        <f t="shared" si="432"/>
        <v/>
      </c>
      <c r="AK1063" s="168" t="str">
        <f t="shared" si="433"/>
        <v/>
      </c>
      <c r="AL1063" s="168" t="str">
        <f t="shared" si="434"/>
        <v/>
      </c>
      <c r="AM1063" s="168" t="str">
        <f t="shared" si="435"/>
        <v/>
      </c>
      <c r="AN1063" s="167" t="str">
        <f t="shared" si="418"/>
        <v>2011</v>
      </c>
      <c r="AO1063" s="167" t="str">
        <f t="shared" si="419"/>
        <v>2011</v>
      </c>
      <c r="AP1063" s="167" t="str">
        <f t="shared" si="420"/>
        <v>2011</v>
      </c>
      <c r="AQ1063" s="169" t="str">
        <f t="shared" si="421"/>
        <v/>
      </c>
      <c r="AR1063" s="170" t="str">
        <f t="shared" si="422"/>
        <v>BiK83bK11---05</v>
      </c>
      <c r="AS1063" s="169" t="str">
        <f t="shared" si="423"/>
        <v/>
      </c>
      <c r="AT1063">
        <f t="shared" si="424"/>
        <v>14</v>
      </c>
      <c r="AU1063" s="170" t="str">
        <f t="shared" si="425"/>
        <v>0,5-5 MW, Bonusregel b und K erstmals 2011</v>
      </c>
      <c r="AV1063" s="169" t="str">
        <f t="shared" si="426"/>
        <v/>
      </c>
      <c r="AW1063" s="170" t="str">
        <f t="shared" si="427"/>
        <v>Anteil KWK, erstmals 2011</v>
      </c>
      <c r="AX1063" s="169" t="str">
        <f t="shared" si="428"/>
        <v/>
      </c>
      <c r="AY1063" t="str">
        <f t="shared" si="429"/>
        <v>x</v>
      </c>
      <c r="AZ1063" t="str">
        <f t="shared" si="430"/>
        <v/>
      </c>
    </row>
    <row r="1064" spans="1:52" s="145" customFormat="1" x14ac:dyDescent="0.35">
      <c r="A1064" s="511" t="s">
        <v>1600</v>
      </c>
      <c r="B1064" s="173" t="s">
        <v>5547</v>
      </c>
      <c r="C1064" s="173" t="s">
        <v>1288</v>
      </c>
      <c r="D1064" s="173" t="s">
        <v>6785</v>
      </c>
      <c r="E1064" s="173" t="s">
        <v>1980</v>
      </c>
      <c r="F1064" s="374">
        <f t="shared" si="436"/>
        <v>13.68</v>
      </c>
      <c r="G1064" s="431">
        <v>13.68</v>
      </c>
      <c r="H1064" s="400">
        <f t="shared" si="437"/>
        <v>10.94</v>
      </c>
      <c r="I1064" s="577"/>
      <c r="J1064" s="549" t="s">
        <v>5804</v>
      </c>
      <c r="K1064" s="11"/>
      <c r="L1064"/>
      <c r="M1064" s="37">
        <f t="shared" si="438"/>
        <v>13.68</v>
      </c>
      <c r="N1064" s="29">
        <v>8.77</v>
      </c>
      <c r="O1064" s="41"/>
      <c r="P1064" s="59"/>
      <c r="Q1064"/>
      <c r="R1064"/>
      <c r="S1064" t="s">
        <v>4179</v>
      </c>
      <c r="T1064" s="145" t="s">
        <v>1017</v>
      </c>
      <c r="U1064" s="60"/>
      <c r="V1064" s="50"/>
      <c r="W1064"/>
      <c r="X1064"/>
      <c r="Y1064" s="50"/>
      <c r="Z1064" s="50"/>
      <c r="AA1064" s="50"/>
      <c r="AB1064" s="50"/>
      <c r="AC1064" s="50"/>
      <c r="AD1064" s="50"/>
      <c r="AE1064" s="75" t="s">
        <v>1017</v>
      </c>
      <c r="AF1064" s="50"/>
      <c r="AG1064" s="50"/>
      <c r="AH1064" s="171" t="s">
        <v>4178</v>
      </c>
      <c r="AI1064" s="168" t="str">
        <f t="shared" si="431"/>
        <v/>
      </c>
      <c r="AJ1064" s="168" t="str">
        <f t="shared" si="432"/>
        <v/>
      </c>
      <c r="AK1064" s="168" t="str">
        <f t="shared" si="433"/>
        <v/>
      </c>
      <c r="AL1064" s="168" t="str">
        <f t="shared" si="434"/>
        <v/>
      </c>
      <c r="AM1064" s="168" t="str">
        <f t="shared" si="435"/>
        <v/>
      </c>
      <c r="AN1064" s="167" t="str">
        <f t="shared" si="418"/>
        <v>2012</v>
      </c>
      <c r="AO1064" s="167" t="str">
        <f t="shared" si="419"/>
        <v>2012</v>
      </c>
      <c r="AP1064" s="167" t="str">
        <f t="shared" si="420"/>
        <v>2012</v>
      </c>
      <c r="AQ1064" s="169" t="str">
        <f t="shared" si="421"/>
        <v/>
      </c>
      <c r="AR1064" s="170" t="str">
        <f t="shared" si="422"/>
        <v>BiK83bK12---05</v>
      </c>
      <c r="AS1064" s="169" t="str">
        <f t="shared" si="423"/>
        <v/>
      </c>
      <c r="AT1064">
        <f t="shared" si="424"/>
        <v>14</v>
      </c>
      <c r="AU1064" s="170" t="str">
        <f t="shared" si="425"/>
        <v>0,5-5 MW, Bonusregel b und K erstmals 2012</v>
      </c>
      <c r="AV1064" s="169" t="str">
        <f t="shared" si="426"/>
        <v/>
      </c>
      <c r="AW1064" s="170" t="str">
        <f t="shared" si="427"/>
        <v>Anteil KWK, erstmals 2012</v>
      </c>
      <c r="AX1064" s="169" t="str">
        <f t="shared" si="428"/>
        <v/>
      </c>
      <c r="AY1064" t="str">
        <f t="shared" si="429"/>
        <v/>
      </c>
      <c r="AZ1064" t="str">
        <f t="shared" si="430"/>
        <v>x</v>
      </c>
    </row>
    <row r="1065" spans="1:52" s="145" customFormat="1" x14ac:dyDescent="0.35">
      <c r="A1065" s="496" t="s">
        <v>868</v>
      </c>
      <c r="B1065" s="1" t="s">
        <v>5547</v>
      </c>
      <c r="C1065" s="1" t="s">
        <v>1288</v>
      </c>
      <c r="D1065" s="1" t="s">
        <v>6786</v>
      </c>
      <c r="E1065" s="1" t="s">
        <v>4809</v>
      </c>
      <c r="F1065" s="375">
        <f t="shared" si="436"/>
        <v>14.77</v>
      </c>
      <c r="G1065" s="432">
        <v>14.77</v>
      </c>
      <c r="H1065" s="401">
        <f t="shared" si="437"/>
        <v>11.82</v>
      </c>
      <c r="I1065" s="578"/>
      <c r="J1065" s="549" t="s">
        <v>5804</v>
      </c>
      <c r="K1065" s="11"/>
      <c r="L1065"/>
      <c r="M1065" s="37">
        <f t="shared" si="438"/>
        <v>14.77</v>
      </c>
      <c r="N1065" s="29">
        <v>8.77</v>
      </c>
      <c r="O1065" s="41"/>
      <c r="P1065" s="59"/>
      <c r="Q1065"/>
      <c r="R1065"/>
      <c r="S1065" t="s">
        <v>4179</v>
      </c>
      <c r="T1065" s="145" t="s">
        <v>4179</v>
      </c>
      <c r="U1065" s="60"/>
      <c r="V1065" s="50"/>
      <c r="W1065" t="s">
        <v>1017</v>
      </c>
      <c r="X1065"/>
      <c r="Y1065" s="50"/>
      <c r="Z1065" s="50"/>
      <c r="AA1065" s="50"/>
      <c r="AB1065" s="50"/>
      <c r="AC1065" s="50"/>
      <c r="AD1065" s="50"/>
      <c r="AE1065" s="75" t="s">
        <v>1017</v>
      </c>
      <c r="AF1065" s="50"/>
      <c r="AG1065" s="50"/>
      <c r="AH1065" s="166" t="str">
        <f>IF(ISERROR(SEARCH("K erstmals 201",D1065)),"",RIGHT(D1065,4))</f>
        <v/>
      </c>
      <c r="AI1065" s="168" t="str">
        <f t="shared" si="431"/>
        <v/>
      </c>
      <c r="AJ1065" s="168" t="str">
        <f t="shared" si="432"/>
        <v/>
      </c>
      <c r="AK1065" s="168" t="str">
        <f t="shared" si="433"/>
        <v/>
      </c>
      <c r="AL1065" s="168" t="str">
        <f t="shared" si="434"/>
        <v/>
      </c>
      <c r="AM1065" s="168" t="str">
        <f t="shared" si="435"/>
        <v/>
      </c>
      <c r="AN1065" s="167" t="str">
        <f t="shared" si="418"/>
        <v/>
      </c>
      <c r="AO1065" s="167" t="str">
        <f t="shared" si="419"/>
        <v/>
      </c>
      <c r="AP1065" s="167" t="str">
        <f t="shared" si="420"/>
        <v/>
      </c>
      <c r="AQ1065" s="169" t="str">
        <f t="shared" si="421"/>
        <v/>
      </c>
      <c r="AR1065" s="170" t="str">
        <f t="shared" si="422"/>
        <v>BiK83a2b----05</v>
      </c>
      <c r="AS1065" s="169" t="str">
        <f t="shared" si="423"/>
        <v/>
      </c>
      <c r="AT1065">
        <f t="shared" si="424"/>
        <v>14</v>
      </c>
      <c r="AU1065" s="170" t="str">
        <f t="shared" si="425"/>
        <v>0,5-5 MW, Bonusregeln a2 und b</v>
      </c>
      <c r="AV1065" s="169" t="str">
        <f t="shared" si="426"/>
        <v/>
      </c>
      <c r="AW1065" s="170" t="str">
        <f t="shared" si="427"/>
        <v>Anteil Nicht-KWK</v>
      </c>
      <c r="AX1065" s="169" t="str">
        <f t="shared" si="428"/>
        <v/>
      </c>
      <c r="AY1065" t="str">
        <f t="shared" si="429"/>
        <v/>
      </c>
      <c r="AZ1065" t="str">
        <f t="shared" si="430"/>
        <v/>
      </c>
    </row>
    <row r="1066" spans="1:52" s="145" customFormat="1" x14ac:dyDescent="0.35">
      <c r="A1066" s="496" t="s">
        <v>869</v>
      </c>
      <c r="B1066" s="1" t="s">
        <v>5547</v>
      </c>
      <c r="C1066" s="1" t="s">
        <v>1288</v>
      </c>
      <c r="D1066" s="1" t="s">
        <v>6787</v>
      </c>
      <c r="E1066" s="1" t="s">
        <v>4811</v>
      </c>
      <c r="F1066" s="375">
        <f t="shared" si="436"/>
        <v>16.77</v>
      </c>
      <c r="G1066" s="432">
        <v>16.77</v>
      </c>
      <c r="H1066" s="401">
        <f t="shared" si="437"/>
        <v>13.42</v>
      </c>
      <c r="I1066" s="578"/>
      <c r="J1066" s="549" t="s">
        <v>5804</v>
      </c>
      <c r="K1066" s="11"/>
      <c r="L1066"/>
      <c r="M1066" s="37">
        <f t="shared" si="438"/>
        <v>16.77</v>
      </c>
      <c r="N1066" s="29">
        <v>8.77</v>
      </c>
      <c r="O1066" s="41" t="s">
        <v>1017</v>
      </c>
      <c r="P1066" s="59"/>
      <c r="Q1066"/>
      <c r="R1066"/>
      <c r="S1066" t="s">
        <v>4179</v>
      </c>
      <c r="T1066" s="145" t="s">
        <v>4179</v>
      </c>
      <c r="U1066" s="60"/>
      <c r="V1066" s="50"/>
      <c r="W1066" t="s">
        <v>1017</v>
      </c>
      <c r="X1066"/>
      <c r="Y1066" s="50"/>
      <c r="Z1066" s="50"/>
      <c r="AA1066" s="50"/>
      <c r="AB1066" s="50"/>
      <c r="AC1066" s="50"/>
      <c r="AD1066" s="50"/>
      <c r="AE1066" s="75" t="s">
        <v>1017</v>
      </c>
      <c r="AF1066" s="50"/>
      <c r="AG1066" s="50"/>
      <c r="AH1066" s="166" t="str">
        <f>IF(ISERROR(SEARCH("K erstmals 201",D1066)),"",RIGHT(D1066,4))</f>
        <v/>
      </c>
      <c r="AI1066" s="168" t="str">
        <f t="shared" si="431"/>
        <v/>
      </c>
      <c r="AJ1066" s="168" t="str">
        <f t="shared" si="432"/>
        <v/>
      </c>
      <c r="AK1066" s="168" t="str">
        <f t="shared" si="433"/>
        <v/>
      </c>
      <c r="AL1066" s="168" t="str">
        <f t="shared" si="434"/>
        <v/>
      </c>
      <c r="AM1066" s="168" t="str">
        <f t="shared" si="435"/>
        <v/>
      </c>
      <c r="AN1066" s="167" t="str">
        <f t="shared" si="418"/>
        <v/>
      </c>
      <c r="AO1066" s="167" t="str">
        <f t="shared" si="419"/>
        <v/>
      </c>
      <c r="AP1066" s="167" t="str">
        <f t="shared" si="420"/>
        <v/>
      </c>
      <c r="AQ1066" s="169" t="str">
        <f t="shared" si="421"/>
        <v/>
      </c>
      <c r="AR1066" s="170" t="str">
        <f t="shared" si="422"/>
        <v>BiK83a2bKWK-05</v>
      </c>
      <c r="AS1066" s="169" t="str">
        <f t="shared" si="423"/>
        <v/>
      </c>
      <c r="AT1066">
        <f t="shared" si="424"/>
        <v>14</v>
      </c>
      <c r="AU1066" s="170" t="str">
        <f t="shared" si="425"/>
        <v>0,5-5 MW, Bonusregeln a2, b und KWK</v>
      </c>
      <c r="AV1066" s="169" t="str">
        <f t="shared" si="426"/>
        <v/>
      </c>
      <c r="AW1066" s="170" t="str">
        <f t="shared" si="427"/>
        <v>Anteil KWK</v>
      </c>
      <c r="AX1066" s="169" t="str">
        <f t="shared" si="428"/>
        <v/>
      </c>
      <c r="AY1066" t="str">
        <f t="shared" si="429"/>
        <v/>
      </c>
      <c r="AZ1066" t="str">
        <f t="shared" si="430"/>
        <v/>
      </c>
    </row>
    <row r="1067" spans="1:52" s="145" customFormat="1" x14ac:dyDescent="0.35">
      <c r="A1067" s="497" t="s">
        <v>2356</v>
      </c>
      <c r="B1067" s="13" t="s">
        <v>5547</v>
      </c>
      <c r="C1067" s="13" t="s">
        <v>1288</v>
      </c>
      <c r="D1067" s="13" t="s">
        <v>6788</v>
      </c>
      <c r="E1067" s="13" t="s">
        <v>674</v>
      </c>
      <c r="F1067" s="373">
        <f t="shared" si="436"/>
        <v>17.77</v>
      </c>
      <c r="G1067" s="430">
        <v>17.77</v>
      </c>
      <c r="H1067" s="399">
        <f t="shared" si="437"/>
        <v>14.22</v>
      </c>
      <c r="I1067" s="576"/>
      <c r="J1067" s="549" t="s">
        <v>5804</v>
      </c>
      <c r="K1067" s="11"/>
      <c r="L1067"/>
      <c r="M1067" s="37">
        <f t="shared" si="438"/>
        <v>17.77</v>
      </c>
      <c r="N1067" s="29">
        <v>8.77</v>
      </c>
      <c r="O1067" s="41"/>
      <c r="P1067" s="59"/>
      <c r="Q1067" t="s">
        <v>1017</v>
      </c>
      <c r="R1067"/>
      <c r="S1067" t="s">
        <v>4179</v>
      </c>
      <c r="T1067" s="145" t="s">
        <v>4179</v>
      </c>
      <c r="U1067" s="60"/>
      <c r="V1067" s="50"/>
      <c r="W1067" t="s">
        <v>1017</v>
      </c>
      <c r="X1067"/>
      <c r="Y1067" s="50"/>
      <c r="Z1067" s="50"/>
      <c r="AA1067" s="50"/>
      <c r="AB1067" s="50"/>
      <c r="AC1067" s="50"/>
      <c r="AD1067" s="50"/>
      <c r="AE1067" s="75" t="s">
        <v>1017</v>
      </c>
      <c r="AF1067" s="50"/>
      <c r="AG1067" s="50"/>
      <c r="AH1067" s="166" t="str">
        <f>IF(ISERROR(SEARCH("K erstmals 201",D1067)),"",RIGHT(D1067,4))</f>
        <v/>
      </c>
      <c r="AI1067" s="168" t="str">
        <f t="shared" si="431"/>
        <v/>
      </c>
      <c r="AJ1067" s="168" t="str">
        <f t="shared" si="432"/>
        <v/>
      </c>
      <c r="AK1067" s="168" t="str">
        <f t="shared" si="433"/>
        <v/>
      </c>
      <c r="AL1067" s="168" t="str">
        <f t="shared" si="434"/>
        <v/>
      </c>
      <c r="AM1067" s="168" t="str">
        <f t="shared" si="435"/>
        <v/>
      </c>
      <c r="AN1067" s="167" t="str">
        <f t="shared" si="418"/>
        <v/>
      </c>
      <c r="AO1067" s="167" t="str">
        <f t="shared" si="419"/>
        <v/>
      </c>
      <c r="AP1067" s="167" t="str">
        <f t="shared" si="420"/>
        <v/>
      </c>
      <c r="AQ1067" s="169" t="str">
        <f t="shared" si="421"/>
        <v/>
      </c>
      <c r="AR1067" s="170" t="str">
        <f t="shared" si="422"/>
        <v>BiK83a2bK09-05</v>
      </c>
      <c r="AS1067" s="169" t="str">
        <f t="shared" si="423"/>
        <v/>
      </c>
      <c r="AT1067">
        <f t="shared" si="424"/>
        <v>14</v>
      </c>
      <c r="AU1067" s="170" t="str">
        <f t="shared" si="425"/>
        <v>0,5-5 MW, Bonusregeln a2, b und K erstmals 2009</v>
      </c>
      <c r="AV1067" s="169" t="str">
        <f t="shared" si="426"/>
        <v/>
      </c>
      <c r="AW1067" s="170" t="str">
        <f t="shared" si="427"/>
        <v>Anteil KWK, erstmals 2009</v>
      </c>
      <c r="AX1067" s="169" t="str">
        <f t="shared" si="428"/>
        <v/>
      </c>
      <c r="AY1067" t="str">
        <f t="shared" si="429"/>
        <v/>
      </c>
      <c r="AZ1067" t="str">
        <f t="shared" si="430"/>
        <v/>
      </c>
    </row>
    <row r="1068" spans="1:52" s="145" customFormat="1" x14ac:dyDescent="0.35">
      <c r="A1068" s="497" t="s">
        <v>3619</v>
      </c>
      <c r="B1068" s="13" t="s">
        <v>5547</v>
      </c>
      <c r="C1068" s="13" t="s">
        <v>1288</v>
      </c>
      <c r="D1068" s="13" t="s">
        <v>6789</v>
      </c>
      <c r="E1068" s="13" t="s">
        <v>3566</v>
      </c>
      <c r="F1068" s="373">
        <f t="shared" si="436"/>
        <v>17.740000000000002</v>
      </c>
      <c r="G1068" s="430">
        <v>17.740000000000002</v>
      </c>
      <c r="H1068" s="399">
        <f t="shared" si="437"/>
        <v>14.19</v>
      </c>
      <c r="I1068" s="576"/>
      <c r="J1068" s="549" t="s">
        <v>5804</v>
      </c>
      <c r="K1068" s="11"/>
      <c r="L1068"/>
      <c r="M1068" s="37">
        <f t="shared" si="438"/>
        <v>17.740000000000002</v>
      </c>
      <c r="N1068" s="29">
        <v>8.77</v>
      </c>
      <c r="O1068" s="41"/>
      <c r="P1068" s="59"/>
      <c r="Q1068"/>
      <c r="R1068" t="s">
        <v>1017</v>
      </c>
      <c r="S1068" t="s">
        <v>4179</v>
      </c>
      <c r="T1068" s="145" t="s">
        <v>4179</v>
      </c>
      <c r="U1068" s="60"/>
      <c r="V1068" s="50"/>
      <c r="W1068" t="s">
        <v>1017</v>
      </c>
      <c r="X1068"/>
      <c r="Y1068" s="50"/>
      <c r="Z1068" s="50"/>
      <c r="AA1068" s="50"/>
      <c r="AB1068" s="50"/>
      <c r="AC1068" s="50"/>
      <c r="AD1068" s="50"/>
      <c r="AE1068" s="75" t="s">
        <v>1017</v>
      </c>
      <c r="AF1068" s="50"/>
      <c r="AG1068" s="50"/>
      <c r="AH1068" s="166" t="str">
        <f>IF(ISERROR(SEARCH("K erstmals 201",D1068)),"",RIGHT(D1068,4))</f>
        <v>2010</v>
      </c>
      <c r="AI1068" s="168" t="str">
        <f t="shared" si="431"/>
        <v/>
      </c>
      <c r="AJ1068" s="168" t="str">
        <f t="shared" si="432"/>
        <v/>
      </c>
      <c r="AK1068" s="168" t="str">
        <f t="shared" si="433"/>
        <v/>
      </c>
      <c r="AL1068" s="168" t="str">
        <f t="shared" si="434"/>
        <v/>
      </c>
      <c r="AM1068" s="168" t="str">
        <f t="shared" si="435"/>
        <v/>
      </c>
      <c r="AN1068" s="167" t="str">
        <f t="shared" si="418"/>
        <v>2010</v>
      </c>
      <c r="AO1068" s="167" t="str">
        <f t="shared" si="419"/>
        <v>2010</v>
      </c>
      <c r="AP1068" s="167" t="str">
        <f t="shared" si="420"/>
        <v>2010</v>
      </c>
      <c r="AQ1068" s="169" t="str">
        <f t="shared" si="421"/>
        <v/>
      </c>
      <c r="AR1068" s="170" t="str">
        <f t="shared" si="422"/>
        <v>BiK83a2bK10-05</v>
      </c>
      <c r="AS1068" s="169" t="str">
        <f t="shared" si="423"/>
        <v/>
      </c>
      <c r="AT1068">
        <f t="shared" si="424"/>
        <v>14</v>
      </c>
      <c r="AU1068" s="170" t="str">
        <f t="shared" si="425"/>
        <v>0,5-5 MW, Bonusregeln a2, b und K erstmals 2010</v>
      </c>
      <c r="AV1068" s="169" t="str">
        <f t="shared" si="426"/>
        <v/>
      </c>
      <c r="AW1068" s="170" t="str">
        <f t="shared" si="427"/>
        <v>Anteil KWK, erstmals 2010</v>
      </c>
      <c r="AX1068" s="169" t="str">
        <f t="shared" si="428"/>
        <v/>
      </c>
      <c r="AY1068" t="str">
        <f t="shared" si="429"/>
        <v/>
      </c>
      <c r="AZ1068" t="str">
        <f t="shared" si="430"/>
        <v/>
      </c>
    </row>
    <row r="1069" spans="1:52" s="145" customFormat="1" x14ac:dyDescent="0.35">
      <c r="A1069" s="497" t="s">
        <v>5350</v>
      </c>
      <c r="B1069" s="13" t="s">
        <v>5547</v>
      </c>
      <c r="C1069" s="13" t="s">
        <v>1288</v>
      </c>
      <c r="D1069" s="13" t="s">
        <v>6790</v>
      </c>
      <c r="E1069" s="13" t="s">
        <v>3054</v>
      </c>
      <c r="F1069" s="373">
        <f t="shared" si="436"/>
        <v>17.71</v>
      </c>
      <c r="G1069" s="430">
        <v>17.71</v>
      </c>
      <c r="H1069" s="399">
        <f t="shared" si="437"/>
        <v>14.17</v>
      </c>
      <c r="I1069" s="576"/>
      <c r="J1069" s="549" t="s">
        <v>5804</v>
      </c>
      <c r="K1069" s="11"/>
      <c r="L1069"/>
      <c r="M1069" s="37">
        <f t="shared" si="438"/>
        <v>17.71</v>
      </c>
      <c r="N1069" s="29">
        <v>8.77</v>
      </c>
      <c r="O1069" s="41"/>
      <c r="P1069" s="59"/>
      <c r="Q1069"/>
      <c r="R1069"/>
      <c r="S1069" t="s">
        <v>1017</v>
      </c>
      <c r="T1069" s="145" t="s">
        <v>4179</v>
      </c>
      <c r="U1069" s="60"/>
      <c r="V1069" s="50"/>
      <c r="W1069" t="s">
        <v>1017</v>
      </c>
      <c r="X1069"/>
      <c r="Y1069" s="50"/>
      <c r="Z1069" s="50"/>
      <c r="AA1069" s="50"/>
      <c r="AB1069" s="50"/>
      <c r="AC1069" s="50"/>
      <c r="AD1069" s="50"/>
      <c r="AE1069" s="75" t="s">
        <v>1017</v>
      </c>
      <c r="AF1069" s="50"/>
      <c r="AG1069" s="50"/>
      <c r="AH1069" s="166" t="str">
        <f>IF(ISERROR(SEARCH("K erstmals 201",D1069)),"",RIGHT(D1069,4))</f>
        <v>2011</v>
      </c>
      <c r="AI1069" s="168" t="str">
        <f t="shared" si="431"/>
        <v/>
      </c>
      <c r="AJ1069" s="168" t="str">
        <f t="shared" si="432"/>
        <v/>
      </c>
      <c r="AK1069" s="168" t="str">
        <f t="shared" si="433"/>
        <v/>
      </c>
      <c r="AL1069" s="168" t="str">
        <f t="shared" si="434"/>
        <v/>
      </c>
      <c r="AM1069" s="168" t="str">
        <f t="shared" si="435"/>
        <v/>
      </c>
      <c r="AN1069" s="167" t="str">
        <f t="shared" si="418"/>
        <v>2011</v>
      </c>
      <c r="AO1069" s="167" t="str">
        <f t="shared" si="419"/>
        <v>2011</v>
      </c>
      <c r="AP1069" s="167" t="str">
        <f t="shared" si="420"/>
        <v>2011</v>
      </c>
      <c r="AQ1069" s="169" t="str">
        <f t="shared" si="421"/>
        <v/>
      </c>
      <c r="AR1069" s="170" t="str">
        <f t="shared" si="422"/>
        <v>BiK83a2bK11-05</v>
      </c>
      <c r="AS1069" s="169" t="str">
        <f t="shared" si="423"/>
        <v/>
      </c>
      <c r="AT1069">
        <f t="shared" si="424"/>
        <v>14</v>
      </c>
      <c r="AU1069" s="170" t="str">
        <f t="shared" si="425"/>
        <v>0,5-5 MW, Bonusregeln a2, b und K erstmals 2011</v>
      </c>
      <c r="AV1069" s="169" t="str">
        <f t="shared" si="426"/>
        <v/>
      </c>
      <c r="AW1069" s="170" t="str">
        <f t="shared" si="427"/>
        <v>Anteil KWK, erstmals 2011</v>
      </c>
      <c r="AX1069" s="169" t="str">
        <f t="shared" si="428"/>
        <v/>
      </c>
      <c r="AY1069" t="str">
        <f t="shared" si="429"/>
        <v>x</v>
      </c>
      <c r="AZ1069" t="str">
        <f t="shared" si="430"/>
        <v/>
      </c>
    </row>
    <row r="1070" spans="1:52" s="145" customFormat="1" x14ac:dyDescent="0.35">
      <c r="A1070" s="511" t="s">
        <v>1601</v>
      </c>
      <c r="B1070" s="173" t="s">
        <v>5547</v>
      </c>
      <c r="C1070" s="173" t="s">
        <v>1288</v>
      </c>
      <c r="D1070" s="173" t="s">
        <v>6791</v>
      </c>
      <c r="E1070" s="173" t="s">
        <v>1980</v>
      </c>
      <c r="F1070" s="374">
        <f t="shared" si="436"/>
        <v>17.68</v>
      </c>
      <c r="G1070" s="431">
        <v>17.68</v>
      </c>
      <c r="H1070" s="400">
        <f t="shared" si="437"/>
        <v>14.14</v>
      </c>
      <c r="I1070" s="577"/>
      <c r="J1070" s="549" t="s">
        <v>5804</v>
      </c>
      <c r="K1070" s="11"/>
      <c r="L1070"/>
      <c r="M1070" s="37">
        <f t="shared" si="438"/>
        <v>17.68</v>
      </c>
      <c r="N1070" s="29">
        <v>8.77</v>
      </c>
      <c r="O1070" s="41"/>
      <c r="P1070" s="59"/>
      <c r="Q1070"/>
      <c r="R1070"/>
      <c r="S1070" t="s">
        <v>4179</v>
      </c>
      <c r="T1070" s="145" t="s">
        <v>1017</v>
      </c>
      <c r="U1070" s="60"/>
      <c r="V1070" s="50"/>
      <c r="W1070" t="s">
        <v>1017</v>
      </c>
      <c r="X1070"/>
      <c r="Y1070" s="50"/>
      <c r="Z1070" s="50"/>
      <c r="AA1070" s="50"/>
      <c r="AB1070" s="50"/>
      <c r="AC1070" s="50"/>
      <c r="AD1070" s="50"/>
      <c r="AE1070" s="75" t="s">
        <v>1017</v>
      </c>
      <c r="AF1070" s="50"/>
      <c r="AG1070" s="50"/>
      <c r="AH1070" s="171" t="s">
        <v>4178</v>
      </c>
      <c r="AI1070" s="168" t="str">
        <f t="shared" si="431"/>
        <v/>
      </c>
      <c r="AJ1070" s="168" t="str">
        <f t="shared" si="432"/>
        <v/>
      </c>
      <c r="AK1070" s="168" t="str">
        <f t="shared" si="433"/>
        <v/>
      </c>
      <c r="AL1070" s="168" t="str">
        <f t="shared" si="434"/>
        <v/>
      </c>
      <c r="AM1070" s="168" t="str">
        <f t="shared" si="435"/>
        <v/>
      </c>
      <c r="AN1070" s="167" t="str">
        <f t="shared" si="418"/>
        <v>2012</v>
      </c>
      <c r="AO1070" s="167" t="str">
        <f t="shared" si="419"/>
        <v>2012</v>
      </c>
      <c r="AP1070" s="167" t="str">
        <f t="shared" si="420"/>
        <v>2012</v>
      </c>
      <c r="AQ1070" s="169" t="str">
        <f t="shared" si="421"/>
        <v/>
      </c>
      <c r="AR1070" s="170" t="str">
        <f t="shared" si="422"/>
        <v>BiK83a2bK12-05</v>
      </c>
      <c r="AS1070" s="169" t="str">
        <f t="shared" si="423"/>
        <v/>
      </c>
      <c r="AT1070">
        <f t="shared" si="424"/>
        <v>14</v>
      </c>
      <c r="AU1070" s="170" t="str">
        <f t="shared" si="425"/>
        <v>0,5-5 MW, Bonusregeln a2, b und K erstmals 2012</v>
      </c>
      <c r="AV1070" s="169" t="str">
        <f t="shared" si="426"/>
        <v/>
      </c>
      <c r="AW1070" s="170" t="str">
        <f t="shared" si="427"/>
        <v>Anteil KWK, erstmals 2012</v>
      </c>
      <c r="AX1070" s="169" t="str">
        <f t="shared" si="428"/>
        <v/>
      </c>
      <c r="AY1070" t="str">
        <f t="shared" si="429"/>
        <v/>
      </c>
      <c r="AZ1070" t="str">
        <f t="shared" si="430"/>
        <v>x</v>
      </c>
    </row>
    <row r="1071" spans="1:52" s="145" customFormat="1" x14ac:dyDescent="0.35">
      <c r="A1071" s="496" t="s">
        <v>870</v>
      </c>
      <c r="B1071" s="1" t="s">
        <v>5547</v>
      </c>
      <c r="C1071" s="1" t="s">
        <v>1288</v>
      </c>
      <c r="D1071" s="1" t="s">
        <v>6792</v>
      </c>
      <c r="E1071" s="1" t="s">
        <v>4809</v>
      </c>
      <c r="F1071" s="375">
        <f t="shared" si="436"/>
        <v>13.27</v>
      </c>
      <c r="G1071" s="432">
        <v>13.27</v>
      </c>
      <c r="H1071" s="401">
        <f t="shared" si="437"/>
        <v>10.62</v>
      </c>
      <c r="I1071" s="578"/>
      <c r="J1071" s="549" t="s">
        <v>5804</v>
      </c>
      <c r="K1071" s="11"/>
      <c r="L1071"/>
      <c r="M1071" s="37">
        <f t="shared" si="438"/>
        <v>13.27</v>
      </c>
      <c r="N1071" s="29">
        <v>8.77</v>
      </c>
      <c r="O1071" s="41"/>
      <c r="P1071" s="59"/>
      <c r="Q1071"/>
      <c r="R1071"/>
      <c r="S1071" t="s">
        <v>4179</v>
      </c>
      <c r="T1071" s="145" t="s">
        <v>4179</v>
      </c>
      <c r="U1071" s="60"/>
      <c r="V1071" s="50"/>
      <c r="W1071"/>
      <c r="X1071" t="s">
        <v>1017</v>
      </c>
      <c r="Y1071" s="50"/>
      <c r="Z1071" s="50"/>
      <c r="AA1071" s="50"/>
      <c r="AB1071" s="50"/>
      <c r="AC1071" s="50"/>
      <c r="AD1071" s="50"/>
      <c r="AE1071" s="75" t="s">
        <v>1017</v>
      </c>
      <c r="AF1071" s="50"/>
      <c r="AG1071" s="50"/>
      <c r="AH1071" s="166" t="str">
        <f>IF(ISERROR(SEARCH("K erstmals 201",D1071)),"",RIGHT(D1071,4))</f>
        <v/>
      </c>
      <c r="AI1071" s="168" t="str">
        <f t="shared" si="431"/>
        <v/>
      </c>
      <c r="AJ1071" s="168" t="str">
        <f t="shared" si="432"/>
        <v/>
      </c>
      <c r="AK1071" s="168" t="str">
        <f t="shared" si="433"/>
        <v/>
      </c>
      <c r="AL1071" s="168" t="str">
        <f t="shared" si="434"/>
        <v/>
      </c>
      <c r="AM1071" s="168" t="str">
        <f t="shared" si="435"/>
        <v/>
      </c>
      <c r="AN1071" s="167" t="str">
        <f t="shared" si="418"/>
        <v/>
      </c>
      <c r="AO1071" s="167" t="str">
        <f t="shared" si="419"/>
        <v/>
      </c>
      <c r="AP1071" s="167" t="str">
        <f t="shared" si="420"/>
        <v/>
      </c>
      <c r="AQ1071" s="169" t="str">
        <f t="shared" si="421"/>
        <v/>
      </c>
      <c r="AR1071" s="170" t="str">
        <f t="shared" si="422"/>
        <v>BiK83a3b----05</v>
      </c>
      <c r="AS1071" s="169" t="str">
        <f t="shared" si="423"/>
        <v/>
      </c>
      <c r="AT1071">
        <f t="shared" si="424"/>
        <v>14</v>
      </c>
      <c r="AU1071" s="170" t="str">
        <f t="shared" si="425"/>
        <v>0,5-5 MW, Bonusregeln a3 und b</v>
      </c>
      <c r="AV1071" s="169" t="str">
        <f t="shared" si="426"/>
        <v/>
      </c>
      <c r="AW1071" s="170" t="str">
        <f t="shared" si="427"/>
        <v>Anteil Nicht-KWK</v>
      </c>
      <c r="AX1071" s="169" t="str">
        <f t="shared" si="428"/>
        <v/>
      </c>
      <c r="AY1071" t="str">
        <f t="shared" si="429"/>
        <v/>
      </c>
      <c r="AZ1071" t="str">
        <f t="shared" si="430"/>
        <v/>
      </c>
    </row>
    <row r="1072" spans="1:52" s="145" customFormat="1" x14ac:dyDescent="0.35">
      <c r="A1072" s="496" t="s">
        <v>871</v>
      </c>
      <c r="B1072" s="1" t="s">
        <v>5547</v>
      </c>
      <c r="C1072" s="1" t="s">
        <v>1288</v>
      </c>
      <c r="D1072" s="1" t="s">
        <v>6793</v>
      </c>
      <c r="E1072" s="1" t="s">
        <v>4811</v>
      </c>
      <c r="F1072" s="375">
        <f t="shared" si="436"/>
        <v>15.27</v>
      </c>
      <c r="G1072" s="432">
        <v>15.27</v>
      </c>
      <c r="H1072" s="401">
        <f t="shared" si="437"/>
        <v>12.22</v>
      </c>
      <c r="I1072" s="578"/>
      <c r="J1072" s="549" t="s">
        <v>5804</v>
      </c>
      <c r="K1072" s="11"/>
      <c r="L1072"/>
      <c r="M1072" s="37">
        <f t="shared" si="438"/>
        <v>15.27</v>
      </c>
      <c r="N1072" s="29">
        <v>8.77</v>
      </c>
      <c r="O1072" s="41" t="s">
        <v>1017</v>
      </c>
      <c r="P1072" s="59"/>
      <c r="Q1072"/>
      <c r="R1072"/>
      <c r="S1072" t="s">
        <v>4179</v>
      </c>
      <c r="T1072" s="145" t="s">
        <v>4179</v>
      </c>
      <c r="U1072" s="60"/>
      <c r="V1072" s="50"/>
      <c r="W1072"/>
      <c r="X1072" t="s">
        <v>1017</v>
      </c>
      <c r="Y1072" s="50"/>
      <c r="Z1072" s="50"/>
      <c r="AA1072" s="50"/>
      <c r="AB1072" s="50"/>
      <c r="AC1072" s="50"/>
      <c r="AD1072" s="50"/>
      <c r="AE1072" s="75" t="s">
        <v>1017</v>
      </c>
      <c r="AF1072" s="50"/>
      <c r="AG1072" s="50"/>
      <c r="AH1072" s="166" t="str">
        <f>IF(ISERROR(SEARCH("K erstmals 201",D1072)),"",RIGHT(D1072,4))</f>
        <v/>
      </c>
      <c r="AI1072" s="168" t="str">
        <f t="shared" si="431"/>
        <v/>
      </c>
      <c r="AJ1072" s="168" t="str">
        <f t="shared" si="432"/>
        <v/>
      </c>
      <c r="AK1072" s="168" t="str">
        <f t="shared" si="433"/>
        <v/>
      </c>
      <c r="AL1072" s="168" t="str">
        <f t="shared" si="434"/>
        <v/>
      </c>
      <c r="AM1072" s="168" t="str">
        <f t="shared" si="435"/>
        <v/>
      </c>
      <c r="AN1072" s="167" t="str">
        <f t="shared" si="418"/>
        <v/>
      </c>
      <c r="AO1072" s="167" t="str">
        <f t="shared" si="419"/>
        <v/>
      </c>
      <c r="AP1072" s="167" t="str">
        <f t="shared" si="420"/>
        <v/>
      </c>
      <c r="AQ1072" s="169" t="str">
        <f t="shared" si="421"/>
        <v/>
      </c>
      <c r="AR1072" s="170" t="str">
        <f t="shared" si="422"/>
        <v>BiK83a3bKWK-05</v>
      </c>
      <c r="AS1072" s="169" t="str">
        <f t="shared" si="423"/>
        <v/>
      </c>
      <c r="AT1072">
        <f t="shared" si="424"/>
        <v>14</v>
      </c>
      <c r="AU1072" s="170" t="str">
        <f t="shared" si="425"/>
        <v>0,5-5 MW, Bonusregeln a3, b und KWK</v>
      </c>
      <c r="AV1072" s="169" t="str">
        <f t="shared" si="426"/>
        <v/>
      </c>
      <c r="AW1072" s="170" t="str">
        <f t="shared" si="427"/>
        <v>Anteil KWK</v>
      </c>
      <c r="AX1072" s="169" t="str">
        <f t="shared" si="428"/>
        <v/>
      </c>
      <c r="AY1072" t="str">
        <f t="shared" si="429"/>
        <v/>
      </c>
      <c r="AZ1072" t="str">
        <f t="shared" si="430"/>
        <v/>
      </c>
    </row>
    <row r="1073" spans="1:52" s="145" customFormat="1" x14ac:dyDescent="0.35">
      <c r="A1073" s="497" t="s">
        <v>2357</v>
      </c>
      <c r="B1073" s="13" t="s">
        <v>5547</v>
      </c>
      <c r="C1073" s="13" t="s">
        <v>1288</v>
      </c>
      <c r="D1073" s="13" t="s">
        <v>6794</v>
      </c>
      <c r="E1073" s="13" t="s">
        <v>674</v>
      </c>
      <c r="F1073" s="373">
        <f t="shared" si="436"/>
        <v>16.27</v>
      </c>
      <c r="G1073" s="430">
        <v>16.27</v>
      </c>
      <c r="H1073" s="399">
        <f t="shared" si="437"/>
        <v>13.02</v>
      </c>
      <c r="I1073" s="576"/>
      <c r="J1073" s="549" t="s">
        <v>5804</v>
      </c>
      <c r="K1073" s="11"/>
      <c r="L1073"/>
      <c r="M1073" s="37">
        <f t="shared" si="438"/>
        <v>16.27</v>
      </c>
      <c r="N1073" s="29">
        <v>8.77</v>
      </c>
      <c r="O1073" s="41"/>
      <c r="P1073" s="59"/>
      <c r="Q1073" t="s">
        <v>1017</v>
      </c>
      <c r="R1073"/>
      <c r="S1073" t="s">
        <v>4179</v>
      </c>
      <c r="T1073" s="145" t="s">
        <v>4179</v>
      </c>
      <c r="U1073" s="60"/>
      <c r="V1073" s="50"/>
      <c r="W1073"/>
      <c r="X1073" t="s">
        <v>1017</v>
      </c>
      <c r="Y1073" s="50"/>
      <c r="Z1073" s="50"/>
      <c r="AA1073" s="50"/>
      <c r="AB1073" s="50"/>
      <c r="AC1073" s="50"/>
      <c r="AD1073" s="50"/>
      <c r="AE1073" s="75" t="s">
        <v>1017</v>
      </c>
      <c r="AF1073" s="50"/>
      <c r="AG1073" s="50"/>
      <c r="AH1073" s="166" t="str">
        <f>IF(ISERROR(SEARCH("K erstmals 201",D1073)),"",RIGHT(D1073,4))</f>
        <v/>
      </c>
      <c r="AI1073" s="168" t="str">
        <f t="shared" si="431"/>
        <v/>
      </c>
      <c r="AJ1073" s="168" t="str">
        <f t="shared" si="432"/>
        <v/>
      </c>
      <c r="AK1073" s="168" t="str">
        <f t="shared" si="433"/>
        <v/>
      </c>
      <c r="AL1073" s="168" t="str">
        <f t="shared" si="434"/>
        <v/>
      </c>
      <c r="AM1073" s="168" t="str">
        <f t="shared" si="435"/>
        <v/>
      </c>
      <c r="AN1073" s="167" t="str">
        <f t="shared" si="418"/>
        <v/>
      </c>
      <c r="AO1073" s="167" t="str">
        <f t="shared" si="419"/>
        <v/>
      </c>
      <c r="AP1073" s="167" t="str">
        <f t="shared" si="420"/>
        <v/>
      </c>
      <c r="AQ1073" s="169" t="str">
        <f t="shared" si="421"/>
        <v/>
      </c>
      <c r="AR1073" s="170" t="str">
        <f t="shared" si="422"/>
        <v>BiK83a3bK09-05</v>
      </c>
      <c r="AS1073" s="169" t="str">
        <f t="shared" si="423"/>
        <v/>
      </c>
      <c r="AT1073">
        <f t="shared" si="424"/>
        <v>14</v>
      </c>
      <c r="AU1073" s="170" t="str">
        <f t="shared" si="425"/>
        <v>0,5-5 MW, Bonusregeln a3, b und K erstmals 2009</v>
      </c>
      <c r="AV1073" s="169" t="str">
        <f t="shared" si="426"/>
        <v/>
      </c>
      <c r="AW1073" s="170" t="str">
        <f t="shared" si="427"/>
        <v>Anteil KWK, erstmals 2009</v>
      </c>
      <c r="AX1073" s="169" t="str">
        <f t="shared" si="428"/>
        <v/>
      </c>
      <c r="AY1073" t="str">
        <f t="shared" si="429"/>
        <v/>
      </c>
      <c r="AZ1073" t="str">
        <f t="shared" si="430"/>
        <v/>
      </c>
    </row>
    <row r="1074" spans="1:52" s="145" customFormat="1" x14ac:dyDescent="0.35">
      <c r="A1074" s="497" t="s">
        <v>3620</v>
      </c>
      <c r="B1074" s="13" t="s">
        <v>5547</v>
      </c>
      <c r="C1074" s="13" t="s">
        <v>1288</v>
      </c>
      <c r="D1074" s="13" t="s">
        <v>6795</v>
      </c>
      <c r="E1074" s="13" t="s">
        <v>3566</v>
      </c>
      <c r="F1074" s="373">
        <f t="shared" si="436"/>
        <v>16.240000000000002</v>
      </c>
      <c r="G1074" s="430">
        <v>16.240000000000002</v>
      </c>
      <c r="H1074" s="399">
        <f t="shared" si="437"/>
        <v>12.99</v>
      </c>
      <c r="I1074" s="576"/>
      <c r="J1074" s="549" t="s">
        <v>5804</v>
      </c>
      <c r="K1074" s="11"/>
      <c r="L1074"/>
      <c r="M1074" s="37">
        <f t="shared" si="438"/>
        <v>16.240000000000002</v>
      </c>
      <c r="N1074" s="29">
        <v>8.77</v>
      </c>
      <c r="O1074" s="41"/>
      <c r="P1074" s="59"/>
      <c r="Q1074"/>
      <c r="R1074" t="s">
        <v>1017</v>
      </c>
      <c r="S1074" t="s">
        <v>4179</v>
      </c>
      <c r="T1074" s="145" t="s">
        <v>4179</v>
      </c>
      <c r="U1074" s="60"/>
      <c r="V1074" s="50"/>
      <c r="W1074"/>
      <c r="X1074" t="s">
        <v>1017</v>
      </c>
      <c r="Y1074" s="50"/>
      <c r="Z1074" s="50"/>
      <c r="AA1074" s="50"/>
      <c r="AB1074" s="50"/>
      <c r="AC1074" s="50"/>
      <c r="AD1074" s="50"/>
      <c r="AE1074" s="75" t="s">
        <v>1017</v>
      </c>
      <c r="AF1074" s="50"/>
      <c r="AG1074" s="50"/>
      <c r="AH1074" s="166" t="str">
        <f>IF(ISERROR(SEARCH("K erstmals 201",D1074)),"",RIGHT(D1074,4))</f>
        <v>2010</v>
      </c>
      <c r="AI1074" s="168" t="str">
        <f t="shared" si="431"/>
        <v/>
      </c>
      <c r="AJ1074" s="168" t="str">
        <f t="shared" si="432"/>
        <v/>
      </c>
      <c r="AK1074" s="168" t="str">
        <f t="shared" si="433"/>
        <v/>
      </c>
      <c r="AL1074" s="168" t="str">
        <f t="shared" si="434"/>
        <v/>
      </c>
      <c r="AM1074" s="168" t="str">
        <f t="shared" si="435"/>
        <v/>
      </c>
      <c r="AN1074" s="167" t="str">
        <f t="shared" si="418"/>
        <v>2010</v>
      </c>
      <c r="AO1074" s="167" t="str">
        <f t="shared" si="419"/>
        <v>2010</v>
      </c>
      <c r="AP1074" s="167" t="str">
        <f t="shared" si="420"/>
        <v>2010</v>
      </c>
      <c r="AQ1074" s="169" t="str">
        <f t="shared" si="421"/>
        <v/>
      </c>
      <c r="AR1074" s="170" t="str">
        <f t="shared" si="422"/>
        <v>BiK83a3bK10-05</v>
      </c>
      <c r="AS1074" s="169" t="str">
        <f t="shared" si="423"/>
        <v/>
      </c>
      <c r="AT1074">
        <f t="shared" si="424"/>
        <v>14</v>
      </c>
      <c r="AU1074" s="170" t="str">
        <f t="shared" si="425"/>
        <v>0,5-5 MW, Bonusregeln a3, b und K erstmals 2010</v>
      </c>
      <c r="AV1074" s="169" t="str">
        <f t="shared" si="426"/>
        <v/>
      </c>
      <c r="AW1074" s="170" t="str">
        <f t="shared" si="427"/>
        <v>Anteil KWK, erstmals 2010</v>
      </c>
      <c r="AX1074" s="169" t="str">
        <f t="shared" si="428"/>
        <v/>
      </c>
      <c r="AY1074" t="str">
        <f t="shared" si="429"/>
        <v/>
      </c>
      <c r="AZ1074" t="str">
        <f t="shared" si="430"/>
        <v/>
      </c>
    </row>
    <row r="1075" spans="1:52" s="145" customFormat="1" x14ac:dyDescent="0.35">
      <c r="A1075" s="497" t="s">
        <v>5351</v>
      </c>
      <c r="B1075" s="13" t="s">
        <v>5547</v>
      </c>
      <c r="C1075" s="13" t="s">
        <v>1288</v>
      </c>
      <c r="D1075" s="13" t="s">
        <v>6796</v>
      </c>
      <c r="E1075" s="13" t="s">
        <v>3054</v>
      </c>
      <c r="F1075" s="373">
        <f t="shared" si="436"/>
        <v>16.21</v>
      </c>
      <c r="G1075" s="430">
        <v>16.21</v>
      </c>
      <c r="H1075" s="399">
        <f t="shared" si="437"/>
        <v>12.97</v>
      </c>
      <c r="I1075" s="576"/>
      <c r="J1075" s="549" t="s">
        <v>5804</v>
      </c>
      <c r="K1075" s="11"/>
      <c r="L1075"/>
      <c r="M1075" s="37">
        <f t="shared" si="438"/>
        <v>16.21</v>
      </c>
      <c r="N1075" s="29">
        <v>8.77</v>
      </c>
      <c r="O1075" s="41"/>
      <c r="P1075" s="59"/>
      <c r="Q1075"/>
      <c r="R1075"/>
      <c r="S1075" t="s">
        <v>1017</v>
      </c>
      <c r="T1075" s="145" t="s">
        <v>4179</v>
      </c>
      <c r="U1075" s="60"/>
      <c r="V1075" s="50"/>
      <c r="W1075"/>
      <c r="X1075" t="s">
        <v>1017</v>
      </c>
      <c r="Y1075" s="50"/>
      <c r="Z1075" s="50"/>
      <c r="AA1075" s="50"/>
      <c r="AB1075" s="50"/>
      <c r="AC1075" s="50"/>
      <c r="AD1075" s="50"/>
      <c r="AE1075" s="75" t="s">
        <v>1017</v>
      </c>
      <c r="AF1075" s="50"/>
      <c r="AG1075" s="50"/>
      <c r="AH1075" s="166" t="str">
        <f>IF(ISERROR(SEARCH("K erstmals 201",D1075)),"",RIGHT(D1075,4))</f>
        <v>2011</v>
      </c>
      <c r="AI1075" s="168" t="str">
        <f t="shared" si="431"/>
        <v/>
      </c>
      <c r="AJ1075" s="168" t="str">
        <f t="shared" si="432"/>
        <v/>
      </c>
      <c r="AK1075" s="168" t="str">
        <f t="shared" si="433"/>
        <v/>
      </c>
      <c r="AL1075" s="168" t="str">
        <f t="shared" si="434"/>
        <v/>
      </c>
      <c r="AM1075" s="168" t="str">
        <f t="shared" si="435"/>
        <v/>
      </c>
      <c r="AN1075" s="167" t="str">
        <f t="shared" si="418"/>
        <v>2011</v>
      </c>
      <c r="AO1075" s="167" t="str">
        <f t="shared" si="419"/>
        <v>2011</v>
      </c>
      <c r="AP1075" s="167" t="str">
        <f t="shared" si="420"/>
        <v>2011</v>
      </c>
      <c r="AQ1075" s="169" t="str">
        <f t="shared" si="421"/>
        <v/>
      </c>
      <c r="AR1075" s="170" t="str">
        <f t="shared" si="422"/>
        <v>BiK83a3bK11-05</v>
      </c>
      <c r="AS1075" s="169" t="str">
        <f t="shared" si="423"/>
        <v/>
      </c>
      <c r="AT1075">
        <f t="shared" si="424"/>
        <v>14</v>
      </c>
      <c r="AU1075" s="170" t="str">
        <f t="shared" si="425"/>
        <v>0,5-5 MW, Bonusregeln a3, b und K erstmals 2011</v>
      </c>
      <c r="AV1075" s="169" t="str">
        <f t="shared" si="426"/>
        <v/>
      </c>
      <c r="AW1075" s="170" t="str">
        <f t="shared" si="427"/>
        <v>Anteil KWK, erstmals 2011</v>
      </c>
      <c r="AX1075" s="169" t="str">
        <f t="shared" si="428"/>
        <v/>
      </c>
      <c r="AY1075" t="str">
        <f t="shared" si="429"/>
        <v>x</v>
      </c>
      <c r="AZ1075" t="str">
        <f t="shared" si="430"/>
        <v/>
      </c>
    </row>
    <row r="1076" spans="1:52" s="145" customFormat="1" x14ac:dyDescent="0.35">
      <c r="A1076" s="511" t="s">
        <v>1602</v>
      </c>
      <c r="B1076" s="173" t="s">
        <v>5547</v>
      </c>
      <c r="C1076" s="173" t="s">
        <v>1288</v>
      </c>
      <c r="D1076" s="173" t="s">
        <v>6797</v>
      </c>
      <c r="E1076" s="173" t="s">
        <v>1980</v>
      </c>
      <c r="F1076" s="374">
        <f t="shared" si="436"/>
        <v>16.18</v>
      </c>
      <c r="G1076" s="431">
        <v>16.18</v>
      </c>
      <c r="H1076" s="400">
        <f t="shared" si="437"/>
        <v>12.94</v>
      </c>
      <c r="I1076" s="577"/>
      <c r="J1076" s="549" t="s">
        <v>5804</v>
      </c>
      <c r="K1076" s="11"/>
      <c r="L1076"/>
      <c r="M1076" s="37">
        <f t="shared" si="438"/>
        <v>16.18</v>
      </c>
      <c r="N1076" s="29">
        <v>8.77</v>
      </c>
      <c r="O1076" s="41"/>
      <c r="P1076" s="59"/>
      <c r="Q1076"/>
      <c r="R1076"/>
      <c r="S1076" t="s">
        <v>4179</v>
      </c>
      <c r="T1076" s="145" t="s">
        <v>1017</v>
      </c>
      <c r="U1076" s="60"/>
      <c r="V1076" s="50"/>
      <c r="W1076"/>
      <c r="X1076" t="s">
        <v>1017</v>
      </c>
      <c r="Y1076" s="50"/>
      <c r="Z1076" s="50"/>
      <c r="AA1076" s="50"/>
      <c r="AB1076" s="50"/>
      <c r="AC1076" s="50"/>
      <c r="AD1076" s="50"/>
      <c r="AE1076" s="75" t="s">
        <v>1017</v>
      </c>
      <c r="AF1076" s="50"/>
      <c r="AG1076" s="50"/>
      <c r="AH1076" s="171" t="s">
        <v>4178</v>
      </c>
      <c r="AI1076" s="168" t="str">
        <f t="shared" si="431"/>
        <v/>
      </c>
      <c r="AJ1076" s="168" t="str">
        <f t="shared" si="432"/>
        <v/>
      </c>
      <c r="AK1076" s="168" t="str">
        <f t="shared" si="433"/>
        <v/>
      </c>
      <c r="AL1076" s="168" t="str">
        <f t="shared" si="434"/>
        <v/>
      </c>
      <c r="AM1076" s="168" t="str">
        <f t="shared" si="435"/>
        <v/>
      </c>
      <c r="AN1076" s="167" t="str">
        <f t="shared" si="418"/>
        <v>2012</v>
      </c>
      <c r="AO1076" s="167" t="str">
        <f t="shared" si="419"/>
        <v>2012</v>
      </c>
      <c r="AP1076" s="167" t="str">
        <f t="shared" si="420"/>
        <v>2012</v>
      </c>
      <c r="AQ1076" s="169" t="str">
        <f t="shared" si="421"/>
        <v/>
      </c>
      <c r="AR1076" s="170" t="str">
        <f t="shared" si="422"/>
        <v>BiK83a3bK12-05</v>
      </c>
      <c r="AS1076" s="169" t="str">
        <f t="shared" si="423"/>
        <v/>
      </c>
      <c r="AT1076">
        <f t="shared" si="424"/>
        <v>14</v>
      </c>
      <c r="AU1076" s="170" t="str">
        <f t="shared" si="425"/>
        <v>0,5-5 MW, Bonusregeln a3, b und K erstmals 2012</v>
      </c>
      <c r="AV1076" s="169" t="str">
        <f t="shared" si="426"/>
        <v/>
      </c>
      <c r="AW1076" s="170" t="str">
        <f t="shared" si="427"/>
        <v>Anteil KWK, erstmals 2012</v>
      </c>
      <c r="AX1076" s="169" t="str">
        <f t="shared" si="428"/>
        <v/>
      </c>
      <c r="AY1076" t="str">
        <f t="shared" si="429"/>
        <v/>
      </c>
      <c r="AZ1076" t="str">
        <f t="shared" si="430"/>
        <v>x</v>
      </c>
    </row>
    <row r="1077" spans="1:52" x14ac:dyDescent="0.35">
      <c r="A1077" s="496" t="s">
        <v>872</v>
      </c>
      <c r="B1077" s="1" t="s">
        <v>5547</v>
      </c>
      <c r="C1077" s="1" t="s">
        <v>1288</v>
      </c>
      <c r="D1077" s="1" t="s">
        <v>1776</v>
      </c>
      <c r="E1077" s="1" t="s">
        <v>4809</v>
      </c>
      <c r="F1077" s="375">
        <f t="shared" si="436"/>
        <v>8.27</v>
      </c>
      <c r="G1077" s="432">
        <v>8.27</v>
      </c>
      <c r="H1077" s="401">
        <f t="shared" si="437"/>
        <v>6.62</v>
      </c>
      <c r="I1077" s="578"/>
      <c r="J1077" s="549" t="s">
        <v>5804</v>
      </c>
      <c r="K1077" s="11"/>
      <c r="M1077" s="37">
        <f t="shared" si="438"/>
        <v>8.27</v>
      </c>
      <c r="N1077" s="29">
        <v>8.27</v>
      </c>
      <c r="O1077" s="41"/>
      <c r="P1077" s="59"/>
      <c r="S1077" t="s">
        <v>4179</v>
      </c>
      <c r="T1077" t="s">
        <v>4179</v>
      </c>
      <c r="U1077" s="60"/>
      <c r="V1077" s="50"/>
      <c r="W1077" s="50"/>
      <c r="X1077" s="50"/>
      <c r="Y1077" s="50"/>
      <c r="Z1077" s="50"/>
      <c r="AA1077" s="50"/>
      <c r="AB1077" s="50"/>
      <c r="AC1077" s="50"/>
      <c r="AD1077" s="50"/>
      <c r="AE1077" s="154"/>
      <c r="AF1077" s="50"/>
      <c r="AG1077" s="50"/>
      <c r="AH1077" s="166" t="str">
        <f>IF(ISERROR(SEARCH("K erstmals 201",D1077)),"",RIGHT(D1077,4))</f>
        <v/>
      </c>
      <c r="AI1077" s="168" t="str">
        <f t="shared" si="431"/>
        <v/>
      </c>
      <c r="AJ1077" s="168" t="str">
        <f t="shared" si="432"/>
        <v/>
      </c>
      <c r="AK1077" s="168" t="str">
        <f t="shared" si="433"/>
        <v/>
      </c>
      <c r="AL1077" s="168" t="str">
        <f t="shared" si="434"/>
        <v/>
      </c>
      <c r="AM1077" s="168" t="str">
        <f t="shared" si="435"/>
        <v/>
      </c>
      <c r="AN1077" s="167" t="str">
        <f t="shared" si="418"/>
        <v/>
      </c>
      <c r="AO1077" s="167" t="str">
        <f t="shared" si="419"/>
        <v/>
      </c>
      <c r="AP1077" s="167" t="str">
        <f t="shared" si="420"/>
        <v/>
      </c>
      <c r="AQ1077" s="169" t="str">
        <f t="shared" si="421"/>
        <v/>
      </c>
      <c r="AR1077" s="170" t="str">
        <f t="shared" si="422"/>
        <v>BiK84-------05</v>
      </c>
      <c r="AS1077" s="169" t="str">
        <f t="shared" si="423"/>
        <v/>
      </c>
      <c r="AT1077">
        <f t="shared" si="424"/>
        <v>14</v>
      </c>
      <c r="AU1077" s="170" t="str">
        <f t="shared" si="425"/>
        <v>5-20 MW</v>
      </c>
      <c r="AV1077" s="169" t="str">
        <f t="shared" si="426"/>
        <v/>
      </c>
      <c r="AW1077" s="170" t="str">
        <f t="shared" si="427"/>
        <v>Anteil Nicht-KWK</v>
      </c>
      <c r="AX1077" s="169" t="str">
        <f t="shared" si="428"/>
        <v/>
      </c>
      <c r="AY1077" t="str">
        <f t="shared" si="429"/>
        <v/>
      </c>
      <c r="AZ1077" t="str">
        <f t="shared" si="430"/>
        <v/>
      </c>
    </row>
    <row r="1078" spans="1:52" x14ac:dyDescent="0.35">
      <c r="A1078" s="496" t="s">
        <v>873</v>
      </c>
      <c r="B1078" s="1" t="s">
        <v>5547</v>
      </c>
      <c r="C1078" s="1" t="s">
        <v>1288</v>
      </c>
      <c r="D1078" s="1" t="s">
        <v>7362</v>
      </c>
      <c r="E1078" s="1" t="s">
        <v>4811</v>
      </c>
      <c r="F1078" s="375">
        <f t="shared" si="436"/>
        <v>10.27</v>
      </c>
      <c r="G1078" s="432">
        <v>10.27</v>
      </c>
      <c r="H1078" s="401">
        <f t="shared" si="437"/>
        <v>8.2200000000000006</v>
      </c>
      <c r="I1078" s="578"/>
      <c r="J1078" s="549" t="s">
        <v>5804</v>
      </c>
      <c r="K1078" s="11"/>
      <c r="M1078" s="37">
        <f t="shared" si="438"/>
        <v>10.27</v>
      </c>
      <c r="N1078" s="29">
        <v>8.27</v>
      </c>
      <c r="O1078" s="41" t="s">
        <v>1017</v>
      </c>
      <c r="P1078" s="59"/>
      <c r="S1078" t="s">
        <v>4179</v>
      </c>
      <c r="T1078" t="s">
        <v>4179</v>
      </c>
      <c r="U1078" s="60"/>
      <c r="V1078" s="50"/>
      <c r="W1078" s="50"/>
      <c r="X1078" s="50"/>
      <c r="Y1078" s="50"/>
      <c r="Z1078" s="50"/>
      <c r="AA1078" s="50"/>
      <c r="AB1078" s="50"/>
      <c r="AC1078" s="50"/>
      <c r="AD1078" s="50"/>
      <c r="AE1078" s="154"/>
      <c r="AF1078" s="50"/>
      <c r="AG1078" s="50"/>
      <c r="AH1078" s="166" t="str">
        <f>IF(ISERROR(SEARCH("K erstmals 201",D1078)),"",RIGHT(D1078,4))</f>
        <v/>
      </c>
      <c r="AI1078" s="168" t="str">
        <f t="shared" si="431"/>
        <v/>
      </c>
      <c r="AJ1078" s="168" t="str">
        <f t="shared" si="432"/>
        <v/>
      </c>
      <c r="AK1078" s="168" t="str">
        <f t="shared" si="433"/>
        <v/>
      </c>
      <c r="AL1078" s="168" t="str">
        <f t="shared" si="434"/>
        <v/>
      </c>
      <c r="AM1078" s="168" t="str">
        <f t="shared" si="435"/>
        <v/>
      </c>
      <c r="AN1078" s="167" t="str">
        <f t="shared" si="418"/>
        <v/>
      </c>
      <c r="AO1078" s="167" t="str">
        <f t="shared" si="419"/>
        <v/>
      </c>
      <c r="AP1078" s="167" t="str">
        <f t="shared" si="420"/>
        <v/>
      </c>
      <c r="AQ1078" s="169" t="str">
        <f t="shared" si="421"/>
        <v/>
      </c>
      <c r="AR1078" s="170" t="str">
        <f t="shared" si="422"/>
        <v>BiK84KWK----05</v>
      </c>
      <c r="AS1078" s="169" t="str">
        <f t="shared" si="423"/>
        <v/>
      </c>
      <c r="AT1078">
        <f t="shared" si="424"/>
        <v>14</v>
      </c>
      <c r="AU1078" s="170" t="str">
        <f t="shared" si="425"/>
        <v>5-20 MW, Bonusregel KWK</v>
      </c>
      <c r="AV1078" s="169" t="str">
        <f t="shared" si="426"/>
        <v/>
      </c>
      <c r="AW1078" s="170" t="str">
        <f t="shared" si="427"/>
        <v>Anteil KWK</v>
      </c>
      <c r="AX1078" s="169" t="str">
        <f t="shared" si="428"/>
        <v/>
      </c>
      <c r="AY1078" t="str">
        <f t="shared" si="429"/>
        <v/>
      </c>
      <c r="AZ1078" t="str">
        <f t="shared" si="430"/>
        <v/>
      </c>
    </row>
    <row r="1079" spans="1:52" x14ac:dyDescent="0.35">
      <c r="A1079" s="497" t="s">
        <v>2358</v>
      </c>
      <c r="B1079" s="13" t="s">
        <v>5547</v>
      </c>
      <c r="C1079" s="13" t="s">
        <v>1288</v>
      </c>
      <c r="D1079" s="13" t="s">
        <v>7358</v>
      </c>
      <c r="E1079" s="13" t="s">
        <v>674</v>
      </c>
      <c r="F1079" s="373">
        <f t="shared" si="436"/>
        <v>11.27</v>
      </c>
      <c r="G1079" s="430">
        <v>11.27</v>
      </c>
      <c r="H1079" s="399">
        <f t="shared" si="437"/>
        <v>9.02</v>
      </c>
      <c r="I1079" s="576"/>
      <c r="J1079" s="549" t="s">
        <v>5804</v>
      </c>
      <c r="K1079" s="11"/>
      <c r="M1079" s="37">
        <f t="shared" si="438"/>
        <v>11.27</v>
      </c>
      <c r="N1079" s="29">
        <v>8.27</v>
      </c>
      <c r="O1079" s="41"/>
      <c r="P1079" s="59"/>
      <c r="Q1079" t="s">
        <v>1017</v>
      </c>
      <c r="S1079" t="s">
        <v>4179</v>
      </c>
      <c r="T1079" t="s">
        <v>4179</v>
      </c>
      <c r="U1079" s="60"/>
      <c r="V1079" s="50"/>
      <c r="W1079" s="50"/>
      <c r="X1079" s="50"/>
      <c r="Y1079" s="50"/>
      <c r="Z1079" s="50"/>
      <c r="AA1079" s="50"/>
      <c r="AB1079" s="50"/>
      <c r="AC1079" s="50"/>
      <c r="AD1079" s="50"/>
      <c r="AE1079" s="154"/>
      <c r="AF1079" s="50"/>
      <c r="AG1079" s="50"/>
      <c r="AH1079" s="166" t="str">
        <f>IF(ISERROR(SEARCH("K erstmals 201",D1079)),"",RIGHT(D1079,4))</f>
        <v/>
      </c>
      <c r="AI1079" s="168" t="str">
        <f t="shared" si="431"/>
        <v/>
      </c>
      <c r="AJ1079" s="168" t="str">
        <f t="shared" si="432"/>
        <v/>
      </c>
      <c r="AK1079" s="168" t="str">
        <f t="shared" si="433"/>
        <v/>
      </c>
      <c r="AL1079" s="168" t="str">
        <f t="shared" si="434"/>
        <v/>
      </c>
      <c r="AM1079" s="168" t="str">
        <f t="shared" si="435"/>
        <v/>
      </c>
      <c r="AN1079" s="167" t="str">
        <f t="shared" si="418"/>
        <v/>
      </c>
      <c r="AO1079" s="167" t="str">
        <f t="shared" si="419"/>
        <v/>
      </c>
      <c r="AP1079" s="167" t="str">
        <f t="shared" si="420"/>
        <v/>
      </c>
      <c r="AQ1079" s="169" t="str">
        <f t="shared" si="421"/>
        <v/>
      </c>
      <c r="AR1079" s="170" t="str">
        <f t="shared" si="422"/>
        <v>BiK84K09----05</v>
      </c>
      <c r="AS1079" s="169" t="str">
        <f t="shared" si="423"/>
        <v/>
      </c>
      <c r="AT1079">
        <f t="shared" si="424"/>
        <v>14</v>
      </c>
      <c r="AU1079" s="170" t="str">
        <f t="shared" si="425"/>
        <v>5-20 MW, Bonusregel K erstmals 2009</v>
      </c>
      <c r="AV1079" s="169" t="str">
        <f t="shared" si="426"/>
        <v/>
      </c>
      <c r="AW1079" s="170" t="str">
        <f t="shared" si="427"/>
        <v>Anteil KWK, erstmals 2009</v>
      </c>
      <c r="AX1079" s="169" t="str">
        <f t="shared" si="428"/>
        <v/>
      </c>
      <c r="AY1079" t="str">
        <f t="shared" si="429"/>
        <v/>
      </c>
      <c r="AZ1079" t="str">
        <f t="shared" si="430"/>
        <v/>
      </c>
    </row>
    <row r="1080" spans="1:52" x14ac:dyDescent="0.35">
      <c r="A1080" s="497" t="s">
        <v>3621</v>
      </c>
      <c r="B1080" s="13" t="s">
        <v>5547</v>
      </c>
      <c r="C1080" s="13" t="s">
        <v>1288</v>
      </c>
      <c r="D1080" s="13" t="s">
        <v>7359</v>
      </c>
      <c r="E1080" s="13" t="s">
        <v>3566</v>
      </c>
      <c r="F1080" s="373">
        <f t="shared" si="436"/>
        <v>11.24</v>
      </c>
      <c r="G1080" s="430">
        <v>11.24</v>
      </c>
      <c r="H1080" s="399">
        <f t="shared" si="437"/>
        <v>8.99</v>
      </c>
      <c r="I1080" s="576"/>
      <c r="J1080" s="549" t="s">
        <v>5804</v>
      </c>
      <c r="K1080" s="11"/>
      <c r="M1080" s="37">
        <f t="shared" si="438"/>
        <v>11.24</v>
      </c>
      <c r="N1080" s="29">
        <v>8.27</v>
      </c>
      <c r="O1080" s="41"/>
      <c r="P1080" s="59"/>
      <c r="R1080" t="s">
        <v>1017</v>
      </c>
      <c r="S1080" t="s">
        <v>4179</v>
      </c>
      <c r="T1080" t="s">
        <v>4179</v>
      </c>
      <c r="U1080" s="60"/>
      <c r="V1080" s="50"/>
      <c r="W1080" s="50"/>
      <c r="X1080" s="50"/>
      <c r="Y1080" s="50"/>
      <c r="Z1080" s="50"/>
      <c r="AA1080" s="50"/>
      <c r="AB1080" s="50"/>
      <c r="AC1080" s="50"/>
      <c r="AD1080" s="50"/>
      <c r="AE1080" s="154"/>
      <c r="AF1080" s="50"/>
      <c r="AG1080" s="50"/>
      <c r="AH1080" s="166" t="str">
        <f>IF(ISERROR(SEARCH("K erstmals 201",D1080)),"",RIGHT(D1080,4))</f>
        <v>2010</v>
      </c>
      <c r="AI1080" s="168" t="str">
        <f t="shared" si="431"/>
        <v/>
      </c>
      <c r="AJ1080" s="168" t="str">
        <f t="shared" si="432"/>
        <v/>
      </c>
      <c r="AK1080" s="168" t="str">
        <f t="shared" si="433"/>
        <v/>
      </c>
      <c r="AL1080" s="168" t="str">
        <f t="shared" si="434"/>
        <v/>
      </c>
      <c r="AM1080" s="168" t="str">
        <f t="shared" si="435"/>
        <v/>
      </c>
      <c r="AN1080" s="167" t="str">
        <f t="shared" si="418"/>
        <v>2010</v>
      </c>
      <c r="AO1080" s="167" t="str">
        <f t="shared" si="419"/>
        <v>2010</v>
      </c>
      <c r="AP1080" s="167" t="str">
        <f t="shared" si="420"/>
        <v>2010</v>
      </c>
      <c r="AQ1080" s="169" t="str">
        <f t="shared" si="421"/>
        <v/>
      </c>
      <c r="AR1080" s="170" t="str">
        <f t="shared" si="422"/>
        <v>BiK84K10----05</v>
      </c>
      <c r="AS1080" s="169" t="str">
        <f t="shared" si="423"/>
        <v/>
      </c>
      <c r="AT1080">
        <f t="shared" si="424"/>
        <v>14</v>
      </c>
      <c r="AU1080" s="170" t="str">
        <f t="shared" si="425"/>
        <v>5-20 MW, Bonusregel K erstmals 2010</v>
      </c>
      <c r="AV1080" s="169" t="str">
        <f t="shared" si="426"/>
        <v/>
      </c>
      <c r="AW1080" s="170" t="str">
        <f t="shared" si="427"/>
        <v>Anteil KWK, erstmals 2010</v>
      </c>
      <c r="AX1080" s="169" t="str">
        <f t="shared" si="428"/>
        <v/>
      </c>
      <c r="AY1080" t="str">
        <f t="shared" si="429"/>
        <v/>
      </c>
      <c r="AZ1080" t="str">
        <f t="shared" si="430"/>
        <v/>
      </c>
    </row>
    <row r="1081" spans="1:52" x14ac:dyDescent="0.35">
      <c r="A1081" s="497" t="s">
        <v>5352</v>
      </c>
      <c r="B1081" s="13" t="s">
        <v>5547</v>
      </c>
      <c r="C1081" s="13" t="s">
        <v>1288</v>
      </c>
      <c r="D1081" s="13" t="s">
        <v>7360</v>
      </c>
      <c r="E1081" s="13" t="s">
        <v>3054</v>
      </c>
      <c r="F1081" s="373">
        <f t="shared" si="436"/>
        <v>11.209999999999999</v>
      </c>
      <c r="G1081" s="430">
        <v>11.209999999999999</v>
      </c>
      <c r="H1081" s="399">
        <f t="shared" si="437"/>
        <v>8.9700000000000006</v>
      </c>
      <c r="I1081" s="576"/>
      <c r="J1081" s="549" t="s">
        <v>5804</v>
      </c>
      <c r="K1081" s="11"/>
      <c r="M1081" s="37">
        <f t="shared" si="438"/>
        <v>11.209999999999999</v>
      </c>
      <c r="N1081" s="29">
        <v>8.27</v>
      </c>
      <c r="O1081" s="41"/>
      <c r="P1081" s="59"/>
      <c r="S1081" t="s">
        <v>1017</v>
      </c>
      <c r="T1081" t="s">
        <v>4179</v>
      </c>
      <c r="U1081" s="60"/>
      <c r="V1081" s="50"/>
      <c r="W1081" s="50"/>
      <c r="X1081" s="50"/>
      <c r="Y1081" s="50"/>
      <c r="Z1081" s="50"/>
      <c r="AA1081" s="50"/>
      <c r="AB1081" s="50"/>
      <c r="AC1081" s="50"/>
      <c r="AD1081" s="50"/>
      <c r="AE1081" s="154"/>
      <c r="AF1081" s="50"/>
      <c r="AG1081" s="50"/>
      <c r="AH1081" s="166" t="str">
        <f>IF(ISERROR(SEARCH("K erstmals 201",D1081)),"",RIGHT(D1081,4))</f>
        <v>2011</v>
      </c>
      <c r="AI1081" s="168" t="str">
        <f t="shared" si="431"/>
        <v/>
      </c>
      <c r="AJ1081" s="168" t="str">
        <f t="shared" si="432"/>
        <v/>
      </c>
      <c r="AK1081" s="168" t="str">
        <f t="shared" si="433"/>
        <v/>
      </c>
      <c r="AL1081" s="168" t="str">
        <f t="shared" si="434"/>
        <v/>
      </c>
      <c r="AM1081" s="168" t="str">
        <f t="shared" si="435"/>
        <v/>
      </c>
      <c r="AN1081" s="167" t="str">
        <f t="shared" si="418"/>
        <v>2011</v>
      </c>
      <c r="AO1081" s="167" t="str">
        <f t="shared" si="419"/>
        <v>2011</v>
      </c>
      <c r="AP1081" s="167" t="str">
        <f t="shared" si="420"/>
        <v>2011</v>
      </c>
      <c r="AQ1081" s="169" t="str">
        <f t="shared" si="421"/>
        <v/>
      </c>
      <c r="AR1081" s="170" t="str">
        <f t="shared" si="422"/>
        <v>BiK84K11----05</v>
      </c>
      <c r="AS1081" s="169" t="str">
        <f t="shared" si="423"/>
        <v/>
      </c>
      <c r="AT1081">
        <f t="shared" si="424"/>
        <v>14</v>
      </c>
      <c r="AU1081" s="170" t="str">
        <f t="shared" si="425"/>
        <v>5-20 MW, Bonusregel K erstmals 2011</v>
      </c>
      <c r="AV1081" s="169" t="str">
        <f t="shared" si="426"/>
        <v/>
      </c>
      <c r="AW1081" s="170" t="str">
        <f t="shared" si="427"/>
        <v>Anteil KWK, erstmals 2011</v>
      </c>
      <c r="AX1081" s="169" t="str">
        <f t="shared" si="428"/>
        <v/>
      </c>
      <c r="AY1081" t="str">
        <f t="shared" si="429"/>
        <v>x</v>
      </c>
      <c r="AZ1081" t="str">
        <f t="shared" si="430"/>
        <v/>
      </c>
    </row>
    <row r="1082" spans="1:52" x14ac:dyDescent="0.35">
      <c r="A1082" s="511" t="s">
        <v>1603</v>
      </c>
      <c r="B1082" s="173" t="s">
        <v>5547</v>
      </c>
      <c r="C1082" s="173" t="s">
        <v>1288</v>
      </c>
      <c r="D1082" s="173" t="s">
        <v>7361</v>
      </c>
      <c r="E1082" s="173" t="s">
        <v>1980</v>
      </c>
      <c r="F1082" s="374">
        <f t="shared" si="436"/>
        <v>11.18</v>
      </c>
      <c r="G1082" s="431">
        <v>11.18</v>
      </c>
      <c r="H1082" s="400">
        <f t="shared" si="437"/>
        <v>8.94</v>
      </c>
      <c r="I1082" s="577"/>
      <c r="J1082" s="549" t="s">
        <v>5804</v>
      </c>
      <c r="K1082" s="11"/>
      <c r="M1082" s="37">
        <f t="shared" si="438"/>
        <v>11.18</v>
      </c>
      <c r="N1082" s="29">
        <v>8.27</v>
      </c>
      <c r="O1082" s="41"/>
      <c r="P1082" s="59"/>
      <c r="S1082" t="s">
        <v>4179</v>
      </c>
      <c r="T1082" t="s">
        <v>1017</v>
      </c>
      <c r="U1082" s="60"/>
      <c r="V1082" s="50"/>
      <c r="W1082" s="50"/>
      <c r="X1082" s="50"/>
      <c r="Y1082" s="50"/>
      <c r="Z1082" s="50"/>
      <c r="AA1082" s="50"/>
      <c r="AB1082" s="50"/>
      <c r="AC1082" s="50"/>
      <c r="AD1082" s="50"/>
      <c r="AE1082" s="154"/>
      <c r="AF1082" s="50"/>
      <c r="AG1082" s="50"/>
      <c r="AH1082" s="171" t="s">
        <v>4178</v>
      </c>
      <c r="AI1082" s="168" t="str">
        <f t="shared" si="431"/>
        <v/>
      </c>
      <c r="AJ1082" s="168" t="str">
        <f t="shared" si="432"/>
        <v/>
      </c>
      <c r="AK1082" s="168" t="str">
        <f t="shared" si="433"/>
        <v/>
      </c>
      <c r="AL1082" s="168" t="str">
        <f t="shared" si="434"/>
        <v/>
      </c>
      <c r="AM1082" s="168" t="str">
        <f t="shared" si="435"/>
        <v/>
      </c>
      <c r="AN1082" s="167" t="str">
        <f t="shared" si="418"/>
        <v>2012</v>
      </c>
      <c r="AO1082" s="167" t="str">
        <f t="shared" si="419"/>
        <v>2012</v>
      </c>
      <c r="AP1082" s="167" t="str">
        <f t="shared" si="420"/>
        <v>2012</v>
      </c>
      <c r="AQ1082" s="169" t="str">
        <f t="shared" si="421"/>
        <v/>
      </c>
      <c r="AR1082" s="170" t="str">
        <f t="shared" si="422"/>
        <v>BiK84K12----05</v>
      </c>
      <c r="AS1082" s="169" t="str">
        <f t="shared" si="423"/>
        <v/>
      </c>
      <c r="AT1082">
        <f t="shared" si="424"/>
        <v>14</v>
      </c>
      <c r="AU1082" s="170" t="str">
        <f t="shared" si="425"/>
        <v>5-20 MW, Bonusregel K erstmals 2012</v>
      </c>
      <c r="AV1082" s="169" t="str">
        <f t="shared" si="426"/>
        <v/>
      </c>
      <c r="AW1082" s="170" t="str">
        <f t="shared" si="427"/>
        <v>Anteil KWK, erstmals 2012</v>
      </c>
      <c r="AX1082" s="169" t="str">
        <f t="shared" si="428"/>
        <v/>
      </c>
      <c r="AY1082" t="str">
        <f t="shared" si="429"/>
        <v/>
      </c>
      <c r="AZ1082" t="str">
        <f t="shared" si="430"/>
        <v>x</v>
      </c>
    </row>
    <row r="1083" spans="1:52" s="145" customFormat="1" x14ac:dyDescent="0.35">
      <c r="A1083" s="496" t="s">
        <v>4179</v>
      </c>
      <c r="B1083" s="1"/>
      <c r="C1083" s="1"/>
      <c r="D1083" s="1" t="s">
        <v>4179</v>
      </c>
      <c r="E1083" s="1" t="s">
        <v>4179</v>
      </c>
      <c r="F1083" s="375"/>
      <c r="G1083" s="425"/>
      <c r="H1083" s="10" t="str">
        <f t="shared" si="437"/>
        <v/>
      </c>
      <c r="I1083" s="566"/>
      <c r="J1083" s="549" t="s">
        <v>4179</v>
      </c>
      <c r="K1083" s="11"/>
      <c r="L1083"/>
      <c r="M1083"/>
      <c r="N1083"/>
      <c r="O1083" s="75"/>
      <c r="P1083"/>
      <c r="Q1083"/>
      <c r="R1083"/>
      <c r="S1083" t="s">
        <v>4179</v>
      </c>
      <c r="T1083" s="145" t="s">
        <v>4179</v>
      </c>
      <c r="U1083" s="42"/>
      <c r="V1083"/>
      <c r="W1083"/>
      <c r="X1083"/>
      <c r="Y1083"/>
      <c r="Z1083"/>
      <c r="AA1083"/>
      <c r="AB1083"/>
      <c r="AC1083"/>
      <c r="AD1083"/>
      <c r="AE1083" s="75"/>
      <c r="AF1083"/>
      <c r="AG1083"/>
      <c r="AH1083" s="166" t="str">
        <f>IF(ISERROR(SEARCH("K erstmals 201",D1083)),"",RIGHT(D1083,4))</f>
        <v/>
      </c>
      <c r="AI1083" s="168" t="str">
        <f>IF(AND($AH1083&lt;&gt;"",AH1083 =AH1078),"Gleich","")</f>
        <v/>
      </c>
      <c r="AJ1083" s="168" t="str">
        <f>IF(AND($AH1083&lt;&gt;"",A1083 =A1078),"Gleich","")</f>
        <v/>
      </c>
      <c r="AK1083" s="168" t="str">
        <f>IF(AND($AH1083&lt;&gt;"",D1083 =D1078),"Gleich","")</f>
        <v/>
      </c>
      <c r="AL1083" s="168" t="str">
        <f>IF(AND($AH1083&lt;&gt;"",E1083 =E1078),"Gleich","")</f>
        <v/>
      </c>
      <c r="AM1083" s="168" t="str">
        <f>IF(AND($AH1083&lt;&gt;"",F1083 =F1078),"Gleich","")</f>
        <v/>
      </c>
      <c r="AN1083" s="167" t="str">
        <f t="shared" si="418"/>
        <v/>
      </c>
      <c r="AO1083" s="167" t="str">
        <f t="shared" si="419"/>
        <v/>
      </c>
      <c r="AP1083" s="167" t="str">
        <f t="shared" si="420"/>
        <v/>
      </c>
      <c r="AQ1083" s="169" t="str">
        <f t="shared" si="421"/>
        <v/>
      </c>
      <c r="AR1083" s="170" t="str">
        <f t="shared" si="422"/>
        <v/>
      </c>
      <c r="AS1083" s="169" t="str">
        <f t="shared" si="423"/>
        <v/>
      </c>
      <c r="AT1083">
        <f t="shared" si="424"/>
        <v>0</v>
      </c>
      <c r="AU1083" s="170" t="str">
        <f t="shared" si="425"/>
        <v/>
      </c>
      <c r="AV1083" s="169" t="str">
        <f t="shared" si="426"/>
        <v/>
      </c>
      <c r="AW1083" s="170" t="str">
        <f t="shared" si="427"/>
        <v/>
      </c>
      <c r="AX1083" s="169" t="str">
        <f t="shared" si="428"/>
        <v/>
      </c>
      <c r="AY1083" t="str">
        <f t="shared" si="429"/>
        <v/>
      </c>
      <c r="AZ1083" t="str">
        <f t="shared" si="430"/>
        <v/>
      </c>
    </row>
    <row r="1084" spans="1:52" x14ac:dyDescent="0.35">
      <c r="A1084" s="502" t="s">
        <v>858</v>
      </c>
      <c r="B1084" s="301" t="s">
        <v>5547</v>
      </c>
      <c r="C1084" s="301" t="s">
        <v>1288</v>
      </c>
      <c r="D1084" s="301" t="s">
        <v>6994</v>
      </c>
      <c r="E1084" s="301" t="s">
        <v>2826</v>
      </c>
      <c r="F1084" s="379">
        <f t="shared" ref="F1084:F1122" si="441">M1084</f>
        <v>21.55</v>
      </c>
      <c r="G1084" s="433">
        <f t="shared" ref="G1084:G1122" si="442">F1084</f>
        <v>21.55</v>
      </c>
      <c r="H1084" s="402">
        <f t="shared" si="437"/>
        <v>17.239999999999998</v>
      </c>
      <c r="I1084" s="579"/>
      <c r="J1084" s="549" t="s">
        <v>5804</v>
      </c>
      <c r="M1084" s="37">
        <f t="shared" ref="M1084:M1122" si="443">N1084+SUMIF(U1084:AG1084,"x",U$704:AG$704)+T1084</f>
        <v>21.55</v>
      </c>
      <c r="N1084" s="29">
        <v>11.67</v>
      </c>
      <c r="O1084" s="319"/>
      <c r="P1084" s="97" t="s">
        <v>2827</v>
      </c>
      <c r="Q1084" s="97"/>
      <c r="R1084" s="97">
        <v>2013</v>
      </c>
      <c r="S1084" s="97"/>
      <c r="T1084" s="92">
        <v>2.88</v>
      </c>
      <c r="U1084" s="146"/>
      <c r="V1084" s="145"/>
      <c r="W1084" s="147"/>
      <c r="X1084" s="147"/>
      <c r="Y1084" s="145" t="s">
        <v>1017</v>
      </c>
      <c r="Z1084" s="145"/>
      <c r="AA1084" s="147"/>
      <c r="AB1084" s="145"/>
      <c r="AC1084" s="145"/>
      <c r="AD1084" s="147"/>
      <c r="AE1084" s="148"/>
      <c r="AF1084" s="147"/>
      <c r="AG1084" s="147"/>
    </row>
    <row r="1085" spans="1:52" x14ac:dyDescent="0.35">
      <c r="A1085" s="502" t="s">
        <v>5611</v>
      </c>
      <c r="B1085" s="301" t="s">
        <v>5547</v>
      </c>
      <c r="C1085" s="301" t="s">
        <v>1288</v>
      </c>
      <c r="D1085" s="301" t="s">
        <v>6986</v>
      </c>
      <c r="E1085" s="301" t="s">
        <v>2826</v>
      </c>
      <c r="F1085" s="379">
        <f t="shared" si="441"/>
        <v>24.55</v>
      </c>
      <c r="G1085" s="433">
        <f t="shared" si="442"/>
        <v>24.55</v>
      </c>
      <c r="H1085" s="402">
        <f t="shared" si="437"/>
        <v>19.64</v>
      </c>
      <c r="I1085" s="579"/>
      <c r="J1085" s="549" t="s">
        <v>5804</v>
      </c>
      <c r="K1085" s="11"/>
      <c r="M1085" s="37">
        <f t="shared" si="443"/>
        <v>24.55</v>
      </c>
      <c r="N1085" s="29">
        <v>11.67</v>
      </c>
      <c r="O1085" s="319"/>
      <c r="P1085" s="97" t="s">
        <v>2827</v>
      </c>
      <c r="Q1085" s="97"/>
      <c r="R1085" s="97">
        <v>2013</v>
      </c>
      <c r="S1085" s="97"/>
      <c r="T1085" s="92">
        <v>2.88</v>
      </c>
      <c r="U1085" s="146" t="s">
        <v>1017</v>
      </c>
      <c r="V1085" s="145"/>
      <c r="W1085" s="147"/>
      <c r="X1085" s="147"/>
      <c r="Y1085" s="145" t="s">
        <v>1017</v>
      </c>
      <c r="Z1085" s="145"/>
      <c r="AA1085" s="147"/>
      <c r="AB1085" s="145"/>
      <c r="AC1085" s="145"/>
      <c r="AD1085" s="147"/>
      <c r="AE1085" s="148" t="s">
        <v>1017</v>
      </c>
      <c r="AF1085" s="147"/>
      <c r="AG1085" s="147"/>
      <c r="AH1085" s="171" t="s">
        <v>4178</v>
      </c>
      <c r="AI1085" s="168" t="str">
        <f>IF(AND($AH1085&lt;&gt;"",AH1085 =AH1084),"Gleich","")</f>
        <v/>
      </c>
      <c r="AJ1085" s="168" t="str">
        <f>IF(AND($AH1085&lt;&gt;"",A1085 =A1084),"Gleich","")</f>
        <v/>
      </c>
      <c r="AK1085" s="168" t="str">
        <f>IF(AND($AH1085&lt;&gt;"",D1085 =D1084),"Gleich","")</f>
        <v/>
      </c>
      <c r="AL1085" s="168" t="str">
        <f>IF(AND($AH1085&lt;&gt;"",E1085 =E1084),"Gleich","")</f>
        <v>Gleich</v>
      </c>
      <c r="AM1085" s="168" t="str">
        <f>IF(AND($AH1085&lt;&gt;"",F1085 =F1084),"Gleich","")</f>
        <v/>
      </c>
      <c r="AN1085" s="167" t="str">
        <f>IF(ISERROR(SEARCH("K1",A1085)),"","20"&amp;MID(A1085,SEARCH("K1",A1085)+1,2))</f>
        <v>2013</v>
      </c>
      <c r="AO1085" s="167" t="str">
        <f>IF(ISERROR(SEARCH("erstmals 201",E1085)),"",MID(E1085,SEARCH("erstmals ",E1085)+9,4))</f>
        <v>2013</v>
      </c>
      <c r="AP1085" s="167" t="str">
        <f>IF(R1085="x","2010",IF(S1085="x","2011",IF(T1085="x","2012","")))</f>
        <v/>
      </c>
      <c r="AQ1085" s="169" t="str">
        <f>IF(OR(AH1085&lt;&gt;AN1085,AH1085&lt;&gt;AO1085,AH1085&lt;&gt;AP1085),"DIFF","")</f>
        <v>DIFF</v>
      </c>
      <c r="AR1085" s="170" t="str">
        <f>IF(A1085="","",IF(ISERROR(SEARCH("K1",A1085)),A1085,LEFT(A1085,SEARCH("K1",A1085)+1)&amp;RIGHT(AH1085,1)&amp;MID(A1085,SEARCH("K1",A1085)+3,14)))</f>
        <v>BiK81GbK12y-05</v>
      </c>
      <c r="AS1085" s="169" t="str">
        <f>IF(OR(A1085&lt;&gt;AR1085),"DIFF","")</f>
        <v>DIFF</v>
      </c>
      <c r="AT1085">
        <f>LEN(AR1085)</f>
        <v>14</v>
      </c>
      <c r="AU1085" s="170" t="str">
        <f>IF(D1085="","",IF(OR(A1085="",ISERROR(SEARCH("erstmals 201",D1085))),D1085,LEFT(D1085,SEARCH("erstmals 201",D1085)+8) &amp; AH1085 &amp; MID(D1085,SEARCH("erstmals 201",D1085)+13,255)))</f>
        <v>0-0,15 MW, Bonusregeln G, y, b und K erstmals 2012</v>
      </c>
      <c r="AV1085" s="169" t="str">
        <f>IF(OR(D1085&lt;&gt;AU1085),"DIFF","")</f>
        <v>DIFF</v>
      </c>
      <c r="AW1085" s="170" t="str">
        <f>IF(E1085="","",IF(OR(E1085="",ISERROR(SEARCH("erstmals 201",E1085))),E1085,LEFT(E1085,SEARCH("erstmals 201",E1085)+8) &amp; AH1085 &amp; MID(E1085,SEARCH("erstmals 201",E1085)+13,255)))</f>
        <v>Anteil KWK, erstmals 2012</v>
      </c>
      <c r="AX1085" s="169" t="str">
        <f>IF(OR(E1085&lt;&gt;AW1085),"DIFF","")</f>
        <v>DIFF</v>
      </c>
      <c r="AY1085" t="str">
        <f>IF(AH1085="2011","x",IF(AH1085="2012","","" &amp; S1085))</f>
        <v/>
      </c>
      <c r="AZ1085" t="str">
        <f>IF(AH1085="2012","x",IF(AH1085="2011","","" &amp; T1085))</f>
        <v>x</v>
      </c>
    </row>
    <row r="1086" spans="1:52" s="145" customFormat="1" x14ac:dyDescent="0.35">
      <c r="A1086" s="502" t="s">
        <v>2335</v>
      </c>
      <c r="B1086" s="301" t="s">
        <v>5547</v>
      </c>
      <c r="C1086" s="301" t="s">
        <v>1288</v>
      </c>
      <c r="D1086" s="301" t="s">
        <v>6987</v>
      </c>
      <c r="E1086" s="301" t="s">
        <v>2826</v>
      </c>
      <c r="F1086" s="377">
        <f t="shared" si="441"/>
        <v>25.55</v>
      </c>
      <c r="G1086" s="433">
        <f t="shared" si="442"/>
        <v>25.55</v>
      </c>
      <c r="H1086" s="402">
        <f t="shared" si="437"/>
        <v>20.440000000000001</v>
      </c>
      <c r="I1086" s="579"/>
      <c r="J1086" s="549" t="s">
        <v>5804</v>
      </c>
      <c r="K1086" s="11"/>
      <c r="L1086"/>
      <c r="M1086" s="37">
        <f t="shared" si="443"/>
        <v>25.55</v>
      </c>
      <c r="N1086" s="29">
        <v>11.67</v>
      </c>
      <c r="O1086" s="319"/>
      <c r="P1086" s="97" t="s">
        <v>2827</v>
      </c>
      <c r="Q1086" s="97"/>
      <c r="R1086" s="97">
        <v>2013</v>
      </c>
      <c r="S1086" s="97"/>
      <c r="T1086" s="92">
        <v>2.88</v>
      </c>
      <c r="U1086" s="146"/>
      <c r="W1086" s="147"/>
      <c r="X1086" s="147"/>
      <c r="Z1086" s="145" t="s">
        <v>1017</v>
      </c>
      <c r="AA1086" s="147"/>
      <c r="AD1086" s="147"/>
      <c r="AE1086" s="148"/>
      <c r="AF1086" s="147"/>
      <c r="AG1086" s="147"/>
      <c r="AH1086" s="171" t="s">
        <v>4178</v>
      </c>
      <c r="AI1086" s="168" t="str">
        <f>IF(AND($AH1086&lt;&gt;"",AH1086 =AH1084),"Gleich","")</f>
        <v/>
      </c>
      <c r="AJ1086" s="168" t="str">
        <f>IF(AND($AH1086&lt;&gt;"",A1086 =A1084),"Gleich","")</f>
        <v/>
      </c>
      <c r="AK1086" s="168" t="str">
        <f>IF(AND($AH1086&lt;&gt;"",D1086 =D1084),"Gleich","")</f>
        <v/>
      </c>
      <c r="AL1086" s="168" t="str">
        <f>IF(AND($AH1086&lt;&gt;"",E1086 =E1084),"Gleich","")</f>
        <v>Gleich</v>
      </c>
      <c r="AM1086" s="168" t="str">
        <f>IF(AND($AH1086&lt;&gt;"",F1086 =F1084),"Gleich","")</f>
        <v/>
      </c>
      <c r="AN1086" s="167" t="str">
        <f>IF(ISERROR(SEARCH("K1",A1086)),"","20"&amp;MID(A1086,SEARCH("K1",A1086)+1,2))</f>
        <v>2013</v>
      </c>
      <c r="AO1086" s="167" t="str">
        <f>IF(ISERROR(SEARCH("erstmals 201",E1086)),"",MID(E1086,SEARCH("erstmals ",E1086)+9,4))</f>
        <v>2013</v>
      </c>
      <c r="AP1086" s="167" t="str">
        <f>IF(R1086="x","2010",IF(S1086="x","2011",IF(T1086="x","2012","")))</f>
        <v/>
      </c>
      <c r="AQ1086" s="169" t="str">
        <f>IF(OR(AH1086&lt;&gt;AN1086,AH1086&lt;&gt;AO1086,AH1086&lt;&gt;AP1086),"DIFF","")</f>
        <v>DIFF</v>
      </c>
      <c r="AR1086" s="170" t="str">
        <f>IF(A1086="","",IF(ISERROR(SEARCH("K1",A1086)),A1086,LEFT(A1086,SEARCH("K1",A1086)+1)&amp;RIGHT(AH1086,1)&amp;MID(A1086,SEARCH("K1",A1086)+3,14)))</f>
        <v>BiK81M1K12--05</v>
      </c>
      <c r="AS1086" s="169" t="str">
        <f>IF(OR(A1086&lt;&gt;AR1086),"DIFF","")</f>
        <v>DIFF</v>
      </c>
      <c r="AT1086">
        <f>LEN(AR1086)</f>
        <v>14</v>
      </c>
      <c r="AU1086" s="170" t="str">
        <f>IF(D1086="","",IF(OR(A1086="",ISERROR(SEARCH("erstmals 201",D1086))),D1086,LEFT(D1086,SEARCH("erstmals 201",D1086)+8) &amp; AH1086 &amp; MID(D1086,SEARCH("erstmals 201",D1086)+13,255)))</f>
        <v>0-0,15 MW, Bonusregeln M1, K erstmals 2012</v>
      </c>
      <c r="AV1086" s="169" t="str">
        <f>IF(OR(D1086&lt;&gt;AU1086),"DIFF","")</f>
        <v>DIFF</v>
      </c>
      <c r="AW1086" s="170" t="str">
        <f>IF(E1086="","",IF(OR(E1086="",ISERROR(SEARCH("erstmals 201",E1086))),E1086,LEFT(E1086,SEARCH("erstmals 201",E1086)+8) &amp; AH1086 &amp; MID(E1086,SEARCH("erstmals 201",E1086)+13,255)))</f>
        <v>Anteil KWK, erstmals 2012</v>
      </c>
      <c r="AX1086" s="169" t="str">
        <f>IF(OR(E1086&lt;&gt;AW1086),"DIFF","")</f>
        <v>DIFF</v>
      </c>
      <c r="AY1086" t="str">
        <f>IF(AH1086="2011","x",IF(AH1086="2012","","" &amp; S1086))</f>
        <v/>
      </c>
      <c r="AZ1086" t="str">
        <f>IF(AH1086="2012","x",IF(AH1086="2011","","" &amp; T1086))</f>
        <v>x</v>
      </c>
    </row>
    <row r="1087" spans="1:52" x14ac:dyDescent="0.35">
      <c r="A1087" s="502" t="s">
        <v>2326</v>
      </c>
      <c r="B1087" s="301" t="s">
        <v>5547</v>
      </c>
      <c r="C1087" s="301" t="s">
        <v>1288</v>
      </c>
      <c r="D1087" s="301" t="s">
        <v>6854</v>
      </c>
      <c r="E1087" s="301" t="s">
        <v>2826</v>
      </c>
      <c r="F1087" s="379">
        <f t="shared" si="441"/>
        <v>26.55</v>
      </c>
      <c r="G1087" s="433">
        <f t="shared" si="442"/>
        <v>26.55</v>
      </c>
      <c r="H1087" s="402">
        <f t="shared" si="437"/>
        <v>21.24</v>
      </c>
      <c r="I1087" s="579"/>
      <c r="J1087" s="549" t="s">
        <v>5804</v>
      </c>
      <c r="K1087" s="11"/>
      <c r="M1087" s="37">
        <f t="shared" si="443"/>
        <v>26.55</v>
      </c>
      <c r="N1087" s="29">
        <v>11.67</v>
      </c>
      <c r="O1087" s="319"/>
      <c r="P1087" s="97" t="s">
        <v>2827</v>
      </c>
      <c r="Q1087" s="97"/>
      <c r="R1087" s="97">
        <v>2013</v>
      </c>
      <c r="S1087" s="97"/>
      <c r="T1087" s="92">
        <v>2.88</v>
      </c>
      <c r="U1087" s="146" t="s">
        <v>1017</v>
      </c>
      <c r="V1087" s="145"/>
      <c r="W1087" s="147"/>
      <c r="X1087" s="147"/>
      <c r="Y1087" s="145"/>
      <c r="Z1087" s="145" t="s">
        <v>1017</v>
      </c>
      <c r="AA1087" s="147"/>
      <c r="AB1087" s="145"/>
      <c r="AC1087" s="145"/>
      <c r="AD1087" s="147"/>
      <c r="AE1087" s="148"/>
      <c r="AF1087" s="147"/>
      <c r="AG1087" s="147"/>
      <c r="AH1087" s="171" t="s">
        <v>4178</v>
      </c>
      <c r="AI1087" s="168" t="str">
        <f>IF(AND($AH1087&lt;&gt;"",AH1087 =AH1094),"Gleich","")</f>
        <v>Gleich</v>
      </c>
      <c r="AJ1087" s="168" t="str">
        <f>IF(AND($AH1087&lt;&gt;"",A1087 =A1094),"Gleich","")</f>
        <v/>
      </c>
      <c r="AK1087" s="168" t="str">
        <f>IF(AND($AH1087&lt;&gt;"",D1087 =D1094),"Gleich","")</f>
        <v/>
      </c>
      <c r="AL1087" s="168" t="str">
        <f>IF(AND($AH1087&lt;&gt;"",E1087 =E1094),"Gleich","")</f>
        <v>Gleich</v>
      </c>
      <c r="AM1087" s="168" t="str">
        <f>IF(AND($AH1087&lt;&gt;"",F1087 =F1094),"Gleich","")</f>
        <v/>
      </c>
      <c r="AN1087" s="167" t="str">
        <f>IF(ISERROR(SEARCH("K1",A1087)),"","20"&amp;MID(A1087,SEARCH("K1",A1087)+1,2))</f>
        <v>2013</v>
      </c>
      <c r="AO1087" s="167" t="str">
        <f>IF(ISERROR(SEARCH("erstmals 201",E1087)),"",MID(E1087,SEARCH("erstmals ",E1087)+9,4))</f>
        <v>2013</v>
      </c>
      <c r="AP1087" s="167" t="str">
        <f>IF(R1087="x","2010",IF(S1087="x","2011",IF(T1087="x","2012","")))</f>
        <v/>
      </c>
      <c r="AQ1087" s="169" t="str">
        <f>IF(OR(AH1087&lt;&gt;AN1087,AH1087&lt;&gt;AO1087,AH1087&lt;&gt;AP1087),"DIFF","")</f>
        <v>DIFF</v>
      </c>
      <c r="AR1087" s="170" t="str">
        <f>IF(A1087="","",IF(ISERROR(SEARCH("K1",A1087)),A1087,LEFT(A1087,SEARCH("K1",A1087)+1)&amp;RIGHT(AH1087,1)&amp;MID(A1087,SEARCH("K1",A1087)+3,14)))</f>
        <v>BiK81M1K12y-05</v>
      </c>
      <c r="AS1087" s="169" t="str">
        <f>IF(OR(A1087&lt;&gt;AR1087),"DIFF","")</f>
        <v>DIFF</v>
      </c>
      <c r="AT1087">
        <f>LEN(AR1087)</f>
        <v>14</v>
      </c>
      <c r="AU1087" s="170" t="str">
        <f>IF(D1087="","",IF(OR(A1087="",ISERROR(SEARCH("erstmals 201",D1087))),D1087,LEFT(D1087,SEARCH("erstmals 201",D1087)+8) &amp; AH1087 &amp; MID(D1087,SEARCH("erstmals 201",D1087)+13,255)))</f>
        <v>0-0,15 MW, Bonusregeln M1, y und K erstmals 2012</v>
      </c>
      <c r="AV1087" s="169" t="str">
        <f>IF(OR(D1087&lt;&gt;AU1087),"DIFF","")</f>
        <v>DIFF</v>
      </c>
      <c r="AW1087" s="170" t="str">
        <f>IF(E1087="","",IF(OR(E1087="",ISERROR(SEARCH("erstmals 201",E1087))),E1087,LEFT(E1087,SEARCH("erstmals 201",E1087)+8) &amp; AH1087 &amp; MID(E1087,SEARCH("erstmals 201",E1087)+13,255)))</f>
        <v>Anteil KWK, erstmals 2012</v>
      </c>
      <c r="AX1087" s="169" t="str">
        <f>IF(OR(E1087&lt;&gt;AW1087),"DIFF","")</f>
        <v>DIFF</v>
      </c>
      <c r="AY1087" t="str">
        <f>IF(AH1087="2011","x",IF(AH1087="2012","","" &amp; S1087))</f>
        <v/>
      </c>
      <c r="AZ1087" t="str">
        <f>IF(AH1087="2012","x",IF(AH1087="2011","","" &amp; T1087))</f>
        <v>x</v>
      </c>
    </row>
    <row r="1088" spans="1:52" x14ac:dyDescent="0.35">
      <c r="A1088" s="502" t="s">
        <v>6157</v>
      </c>
      <c r="B1088" s="301" t="s">
        <v>5547</v>
      </c>
      <c r="C1088" s="301" t="s">
        <v>1288</v>
      </c>
      <c r="D1088" s="301" t="s">
        <v>6995</v>
      </c>
      <c r="E1088" s="301" t="s">
        <v>2826</v>
      </c>
      <c r="F1088" s="379">
        <f t="shared" si="441"/>
        <v>23.55</v>
      </c>
      <c r="G1088" s="433">
        <f t="shared" si="442"/>
        <v>23.55</v>
      </c>
      <c r="H1088" s="402">
        <f t="shared" si="437"/>
        <v>18.84</v>
      </c>
      <c r="I1088" s="579"/>
      <c r="J1088" s="549">
        <v>42830</v>
      </c>
      <c r="K1088" s="11"/>
      <c r="M1088" s="37">
        <f t="shared" si="443"/>
        <v>23.55</v>
      </c>
      <c r="N1088" s="29">
        <v>11.67</v>
      </c>
      <c r="O1088" s="319"/>
      <c r="P1088" s="97" t="s">
        <v>2827</v>
      </c>
      <c r="Q1088" s="97"/>
      <c r="R1088" s="97">
        <v>2013</v>
      </c>
      <c r="S1088" s="97"/>
      <c r="T1088" s="92">
        <v>2.88</v>
      </c>
      <c r="U1088" s="42" t="s">
        <v>1017</v>
      </c>
      <c r="V1088" t="s">
        <v>1017</v>
      </c>
      <c r="W1088" s="50"/>
      <c r="X1088" s="50"/>
      <c r="AA1088" s="50"/>
      <c r="AD1088" s="50"/>
      <c r="AE1088" s="75" t="s">
        <v>1017</v>
      </c>
      <c r="AF1088" s="50"/>
      <c r="AG1088" s="50"/>
      <c r="AH1088" s="171"/>
      <c r="AI1088" s="168"/>
      <c r="AJ1088" s="168"/>
      <c r="AK1088" s="168"/>
      <c r="AL1088" s="168"/>
      <c r="AM1088" s="168"/>
      <c r="AN1088" s="167"/>
      <c r="AO1088" s="167"/>
      <c r="AP1088" s="167"/>
      <c r="AQ1088" s="169"/>
      <c r="AR1088" s="170"/>
      <c r="AS1088" s="169"/>
      <c r="AU1088" s="170"/>
      <c r="AV1088" s="169"/>
      <c r="AW1088" s="170"/>
      <c r="AX1088" s="169"/>
    </row>
    <row r="1089" spans="1:56" s="145" customFormat="1" x14ac:dyDescent="0.35">
      <c r="A1089" s="502" t="s">
        <v>859</v>
      </c>
      <c r="B1089" s="301" t="s">
        <v>5547</v>
      </c>
      <c r="C1089" s="301" t="s">
        <v>1288</v>
      </c>
      <c r="D1089" s="301" t="s">
        <v>7213</v>
      </c>
      <c r="E1089" s="301" t="s">
        <v>2826</v>
      </c>
      <c r="F1089" s="379">
        <f t="shared" si="441"/>
        <v>19.63</v>
      </c>
      <c r="G1089" s="433">
        <f t="shared" si="442"/>
        <v>19.63</v>
      </c>
      <c r="H1089" s="402">
        <f t="shared" ref="H1089:H1123" si="444">IF(ISNUMBER(G1089),ROUND(0.8*G1089,2),"")</f>
        <v>15.7</v>
      </c>
      <c r="I1089" s="579"/>
      <c r="J1089" s="549" t="s">
        <v>5804</v>
      </c>
      <c r="K1089" s="11"/>
      <c r="L1089"/>
      <c r="M1089" s="37">
        <f t="shared" si="443"/>
        <v>19.63</v>
      </c>
      <c r="N1089" s="29">
        <v>9.75</v>
      </c>
      <c r="O1089" s="319"/>
      <c r="P1089" s="97" t="s">
        <v>2827</v>
      </c>
      <c r="Q1089" s="97"/>
      <c r="R1089" s="97">
        <v>2013</v>
      </c>
      <c r="S1089" s="97"/>
      <c r="T1089" s="92">
        <v>2.88</v>
      </c>
      <c r="U1089" s="146"/>
      <c r="W1089" s="147"/>
      <c r="X1089" s="147"/>
      <c r="Y1089" s="145" t="s">
        <v>1017</v>
      </c>
      <c r="Z1089" s="147"/>
      <c r="AC1089" s="147"/>
      <c r="AE1089" s="148"/>
      <c r="AF1089" s="147"/>
      <c r="AG1089" s="147"/>
      <c r="AH1089" s="171" t="s">
        <v>4178</v>
      </c>
      <c r="AI1089" s="168" t="e">
        <f>IF(AND($AH1089&lt;&gt;"",AH1089 =#REF!),"Gleich","")</f>
        <v>#REF!</v>
      </c>
      <c r="AJ1089" s="168" t="e">
        <f>IF(AND($AH1089&lt;&gt;"",A1089 =#REF!),"Gleich","")</f>
        <v>#REF!</v>
      </c>
      <c r="AK1089" s="168" t="e">
        <f>IF(AND($AH1089&lt;&gt;"",D1089 =#REF!),"Gleich","")</f>
        <v>#REF!</v>
      </c>
      <c r="AL1089" s="168" t="e">
        <f>IF(AND($AH1089&lt;&gt;"",E1089 =#REF!),"Gleich","")</f>
        <v>#REF!</v>
      </c>
      <c r="AM1089" s="168" t="e">
        <f>IF(AND($AH1089&lt;&gt;"",F1089 =#REF!),"Gleich","")</f>
        <v>#REF!</v>
      </c>
      <c r="AN1089" s="167" t="str">
        <f>IF(ISERROR(SEARCH("K1",A1089)),"","20"&amp;MID(A1089,SEARCH("K1",A1089)+1,2))</f>
        <v>2013</v>
      </c>
      <c r="AO1089" s="167" t="str">
        <f>IF(ISERROR(SEARCH("erstmals 201",E1089)),"",MID(E1089,SEARCH("erstmals ",E1089)+9,4))</f>
        <v>2013</v>
      </c>
      <c r="AP1089" s="167" t="str">
        <f>IF(R1089="x","2010",IF(S1089="x","2011",IF(T1089="x","2012","")))</f>
        <v/>
      </c>
      <c r="AQ1089" s="169" t="str">
        <f>IF(OR(AH1089&lt;&gt;AN1089,AH1089&lt;&gt;AO1089,AH1089&lt;&gt;AP1089),"DIFF","")</f>
        <v>DIFF</v>
      </c>
      <c r="AR1089" s="170" t="str">
        <f>IF(A1089="","",IF(ISERROR(SEARCH("K1",A1089)),A1089,LEFT(A1089,SEARCH("K1",A1089)+1)&amp;RIGHT(AH1089,1)&amp;MID(A1089,SEARCH("K1",A1089)+3,14)))</f>
        <v>BiK82GK12---05</v>
      </c>
      <c r="AS1089" s="169" t="str">
        <f>IF(OR(A1089&lt;&gt;AR1089),"DIFF","")</f>
        <v>DIFF</v>
      </c>
      <c r="AT1089">
        <f>LEN(AR1089)</f>
        <v>14</v>
      </c>
      <c r="AU1089" s="170" t="str">
        <f>IF(D1089="","",IF(OR(A1089="",ISERROR(SEARCH("erstmals 201",D1089))),D1089,LEFT(D1089,SEARCH("erstmals 201",D1089)+8) &amp; AH1089 &amp; MID(D1089,SEARCH("erstmals 201",D1089)+13,255)))</f>
        <v>0,15-0,5 MW, Bonusregeln G und K erstmals 2012</v>
      </c>
      <c r="AV1089" s="169" t="str">
        <f>IF(OR(D1089&lt;&gt;AU1089),"DIFF","")</f>
        <v>DIFF</v>
      </c>
      <c r="AW1089" s="170" t="str">
        <f>IF(E1089="","",IF(OR(E1089="",ISERROR(SEARCH("erstmals 201",E1089))),E1089,LEFT(E1089,SEARCH("erstmals 201",E1089)+8) &amp; AH1089 &amp; MID(E1089,SEARCH("erstmals 201",E1089)+13,255)))</f>
        <v>Anteil KWK, erstmals 2012</v>
      </c>
      <c r="AX1089" s="169" t="str">
        <f>IF(OR(E1089&lt;&gt;AW1089),"DIFF","")</f>
        <v>DIFF</v>
      </c>
      <c r="AY1089" t="str">
        <f>IF(AH1089="2011","x",IF(AH1089="2012","","" &amp; S1089))</f>
        <v/>
      </c>
      <c r="AZ1089" t="str">
        <f>IF(AH1089="2012","x",IF(AH1089="2011","","" &amp; T1089))</f>
        <v>x</v>
      </c>
    </row>
    <row r="1090" spans="1:56" s="145" customFormat="1" x14ac:dyDescent="0.35">
      <c r="A1090" s="502" t="s">
        <v>5612</v>
      </c>
      <c r="B1090" s="301" t="s">
        <v>5547</v>
      </c>
      <c r="C1090" s="301" t="s">
        <v>1288</v>
      </c>
      <c r="D1090" s="301" t="s">
        <v>7209</v>
      </c>
      <c r="E1090" s="301" t="s">
        <v>2826</v>
      </c>
      <c r="F1090" s="379">
        <f t="shared" si="441"/>
        <v>22.63</v>
      </c>
      <c r="G1090" s="433">
        <f t="shared" si="442"/>
        <v>22.63</v>
      </c>
      <c r="H1090" s="402">
        <f t="shared" si="444"/>
        <v>18.100000000000001</v>
      </c>
      <c r="I1090" s="579"/>
      <c r="J1090" s="549" t="s">
        <v>5804</v>
      </c>
      <c r="K1090" s="11"/>
      <c r="L1090"/>
      <c r="M1090" s="37">
        <f t="shared" si="443"/>
        <v>22.63</v>
      </c>
      <c r="N1090" s="29">
        <v>9.75</v>
      </c>
      <c r="O1090" s="319"/>
      <c r="P1090" s="97" t="s">
        <v>2827</v>
      </c>
      <c r="Q1090" s="97"/>
      <c r="R1090" s="97">
        <v>2013</v>
      </c>
      <c r="S1090" s="97"/>
      <c r="T1090" s="92">
        <v>2.88</v>
      </c>
      <c r="U1090" s="146" t="s">
        <v>1017</v>
      </c>
      <c r="W1090" s="147"/>
      <c r="X1090" s="147"/>
      <c r="Y1090" s="145" t="s">
        <v>1017</v>
      </c>
      <c r="Z1090" s="147"/>
      <c r="AC1090" s="147"/>
      <c r="AE1090" s="148" t="s">
        <v>1017</v>
      </c>
      <c r="AF1090" s="147"/>
      <c r="AG1090" s="147"/>
      <c r="AH1090" s="171" t="s">
        <v>4178</v>
      </c>
      <c r="AI1090" s="168" t="str">
        <f>IF(AND($AH1090&lt;&gt;"",AH1090 =AH1089),"Gleich","")</f>
        <v>Gleich</v>
      </c>
      <c r="AJ1090" s="168" t="str">
        <f>IF(AND($AH1090&lt;&gt;"",A1090 =A1089),"Gleich","")</f>
        <v/>
      </c>
      <c r="AK1090" s="168" t="str">
        <f>IF(AND($AH1090&lt;&gt;"",D1090 =D1089),"Gleich","")</f>
        <v/>
      </c>
      <c r="AL1090" s="168" t="str">
        <f>IF(AND($AH1090&lt;&gt;"",E1090 =E1089),"Gleich","")</f>
        <v>Gleich</v>
      </c>
      <c r="AM1090" s="168" t="str">
        <f>IF(AND($AH1090&lt;&gt;"",F1090 =F1089),"Gleich","")</f>
        <v/>
      </c>
      <c r="AN1090" s="167" t="str">
        <f>IF(ISERROR(SEARCH("K1",A1090)),"","20"&amp;MID(A1090,SEARCH("K1",A1090)+1,2))</f>
        <v>2013</v>
      </c>
      <c r="AO1090" s="167" t="str">
        <f>IF(ISERROR(SEARCH("erstmals 201",E1090)),"",MID(E1090,SEARCH("erstmals ",E1090)+9,4))</f>
        <v>2013</v>
      </c>
      <c r="AP1090" s="167" t="str">
        <f>IF(R1090="x","2010",IF(S1090="x","2011",IF(T1090="x","2012","")))</f>
        <v/>
      </c>
      <c r="AQ1090" s="169" t="str">
        <f>IF(OR(AH1090&lt;&gt;AN1090,AH1090&lt;&gt;AO1090,AH1090&lt;&gt;AP1090),"DIFF","")</f>
        <v>DIFF</v>
      </c>
      <c r="AR1090" s="170" t="str">
        <f>IF(A1090="","",IF(ISERROR(SEARCH("K1",A1090)),A1090,LEFT(A1090,SEARCH("K1",A1090)+1)&amp;RIGHT(AH1090,1)&amp;MID(A1090,SEARCH("K1",A1090)+3,14)))</f>
        <v>BiK82GbK12y-05</v>
      </c>
      <c r="AS1090" s="169" t="str">
        <f>IF(OR(A1090&lt;&gt;AR1090),"DIFF","")</f>
        <v>DIFF</v>
      </c>
      <c r="AT1090">
        <f>LEN(AR1090)</f>
        <v>14</v>
      </c>
      <c r="AU1090" s="170" t="str">
        <f>IF(D1090="","",IF(OR(A1090="",ISERROR(SEARCH("erstmals 201",D1090))),D1090,LEFT(D1090,SEARCH("erstmals 201",D1090)+8) &amp; AH1090 &amp; MID(D1090,SEARCH("erstmals 201",D1090)+13,255)))</f>
        <v>0,15-0,5 MW, Bonusregeln G, y, b und K erstmals 2012</v>
      </c>
      <c r="AV1090" s="169" t="str">
        <f>IF(OR(D1090&lt;&gt;AU1090),"DIFF","")</f>
        <v>DIFF</v>
      </c>
      <c r="AW1090" s="170" t="str">
        <f>IF(E1090="","",IF(OR(E1090="",ISERROR(SEARCH("erstmals 201",E1090))),E1090,LEFT(E1090,SEARCH("erstmals 201",E1090)+8) &amp; AH1090 &amp; MID(E1090,SEARCH("erstmals 201",E1090)+13,255)))</f>
        <v>Anteil KWK, erstmals 2012</v>
      </c>
      <c r="AX1090" s="169" t="str">
        <f>IF(OR(E1090&lt;&gt;AW1090),"DIFF","")</f>
        <v>DIFF</v>
      </c>
      <c r="AY1090" t="str">
        <f>IF(AH1090="2011","x",IF(AH1090="2012","","" &amp; S1090))</f>
        <v/>
      </c>
      <c r="AZ1090" t="str">
        <f>IF(AH1090="2012","x",IF(AH1090="2011","","" &amp; T1090))</f>
        <v>x</v>
      </c>
    </row>
    <row r="1091" spans="1:56" s="145" customFormat="1" x14ac:dyDescent="0.35">
      <c r="A1091" s="502" t="s">
        <v>2334</v>
      </c>
      <c r="B1091" s="301" t="s">
        <v>5547</v>
      </c>
      <c r="C1091" s="301" t="s">
        <v>1288</v>
      </c>
      <c r="D1091" s="301" t="s">
        <v>7210</v>
      </c>
      <c r="E1091" s="301" t="s">
        <v>2826</v>
      </c>
      <c r="F1091" s="377">
        <f t="shared" si="441"/>
        <v>20.63</v>
      </c>
      <c r="G1091" s="433">
        <f t="shared" si="442"/>
        <v>20.63</v>
      </c>
      <c r="H1091" s="402">
        <f t="shared" si="444"/>
        <v>16.5</v>
      </c>
      <c r="I1091" s="579"/>
      <c r="J1091" s="549" t="s">
        <v>5804</v>
      </c>
      <c r="K1091" s="11"/>
      <c r="L1091"/>
      <c r="M1091" s="37">
        <f t="shared" si="443"/>
        <v>20.63</v>
      </c>
      <c r="N1091" s="29">
        <v>9.75</v>
      </c>
      <c r="O1091" s="319"/>
      <c r="P1091" s="97" t="s">
        <v>2827</v>
      </c>
      <c r="Q1091" s="97"/>
      <c r="R1091" s="97">
        <v>2013</v>
      </c>
      <c r="S1091" s="97"/>
      <c r="T1091" s="92">
        <v>2.88</v>
      </c>
      <c r="U1091" s="146"/>
      <c r="W1091" s="147"/>
      <c r="X1091" s="147"/>
      <c r="Z1091" s="147"/>
      <c r="AA1091" s="145" t="s">
        <v>1017</v>
      </c>
      <c r="AC1091" s="147"/>
      <c r="AE1091" s="148"/>
      <c r="AF1091" s="147"/>
      <c r="AG1091" s="147"/>
      <c r="AH1091" s="171" t="s">
        <v>4178</v>
      </c>
      <c r="AI1091" s="168" t="str">
        <f>IF(AND($AH1091&lt;&gt;"",AH1091 =AH1089),"Gleich","")</f>
        <v>Gleich</v>
      </c>
      <c r="AJ1091" s="168" t="str">
        <f>IF(AND($AH1091&lt;&gt;"",A1091 =A1089),"Gleich","")</f>
        <v/>
      </c>
      <c r="AK1091" s="168" t="str">
        <f>IF(AND($AH1091&lt;&gt;"",D1091 =D1089),"Gleich","")</f>
        <v/>
      </c>
      <c r="AL1091" s="168" t="str">
        <f>IF(AND($AH1091&lt;&gt;"",E1091 =E1089),"Gleich","")</f>
        <v>Gleich</v>
      </c>
      <c r="AM1091" s="168" t="str">
        <f>IF(AND($AH1091&lt;&gt;"",F1091 =F1089),"Gleich","")</f>
        <v/>
      </c>
      <c r="AN1091" s="167" t="str">
        <f>IF(ISERROR(SEARCH("K1",A1091)),"","20"&amp;MID(A1091,SEARCH("K1",A1091)+1,2))</f>
        <v>2013</v>
      </c>
      <c r="AO1091" s="167" t="str">
        <f>IF(ISERROR(SEARCH("erstmals 201",E1091)),"",MID(E1091,SEARCH("erstmals ",E1091)+9,4))</f>
        <v>2013</v>
      </c>
      <c r="AP1091" s="167" t="str">
        <f>IF(R1091="x","2010",IF(S1091="x","2011",IF(T1091="x","2012","")))</f>
        <v/>
      </c>
      <c r="AQ1091" s="169" t="str">
        <f>IF(OR(AH1091&lt;&gt;AN1091,AH1091&lt;&gt;AO1091,AH1091&lt;&gt;AP1091),"DIFF","")</f>
        <v>DIFF</v>
      </c>
      <c r="AR1091" s="170" t="str">
        <f>IF(A1091="","",IF(ISERROR(SEARCH("K1",A1091)),A1091,LEFT(A1091,SEARCH("K1",A1091)+1)&amp;RIGHT(AH1091,1)&amp;MID(A1091,SEARCH("K1",A1091)+3,14)))</f>
        <v>BiK82M2K12--05</v>
      </c>
      <c r="AS1091" s="169" t="str">
        <f>IF(OR(A1091&lt;&gt;AR1091),"DIFF","")</f>
        <v>DIFF</v>
      </c>
      <c r="AT1091">
        <f>LEN(AR1091)</f>
        <v>14</v>
      </c>
      <c r="AU1091" s="170" t="str">
        <f>IF(D1091="","",IF(OR(A1091="",ISERROR(SEARCH("erstmals 201",D1091))),D1091,LEFT(D1091,SEARCH("erstmals 201",D1091)+8) &amp; AH1091 &amp; MID(D1091,SEARCH("erstmals 201",D1091)+13,255)))</f>
        <v>0,15-0,5 MW, Bonusregeln M2, K erstmals 2012</v>
      </c>
      <c r="AV1091" s="169" t="str">
        <f>IF(OR(D1091&lt;&gt;AU1091),"DIFF","")</f>
        <v>DIFF</v>
      </c>
      <c r="AW1091" s="170" t="str">
        <f>IF(E1091="","",IF(OR(E1091="",ISERROR(SEARCH("erstmals 201",E1091))),E1091,LEFT(E1091,SEARCH("erstmals 201",E1091)+8) &amp; AH1091 &amp; MID(E1091,SEARCH("erstmals 201",E1091)+13,255)))</f>
        <v>Anteil KWK, erstmals 2012</v>
      </c>
      <c r="AX1091" s="169" t="str">
        <f>IF(OR(E1091&lt;&gt;AW1091),"DIFF","")</f>
        <v>DIFF</v>
      </c>
      <c r="AY1091" t="str">
        <f>IF(AH1091="2011","x",IF(AH1091="2012","","" &amp; S1091))</f>
        <v/>
      </c>
      <c r="AZ1091" t="str">
        <f>IF(AH1091="2012","x",IF(AH1091="2011","","" &amp; T1091))</f>
        <v>x</v>
      </c>
    </row>
    <row r="1092" spans="1:56" s="145" customFormat="1" x14ac:dyDescent="0.35">
      <c r="A1092" s="502" t="s">
        <v>2327</v>
      </c>
      <c r="B1092" s="301" t="s">
        <v>5547</v>
      </c>
      <c r="C1092" s="301" t="s">
        <v>1288</v>
      </c>
      <c r="D1092" s="301" t="s">
        <v>7078</v>
      </c>
      <c r="E1092" s="301" t="s">
        <v>2826</v>
      </c>
      <c r="F1092" s="379">
        <f t="shared" si="441"/>
        <v>21.63</v>
      </c>
      <c r="G1092" s="433">
        <f t="shared" si="442"/>
        <v>21.63</v>
      </c>
      <c r="H1092" s="402">
        <f t="shared" si="444"/>
        <v>17.3</v>
      </c>
      <c r="I1092" s="579"/>
      <c r="J1092" s="549" t="s">
        <v>5804</v>
      </c>
      <c r="K1092" s="11"/>
      <c r="L1092"/>
      <c r="M1092" s="37">
        <f t="shared" si="443"/>
        <v>21.63</v>
      </c>
      <c r="N1092" s="29">
        <v>9.75</v>
      </c>
      <c r="O1092" s="319"/>
      <c r="P1092" s="97" t="s">
        <v>2827</v>
      </c>
      <c r="Q1092" s="97"/>
      <c r="R1092" s="97">
        <v>2013</v>
      </c>
      <c r="S1092" s="97"/>
      <c r="T1092" s="92">
        <v>2.88</v>
      </c>
      <c r="U1092" s="146" t="s">
        <v>1017</v>
      </c>
      <c r="W1092" s="147"/>
      <c r="X1092" s="147"/>
      <c r="Z1092" s="147"/>
      <c r="AA1092" s="145" t="s">
        <v>1017</v>
      </c>
      <c r="AC1092" s="147"/>
      <c r="AE1092" s="148"/>
      <c r="AF1092" s="147"/>
      <c r="AG1092" s="147"/>
      <c r="AH1092" s="171" t="s">
        <v>4178</v>
      </c>
      <c r="AI1092" s="168" t="str">
        <f>IF(AND($AH1092&lt;&gt;"",AH1092 =AH1089),"Gleich","")</f>
        <v>Gleich</v>
      </c>
      <c r="AJ1092" s="168" t="str">
        <f>IF(AND($AH1092&lt;&gt;"",A1092 =A1089),"Gleich","")</f>
        <v/>
      </c>
      <c r="AK1092" s="168" t="str">
        <f>IF(AND($AH1092&lt;&gt;"",D1092 =D1089),"Gleich","")</f>
        <v/>
      </c>
      <c r="AL1092" s="168" t="str">
        <f>IF(AND($AH1092&lt;&gt;"",E1092 =E1089),"Gleich","")</f>
        <v>Gleich</v>
      </c>
      <c r="AM1092" s="168" t="str">
        <f>IF(AND($AH1092&lt;&gt;"",F1092 =F1089),"Gleich","")</f>
        <v/>
      </c>
      <c r="AN1092" s="167" t="str">
        <f>IF(ISERROR(SEARCH("K1",A1092)),"","20"&amp;MID(A1092,SEARCH("K1",A1092)+1,2))</f>
        <v>2013</v>
      </c>
      <c r="AO1092" s="167" t="str">
        <f>IF(ISERROR(SEARCH("erstmals 201",E1092)),"",MID(E1092,SEARCH("erstmals ",E1092)+9,4))</f>
        <v>2013</v>
      </c>
      <c r="AP1092" s="167" t="str">
        <f>IF(R1092="x","2010",IF(S1092="x","2011",IF(T1092="x","2012","")))</f>
        <v/>
      </c>
      <c r="AQ1092" s="169" t="str">
        <f>IF(OR(AH1092&lt;&gt;AN1092,AH1092&lt;&gt;AO1092,AH1092&lt;&gt;AP1092),"DIFF","")</f>
        <v>DIFF</v>
      </c>
      <c r="AR1092" s="170" t="str">
        <f>IF(A1092="","",IF(ISERROR(SEARCH("K1",A1092)),A1092,LEFT(A1092,SEARCH("K1",A1092)+1)&amp;RIGHT(AH1092,1)&amp;MID(A1092,SEARCH("K1",A1092)+3,14)))</f>
        <v>BiK82M2K12y-05</v>
      </c>
      <c r="AS1092" s="169" t="str">
        <f>IF(OR(A1092&lt;&gt;AR1092),"DIFF","")</f>
        <v>DIFF</v>
      </c>
      <c r="AT1092">
        <f>LEN(AR1092)</f>
        <v>14</v>
      </c>
      <c r="AU1092" s="170" t="str">
        <f>IF(D1092="","",IF(OR(A1092="",ISERROR(SEARCH("erstmals 201",D1092))),D1092,LEFT(D1092,SEARCH("erstmals 201",D1092)+8) &amp; AH1092 &amp; MID(D1092,SEARCH("erstmals 201",D1092)+13,255)))</f>
        <v>0,15-0,5 MW, Bonusregeln M2, y und K erstmals 2012</v>
      </c>
      <c r="AV1092" s="169" t="str">
        <f>IF(OR(D1092&lt;&gt;AU1092),"DIFF","")</f>
        <v>DIFF</v>
      </c>
      <c r="AW1092" s="170" t="str">
        <f>IF(E1092="","",IF(OR(E1092="",ISERROR(SEARCH("erstmals 201",E1092))),E1092,LEFT(E1092,SEARCH("erstmals 201",E1092)+8) &amp; AH1092 &amp; MID(E1092,SEARCH("erstmals 201",E1092)+13,255)))</f>
        <v>Anteil KWK, erstmals 2012</v>
      </c>
      <c r="AX1092" s="169" t="str">
        <f>IF(OR(E1092&lt;&gt;AW1092),"DIFF","")</f>
        <v>DIFF</v>
      </c>
      <c r="AY1092" t="str">
        <f>IF(AH1092="2011","x",IF(AH1092="2012","","" &amp; S1092))</f>
        <v/>
      </c>
      <c r="AZ1092" t="str">
        <f>IF(AH1092="2012","x",IF(AH1092="2011","","" &amp; T1092))</f>
        <v>x</v>
      </c>
    </row>
    <row r="1093" spans="1:56" s="145" customFormat="1" x14ac:dyDescent="0.35">
      <c r="A1093" s="502" t="s">
        <v>6158</v>
      </c>
      <c r="B1093" s="301" t="s">
        <v>5547</v>
      </c>
      <c r="C1093" s="301" t="s">
        <v>1288</v>
      </c>
      <c r="D1093" s="301" t="s">
        <v>7214</v>
      </c>
      <c r="E1093" s="301" t="s">
        <v>2826</v>
      </c>
      <c r="F1093" s="379">
        <f t="shared" si="441"/>
        <v>21.63</v>
      </c>
      <c r="G1093" s="433">
        <f t="shared" si="442"/>
        <v>21.63</v>
      </c>
      <c r="H1093" s="402">
        <f t="shared" si="444"/>
        <v>17.3</v>
      </c>
      <c r="I1093" s="579"/>
      <c r="J1093" s="549">
        <v>42830</v>
      </c>
      <c r="K1093" s="11"/>
      <c r="L1093"/>
      <c r="M1093" s="37">
        <f t="shared" si="443"/>
        <v>21.63</v>
      </c>
      <c r="N1093" s="29">
        <v>9.75</v>
      </c>
      <c r="O1093" s="319"/>
      <c r="P1093" s="97" t="s">
        <v>2827</v>
      </c>
      <c r="Q1093" s="97"/>
      <c r="R1093" s="97">
        <v>2013</v>
      </c>
      <c r="S1093" s="97"/>
      <c r="T1093" s="92">
        <v>2.88</v>
      </c>
      <c r="U1093" s="42" t="s">
        <v>1017</v>
      </c>
      <c r="V1093" t="s">
        <v>1017</v>
      </c>
      <c r="W1093" s="50"/>
      <c r="X1093" s="50"/>
      <c r="Y1093"/>
      <c r="Z1093" s="147"/>
      <c r="AC1093" s="147"/>
      <c r="AE1093" s="75" t="s">
        <v>1017</v>
      </c>
      <c r="AF1093" s="50"/>
      <c r="AG1093" s="50"/>
      <c r="AH1093" s="171"/>
      <c r="AI1093" s="168"/>
      <c r="AJ1093" s="168"/>
      <c r="AK1093" s="168"/>
      <c r="AL1093" s="168"/>
      <c r="AM1093" s="168"/>
      <c r="AN1093" s="167"/>
      <c r="AO1093" s="167"/>
      <c r="AP1093" s="167"/>
      <c r="AQ1093" s="169"/>
      <c r="AR1093" s="170"/>
      <c r="AS1093" s="169"/>
      <c r="AT1093"/>
      <c r="AU1093" s="170"/>
      <c r="AV1093" s="169"/>
      <c r="AW1093" s="170"/>
      <c r="AX1093" s="169"/>
      <c r="AY1093"/>
      <c r="AZ1093"/>
    </row>
    <row r="1094" spans="1:56" x14ac:dyDescent="0.35">
      <c r="A1094" s="502" t="s">
        <v>860</v>
      </c>
      <c r="B1094" s="301" t="s">
        <v>5547</v>
      </c>
      <c r="C1094" s="301" t="s">
        <v>1288</v>
      </c>
      <c r="D1094" s="301" t="s">
        <v>6800</v>
      </c>
      <c r="E1094" s="301" t="s">
        <v>2826</v>
      </c>
      <c r="F1094" s="379">
        <f t="shared" si="441"/>
        <v>15.649999999999999</v>
      </c>
      <c r="G1094" s="433">
        <f t="shared" si="442"/>
        <v>15.649999999999999</v>
      </c>
      <c r="H1094" s="402">
        <f t="shared" si="444"/>
        <v>12.52</v>
      </c>
      <c r="I1094" s="579"/>
      <c r="J1094" s="549" t="s">
        <v>5804</v>
      </c>
      <c r="K1094" s="11"/>
      <c r="M1094" s="37">
        <f t="shared" si="443"/>
        <v>15.649999999999999</v>
      </c>
      <c r="N1094" s="29">
        <v>8.77</v>
      </c>
      <c r="O1094" s="319"/>
      <c r="P1094" s="97" t="s">
        <v>2827</v>
      </c>
      <c r="Q1094" s="97"/>
      <c r="R1094" s="97">
        <v>2013</v>
      </c>
      <c r="S1094" s="97"/>
      <c r="T1094" s="92">
        <v>2.88</v>
      </c>
      <c r="U1094" s="60"/>
      <c r="V1094" s="50"/>
      <c r="W1094" t="s">
        <v>1017</v>
      </c>
      <c r="Y1094" s="50"/>
      <c r="Z1094" s="50"/>
      <c r="AA1094" s="50"/>
      <c r="AB1094" s="50"/>
      <c r="AC1094" s="50"/>
      <c r="AD1094" s="50"/>
      <c r="AE1094" s="75"/>
      <c r="AF1094" s="50"/>
      <c r="AG1094" s="50"/>
      <c r="AH1094" s="171" t="s">
        <v>4178</v>
      </c>
      <c r="AI1094" s="168" t="str">
        <f>IF(AND($AH1094&lt;&gt;"",AH1094 =AH1126),"Gleich","")</f>
        <v/>
      </c>
      <c r="AJ1094" s="168" t="str">
        <f>IF(AND($AH1094&lt;&gt;"",A1094 =A1126),"Gleich","")</f>
        <v/>
      </c>
      <c r="AK1094" s="168" t="str">
        <f>IF(AND($AH1094&lt;&gt;"",D1094 =D1126),"Gleich","")</f>
        <v/>
      </c>
      <c r="AL1094" s="168" t="str">
        <f>IF(AND($AH1094&lt;&gt;"",E1094 =E1126),"Gleich","")</f>
        <v/>
      </c>
      <c r="AM1094" s="168" t="str">
        <f>IF(AND($AH1094&lt;&gt;"",F1094 =F1126),"Gleich","")</f>
        <v/>
      </c>
      <c r="AN1094" s="167" t="str">
        <f>IF(ISERROR(SEARCH("K1",A1094)),"","20"&amp;MID(A1094,SEARCH("K1",A1094)+1,2))</f>
        <v>2013</v>
      </c>
      <c r="AO1094" s="167" t="str">
        <f>IF(ISERROR(SEARCH("erstmals 201",E1094)),"",MID(E1094,SEARCH("erstmals ",E1094)+9,4))</f>
        <v>2013</v>
      </c>
      <c r="AP1094" s="167" t="str">
        <f>IF(R1094="x","2010",IF(S1094="x","2011",IF(T1094="x","2012","")))</f>
        <v/>
      </c>
      <c r="AQ1094" s="169" t="str">
        <f>IF(OR(AH1094&lt;&gt;AN1094,AH1094&lt;&gt;AO1094,AH1094&lt;&gt;AP1094),"DIFF","")</f>
        <v>DIFF</v>
      </c>
      <c r="AR1094" s="170" t="str">
        <f>IF(A1094="","",IF(ISERROR(SEARCH("K1",A1094)),A1094,LEFT(A1094,SEARCH("K1",A1094)+1)&amp;RIGHT(AH1094,1)&amp;MID(A1094,SEARCH("K1",A1094)+3,14)))</f>
        <v>BiK83a2K12--05</v>
      </c>
      <c r="AS1094" s="169" t="str">
        <f>IF(OR(A1094&lt;&gt;AR1094),"DIFF","")</f>
        <v>DIFF</v>
      </c>
      <c r="AT1094">
        <f>LEN(AR1094)</f>
        <v>14</v>
      </c>
      <c r="AU1094" s="170" t="str">
        <f>IF(D1094="","",IF(OR(A1094="",ISERROR(SEARCH("erstmals 201",D1094))),D1094,LEFT(D1094,SEARCH("erstmals 201",D1094)+8) &amp; AH1094 &amp; MID(D1094,SEARCH("erstmals 201",D1094)+13,255)))</f>
        <v>0,5-5 MW, Bonusregeln a2 und K erstmals 2012</v>
      </c>
      <c r="AV1094" s="169" t="str">
        <f>IF(OR(D1094&lt;&gt;AU1094),"DIFF","")</f>
        <v>DIFF</v>
      </c>
      <c r="AW1094" s="170" t="str">
        <f>IF(E1094="","",IF(OR(E1094="",ISERROR(SEARCH("erstmals 201",E1094))),E1094,LEFT(E1094,SEARCH("erstmals 201",E1094)+8) &amp; AH1094 &amp; MID(E1094,SEARCH("erstmals 201",E1094)+13,255)))</f>
        <v>Anteil KWK, erstmals 2012</v>
      </c>
      <c r="AX1094" s="169" t="str">
        <f>IF(OR(E1094&lt;&gt;AW1094),"DIFF","")</f>
        <v>DIFF</v>
      </c>
      <c r="AY1094" t="str">
        <f>IF(AH1094="2011","x",IF(AH1094="2012","","" &amp; S1094))</f>
        <v/>
      </c>
      <c r="AZ1094" t="str">
        <f>IF(AH1094="2012","x",IF(AH1094="2011","","" &amp; T1094))</f>
        <v>x</v>
      </c>
    </row>
    <row r="1095" spans="1:56" s="145" customFormat="1" x14ac:dyDescent="0.35">
      <c r="A1095" s="502" t="s">
        <v>5630</v>
      </c>
      <c r="B1095" s="301" t="s">
        <v>5547</v>
      </c>
      <c r="C1095" s="301" t="s">
        <v>1288</v>
      </c>
      <c r="D1095" s="301" t="s">
        <v>6996</v>
      </c>
      <c r="E1095" s="301" t="s">
        <v>314</v>
      </c>
      <c r="F1095" s="368">
        <f t="shared" si="441"/>
        <v>14.52</v>
      </c>
      <c r="G1095" s="433">
        <f t="shared" si="442"/>
        <v>14.52</v>
      </c>
      <c r="H1095" s="303">
        <f t="shared" si="444"/>
        <v>11.62</v>
      </c>
      <c r="I1095" s="579"/>
      <c r="J1095" s="549" t="s">
        <v>5804</v>
      </c>
      <c r="K1095" s="11"/>
      <c r="L1095"/>
      <c r="M1095" s="315">
        <f t="shared" si="443"/>
        <v>14.52</v>
      </c>
      <c r="N1095" s="29">
        <v>11.67</v>
      </c>
      <c r="O1095" s="319"/>
      <c r="P1095" s="97" t="s">
        <v>2827</v>
      </c>
      <c r="Q1095" s="97"/>
      <c r="R1095" s="97">
        <v>2014</v>
      </c>
      <c r="S1095" s="97"/>
      <c r="T1095" s="92">
        <v>2.85</v>
      </c>
      <c r="U1095" s="42"/>
      <c r="V1095"/>
      <c r="W1095" s="50"/>
      <c r="X1095" s="50"/>
      <c r="Y1095"/>
      <c r="Z1095"/>
      <c r="AA1095" s="50"/>
      <c r="AB1095"/>
      <c r="AC1095"/>
      <c r="AD1095" s="50"/>
      <c r="AE1095" s="75"/>
      <c r="AF1095" s="50"/>
      <c r="AG1095" s="50"/>
      <c r="AH1095" s="171" t="s">
        <v>4178</v>
      </c>
      <c r="AI1095" s="168" t="str">
        <f>IF(AND($AH1095&lt;&gt;"",AH1095 =AH1094),"Gleich","")</f>
        <v>Gleich</v>
      </c>
      <c r="AJ1095" s="168" t="str">
        <f>IF(AND($AH1095&lt;&gt;"",A1095 =A1094),"Gleich","")</f>
        <v/>
      </c>
      <c r="AK1095" s="168" t="str">
        <f>IF(AND($AH1095&lt;&gt;"",D1095 =D1094),"Gleich","")</f>
        <v/>
      </c>
      <c r="AL1095" s="168" t="str">
        <f>IF(AND($AH1095&lt;&gt;"",E1095 =E1094),"Gleich","")</f>
        <v/>
      </c>
      <c r="AM1095" s="168" t="str">
        <f>IF(AND($AH1095&lt;&gt;"",F1095 =F1094),"Gleich","")</f>
        <v/>
      </c>
      <c r="AN1095" s="167" t="str">
        <f>IF(ISERROR(SEARCH("K1",A1095)),"","20"&amp;MID(A1095,SEARCH("K1",A1095)+1,2))</f>
        <v>2014</v>
      </c>
      <c r="AO1095" s="167" t="str">
        <f>IF(ISERROR(SEARCH("erstmals 201",E1095)),"",MID(E1095,SEARCH("erstmals ",E1095)+9,4))</f>
        <v>2014</v>
      </c>
      <c r="AP1095" s="167" t="str">
        <f>IF(R1095="x","2010",IF(S1095="x","2011",IF(T1095="x","2012","")))</f>
        <v/>
      </c>
      <c r="AQ1095" s="169" t="str">
        <f>IF(OR(AH1095&lt;&gt;AN1095,AH1095&lt;&gt;AO1095,AH1095&lt;&gt;AP1095),"DIFF","")</f>
        <v>DIFF</v>
      </c>
      <c r="AR1095" s="170" t="str">
        <f>IF(A1095="","",IF(ISERROR(SEARCH("K1",A1095)),A1095,LEFT(A1095,SEARCH("K1",A1095)+1)&amp;RIGHT(AH1095,1)&amp;MID(A1095,SEARCH("K1",A1095)+3,14)))</f>
        <v>BiK81K12----05</v>
      </c>
      <c r="AS1095" s="169" t="str">
        <f>IF(OR(A1095&lt;&gt;AR1095),"DIFF","")</f>
        <v>DIFF</v>
      </c>
      <c r="AT1095">
        <f>LEN(AR1095)</f>
        <v>14</v>
      </c>
      <c r="AU1095" s="170" t="str">
        <f>IF(D1095="","",IF(OR(A1095="",ISERROR(SEARCH("erstmals 201",D1095))),D1095,LEFT(D1095,SEARCH("erstmals 201",D1095)+8) &amp; AH1095 &amp; MID(D1095,SEARCH("erstmals 201",D1095)+13,255)))</f>
        <v>0-0,15 MW, Bonusregel K erstmals 2012</v>
      </c>
      <c r="AV1095" s="169" t="str">
        <f>IF(OR(D1095&lt;&gt;AU1095),"DIFF","")</f>
        <v>DIFF</v>
      </c>
      <c r="AW1095" s="170" t="str">
        <f>IF(E1095="","",IF(OR(E1095="",ISERROR(SEARCH("erstmals 201",E1095))),E1095,LEFT(E1095,SEARCH("erstmals 201",E1095)+8) &amp; AH1095 &amp; MID(E1095,SEARCH("erstmals 201",E1095)+13,255)))</f>
        <v>Anteil KWK, erstmals 2012</v>
      </c>
      <c r="AX1095" s="169" t="str">
        <f>IF(OR(E1095&lt;&gt;AW1095),"DIFF","")</f>
        <v>DIFF</v>
      </c>
      <c r="AY1095" t="str">
        <f>IF(AH1095="2011","x",IF(AH1095="2012","","" &amp; S1095))</f>
        <v/>
      </c>
      <c r="AZ1095" t="str">
        <f>IF(AH1095="2012","x",IF(AH1095="2011","","" &amp; T1095))</f>
        <v>x</v>
      </c>
    </row>
    <row r="1096" spans="1:56" s="145" customFormat="1" x14ac:dyDescent="0.35">
      <c r="A1096" s="502" t="s">
        <v>5631</v>
      </c>
      <c r="B1096" s="301" t="s">
        <v>5547</v>
      </c>
      <c r="C1096" s="301" t="s">
        <v>1288</v>
      </c>
      <c r="D1096" s="301" t="s">
        <v>7215</v>
      </c>
      <c r="E1096" s="301" t="s">
        <v>314</v>
      </c>
      <c r="F1096" s="368">
        <f t="shared" si="441"/>
        <v>12.6</v>
      </c>
      <c r="G1096" s="433">
        <f t="shared" si="442"/>
        <v>12.6</v>
      </c>
      <c r="H1096" s="303">
        <f t="shared" si="444"/>
        <v>10.08</v>
      </c>
      <c r="I1096" s="579"/>
      <c r="J1096" s="549" t="s">
        <v>5804</v>
      </c>
      <c r="K1096" s="11"/>
      <c r="L1096"/>
      <c r="M1096" s="315">
        <f t="shared" si="443"/>
        <v>12.6</v>
      </c>
      <c r="N1096" s="29">
        <v>9.75</v>
      </c>
      <c r="O1096" s="319"/>
      <c r="P1096" s="97" t="s">
        <v>2827</v>
      </c>
      <c r="Q1096" s="97"/>
      <c r="R1096" s="97">
        <v>2014</v>
      </c>
      <c r="S1096" s="97"/>
      <c r="T1096" s="92">
        <v>2.85</v>
      </c>
      <c r="U1096" s="42"/>
      <c r="V1096"/>
      <c r="W1096" s="50"/>
      <c r="X1096" s="50"/>
      <c r="Y1096"/>
      <c r="Z1096" s="147"/>
      <c r="AC1096" s="147"/>
      <c r="AE1096" s="75"/>
      <c r="AF1096" s="50"/>
      <c r="AG1096" s="50"/>
      <c r="AH1096" s="171" t="s">
        <v>4178</v>
      </c>
      <c r="AI1096" s="168" t="str">
        <f>IF(AND($AH1096&lt;&gt;"",AH1096 =AH1094),"Gleich","")</f>
        <v>Gleich</v>
      </c>
      <c r="AJ1096" s="168" t="str">
        <f>IF(AND($AH1096&lt;&gt;"",A1096 =A1094),"Gleich","")</f>
        <v/>
      </c>
      <c r="AK1096" s="168" t="str">
        <f t="shared" ref="AK1096:AM1097" si="445">IF(AND($AH1096&lt;&gt;"",D1096 =D1094),"Gleich","")</f>
        <v/>
      </c>
      <c r="AL1096" s="168" t="str">
        <f t="shared" si="445"/>
        <v/>
      </c>
      <c r="AM1096" s="168" t="str">
        <f t="shared" si="445"/>
        <v/>
      </c>
      <c r="AN1096" s="167" t="str">
        <f>IF(ISERROR(SEARCH("K1",A1096)),"","20"&amp;MID(A1096,SEARCH("K1",A1096)+1,2))</f>
        <v>2014</v>
      </c>
      <c r="AO1096" s="167" t="str">
        <f>IF(ISERROR(SEARCH("erstmals 201",E1096)),"",MID(E1096,SEARCH("erstmals ",E1096)+9,4))</f>
        <v>2014</v>
      </c>
      <c r="AP1096" s="167" t="str">
        <f>IF(R1096="x","2010",IF(S1096="x","2011",IF(T1096="x","2012","")))</f>
        <v/>
      </c>
      <c r="AQ1096" s="169" t="str">
        <f>IF(OR(AH1096&lt;&gt;AN1096,AH1096&lt;&gt;AO1096,AH1096&lt;&gt;AP1096),"DIFF","")</f>
        <v>DIFF</v>
      </c>
      <c r="AR1096" s="170" t="str">
        <f>IF(A1096="","",IF(ISERROR(SEARCH("K1",A1096)),A1096,LEFT(A1096,SEARCH("K1",A1096)+1)&amp;RIGHT(AH1096,1)&amp;MID(A1096,SEARCH("K1",A1096)+3,14)))</f>
        <v>BiK82K12----05</v>
      </c>
      <c r="AS1096" s="169" t="str">
        <f>IF(OR(A1096&lt;&gt;AR1096),"DIFF","")</f>
        <v>DIFF</v>
      </c>
      <c r="AT1096">
        <f>LEN(AR1096)</f>
        <v>14</v>
      </c>
      <c r="AU1096" s="170" t="str">
        <f>IF(D1096="","",IF(OR(A1096="",ISERROR(SEARCH("erstmals 201",D1096))),D1096,LEFT(D1096,SEARCH("erstmals 201",D1096)+8) &amp; AH1096 &amp; MID(D1096,SEARCH("erstmals 201",D1096)+13,255)))</f>
        <v>0,15-0,5 MW, Bonusregel K erstmals 2012</v>
      </c>
      <c r="AV1096" s="169" t="str">
        <f>IF(OR(D1096&lt;&gt;AU1096),"DIFF","")</f>
        <v>DIFF</v>
      </c>
      <c r="AW1096" s="170" t="str">
        <f>IF(E1096="","",IF(OR(E1096="",ISERROR(SEARCH("erstmals 201",E1096))),E1096,LEFT(E1096,SEARCH("erstmals 201",E1096)+8) &amp; AH1096 &amp; MID(E1096,SEARCH("erstmals 201",E1096)+13,255)))</f>
        <v>Anteil KWK, erstmals 2012</v>
      </c>
      <c r="AX1096" s="169" t="str">
        <f>IF(OR(E1096&lt;&gt;AW1096),"DIFF","")</f>
        <v>DIFF</v>
      </c>
      <c r="AY1096" t="str">
        <f>IF(AH1096="2011","x",IF(AH1096="2012","","" &amp; S1096))</f>
        <v/>
      </c>
      <c r="AZ1096" t="str">
        <f>IF(AH1096="2012","x",IF(AH1096="2011","","" &amp; T1096))</f>
        <v>x</v>
      </c>
    </row>
    <row r="1097" spans="1:56" s="145" customFormat="1" x14ac:dyDescent="0.35">
      <c r="A1097" s="502" t="s">
        <v>5632</v>
      </c>
      <c r="B1097" s="301" t="s">
        <v>5547</v>
      </c>
      <c r="C1097" s="301" t="s">
        <v>1288</v>
      </c>
      <c r="D1097" s="301" t="s">
        <v>6801</v>
      </c>
      <c r="E1097" s="301" t="s">
        <v>314</v>
      </c>
      <c r="F1097" s="368">
        <f t="shared" si="441"/>
        <v>11.62</v>
      </c>
      <c r="G1097" s="433">
        <f t="shared" si="442"/>
        <v>11.62</v>
      </c>
      <c r="H1097" s="303">
        <f t="shared" si="444"/>
        <v>9.3000000000000007</v>
      </c>
      <c r="I1097" s="579"/>
      <c r="J1097" s="549" t="s">
        <v>5804</v>
      </c>
      <c r="K1097" s="11"/>
      <c r="L1097"/>
      <c r="M1097" s="315">
        <f t="shared" si="443"/>
        <v>11.62</v>
      </c>
      <c r="N1097" s="29">
        <v>8.77</v>
      </c>
      <c r="O1097" s="319"/>
      <c r="P1097" s="97" t="s">
        <v>2827</v>
      </c>
      <c r="Q1097" s="97"/>
      <c r="R1097" s="97">
        <v>2014</v>
      </c>
      <c r="S1097" s="97"/>
      <c r="T1097" s="92">
        <v>2.85</v>
      </c>
      <c r="U1097" s="60"/>
      <c r="V1097" s="50"/>
      <c r="W1097"/>
      <c r="X1097"/>
      <c r="Y1097" s="50"/>
      <c r="Z1097" s="50"/>
      <c r="AA1097" s="50"/>
      <c r="AB1097" s="50"/>
      <c r="AC1097" s="50"/>
      <c r="AD1097" s="50"/>
      <c r="AE1097" s="75"/>
      <c r="AF1097" s="50"/>
      <c r="AG1097" s="50"/>
      <c r="AH1097" s="171" t="s">
        <v>4178</v>
      </c>
      <c r="AI1097" s="168" t="str">
        <f>IF(AND($AH1097&lt;&gt;"",AH1097 =AH1095),"Gleich","")</f>
        <v>Gleich</v>
      </c>
      <c r="AJ1097" s="168" t="str">
        <f>IF(AND($AH1097&lt;&gt;"",A1097 =A1095),"Gleich","")</f>
        <v/>
      </c>
      <c r="AK1097" s="168" t="str">
        <f t="shared" si="445"/>
        <v/>
      </c>
      <c r="AL1097" s="168" t="str">
        <f t="shared" si="445"/>
        <v>Gleich</v>
      </c>
      <c r="AM1097" s="168" t="str">
        <f t="shared" si="445"/>
        <v/>
      </c>
      <c r="AN1097" s="167" t="str">
        <f>IF(ISERROR(SEARCH("K1",A1097)),"","20"&amp;MID(A1097,SEARCH("K1",A1097)+1,2))</f>
        <v>2014</v>
      </c>
      <c r="AO1097" s="167" t="str">
        <f>IF(ISERROR(SEARCH("erstmals 201",E1097)),"",MID(E1097,SEARCH("erstmals ",E1097)+9,4))</f>
        <v>2014</v>
      </c>
      <c r="AP1097" s="167" t="str">
        <f>IF(R1097="x","2010",IF(S1097="x","2011",IF(T1097="x","2012","")))</f>
        <v/>
      </c>
      <c r="AQ1097" s="169" t="str">
        <f>IF(OR(AH1097&lt;&gt;AN1097,AH1097&lt;&gt;AO1097,AH1097&lt;&gt;AP1097),"DIFF","")</f>
        <v>DIFF</v>
      </c>
      <c r="AR1097" s="170" t="str">
        <f>IF(A1097="","",IF(ISERROR(SEARCH("K1",A1097)),A1097,LEFT(A1097,SEARCH("K1",A1097)+1)&amp;RIGHT(AH1097,1)&amp;MID(A1097,SEARCH("K1",A1097)+3,14)))</f>
        <v>BiK83K12----05</v>
      </c>
      <c r="AS1097" s="169" t="str">
        <f>IF(OR(A1097&lt;&gt;AR1097),"DIFF","")</f>
        <v>DIFF</v>
      </c>
      <c r="AT1097">
        <f>LEN(AR1097)</f>
        <v>14</v>
      </c>
      <c r="AU1097" s="170" t="str">
        <f>IF(D1097="","",IF(OR(A1097="",ISERROR(SEARCH("erstmals 201",D1097))),D1097,LEFT(D1097,SEARCH("erstmals 201",D1097)+8) &amp; AH1097 &amp; MID(D1097,SEARCH("erstmals 201",D1097)+13,255)))</f>
        <v>0,5-5 MW, Bonusregel K erstmals 2012</v>
      </c>
      <c r="AV1097" s="169" t="str">
        <f>IF(OR(D1097&lt;&gt;AU1097),"DIFF","")</f>
        <v>DIFF</v>
      </c>
      <c r="AW1097" s="170" t="str">
        <f>IF(E1097="","",IF(OR(E1097="",ISERROR(SEARCH("erstmals 201",E1097))),E1097,LEFT(E1097,SEARCH("erstmals 201",E1097)+8) &amp; AH1097 &amp; MID(E1097,SEARCH("erstmals 201",E1097)+13,255)))</f>
        <v>Anteil KWK, erstmals 2012</v>
      </c>
      <c r="AX1097" s="169" t="str">
        <f>IF(OR(E1097&lt;&gt;AW1097),"DIFF","")</f>
        <v>DIFF</v>
      </c>
      <c r="AY1097" t="str">
        <f>IF(AH1097="2011","x",IF(AH1097="2012","","" &amp; S1097))</f>
        <v/>
      </c>
      <c r="AZ1097" t="str">
        <f>IF(AH1097="2012","x",IF(AH1097="2011","","" &amp; T1097))</f>
        <v>x</v>
      </c>
    </row>
    <row r="1098" spans="1:56" s="145" customFormat="1" x14ac:dyDescent="0.35">
      <c r="A1098" s="502" t="s">
        <v>6331</v>
      </c>
      <c r="B1098" s="301" t="s">
        <v>5547</v>
      </c>
      <c r="C1098" s="301" t="s">
        <v>1288</v>
      </c>
      <c r="D1098" s="301" t="s">
        <v>7364</v>
      </c>
      <c r="E1098" s="301" t="s">
        <v>314</v>
      </c>
      <c r="F1098" s="368">
        <f t="shared" si="441"/>
        <v>11.12</v>
      </c>
      <c r="G1098" s="433">
        <f t="shared" si="442"/>
        <v>11.12</v>
      </c>
      <c r="H1098" s="303">
        <f t="shared" si="444"/>
        <v>8.9</v>
      </c>
      <c r="I1098" s="579"/>
      <c r="J1098" s="549">
        <v>43168</v>
      </c>
      <c r="K1098" s="11"/>
      <c r="L1098"/>
      <c r="M1098" s="315">
        <f t="shared" si="443"/>
        <v>11.12</v>
      </c>
      <c r="N1098" s="29">
        <v>8.27</v>
      </c>
      <c r="O1098" s="319"/>
      <c r="P1098" s="97" t="s">
        <v>2827</v>
      </c>
      <c r="Q1098" s="97"/>
      <c r="R1098" s="97">
        <v>2014</v>
      </c>
      <c r="S1098" s="97"/>
      <c r="T1098" s="554">
        <f>ROUND($BD$1098,2)</f>
        <v>2.85</v>
      </c>
      <c r="U1098" s="60"/>
      <c r="V1098" s="50"/>
      <c r="W1098" s="50"/>
      <c r="X1098" s="50"/>
      <c r="Y1098" s="50"/>
      <c r="Z1098" s="50"/>
      <c r="AA1098" s="50"/>
      <c r="AB1098" s="50"/>
      <c r="AC1098" s="50"/>
      <c r="AD1098" s="50"/>
      <c r="AE1098" s="75"/>
      <c r="AF1098" s="50"/>
      <c r="AG1098" s="50"/>
      <c r="AH1098" s="171"/>
      <c r="AI1098" s="168"/>
      <c r="AJ1098" s="168"/>
      <c r="AK1098" s="168"/>
      <c r="AL1098" s="168"/>
      <c r="AM1098" s="168"/>
      <c r="AN1098" s="167"/>
      <c r="AO1098" s="167"/>
      <c r="AP1098" s="167"/>
      <c r="AQ1098" s="169"/>
      <c r="AR1098" s="170"/>
      <c r="AS1098" s="169"/>
      <c r="AT1098"/>
      <c r="AU1098" s="170"/>
      <c r="AV1098" s="169"/>
      <c r="AW1098" s="170"/>
      <c r="AX1098" s="169"/>
      <c r="AY1098"/>
      <c r="AZ1098"/>
      <c r="BD1098" s="145">
        <f>3*0.99^5</f>
        <v>2.8529701497</v>
      </c>
    </row>
    <row r="1099" spans="1:56" s="145" customFormat="1" x14ac:dyDescent="0.35">
      <c r="A1099" s="502" t="s">
        <v>6099</v>
      </c>
      <c r="B1099" s="301" t="s">
        <v>5547</v>
      </c>
      <c r="C1099" s="301" t="s">
        <v>1288</v>
      </c>
      <c r="D1099" s="301" t="s">
        <v>6997</v>
      </c>
      <c r="E1099" s="301" t="s">
        <v>5624</v>
      </c>
      <c r="F1099" s="368">
        <f t="shared" si="441"/>
        <v>28.490000000000002</v>
      </c>
      <c r="G1099" s="433">
        <f t="shared" si="442"/>
        <v>28.490000000000002</v>
      </c>
      <c r="H1099" s="303">
        <f t="shared" si="444"/>
        <v>22.79</v>
      </c>
      <c r="I1099" s="579"/>
      <c r="J1099" s="549">
        <v>42719</v>
      </c>
      <c r="K1099" s="11"/>
      <c r="L1099"/>
      <c r="M1099" s="315">
        <f t="shared" si="443"/>
        <v>28.490000000000002</v>
      </c>
      <c r="N1099" s="29">
        <v>11.67</v>
      </c>
      <c r="O1099" s="319"/>
      <c r="P1099" s="97" t="s">
        <v>2827</v>
      </c>
      <c r="Q1099" s="97"/>
      <c r="R1099" s="97">
        <v>2015</v>
      </c>
      <c r="S1099" s="97" t="s">
        <v>4179</v>
      </c>
      <c r="T1099" s="92">
        <v>2.82</v>
      </c>
      <c r="U1099" s="42" t="s">
        <v>1017</v>
      </c>
      <c r="V1099"/>
      <c r="W1099" s="50"/>
      <c r="X1099" s="50"/>
      <c r="Y1099"/>
      <c r="Z1099" t="s">
        <v>1017</v>
      </c>
      <c r="AA1099" s="50"/>
      <c r="AB1099"/>
      <c r="AC1099"/>
      <c r="AD1099" s="50"/>
      <c r="AE1099" s="75" t="s">
        <v>1017</v>
      </c>
      <c r="AF1099" s="50"/>
      <c r="AG1099" s="50"/>
      <c r="AH1099" s="171" t="s">
        <v>4178</v>
      </c>
      <c r="AI1099" s="168" t="str">
        <f>IF(AND($AH1099&lt;&gt;"",AH1099 =AH1097),"Gleich","")</f>
        <v>Gleich</v>
      </c>
      <c r="AJ1099" s="168" t="str">
        <f>IF(AND($AH1099&lt;&gt;"",A1099 =A1097),"Gleich","")</f>
        <v/>
      </c>
      <c r="AK1099" s="168" t="str">
        <f>IF(AND($AH1099&lt;&gt;"",D1099 =D1097),"Gleich","")</f>
        <v/>
      </c>
      <c r="AL1099" s="168" t="str">
        <f>IF(AND($AH1099&lt;&gt;"",E1099 =E1097),"Gleich","")</f>
        <v/>
      </c>
      <c r="AM1099" s="168" t="str">
        <f>IF(AND($AH1099&lt;&gt;"",F1099 =F1097),"Gleich","")</f>
        <v/>
      </c>
      <c r="AN1099" s="167" t="str">
        <f>IF(ISERROR(SEARCH("K1",A1099)),"","20"&amp;MID(A1099,SEARCH("K1",A1099)+1,2))</f>
        <v>2015</v>
      </c>
      <c r="AO1099" s="167" t="str">
        <f>IF(ISERROR(SEARCH("erstmals 201",E1099)),"",MID(E1099,SEARCH("erstmals ",E1099)+9,4))</f>
        <v>2015</v>
      </c>
      <c r="AP1099" s="167" t="str">
        <f>IF(R1099="x","2010",IF(S1099="x","2011",IF(T1099="x","2012","")))</f>
        <v/>
      </c>
      <c r="AQ1099" s="169" t="str">
        <f>IF(OR(AH1099&lt;&gt;AN1099,AH1099&lt;&gt;AO1099,AH1099&lt;&gt;AP1099),"DIFF","")</f>
        <v>DIFF</v>
      </c>
      <c r="AR1099" s="170" t="str">
        <f>IF(A1099="","",IF(ISERROR(SEARCH("K1",A1099)),A1099,LEFT(A1099,SEARCH("K1",A1099)+1)&amp;RIGHT(AH1099,1)&amp;MID(A1099,SEARCH("K1",A1099)+3,14)))</f>
        <v>BiK81M1bK12y05</v>
      </c>
      <c r="AS1099" s="169" t="str">
        <f>IF(OR(A1099&lt;&gt;AR1099),"DIFF","")</f>
        <v>DIFF</v>
      </c>
      <c r="AT1099">
        <f>LEN(AR1099)</f>
        <v>14</v>
      </c>
      <c r="AU1099" s="170" t="str">
        <f>IF(D1099="","",IF(OR(A1099="",ISERROR(SEARCH("erstmals 201",D1099))),D1099,LEFT(D1099,SEARCH("erstmals 201",D1099)+8) &amp; AH1099 &amp; MID(D1099,SEARCH("erstmals 201",D1099)+13,255)))</f>
        <v>0-0,15 MW, Bonusregeln M1, y, b und K erstmals 2012</v>
      </c>
      <c r="AV1099" s="169" t="str">
        <f>IF(OR(D1099&lt;&gt;AU1099),"DIFF","")</f>
        <v>DIFF</v>
      </c>
      <c r="AW1099" s="170" t="str">
        <f>IF(E1099="","",IF(OR(E1099="",ISERROR(SEARCH("erstmals 201",E1099))),E1099,LEFT(E1099,SEARCH("erstmals 201",E1099)+8) &amp; AH1099 &amp; MID(E1099,SEARCH("erstmals 201",E1099)+13,255)))</f>
        <v>Anteil KWK, erstmals 2012</v>
      </c>
      <c r="AX1099" s="169" t="str">
        <f>IF(OR(E1099&lt;&gt;AW1099),"DIFF","")</f>
        <v>DIFF</v>
      </c>
      <c r="AY1099" t="str">
        <f>IF(AH1099="2011","x",IF(AH1099="2012","","" &amp; S1099))</f>
        <v/>
      </c>
      <c r="AZ1099" t="str">
        <f>IF(AH1099="2012","x",IF(AH1099="2011","","" &amp; T1099))</f>
        <v>x</v>
      </c>
    </row>
    <row r="1100" spans="1:56" s="145" customFormat="1" x14ac:dyDescent="0.35">
      <c r="A1100" s="502" t="s">
        <v>6100</v>
      </c>
      <c r="B1100" s="301" t="s">
        <v>5547</v>
      </c>
      <c r="C1100" s="301" t="s">
        <v>1288</v>
      </c>
      <c r="D1100" s="301" t="s">
        <v>7216</v>
      </c>
      <c r="E1100" s="301" t="s">
        <v>5624</v>
      </c>
      <c r="F1100" s="368">
        <f t="shared" si="441"/>
        <v>23.57</v>
      </c>
      <c r="G1100" s="433">
        <f t="shared" si="442"/>
        <v>23.57</v>
      </c>
      <c r="H1100" s="303">
        <f t="shared" si="444"/>
        <v>18.86</v>
      </c>
      <c r="I1100" s="579"/>
      <c r="J1100" s="549">
        <v>42719</v>
      </c>
      <c r="K1100" s="11"/>
      <c r="L1100"/>
      <c r="M1100" s="315">
        <f t="shared" si="443"/>
        <v>23.57</v>
      </c>
      <c r="N1100" s="29">
        <v>9.75</v>
      </c>
      <c r="O1100" s="319"/>
      <c r="P1100" s="97" t="s">
        <v>2827</v>
      </c>
      <c r="Q1100" s="97"/>
      <c r="R1100" s="97">
        <v>2015</v>
      </c>
      <c r="S1100" s="97" t="s">
        <v>4179</v>
      </c>
      <c r="T1100" s="92">
        <v>2.82</v>
      </c>
      <c r="U1100" s="42" t="s">
        <v>1017</v>
      </c>
      <c r="V1100"/>
      <c r="W1100" s="50"/>
      <c r="X1100" s="50"/>
      <c r="Y1100"/>
      <c r="Z1100" s="50"/>
      <c r="AA1100" t="s">
        <v>1017</v>
      </c>
      <c r="AB1100"/>
      <c r="AC1100" s="147"/>
      <c r="AE1100" s="75" t="s">
        <v>1017</v>
      </c>
      <c r="AF1100" s="50"/>
      <c r="AG1100" s="50"/>
      <c r="AH1100" s="171" t="s">
        <v>4178</v>
      </c>
      <c r="AI1100" s="168" t="str">
        <f>IF(AND($AH1100&lt;&gt;"",AH1100 =AH1099),"Gleich","")</f>
        <v>Gleich</v>
      </c>
      <c r="AJ1100" s="168" t="str">
        <f>IF(AND($AH1100&lt;&gt;"",A1100 =A1099),"Gleich","")</f>
        <v/>
      </c>
      <c r="AK1100" s="168" t="str">
        <f t="shared" ref="AK1100:AM1102" si="446">IF(AND($AH1100&lt;&gt;"",D1100 =D1099),"Gleich","")</f>
        <v/>
      </c>
      <c r="AL1100" s="168" t="str">
        <f t="shared" si="446"/>
        <v>Gleich</v>
      </c>
      <c r="AM1100" s="168" t="str">
        <f t="shared" si="446"/>
        <v/>
      </c>
      <c r="AN1100" s="167" t="str">
        <f>IF(ISERROR(SEARCH("K1",A1100)),"","20"&amp;MID(A1100,SEARCH("K1",A1100)+1,2))</f>
        <v>2015</v>
      </c>
      <c r="AO1100" s="167" t="str">
        <f>IF(ISERROR(SEARCH("erstmals 201",E1100)),"",MID(E1100,SEARCH("erstmals ",E1100)+9,4))</f>
        <v>2015</v>
      </c>
      <c r="AP1100" s="167" t="str">
        <f>IF(R1100="x","2010",IF(S1100="x","2011",IF(T1100="x","2012","")))</f>
        <v/>
      </c>
      <c r="AQ1100" s="169" t="str">
        <f>IF(OR(AH1100&lt;&gt;AN1100,AH1100&lt;&gt;AO1100,AH1100&lt;&gt;AP1100),"DIFF","")</f>
        <v>DIFF</v>
      </c>
      <c r="AR1100" s="170" t="str">
        <f>IF(A1100="","",IF(ISERROR(SEARCH("K1",A1100)),A1100,LEFT(A1100,SEARCH("K1",A1100)+1)&amp;RIGHT(AH1100,1)&amp;MID(A1100,SEARCH("K1",A1100)+3,14)))</f>
        <v>BiK82M2bK12y05</v>
      </c>
      <c r="AS1100" s="169" t="str">
        <f>IF(OR(A1100&lt;&gt;AR1100),"DIFF","")</f>
        <v>DIFF</v>
      </c>
      <c r="AT1100">
        <f>LEN(AR1100)</f>
        <v>14</v>
      </c>
      <c r="AU1100" s="170" t="str">
        <f>IF(D1100="","",IF(OR(A1100="",ISERROR(SEARCH("erstmals 201",D1100))),D1100,LEFT(D1100,SEARCH("erstmals 201",D1100)+8) &amp; AH1100 &amp; MID(D1100,SEARCH("erstmals 201",D1100)+13,255)))</f>
        <v>0,15-0,5 MW, Bonusregeln M2, y, b und K erstmals 2012</v>
      </c>
      <c r="AV1100" s="169" t="str">
        <f>IF(OR(D1100&lt;&gt;AU1100),"DIFF","")</f>
        <v>DIFF</v>
      </c>
      <c r="AW1100" s="170" t="str">
        <f>IF(E1100="","",IF(OR(E1100="",ISERROR(SEARCH("erstmals 201",E1100))),E1100,LEFT(E1100,SEARCH("erstmals 201",E1100)+8) &amp; AH1100 &amp; MID(E1100,SEARCH("erstmals 201",E1100)+13,255)))</f>
        <v>Anteil KWK, erstmals 2012</v>
      </c>
      <c r="AX1100" s="169" t="str">
        <f>IF(OR(E1100&lt;&gt;AW1100),"DIFF","")</f>
        <v>DIFF</v>
      </c>
      <c r="AY1100" t="str">
        <f>IF(AH1100="2011","x",IF(AH1100="2012","","" &amp; S1100))</f>
        <v/>
      </c>
      <c r="AZ1100" t="str">
        <f>IF(AH1100="2012","x",IF(AH1100="2011","","" &amp; T1100))</f>
        <v>x</v>
      </c>
    </row>
    <row r="1101" spans="1:56" s="145" customFormat="1" x14ac:dyDescent="0.35">
      <c r="A1101" s="502" t="s">
        <v>6101</v>
      </c>
      <c r="B1101" s="301" t="s">
        <v>5547</v>
      </c>
      <c r="C1101" s="301" t="s">
        <v>1288</v>
      </c>
      <c r="D1101" s="301" t="s">
        <v>6802</v>
      </c>
      <c r="E1101" s="301" t="s">
        <v>5624</v>
      </c>
      <c r="F1101" s="368">
        <f t="shared" si="441"/>
        <v>17.59</v>
      </c>
      <c r="G1101" s="433">
        <f t="shared" si="442"/>
        <v>17.59</v>
      </c>
      <c r="H1101" s="303">
        <f t="shared" si="444"/>
        <v>14.07</v>
      </c>
      <c r="I1101" s="579"/>
      <c r="J1101" s="549">
        <v>42719</v>
      </c>
      <c r="K1101" s="11"/>
      <c r="L1101"/>
      <c r="M1101" s="315">
        <f t="shared" si="443"/>
        <v>17.59</v>
      </c>
      <c r="N1101" s="29">
        <v>8.77</v>
      </c>
      <c r="O1101" s="319"/>
      <c r="P1101" s="97" t="s">
        <v>2827</v>
      </c>
      <c r="Q1101" s="97"/>
      <c r="R1101" s="97">
        <v>2015</v>
      </c>
      <c r="S1101" s="97" t="s">
        <v>4179</v>
      </c>
      <c r="T1101" s="92">
        <v>2.82</v>
      </c>
      <c r="U1101" s="60"/>
      <c r="V1101" s="50"/>
      <c r="W1101" t="s">
        <v>1017</v>
      </c>
      <c r="X1101"/>
      <c r="Y1101" s="50"/>
      <c r="Z1101" s="50"/>
      <c r="AA1101" s="50"/>
      <c r="AB1101" s="50"/>
      <c r="AC1101" s="50"/>
      <c r="AD1101" s="50"/>
      <c r="AE1101" s="75" t="s">
        <v>1017</v>
      </c>
      <c r="AF1101" s="50"/>
      <c r="AG1101" s="50"/>
      <c r="AH1101" s="171" t="s">
        <v>4178</v>
      </c>
      <c r="AI1101" s="168" t="str">
        <f>IF(AND($AH1101&lt;&gt;"",AH1101 =AH1100),"Gleich","")</f>
        <v>Gleich</v>
      </c>
      <c r="AJ1101" s="168" t="str">
        <f>IF(AND($AH1101&lt;&gt;"",A1101 =A1100),"Gleich","")</f>
        <v/>
      </c>
      <c r="AK1101" s="168" t="str">
        <f t="shared" si="446"/>
        <v/>
      </c>
      <c r="AL1101" s="168" t="str">
        <f t="shared" si="446"/>
        <v>Gleich</v>
      </c>
      <c r="AM1101" s="168" t="str">
        <f t="shared" si="446"/>
        <v/>
      </c>
      <c r="AN1101" s="167" t="str">
        <f>IF(ISERROR(SEARCH("K1",A1101)),"","20"&amp;MID(A1101,SEARCH("K1",A1101)+1,2))</f>
        <v>2015</v>
      </c>
      <c r="AO1101" s="167" t="str">
        <f>IF(ISERROR(SEARCH("erstmals 201",E1101)),"",MID(E1101,SEARCH("erstmals ",E1101)+9,4))</f>
        <v>2015</v>
      </c>
      <c r="AP1101" s="167" t="str">
        <f>IF(R1101="x","2010",IF(S1101="x","2011",IF(T1101="x","2012","")))</f>
        <v/>
      </c>
      <c r="AQ1101" s="169" t="str">
        <f>IF(OR(AH1101&lt;&gt;AN1101,AH1101&lt;&gt;AO1101,AH1101&lt;&gt;AP1101),"DIFF","")</f>
        <v>DIFF</v>
      </c>
      <c r="AR1101" s="170" t="str">
        <f>IF(A1101="","",IF(ISERROR(SEARCH("K1",A1101)),A1101,LEFT(A1101,SEARCH("K1",A1101)+1)&amp;RIGHT(AH1101,1)&amp;MID(A1101,SEARCH("K1",A1101)+3,14)))</f>
        <v>BiK83a2bK12-05</v>
      </c>
      <c r="AS1101" s="169" t="str">
        <f>IF(OR(A1101&lt;&gt;AR1101),"DIFF","")</f>
        <v>DIFF</v>
      </c>
      <c r="AT1101">
        <f>LEN(AR1101)</f>
        <v>14</v>
      </c>
      <c r="AU1101" s="170" t="str">
        <f>IF(D1101="","",IF(OR(A1101="",ISERROR(SEARCH("erstmals 201",D1101))),D1101,LEFT(D1101,SEARCH("erstmals 201",D1101)+8) &amp; AH1101 &amp; MID(D1101,SEARCH("erstmals 201",D1101)+13,255)))</f>
        <v>0,5-5 MW, Bonusregeln a2, b und K erstmals 2012</v>
      </c>
      <c r="AV1101" s="169" t="str">
        <f>IF(OR(D1101&lt;&gt;AU1101),"DIFF","")</f>
        <v>DIFF</v>
      </c>
      <c r="AW1101" s="170" t="str">
        <f>IF(E1101="","",IF(OR(E1101="",ISERROR(SEARCH("erstmals 201",E1101))),E1101,LEFT(E1101,SEARCH("erstmals 201",E1101)+8) &amp; AH1101 &amp; MID(E1101,SEARCH("erstmals 201",E1101)+13,255)))</f>
        <v>Anteil KWK, erstmals 2012</v>
      </c>
      <c r="AX1101" s="169" t="str">
        <f>IF(OR(E1101&lt;&gt;AW1101),"DIFF","")</f>
        <v>DIFF</v>
      </c>
      <c r="AY1101" t="str">
        <f>IF(AH1101="2011","x",IF(AH1101="2012","","" &amp; S1101))</f>
        <v/>
      </c>
      <c r="AZ1101" t="str">
        <f>IF(AH1101="2012","x",IF(AH1101="2011","","" &amp; T1101))</f>
        <v>x</v>
      </c>
    </row>
    <row r="1102" spans="1:56" s="145" customFormat="1" x14ac:dyDescent="0.35">
      <c r="A1102" s="502" t="s">
        <v>6170</v>
      </c>
      <c r="B1102" s="301" t="s">
        <v>5547</v>
      </c>
      <c r="C1102" s="301" t="s">
        <v>1288</v>
      </c>
      <c r="D1102" s="301" t="s">
        <v>6998</v>
      </c>
      <c r="E1102" s="301" t="s">
        <v>5806</v>
      </c>
      <c r="F1102" s="368">
        <f t="shared" si="441"/>
        <v>25.470000000000002</v>
      </c>
      <c r="G1102" s="433">
        <f t="shared" si="442"/>
        <v>25.470000000000002</v>
      </c>
      <c r="H1102" s="303">
        <f t="shared" si="444"/>
        <v>20.38</v>
      </c>
      <c r="I1102" s="579"/>
      <c r="J1102" s="549">
        <v>42877</v>
      </c>
      <c r="K1102" s="11"/>
      <c r="L1102"/>
      <c r="M1102" s="37">
        <f t="shared" si="443"/>
        <v>25.470000000000002</v>
      </c>
      <c r="N1102" s="29">
        <v>11.67</v>
      </c>
      <c r="O1102" s="319"/>
      <c r="P1102" s="97" t="s">
        <v>2827</v>
      </c>
      <c r="Q1102" s="97"/>
      <c r="R1102" s="97">
        <v>2016</v>
      </c>
      <c r="S1102" s="97"/>
      <c r="T1102" s="554">
        <v>2.8</v>
      </c>
      <c r="U1102" s="146"/>
      <c r="W1102" s="147"/>
      <c r="X1102" s="147"/>
      <c r="Z1102" s="145" t="s">
        <v>1017</v>
      </c>
      <c r="AA1102" s="147"/>
      <c r="AD1102" s="147"/>
      <c r="AE1102" s="148"/>
      <c r="AF1102" s="147"/>
      <c r="AG1102" s="147"/>
      <c r="AH1102" s="171" t="s">
        <v>4178</v>
      </c>
      <c r="AI1102" s="168" t="str">
        <f>IF(AND($AH1102&lt;&gt;"",AH1102 =AH1101),"Gleich","")</f>
        <v>Gleich</v>
      </c>
      <c r="AJ1102" s="168" t="str">
        <f>IF(AND($AH1102&lt;&gt;"",A1102 =A1101),"Gleich","")</f>
        <v/>
      </c>
      <c r="AK1102" s="168" t="str">
        <f t="shared" si="446"/>
        <v/>
      </c>
      <c r="AL1102" s="168" t="str">
        <f t="shared" si="446"/>
        <v/>
      </c>
      <c r="AM1102" s="168" t="str">
        <f t="shared" si="446"/>
        <v/>
      </c>
      <c r="AN1102" s="167" t="str">
        <f>IF(ISERROR(SEARCH("K1",A1102)),"","20"&amp;MID(A1102,SEARCH("K1",A1102)+1,2))</f>
        <v>2016</v>
      </c>
      <c r="AO1102" s="167" t="str">
        <f>IF(ISERROR(SEARCH("erstmals 201",E1102)),"",MID(E1102,SEARCH("erstmals ",E1102)+9,4))</f>
        <v>2016</v>
      </c>
      <c r="AP1102" s="167" t="str">
        <f>IF(R1102="x","2010",IF(S1102="x","2011",IF(T1102="x","2012","")))</f>
        <v/>
      </c>
      <c r="AQ1102" s="169" t="str">
        <f>IF(OR(AH1102&lt;&gt;AN1102,AH1102&lt;&gt;AO1102,AH1102&lt;&gt;AP1102),"DIFF","")</f>
        <v>DIFF</v>
      </c>
      <c r="AR1102" s="170" t="str">
        <f>IF(A1102="","",IF(ISERROR(SEARCH("K1",A1102)),A1102,LEFT(A1102,SEARCH("K1",A1102)+1)&amp;RIGHT(AH1102,1)&amp;MID(A1102,SEARCH("K1",A1102)+3,14)))</f>
        <v>BiK81M1K12--05</v>
      </c>
      <c r="AS1102" s="169" t="str">
        <f>IF(OR(A1102&lt;&gt;AR1102),"DIFF","")</f>
        <v>DIFF</v>
      </c>
      <c r="AT1102">
        <f>LEN(AR1102)</f>
        <v>14</v>
      </c>
      <c r="AU1102" s="170" t="str">
        <f>IF(D1102="","",IF(OR(A1102="",ISERROR(SEARCH("erstmals 201",D1102))),D1102,LEFT(D1102,SEARCH("erstmals 201",D1102)+8) &amp; AH1102 &amp; MID(D1102,SEARCH("erstmals 201",D1102)+13,255)))</f>
        <v>0-0,15 MW, Bonusregeln M1, K erstmals 2012</v>
      </c>
      <c r="AV1102" s="169" t="str">
        <f>IF(OR(D1102&lt;&gt;AU1102),"DIFF","")</f>
        <v>DIFF</v>
      </c>
      <c r="AW1102" s="170" t="str">
        <f>IF(E1102="","",IF(OR(E1102="",ISERROR(SEARCH("erstmals 201",E1102))),E1102,LEFT(E1102,SEARCH("erstmals 201",E1102)+8) &amp; AH1102 &amp; MID(E1102,SEARCH("erstmals 201",E1102)+13,255)))</f>
        <v>Anteil KWK, erstmals 2012</v>
      </c>
      <c r="AX1102" s="169" t="str">
        <f>IF(OR(E1102&lt;&gt;AW1102),"DIFF","")</f>
        <v>DIFF</v>
      </c>
      <c r="AY1102" t="str">
        <f>IF(AH1102="2011","x",IF(AH1102="2012","","" &amp; S1102))</f>
        <v/>
      </c>
      <c r="AZ1102" t="str">
        <f>IF(AH1102="2012","x",IF(AH1102="2011","","" &amp; T1102))</f>
        <v>x</v>
      </c>
    </row>
    <row r="1103" spans="1:56" s="145" customFormat="1" x14ac:dyDescent="0.35">
      <c r="A1103" s="502" t="s">
        <v>6172</v>
      </c>
      <c r="B1103" s="301" t="s">
        <v>5547</v>
      </c>
      <c r="C1103" s="301" t="s">
        <v>1288</v>
      </c>
      <c r="D1103" s="301" t="s">
        <v>6999</v>
      </c>
      <c r="E1103" s="301" t="s">
        <v>5806</v>
      </c>
      <c r="F1103" s="368">
        <f t="shared" si="441"/>
        <v>28.470000000000002</v>
      </c>
      <c r="G1103" s="433">
        <f t="shared" si="442"/>
        <v>28.470000000000002</v>
      </c>
      <c r="H1103" s="303">
        <f t="shared" si="444"/>
        <v>22.78</v>
      </c>
      <c r="I1103" s="579"/>
      <c r="J1103" s="549">
        <v>42919</v>
      </c>
      <c r="K1103" s="11"/>
      <c r="L1103"/>
      <c r="M1103" s="315">
        <f t="shared" si="443"/>
        <v>28.470000000000002</v>
      </c>
      <c r="N1103" s="29">
        <v>11.67</v>
      </c>
      <c r="O1103" s="319"/>
      <c r="P1103" s="97" t="s">
        <v>2827</v>
      </c>
      <c r="Q1103" s="97"/>
      <c r="R1103" s="97">
        <v>2016</v>
      </c>
      <c r="S1103" s="97" t="s">
        <v>4179</v>
      </c>
      <c r="T1103" s="554">
        <v>2.8</v>
      </c>
      <c r="U1103" s="42" t="s">
        <v>1017</v>
      </c>
      <c r="V1103"/>
      <c r="W1103" s="50"/>
      <c r="X1103" s="50"/>
      <c r="Y1103"/>
      <c r="Z1103" t="s">
        <v>1017</v>
      </c>
      <c r="AA1103" s="50"/>
      <c r="AB1103"/>
      <c r="AC1103"/>
      <c r="AD1103" s="50"/>
      <c r="AE1103" s="75" t="s">
        <v>1017</v>
      </c>
      <c r="AF1103" s="50"/>
      <c r="AG1103" s="50"/>
      <c r="AH1103" s="171"/>
      <c r="AI1103" s="168"/>
      <c r="AJ1103" s="168"/>
      <c r="AK1103" s="168"/>
      <c r="AL1103" s="168"/>
      <c r="AM1103" s="168"/>
      <c r="AN1103" s="167"/>
      <c r="AO1103" s="167"/>
      <c r="AP1103" s="167"/>
      <c r="AQ1103" s="169"/>
      <c r="AR1103" s="170"/>
      <c r="AS1103" s="169"/>
      <c r="AT1103"/>
      <c r="AU1103" s="170"/>
      <c r="AV1103" s="169"/>
      <c r="AW1103" s="170"/>
      <c r="AX1103" s="169"/>
      <c r="AY1103"/>
      <c r="AZ1103"/>
    </row>
    <row r="1104" spans="1:56" s="145" customFormat="1" x14ac:dyDescent="0.35">
      <c r="A1104" s="502" t="s">
        <v>6171</v>
      </c>
      <c r="B1104" s="301" t="s">
        <v>5547</v>
      </c>
      <c r="C1104" s="301" t="s">
        <v>1288</v>
      </c>
      <c r="D1104" s="301" t="s">
        <v>7217</v>
      </c>
      <c r="E1104" s="301" t="s">
        <v>5806</v>
      </c>
      <c r="F1104" s="368">
        <f t="shared" si="441"/>
        <v>20.55</v>
      </c>
      <c r="G1104" s="433">
        <f t="shared" si="442"/>
        <v>20.55</v>
      </c>
      <c r="H1104" s="303">
        <f t="shared" si="444"/>
        <v>16.440000000000001</v>
      </c>
      <c r="I1104" s="579"/>
      <c r="J1104" s="549">
        <v>42877</v>
      </c>
      <c r="K1104" s="11"/>
      <c r="L1104"/>
      <c r="M1104" s="315">
        <f t="shared" si="443"/>
        <v>20.55</v>
      </c>
      <c r="N1104" s="29">
        <v>9.75</v>
      </c>
      <c r="O1104" s="319"/>
      <c r="P1104" s="97" t="s">
        <v>2827</v>
      </c>
      <c r="Q1104" s="97"/>
      <c r="R1104" s="97">
        <v>2016</v>
      </c>
      <c r="S1104" s="97"/>
      <c r="T1104" s="554">
        <v>2.8</v>
      </c>
      <c r="U1104" s="146"/>
      <c r="W1104" s="147"/>
      <c r="X1104" s="147"/>
      <c r="Z1104" s="147"/>
      <c r="AA1104" s="145" t="s">
        <v>1017</v>
      </c>
      <c r="AC1104" s="147"/>
      <c r="AE1104" s="148"/>
      <c r="AF1104" s="147"/>
      <c r="AG1104" s="147"/>
      <c r="AH1104" s="171" t="s">
        <v>4178</v>
      </c>
      <c r="AI1104" s="168" t="str">
        <f>IF(AND($AH1104&lt;&gt;"",AH1104 =AH1101),"Gleich","")</f>
        <v>Gleich</v>
      </c>
      <c r="AJ1104" s="168" t="str">
        <f>IF(AND($AH1104&lt;&gt;"",A1104 =A1101),"Gleich","")</f>
        <v/>
      </c>
      <c r="AK1104" s="168" t="str">
        <f>IF(AND($AH1104&lt;&gt;"",D1104 =D1101),"Gleich","")</f>
        <v/>
      </c>
      <c r="AL1104" s="168" t="str">
        <f>IF(AND($AH1104&lt;&gt;"",E1104 =E1101),"Gleich","")</f>
        <v/>
      </c>
      <c r="AM1104" s="168" t="str">
        <f>IF(AND($AH1104&lt;&gt;"",F1104 =F1101),"Gleich","")</f>
        <v/>
      </c>
      <c r="AN1104" s="167" t="str">
        <f>IF(ISERROR(SEARCH("K1",A1104)),"","20"&amp;MID(A1104,SEARCH("K1",A1104)+1,2))</f>
        <v>2016</v>
      </c>
      <c r="AO1104" s="167" t="str">
        <f>IF(ISERROR(SEARCH("erstmals 201",E1104)),"",MID(E1104,SEARCH("erstmals ",E1104)+9,4))</f>
        <v>2016</v>
      </c>
      <c r="AP1104" s="167" t="str">
        <f>IF(R1104="x","2010",IF(S1104="x","2011",IF(T1104="x","2012","")))</f>
        <v/>
      </c>
      <c r="AQ1104" s="169" t="str">
        <f>IF(OR(AH1104&lt;&gt;AN1104,AH1104&lt;&gt;AO1104,AH1104&lt;&gt;AP1104),"DIFF","")</f>
        <v>DIFF</v>
      </c>
      <c r="AR1104" s="170" t="str">
        <f>IF(A1104="","",IF(ISERROR(SEARCH("K1",A1104)),A1104,LEFT(A1104,SEARCH("K1",A1104)+1)&amp;RIGHT(AH1104,1)&amp;MID(A1104,SEARCH("K1",A1104)+3,14)))</f>
        <v>BiK82M2K12--05</v>
      </c>
      <c r="AS1104" s="169" t="str">
        <f>IF(OR(A1104&lt;&gt;AR1104),"DIFF","")</f>
        <v>DIFF</v>
      </c>
      <c r="AT1104">
        <f>LEN(AR1104)</f>
        <v>14</v>
      </c>
      <c r="AU1104" s="170" t="str">
        <f>IF(D1104="","",IF(OR(A1104="",ISERROR(SEARCH("erstmals 201",D1104))),D1104,LEFT(D1104,SEARCH("erstmals 201",D1104)+8) &amp; AH1104 &amp; MID(D1104,SEARCH("erstmals 201",D1104)+13,255)))</f>
        <v>0,15-0,5 MW, Bonusregeln M2, K erstmals 2012</v>
      </c>
      <c r="AV1104" s="169" t="str">
        <f>IF(OR(D1104&lt;&gt;AU1104),"DIFF","")</f>
        <v>DIFF</v>
      </c>
      <c r="AW1104" s="170" t="str">
        <f>IF(E1104="","",IF(OR(E1104="",ISERROR(SEARCH("erstmals 201",E1104))),E1104,LEFT(E1104,SEARCH("erstmals 201",E1104)+8) &amp; AH1104 &amp; MID(E1104,SEARCH("erstmals 201",E1104)+13,255)))</f>
        <v>Anteil KWK, erstmals 2012</v>
      </c>
      <c r="AX1104" s="169" t="str">
        <f>IF(OR(E1104&lt;&gt;AW1104),"DIFF","")</f>
        <v>DIFF</v>
      </c>
      <c r="AY1104" t="str">
        <f>IF(AH1104="2011","x",IF(AH1104="2012","","" &amp; S1104))</f>
        <v/>
      </c>
      <c r="AZ1104" t="str">
        <f>IF(AH1104="2012","x",IF(AH1104="2011","","" &amp; T1104))</f>
        <v>x</v>
      </c>
    </row>
    <row r="1105" spans="1:56" s="145" customFormat="1" x14ac:dyDescent="0.35">
      <c r="A1105" s="502" t="s">
        <v>6173</v>
      </c>
      <c r="B1105" s="301" t="s">
        <v>5547</v>
      </c>
      <c r="C1105" s="301" t="s">
        <v>1288</v>
      </c>
      <c r="D1105" s="301" t="s">
        <v>7218</v>
      </c>
      <c r="E1105" s="301" t="s">
        <v>5806</v>
      </c>
      <c r="F1105" s="368">
        <f t="shared" si="441"/>
        <v>23.55</v>
      </c>
      <c r="G1105" s="433">
        <f t="shared" si="442"/>
        <v>23.55</v>
      </c>
      <c r="H1105" s="303">
        <f t="shared" si="444"/>
        <v>18.84</v>
      </c>
      <c r="I1105" s="579"/>
      <c r="J1105" s="549">
        <v>42919</v>
      </c>
      <c r="K1105" s="11"/>
      <c r="L1105"/>
      <c r="M1105" s="315">
        <f t="shared" si="443"/>
        <v>23.55</v>
      </c>
      <c r="N1105" s="29">
        <v>9.75</v>
      </c>
      <c r="O1105" s="319"/>
      <c r="P1105" s="97" t="s">
        <v>2827</v>
      </c>
      <c r="Q1105" s="97"/>
      <c r="R1105" s="97">
        <v>2016</v>
      </c>
      <c r="S1105" s="97" t="s">
        <v>4179</v>
      </c>
      <c r="T1105" s="554">
        <v>2.8</v>
      </c>
      <c r="U1105" s="42" t="s">
        <v>1017</v>
      </c>
      <c r="V1105"/>
      <c r="W1105" s="50"/>
      <c r="X1105" s="50"/>
      <c r="Y1105"/>
      <c r="Z1105" s="50"/>
      <c r="AA1105" t="s">
        <v>1017</v>
      </c>
      <c r="AB1105"/>
      <c r="AC1105" s="147"/>
      <c r="AE1105" s="75" t="s">
        <v>1017</v>
      </c>
      <c r="AF1105" s="50"/>
      <c r="AG1105" s="50"/>
      <c r="AH1105" s="171"/>
      <c r="AI1105" s="168"/>
      <c r="AJ1105" s="168"/>
      <c r="AK1105" s="168"/>
      <c r="AL1105" s="168"/>
      <c r="AM1105" s="168"/>
      <c r="AN1105" s="167"/>
      <c r="AO1105" s="167"/>
      <c r="AP1105" s="167"/>
      <c r="AQ1105" s="169"/>
      <c r="AR1105" s="170"/>
      <c r="AS1105" s="169"/>
      <c r="AT1105"/>
      <c r="AU1105" s="170"/>
      <c r="AV1105" s="169"/>
      <c r="AW1105" s="170"/>
      <c r="AX1105" s="169"/>
      <c r="AY1105"/>
      <c r="AZ1105"/>
    </row>
    <row r="1106" spans="1:56" s="145" customFormat="1" x14ac:dyDescent="0.35">
      <c r="A1106" s="502" t="s">
        <v>6617</v>
      </c>
      <c r="B1106" s="301" t="s">
        <v>5547</v>
      </c>
      <c r="C1106" s="301" t="s">
        <v>1288</v>
      </c>
      <c r="D1106" s="301" t="s">
        <v>7000</v>
      </c>
      <c r="E1106" s="301" t="s">
        <v>6155</v>
      </c>
      <c r="F1106" s="368">
        <f t="shared" si="441"/>
        <v>14.44</v>
      </c>
      <c r="G1106" s="433">
        <f t="shared" si="442"/>
        <v>14.44</v>
      </c>
      <c r="H1106" s="303">
        <f t="shared" si="444"/>
        <v>11.55</v>
      </c>
      <c r="I1106" s="579"/>
      <c r="J1106" s="549">
        <v>43951</v>
      </c>
      <c r="K1106" s="11"/>
      <c r="L1106"/>
      <c r="M1106" s="315">
        <f t="shared" si="443"/>
        <v>14.44</v>
      </c>
      <c r="N1106" s="29">
        <v>11.67</v>
      </c>
      <c r="O1106" s="319"/>
      <c r="P1106" s="97" t="s">
        <v>2827</v>
      </c>
      <c r="Q1106" s="97"/>
      <c r="R1106" s="97">
        <v>2017</v>
      </c>
      <c r="S1106" s="97"/>
      <c r="T1106" s="554">
        <f t="shared" ref="T1106:T1114" si="447">ROUND($BD$1109,2)</f>
        <v>2.77</v>
      </c>
      <c r="U1106" s="42"/>
      <c r="V1106"/>
      <c r="W1106" s="50"/>
      <c r="X1106" s="50"/>
      <c r="Y1106"/>
      <c r="Z1106"/>
      <c r="AA1106" s="50"/>
      <c r="AB1106"/>
      <c r="AC1106"/>
      <c r="AD1106" s="50"/>
      <c r="AE1106" s="75"/>
      <c r="AF1106" s="50"/>
      <c r="AG1106" s="50"/>
      <c r="AH1106" s="171" t="s">
        <v>4178</v>
      </c>
      <c r="AI1106" s="168" t="str">
        <f>IF(AND($AH1106&lt;&gt;"",AH1106 =AH1105),"Gleich","")</f>
        <v/>
      </c>
      <c r="AJ1106" s="168" t="str">
        <f>IF(AND($AH1106&lt;&gt;"",A1106 =A1105),"Gleich","")</f>
        <v/>
      </c>
      <c r="AK1106" s="168" t="str">
        <f>IF(AND($AH1106&lt;&gt;"",D1106 =D1105),"Gleich","")</f>
        <v/>
      </c>
      <c r="AL1106" s="168" t="str">
        <f>IF(AND($AH1106&lt;&gt;"",E1106 =E1105),"Gleich","")</f>
        <v/>
      </c>
      <c r="AM1106" s="168" t="str">
        <f>IF(AND($AH1106&lt;&gt;"",F1106 =F1105),"Gleich","")</f>
        <v/>
      </c>
      <c r="AN1106" s="167" t="str">
        <f>IF(ISERROR(SEARCH("K1",A1106)),"","20"&amp;MID(A1106,SEARCH("K1",A1106)+1,2))</f>
        <v>2017</v>
      </c>
      <c r="AO1106" s="167" t="str">
        <f>IF(ISERROR(SEARCH("erstmals 201",E1106)),"",MID(E1106,SEARCH("erstmals ",E1106)+9,4))</f>
        <v>2017</v>
      </c>
      <c r="AP1106" s="167" t="str">
        <f>IF(R1106="x","2010",IF(S1106="x","2011",IF(T1106="x","2012","")))</f>
        <v/>
      </c>
      <c r="AQ1106" s="169" t="str">
        <f>IF(OR(AH1106&lt;&gt;AN1106,AH1106&lt;&gt;AO1106,AH1106&lt;&gt;AP1106),"DIFF","")</f>
        <v>DIFF</v>
      </c>
      <c r="AR1106" s="170" t="str">
        <f>IF(A1106="","",IF(ISERROR(SEARCH("K1",A1106)),A1106,LEFT(A1106,SEARCH("K1",A1106)+1)&amp;RIGHT(AH1106,1)&amp;MID(A1106,SEARCH("K1",A1106)+3,14)))</f>
        <v>BiK81K12----05</v>
      </c>
      <c r="AS1106" s="169" t="str">
        <f>IF(OR(A1106&lt;&gt;AR1106),"DIFF","")</f>
        <v>DIFF</v>
      </c>
      <c r="AT1106">
        <f>LEN(AR1106)</f>
        <v>14</v>
      </c>
      <c r="AU1106" s="170" t="str">
        <f>IF(D1106="","",IF(OR(A1106="",ISERROR(SEARCH("erstmals 201",D1106))),D1106,LEFT(D1106,SEARCH("erstmals 201",D1106)+8) &amp; AH1106 &amp; MID(D1106,SEARCH("erstmals 201",D1106)+13,255)))</f>
        <v>0-0,15 MW, Bonusregel K erstmals 2012</v>
      </c>
      <c r="AV1106" s="169" t="str">
        <f>IF(OR(D1106&lt;&gt;AU1106),"DIFF","")</f>
        <v>DIFF</v>
      </c>
      <c r="AW1106" s="170" t="str">
        <f>IF(E1106="","",IF(OR(E1106="",ISERROR(SEARCH("erstmals 201",E1106))),E1106,LEFT(E1106,SEARCH("erstmals 201",E1106)+8) &amp; AH1106 &amp; MID(E1106,SEARCH("erstmals 201",E1106)+13,255)))</f>
        <v>Anteil KWK, erstmals 2012</v>
      </c>
      <c r="AX1106" s="169" t="str">
        <f>IF(OR(E1106&lt;&gt;AW1106),"DIFF","")</f>
        <v>DIFF</v>
      </c>
      <c r="AY1106" t="str">
        <f>IF(AH1106="2011","x",IF(AH1106="2012","","" &amp; S1106))</f>
        <v/>
      </c>
      <c r="AZ1106" t="str">
        <f>IF(AH1106="2012","x",IF(AH1106="2011","","" &amp; T1106))</f>
        <v>x</v>
      </c>
    </row>
    <row r="1107" spans="1:56" x14ac:dyDescent="0.35">
      <c r="A1107" s="502" t="s">
        <v>6482</v>
      </c>
      <c r="B1107" s="301" t="s">
        <v>5547</v>
      </c>
      <c r="C1107" s="301" t="s">
        <v>1288</v>
      </c>
      <c r="D1107" s="301" t="s">
        <v>7001</v>
      </c>
      <c r="E1107" s="301" t="s">
        <v>6155</v>
      </c>
      <c r="F1107" s="379">
        <f t="shared" si="441"/>
        <v>25.44</v>
      </c>
      <c r="G1107" s="433">
        <f t="shared" si="442"/>
        <v>25.44</v>
      </c>
      <c r="H1107" s="402">
        <f t="shared" si="444"/>
        <v>20.350000000000001</v>
      </c>
      <c r="I1107" s="579"/>
      <c r="J1107" s="549">
        <v>43585</v>
      </c>
      <c r="K1107" s="11"/>
      <c r="M1107" s="37">
        <f t="shared" si="443"/>
        <v>25.44</v>
      </c>
      <c r="N1107" s="29">
        <v>11.67</v>
      </c>
      <c r="O1107" s="319"/>
      <c r="P1107" s="97" t="s">
        <v>2827</v>
      </c>
      <c r="Q1107" s="97"/>
      <c r="R1107" s="97">
        <v>2017</v>
      </c>
      <c r="S1107" s="97"/>
      <c r="T1107" s="554">
        <f t="shared" si="447"/>
        <v>2.77</v>
      </c>
      <c r="U1107" s="146"/>
      <c r="V1107" s="145"/>
      <c r="W1107" s="147"/>
      <c r="X1107" s="147"/>
      <c r="Y1107" s="145"/>
      <c r="Z1107" s="145" t="s">
        <v>1017</v>
      </c>
      <c r="AA1107" s="147"/>
      <c r="AB1107" s="145"/>
      <c r="AC1107" s="145"/>
      <c r="AD1107" s="147"/>
      <c r="AE1107" s="148"/>
      <c r="AF1107" s="147"/>
      <c r="AG1107" s="147"/>
      <c r="AH1107" s="171"/>
      <c r="AI1107" s="168"/>
      <c r="AJ1107" s="168"/>
      <c r="AK1107" s="168"/>
      <c r="AL1107" s="168"/>
      <c r="AM1107" s="168"/>
      <c r="AN1107" s="167"/>
      <c r="AO1107" s="167"/>
      <c r="AP1107" s="167"/>
      <c r="AQ1107" s="169"/>
      <c r="AR1107" s="170"/>
      <c r="AS1107" s="169"/>
      <c r="AU1107" s="170"/>
      <c r="AV1107" s="169"/>
      <c r="AW1107" s="170"/>
      <c r="AX1107" s="169"/>
    </row>
    <row r="1108" spans="1:56" x14ac:dyDescent="0.35">
      <c r="A1108" s="502" t="s">
        <v>6618</v>
      </c>
      <c r="B1108" s="301" t="s">
        <v>5547</v>
      </c>
      <c r="C1108" s="301" t="s">
        <v>1288</v>
      </c>
      <c r="D1108" s="301" t="s">
        <v>7002</v>
      </c>
      <c r="E1108" s="301" t="s">
        <v>6155</v>
      </c>
      <c r="F1108" s="379">
        <f t="shared" si="441"/>
        <v>26.44</v>
      </c>
      <c r="G1108" s="433">
        <f t="shared" si="442"/>
        <v>26.44</v>
      </c>
      <c r="H1108" s="402">
        <f t="shared" si="444"/>
        <v>21.15</v>
      </c>
      <c r="I1108" s="579"/>
      <c r="J1108" s="549">
        <v>43951</v>
      </c>
      <c r="K1108" s="11"/>
      <c r="M1108" s="37">
        <f t="shared" si="443"/>
        <v>26.44</v>
      </c>
      <c r="N1108" s="29">
        <v>11.67</v>
      </c>
      <c r="O1108" s="319"/>
      <c r="P1108" s="97" t="s">
        <v>2827</v>
      </c>
      <c r="Q1108" s="97"/>
      <c r="R1108" s="97">
        <v>2017</v>
      </c>
      <c r="S1108" s="97"/>
      <c r="T1108" s="554">
        <f t="shared" si="447"/>
        <v>2.77</v>
      </c>
      <c r="U1108" s="146" t="s">
        <v>1017</v>
      </c>
      <c r="V1108" s="145"/>
      <c r="W1108" s="147"/>
      <c r="X1108" s="147"/>
      <c r="Y1108" s="145"/>
      <c r="Z1108" s="145" t="s">
        <v>1017</v>
      </c>
      <c r="AA1108" s="147"/>
      <c r="AB1108" s="145"/>
      <c r="AC1108" s="145"/>
      <c r="AD1108" s="147"/>
      <c r="AE1108" s="148"/>
      <c r="AF1108" s="147"/>
      <c r="AG1108" s="147"/>
      <c r="AH1108" s="171"/>
      <c r="AI1108" s="168"/>
      <c r="AJ1108" s="168"/>
      <c r="AK1108" s="168"/>
      <c r="AL1108" s="168"/>
      <c r="AM1108" s="168"/>
      <c r="AN1108" s="167"/>
      <c r="AO1108" s="167"/>
      <c r="AP1108" s="167"/>
      <c r="AQ1108" s="169"/>
      <c r="AR1108" s="170"/>
      <c r="AS1108" s="169"/>
      <c r="AU1108" s="170"/>
      <c r="AV1108" s="169"/>
      <c r="AW1108" s="170"/>
      <c r="AX1108" s="169"/>
    </row>
    <row r="1109" spans="1:56" s="145" customFormat="1" x14ac:dyDescent="0.35">
      <c r="A1109" s="502" t="s">
        <v>6183</v>
      </c>
      <c r="B1109" s="301" t="s">
        <v>5547</v>
      </c>
      <c r="C1109" s="301" t="s">
        <v>1288</v>
      </c>
      <c r="D1109" s="301" t="s">
        <v>7003</v>
      </c>
      <c r="E1109" s="301" t="s">
        <v>6155</v>
      </c>
      <c r="F1109" s="368">
        <f t="shared" si="441"/>
        <v>28.44</v>
      </c>
      <c r="G1109" s="433">
        <f t="shared" si="442"/>
        <v>28.44</v>
      </c>
      <c r="H1109" s="303">
        <f t="shared" si="444"/>
        <v>22.75</v>
      </c>
      <c r="I1109" s="579"/>
      <c r="J1109" s="549">
        <v>42993</v>
      </c>
      <c r="K1109" s="11"/>
      <c r="L1109"/>
      <c r="M1109" s="315">
        <f t="shared" si="443"/>
        <v>28.44</v>
      </c>
      <c r="N1109" s="29">
        <v>11.67</v>
      </c>
      <c r="O1109" s="319"/>
      <c r="P1109" s="97" t="s">
        <v>2827</v>
      </c>
      <c r="Q1109" s="97"/>
      <c r="R1109" s="97">
        <v>2017</v>
      </c>
      <c r="S1109" s="97" t="s">
        <v>4179</v>
      </c>
      <c r="T1109" s="554">
        <f t="shared" si="447"/>
        <v>2.77</v>
      </c>
      <c r="U1109" s="42" t="s">
        <v>1017</v>
      </c>
      <c r="V1109"/>
      <c r="W1109" s="50"/>
      <c r="X1109" s="50"/>
      <c r="Y1109"/>
      <c r="Z1109" t="s">
        <v>1017</v>
      </c>
      <c r="AA1109" s="50"/>
      <c r="AB1109"/>
      <c r="AC1109"/>
      <c r="AD1109" s="50"/>
      <c r="AE1109" s="75" t="s">
        <v>1017</v>
      </c>
      <c r="AF1109" s="50"/>
      <c r="AG1109" s="50"/>
      <c r="AH1109" s="171"/>
      <c r="AI1109" s="168"/>
      <c r="AJ1109" s="168"/>
      <c r="AK1109" s="168"/>
      <c r="AL1109" s="168"/>
      <c r="AM1109" s="168"/>
      <c r="AN1109" s="167"/>
      <c r="AO1109" s="167"/>
      <c r="AP1109" s="167"/>
      <c r="AQ1109" s="169"/>
      <c r="AR1109" s="170"/>
      <c r="AS1109" s="169"/>
      <c r="AT1109"/>
      <c r="AU1109" s="170"/>
      <c r="AV1109" s="169"/>
      <c r="AW1109" s="170"/>
      <c r="AX1109" s="169"/>
      <c r="AY1109"/>
      <c r="AZ1109"/>
      <c r="BD1109" s="145">
        <f>3*0.99^8</f>
        <v>2.76823408328376</v>
      </c>
    </row>
    <row r="1110" spans="1:56" s="145" customFormat="1" x14ac:dyDescent="0.35">
      <c r="A1110" s="502" t="s">
        <v>6616</v>
      </c>
      <c r="B1110" s="301" t="s">
        <v>5547</v>
      </c>
      <c r="C1110" s="301" t="s">
        <v>1288</v>
      </c>
      <c r="D1110" s="301" t="s">
        <v>7219</v>
      </c>
      <c r="E1110" s="301" t="s">
        <v>6155</v>
      </c>
      <c r="F1110" s="368">
        <f t="shared" si="441"/>
        <v>12.52</v>
      </c>
      <c r="G1110" s="433">
        <f t="shared" si="442"/>
        <v>12.52</v>
      </c>
      <c r="H1110" s="303">
        <f t="shared" si="444"/>
        <v>10.02</v>
      </c>
      <c r="I1110" s="579"/>
      <c r="J1110" s="549">
        <v>43951</v>
      </c>
      <c r="K1110" s="11"/>
      <c r="L1110"/>
      <c r="M1110" s="315">
        <f t="shared" si="443"/>
        <v>12.52</v>
      </c>
      <c r="N1110" s="29">
        <v>9.75</v>
      </c>
      <c r="O1110" s="319"/>
      <c r="P1110" s="97" t="s">
        <v>2827</v>
      </c>
      <c r="Q1110" s="97"/>
      <c r="R1110" s="97">
        <v>2017</v>
      </c>
      <c r="S1110" s="97"/>
      <c r="T1110" s="554">
        <f t="shared" si="447"/>
        <v>2.77</v>
      </c>
      <c r="U1110" s="42"/>
      <c r="V1110"/>
      <c r="W1110" s="50"/>
      <c r="X1110" s="50"/>
      <c r="Y1110"/>
      <c r="Z1110" s="147"/>
      <c r="AC1110" s="147"/>
      <c r="AE1110" s="75"/>
      <c r="AF1110" s="50"/>
      <c r="AG1110" s="50"/>
      <c r="AH1110" s="171" t="s">
        <v>4178</v>
      </c>
      <c r="AI1110" s="168" t="str">
        <f>IF(AND($AH1110&lt;&gt;"",AH1110 =AH1107),"Gleich","")</f>
        <v/>
      </c>
      <c r="AJ1110" s="168" t="str">
        <f>IF(AND($AH1110&lt;&gt;"",A1110 =A1107),"Gleich","")</f>
        <v/>
      </c>
      <c r="AK1110" s="168" t="str">
        <f>IF(AND($AH1110&lt;&gt;"",D1110 =D1107),"Gleich","")</f>
        <v/>
      </c>
      <c r="AL1110" s="168" t="str">
        <f>IF(AND($AH1110&lt;&gt;"",E1110 =E1107),"Gleich","")</f>
        <v>Gleich</v>
      </c>
      <c r="AM1110" s="168" t="str">
        <f>IF(AND($AH1110&lt;&gt;"",F1110 =F1107),"Gleich","")</f>
        <v/>
      </c>
      <c r="AN1110" s="167" t="str">
        <f>IF(ISERROR(SEARCH("K1",A1110)),"","20"&amp;MID(A1110,SEARCH("K1",A1110)+1,2))</f>
        <v>2017</v>
      </c>
      <c r="AO1110" s="167" t="str">
        <f>IF(ISERROR(SEARCH("erstmals 201",E1110)),"",MID(E1110,SEARCH("erstmals ",E1110)+9,4))</f>
        <v>2017</v>
      </c>
      <c r="AP1110" s="167" t="str">
        <f>IF(R1110="x","2010",IF(S1110="x","2011",IF(T1110="x","2012","")))</f>
        <v/>
      </c>
      <c r="AQ1110" s="169" t="str">
        <f>IF(OR(AH1110&lt;&gt;AN1110,AH1110&lt;&gt;AO1110,AH1110&lt;&gt;AP1110),"DIFF","")</f>
        <v>DIFF</v>
      </c>
      <c r="AR1110" s="170" t="str">
        <f>IF(A1110="","",IF(ISERROR(SEARCH("K1",A1110)),A1110,LEFT(A1110,SEARCH("K1",A1110)+1)&amp;RIGHT(AH1110,1)&amp;MID(A1110,SEARCH("K1",A1110)+3,14)))</f>
        <v>BiK82K12----05</v>
      </c>
      <c r="AS1110" s="169" t="str">
        <f>IF(OR(A1110&lt;&gt;AR1110),"DIFF","")</f>
        <v>DIFF</v>
      </c>
      <c r="AT1110">
        <f>LEN(AR1110)</f>
        <v>14</v>
      </c>
      <c r="AU1110" s="170" t="str">
        <f>IF(D1110="","",IF(OR(A1110="",ISERROR(SEARCH("erstmals 201",D1110))),D1110,LEFT(D1110,SEARCH("erstmals 201",D1110)+8) &amp; AH1110 &amp; MID(D1110,SEARCH("erstmals 201",D1110)+13,255)))</f>
        <v>0,15-0,5 MW, Bonusregel K erstmals 2012</v>
      </c>
      <c r="AV1110" s="169" t="str">
        <f>IF(OR(D1110&lt;&gt;AU1110),"DIFF","")</f>
        <v>DIFF</v>
      </c>
      <c r="AW1110" s="170" t="str">
        <f>IF(E1110="","",IF(OR(E1110="",ISERROR(SEARCH("erstmals 201",E1110))),E1110,LEFT(E1110,SEARCH("erstmals 201",E1110)+8) &amp; AH1110 &amp; MID(E1110,SEARCH("erstmals 201",E1110)+13,255)))</f>
        <v>Anteil KWK, erstmals 2012</v>
      </c>
      <c r="AX1110" s="169" t="str">
        <f>IF(OR(E1110&lt;&gt;AW1110),"DIFF","")</f>
        <v>DIFF</v>
      </c>
      <c r="AY1110" t="str">
        <f>IF(AH1110="2011","x",IF(AH1110="2012","","" &amp; S1110))</f>
        <v/>
      </c>
      <c r="AZ1110" t="str">
        <f>IF(AH1110="2012","x",IF(AH1110="2011","","" &amp; T1110))</f>
        <v>x</v>
      </c>
    </row>
    <row r="1111" spans="1:56" x14ac:dyDescent="0.35">
      <c r="A1111" s="502" t="s">
        <v>6483</v>
      </c>
      <c r="B1111" s="301" t="s">
        <v>5547</v>
      </c>
      <c r="C1111" s="301" t="s">
        <v>1288</v>
      </c>
      <c r="D1111" s="301" t="s">
        <v>7220</v>
      </c>
      <c r="E1111" s="301" t="s">
        <v>6155</v>
      </c>
      <c r="F1111" s="379">
        <f t="shared" si="441"/>
        <v>20.52</v>
      </c>
      <c r="G1111" s="433">
        <f t="shared" si="442"/>
        <v>20.52</v>
      </c>
      <c r="H1111" s="402">
        <f t="shared" si="444"/>
        <v>16.420000000000002</v>
      </c>
      <c r="I1111" s="579"/>
      <c r="J1111" s="549">
        <v>43585</v>
      </c>
      <c r="K1111" s="11"/>
      <c r="M1111" s="315">
        <f t="shared" si="443"/>
        <v>20.52</v>
      </c>
      <c r="N1111" s="29">
        <v>9.75</v>
      </c>
      <c r="O1111" s="319"/>
      <c r="P1111" s="97" t="s">
        <v>2827</v>
      </c>
      <c r="Q1111" s="97"/>
      <c r="R1111" s="97">
        <v>2017</v>
      </c>
      <c r="S1111" s="97"/>
      <c r="T1111" s="554">
        <f t="shared" si="447"/>
        <v>2.77</v>
      </c>
      <c r="U1111" s="146"/>
      <c r="V1111" s="145"/>
      <c r="W1111" s="147"/>
      <c r="X1111" s="147"/>
      <c r="Y1111" s="145"/>
      <c r="Z1111" s="147"/>
      <c r="AA1111" s="145" t="s">
        <v>1017</v>
      </c>
      <c r="AB1111" s="145"/>
      <c r="AC1111" s="147"/>
      <c r="AD1111" s="145"/>
      <c r="AE1111" s="148"/>
      <c r="AF1111" s="147"/>
      <c r="AG1111" s="147"/>
      <c r="AH1111" s="171"/>
      <c r="AI1111" s="168"/>
      <c r="AJ1111" s="168"/>
      <c r="AK1111" s="168"/>
      <c r="AL1111" s="168"/>
      <c r="AM1111" s="168"/>
      <c r="AN1111" s="167"/>
      <c r="AO1111" s="167"/>
      <c r="AP1111" s="167"/>
      <c r="AQ1111" s="169"/>
      <c r="AR1111" s="170"/>
      <c r="AS1111" s="169"/>
      <c r="AU1111" s="170"/>
      <c r="AV1111" s="169"/>
      <c r="AW1111" s="170"/>
      <c r="AX1111" s="169"/>
    </row>
    <row r="1112" spans="1:56" x14ac:dyDescent="0.35">
      <c r="A1112" s="502" t="s">
        <v>6619</v>
      </c>
      <c r="B1112" s="301" t="s">
        <v>5547</v>
      </c>
      <c r="C1112" s="301" t="s">
        <v>1288</v>
      </c>
      <c r="D1112" s="301" t="s">
        <v>7221</v>
      </c>
      <c r="E1112" s="301" t="s">
        <v>6155</v>
      </c>
      <c r="F1112" s="379">
        <f t="shared" si="441"/>
        <v>21.52</v>
      </c>
      <c r="G1112" s="433">
        <f t="shared" si="442"/>
        <v>21.52</v>
      </c>
      <c r="H1112" s="402">
        <f t="shared" si="444"/>
        <v>17.22</v>
      </c>
      <c r="I1112" s="579"/>
      <c r="J1112" s="549">
        <v>43951</v>
      </c>
      <c r="K1112" s="11"/>
      <c r="M1112" s="315">
        <f t="shared" si="443"/>
        <v>21.52</v>
      </c>
      <c r="N1112" s="29">
        <v>9.75</v>
      </c>
      <c r="O1112" s="319"/>
      <c r="P1112" s="97" t="s">
        <v>2827</v>
      </c>
      <c r="Q1112" s="97"/>
      <c r="R1112" s="97">
        <v>2017</v>
      </c>
      <c r="S1112" s="97"/>
      <c r="T1112" s="554">
        <f t="shared" si="447"/>
        <v>2.77</v>
      </c>
      <c r="U1112" s="146" t="s">
        <v>1017</v>
      </c>
      <c r="V1112" s="145"/>
      <c r="W1112" s="147"/>
      <c r="X1112" s="147"/>
      <c r="Y1112" s="145"/>
      <c r="Z1112" s="147"/>
      <c r="AA1112" s="145" t="s">
        <v>1017</v>
      </c>
      <c r="AB1112" s="145"/>
      <c r="AC1112" s="147"/>
      <c r="AD1112" s="145"/>
      <c r="AE1112" s="148"/>
      <c r="AF1112" s="147"/>
      <c r="AG1112" s="147"/>
      <c r="AH1112" s="171"/>
      <c r="AI1112" s="168"/>
      <c r="AJ1112" s="168"/>
      <c r="AK1112" s="168"/>
      <c r="AL1112" s="168"/>
      <c r="AM1112" s="168"/>
      <c r="AN1112" s="167"/>
      <c r="AO1112" s="167"/>
      <c r="AP1112" s="167"/>
      <c r="AQ1112" s="169"/>
      <c r="AR1112" s="170"/>
      <c r="AS1112" s="169"/>
      <c r="AU1112" s="170"/>
      <c r="AV1112" s="169"/>
      <c r="AW1112" s="170"/>
      <c r="AX1112" s="169"/>
    </row>
    <row r="1113" spans="1:56" s="145" customFormat="1" x14ac:dyDescent="0.35">
      <c r="A1113" s="502" t="s">
        <v>6184</v>
      </c>
      <c r="B1113" s="301" t="s">
        <v>5547</v>
      </c>
      <c r="C1113" s="301" t="s">
        <v>1288</v>
      </c>
      <c r="D1113" s="301" t="s">
        <v>7222</v>
      </c>
      <c r="E1113" s="301" t="s">
        <v>6155</v>
      </c>
      <c r="F1113" s="368">
        <f t="shared" si="441"/>
        <v>23.52</v>
      </c>
      <c r="G1113" s="433">
        <f t="shared" si="442"/>
        <v>23.52</v>
      </c>
      <c r="H1113" s="303">
        <f t="shared" si="444"/>
        <v>18.82</v>
      </c>
      <c r="I1113" s="579"/>
      <c r="J1113" s="549">
        <v>42993</v>
      </c>
      <c r="K1113" s="11"/>
      <c r="L1113"/>
      <c r="M1113" s="315">
        <f t="shared" si="443"/>
        <v>23.52</v>
      </c>
      <c r="N1113" s="29">
        <v>9.75</v>
      </c>
      <c r="O1113" s="319"/>
      <c r="P1113" s="97" t="s">
        <v>2827</v>
      </c>
      <c r="Q1113" s="97"/>
      <c r="R1113" s="97">
        <v>2017</v>
      </c>
      <c r="S1113" s="97" t="s">
        <v>4179</v>
      </c>
      <c r="T1113" s="554">
        <f t="shared" si="447"/>
        <v>2.77</v>
      </c>
      <c r="U1113" s="42" t="s">
        <v>1017</v>
      </c>
      <c r="V1113"/>
      <c r="W1113" s="50"/>
      <c r="X1113" s="50"/>
      <c r="Y1113"/>
      <c r="Z1113" s="50"/>
      <c r="AA1113" t="s">
        <v>1017</v>
      </c>
      <c r="AB1113"/>
      <c r="AC1113" s="147"/>
      <c r="AE1113" s="75" t="s">
        <v>1017</v>
      </c>
      <c r="AF1113" s="50"/>
      <c r="AG1113" s="50"/>
      <c r="AH1113" s="171" t="s">
        <v>4178</v>
      </c>
      <c r="AI1113" s="168" t="str">
        <f>IF(AND($AH1113&lt;&gt;"",AH1113 =AH1109),"Gleich","")</f>
        <v/>
      </c>
      <c r="AJ1113" s="168" t="str">
        <f>IF(AND($AH1113&lt;&gt;"",A1113 =A1109),"Gleich","")</f>
        <v/>
      </c>
      <c r="AK1113" s="168" t="str">
        <f>IF(AND($AH1113&lt;&gt;"",D1113 =D1109),"Gleich","")</f>
        <v/>
      </c>
      <c r="AL1113" s="168" t="str">
        <f>IF(AND($AH1113&lt;&gt;"",E1113 =E1109),"Gleich","")</f>
        <v>Gleich</v>
      </c>
      <c r="AM1113" s="168" t="str">
        <f>IF(AND($AH1113&lt;&gt;"",F1113 =F1109),"Gleich","")</f>
        <v/>
      </c>
      <c r="AN1113" s="167" t="str">
        <f>IF(ISERROR(SEARCH("K1",A1113)),"","20"&amp;MID(A1113,SEARCH("K1",A1113)+1,2))</f>
        <v>2017</v>
      </c>
      <c r="AO1113" s="167" t="str">
        <f>IF(ISERROR(SEARCH("erstmals 201",E1113)),"",MID(E1113,SEARCH("erstmals ",E1113)+9,4))</f>
        <v>2017</v>
      </c>
      <c r="AP1113" s="167" t="str">
        <f>IF(R1113="x","2010",IF(S1113="x","2011",IF(T1113="x","2012","")))</f>
        <v/>
      </c>
      <c r="AQ1113" s="169" t="str">
        <f>IF(OR(AH1113&lt;&gt;AN1113,AH1113&lt;&gt;AO1113,AH1113&lt;&gt;AP1113),"DIFF","")</f>
        <v>DIFF</v>
      </c>
      <c r="AR1113" s="170" t="str">
        <f>IF(A1113="","",IF(ISERROR(SEARCH("K1",A1113)),A1113,LEFT(A1113,SEARCH("K1",A1113)+1)&amp;RIGHT(AH1113,1)&amp;MID(A1113,SEARCH("K1",A1113)+3,14)))</f>
        <v>BiK82M2bK12y05</v>
      </c>
      <c r="AS1113" s="169" t="str">
        <f>IF(OR(A1113&lt;&gt;AR1113),"DIFF","")</f>
        <v>DIFF</v>
      </c>
      <c r="AT1113">
        <f>LEN(AR1113)</f>
        <v>14</v>
      </c>
      <c r="AU1113" s="170" t="str">
        <f>IF(D1113="","",IF(OR(A1113="",ISERROR(SEARCH("erstmals 201",D1113))),D1113,LEFT(D1113,SEARCH("erstmals 201",D1113)+8) &amp; AH1113 &amp; MID(D1113,SEARCH("erstmals 201",D1113)+13,255)))</f>
        <v>0,15-0,5 MW, Bonusregeln M2, y, b und K erstmals 2012</v>
      </c>
      <c r="AV1113" s="169" t="str">
        <f>IF(OR(D1113&lt;&gt;AU1113),"DIFF","")</f>
        <v>DIFF</v>
      </c>
      <c r="AW1113" s="170" t="str">
        <f>IF(E1113="","",IF(OR(E1113="",ISERROR(SEARCH("erstmals 201",E1113))),E1113,LEFT(E1113,SEARCH("erstmals 201",E1113)+8) &amp; AH1113 &amp; MID(E1113,SEARCH("erstmals 201",E1113)+13,255)))</f>
        <v>Anteil KWK, erstmals 2012</v>
      </c>
      <c r="AX1113" s="169" t="str">
        <f>IF(OR(E1113&lt;&gt;AW1113),"DIFF","")</f>
        <v>DIFF</v>
      </c>
      <c r="AY1113" t="str">
        <f>IF(AH1113="2011","x",IF(AH1113="2012","","" &amp; S1113))</f>
        <v/>
      </c>
      <c r="AZ1113" t="str">
        <f>IF(AH1113="2012","x",IF(AH1113="2011","","" &amp; T1113))</f>
        <v>x</v>
      </c>
    </row>
    <row r="1114" spans="1:56" x14ac:dyDescent="0.35">
      <c r="A1114" s="502" t="s">
        <v>6481</v>
      </c>
      <c r="B1114" s="301" t="s">
        <v>5547</v>
      </c>
      <c r="C1114" s="301" t="s">
        <v>1288</v>
      </c>
      <c r="D1114" s="301" t="s">
        <v>6803</v>
      </c>
      <c r="E1114" s="301" t="s">
        <v>6155</v>
      </c>
      <c r="F1114" s="379">
        <f t="shared" si="441"/>
        <v>15.54</v>
      </c>
      <c r="G1114" s="433">
        <f t="shared" si="442"/>
        <v>15.54</v>
      </c>
      <c r="H1114" s="402">
        <f t="shared" si="444"/>
        <v>12.43</v>
      </c>
      <c r="I1114" s="579"/>
      <c r="J1114" s="549">
        <v>43585</v>
      </c>
      <c r="K1114" s="11"/>
      <c r="M1114" s="37">
        <f t="shared" si="443"/>
        <v>15.54</v>
      </c>
      <c r="N1114" s="29">
        <v>8.77</v>
      </c>
      <c r="O1114" s="319"/>
      <c r="P1114" s="97" t="s">
        <v>2827</v>
      </c>
      <c r="Q1114" s="97"/>
      <c r="R1114" s="97">
        <v>2017</v>
      </c>
      <c r="S1114" s="97"/>
      <c r="T1114" s="554">
        <f t="shared" si="447"/>
        <v>2.77</v>
      </c>
      <c r="U1114" s="60"/>
      <c r="V1114" s="50"/>
      <c r="W1114" t="s">
        <v>1017</v>
      </c>
      <c r="Y1114" s="50"/>
      <c r="Z1114" s="50"/>
      <c r="AA1114" s="50"/>
      <c r="AB1114" s="50"/>
      <c r="AC1114" s="50"/>
      <c r="AD1114" s="50"/>
      <c r="AE1114" s="148"/>
      <c r="AF1114" s="147"/>
      <c r="AG1114" s="147"/>
      <c r="AH1114" s="171"/>
      <c r="AI1114" s="168"/>
      <c r="AJ1114" s="168"/>
      <c r="AK1114" s="168"/>
      <c r="AL1114" s="168"/>
      <c r="AM1114" s="168"/>
      <c r="AN1114" s="167"/>
      <c r="AO1114" s="167"/>
      <c r="AP1114" s="167"/>
      <c r="AQ1114" s="169"/>
      <c r="AR1114" s="170"/>
      <c r="AS1114" s="169"/>
      <c r="AU1114" s="170"/>
      <c r="AV1114" s="169"/>
      <c r="AW1114" s="170"/>
      <c r="AX1114" s="169"/>
    </row>
    <row r="1115" spans="1:56" s="145" customFormat="1" x14ac:dyDescent="0.35">
      <c r="A1115" s="502" t="s">
        <v>6476</v>
      </c>
      <c r="B1115" s="301" t="s">
        <v>5547</v>
      </c>
      <c r="C1115" s="301" t="s">
        <v>1288</v>
      </c>
      <c r="D1115" s="301" t="s">
        <v>7004</v>
      </c>
      <c r="E1115" s="301" t="s">
        <v>6464</v>
      </c>
      <c r="F1115" s="368">
        <f t="shared" si="441"/>
        <v>25.410000000000004</v>
      </c>
      <c r="G1115" s="433">
        <f t="shared" si="442"/>
        <v>25.410000000000004</v>
      </c>
      <c r="H1115" s="303">
        <f t="shared" si="444"/>
        <v>20.329999999999998</v>
      </c>
      <c r="I1115" s="579"/>
      <c r="J1115" s="549">
        <v>43496</v>
      </c>
      <c r="K1115" s="11"/>
      <c r="L1115"/>
      <c r="M1115" s="37">
        <f t="shared" si="443"/>
        <v>25.410000000000004</v>
      </c>
      <c r="N1115" s="29">
        <v>11.67</v>
      </c>
      <c r="O1115" s="319"/>
      <c r="P1115" s="97" t="s">
        <v>2827</v>
      </c>
      <c r="Q1115" s="97"/>
      <c r="R1115" s="97">
        <v>2018</v>
      </c>
      <c r="S1115" s="97"/>
      <c r="T1115" s="554">
        <f>ROUND(3*0.99^9,2)</f>
        <v>2.74</v>
      </c>
      <c r="U1115" s="146"/>
      <c r="W1115" s="147"/>
      <c r="X1115" s="147"/>
      <c r="Z1115" s="145" t="s">
        <v>1017</v>
      </c>
      <c r="AA1115" s="147"/>
      <c r="AD1115" s="147"/>
      <c r="AE1115" s="148"/>
      <c r="AF1115" s="147"/>
      <c r="AG1115" s="147"/>
      <c r="AH1115" s="171" t="s">
        <v>4178</v>
      </c>
      <c r="AI1115" s="168" t="str">
        <f>IF(AND($AH1115&lt;&gt;"",AH1115 =AH1113),"Gleich","")</f>
        <v>Gleich</v>
      </c>
      <c r="AJ1115" s="168" t="str">
        <f>IF(AND($AH1115&lt;&gt;"",A1115 =A1113),"Gleich","")</f>
        <v/>
      </c>
      <c r="AK1115" s="168" t="str">
        <f>IF(AND($AH1115&lt;&gt;"",D1115 =D1113),"Gleich","")</f>
        <v/>
      </c>
      <c r="AL1115" s="168" t="str">
        <f>IF(AND($AH1115&lt;&gt;"",E1115 =E1113),"Gleich","")</f>
        <v/>
      </c>
      <c r="AM1115" s="168" t="str">
        <f>IF(AND($AH1115&lt;&gt;"",F1115 =F1113),"Gleich","")</f>
        <v/>
      </c>
      <c r="AN1115" s="167" t="str">
        <f>IF(ISERROR(SEARCH("K1",A1115)),"","20"&amp;MID(A1115,SEARCH("K1",A1115)+1,2))</f>
        <v>2018</v>
      </c>
      <c r="AO1115" s="167" t="str">
        <f>IF(ISERROR(SEARCH("erstmals 201",E1115)),"",MID(E1115,SEARCH("erstmals ",E1115)+9,4))</f>
        <v>2018</v>
      </c>
      <c r="AP1115" s="167" t="str">
        <f>IF(R1115="x","2010",IF(S1115="x","2011",IF(T1115="x","2012","")))</f>
        <v/>
      </c>
      <c r="AQ1115" s="169" t="str">
        <f>IF(OR(AH1115&lt;&gt;AN1115,AH1115&lt;&gt;AO1115,AH1115&lt;&gt;AP1115),"DIFF","")</f>
        <v>DIFF</v>
      </c>
      <c r="AR1115" s="170" t="str">
        <f>IF(A1115="","",IF(ISERROR(SEARCH("K1",A1115)),A1115,LEFT(A1115,SEARCH("K1",A1115)+1)&amp;RIGHT(AH1115,1)&amp;MID(A1115,SEARCH("K1",A1115)+3,14)))</f>
        <v>BiK81M1K12--05</v>
      </c>
      <c r="AS1115" s="169" t="str">
        <f>IF(OR(A1115&lt;&gt;AR1115),"DIFF","")</f>
        <v>DIFF</v>
      </c>
      <c r="AT1115">
        <f>LEN(AR1115)</f>
        <v>14</v>
      </c>
      <c r="AU1115" s="170" t="str">
        <f>IF(D1115="","",IF(OR(A1115="",ISERROR(SEARCH("erstmals 201",D1115))),D1115,LEFT(D1115,SEARCH("erstmals 201",D1115)+8) &amp; AH1115 &amp; MID(D1115,SEARCH("erstmals 201",D1115)+13,255)))</f>
        <v>0-0,15 MW, Bonusregeln M1, K erstmals 2012</v>
      </c>
      <c r="AV1115" s="169" t="str">
        <f>IF(OR(D1115&lt;&gt;AU1115),"DIFF","")</f>
        <v>DIFF</v>
      </c>
      <c r="AW1115" s="170" t="str">
        <f>IF(E1115="","",IF(OR(E1115="",ISERROR(SEARCH("erstmals 201",E1115))),E1115,LEFT(E1115,SEARCH("erstmals 201",E1115)+8) &amp; AH1115 &amp; MID(E1115,SEARCH("erstmals 201",E1115)+13,255)))</f>
        <v>Anteil KWK, erstmals 2012</v>
      </c>
      <c r="AX1115" s="169" t="str">
        <f>IF(OR(E1115&lt;&gt;AW1115),"DIFF","")</f>
        <v>DIFF</v>
      </c>
      <c r="AY1115" t="str">
        <f>IF(AH1115="2011","x",IF(AH1115="2012","","" &amp; S1115))</f>
        <v/>
      </c>
      <c r="AZ1115" t="str">
        <f>IF(AH1115="2012","x",IF(AH1115="2011","","" &amp; T1115))</f>
        <v>x</v>
      </c>
    </row>
    <row r="1116" spans="1:56" s="145" customFormat="1" x14ac:dyDescent="0.35">
      <c r="A1116" s="502" t="s">
        <v>6477</v>
      </c>
      <c r="B1116" s="301" t="s">
        <v>5547</v>
      </c>
      <c r="C1116" s="301" t="s">
        <v>1288</v>
      </c>
      <c r="D1116" s="301" t="s">
        <v>7223</v>
      </c>
      <c r="E1116" s="301" t="s">
        <v>6464</v>
      </c>
      <c r="F1116" s="368">
        <f t="shared" si="441"/>
        <v>20.490000000000002</v>
      </c>
      <c r="G1116" s="433">
        <f t="shared" si="442"/>
        <v>20.490000000000002</v>
      </c>
      <c r="H1116" s="303">
        <f t="shared" si="444"/>
        <v>16.39</v>
      </c>
      <c r="I1116" s="579"/>
      <c r="J1116" s="549">
        <v>43496</v>
      </c>
      <c r="K1116" s="11"/>
      <c r="L1116"/>
      <c r="M1116" s="315">
        <f t="shared" si="443"/>
        <v>20.490000000000002</v>
      </c>
      <c r="N1116" s="29">
        <v>9.75</v>
      </c>
      <c r="O1116" s="319"/>
      <c r="P1116" s="97" t="s">
        <v>2827</v>
      </c>
      <c r="Q1116" s="97"/>
      <c r="R1116" s="97">
        <v>2018</v>
      </c>
      <c r="S1116" s="97"/>
      <c r="T1116" s="554">
        <f>ROUND(3*0.99^9,2)</f>
        <v>2.74</v>
      </c>
      <c r="U1116" s="146"/>
      <c r="W1116" s="147"/>
      <c r="X1116" s="147"/>
      <c r="Z1116" s="147"/>
      <c r="AA1116" s="145" t="s">
        <v>1017</v>
      </c>
      <c r="AC1116" s="147"/>
      <c r="AE1116" s="148"/>
      <c r="AF1116" s="147"/>
      <c r="AG1116" s="147"/>
      <c r="AH1116" s="171" t="s">
        <v>4178</v>
      </c>
      <c r="AI1116" s="168" t="str">
        <f>IF(AND($AH1116&lt;&gt;"",AH1116 =AH1109),"Gleich","")</f>
        <v/>
      </c>
      <c r="AJ1116" s="168" t="str">
        <f>IF(AND($AH1116&lt;&gt;"",A1116 =A1109),"Gleich","")</f>
        <v/>
      </c>
      <c r="AK1116" s="168" t="str">
        <f>IF(AND($AH1116&lt;&gt;"",D1116 =D1109),"Gleich","")</f>
        <v/>
      </c>
      <c r="AL1116" s="168" t="str">
        <f>IF(AND($AH1116&lt;&gt;"",E1116 =E1109),"Gleich","")</f>
        <v/>
      </c>
      <c r="AM1116" s="168" t="str">
        <f>IF(AND($AH1116&lt;&gt;"",F1116 =F1109),"Gleich","")</f>
        <v/>
      </c>
      <c r="AN1116" s="167" t="str">
        <f>IF(ISERROR(SEARCH("K1",A1116)),"","20"&amp;MID(A1116,SEARCH("K1",A1116)+1,2))</f>
        <v>2018</v>
      </c>
      <c r="AO1116" s="167" t="str">
        <f>IF(ISERROR(SEARCH("erstmals 201",E1116)),"",MID(E1116,SEARCH("erstmals ",E1116)+9,4))</f>
        <v>2018</v>
      </c>
      <c r="AP1116" s="167" t="str">
        <f>IF(R1116="x","2010",IF(S1116="x","2011",IF(T1116="x","2012","")))</f>
        <v/>
      </c>
      <c r="AQ1116" s="169" t="str">
        <f>IF(OR(AH1116&lt;&gt;AN1116,AH1116&lt;&gt;AO1116,AH1116&lt;&gt;AP1116),"DIFF","")</f>
        <v>DIFF</v>
      </c>
      <c r="AR1116" s="170" t="str">
        <f>IF(A1116="","",IF(ISERROR(SEARCH("K1",A1116)),A1116,LEFT(A1116,SEARCH("K1",A1116)+1)&amp;RIGHT(AH1116,1)&amp;MID(A1116,SEARCH("K1",A1116)+3,14)))</f>
        <v>BiK82M2K12--05</v>
      </c>
      <c r="AS1116" s="169" t="str">
        <f>IF(OR(A1116&lt;&gt;AR1116),"DIFF","")</f>
        <v>DIFF</v>
      </c>
      <c r="AT1116">
        <f>LEN(AR1116)</f>
        <v>14</v>
      </c>
      <c r="AU1116" s="170" t="str">
        <f>IF(D1116="","",IF(OR(A1116="",ISERROR(SEARCH("erstmals 201",D1116))),D1116,LEFT(D1116,SEARCH("erstmals 201",D1116)+8) &amp; AH1116 &amp; MID(D1116,SEARCH("erstmals 201",D1116)+13,255)))</f>
        <v>0,15-0,5 MW, Bonusregeln M2, K erstmals 2012</v>
      </c>
      <c r="AV1116" s="169" t="str">
        <f>IF(OR(D1116&lt;&gt;AU1116),"DIFF","")</f>
        <v>DIFF</v>
      </c>
      <c r="AW1116" s="170" t="str">
        <f>IF(E1116="","",IF(OR(E1116="",ISERROR(SEARCH("erstmals 201",E1116))),E1116,LEFT(E1116,SEARCH("erstmals 201",E1116)+8) &amp; AH1116 &amp; MID(E1116,SEARCH("erstmals 201",E1116)+13,255)))</f>
        <v>Anteil KWK, erstmals 2012</v>
      </c>
      <c r="AX1116" s="169" t="str">
        <f>IF(OR(E1116&lt;&gt;AW1116),"DIFF","")</f>
        <v>DIFF</v>
      </c>
      <c r="AY1116" t="str">
        <f>IF(AH1116="2011","x",IF(AH1116="2012","","" &amp; S1116))</f>
        <v/>
      </c>
      <c r="AZ1116" t="str">
        <f>IF(AH1116="2012","x",IF(AH1116="2011","","" &amp; T1116))</f>
        <v>x</v>
      </c>
    </row>
    <row r="1117" spans="1:56" x14ac:dyDescent="0.35">
      <c r="A1117" s="502" t="s">
        <v>6478</v>
      </c>
      <c r="B1117" s="301" t="s">
        <v>5547</v>
      </c>
      <c r="C1117" s="301" t="s">
        <v>1288</v>
      </c>
      <c r="D1117" s="301" t="s">
        <v>6804</v>
      </c>
      <c r="E1117" s="301" t="s">
        <v>6464</v>
      </c>
      <c r="F1117" s="379">
        <f t="shared" si="441"/>
        <v>15.51</v>
      </c>
      <c r="G1117" s="433">
        <f t="shared" si="442"/>
        <v>15.51</v>
      </c>
      <c r="H1117" s="402">
        <f t="shared" si="444"/>
        <v>12.41</v>
      </c>
      <c r="I1117" s="579"/>
      <c r="J1117" s="549">
        <v>43496</v>
      </c>
      <c r="K1117" s="11"/>
      <c r="M1117" s="37">
        <f t="shared" si="443"/>
        <v>15.51</v>
      </c>
      <c r="N1117" s="29">
        <v>8.77</v>
      </c>
      <c r="O1117" s="319"/>
      <c r="P1117" s="97" t="s">
        <v>2827</v>
      </c>
      <c r="Q1117" s="97"/>
      <c r="R1117" s="97">
        <v>2018</v>
      </c>
      <c r="S1117" s="97"/>
      <c r="T1117" s="554">
        <f>ROUND(3*0.99^9,2)</f>
        <v>2.74</v>
      </c>
      <c r="U1117" s="60"/>
      <c r="V1117" s="50"/>
      <c r="W1117" t="s">
        <v>1017</v>
      </c>
      <c r="Y1117" s="50"/>
      <c r="Z1117" s="50"/>
      <c r="AA1117" s="50"/>
      <c r="AB1117" s="50"/>
      <c r="AC1117" s="50"/>
      <c r="AD1117" s="50"/>
      <c r="AE1117" s="75"/>
      <c r="AF1117" s="50"/>
      <c r="AG1117" s="50"/>
      <c r="AH1117" s="171" t="s">
        <v>4178</v>
      </c>
      <c r="AI1117" s="168" t="str">
        <f>IF(AND($AH1117&lt;&gt;"",AH1117 =AH1142),"Gleich","")</f>
        <v>Gleich</v>
      </c>
      <c r="AJ1117" s="168" t="str">
        <f>IF(AND($AH1117&lt;&gt;"",A1117 =A1142),"Gleich","")</f>
        <v/>
      </c>
      <c r="AK1117" s="168" t="str">
        <f>IF(AND($AH1117&lt;&gt;"",D1117 =D1142),"Gleich","")</f>
        <v/>
      </c>
      <c r="AL1117" s="168" t="str">
        <f>IF(AND($AH1117&lt;&gt;"",E1117 =E1142),"Gleich","")</f>
        <v/>
      </c>
      <c r="AM1117" s="168" t="str">
        <f>IF(AND($AH1117&lt;&gt;"",F1117 =F1142),"Gleich","")</f>
        <v/>
      </c>
      <c r="AN1117" s="167" t="str">
        <f>IF(ISERROR(SEARCH("K1",A1117)),"","20"&amp;MID(A1117,SEARCH("K1",A1117)+1,2))</f>
        <v>2018</v>
      </c>
      <c r="AO1117" s="167" t="str">
        <f>IF(ISERROR(SEARCH("erstmals 201",E1117)),"",MID(E1117,SEARCH("erstmals ",E1117)+9,4))</f>
        <v>2018</v>
      </c>
      <c r="AP1117" s="167" t="str">
        <f>IF(R1117="x","2010",IF(S1117="x","2011",IF(T1117="x","2012","")))</f>
        <v/>
      </c>
      <c r="AQ1117" s="169" t="str">
        <f>IF(OR(AH1117&lt;&gt;AN1117,AH1117&lt;&gt;AO1117,AH1117&lt;&gt;AP1117),"DIFF","")</f>
        <v>DIFF</v>
      </c>
      <c r="AR1117" s="170" t="str">
        <f>IF(A1117="","",IF(ISERROR(SEARCH("K1",A1117)),A1117,LEFT(A1117,SEARCH("K1",A1117)+1)&amp;RIGHT(AH1117,1)&amp;MID(A1117,SEARCH("K1",A1117)+3,14)))</f>
        <v>BiK83a2K12--05</v>
      </c>
      <c r="AS1117" s="169" t="str">
        <f>IF(OR(A1117&lt;&gt;AR1117),"DIFF","")</f>
        <v>DIFF</v>
      </c>
      <c r="AT1117">
        <f>LEN(AR1117)</f>
        <v>14</v>
      </c>
      <c r="AU1117" s="170" t="str">
        <f>IF(D1117="","",IF(OR(A1117="",ISERROR(SEARCH("erstmals 201",D1117))),D1117,LEFT(D1117,SEARCH("erstmals 201",D1117)+8) &amp; AH1117 &amp; MID(D1117,SEARCH("erstmals 201",D1117)+13,255)))</f>
        <v>0,5-5 MW, Bonusregeln a2 und K erstmals 2012</v>
      </c>
      <c r="AV1117" s="169" t="str">
        <f>IF(OR(D1117&lt;&gt;AU1117),"DIFF","")</f>
        <v>DIFF</v>
      </c>
      <c r="AW1117" s="170" t="str">
        <f>IF(E1117="","",IF(OR(E1117="",ISERROR(SEARCH("erstmals 201",E1117))),E1117,LEFT(E1117,SEARCH("erstmals 201",E1117)+8) &amp; AH1117 &amp; MID(E1117,SEARCH("erstmals 201",E1117)+13,255)))</f>
        <v>Anteil KWK, erstmals 2012</v>
      </c>
      <c r="AX1117" s="169" t="str">
        <f>IF(OR(E1117&lt;&gt;AW1117),"DIFF","")</f>
        <v>DIFF</v>
      </c>
      <c r="AY1117" t="str">
        <f>IF(AH1117="2011","x",IF(AH1117="2012","","" &amp; S1117))</f>
        <v/>
      </c>
      <c r="AZ1117" t="str">
        <f>IF(AH1117="2012","x",IF(AH1117="2011","","" &amp; T1117))</f>
        <v>x</v>
      </c>
    </row>
    <row r="1118" spans="1:56" x14ac:dyDescent="0.35">
      <c r="A1118" s="502" t="s">
        <v>7493</v>
      </c>
      <c r="B1118" s="301" t="s">
        <v>5547</v>
      </c>
      <c r="C1118" s="301" t="s">
        <v>1288</v>
      </c>
      <c r="D1118" s="301" t="s">
        <v>7499</v>
      </c>
      <c r="E1118" s="301" t="s">
        <v>6610</v>
      </c>
      <c r="F1118" s="379">
        <f t="shared" si="441"/>
        <v>25.360000000000003</v>
      </c>
      <c r="G1118" s="433">
        <f t="shared" si="442"/>
        <v>25.360000000000003</v>
      </c>
      <c r="H1118" s="402">
        <f t="shared" si="444"/>
        <v>20.29</v>
      </c>
      <c r="I1118" s="379"/>
      <c r="J1118" s="549">
        <v>44260</v>
      </c>
      <c r="K1118" s="11"/>
      <c r="M1118" s="37">
        <f t="shared" si="443"/>
        <v>25.360000000000003</v>
      </c>
      <c r="N1118" s="29">
        <v>11.67</v>
      </c>
      <c r="O1118" s="319"/>
      <c r="P1118" s="97" t="s">
        <v>2827</v>
      </c>
      <c r="Q1118" s="97"/>
      <c r="R1118" s="97">
        <v>2020</v>
      </c>
      <c r="S1118" s="97" t="s">
        <v>4179</v>
      </c>
      <c r="T1118" s="554">
        <f>ROUND(3*0.99^11,2)</f>
        <v>2.69</v>
      </c>
      <c r="U1118" s="146"/>
      <c r="V1118" s="145"/>
      <c r="W1118" s="147"/>
      <c r="X1118" s="147"/>
      <c r="Y1118" s="145"/>
      <c r="Z1118" s="145"/>
      <c r="AA1118" s="147"/>
      <c r="AB1118" s="145" t="s">
        <v>1017</v>
      </c>
      <c r="AC1118" s="145"/>
      <c r="AD1118" s="147"/>
      <c r="AE1118" s="148" t="s">
        <v>1017</v>
      </c>
      <c r="AF1118" s="147"/>
      <c r="AG1118" s="147"/>
      <c r="AH1118" s="171"/>
      <c r="AI1118" s="168"/>
      <c r="AJ1118" s="168"/>
      <c r="AK1118" s="168"/>
      <c r="AL1118" s="168"/>
      <c r="AM1118" s="168"/>
      <c r="AN1118" s="167"/>
      <c r="AO1118" s="167"/>
      <c r="AP1118" s="167"/>
      <c r="AQ1118" s="169"/>
      <c r="AR1118" s="170"/>
      <c r="AS1118" s="169"/>
      <c r="AU1118" s="170"/>
      <c r="AV1118" s="169"/>
      <c r="AW1118" s="170"/>
      <c r="AX1118" s="169"/>
    </row>
    <row r="1119" spans="1:56" x14ac:dyDescent="0.35">
      <c r="A1119" s="502" t="s">
        <v>7494</v>
      </c>
      <c r="B1119" s="301" t="s">
        <v>5547</v>
      </c>
      <c r="C1119" s="301" t="s">
        <v>1288</v>
      </c>
      <c r="D1119" s="301" t="s">
        <v>7498</v>
      </c>
      <c r="E1119" s="301" t="s">
        <v>6610</v>
      </c>
      <c r="F1119" s="379">
        <f t="shared" si="441"/>
        <v>26.360000000000003</v>
      </c>
      <c r="G1119" s="433">
        <f t="shared" si="442"/>
        <v>26.360000000000003</v>
      </c>
      <c r="H1119" s="402">
        <f t="shared" si="444"/>
        <v>21.09</v>
      </c>
      <c r="I1119" s="379"/>
      <c r="J1119" s="549">
        <v>44260</v>
      </c>
      <c r="K1119" s="11"/>
      <c r="M1119" s="37">
        <f t="shared" si="443"/>
        <v>26.360000000000003</v>
      </c>
      <c r="N1119" s="29">
        <v>11.67</v>
      </c>
      <c r="O1119" s="319"/>
      <c r="P1119" s="97" t="s">
        <v>2827</v>
      </c>
      <c r="Q1119" s="97"/>
      <c r="R1119" s="97">
        <v>2020</v>
      </c>
      <c r="S1119" s="97" t="s">
        <v>4179</v>
      </c>
      <c r="T1119" s="554">
        <f>ROUND(3*0.99^11,2)</f>
        <v>2.69</v>
      </c>
      <c r="U1119" s="146" t="s">
        <v>1017</v>
      </c>
      <c r="V1119" s="145"/>
      <c r="W1119" s="147"/>
      <c r="X1119" s="147"/>
      <c r="Y1119" s="145"/>
      <c r="Z1119" s="145"/>
      <c r="AA1119" s="147"/>
      <c r="AB1119" s="145" t="s">
        <v>1017</v>
      </c>
      <c r="AC1119" s="145"/>
      <c r="AD1119" s="147"/>
      <c r="AE1119" s="148" t="s">
        <v>1017</v>
      </c>
      <c r="AF1119" s="147"/>
      <c r="AG1119" s="147"/>
      <c r="AH1119" s="171"/>
      <c r="AI1119" s="168"/>
      <c r="AJ1119" s="168"/>
      <c r="AK1119" s="168"/>
      <c r="AL1119" s="168"/>
      <c r="AM1119" s="168"/>
      <c r="AN1119" s="167"/>
      <c r="AO1119" s="167"/>
      <c r="AP1119" s="167"/>
      <c r="AQ1119" s="169"/>
      <c r="AR1119" s="170"/>
      <c r="AS1119" s="169"/>
      <c r="AU1119" s="170"/>
      <c r="AV1119" s="169"/>
      <c r="AW1119" s="170"/>
      <c r="AX1119" s="169"/>
    </row>
    <row r="1120" spans="1:56" x14ac:dyDescent="0.35">
      <c r="A1120" s="502" t="s">
        <v>7495</v>
      </c>
      <c r="B1120" s="301" t="s">
        <v>5547</v>
      </c>
      <c r="C1120" s="301" t="s">
        <v>1288</v>
      </c>
      <c r="D1120" s="301" t="s">
        <v>7500</v>
      </c>
      <c r="E1120" s="301" t="s">
        <v>6610</v>
      </c>
      <c r="F1120" s="379">
        <f t="shared" si="441"/>
        <v>23.44</v>
      </c>
      <c r="G1120" s="433">
        <f t="shared" si="442"/>
        <v>23.44</v>
      </c>
      <c r="H1120" s="402">
        <f t="shared" si="444"/>
        <v>18.75</v>
      </c>
      <c r="I1120" s="379"/>
      <c r="J1120" s="549">
        <v>44260</v>
      </c>
      <c r="K1120" s="11"/>
      <c r="M1120" s="37">
        <f t="shared" si="443"/>
        <v>23.44</v>
      </c>
      <c r="N1120" s="29">
        <v>9.75</v>
      </c>
      <c r="O1120" s="319"/>
      <c r="P1120" s="97" t="s">
        <v>2827</v>
      </c>
      <c r="Q1120" s="97"/>
      <c r="R1120" s="97">
        <v>2020</v>
      </c>
      <c r="S1120" s="97" t="s">
        <v>4179</v>
      </c>
      <c r="T1120" s="554">
        <f>ROUND(3*0.99^11,2)</f>
        <v>2.69</v>
      </c>
      <c r="U1120" s="146"/>
      <c r="V1120" s="145"/>
      <c r="W1120" s="147"/>
      <c r="X1120" s="147"/>
      <c r="Y1120" s="145"/>
      <c r="Z1120" s="147"/>
      <c r="AA1120" s="145"/>
      <c r="AB1120" s="145" t="s">
        <v>1017</v>
      </c>
      <c r="AC1120" s="147"/>
      <c r="AD1120" s="145"/>
      <c r="AE1120" s="148" t="s">
        <v>1017</v>
      </c>
      <c r="AF1120" s="147"/>
      <c r="AG1120" s="147"/>
      <c r="AH1120" s="171"/>
      <c r="AI1120" s="168"/>
      <c r="AJ1120" s="168"/>
      <c r="AK1120" s="168"/>
      <c r="AL1120" s="168"/>
      <c r="AM1120" s="168"/>
      <c r="AN1120" s="167"/>
      <c r="AO1120" s="167"/>
      <c r="AP1120" s="167"/>
      <c r="AQ1120" s="169"/>
      <c r="AR1120" s="170"/>
      <c r="AS1120" s="169"/>
      <c r="AU1120" s="170"/>
      <c r="AV1120" s="169"/>
      <c r="AW1120" s="170"/>
      <c r="AX1120" s="169"/>
    </row>
    <row r="1121" spans="1:52" x14ac:dyDescent="0.35">
      <c r="A1121" s="502" t="s">
        <v>7496</v>
      </c>
      <c r="B1121" s="301" t="s">
        <v>5547</v>
      </c>
      <c r="C1121" s="301" t="s">
        <v>1288</v>
      </c>
      <c r="D1121" s="301" t="s">
        <v>7501</v>
      </c>
      <c r="E1121" s="301" t="s">
        <v>6610</v>
      </c>
      <c r="F1121" s="379">
        <f t="shared" si="441"/>
        <v>24.44</v>
      </c>
      <c r="G1121" s="433">
        <f t="shared" si="442"/>
        <v>24.44</v>
      </c>
      <c r="H1121" s="402">
        <f t="shared" si="444"/>
        <v>19.55</v>
      </c>
      <c r="I1121" s="379"/>
      <c r="J1121" s="549">
        <v>44260</v>
      </c>
      <c r="K1121" s="11"/>
      <c r="M1121" s="37">
        <f t="shared" si="443"/>
        <v>24.44</v>
      </c>
      <c r="N1121" s="29">
        <v>9.75</v>
      </c>
      <c r="O1121" s="319"/>
      <c r="P1121" s="97" t="s">
        <v>2827</v>
      </c>
      <c r="Q1121" s="97"/>
      <c r="R1121" s="97">
        <v>2020</v>
      </c>
      <c r="S1121" s="97" t="s">
        <v>4179</v>
      </c>
      <c r="T1121" s="554">
        <f>ROUND(3*0.99^11,2)</f>
        <v>2.69</v>
      </c>
      <c r="U1121" s="146" t="s">
        <v>1017</v>
      </c>
      <c r="V1121" s="145"/>
      <c r="W1121" s="147"/>
      <c r="X1121" s="147"/>
      <c r="Y1121" s="145"/>
      <c r="Z1121" s="147"/>
      <c r="AA1121" s="145"/>
      <c r="AB1121" s="145" t="s">
        <v>1017</v>
      </c>
      <c r="AC1121" s="147"/>
      <c r="AD1121" s="145"/>
      <c r="AE1121" s="148" t="s">
        <v>1017</v>
      </c>
      <c r="AF1121" s="147"/>
      <c r="AG1121" s="147"/>
      <c r="AH1121" s="171"/>
      <c r="AI1121" s="168"/>
      <c r="AJ1121" s="168"/>
      <c r="AK1121" s="168"/>
      <c r="AL1121" s="168"/>
      <c r="AM1121" s="168"/>
      <c r="AN1121" s="167"/>
      <c r="AO1121" s="167"/>
      <c r="AP1121" s="167"/>
      <c r="AQ1121" s="169"/>
      <c r="AR1121" s="170"/>
      <c r="AS1121" s="169"/>
      <c r="AU1121" s="170"/>
      <c r="AV1121" s="169"/>
      <c r="AW1121" s="170"/>
      <c r="AX1121" s="169"/>
    </row>
    <row r="1122" spans="1:52" x14ac:dyDescent="0.35">
      <c r="A1122" s="502" t="s">
        <v>7497</v>
      </c>
      <c r="B1122" s="301" t="s">
        <v>5547</v>
      </c>
      <c r="C1122" s="301" t="s">
        <v>1288</v>
      </c>
      <c r="D1122" s="301" t="s">
        <v>7502</v>
      </c>
      <c r="E1122" s="301" t="s">
        <v>6610</v>
      </c>
      <c r="F1122" s="379">
        <f t="shared" si="441"/>
        <v>17.46</v>
      </c>
      <c r="G1122" s="433">
        <f t="shared" si="442"/>
        <v>17.46</v>
      </c>
      <c r="H1122" s="402">
        <f t="shared" si="444"/>
        <v>13.97</v>
      </c>
      <c r="I1122" s="379"/>
      <c r="J1122" s="549">
        <v>44260</v>
      </c>
      <c r="K1122" s="11"/>
      <c r="M1122" s="37">
        <f t="shared" si="443"/>
        <v>17.46</v>
      </c>
      <c r="N1122" s="29">
        <v>8.77</v>
      </c>
      <c r="O1122" s="319"/>
      <c r="P1122" s="97" t="s">
        <v>2827</v>
      </c>
      <c r="Q1122" s="97"/>
      <c r="R1122" s="97">
        <v>2020</v>
      </c>
      <c r="S1122" s="97" t="s">
        <v>4179</v>
      </c>
      <c r="T1122" s="554">
        <f>ROUND(3*0.99^11,2)</f>
        <v>2.69</v>
      </c>
      <c r="U1122" s="60"/>
      <c r="V1122" s="50"/>
      <c r="W1122" t="s">
        <v>1017</v>
      </c>
      <c r="Y1122" s="50"/>
      <c r="Z1122" s="50"/>
      <c r="AA1122" s="50"/>
      <c r="AB1122" s="50"/>
      <c r="AC1122" s="50"/>
      <c r="AD1122" s="50"/>
      <c r="AE1122" s="75" t="s">
        <v>1017</v>
      </c>
      <c r="AF1122" s="50"/>
      <c r="AG1122" s="50"/>
      <c r="AH1122" s="171"/>
      <c r="AI1122" s="168"/>
      <c r="AJ1122" s="168"/>
      <c r="AK1122" s="168"/>
      <c r="AL1122" s="168"/>
      <c r="AM1122" s="168"/>
      <c r="AN1122" s="167"/>
      <c r="AO1122" s="167"/>
      <c r="AP1122" s="167"/>
      <c r="AQ1122" s="169"/>
      <c r="AR1122" s="170"/>
      <c r="AS1122" s="169"/>
      <c r="AU1122" s="170"/>
      <c r="AV1122" s="169"/>
      <c r="AW1122" s="170"/>
      <c r="AX1122" s="169"/>
    </row>
    <row r="1123" spans="1:52" s="145" customFormat="1" x14ac:dyDescent="0.35">
      <c r="A1123" s="496" t="s">
        <v>4179</v>
      </c>
      <c r="B1123" s="1"/>
      <c r="C1123" s="1"/>
      <c r="D1123" s="1" t="s">
        <v>4179</v>
      </c>
      <c r="E1123" s="1" t="s">
        <v>4179</v>
      </c>
      <c r="F1123" s="375"/>
      <c r="G1123" s="425"/>
      <c r="H1123" s="10" t="str">
        <f t="shared" si="444"/>
        <v/>
      </c>
      <c r="I1123" s="566"/>
      <c r="J1123" s="549" t="s">
        <v>4179</v>
      </c>
      <c r="K1123" s="11"/>
      <c r="L1123"/>
      <c r="M1123"/>
      <c r="N1123"/>
      <c r="O1123" s="75"/>
      <c r="P1123"/>
      <c r="Q1123"/>
      <c r="R1123"/>
      <c r="S1123" t="s">
        <v>4179</v>
      </c>
      <c r="T1123" s="145" t="s">
        <v>4179</v>
      </c>
      <c r="U1123" s="42"/>
      <c r="V1123"/>
      <c r="W1123"/>
      <c r="X1123"/>
      <c r="Y1123"/>
      <c r="Z1123"/>
      <c r="AA1123"/>
      <c r="AB1123"/>
      <c r="AC1123"/>
      <c r="AD1123"/>
      <c r="AE1123" s="75"/>
      <c r="AF1123"/>
      <c r="AG1123"/>
      <c r="AH1123" s="166" t="str">
        <f t="shared" ref="AH1123:AH1134" si="448">IF(ISERROR(SEARCH("K erstmals 201",D1123)),"",RIGHT(D1123,4))</f>
        <v/>
      </c>
      <c r="AI1123" s="168" t="str">
        <f>IF(AND($AH1123&lt;&gt;"",AH1123 =AH1096),"Gleich","")</f>
        <v/>
      </c>
      <c r="AJ1123" s="168" t="str">
        <f>IF(AND($AH1123&lt;&gt;"",A1123 =A1096),"Gleich","")</f>
        <v/>
      </c>
      <c r="AK1123" s="168" t="str">
        <f>IF(AND($AH1123&lt;&gt;"",D1123 =D1096),"Gleich","")</f>
        <v/>
      </c>
      <c r="AL1123" s="168" t="str">
        <f>IF(AND($AH1123&lt;&gt;"",E1123 =E1096),"Gleich","")</f>
        <v/>
      </c>
      <c r="AM1123" s="168" t="str">
        <f>IF(AND($AH1123&lt;&gt;"",F1123 =F1096),"Gleich","")</f>
        <v/>
      </c>
      <c r="AN1123" s="167" t="str">
        <f t="shared" ref="AN1123:AN1186" si="449">IF(ISERROR(SEARCH("K1",A1123)),"","20"&amp;MID(A1123,SEARCH("K1",A1123)+1,2))</f>
        <v/>
      </c>
      <c r="AO1123" s="167" t="str">
        <f t="shared" ref="AO1123:AO1186" si="450">IF(ISERROR(SEARCH("erstmals 201",E1123)),"",MID(E1123,SEARCH("erstmals ",E1123)+9,4))</f>
        <v/>
      </c>
      <c r="AP1123" s="167" t="str">
        <f t="shared" ref="AP1123:AP1186" si="451">IF(R1123="x","2010",IF(S1123="x","2011",IF(T1123="x","2012","")))</f>
        <v/>
      </c>
      <c r="AQ1123" s="169" t="str">
        <f t="shared" ref="AQ1123:AQ1186" si="452">IF(OR(AH1123&lt;&gt;AN1123,AH1123&lt;&gt;AO1123,AH1123&lt;&gt;AP1123),"DIFF","")</f>
        <v/>
      </c>
      <c r="AR1123" s="170" t="str">
        <f t="shared" ref="AR1123:AR1186" si="453">IF(A1123="","",IF(ISERROR(SEARCH("K1",A1123)),A1123,LEFT(A1123,SEARCH("K1",A1123)+1)&amp;RIGHT(AH1123,1)&amp;MID(A1123,SEARCH("K1",A1123)+3,14)))</f>
        <v/>
      </c>
      <c r="AS1123" s="169" t="str">
        <f t="shared" ref="AS1123:AS1186" si="454">IF(OR(A1123&lt;&gt;AR1123),"DIFF","")</f>
        <v/>
      </c>
      <c r="AT1123">
        <f t="shared" ref="AT1123:AT1186" si="455">LEN(AR1123)</f>
        <v>0</v>
      </c>
      <c r="AU1123" s="170" t="str">
        <f t="shared" ref="AU1123:AU1186" si="456">IF(D1123="","",IF(OR(A1123="",ISERROR(SEARCH("erstmals 201",D1123))),D1123,LEFT(D1123,SEARCH("erstmals 201",D1123)+8) &amp; AH1123 &amp; MID(D1123,SEARCH("erstmals 201",D1123)+13,255)))</f>
        <v/>
      </c>
      <c r="AV1123" s="169" t="str">
        <f t="shared" ref="AV1123:AV1186" si="457">IF(OR(D1123&lt;&gt;AU1123),"DIFF","")</f>
        <v/>
      </c>
      <c r="AW1123" s="170" t="str">
        <f t="shared" ref="AW1123:AW1186" si="458">IF(E1123="","",IF(OR(E1123="",ISERROR(SEARCH("erstmals 201",E1123))),E1123,LEFT(E1123,SEARCH("erstmals 201",E1123)+8) &amp; AH1123 &amp; MID(E1123,SEARCH("erstmals 201",E1123)+13,255)))</f>
        <v/>
      </c>
      <c r="AX1123" s="169" t="str">
        <f t="shared" ref="AX1123:AX1186" si="459">IF(OR(E1123&lt;&gt;AW1123),"DIFF","")</f>
        <v/>
      </c>
      <c r="AY1123" t="str">
        <f t="shared" ref="AY1123:AY1186" si="460">IF(AH1123="2011","x",IF(AH1123="2012","","" &amp; S1123))</f>
        <v/>
      </c>
      <c r="AZ1123" t="str">
        <f t="shared" ref="AZ1123:AZ1186" si="461">IF(AH1123="2012","x",IF(AH1123="2011","","" &amp; T1123))</f>
        <v/>
      </c>
    </row>
    <row r="1124" spans="1:52" ht="15.5" x14ac:dyDescent="0.35">
      <c r="A1124" s="496" t="s">
        <v>4179</v>
      </c>
      <c r="B1124" s="1"/>
      <c r="C1124" s="1"/>
      <c r="D1124" s="1" t="s">
        <v>4179</v>
      </c>
      <c r="E1124" s="1" t="s">
        <v>4179</v>
      </c>
      <c r="F1124" s="375"/>
      <c r="G1124" s="432"/>
      <c r="H1124" s="401"/>
      <c r="I1124" s="578"/>
      <c r="J1124" s="549" t="s">
        <v>4179</v>
      </c>
      <c r="K1124" s="11"/>
      <c r="M1124" s="53" t="s">
        <v>2241</v>
      </c>
      <c r="N1124" s="27"/>
      <c r="O1124" s="31"/>
      <c r="P1124" s="22"/>
      <c r="U1124" s="42"/>
      <c r="AE1124" s="75"/>
      <c r="AH1124" s="166" t="str">
        <f t="shared" si="448"/>
        <v/>
      </c>
      <c r="AI1124" s="168" t="str">
        <f>IF(AND($AH1124&lt;&gt;"",AH1124 =AH1099),"Gleich","")</f>
        <v/>
      </c>
      <c r="AJ1124" s="168" t="str">
        <f>IF(AND($AH1124&lt;&gt;"",A1124 =A1099),"Gleich","")</f>
        <v/>
      </c>
      <c r="AK1124" s="168" t="str">
        <f>IF(AND($AH1124&lt;&gt;"",D1124 =D1099),"Gleich","")</f>
        <v/>
      </c>
      <c r="AL1124" s="168" t="str">
        <f>IF(AND($AH1124&lt;&gt;"",E1124 =E1099),"Gleich","")</f>
        <v/>
      </c>
      <c r="AM1124" s="168" t="str">
        <f>IF(AND($AH1124&lt;&gt;"",F1124 =F1099),"Gleich","")</f>
        <v/>
      </c>
      <c r="AN1124" s="167" t="str">
        <f t="shared" si="449"/>
        <v/>
      </c>
      <c r="AO1124" s="167" t="str">
        <f t="shared" si="450"/>
        <v/>
      </c>
      <c r="AP1124" s="167" t="str">
        <f t="shared" si="451"/>
        <v/>
      </c>
      <c r="AQ1124" s="169" t="str">
        <f t="shared" si="452"/>
        <v/>
      </c>
      <c r="AR1124" s="170" t="str">
        <f t="shared" si="453"/>
        <v/>
      </c>
      <c r="AS1124" s="169" t="str">
        <f t="shared" si="454"/>
        <v/>
      </c>
      <c r="AT1124">
        <f t="shared" si="455"/>
        <v>0</v>
      </c>
      <c r="AU1124" s="170" t="str">
        <f t="shared" si="456"/>
        <v/>
      </c>
      <c r="AV1124" s="169" t="str">
        <f t="shared" si="457"/>
        <v/>
      </c>
      <c r="AW1124" s="170" t="str">
        <f t="shared" si="458"/>
        <v/>
      </c>
      <c r="AX1124" s="169" t="str">
        <f t="shared" si="459"/>
        <v/>
      </c>
      <c r="AY1124" t="str">
        <f t="shared" si="460"/>
        <v/>
      </c>
      <c r="AZ1124" t="str">
        <f t="shared" si="461"/>
        <v/>
      </c>
    </row>
    <row r="1125" spans="1:52" x14ac:dyDescent="0.35">
      <c r="A1125" s="496" t="s">
        <v>4179</v>
      </c>
      <c r="B1125" s="1"/>
      <c r="C1125" s="1"/>
      <c r="D1125" s="1" t="s">
        <v>4179</v>
      </c>
      <c r="E1125" s="1" t="s">
        <v>4179</v>
      </c>
      <c r="F1125" s="375"/>
      <c r="G1125" s="432"/>
      <c r="H1125" s="401"/>
      <c r="I1125" s="578"/>
      <c r="J1125" s="549" t="s">
        <v>4179</v>
      </c>
      <c r="K1125" s="11"/>
      <c r="N1125" s="22"/>
      <c r="O1125" s="31" t="s">
        <v>2659</v>
      </c>
      <c r="P1125" s="22"/>
      <c r="Q1125">
        <v>2009</v>
      </c>
      <c r="R1125">
        <v>2010</v>
      </c>
      <c r="S1125">
        <v>2011</v>
      </c>
      <c r="T1125">
        <v>2012</v>
      </c>
      <c r="U1125" s="42"/>
      <c r="V1125" s="22" t="s">
        <v>778</v>
      </c>
      <c r="AE1125" s="31" t="s">
        <v>827</v>
      </c>
      <c r="AH1125" s="166" t="str">
        <f t="shared" si="448"/>
        <v/>
      </c>
      <c r="AI1125" s="168" t="str">
        <f t="shared" ref="AI1125:AI1188" si="462">IF(AND($AH1125&lt;&gt;"",AH1125 =AH1124),"Gleich","")</f>
        <v/>
      </c>
      <c r="AJ1125" s="168" t="str">
        <f t="shared" ref="AJ1125:AJ1188" si="463">IF(AND($AH1125&lt;&gt;"",A1125 =A1124),"Gleich","")</f>
        <v/>
      </c>
      <c r="AK1125" s="168" t="str">
        <f t="shared" ref="AK1125:AK1188" si="464">IF(AND($AH1125&lt;&gt;"",D1125 =D1124),"Gleich","")</f>
        <v/>
      </c>
      <c r="AL1125" s="168" t="str">
        <f t="shared" ref="AL1125:AL1188" si="465">IF(AND($AH1125&lt;&gt;"",E1125 =E1124),"Gleich","")</f>
        <v/>
      </c>
      <c r="AM1125" s="168" t="str">
        <f t="shared" ref="AM1125:AM1188" si="466">IF(AND($AH1125&lt;&gt;"",F1125 =F1124),"Gleich","")</f>
        <v/>
      </c>
      <c r="AN1125" s="167" t="str">
        <f t="shared" si="449"/>
        <v/>
      </c>
      <c r="AO1125" s="167" t="str">
        <f t="shared" si="450"/>
        <v/>
      </c>
      <c r="AP1125" s="167" t="str">
        <f t="shared" si="451"/>
        <v/>
      </c>
      <c r="AQ1125" s="169" t="str">
        <f t="shared" si="452"/>
        <v/>
      </c>
      <c r="AR1125" s="170" t="str">
        <f t="shared" si="453"/>
        <v/>
      </c>
      <c r="AS1125" s="169" t="str">
        <f t="shared" si="454"/>
        <v/>
      </c>
      <c r="AT1125">
        <f t="shared" si="455"/>
        <v>0</v>
      </c>
      <c r="AU1125" s="170" t="str">
        <f t="shared" si="456"/>
        <v/>
      </c>
      <c r="AV1125" s="169" t="str">
        <f t="shared" si="457"/>
        <v/>
      </c>
      <c r="AW1125" s="170" t="str">
        <f t="shared" si="458"/>
        <v/>
      </c>
      <c r="AX1125" s="169" t="str">
        <f t="shared" si="459"/>
        <v/>
      </c>
      <c r="AY1125" t="str">
        <f t="shared" si="460"/>
        <v>2011</v>
      </c>
      <c r="AZ1125" t="str">
        <f t="shared" si="461"/>
        <v>2012</v>
      </c>
    </row>
    <row r="1126" spans="1:52" ht="72" x14ac:dyDescent="0.35">
      <c r="A1126" s="496" t="s">
        <v>4179</v>
      </c>
      <c r="B1126" s="1"/>
      <c r="C1126" s="1"/>
      <c r="D1126" s="1" t="s">
        <v>4179</v>
      </c>
      <c r="E1126" s="1" t="s">
        <v>4179</v>
      </c>
      <c r="F1126" s="375"/>
      <c r="G1126" s="432"/>
      <c r="H1126" s="401"/>
      <c r="I1126" s="578"/>
      <c r="J1126" s="549" t="s">
        <v>4179</v>
      </c>
      <c r="K1126" s="11"/>
      <c r="M1126" s="36" t="s">
        <v>2913</v>
      </c>
      <c r="N1126" s="30" t="s">
        <v>2912</v>
      </c>
      <c r="O1126" s="32" t="s">
        <v>825</v>
      </c>
      <c r="P1126" s="30" t="s">
        <v>3007</v>
      </c>
      <c r="Q1126" s="30" t="s">
        <v>1013</v>
      </c>
      <c r="R1126" s="30" t="s">
        <v>1264</v>
      </c>
      <c r="S1126" s="30" t="s">
        <v>1482</v>
      </c>
      <c r="T1126" s="30" t="s">
        <v>4160</v>
      </c>
      <c r="U1126" s="65" t="s">
        <v>771</v>
      </c>
      <c r="V1126" s="30" t="s">
        <v>1021</v>
      </c>
      <c r="W1126" s="30" t="s">
        <v>1029</v>
      </c>
      <c r="X1126" s="30" t="s">
        <v>786</v>
      </c>
      <c r="Y1126" s="64" t="s">
        <v>4883</v>
      </c>
      <c r="Z1126" s="64" t="s">
        <v>5519</v>
      </c>
      <c r="AA1126" s="64" t="s">
        <v>5520</v>
      </c>
      <c r="AB1126" s="64" t="s">
        <v>5521</v>
      </c>
      <c r="AC1126" s="64" t="s">
        <v>4852</v>
      </c>
      <c r="AD1126" s="64" t="s">
        <v>770</v>
      </c>
      <c r="AE1126" s="32" t="s">
        <v>824</v>
      </c>
      <c r="AF1126" s="48"/>
      <c r="AG1126" s="48"/>
      <c r="AH1126" s="166" t="str">
        <f t="shared" si="448"/>
        <v/>
      </c>
      <c r="AI1126" s="168" t="str">
        <f t="shared" si="462"/>
        <v/>
      </c>
      <c r="AJ1126" s="168" t="str">
        <f t="shared" si="463"/>
        <v/>
      </c>
      <c r="AK1126" s="168" t="str">
        <f t="shared" si="464"/>
        <v/>
      </c>
      <c r="AL1126" s="168" t="str">
        <f t="shared" si="465"/>
        <v/>
      </c>
      <c r="AM1126" s="168" t="str">
        <f t="shared" si="466"/>
        <v/>
      </c>
      <c r="AN1126" s="167" t="str">
        <f t="shared" si="449"/>
        <v/>
      </c>
      <c r="AO1126" s="167" t="str">
        <f t="shared" si="450"/>
        <v/>
      </c>
      <c r="AP1126" s="167" t="str">
        <f t="shared" si="451"/>
        <v/>
      </c>
      <c r="AQ1126" s="169" t="str">
        <f t="shared" si="452"/>
        <v/>
      </c>
      <c r="AR1126" s="170" t="str">
        <f t="shared" si="453"/>
        <v/>
      </c>
      <c r="AS1126" s="169" t="str">
        <f t="shared" si="454"/>
        <v/>
      </c>
      <c r="AT1126">
        <f t="shared" si="455"/>
        <v>0</v>
      </c>
      <c r="AU1126" s="170" t="str">
        <f t="shared" si="456"/>
        <v/>
      </c>
      <c r="AV1126" s="169" t="str">
        <f t="shared" si="457"/>
        <v/>
      </c>
      <c r="AW1126" s="170" t="str">
        <f t="shared" si="458"/>
        <v/>
      </c>
      <c r="AX1126" s="169" t="str">
        <f t="shared" si="459"/>
        <v/>
      </c>
      <c r="AY1126" t="str">
        <f t="shared" si="460"/>
        <v>erstmals KWK in 2011</v>
      </c>
      <c r="AZ1126" t="str">
        <f t="shared" si="461"/>
        <v>erstmals KWK in 2012</v>
      </c>
    </row>
    <row r="1127" spans="1:52" ht="31.5" x14ac:dyDescent="0.35">
      <c r="A1127" s="496" t="s">
        <v>4179</v>
      </c>
      <c r="B1127" s="1"/>
      <c r="C1127" s="1"/>
      <c r="D1127" s="1" t="s">
        <v>4179</v>
      </c>
      <c r="E1127" s="1" t="s">
        <v>4179</v>
      </c>
      <c r="F1127" s="375"/>
      <c r="G1127" s="432"/>
      <c r="H1127" s="401"/>
      <c r="I1127" s="578"/>
      <c r="J1127" s="549" t="s">
        <v>4179</v>
      </c>
      <c r="K1127" s="11"/>
      <c r="M1127" s="34"/>
      <c r="N1127" s="30"/>
      <c r="O1127" s="32" t="s">
        <v>1014</v>
      </c>
      <c r="P1127" s="30" t="s">
        <v>1015</v>
      </c>
      <c r="Q1127" s="30" t="s">
        <v>1016</v>
      </c>
      <c r="R1127" s="30" t="s">
        <v>1265</v>
      </c>
      <c r="S1127" s="30" t="s">
        <v>3489</v>
      </c>
      <c r="T1127" s="95" t="s">
        <v>4161</v>
      </c>
      <c r="U1127" s="43" t="s">
        <v>1018</v>
      </c>
      <c r="V1127" s="30" t="s">
        <v>1019</v>
      </c>
      <c r="W1127" s="30" t="s">
        <v>1020</v>
      </c>
      <c r="X1127" s="30" t="s">
        <v>4068</v>
      </c>
      <c r="Y1127" s="30" t="s">
        <v>1023</v>
      </c>
      <c r="Z1127" s="30" t="s">
        <v>1024</v>
      </c>
      <c r="AA1127" s="30" t="s">
        <v>1025</v>
      </c>
      <c r="AB1127" s="30" t="s">
        <v>1026</v>
      </c>
      <c r="AC1127" s="30" t="s">
        <v>1028</v>
      </c>
      <c r="AD1127" s="30" t="s">
        <v>1027</v>
      </c>
      <c r="AE1127" s="32" t="s">
        <v>826</v>
      </c>
      <c r="AF1127" s="48"/>
      <c r="AG1127" s="48"/>
      <c r="AH1127" s="166" t="str">
        <f t="shared" si="448"/>
        <v/>
      </c>
      <c r="AI1127" s="168" t="str">
        <f t="shared" si="462"/>
        <v/>
      </c>
      <c r="AJ1127" s="168" t="str">
        <f t="shared" si="463"/>
        <v/>
      </c>
      <c r="AK1127" s="168" t="str">
        <f t="shared" si="464"/>
        <v/>
      </c>
      <c r="AL1127" s="168" t="str">
        <f t="shared" si="465"/>
        <v/>
      </c>
      <c r="AM1127" s="168" t="str">
        <f t="shared" si="466"/>
        <v/>
      </c>
      <c r="AN1127" s="167" t="str">
        <f t="shared" si="449"/>
        <v/>
      </c>
      <c r="AO1127" s="167" t="str">
        <f t="shared" si="450"/>
        <v/>
      </c>
      <c r="AP1127" s="167" t="str">
        <f t="shared" si="451"/>
        <v/>
      </c>
      <c r="AQ1127" s="169" t="str">
        <f t="shared" si="452"/>
        <v/>
      </c>
      <c r="AR1127" s="170" t="str">
        <f t="shared" si="453"/>
        <v/>
      </c>
      <c r="AS1127" s="169" t="str">
        <f t="shared" si="454"/>
        <v/>
      </c>
      <c r="AT1127">
        <f t="shared" si="455"/>
        <v>0</v>
      </c>
      <c r="AU1127" s="170" t="str">
        <f t="shared" si="456"/>
        <v/>
      </c>
      <c r="AV1127" s="169" t="str">
        <f t="shared" si="457"/>
        <v/>
      </c>
      <c r="AW1127" s="170" t="str">
        <f t="shared" si="458"/>
        <v/>
      </c>
      <c r="AX1127" s="169" t="str">
        <f t="shared" si="459"/>
        <v/>
      </c>
      <c r="AY1127" t="str">
        <f t="shared" si="460"/>
        <v>"K11"</v>
      </c>
      <c r="AZ1127" t="str">
        <f t="shared" si="461"/>
        <v>"K12"</v>
      </c>
    </row>
    <row r="1128" spans="1:52" x14ac:dyDescent="0.35">
      <c r="A1128" s="496" t="s">
        <v>4179</v>
      </c>
      <c r="B1128" s="1"/>
      <c r="C1128" s="1"/>
      <c r="D1128" s="1" t="s">
        <v>4179</v>
      </c>
      <c r="E1128" s="1" t="s">
        <v>4179</v>
      </c>
      <c r="F1128" s="375"/>
      <c r="G1128" s="432"/>
      <c r="H1128" s="401"/>
      <c r="I1128" s="578"/>
      <c r="J1128" s="549" t="s">
        <v>4179</v>
      </c>
      <c r="K1128" s="11"/>
      <c r="N1128" s="29"/>
      <c r="O1128" s="74">
        <v>2</v>
      </c>
      <c r="P1128" s="29">
        <v>3</v>
      </c>
      <c r="Q1128" s="29">
        <v>3</v>
      </c>
      <c r="R1128" s="29">
        <f>ROUND($Q1128*0.99^(R1125-$Q1125),2)</f>
        <v>2.97</v>
      </c>
      <c r="S1128" s="29">
        <f>ROUND($Q1128*0.99^(S1125-$Q1125),2)</f>
        <v>2.94</v>
      </c>
      <c r="T1128" s="29">
        <f>ROUND($Q1128*0.99^(T1125-$Q1125),2)</f>
        <v>2.91</v>
      </c>
      <c r="U1128" s="155">
        <v>1</v>
      </c>
      <c r="V1128" s="29">
        <v>6</v>
      </c>
      <c r="W1128" s="29">
        <v>4</v>
      </c>
      <c r="X1128" s="29">
        <v>2.5</v>
      </c>
      <c r="Y1128" s="29">
        <v>7</v>
      </c>
      <c r="Z1128" s="29">
        <v>11</v>
      </c>
      <c r="AA1128" s="29">
        <v>8</v>
      </c>
      <c r="AB1128" s="29">
        <v>9</v>
      </c>
      <c r="AC1128" s="29">
        <v>13</v>
      </c>
      <c r="AD1128" s="29">
        <v>10</v>
      </c>
      <c r="AE1128" s="74">
        <v>2</v>
      </c>
      <c r="AF1128" s="156"/>
      <c r="AG1128" s="156"/>
      <c r="AH1128" s="166" t="str">
        <f t="shared" si="448"/>
        <v/>
      </c>
      <c r="AI1128" s="168" t="str">
        <f t="shared" si="462"/>
        <v/>
      </c>
      <c r="AJ1128" s="168" t="str">
        <f t="shared" si="463"/>
        <v/>
      </c>
      <c r="AK1128" s="168" t="str">
        <f t="shared" si="464"/>
        <v/>
      </c>
      <c r="AL1128" s="168" t="str">
        <f t="shared" si="465"/>
        <v/>
      </c>
      <c r="AM1128" s="168" t="str">
        <f t="shared" si="466"/>
        <v/>
      </c>
      <c r="AN1128" s="167" t="str">
        <f t="shared" si="449"/>
        <v/>
      </c>
      <c r="AO1128" s="167" t="str">
        <f t="shared" si="450"/>
        <v/>
      </c>
      <c r="AP1128" s="167" t="str">
        <f t="shared" si="451"/>
        <v/>
      </c>
      <c r="AQ1128" s="169" t="str">
        <f t="shared" si="452"/>
        <v/>
      </c>
      <c r="AR1128" s="170" t="str">
        <f t="shared" si="453"/>
        <v/>
      </c>
      <c r="AS1128" s="169" t="str">
        <f t="shared" si="454"/>
        <v/>
      </c>
      <c r="AT1128">
        <f t="shared" si="455"/>
        <v>0</v>
      </c>
      <c r="AU1128" s="170" t="str">
        <f t="shared" si="456"/>
        <v/>
      </c>
      <c r="AV1128" s="169" t="str">
        <f t="shared" si="457"/>
        <v/>
      </c>
      <c r="AW1128" s="170" t="str">
        <f t="shared" si="458"/>
        <v/>
      </c>
      <c r="AX1128" s="169" t="str">
        <f t="shared" si="459"/>
        <v/>
      </c>
      <c r="AY1128" t="str">
        <f t="shared" si="460"/>
        <v>2,94</v>
      </c>
      <c r="AZ1128" t="str">
        <f t="shared" si="461"/>
        <v>2,91</v>
      </c>
    </row>
    <row r="1129" spans="1:52" x14ac:dyDescent="0.35">
      <c r="A1129" s="505" t="s">
        <v>874</v>
      </c>
      <c r="B1129" s="23" t="s">
        <v>5547</v>
      </c>
      <c r="C1129" s="23" t="s">
        <v>1296</v>
      </c>
      <c r="D1129" s="23" t="s">
        <v>1780</v>
      </c>
      <c r="E1129" s="23" t="s">
        <v>4809</v>
      </c>
      <c r="F1129" s="378">
        <f t="shared" ref="F1129:F1192" si="467">M1129</f>
        <v>11.67</v>
      </c>
      <c r="G1129" s="434">
        <v>11.67</v>
      </c>
      <c r="H1129" s="403">
        <f t="shared" ref="H1129:H1192" si="468">IF(ISNUMBER(G1129),ROUND(0.8*G1129,2),"")</f>
        <v>9.34</v>
      </c>
      <c r="I1129" s="581"/>
      <c r="J1129" s="549" t="s">
        <v>5804</v>
      </c>
      <c r="K1129" s="11"/>
      <c r="M1129" s="37">
        <f t="shared" ref="M1129:M1192" si="469">N1129+SUMIF(O1129:AG1129,"x",O$1128:AG$1128)</f>
        <v>11.67</v>
      </c>
      <c r="N1129" s="29">
        <v>11.67</v>
      </c>
      <c r="O1129" s="41"/>
      <c r="P1129" s="11"/>
      <c r="T1129" t="s">
        <v>4179</v>
      </c>
      <c r="U1129" s="42"/>
      <c r="W1129" s="50"/>
      <c r="X1129" s="50"/>
      <c r="AA1129" s="50"/>
      <c r="AD1129" s="50"/>
      <c r="AE1129" s="75"/>
      <c r="AF1129" s="50"/>
      <c r="AG1129" s="50"/>
      <c r="AH1129" s="166" t="str">
        <f t="shared" si="448"/>
        <v/>
      </c>
      <c r="AI1129" s="168" t="str">
        <f t="shared" si="462"/>
        <v/>
      </c>
      <c r="AJ1129" s="168" t="str">
        <f t="shared" si="463"/>
        <v/>
      </c>
      <c r="AK1129" s="168" t="str">
        <f t="shared" si="464"/>
        <v/>
      </c>
      <c r="AL1129" s="168" t="str">
        <f t="shared" si="465"/>
        <v/>
      </c>
      <c r="AM1129" s="168" t="str">
        <f t="shared" si="466"/>
        <v/>
      </c>
      <c r="AN1129" s="167" t="str">
        <f t="shared" si="449"/>
        <v/>
      </c>
      <c r="AO1129" s="167" t="str">
        <f t="shared" si="450"/>
        <v/>
      </c>
      <c r="AP1129" s="167" t="str">
        <f t="shared" si="451"/>
        <v/>
      </c>
      <c r="AQ1129" s="169" t="str">
        <f t="shared" si="452"/>
        <v/>
      </c>
      <c r="AR1129" s="170" t="str">
        <f t="shared" si="453"/>
        <v>BiK81-------06</v>
      </c>
      <c r="AS1129" s="169" t="str">
        <f t="shared" si="454"/>
        <v/>
      </c>
      <c r="AT1129">
        <f t="shared" si="455"/>
        <v>14</v>
      </c>
      <c r="AU1129" s="170" t="str">
        <f t="shared" si="456"/>
        <v>0-0,15 MW</v>
      </c>
      <c r="AV1129" s="169" t="str">
        <f t="shared" si="457"/>
        <v/>
      </c>
      <c r="AW1129" s="170" t="str">
        <f t="shared" si="458"/>
        <v>Anteil Nicht-KWK</v>
      </c>
      <c r="AX1129" s="169" t="str">
        <f t="shared" si="459"/>
        <v/>
      </c>
      <c r="AY1129" t="str">
        <f t="shared" si="460"/>
        <v/>
      </c>
      <c r="AZ1129" t="str">
        <f t="shared" si="461"/>
        <v/>
      </c>
    </row>
    <row r="1130" spans="1:52" x14ac:dyDescent="0.35">
      <c r="A1130" s="505" t="s">
        <v>875</v>
      </c>
      <c r="B1130" s="23" t="s">
        <v>5547</v>
      </c>
      <c r="C1130" s="23" t="s">
        <v>1296</v>
      </c>
      <c r="D1130" s="24" t="s">
        <v>6863</v>
      </c>
      <c r="E1130" s="23" t="s">
        <v>4811</v>
      </c>
      <c r="F1130" s="378">
        <f t="shared" si="467"/>
        <v>13.67</v>
      </c>
      <c r="G1130" s="434">
        <v>13.67</v>
      </c>
      <c r="H1130" s="403">
        <f t="shared" si="468"/>
        <v>10.94</v>
      </c>
      <c r="I1130" s="581"/>
      <c r="J1130" s="549" t="s">
        <v>5804</v>
      </c>
      <c r="K1130" s="11"/>
      <c r="M1130" s="37">
        <f t="shared" si="469"/>
        <v>13.67</v>
      </c>
      <c r="N1130" s="29">
        <v>11.67</v>
      </c>
      <c r="O1130" s="41" t="s">
        <v>1017</v>
      </c>
      <c r="P1130" s="11"/>
      <c r="S1130" t="s">
        <v>4179</v>
      </c>
      <c r="T1130" t="s">
        <v>4179</v>
      </c>
      <c r="U1130" s="42"/>
      <c r="W1130" s="50"/>
      <c r="X1130" s="50"/>
      <c r="AA1130" s="50"/>
      <c r="AD1130" s="50"/>
      <c r="AE1130" s="75"/>
      <c r="AF1130" s="50"/>
      <c r="AG1130" s="50"/>
      <c r="AH1130" s="166" t="str">
        <f t="shared" si="448"/>
        <v/>
      </c>
      <c r="AI1130" s="168" t="str">
        <f t="shared" si="462"/>
        <v/>
      </c>
      <c r="AJ1130" s="168" t="str">
        <f t="shared" si="463"/>
        <v/>
      </c>
      <c r="AK1130" s="168" t="str">
        <f t="shared" si="464"/>
        <v/>
      </c>
      <c r="AL1130" s="168" t="str">
        <f t="shared" si="465"/>
        <v/>
      </c>
      <c r="AM1130" s="168" t="str">
        <f t="shared" si="466"/>
        <v/>
      </c>
      <c r="AN1130" s="167" t="str">
        <f t="shared" si="449"/>
        <v/>
      </c>
      <c r="AO1130" s="167" t="str">
        <f t="shared" si="450"/>
        <v/>
      </c>
      <c r="AP1130" s="167" t="str">
        <f t="shared" si="451"/>
        <v/>
      </c>
      <c r="AQ1130" s="169" t="str">
        <f t="shared" si="452"/>
        <v/>
      </c>
      <c r="AR1130" s="170" t="str">
        <f t="shared" si="453"/>
        <v>BiK81KWK----06</v>
      </c>
      <c r="AS1130" s="169" t="str">
        <f t="shared" si="454"/>
        <v/>
      </c>
      <c r="AT1130">
        <f t="shared" si="455"/>
        <v>14</v>
      </c>
      <c r="AU1130" s="170" t="str">
        <f t="shared" si="456"/>
        <v>0-0,15 MW, Bonusregel KWK</v>
      </c>
      <c r="AV1130" s="169" t="str">
        <f t="shared" si="457"/>
        <v/>
      </c>
      <c r="AW1130" s="170" t="str">
        <f t="shared" si="458"/>
        <v>Anteil KWK</v>
      </c>
      <c r="AX1130" s="169" t="str">
        <f t="shared" si="459"/>
        <v/>
      </c>
      <c r="AY1130" t="str">
        <f t="shared" si="460"/>
        <v/>
      </c>
      <c r="AZ1130" t="str">
        <f t="shared" si="461"/>
        <v/>
      </c>
    </row>
    <row r="1131" spans="1:52" x14ac:dyDescent="0.35">
      <c r="A1131" s="497" t="s">
        <v>4349</v>
      </c>
      <c r="B1131" s="13" t="s">
        <v>5547</v>
      </c>
      <c r="C1131" s="13" t="s">
        <v>1296</v>
      </c>
      <c r="D1131" s="13" t="s">
        <v>6864</v>
      </c>
      <c r="E1131" s="13" t="s">
        <v>4330</v>
      </c>
      <c r="F1131" s="373">
        <f t="shared" si="467"/>
        <v>14.67</v>
      </c>
      <c r="G1131" s="430">
        <v>14.67</v>
      </c>
      <c r="H1131" s="399">
        <f t="shared" si="468"/>
        <v>11.74</v>
      </c>
      <c r="I1131" s="576"/>
      <c r="J1131" s="549" t="s">
        <v>5804</v>
      </c>
      <c r="K1131" s="11"/>
      <c r="M1131" s="37">
        <f t="shared" si="469"/>
        <v>14.67</v>
      </c>
      <c r="N1131" s="29">
        <v>11.67</v>
      </c>
      <c r="O1131" s="41"/>
      <c r="P1131" t="s">
        <v>1017</v>
      </c>
      <c r="S1131" t="s">
        <v>4179</v>
      </c>
      <c r="T1131" t="s">
        <v>4179</v>
      </c>
      <c r="U1131" s="42"/>
      <c r="W1131" s="50"/>
      <c r="X1131" s="50"/>
      <c r="AA1131" s="50"/>
      <c r="AD1131" s="50"/>
      <c r="AE1131" s="75"/>
      <c r="AF1131" s="50"/>
      <c r="AG1131" s="50"/>
      <c r="AH1131" s="166" t="str">
        <f t="shared" si="448"/>
        <v/>
      </c>
      <c r="AI1131" s="168" t="str">
        <f t="shared" si="462"/>
        <v/>
      </c>
      <c r="AJ1131" s="168" t="str">
        <f t="shared" si="463"/>
        <v/>
      </c>
      <c r="AK1131" s="168" t="str">
        <f t="shared" si="464"/>
        <v/>
      </c>
      <c r="AL1131" s="168" t="str">
        <f t="shared" si="465"/>
        <v/>
      </c>
      <c r="AM1131" s="168" t="str">
        <f t="shared" si="466"/>
        <v/>
      </c>
      <c r="AN1131" s="167" t="str">
        <f t="shared" si="449"/>
        <v/>
      </c>
      <c r="AO1131" s="167" t="str">
        <f t="shared" si="450"/>
        <v/>
      </c>
      <c r="AP1131" s="167" t="str">
        <f t="shared" si="451"/>
        <v/>
      </c>
      <c r="AQ1131" s="169" t="str">
        <f t="shared" si="452"/>
        <v/>
      </c>
      <c r="AR1131" s="170" t="str">
        <f t="shared" si="453"/>
        <v>BiK81KA3----06</v>
      </c>
      <c r="AS1131" s="169" t="str">
        <f t="shared" si="454"/>
        <v/>
      </c>
      <c r="AT1131">
        <f t="shared" si="455"/>
        <v>14</v>
      </c>
      <c r="AU1131" s="170" t="str">
        <f t="shared" si="456"/>
        <v>0-0,15 MW, Bonusregel K wenn Anlage 3 erfüllt</v>
      </c>
      <c r="AV1131" s="169" t="str">
        <f t="shared" si="457"/>
        <v/>
      </c>
      <c r="AW1131" s="170" t="str">
        <f t="shared" si="458"/>
        <v>Anteil KWK gemäß Anlage 3</v>
      </c>
      <c r="AX1131" s="169" t="str">
        <f t="shared" si="459"/>
        <v/>
      </c>
      <c r="AY1131" t="str">
        <f t="shared" si="460"/>
        <v/>
      </c>
      <c r="AZ1131" t="str">
        <f t="shared" si="461"/>
        <v/>
      </c>
    </row>
    <row r="1132" spans="1:52" x14ac:dyDescent="0.35">
      <c r="A1132" s="497" t="s">
        <v>2359</v>
      </c>
      <c r="B1132" s="13" t="s">
        <v>5547</v>
      </c>
      <c r="C1132" s="13" t="s">
        <v>1296</v>
      </c>
      <c r="D1132" s="13" t="s">
        <v>6865</v>
      </c>
      <c r="E1132" s="13" t="s">
        <v>674</v>
      </c>
      <c r="F1132" s="373">
        <f t="shared" si="467"/>
        <v>14.67</v>
      </c>
      <c r="G1132" s="430">
        <v>14.67</v>
      </c>
      <c r="H1132" s="399">
        <f t="shared" si="468"/>
        <v>11.74</v>
      </c>
      <c r="I1132" s="576"/>
      <c r="J1132" s="549" t="s">
        <v>5804</v>
      </c>
      <c r="K1132" s="11"/>
      <c r="M1132" s="37">
        <f t="shared" si="469"/>
        <v>14.67</v>
      </c>
      <c r="N1132" s="29">
        <v>11.67</v>
      </c>
      <c r="O1132" s="41"/>
      <c r="P1132" s="11"/>
      <c r="Q1132" t="s">
        <v>1017</v>
      </c>
      <c r="S1132" t="s">
        <v>4179</v>
      </c>
      <c r="T1132" t="s">
        <v>4179</v>
      </c>
      <c r="U1132" s="42"/>
      <c r="W1132" s="50"/>
      <c r="X1132" s="50"/>
      <c r="AA1132" s="50"/>
      <c r="AD1132" s="50"/>
      <c r="AE1132" s="75"/>
      <c r="AF1132" s="50"/>
      <c r="AG1132" s="50"/>
      <c r="AH1132" s="166" t="str">
        <f t="shared" si="448"/>
        <v/>
      </c>
      <c r="AI1132" s="168" t="str">
        <f t="shared" si="462"/>
        <v/>
      </c>
      <c r="AJ1132" s="168" t="str">
        <f t="shared" si="463"/>
        <v/>
      </c>
      <c r="AK1132" s="168" t="str">
        <f t="shared" si="464"/>
        <v/>
      </c>
      <c r="AL1132" s="168" t="str">
        <f t="shared" si="465"/>
        <v/>
      </c>
      <c r="AM1132" s="168" t="str">
        <f t="shared" si="466"/>
        <v/>
      </c>
      <c r="AN1132" s="167" t="str">
        <f t="shared" si="449"/>
        <v/>
      </c>
      <c r="AO1132" s="167" t="str">
        <f t="shared" si="450"/>
        <v/>
      </c>
      <c r="AP1132" s="167" t="str">
        <f t="shared" si="451"/>
        <v/>
      </c>
      <c r="AQ1132" s="169" t="str">
        <f t="shared" si="452"/>
        <v/>
      </c>
      <c r="AR1132" s="170" t="str">
        <f t="shared" si="453"/>
        <v>BiK81K09----06</v>
      </c>
      <c r="AS1132" s="169" t="str">
        <f t="shared" si="454"/>
        <v/>
      </c>
      <c r="AT1132">
        <f t="shared" si="455"/>
        <v>14</v>
      </c>
      <c r="AU1132" s="170" t="str">
        <f t="shared" si="456"/>
        <v>0-0,15 MW, Bonusregel K erstmals 2009</v>
      </c>
      <c r="AV1132" s="169" t="str">
        <f t="shared" si="457"/>
        <v/>
      </c>
      <c r="AW1132" s="170" t="str">
        <f t="shared" si="458"/>
        <v>Anteil KWK, erstmals 2009</v>
      </c>
      <c r="AX1132" s="169" t="str">
        <f t="shared" si="459"/>
        <v/>
      </c>
      <c r="AY1132" t="str">
        <f t="shared" si="460"/>
        <v/>
      </c>
      <c r="AZ1132" t="str">
        <f t="shared" si="461"/>
        <v/>
      </c>
    </row>
    <row r="1133" spans="1:52" x14ac:dyDescent="0.35">
      <c r="A1133" s="497" t="s">
        <v>4884</v>
      </c>
      <c r="B1133" s="13" t="s">
        <v>5547</v>
      </c>
      <c r="C1133" s="13" t="s">
        <v>1296</v>
      </c>
      <c r="D1133" s="13" t="s">
        <v>6866</v>
      </c>
      <c r="E1133" s="13" t="s">
        <v>3566</v>
      </c>
      <c r="F1133" s="373">
        <f t="shared" si="467"/>
        <v>14.64</v>
      </c>
      <c r="G1133" s="430">
        <v>14.64</v>
      </c>
      <c r="H1133" s="399">
        <f t="shared" si="468"/>
        <v>11.71</v>
      </c>
      <c r="I1133" s="576"/>
      <c r="J1133" s="549" t="s">
        <v>5804</v>
      </c>
      <c r="K1133" s="11"/>
      <c r="M1133" s="37">
        <f t="shared" si="469"/>
        <v>14.64</v>
      </c>
      <c r="N1133" s="29">
        <v>11.67</v>
      </c>
      <c r="O1133" s="41"/>
      <c r="P1133" s="11"/>
      <c r="R1133" t="s">
        <v>1017</v>
      </c>
      <c r="S1133" t="s">
        <v>4179</v>
      </c>
      <c r="T1133" t="s">
        <v>4179</v>
      </c>
      <c r="U1133" s="42"/>
      <c r="W1133" s="50"/>
      <c r="X1133" s="50"/>
      <c r="AA1133" s="50"/>
      <c r="AD1133" s="50"/>
      <c r="AE1133" s="75"/>
      <c r="AF1133" s="50"/>
      <c r="AG1133" s="50"/>
      <c r="AH1133" s="166" t="str">
        <f t="shared" si="448"/>
        <v>2010</v>
      </c>
      <c r="AI1133" s="168" t="str">
        <f t="shared" si="462"/>
        <v/>
      </c>
      <c r="AJ1133" s="168" t="str">
        <f t="shared" si="463"/>
        <v/>
      </c>
      <c r="AK1133" s="168" t="str">
        <f t="shared" si="464"/>
        <v/>
      </c>
      <c r="AL1133" s="168" t="str">
        <f t="shared" si="465"/>
        <v/>
      </c>
      <c r="AM1133" s="168" t="str">
        <f t="shared" si="466"/>
        <v/>
      </c>
      <c r="AN1133" s="167" t="str">
        <f t="shared" si="449"/>
        <v>2010</v>
      </c>
      <c r="AO1133" s="167" t="str">
        <f t="shared" si="450"/>
        <v>2010</v>
      </c>
      <c r="AP1133" s="167" t="str">
        <f t="shared" si="451"/>
        <v>2010</v>
      </c>
      <c r="AQ1133" s="169" t="str">
        <f t="shared" si="452"/>
        <v/>
      </c>
      <c r="AR1133" s="170" t="str">
        <f t="shared" si="453"/>
        <v>BiK81K10----06</v>
      </c>
      <c r="AS1133" s="169" t="str">
        <f t="shared" si="454"/>
        <v/>
      </c>
      <c r="AT1133">
        <f t="shared" si="455"/>
        <v>14</v>
      </c>
      <c r="AU1133" s="170" t="str">
        <f t="shared" si="456"/>
        <v>0-0,15 MW, Bonusregel K erstmals 2010</v>
      </c>
      <c r="AV1133" s="169" t="str">
        <f t="shared" si="457"/>
        <v/>
      </c>
      <c r="AW1133" s="170" t="str">
        <f t="shared" si="458"/>
        <v>Anteil KWK, erstmals 2010</v>
      </c>
      <c r="AX1133" s="169" t="str">
        <f t="shared" si="459"/>
        <v/>
      </c>
      <c r="AY1133" t="str">
        <f t="shared" si="460"/>
        <v/>
      </c>
      <c r="AZ1133" t="str">
        <f t="shared" si="461"/>
        <v/>
      </c>
    </row>
    <row r="1134" spans="1:52" x14ac:dyDescent="0.35">
      <c r="A1134" s="497" t="s">
        <v>5353</v>
      </c>
      <c r="B1134" s="13" t="s">
        <v>5547</v>
      </c>
      <c r="C1134" s="13" t="s">
        <v>1296</v>
      </c>
      <c r="D1134" s="13" t="s">
        <v>6867</v>
      </c>
      <c r="E1134" s="13" t="s">
        <v>3054</v>
      </c>
      <c r="F1134" s="373">
        <f t="shared" si="467"/>
        <v>14.61</v>
      </c>
      <c r="G1134" s="430">
        <v>14.61</v>
      </c>
      <c r="H1134" s="399">
        <f t="shared" si="468"/>
        <v>11.69</v>
      </c>
      <c r="I1134" s="576"/>
      <c r="J1134" s="549" t="s">
        <v>5804</v>
      </c>
      <c r="K1134" s="11"/>
      <c r="M1134" s="37">
        <f t="shared" si="469"/>
        <v>14.61</v>
      </c>
      <c r="N1134" s="29">
        <v>11.67</v>
      </c>
      <c r="O1134" s="41"/>
      <c r="P1134" s="11"/>
      <c r="S1134" t="s">
        <v>1017</v>
      </c>
      <c r="T1134" t="s">
        <v>4179</v>
      </c>
      <c r="U1134" s="42"/>
      <c r="W1134" s="50"/>
      <c r="X1134" s="50"/>
      <c r="AA1134" s="50"/>
      <c r="AD1134" s="50"/>
      <c r="AE1134" s="75"/>
      <c r="AF1134" s="50"/>
      <c r="AG1134" s="50"/>
      <c r="AH1134" s="166" t="str">
        <f t="shared" si="448"/>
        <v>2011</v>
      </c>
      <c r="AI1134" s="168" t="str">
        <f t="shared" si="462"/>
        <v/>
      </c>
      <c r="AJ1134" s="168" t="str">
        <f t="shared" si="463"/>
        <v/>
      </c>
      <c r="AK1134" s="168" t="str">
        <f t="shared" si="464"/>
        <v/>
      </c>
      <c r="AL1134" s="168" t="str">
        <f t="shared" si="465"/>
        <v/>
      </c>
      <c r="AM1134" s="168" t="str">
        <f t="shared" si="466"/>
        <v/>
      </c>
      <c r="AN1134" s="167" t="str">
        <f t="shared" si="449"/>
        <v>2011</v>
      </c>
      <c r="AO1134" s="167" t="str">
        <f t="shared" si="450"/>
        <v>2011</v>
      </c>
      <c r="AP1134" s="167" t="str">
        <f t="shared" si="451"/>
        <v>2011</v>
      </c>
      <c r="AQ1134" s="169" t="str">
        <f t="shared" si="452"/>
        <v/>
      </c>
      <c r="AR1134" s="170" t="str">
        <f t="shared" si="453"/>
        <v>BiK81K11----06</v>
      </c>
      <c r="AS1134" s="169" t="str">
        <f t="shared" si="454"/>
        <v/>
      </c>
      <c r="AT1134">
        <f t="shared" si="455"/>
        <v>14</v>
      </c>
      <c r="AU1134" s="170" t="str">
        <f t="shared" si="456"/>
        <v>0-0,15 MW, Bonusregel K erstmals 2011</v>
      </c>
      <c r="AV1134" s="169" t="str">
        <f t="shared" si="457"/>
        <v/>
      </c>
      <c r="AW1134" s="170" t="str">
        <f t="shared" si="458"/>
        <v>Anteil KWK, erstmals 2011</v>
      </c>
      <c r="AX1134" s="169" t="str">
        <f t="shared" si="459"/>
        <v/>
      </c>
      <c r="AY1134" t="str">
        <f t="shared" si="460"/>
        <v>x</v>
      </c>
      <c r="AZ1134" t="str">
        <f t="shared" si="461"/>
        <v/>
      </c>
    </row>
    <row r="1135" spans="1:52" x14ac:dyDescent="0.35">
      <c r="A1135" s="511" t="s">
        <v>1604</v>
      </c>
      <c r="B1135" s="173" t="s">
        <v>5547</v>
      </c>
      <c r="C1135" s="173" t="s">
        <v>1296</v>
      </c>
      <c r="D1135" s="173" t="s">
        <v>6868</v>
      </c>
      <c r="E1135" s="173" t="s">
        <v>1980</v>
      </c>
      <c r="F1135" s="374">
        <f t="shared" si="467"/>
        <v>14.58</v>
      </c>
      <c r="G1135" s="431">
        <v>14.58</v>
      </c>
      <c r="H1135" s="400">
        <f t="shared" si="468"/>
        <v>11.66</v>
      </c>
      <c r="I1135" s="577"/>
      <c r="J1135" s="549" t="s">
        <v>5804</v>
      </c>
      <c r="K1135" s="11"/>
      <c r="M1135" s="37">
        <f t="shared" si="469"/>
        <v>14.58</v>
      </c>
      <c r="N1135" s="29">
        <v>11.67</v>
      </c>
      <c r="O1135" s="41"/>
      <c r="P1135" s="11"/>
      <c r="S1135" t="s">
        <v>4179</v>
      </c>
      <c r="T1135" t="s">
        <v>1017</v>
      </c>
      <c r="U1135" s="42"/>
      <c r="W1135" s="50"/>
      <c r="X1135" s="50"/>
      <c r="AA1135" s="50"/>
      <c r="AD1135" s="50"/>
      <c r="AE1135" s="75"/>
      <c r="AF1135" s="50"/>
      <c r="AG1135" s="50"/>
      <c r="AH1135" s="171" t="s">
        <v>4178</v>
      </c>
      <c r="AI1135" s="168" t="str">
        <f t="shared" si="462"/>
        <v/>
      </c>
      <c r="AJ1135" s="168" t="str">
        <f t="shared" si="463"/>
        <v/>
      </c>
      <c r="AK1135" s="168" t="str">
        <f t="shared" si="464"/>
        <v/>
      </c>
      <c r="AL1135" s="168" t="str">
        <f t="shared" si="465"/>
        <v/>
      </c>
      <c r="AM1135" s="168" t="str">
        <f t="shared" si="466"/>
        <v/>
      </c>
      <c r="AN1135" s="167" t="str">
        <f t="shared" si="449"/>
        <v>2012</v>
      </c>
      <c r="AO1135" s="167" t="str">
        <f t="shared" si="450"/>
        <v>2012</v>
      </c>
      <c r="AP1135" s="167" t="str">
        <f t="shared" si="451"/>
        <v>2012</v>
      </c>
      <c r="AQ1135" s="169" t="str">
        <f t="shared" si="452"/>
        <v/>
      </c>
      <c r="AR1135" s="170" t="str">
        <f t="shared" si="453"/>
        <v>BiK81K12----06</v>
      </c>
      <c r="AS1135" s="169" t="str">
        <f t="shared" si="454"/>
        <v/>
      </c>
      <c r="AT1135">
        <f t="shared" si="455"/>
        <v>14</v>
      </c>
      <c r="AU1135" s="170" t="str">
        <f t="shared" si="456"/>
        <v>0-0,15 MW, Bonusregel K erstmals 2012</v>
      </c>
      <c r="AV1135" s="169" t="str">
        <f t="shared" si="457"/>
        <v/>
      </c>
      <c r="AW1135" s="170" t="str">
        <f t="shared" si="458"/>
        <v>Anteil KWK, erstmals 2012</v>
      </c>
      <c r="AX1135" s="169" t="str">
        <f t="shared" si="459"/>
        <v/>
      </c>
      <c r="AY1135" t="str">
        <f t="shared" si="460"/>
        <v/>
      </c>
      <c r="AZ1135" t="str">
        <f t="shared" si="461"/>
        <v>x</v>
      </c>
    </row>
    <row r="1136" spans="1:52" x14ac:dyDescent="0.35">
      <c r="A1136" s="497" t="s">
        <v>4018</v>
      </c>
      <c r="B1136" s="13" t="s">
        <v>5547</v>
      </c>
      <c r="C1136" s="13" t="s">
        <v>1296</v>
      </c>
      <c r="D1136" s="17" t="s">
        <v>6869</v>
      </c>
      <c r="E1136" s="13" t="s">
        <v>4809</v>
      </c>
      <c r="F1136" s="373">
        <f t="shared" si="467"/>
        <v>12.67</v>
      </c>
      <c r="G1136" s="430">
        <v>12.67</v>
      </c>
      <c r="H1136" s="399">
        <f t="shared" si="468"/>
        <v>10.14</v>
      </c>
      <c r="I1136" s="576"/>
      <c r="J1136" s="549" t="s">
        <v>5804</v>
      </c>
      <c r="K1136" s="11"/>
      <c r="M1136" s="37">
        <f t="shared" si="469"/>
        <v>12.67</v>
      </c>
      <c r="N1136" s="29">
        <v>11.67</v>
      </c>
      <c r="O1136" s="41"/>
      <c r="P1136" s="11"/>
      <c r="S1136" t="s">
        <v>4179</v>
      </c>
      <c r="T1136" t="s">
        <v>4179</v>
      </c>
      <c r="U1136" s="42" t="s">
        <v>1017</v>
      </c>
      <c r="W1136" s="50"/>
      <c r="X1136" s="50"/>
      <c r="AA1136" s="50"/>
      <c r="AD1136" s="50"/>
      <c r="AE1136" s="75"/>
      <c r="AF1136" s="50"/>
      <c r="AG1136" s="50"/>
      <c r="AH1136" s="166" t="str">
        <f t="shared" ref="AH1136:AH1141" si="470">IF(ISERROR(SEARCH("K erstmals 201",D1136)),"",RIGHT(D1136,4))</f>
        <v/>
      </c>
      <c r="AI1136" s="168" t="str">
        <f t="shared" si="462"/>
        <v/>
      </c>
      <c r="AJ1136" s="168" t="str">
        <f t="shared" si="463"/>
        <v/>
      </c>
      <c r="AK1136" s="168" t="str">
        <f t="shared" si="464"/>
        <v/>
      </c>
      <c r="AL1136" s="168" t="str">
        <f t="shared" si="465"/>
        <v/>
      </c>
      <c r="AM1136" s="168" t="str">
        <f t="shared" si="466"/>
        <v/>
      </c>
      <c r="AN1136" s="167" t="str">
        <f t="shared" si="449"/>
        <v/>
      </c>
      <c r="AO1136" s="167" t="str">
        <f t="shared" si="450"/>
        <v/>
      </c>
      <c r="AP1136" s="167" t="str">
        <f t="shared" si="451"/>
        <v/>
      </c>
      <c r="AQ1136" s="169" t="str">
        <f t="shared" si="452"/>
        <v/>
      </c>
      <c r="AR1136" s="170" t="str">
        <f t="shared" si="453"/>
        <v>BiK81y------06</v>
      </c>
      <c r="AS1136" s="169" t="str">
        <f t="shared" si="454"/>
        <v/>
      </c>
      <c r="AT1136">
        <f t="shared" si="455"/>
        <v>14</v>
      </c>
      <c r="AU1136" s="170" t="str">
        <f t="shared" si="456"/>
        <v>0-0,15 MW, Bonusregel y</v>
      </c>
      <c r="AV1136" s="169" t="str">
        <f t="shared" si="457"/>
        <v/>
      </c>
      <c r="AW1136" s="170" t="str">
        <f t="shared" si="458"/>
        <v>Anteil Nicht-KWK</v>
      </c>
      <c r="AX1136" s="169" t="str">
        <f t="shared" si="459"/>
        <v/>
      </c>
      <c r="AY1136" t="str">
        <f t="shared" si="460"/>
        <v/>
      </c>
      <c r="AZ1136" t="str">
        <f t="shared" si="461"/>
        <v/>
      </c>
    </row>
    <row r="1137" spans="1:52" x14ac:dyDescent="0.35">
      <c r="A1137" s="497" t="s">
        <v>4019</v>
      </c>
      <c r="B1137" s="13" t="s">
        <v>5547</v>
      </c>
      <c r="C1137" s="13" t="s">
        <v>1296</v>
      </c>
      <c r="D1137" s="17" t="s">
        <v>6870</v>
      </c>
      <c r="E1137" s="13" t="s">
        <v>4811</v>
      </c>
      <c r="F1137" s="373">
        <f t="shared" si="467"/>
        <v>14.67</v>
      </c>
      <c r="G1137" s="430">
        <v>14.67</v>
      </c>
      <c r="H1137" s="399">
        <f t="shared" si="468"/>
        <v>11.74</v>
      </c>
      <c r="I1137" s="576"/>
      <c r="J1137" s="549" t="s">
        <v>5804</v>
      </c>
      <c r="K1137" s="11"/>
      <c r="M1137" s="37">
        <f t="shared" si="469"/>
        <v>14.67</v>
      </c>
      <c r="N1137" s="29">
        <v>11.67</v>
      </c>
      <c r="O1137" s="41" t="s">
        <v>1017</v>
      </c>
      <c r="P1137" s="11"/>
      <c r="S1137" t="s">
        <v>4179</v>
      </c>
      <c r="T1137" t="s">
        <v>4179</v>
      </c>
      <c r="U1137" s="42" t="s">
        <v>1017</v>
      </c>
      <c r="W1137" s="50"/>
      <c r="X1137" s="50"/>
      <c r="AA1137" s="50"/>
      <c r="AD1137" s="50"/>
      <c r="AE1137" s="75"/>
      <c r="AF1137" s="50"/>
      <c r="AG1137" s="50"/>
      <c r="AH1137" s="166" t="str">
        <f t="shared" si="470"/>
        <v/>
      </c>
      <c r="AI1137" s="168" t="str">
        <f t="shared" si="462"/>
        <v/>
      </c>
      <c r="AJ1137" s="168" t="str">
        <f t="shared" si="463"/>
        <v/>
      </c>
      <c r="AK1137" s="168" t="str">
        <f t="shared" si="464"/>
        <v/>
      </c>
      <c r="AL1137" s="168" t="str">
        <f t="shared" si="465"/>
        <v/>
      </c>
      <c r="AM1137" s="168" t="str">
        <f t="shared" si="466"/>
        <v/>
      </c>
      <c r="AN1137" s="167" t="str">
        <f t="shared" si="449"/>
        <v/>
      </c>
      <c r="AO1137" s="167" t="str">
        <f t="shared" si="450"/>
        <v/>
      </c>
      <c r="AP1137" s="167" t="str">
        <f t="shared" si="451"/>
        <v/>
      </c>
      <c r="AQ1137" s="169" t="str">
        <f t="shared" si="452"/>
        <v/>
      </c>
      <c r="AR1137" s="170" t="str">
        <f t="shared" si="453"/>
        <v>BiK81KWKy---06</v>
      </c>
      <c r="AS1137" s="169" t="str">
        <f t="shared" si="454"/>
        <v/>
      </c>
      <c r="AT1137">
        <f t="shared" si="455"/>
        <v>14</v>
      </c>
      <c r="AU1137" s="170" t="str">
        <f t="shared" si="456"/>
        <v>0-0,15 MW, Bonusregeln y und KWK</v>
      </c>
      <c r="AV1137" s="169" t="str">
        <f t="shared" si="457"/>
        <v/>
      </c>
      <c r="AW1137" s="170" t="str">
        <f t="shared" si="458"/>
        <v>Anteil KWK</v>
      </c>
      <c r="AX1137" s="169" t="str">
        <f t="shared" si="459"/>
        <v/>
      </c>
      <c r="AY1137" t="str">
        <f t="shared" si="460"/>
        <v/>
      </c>
      <c r="AZ1137" t="str">
        <f t="shared" si="461"/>
        <v/>
      </c>
    </row>
    <row r="1138" spans="1:52" x14ac:dyDescent="0.35">
      <c r="A1138" s="497" t="s">
        <v>4020</v>
      </c>
      <c r="B1138" s="13" t="s">
        <v>5547</v>
      </c>
      <c r="C1138" s="13" t="s">
        <v>1296</v>
      </c>
      <c r="D1138" s="13" t="s">
        <v>6871</v>
      </c>
      <c r="E1138" s="13" t="s">
        <v>4330</v>
      </c>
      <c r="F1138" s="373">
        <f t="shared" si="467"/>
        <v>15.67</v>
      </c>
      <c r="G1138" s="430">
        <v>15.67</v>
      </c>
      <c r="H1138" s="399">
        <f t="shared" si="468"/>
        <v>12.54</v>
      </c>
      <c r="I1138" s="576"/>
      <c r="J1138" s="549" t="s">
        <v>5804</v>
      </c>
      <c r="K1138" s="11"/>
      <c r="M1138" s="37">
        <f t="shared" si="469"/>
        <v>15.67</v>
      </c>
      <c r="N1138" s="29">
        <v>11.67</v>
      </c>
      <c r="O1138" s="41"/>
      <c r="P1138" t="s">
        <v>1017</v>
      </c>
      <c r="S1138" t="s">
        <v>4179</v>
      </c>
      <c r="T1138" t="s">
        <v>4179</v>
      </c>
      <c r="U1138" s="42" t="s">
        <v>1017</v>
      </c>
      <c r="W1138" s="50"/>
      <c r="X1138" s="50"/>
      <c r="AA1138" s="50"/>
      <c r="AD1138" s="50"/>
      <c r="AE1138" s="75"/>
      <c r="AF1138" s="50"/>
      <c r="AG1138" s="50"/>
      <c r="AH1138" s="166" t="str">
        <f t="shared" si="470"/>
        <v/>
      </c>
      <c r="AI1138" s="168" t="str">
        <f t="shared" si="462"/>
        <v/>
      </c>
      <c r="AJ1138" s="168" t="str">
        <f t="shared" si="463"/>
        <v/>
      </c>
      <c r="AK1138" s="168" t="str">
        <f t="shared" si="464"/>
        <v/>
      </c>
      <c r="AL1138" s="168" t="str">
        <f t="shared" si="465"/>
        <v/>
      </c>
      <c r="AM1138" s="168" t="str">
        <f t="shared" si="466"/>
        <v/>
      </c>
      <c r="AN1138" s="167" t="str">
        <f t="shared" si="449"/>
        <v/>
      </c>
      <c r="AO1138" s="167" t="str">
        <f t="shared" si="450"/>
        <v/>
      </c>
      <c r="AP1138" s="167" t="str">
        <f t="shared" si="451"/>
        <v/>
      </c>
      <c r="AQ1138" s="169" t="str">
        <f t="shared" si="452"/>
        <v/>
      </c>
      <c r="AR1138" s="170" t="str">
        <f t="shared" si="453"/>
        <v>BiK81KA3y---06</v>
      </c>
      <c r="AS1138" s="169" t="str">
        <f t="shared" si="454"/>
        <v/>
      </c>
      <c r="AT1138">
        <f t="shared" si="455"/>
        <v>14</v>
      </c>
      <c r="AU1138" s="170" t="str">
        <f t="shared" si="456"/>
        <v>0-0,15 MW, Bonusregeln y und K wenn Anlage 3 erfüllt</v>
      </c>
      <c r="AV1138" s="169" t="str">
        <f t="shared" si="457"/>
        <v/>
      </c>
      <c r="AW1138" s="170" t="str">
        <f t="shared" si="458"/>
        <v>Anteil KWK gemäß Anlage 3</v>
      </c>
      <c r="AX1138" s="169" t="str">
        <f t="shared" si="459"/>
        <v/>
      </c>
      <c r="AY1138" t="str">
        <f t="shared" si="460"/>
        <v/>
      </c>
      <c r="AZ1138" t="str">
        <f t="shared" si="461"/>
        <v/>
      </c>
    </row>
    <row r="1139" spans="1:52" s="145" customFormat="1" x14ac:dyDescent="0.35">
      <c r="A1139" s="497" t="s">
        <v>4021</v>
      </c>
      <c r="B1139" s="13" t="s">
        <v>5547</v>
      </c>
      <c r="C1139" s="13" t="s">
        <v>1296</v>
      </c>
      <c r="D1139" s="13" t="s">
        <v>6872</v>
      </c>
      <c r="E1139" s="13" t="s">
        <v>674</v>
      </c>
      <c r="F1139" s="373">
        <f t="shared" si="467"/>
        <v>15.67</v>
      </c>
      <c r="G1139" s="430">
        <v>15.67</v>
      </c>
      <c r="H1139" s="399">
        <f t="shared" si="468"/>
        <v>12.54</v>
      </c>
      <c r="I1139" s="576"/>
      <c r="J1139" s="549" t="s">
        <v>5804</v>
      </c>
      <c r="K1139" s="11"/>
      <c r="L1139"/>
      <c r="M1139" s="37">
        <f t="shared" si="469"/>
        <v>15.67</v>
      </c>
      <c r="N1139" s="29">
        <v>11.67</v>
      </c>
      <c r="O1139" s="41"/>
      <c r="P1139" s="11"/>
      <c r="Q1139" t="s">
        <v>1017</v>
      </c>
      <c r="R1139"/>
      <c r="S1139" t="s">
        <v>4179</v>
      </c>
      <c r="T1139" s="145" t="s">
        <v>4179</v>
      </c>
      <c r="U1139" s="42" t="s">
        <v>1017</v>
      </c>
      <c r="V1139"/>
      <c r="W1139" s="50"/>
      <c r="X1139" s="50"/>
      <c r="Y1139"/>
      <c r="Z1139"/>
      <c r="AA1139" s="50"/>
      <c r="AB1139"/>
      <c r="AC1139"/>
      <c r="AD1139" s="50"/>
      <c r="AE1139" s="75"/>
      <c r="AF1139" s="50"/>
      <c r="AG1139" s="50"/>
      <c r="AH1139" s="166" t="str">
        <f t="shared" si="470"/>
        <v/>
      </c>
      <c r="AI1139" s="168" t="str">
        <f t="shared" si="462"/>
        <v/>
      </c>
      <c r="AJ1139" s="168" t="str">
        <f t="shared" si="463"/>
        <v/>
      </c>
      <c r="AK1139" s="168" t="str">
        <f t="shared" si="464"/>
        <v/>
      </c>
      <c r="AL1139" s="168" t="str">
        <f t="shared" si="465"/>
        <v/>
      </c>
      <c r="AM1139" s="168" t="str">
        <f t="shared" si="466"/>
        <v/>
      </c>
      <c r="AN1139" s="167" t="str">
        <f t="shared" si="449"/>
        <v/>
      </c>
      <c r="AO1139" s="167" t="str">
        <f t="shared" si="450"/>
        <v/>
      </c>
      <c r="AP1139" s="167" t="str">
        <f t="shared" si="451"/>
        <v/>
      </c>
      <c r="AQ1139" s="169" t="str">
        <f t="shared" si="452"/>
        <v/>
      </c>
      <c r="AR1139" s="170" t="str">
        <f t="shared" si="453"/>
        <v>BiK81K09y---06</v>
      </c>
      <c r="AS1139" s="169" t="str">
        <f t="shared" si="454"/>
        <v/>
      </c>
      <c r="AT1139">
        <f t="shared" si="455"/>
        <v>14</v>
      </c>
      <c r="AU1139" s="170" t="str">
        <f t="shared" si="456"/>
        <v>0-0,15 MW, Bonusregeln y und K erstmals 2009</v>
      </c>
      <c r="AV1139" s="169" t="str">
        <f t="shared" si="457"/>
        <v/>
      </c>
      <c r="AW1139" s="170" t="str">
        <f t="shared" si="458"/>
        <v>Anteil KWK, erstmals 2009</v>
      </c>
      <c r="AX1139" s="169" t="str">
        <f t="shared" si="459"/>
        <v/>
      </c>
      <c r="AY1139" t="str">
        <f t="shared" si="460"/>
        <v/>
      </c>
      <c r="AZ1139" t="str">
        <f t="shared" si="461"/>
        <v/>
      </c>
    </row>
    <row r="1140" spans="1:52" s="145" customFormat="1" x14ac:dyDescent="0.35">
      <c r="A1140" s="497" t="s">
        <v>4885</v>
      </c>
      <c r="B1140" s="13" t="s">
        <v>5547</v>
      </c>
      <c r="C1140" s="13" t="s">
        <v>1296</v>
      </c>
      <c r="D1140" s="13" t="s">
        <v>6873</v>
      </c>
      <c r="E1140" s="13" t="s">
        <v>3566</v>
      </c>
      <c r="F1140" s="373">
        <f t="shared" si="467"/>
        <v>15.64</v>
      </c>
      <c r="G1140" s="430">
        <v>15.64</v>
      </c>
      <c r="H1140" s="399">
        <f t="shared" si="468"/>
        <v>12.51</v>
      </c>
      <c r="I1140" s="576"/>
      <c r="J1140" s="549" t="s">
        <v>5804</v>
      </c>
      <c r="K1140" s="11"/>
      <c r="L1140"/>
      <c r="M1140" s="37">
        <f t="shared" si="469"/>
        <v>15.64</v>
      </c>
      <c r="N1140" s="29">
        <v>11.67</v>
      </c>
      <c r="O1140" s="41"/>
      <c r="P1140" s="11"/>
      <c r="Q1140"/>
      <c r="R1140" t="s">
        <v>1017</v>
      </c>
      <c r="S1140" t="s">
        <v>4179</v>
      </c>
      <c r="T1140" s="145" t="s">
        <v>4179</v>
      </c>
      <c r="U1140" s="42" t="s">
        <v>1017</v>
      </c>
      <c r="V1140"/>
      <c r="W1140" s="50"/>
      <c r="X1140" s="50"/>
      <c r="Y1140"/>
      <c r="Z1140"/>
      <c r="AA1140" s="50"/>
      <c r="AB1140"/>
      <c r="AC1140"/>
      <c r="AD1140" s="50"/>
      <c r="AE1140" s="75"/>
      <c r="AF1140" s="50"/>
      <c r="AG1140" s="50"/>
      <c r="AH1140" s="166" t="str">
        <f t="shared" si="470"/>
        <v>2010</v>
      </c>
      <c r="AI1140" s="168" t="str">
        <f t="shared" si="462"/>
        <v/>
      </c>
      <c r="AJ1140" s="168" t="str">
        <f t="shared" si="463"/>
        <v/>
      </c>
      <c r="AK1140" s="168" t="str">
        <f t="shared" si="464"/>
        <v/>
      </c>
      <c r="AL1140" s="168" t="str">
        <f t="shared" si="465"/>
        <v/>
      </c>
      <c r="AM1140" s="168" t="str">
        <f t="shared" si="466"/>
        <v/>
      </c>
      <c r="AN1140" s="167" t="str">
        <f t="shared" si="449"/>
        <v>2010</v>
      </c>
      <c r="AO1140" s="167" t="str">
        <f t="shared" si="450"/>
        <v>2010</v>
      </c>
      <c r="AP1140" s="167" t="str">
        <f t="shared" si="451"/>
        <v>2010</v>
      </c>
      <c r="AQ1140" s="169" t="str">
        <f t="shared" si="452"/>
        <v/>
      </c>
      <c r="AR1140" s="170" t="str">
        <f t="shared" si="453"/>
        <v>BiK81K10y---06</v>
      </c>
      <c r="AS1140" s="169" t="str">
        <f t="shared" si="454"/>
        <v/>
      </c>
      <c r="AT1140">
        <f t="shared" si="455"/>
        <v>14</v>
      </c>
      <c r="AU1140" s="170" t="str">
        <f t="shared" si="456"/>
        <v>0-0,15 MW, Bonusregeln y und K erstmals 2010</v>
      </c>
      <c r="AV1140" s="169" t="str">
        <f t="shared" si="457"/>
        <v/>
      </c>
      <c r="AW1140" s="170" t="str">
        <f t="shared" si="458"/>
        <v>Anteil KWK, erstmals 2010</v>
      </c>
      <c r="AX1140" s="169" t="str">
        <f t="shared" si="459"/>
        <v/>
      </c>
      <c r="AY1140" t="str">
        <f t="shared" si="460"/>
        <v/>
      </c>
      <c r="AZ1140" t="str">
        <f t="shared" si="461"/>
        <v/>
      </c>
    </row>
    <row r="1141" spans="1:52" s="145" customFormat="1" x14ac:dyDescent="0.35">
      <c r="A1141" s="497" t="s">
        <v>5354</v>
      </c>
      <c r="B1141" s="13" t="s">
        <v>5547</v>
      </c>
      <c r="C1141" s="13" t="s">
        <v>1296</v>
      </c>
      <c r="D1141" s="13" t="s">
        <v>6874</v>
      </c>
      <c r="E1141" s="13" t="s">
        <v>3054</v>
      </c>
      <c r="F1141" s="373">
        <f t="shared" si="467"/>
        <v>15.61</v>
      </c>
      <c r="G1141" s="430">
        <v>15.61</v>
      </c>
      <c r="H1141" s="399">
        <f t="shared" si="468"/>
        <v>12.49</v>
      </c>
      <c r="I1141" s="576"/>
      <c r="J1141" s="549" t="s">
        <v>5804</v>
      </c>
      <c r="K1141" s="11"/>
      <c r="L1141"/>
      <c r="M1141" s="37">
        <f t="shared" si="469"/>
        <v>15.61</v>
      </c>
      <c r="N1141" s="29">
        <v>11.67</v>
      </c>
      <c r="O1141" s="41"/>
      <c r="P1141" s="11"/>
      <c r="Q1141"/>
      <c r="R1141"/>
      <c r="S1141" t="s">
        <v>1017</v>
      </c>
      <c r="T1141" s="145" t="s">
        <v>4179</v>
      </c>
      <c r="U1141" s="42" t="s">
        <v>1017</v>
      </c>
      <c r="V1141"/>
      <c r="W1141" s="50"/>
      <c r="X1141" s="50"/>
      <c r="Y1141"/>
      <c r="Z1141"/>
      <c r="AA1141" s="50"/>
      <c r="AB1141"/>
      <c r="AC1141"/>
      <c r="AD1141" s="50"/>
      <c r="AE1141" s="75"/>
      <c r="AF1141" s="50"/>
      <c r="AG1141" s="50"/>
      <c r="AH1141" s="166" t="str">
        <f t="shared" si="470"/>
        <v>2011</v>
      </c>
      <c r="AI1141" s="168" t="str">
        <f t="shared" si="462"/>
        <v/>
      </c>
      <c r="AJ1141" s="168" t="str">
        <f t="shared" si="463"/>
        <v/>
      </c>
      <c r="AK1141" s="168" t="str">
        <f t="shared" si="464"/>
        <v/>
      </c>
      <c r="AL1141" s="168" t="str">
        <f t="shared" si="465"/>
        <v/>
      </c>
      <c r="AM1141" s="168" t="str">
        <f t="shared" si="466"/>
        <v/>
      </c>
      <c r="AN1141" s="167" t="str">
        <f t="shared" si="449"/>
        <v>2011</v>
      </c>
      <c r="AO1141" s="167" t="str">
        <f t="shared" si="450"/>
        <v>2011</v>
      </c>
      <c r="AP1141" s="167" t="str">
        <f t="shared" si="451"/>
        <v>2011</v>
      </c>
      <c r="AQ1141" s="169" t="str">
        <f t="shared" si="452"/>
        <v/>
      </c>
      <c r="AR1141" s="170" t="str">
        <f t="shared" si="453"/>
        <v>BiK81K11y---06</v>
      </c>
      <c r="AS1141" s="169" t="str">
        <f t="shared" si="454"/>
        <v/>
      </c>
      <c r="AT1141">
        <f t="shared" si="455"/>
        <v>14</v>
      </c>
      <c r="AU1141" s="170" t="str">
        <f t="shared" si="456"/>
        <v>0-0,15 MW, Bonusregeln y und K erstmals 2011</v>
      </c>
      <c r="AV1141" s="169" t="str">
        <f t="shared" si="457"/>
        <v/>
      </c>
      <c r="AW1141" s="170" t="str">
        <f t="shared" si="458"/>
        <v>Anteil KWK, erstmals 2011</v>
      </c>
      <c r="AX1141" s="169" t="str">
        <f t="shared" si="459"/>
        <v/>
      </c>
      <c r="AY1141" t="str">
        <f t="shared" si="460"/>
        <v>x</v>
      </c>
      <c r="AZ1141" t="str">
        <f t="shared" si="461"/>
        <v/>
      </c>
    </row>
    <row r="1142" spans="1:52" s="145" customFormat="1" x14ac:dyDescent="0.35">
      <c r="A1142" s="511" t="s">
        <v>1605</v>
      </c>
      <c r="B1142" s="173" t="s">
        <v>5547</v>
      </c>
      <c r="C1142" s="173" t="s">
        <v>1296</v>
      </c>
      <c r="D1142" s="173" t="s">
        <v>6875</v>
      </c>
      <c r="E1142" s="173" t="s">
        <v>1980</v>
      </c>
      <c r="F1142" s="374">
        <f t="shared" si="467"/>
        <v>15.58</v>
      </c>
      <c r="G1142" s="431">
        <v>15.58</v>
      </c>
      <c r="H1142" s="400">
        <f t="shared" si="468"/>
        <v>12.46</v>
      </c>
      <c r="I1142" s="577"/>
      <c r="J1142" s="549" t="s">
        <v>5804</v>
      </c>
      <c r="K1142" s="11"/>
      <c r="L1142"/>
      <c r="M1142" s="37">
        <f t="shared" si="469"/>
        <v>15.58</v>
      </c>
      <c r="N1142" s="29">
        <v>11.67</v>
      </c>
      <c r="O1142" s="41"/>
      <c r="P1142" s="11"/>
      <c r="Q1142"/>
      <c r="R1142"/>
      <c r="S1142" t="s">
        <v>4179</v>
      </c>
      <c r="T1142" s="145" t="s">
        <v>1017</v>
      </c>
      <c r="U1142" s="42" t="s">
        <v>1017</v>
      </c>
      <c r="V1142"/>
      <c r="W1142" s="50"/>
      <c r="X1142" s="50"/>
      <c r="Y1142"/>
      <c r="Z1142"/>
      <c r="AA1142" s="50"/>
      <c r="AB1142"/>
      <c r="AC1142"/>
      <c r="AD1142" s="50"/>
      <c r="AE1142" s="75"/>
      <c r="AF1142" s="50"/>
      <c r="AG1142" s="50"/>
      <c r="AH1142" s="171" t="s">
        <v>4178</v>
      </c>
      <c r="AI1142" s="168" t="str">
        <f t="shared" si="462"/>
        <v/>
      </c>
      <c r="AJ1142" s="168" t="str">
        <f t="shared" si="463"/>
        <v/>
      </c>
      <c r="AK1142" s="168" t="str">
        <f t="shared" si="464"/>
        <v/>
      </c>
      <c r="AL1142" s="168" t="str">
        <f t="shared" si="465"/>
        <v/>
      </c>
      <c r="AM1142" s="168" t="str">
        <f t="shared" si="466"/>
        <v/>
      </c>
      <c r="AN1142" s="167" t="str">
        <f t="shared" si="449"/>
        <v>2012</v>
      </c>
      <c r="AO1142" s="167" t="str">
        <f t="shared" si="450"/>
        <v>2012</v>
      </c>
      <c r="AP1142" s="167" t="str">
        <f t="shared" si="451"/>
        <v>2012</v>
      </c>
      <c r="AQ1142" s="169" t="str">
        <f t="shared" si="452"/>
        <v/>
      </c>
      <c r="AR1142" s="170" t="str">
        <f t="shared" si="453"/>
        <v>BiK81K12y---06</v>
      </c>
      <c r="AS1142" s="169" t="str">
        <f t="shared" si="454"/>
        <v/>
      </c>
      <c r="AT1142">
        <f t="shared" si="455"/>
        <v>14</v>
      </c>
      <c r="AU1142" s="170" t="str">
        <f t="shared" si="456"/>
        <v>0-0,15 MW, Bonusregeln y und K erstmals 2012</v>
      </c>
      <c r="AV1142" s="169" t="str">
        <f t="shared" si="457"/>
        <v/>
      </c>
      <c r="AW1142" s="170" t="str">
        <f t="shared" si="458"/>
        <v>Anteil KWK, erstmals 2012</v>
      </c>
      <c r="AX1142" s="169" t="str">
        <f t="shared" si="459"/>
        <v/>
      </c>
      <c r="AY1142" t="str">
        <f t="shared" si="460"/>
        <v/>
      </c>
      <c r="AZ1142" t="str">
        <f t="shared" si="461"/>
        <v>x</v>
      </c>
    </row>
    <row r="1143" spans="1:52" s="145" customFormat="1" x14ac:dyDescent="0.35">
      <c r="A1143" s="505" t="s">
        <v>876</v>
      </c>
      <c r="B1143" s="23" t="s">
        <v>5547</v>
      </c>
      <c r="C1143" s="23" t="s">
        <v>1296</v>
      </c>
      <c r="D1143" s="23" t="s">
        <v>6876</v>
      </c>
      <c r="E1143" s="23" t="s">
        <v>4809</v>
      </c>
      <c r="F1143" s="378">
        <f t="shared" si="467"/>
        <v>17.670000000000002</v>
      </c>
      <c r="G1143" s="434">
        <v>17.670000000000002</v>
      </c>
      <c r="H1143" s="403">
        <f t="shared" si="468"/>
        <v>14.14</v>
      </c>
      <c r="I1143" s="581"/>
      <c r="J1143" s="549" t="s">
        <v>5804</v>
      </c>
      <c r="K1143" s="11"/>
      <c r="L1143"/>
      <c r="M1143" s="37">
        <f t="shared" si="469"/>
        <v>17.670000000000002</v>
      </c>
      <c r="N1143" s="29">
        <v>11.67</v>
      </c>
      <c r="O1143" s="41"/>
      <c r="P1143" s="11"/>
      <c r="Q1143"/>
      <c r="R1143"/>
      <c r="S1143" t="s">
        <v>4179</v>
      </c>
      <c r="T1143" s="145" t="s">
        <v>4179</v>
      </c>
      <c r="U1143" s="42"/>
      <c r="V1143" t="s">
        <v>1017</v>
      </c>
      <c r="W1143" s="50"/>
      <c r="X1143" s="50"/>
      <c r="Y1143"/>
      <c r="Z1143"/>
      <c r="AA1143" s="50"/>
      <c r="AB1143"/>
      <c r="AC1143"/>
      <c r="AD1143" s="50"/>
      <c r="AE1143" s="75"/>
      <c r="AF1143" s="50"/>
      <c r="AG1143" s="50"/>
      <c r="AH1143" s="166" t="str">
        <f t="shared" ref="AH1143:AH1148" si="471">IF(ISERROR(SEARCH("K erstmals 201",D1143)),"",RIGHT(D1143,4))</f>
        <v/>
      </c>
      <c r="AI1143" s="168" t="str">
        <f t="shared" si="462"/>
        <v/>
      </c>
      <c r="AJ1143" s="168" t="str">
        <f t="shared" si="463"/>
        <v/>
      </c>
      <c r="AK1143" s="168" t="str">
        <f t="shared" si="464"/>
        <v/>
      </c>
      <c r="AL1143" s="168" t="str">
        <f t="shared" si="465"/>
        <v/>
      </c>
      <c r="AM1143" s="168" t="str">
        <f t="shared" si="466"/>
        <v/>
      </c>
      <c r="AN1143" s="167" t="str">
        <f t="shared" si="449"/>
        <v/>
      </c>
      <c r="AO1143" s="167" t="str">
        <f t="shared" si="450"/>
        <v/>
      </c>
      <c r="AP1143" s="167" t="str">
        <f t="shared" si="451"/>
        <v/>
      </c>
      <c r="AQ1143" s="169" t="str">
        <f t="shared" si="452"/>
        <v/>
      </c>
      <c r="AR1143" s="170" t="str">
        <f t="shared" si="453"/>
        <v>BiK81a1-----06</v>
      </c>
      <c r="AS1143" s="169" t="str">
        <f t="shared" si="454"/>
        <v/>
      </c>
      <c r="AT1143">
        <f t="shared" si="455"/>
        <v>14</v>
      </c>
      <c r="AU1143" s="170" t="str">
        <f t="shared" si="456"/>
        <v>0-0,15 MW, Bonusregel a1</v>
      </c>
      <c r="AV1143" s="169" t="str">
        <f t="shared" si="457"/>
        <v/>
      </c>
      <c r="AW1143" s="170" t="str">
        <f t="shared" si="458"/>
        <v>Anteil Nicht-KWK</v>
      </c>
      <c r="AX1143" s="169" t="str">
        <f t="shared" si="459"/>
        <v/>
      </c>
      <c r="AY1143" t="str">
        <f t="shared" si="460"/>
        <v/>
      </c>
      <c r="AZ1143" t="str">
        <f t="shared" si="461"/>
        <v/>
      </c>
    </row>
    <row r="1144" spans="1:52" s="145" customFormat="1" x14ac:dyDescent="0.35">
      <c r="A1144" s="505" t="s">
        <v>877</v>
      </c>
      <c r="B1144" s="23" t="s">
        <v>5547</v>
      </c>
      <c r="C1144" s="23" t="s">
        <v>1296</v>
      </c>
      <c r="D1144" s="23" t="s">
        <v>6877</v>
      </c>
      <c r="E1144" s="23" t="s">
        <v>4811</v>
      </c>
      <c r="F1144" s="378">
        <f t="shared" si="467"/>
        <v>19.670000000000002</v>
      </c>
      <c r="G1144" s="434">
        <v>19.670000000000002</v>
      </c>
      <c r="H1144" s="403">
        <f t="shared" si="468"/>
        <v>15.74</v>
      </c>
      <c r="I1144" s="581"/>
      <c r="J1144" s="549" t="s">
        <v>5804</v>
      </c>
      <c r="K1144" s="11"/>
      <c r="L1144"/>
      <c r="M1144" s="37">
        <f t="shared" si="469"/>
        <v>19.670000000000002</v>
      </c>
      <c r="N1144" s="29">
        <v>11.67</v>
      </c>
      <c r="O1144" s="41" t="s">
        <v>1017</v>
      </c>
      <c r="P1144" s="11"/>
      <c r="Q1144"/>
      <c r="R1144"/>
      <c r="S1144" t="s">
        <v>4179</v>
      </c>
      <c r="T1144" s="145" t="s">
        <v>4179</v>
      </c>
      <c r="U1144" s="42"/>
      <c r="V1144" t="s">
        <v>1017</v>
      </c>
      <c r="W1144" s="50"/>
      <c r="X1144" s="50"/>
      <c r="Y1144"/>
      <c r="Z1144"/>
      <c r="AA1144" s="50"/>
      <c r="AB1144"/>
      <c r="AC1144"/>
      <c r="AD1144" s="50"/>
      <c r="AE1144" s="75"/>
      <c r="AF1144" s="50"/>
      <c r="AG1144" s="50"/>
      <c r="AH1144" s="166" t="str">
        <f t="shared" si="471"/>
        <v/>
      </c>
      <c r="AI1144" s="168" t="str">
        <f t="shared" si="462"/>
        <v/>
      </c>
      <c r="AJ1144" s="168" t="str">
        <f t="shared" si="463"/>
        <v/>
      </c>
      <c r="AK1144" s="168" t="str">
        <f t="shared" si="464"/>
        <v/>
      </c>
      <c r="AL1144" s="168" t="str">
        <f t="shared" si="465"/>
        <v/>
      </c>
      <c r="AM1144" s="168" t="str">
        <f t="shared" si="466"/>
        <v/>
      </c>
      <c r="AN1144" s="167" t="str">
        <f t="shared" si="449"/>
        <v/>
      </c>
      <c r="AO1144" s="167" t="str">
        <f t="shared" si="450"/>
        <v/>
      </c>
      <c r="AP1144" s="167" t="str">
        <f t="shared" si="451"/>
        <v/>
      </c>
      <c r="AQ1144" s="169" t="str">
        <f t="shared" si="452"/>
        <v/>
      </c>
      <c r="AR1144" s="170" t="str">
        <f t="shared" si="453"/>
        <v>BiK81a1KWK--06</v>
      </c>
      <c r="AS1144" s="169" t="str">
        <f t="shared" si="454"/>
        <v/>
      </c>
      <c r="AT1144">
        <f t="shared" si="455"/>
        <v>14</v>
      </c>
      <c r="AU1144" s="170" t="str">
        <f t="shared" si="456"/>
        <v>0-0,15 MW, Bonusregeln a1 und KWK</v>
      </c>
      <c r="AV1144" s="169" t="str">
        <f t="shared" si="457"/>
        <v/>
      </c>
      <c r="AW1144" s="170" t="str">
        <f t="shared" si="458"/>
        <v>Anteil KWK</v>
      </c>
      <c r="AX1144" s="169" t="str">
        <f t="shared" si="459"/>
        <v/>
      </c>
      <c r="AY1144" t="str">
        <f t="shared" si="460"/>
        <v/>
      </c>
      <c r="AZ1144" t="str">
        <f t="shared" si="461"/>
        <v/>
      </c>
    </row>
    <row r="1145" spans="1:52" s="145" customFormat="1" x14ac:dyDescent="0.35">
      <c r="A1145" s="497" t="s">
        <v>4350</v>
      </c>
      <c r="B1145" s="13" t="s">
        <v>5547</v>
      </c>
      <c r="C1145" s="13" t="s">
        <v>1296</v>
      </c>
      <c r="D1145" s="13" t="s">
        <v>6878</v>
      </c>
      <c r="E1145" s="13" t="s">
        <v>4330</v>
      </c>
      <c r="F1145" s="373">
        <f t="shared" si="467"/>
        <v>20.67</v>
      </c>
      <c r="G1145" s="430">
        <v>20.67</v>
      </c>
      <c r="H1145" s="399">
        <f t="shared" si="468"/>
        <v>16.54</v>
      </c>
      <c r="I1145" s="576"/>
      <c r="J1145" s="549" t="s">
        <v>5804</v>
      </c>
      <c r="K1145" s="11"/>
      <c r="L1145"/>
      <c r="M1145" s="37">
        <f t="shared" si="469"/>
        <v>20.67</v>
      </c>
      <c r="N1145" s="29">
        <v>11.67</v>
      </c>
      <c r="O1145" s="41"/>
      <c r="P1145" t="s">
        <v>1017</v>
      </c>
      <c r="Q1145"/>
      <c r="R1145"/>
      <c r="S1145" t="s">
        <v>4179</v>
      </c>
      <c r="T1145" s="145" t="s">
        <v>4179</v>
      </c>
      <c r="U1145" s="42"/>
      <c r="V1145" t="s">
        <v>1017</v>
      </c>
      <c r="W1145" s="50"/>
      <c r="X1145" s="50"/>
      <c r="Y1145"/>
      <c r="Z1145"/>
      <c r="AA1145" s="50"/>
      <c r="AB1145"/>
      <c r="AC1145"/>
      <c r="AD1145" s="50"/>
      <c r="AE1145" s="75"/>
      <c r="AF1145" s="50"/>
      <c r="AG1145" s="50"/>
      <c r="AH1145" s="166" t="str">
        <f t="shared" si="471"/>
        <v/>
      </c>
      <c r="AI1145" s="168" t="str">
        <f t="shared" si="462"/>
        <v/>
      </c>
      <c r="AJ1145" s="168" t="str">
        <f t="shared" si="463"/>
        <v/>
      </c>
      <c r="AK1145" s="168" t="str">
        <f t="shared" si="464"/>
        <v/>
      </c>
      <c r="AL1145" s="168" t="str">
        <f t="shared" si="465"/>
        <v/>
      </c>
      <c r="AM1145" s="168" t="str">
        <f t="shared" si="466"/>
        <v/>
      </c>
      <c r="AN1145" s="167" t="str">
        <f t="shared" si="449"/>
        <v/>
      </c>
      <c r="AO1145" s="167" t="str">
        <f t="shared" si="450"/>
        <v/>
      </c>
      <c r="AP1145" s="167" t="str">
        <f t="shared" si="451"/>
        <v/>
      </c>
      <c r="AQ1145" s="169" t="str">
        <f t="shared" si="452"/>
        <v/>
      </c>
      <c r="AR1145" s="170" t="str">
        <f t="shared" si="453"/>
        <v>BiK81a1KA3--06</v>
      </c>
      <c r="AS1145" s="169" t="str">
        <f t="shared" si="454"/>
        <v/>
      </c>
      <c r="AT1145">
        <f t="shared" si="455"/>
        <v>14</v>
      </c>
      <c r="AU1145" s="170" t="str">
        <f t="shared" si="456"/>
        <v>0-0,15 MW, Bonusregeln a1 und K wenn Anlage 3 erfüllt</v>
      </c>
      <c r="AV1145" s="169" t="str">
        <f t="shared" si="457"/>
        <v/>
      </c>
      <c r="AW1145" s="170" t="str">
        <f t="shared" si="458"/>
        <v>Anteil KWK gemäß Anlage 3</v>
      </c>
      <c r="AX1145" s="169" t="str">
        <f t="shared" si="459"/>
        <v/>
      </c>
      <c r="AY1145" t="str">
        <f t="shared" si="460"/>
        <v/>
      </c>
      <c r="AZ1145" t="str">
        <f t="shared" si="461"/>
        <v/>
      </c>
    </row>
    <row r="1146" spans="1:52" s="145" customFormat="1" x14ac:dyDescent="0.35">
      <c r="A1146" s="497" t="s">
        <v>2360</v>
      </c>
      <c r="B1146" s="13" t="s">
        <v>5547</v>
      </c>
      <c r="C1146" s="13" t="s">
        <v>1296</v>
      </c>
      <c r="D1146" s="13" t="s">
        <v>6990</v>
      </c>
      <c r="E1146" s="13" t="s">
        <v>674</v>
      </c>
      <c r="F1146" s="373">
        <f t="shared" si="467"/>
        <v>20.67</v>
      </c>
      <c r="G1146" s="430">
        <v>20.67</v>
      </c>
      <c r="H1146" s="399">
        <f t="shared" si="468"/>
        <v>16.54</v>
      </c>
      <c r="I1146" s="576"/>
      <c r="J1146" s="549" t="s">
        <v>5804</v>
      </c>
      <c r="K1146" s="11"/>
      <c r="L1146"/>
      <c r="M1146" s="37">
        <f t="shared" si="469"/>
        <v>20.67</v>
      </c>
      <c r="N1146" s="29">
        <v>11.67</v>
      </c>
      <c r="O1146" s="41"/>
      <c r="P1146" s="11"/>
      <c r="Q1146" t="s">
        <v>1017</v>
      </c>
      <c r="R1146"/>
      <c r="S1146" t="s">
        <v>4179</v>
      </c>
      <c r="T1146" s="145" t="s">
        <v>4179</v>
      </c>
      <c r="U1146" s="42"/>
      <c r="V1146" t="s">
        <v>1017</v>
      </c>
      <c r="W1146" s="50"/>
      <c r="X1146" s="50"/>
      <c r="Y1146"/>
      <c r="Z1146"/>
      <c r="AA1146" s="50"/>
      <c r="AB1146"/>
      <c r="AC1146"/>
      <c r="AD1146" s="50"/>
      <c r="AE1146" s="75"/>
      <c r="AF1146" s="50"/>
      <c r="AG1146" s="50"/>
      <c r="AH1146" s="166" t="str">
        <f t="shared" si="471"/>
        <v/>
      </c>
      <c r="AI1146" s="168" t="str">
        <f t="shared" si="462"/>
        <v/>
      </c>
      <c r="AJ1146" s="168" t="str">
        <f t="shared" si="463"/>
        <v/>
      </c>
      <c r="AK1146" s="168" t="str">
        <f t="shared" si="464"/>
        <v/>
      </c>
      <c r="AL1146" s="168" t="str">
        <f t="shared" si="465"/>
        <v/>
      </c>
      <c r="AM1146" s="168" t="str">
        <f t="shared" si="466"/>
        <v/>
      </c>
      <c r="AN1146" s="167" t="str">
        <f t="shared" si="449"/>
        <v/>
      </c>
      <c r="AO1146" s="167" t="str">
        <f t="shared" si="450"/>
        <v/>
      </c>
      <c r="AP1146" s="167" t="str">
        <f t="shared" si="451"/>
        <v/>
      </c>
      <c r="AQ1146" s="169" t="str">
        <f t="shared" si="452"/>
        <v/>
      </c>
      <c r="AR1146" s="170" t="str">
        <f t="shared" si="453"/>
        <v>BiK81a1K09--06</v>
      </c>
      <c r="AS1146" s="169" t="str">
        <f t="shared" si="454"/>
        <v/>
      </c>
      <c r="AT1146">
        <f t="shared" si="455"/>
        <v>14</v>
      </c>
      <c r="AU1146" s="170" t="str">
        <f t="shared" si="456"/>
        <v>0-0,15 MW, Bonusregeln a1 und K erstmals 2009</v>
      </c>
      <c r="AV1146" s="169" t="str">
        <f t="shared" si="457"/>
        <v/>
      </c>
      <c r="AW1146" s="170" t="str">
        <f t="shared" si="458"/>
        <v>Anteil KWK, erstmals 2009</v>
      </c>
      <c r="AX1146" s="169" t="str">
        <f t="shared" si="459"/>
        <v/>
      </c>
      <c r="AY1146" t="str">
        <f t="shared" si="460"/>
        <v/>
      </c>
      <c r="AZ1146" t="str">
        <f t="shared" si="461"/>
        <v/>
      </c>
    </row>
    <row r="1147" spans="1:52" s="145" customFormat="1" x14ac:dyDescent="0.35">
      <c r="A1147" s="497" t="s">
        <v>4886</v>
      </c>
      <c r="B1147" s="13" t="s">
        <v>5547</v>
      </c>
      <c r="C1147" s="13" t="s">
        <v>1296</v>
      </c>
      <c r="D1147" s="13" t="s">
        <v>6991</v>
      </c>
      <c r="E1147" s="13" t="s">
        <v>3566</v>
      </c>
      <c r="F1147" s="373">
        <f t="shared" si="467"/>
        <v>20.64</v>
      </c>
      <c r="G1147" s="430">
        <v>20.64</v>
      </c>
      <c r="H1147" s="399">
        <f t="shared" si="468"/>
        <v>16.510000000000002</v>
      </c>
      <c r="I1147" s="576"/>
      <c r="J1147" s="549" t="s">
        <v>5804</v>
      </c>
      <c r="K1147" s="11"/>
      <c r="L1147"/>
      <c r="M1147" s="37">
        <f t="shared" si="469"/>
        <v>20.64</v>
      </c>
      <c r="N1147" s="29">
        <v>11.67</v>
      </c>
      <c r="O1147" s="41"/>
      <c r="P1147" s="11"/>
      <c r="Q1147"/>
      <c r="R1147" t="s">
        <v>1017</v>
      </c>
      <c r="S1147" t="s">
        <v>4179</v>
      </c>
      <c r="T1147" s="145" t="s">
        <v>4179</v>
      </c>
      <c r="U1147" s="42"/>
      <c r="V1147" t="s">
        <v>1017</v>
      </c>
      <c r="W1147" s="50"/>
      <c r="X1147" s="50"/>
      <c r="Y1147"/>
      <c r="Z1147"/>
      <c r="AA1147" s="50"/>
      <c r="AB1147"/>
      <c r="AC1147"/>
      <c r="AD1147" s="50"/>
      <c r="AE1147" s="75"/>
      <c r="AF1147" s="50"/>
      <c r="AG1147" s="50"/>
      <c r="AH1147" s="166" t="str">
        <f t="shared" si="471"/>
        <v>2010</v>
      </c>
      <c r="AI1147" s="168" t="str">
        <f t="shared" si="462"/>
        <v/>
      </c>
      <c r="AJ1147" s="168" t="str">
        <f t="shared" si="463"/>
        <v/>
      </c>
      <c r="AK1147" s="168" t="str">
        <f t="shared" si="464"/>
        <v/>
      </c>
      <c r="AL1147" s="168" t="str">
        <f t="shared" si="465"/>
        <v/>
      </c>
      <c r="AM1147" s="168" t="str">
        <f t="shared" si="466"/>
        <v/>
      </c>
      <c r="AN1147" s="167" t="str">
        <f t="shared" si="449"/>
        <v>2010</v>
      </c>
      <c r="AO1147" s="167" t="str">
        <f t="shared" si="450"/>
        <v>2010</v>
      </c>
      <c r="AP1147" s="167" t="str">
        <f t="shared" si="451"/>
        <v>2010</v>
      </c>
      <c r="AQ1147" s="169" t="str">
        <f t="shared" si="452"/>
        <v/>
      </c>
      <c r="AR1147" s="170" t="str">
        <f t="shared" si="453"/>
        <v>BiK81a1K10--06</v>
      </c>
      <c r="AS1147" s="169" t="str">
        <f t="shared" si="454"/>
        <v/>
      </c>
      <c r="AT1147">
        <f t="shared" si="455"/>
        <v>14</v>
      </c>
      <c r="AU1147" s="170" t="str">
        <f t="shared" si="456"/>
        <v>0-0,15 MW, Bonusregeln a1 und K erstmals 2010</v>
      </c>
      <c r="AV1147" s="169" t="str">
        <f t="shared" si="457"/>
        <v/>
      </c>
      <c r="AW1147" s="170" t="str">
        <f t="shared" si="458"/>
        <v>Anteil KWK, erstmals 2010</v>
      </c>
      <c r="AX1147" s="169" t="str">
        <f t="shared" si="459"/>
        <v/>
      </c>
      <c r="AY1147" t="str">
        <f t="shared" si="460"/>
        <v/>
      </c>
      <c r="AZ1147" t="str">
        <f t="shared" si="461"/>
        <v/>
      </c>
    </row>
    <row r="1148" spans="1:52" s="145" customFormat="1" x14ac:dyDescent="0.35">
      <c r="A1148" s="497" t="s">
        <v>5355</v>
      </c>
      <c r="B1148" s="13" t="s">
        <v>5547</v>
      </c>
      <c r="C1148" s="13" t="s">
        <v>1296</v>
      </c>
      <c r="D1148" s="13" t="s">
        <v>6992</v>
      </c>
      <c r="E1148" s="13" t="s">
        <v>3054</v>
      </c>
      <c r="F1148" s="373">
        <f t="shared" si="467"/>
        <v>20.61</v>
      </c>
      <c r="G1148" s="430">
        <v>20.61</v>
      </c>
      <c r="H1148" s="399">
        <f t="shared" si="468"/>
        <v>16.489999999999998</v>
      </c>
      <c r="I1148" s="576"/>
      <c r="J1148" s="549" t="s">
        <v>5804</v>
      </c>
      <c r="K1148" s="11"/>
      <c r="L1148"/>
      <c r="M1148" s="37">
        <f t="shared" si="469"/>
        <v>20.61</v>
      </c>
      <c r="N1148" s="29">
        <v>11.67</v>
      </c>
      <c r="O1148" s="41"/>
      <c r="P1148" s="11"/>
      <c r="Q1148"/>
      <c r="R1148"/>
      <c r="S1148" t="s">
        <v>1017</v>
      </c>
      <c r="T1148" s="145" t="s">
        <v>4179</v>
      </c>
      <c r="U1148" s="42"/>
      <c r="V1148" t="s">
        <v>1017</v>
      </c>
      <c r="W1148" s="50"/>
      <c r="X1148" s="50"/>
      <c r="Y1148"/>
      <c r="Z1148"/>
      <c r="AA1148" s="50"/>
      <c r="AB1148"/>
      <c r="AC1148"/>
      <c r="AD1148" s="50"/>
      <c r="AE1148" s="75"/>
      <c r="AF1148" s="50"/>
      <c r="AG1148" s="50"/>
      <c r="AH1148" s="166" t="str">
        <f t="shared" si="471"/>
        <v>2011</v>
      </c>
      <c r="AI1148" s="168" t="str">
        <f t="shared" si="462"/>
        <v/>
      </c>
      <c r="AJ1148" s="168" t="str">
        <f t="shared" si="463"/>
        <v/>
      </c>
      <c r="AK1148" s="168" t="str">
        <f t="shared" si="464"/>
        <v/>
      </c>
      <c r="AL1148" s="168" t="str">
        <f t="shared" si="465"/>
        <v/>
      </c>
      <c r="AM1148" s="168" t="str">
        <f t="shared" si="466"/>
        <v/>
      </c>
      <c r="AN1148" s="167" t="str">
        <f t="shared" si="449"/>
        <v>2011</v>
      </c>
      <c r="AO1148" s="167" t="str">
        <f t="shared" si="450"/>
        <v>2011</v>
      </c>
      <c r="AP1148" s="167" t="str">
        <f t="shared" si="451"/>
        <v>2011</v>
      </c>
      <c r="AQ1148" s="169" t="str">
        <f t="shared" si="452"/>
        <v/>
      </c>
      <c r="AR1148" s="170" t="str">
        <f t="shared" si="453"/>
        <v>BiK81a1K11--06</v>
      </c>
      <c r="AS1148" s="169" t="str">
        <f t="shared" si="454"/>
        <v/>
      </c>
      <c r="AT1148">
        <f t="shared" si="455"/>
        <v>14</v>
      </c>
      <c r="AU1148" s="170" t="str">
        <f t="shared" si="456"/>
        <v>0-0,15 MW, Bonusregeln a1 und K erstmals 2011</v>
      </c>
      <c r="AV1148" s="169" t="str">
        <f t="shared" si="457"/>
        <v/>
      </c>
      <c r="AW1148" s="170" t="str">
        <f t="shared" si="458"/>
        <v>Anteil KWK, erstmals 2011</v>
      </c>
      <c r="AX1148" s="169" t="str">
        <f t="shared" si="459"/>
        <v/>
      </c>
      <c r="AY1148" t="str">
        <f t="shared" si="460"/>
        <v>x</v>
      </c>
      <c r="AZ1148" t="str">
        <f t="shared" si="461"/>
        <v/>
      </c>
    </row>
    <row r="1149" spans="1:52" s="145" customFormat="1" x14ac:dyDescent="0.35">
      <c r="A1149" s="511" t="s">
        <v>1606</v>
      </c>
      <c r="B1149" s="173" t="s">
        <v>5547</v>
      </c>
      <c r="C1149" s="173" t="s">
        <v>1296</v>
      </c>
      <c r="D1149" s="173" t="s">
        <v>6993</v>
      </c>
      <c r="E1149" s="173" t="s">
        <v>1980</v>
      </c>
      <c r="F1149" s="374">
        <f t="shared" si="467"/>
        <v>20.58</v>
      </c>
      <c r="G1149" s="431">
        <v>20.58</v>
      </c>
      <c r="H1149" s="400">
        <f t="shared" si="468"/>
        <v>16.46</v>
      </c>
      <c r="I1149" s="577"/>
      <c r="J1149" s="549" t="s">
        <v>5804</v>
      </c>
      <c r="K1149" s="11"/>
      <c r="L1149"/>
      <c r="M1149" s="37">
        <f t="shared" si="469"/>
        <v>20.58</v>
      </c>
      <c r="N1149" s="29">
        <v>11.67</v>
      </c>
      <c r="O1149" s="41"/>
      <c r="P1149" s="11"/>
      <c r="Q1149"/>
      <c r="R1149"/>
      <c r="S1149" t="s">
        <v>4179</v>
      </c>
      <c r="T1149" s="145" t="s">
        <v>1017</v>
      </c>
      <c r="U1149" s="42"/>
      <c r="V1149" t="s">
        <v>1017</v>
      </c>
      <c r="W1149" s="50"/>
      <c r="X1149" s="50"/>
      <c r="Y1149"/>
      <c r="Z1149"/>
      <c r="AA1149" s="50"/>
      <c r="AB1149"/>
      <c r="AC1149"/>
      <c r="AD1149" s="50"/>
      <c r="AE1149" s="75"/>
      <c r="AF1149" s="50"/>
      <c r="AG1149" s="50"/>
      <c r="AH1149" s="171" t="s">
        <v>4178</v>
      </c>
      <c r="AI1149" s="168" t="str">
        <f t="shared" si="462"/>
        <v/>
      </c>
      <c r="AJ1149" s="168" t="str">
        <f t="shared" si="463"/>
        <v/>
      </c>
      <c r="AK1149" s="168" t="str">
        <f t="shared" si="464"/>
        <v/>
      </c>
      <c r="AL1149" s="168" t="str">
        <f t="shared" si="465"/>
        <v/>
      </c>
      <c r="AM1149" s="168" t="str">
        <f t="shared" si="466"/>
        <v/>
      </c>
      <c r="AN1149" s="167" t="str">
        <f t="shared" si="449"/>
        <v>2012</v>
      </c>
      <c r="AO1149" s="167" t="str">
        <f t="shared" si="450"/>
        <v>2012</v>
      </c>
      <c r="AP1149" s="167" t="str">
        <f t="shared" si="451"/>
        <v>2012</v>
      </c>
      <c r="AQ1149" s="169" t="str">
        <f t="shared" si="452"/>
        <v/>
      </c>
      <c r="AR1149" s="170" t="str">
        <f t="shared" si="453"/>
        <v>BiK81a1K12--06</v>
      </c>
      <c r="AS1149" s="169" t="str">
        <f t="shared" si="454"/>
        <v/>
      </c>
      <c r="AT1149">
        <f t="shared" si="455"/>
        <v>14</v>
      </c>
      <c r="AU1149" s="170" t="str">
        <f t="shared" si="456"/>
        <v>0-0,15 MW, Bonusregeln a1 und K erstmals 2012</v>
      </c>
      <c r="AV1149" s="169" t="str">
        <f t="shared" si="457"/>
        <v/>
      </c>
      <c r="AW1149" s="170" t="str">
        <f t="shared" si="458"/>
        <v>Anteil KWK, erstmals 2012</v>
      </c>
      <c r="AX1149" s="169" t="str">
        <f t="shared" si="459"/>
        <v/>
      </c>
      <c r="AY1149" t="str">
        <f t="shared" si="460"/>
        <v/>
      </c>
      <c r="AZ1149" t="str">
        <f t="shared" si="461"/>
        <v>x</v>
      </c>
    </row>
    <row r="1150" spans="1:52" s="145" customFormat="1" x14ac:dyDescent="0.35">
      <c r="A1150" s="497" t="s">
        <v>4022</v>
      </c>
      <c r="B1150" s="13" t="s">
        <v>5547</v>
      </c>
      <c r="C1150" s="13" t="s">
        <v>1296</v>
      </c>
      <c r="D1150" s="13" t="s">
        <v>6883</v>
      </c>
      <c r="E1150" s="13" t="s">
        <v>4809</v>
      </c>
      <c r="F1150" s="373">
        <f t="shared" si="467"/>
        <v>18.670000000000002</v>
      </c>
      <c r="G1150" s="430">
        <v>18.670000000000002</v>
      </c>
      <c r="H1150" s="399">
        <f t="shared" si="468"/>
        <v>14.94</v>
      </c>
      <c r="I1150" s="576"/>
      <c r="J1150" s="549" t="s">
        <v>5804</v>
      </c>
      <c r="K1150" s="11"/>
      <c r="L1150"/>
      <c r="M1150" s="37">
        <f t="shared" si="469"/>
        <v>18.670000000000002</v>
      </c>
      <c r="N1150" s="29">
        <v>11.67</v>
      </c>
      <c r="O1150" s="41"/>
      <c r="P1150" s="11"/>
      <c r="Q1150"/>
      <c r="R1150"/>
      <c r="S1150" t="s">
        <v>4179</v>
      </c>
      <c r="T1150" s="145" t="s">
        <v>4179</v>
      </c>
      <c r="U1150" s="42" t="s">
        <v>1017</v>
      </c>
      <c r="V1150" t="s">
        <v>1017</v>
      </c>
      <c r="W1150" s="50"/>
      <c r="X1150" s="50"/>
      <c r="Y1150"/>
      <c r="Z1150"/>
      <c r="AA1150" s="50"/>
      <c r="AB1150"/>
      <c r="AC1150"/>
      <c r="AD1150" s="50"/>
      <c r="AE1150" s="75"/>
      <c r="AF1150" s="50"/>
      <c r="AG1150" s="50"/>
      <c r="AH1150" s="166" t="str">
        <f t="shared" ref="AH1150:AH1155" si="472">IF(ISERROR(SEARCH("K erstmals 201",D1150)),"",RIGHT(D1150,4))</f>
        <v/>
      </c>
      <c r="AI1150" s="168" t="str">
        <f t="shared" si="462"/>
        <v/>
      </c>
      <c r="AJ1150" s="168" t="str">
        <f t="shared" si="463"/>
        <v/>
      </c>
      <c r="AK1150" s="168" t="str">
        <f t="shared" si="464"/>
        <v/>
      </c>
      <c r="AL1150" s="168" t="str">
        <f t="shared" si="465"/>
        <v/>
      </c>
      <c r="AM1150" s="168" t="str">
        <f t="shared" si="466"/>
        <v/>
      </c>
      <c r="AN1150" s="167" t="str">
        <f t="shared" si="449"/>
        <v/>
      </c>
      <c r="AO1150" s="167" t="str">
        <f t="shared" si="450"/>
        <v/>
      </c>
      <c r="AP1150" s="167" t="str">
        <f t="shared" si="451"/>
        <v/>
      </c>
      <c r="AQ1150" s="169" t="str">
        <f t="shared" si="452"/>
        <v/>
      </c>
      <c r="AR1150" s="170" t="str">
        <f t="shared" si="453"/>
        <v>BiK81a1y----06</v>
      </c>
      <c r="AS1150" s="169" t="str">
        <f t="shared" si="454"/>
        <v/>
      </c>
      <c r="AT1150">
        <f t="shared" si="455"/>
        <v>14</v>
      </c>
      <c r="AU1150" s="170" t="str">
        <f t="shared" si="456"/>
        <v>0-0,15 MW, Bonusregeln a1, y</v>
      </c>
      <c r="AV1150" s="169" t="str">
        <f t="shared" si="457"/>
        <v/>
      </c>
      <c r="AW1150" s="170" t="str">
        <f t="shared" si="458"/>
        <v>Anteil Nicht-KWK</v>
      </c>
      <c r="AX1150" s="169" t="str">
        <f t="shared" si="459"/>
        <v/>
      </c>
      <c r="AY1150" t="str">
        <f t="shared" si="460"/>
        <v/>
      </c>
      <c r="AZ1150" t="str">
        <f t="shared" si="461"/>
        <v/>
      </c>
    </row>
    <row r="1151" spans="1:52" s="145" customFormat="1" x14ac:dyDescent="0.35">
      <c r="A1151" s="497" t="s">
        <v>4023</v>
      </c>
      <c r="B1151" s="13" t="s">
        <v>5547</v>
      </c>
      <c r="C1151" s="13" t="s">
        <v>1296</v>
      </c>
      <c r="D1151" s="13" t="s">
        <v>6884</v>
      </c>
      <c r="E1151" s="13" t="s">
        <v>4811</v>
      </c>
      <c r="F1151" s="373">
        <f t="shared" si="467"/>
        <v>20.67</v>
      </c>
      <c r="G1151" s="430">
        <v>20.67</v>
      </c>
      <c r="H1151" s="399">
        <f t="shared" si="468"/>
        <v>16.54</v>
      </c>
      <c r="I1151" s="576"/>
      <c r="J1151" s="549" t="s">
        <v>5804</v>
      </c>
      <c r="K1151" s="11"/>
      <c r="L1151"/>
      <c r="M1151" s="37">
        <f t="shared" si="469"/>
        <v>20.67</v>
      </c>
      <c r="N1151" s="29">
        <v>11.67</v>
      </c>
      <c r="O1151" s="41" t="s">
        <v>1017</v>
      </c>
      <c r="P1151" s="11"/>
      <c r="Q1151"/>
      <c r="R1151"/>
      <c r="S1151" t="s">
        <v>4179</v>
      </c>
      <c r="T1151" s="145" t="s">
        <v>4179</v>
      </c>
      <c r="U1151" s="42" t="s">
        <v>1017</v>
      </c>
      <c r="V1151" t="s">
        <v>1017</v>
      </c>
      <c r="W1151" s="50"/>
      <c r="X1151" s="50"/>
      <c r="Y1151"/>
      <c r="Z1151"/>
      <c r="AA1151" s="50"/>
      <c r="AB1151"/>
      <c r="AC1151"/>
      <c r="AD1151" s="50"/>
      <c r="AE1151" s="75"/>
      <c r="AF1151" s="50"/>
      <c r="AG1151" s="50"/>
      <c r="AH1151" s="166" t="str">
        <f t="shared" si="472"/>
        <v/>
      </c>
      <c r="AI1151" s="168" t="str">
        <f t="shared" si="462"/>
        <v/>
      </c>
      <c r="AJ1151" s="168" t="str">
        <f t="shared" si="463"/>
        <v/>
      </c>
      <c r="AK1151" s="168" t="str">
        <f t="shared" si="464"/>
        <v/>
      </c>
      <c r="AL1151" s="168" t="str">
        <f t="shared" si="465"/>
        <v/>
      </c>
      <c r="AM1151" s="168" t="str">
        <f t="shared" si="466"/>
        <v/>
      </c>
      <c r="AN1151" s="167" t="str">
        <f t="shared" si="449"/>
        <v/>
      </c>
      <c r="AO1151" s="167" t="str">
        <f t="shared" si="450"/>
        <v/>
      </c>
      <c r="AP1151" s="167" t="str">
        <f t="shared" si="451"/>
        <v/>
      </c>
      <c r="AQ1151" s="169" t="str">
        <f t="shared" si="452"/>
        <v/>
      </c>
      <c r="AR1151" s="170" t="str">
        <f t="shared" si="453"/>
        <v>BiK81a1KWKy-06</v>
      </c>
      <c r="AS1151" s="169" t="str">
        <f t="shared" si="454"/>
        <v/>
      </c>
      <c r="AT1151">
        <f t="shared" si="455"/>
        <v>14</v>
      </c>
      <c r="AU1151" s="170" t="str">
        <f t="shared" si="456"/>
        <v>0-0,15 MW, Bonusregeln a1, y und KWK</v>
      </c>
      <c r="AV1151" s="169" t="str">
        <f t="shared" si="457"/>
        <v/>
      </c>
      <c r="AW1151" s="170" t="str">
        <f t="shared" si="458"/>
        <v>Anteil KWK</v>
      </c>
      <c r="AX1151" s="169" t="str">
        <f t="shared" si="459"/>
        <v/>
      </c>
      <c r="AY1151" t="str">
        <f t="shared" si="460"/>
        <v/>
      </c>
      <c r="AZ1151" t="str">
        <f t="shared" si="461"/>
        <v/>
      </c>
    </row>
    <row r="1152" spans="1:52" s="145" customFormat="1" x14ac:dyDescent="0.35">
      <c r="A1152" s="497" t="s">
        <v>970</v>
      </c>
      <c r="B1152" s="13" t="s">
        <v>5547</v>
      </c>
      <c r="C1152" s="13" t="s">
        <v>1296</v>
      </c>
      <c r="D1152" s="13" t="s">
        <v>6885</v>
      </c>
      <c r="E1152" s="13" t="s">
        <v>4330</v>
      </c>
      <c r="F1152" s="373">
        <f t="shared" si="467"/>
        <v>21.67</v>
      </c>
      <c r="G1152" s="430">
        <v>21.67</v>
      </c>
      <c r="H1152" s="399">
        <f t="shared" si="468"/>
        <v>17.34</v>
      </c>
      <c r="I1152" s="576"/>
      <c r="J1152" s="549" t="s">
        <v>5804</v>
      </c>
      <c r="K1152" s="11"/>
      <c r="L1152"/>
      <c r="M1152" s="37">
        <f t="shared" si="469"/>
        <v>21.67</v>
      </c>
      <c r="N1152" s="29">
        <v>11.67</v>
      </c>
      <c r="O1152" s="41"/>
      <c r="P1152" t="s">
        <v>1017</v>
      </c>
      <c r="Q1152"/>
      <c r="R1152"/>
      <c r="S1152" t="s">
        <v>4179</v>
      </c>
      <c r="T1152" s="145" t="s">
        <v>4179</v>
      </c>
      <c r="U1152" s="42" t="s">
        <v>1017</v>
      </c>
      <c r="V1152" t="s">
        <v>1017</v>
      </c>
      <c r="W1152" s="50"/>
      <c r="X1152" s="50"/>
      <c r="Y1152"/>
      <c r="Z1152"/>
      <c r="AA1152" s="50"/>
      <c r="AB1152"/>
      <c r="AC1152"/>
      <c r="AD1152" s="50"/>
      <c r="AE1152" s="75"/>
      <c r="AF1152" s="50"/>
      <c r="AG1152" s="50"/>
      <c r="AH1152" s="166" t="str">
        <f t="shared" si="472"/>
        <v/>
      </c>
      <c r="AI1152" s="168" t="str">
        <f t="shared" si="462"/>
        <v/>
      </c>
      <c r="AJ1152" s="168" t="str">
        <f t="shared" si="463"/>
        <v/>
      </c>
      <c r="AK1152" s="168" t="str">
        <f t="shared" si="464"/>
        <v/>
      </c>
      <c r="AL1152" s="168" t="str">
        <f t="shared" si="465"/>
        <v/>
      </c>
      <c r="AM1152" s="168" t="str">
        <f t="shared" si="466"/>
        <v/>
      </c>
      <c r="AN1152" s="167" t="str">
        <f t="shared" si="449"/>
        <v/>
      </c>
      <c r="AO1152" s="167" t="str">
        <f t="shared" si="450"/>
        <v/>
      </c>
      <c r="AP1152" s="167" t="str">
        <f t="shared" si="451"/>
        <v/>
      </c>
      <c r="AQ1152" s="169" t="str">
        <f t="shared" si="452"/>
        <v/>
      </c>
      <c r="AR1152" s="170" t="str">
        <f t="shared" si="453"/>
        <v>BiK81a1KA3y-06</v>
      </c>
      <c r="AS1152" s="169" t="str">
        <f t="shared" si="454"/>
        <v/>
      </c>
      <c r="AT1152">
        <f t="shared" si="455"/>
        <v>14</v>
      </c>
      <c r="AU1152" s="170" t="str">
        <f t="shared" si="456"/>
        <v>0-0,15 MW, Bonusregeln a1, y und K wenn Anlage 3 erfüllt</v>
      </c>
      <c r="AV1152" s="169" t="str">
        <f t="shared" si="457"/>
        <v/>
      </c>
      <c r="AW1152" s="170" t="str">
        <f t="shared" si="458"/>
        <v>Anteil KWK gemäß Anlage 3</v>
      </c>
      <c r="AX1152" s="169" t="str">
        <f t="shared" si="459"/>
        <v/>
      </c>
      <c r="AY1152" t="str">
        <f t="shared" si="460"/>
        <v/>
      </c>
      <c r="AZ1152" t="str">
        <f t="shared" si="461"/>
        <v/>
      </c>
    </row>
    <row r="1153" spans="1:52" s="145" customFormat="1" x14ac:dyDescent="0.35">
      <c r="A1153" s="497" t="s">
        <v>971</v>
      </c>
      <c r="B1153" s="13" t="s">
        <v>5547</v>
      </c>
      <c r="C1153" s="13" t="s">
        <v>1296</v>
      </c>
      <c r="D1153" s="13" t="s">
        <v>6886</v>
      </c>
      <c r="E1153" s="13" t="s">
        <v>674</v>
      </c>
      <c r="F1153" s="373">
        <f t="shared" si="467"/>
        <v>21.67</v>
      </c>
      <c r="G1153" s="430">
        <v>21.67</v>
      </c>
      <c r="H1153" s="399">
        <f t="shared" si="468"/>
        <v>17.34</v>
      </c>
      <c r="I1153" s="576"/>
      <c r="J1153" s="549" t="s">
        <v>5804</v>
      </c>
      <c r="K1153" s="11"/>
      <c r="L1153"/>
      <c r="M1153" s="37">
        <f t="shared" si="469"/>
        <v>21.67</v>
      </c>
      <c r="N1153" s="29">
        <v>11.67</v>
      </c>
      <c r="O1153" s="41"/>
      <c r="P1153" s="11"/>
      <c r="Q1153" t="s">
        <v>1017</v>
      </c>
      <c r="R1153"/>
      <c r="S1153" t="s">
        <v>4179</v>
      </c>
      <c r="T1153" s="145" t="s">
        <v>4179</v>
      </c>
      <c r="U1153" s="42" t="s">
        <v>1017</v>
      </c>
      <c r="V1153" t="s">
        <v>1017</v>
      </c>
      <c r="W1153" s="50"/>
      <c r="X1153" s="50"/>
      <c r="Y1153"/>
      <c r="Z1153"/>
      <c r="AA1153" s="50"/>
      <c r="AB1153"/>
      <c r="AC1153"/>
      <c r="AD1153" s="50"/>
      <c r="AE1153" s="75"/>
      <c r="AF1153" s="50"/>
      <c r="AG1153" s="50"/>
      <c r="AH1153" s="166" t="str">
        <f t="shared" si="472"/>
        <v/>
      </c>
      <c r="AI1153" s="168" t="str">
        <f t="shared" si="462"/>
        <v/>
      </c>
      <c r="AJ1153" s="168" t="str">
        <f t="shared" si="463"/>
        <v/>
      </c>
      <c r="AK1153" s="168" t="str">
        <f t="shared" si="464"/>
        <v/>
      </c>
      <c r="AL1153" s="168" t="str">
        <f t="shared" si="465"/>
        <v/>
      </c>
      <c r="AM1153" s="168" t="str">
        <f t="shared" si="466"/>
        <v/>
      </c>
      <c r="AN1153" s="167" t="str">
        <f t="shared" si="449"/>
        <v/>
      </c>
      <c r="AO1153" s="167" t="str">
        <f t="shared" si="450"/>
        <v/>
      </c>
      <c r="AP1153" s="167" t="str">
        <f t="shared" si="451"/>
        <v/>
      </c>
      <c r="AQ1153" s="169" t="str">
        <f t="shared" si="452"/>
        <v/>
      </c>
      <c r="AR1153" s="170" t="str">
        <f t="shared" si="453"/>
        <v>BiK81a1K09y-06</v>
      </c>
      <c r="AS1153" s="169" t="str">
        <f t="shared" si="454"/>
        <v/>
      </c>
      <c r="AT1153">
        <f t="shared" si="455"/>
        <v>14</v>
      </c>
      <c r="AU1153" s="170" t="str">
        <f t="shared" si="456"/>
        <v>0-0,15 MW, Bonusregeln a1, y und K erstmals 2009</v>
      </c>
      <c r="AV1153" s="169" t="str">
        <f t="shared" si="457"/>
        <v/>
      </c>
      <c r="AW1153" s="170" t="str">
        <f t="shared" si="458"/>
        <v>Anteil KWK, erstmals 2009</v>
      </c>
      <c r="AX1153" s="169" t="str">
        <f t="shared" si="459"/>
        <v/>
      </c>
      <c r="AY1153" t="str">
        <f t="shared" si="460"/>
        <v/>
      </c>
      <c r="AZ1153" t="str">
        <f t="shared" si="461"/>
        <v/>
      </c>
    </row>
    <row r="1154" spans="1:52" s="145" customFormat="1" x14ac:dyDescent="0.35">
      <c r="A1154" s="497" t="s">
        <v>4887</v>
      </c>
      <c r="B1154" s="13" t="s">
        <v>5547</v>
      </c>
      <c r="C1154" s="13" t="s">
        <v>1296</v>
      </c>
      <c r="D1154" s="13" t="s">
        <v>6887</v>
      </c>
      <c r="E1154" s="13" t="s">
        <v>3566</v>
      </c>
      <c r="F1154" s="373">
        <f t="shared" si="467"/>
        <v>21.64</v>
      </c>
      <c r="G1154" s="430">
        <v>21.64</v>
      </c>
      <c r="H1154" s="399">
        <f t="shared" si="468"/>
        <v>17.309999999999999</v>
      </c>
      <c r="I1154" s="576"/>
      <c r="J1154" s="549" t="s">
        <v>5804</v>
      </c>
      <c r="K1154" s="11"/>
      <c r="L1154"/>
      <c r="M1154" s="37">
        <f t="shared" si="469"/>
        <v>21.64</v>
      </c>
      <c r="N1154" s="29">
        <v>11.67</v>
      </c>
      <c r="O1154" s="41"/>
      <c r="P1154" s="11"/>
      <c r="Q1154"/>
      <c r="R1154" t="s">
        <v>1017</v>
      </c>
      <c r="S1154" t="s">
        <v>4179</v>
      </c>
      <c r="T1154" s="145" t="s">
        <v>4179</v>
      </c>
      <c r="U1154" s="42" t="s">
        <v>1017</v>
      </c>
      <c r="V1154" t="s">
        <v>1017</v>
      </c>
      <c r="W1154" s="50"/>
      <c r="X1154" s="50"/>
      <c r="Y1154"/>
      <c r="Z1154"/>
      <c r="AA1154" s="50"/>
      <c r="AB1154"/>
      <c r="AC1154"/>
      <c r="AD1154" s="50"/>
      <c r="AE1154" s="75"/>
      <c r="AF1154" s="50"/>
      <c r="AG1154" s="50"/>
      <c r="AH1154" s="166" t="str">
        <f t="shared" si="472"/>
        <v>2010</v>
      </c>
      <c r="AI1154" s="168" t="str">
        <f t="shared" si="462"/>
        <v/>
      </c>
      <c r="AJ1154" s="168" t="str">
        <f t="shared" si="463"/>
        <v/>
      </c>
      <c r="AK1154" s="168" t="str">
        <f t="shared" si="464"/>
        <v/>
      </c>
      <c r="AL1154" s="168" t="str">
        <f t="shared" si="465"/>
        <v/>
      </c>
      <c r="AM1154" s="168" t="str">
        <f t="shared" si="466"/>
        <v/>
      </c>
      <c r="AN1154" s="167" t="str">
        <f t="shared" si="449"/>
        <v>2010</v>
      </c>
      <c r="AO1154" s="167" t="str">
        <f t="shared" si="450"/>
        <v>2010</v>
      </c>
      <c r="AP1154" s="167" t="str">
        <f t="shared" si="451"/>
        <v>2010</v>
      </c>
      <c r="AQ1154" s="169" t="str">
        <f t="shared" si="452"/>
        <v/>
      </c>
      <c r="AR1154" s="170" t="str">
        <f t="shared" si="453"/>
        <v>BiK81a1K10y-06</v>
      </c>
      <c r="AS1154" s="169" t="str">
        <f t="shared" si="454"/>
        <v/>
      </c>
      <c r="AT1154">
        <f t="shared" si="455"/>
        <v>14</v>
      </c>
      <c r="AU1154" s="170" t="str">
        <f t="shared" si="456"/>
        <v>0-0,15 MW, Bonusregeln a1, y und K erstmals 2010</v>
      </c>
      <c r="AV1154" s="169" t="str">
        <f t="shared" si="457"/>
        <v/>
      </c>
      <c r="AW1154" s="170" t="str">
        <f t="shared" si="458"/>
        <v>Anteil KWK, erstmals 2010</v>
      </c>
      <c r="AX1154" s="169" t="str">
        <f t="shared" si="459"/>
        <v/>
      </c>
      <c r="AY1154" t="str">
        <f t="shared" si="460"/>
        <v/>
      </c>
      <c r="AZ1154" t="str">
        <f t="shared" si="461"/>
        <v/>
      </c>
    </row>
    <row r="1155" spans="1:52" s="145" customFormat="1" x14ac:dyDescent="0.35">
      <c r="A1155" s="497" t="s">
        <v>5356</v>
      </c>
      <c r="B1155" s="13" t="s">
        <v>5547</v>
      </c>
      <c r="C1155" s="13" t="s">
        <v>1296</v>
      </c>
      <c r="D1155" s="13" t="s">
        <v>6888</v>
      </c>
      <c r="E1155" s="13" t="s">
        <v>3054</v>
      </c>
      <c r="F1155" s="373">
        <f t="shared" si="467"/>
        <v>21.61</v>
      </c>
      <c r="G1155" s="430">
        <v>21.61</v>
      </c>
      <c r="H1155" s="399">
        <f t="shared" si="468"/>
        <v>17.29</v>
      </c>
      <c r="I1155" s="576"/>
      <c r="J1155" s="549" t="s">
        <v>5804</v>
      </c>
      <c r="K1155" s="11"/>
      <c r="L1155"/>
      <c r="M1155" s="37">
        <f t="shared" si="469"/>
        <v>21.61</v>
      </c>
      <c r="N1155" s="29">
        <v>11.67</v>
      </c>
      <c r="O1155" s="41"/>
      <c r="P1155" s="11"/>
      <c r="Q1155"/>
      <c r="R1155"/>
      <c r="S1155" t="s">
        <v>1017</v>
      </c>
      <c r="T1155" s="145" t="s">
        <v>4179</v>
      </c>
      <c r="U1155" s="42" t="s">
        <v>1017</v>
      </c>
      <c r="V1155" t="s">
        <v>1017</v>
      </c>
      <c r="W1155" s="50"/>
      <c r="X1155" s="50"/>
      <c r="Y1155"/>
      <c r="Z1155"/>
      <c r="AA1155" s="50"/>
      <c r="AB1155"/>
      <c r="AC1155"/>
      <c r="AD1155" s="50"/>
      <c r="AE1155" s="75"/>
      <c r="AF1155" s="50"/>
      <c r="AG1155" s="50"/>
      <c r="AH1155" s="166" t="str">
        <f t="shared" si="472"/>
        <v>2011</v>
      </c>
      <c r="AI1155" s="168" t="str">
        <f t="shared" si="462"/>
        <v/>
      </c>
      <c r="AJ1155" s="168" t="str">
        <f t="shared" si="463"/>
        <v/>
      </c>
      <c r="AK1155" s="168" t="str">
        <f t="shared" si="464"/>
        <v/>
      </c>
      <c r="AL1155" s="168" t="str">
        <f t="shared" si="465"/>
        <v/>
      </c>
      <c r="AM1155" s="168" t="str">
        <f t="shared" si="466"/>
        <v/>
      </c>
      <c r="AN1155" s="167" t="str">
        <f t="shared" si="449"/>
        <v>2011</v>
      </c>
      <c r="AO1155" s="167" t="str">
        <f t="shared" si="450"/>
        <v>2011</v>
      </c>
      <c r="AP1155" s="167" t="str">
        <f t="shared" si="451"/>
        <v>2011</v>
      </c>
      <c r="AQ1155" s="169" t="str">
        <f t="shared" si="452"/>
        <v/>
      </c>
      <c r="AR1155" s="170" t="str">
        <f t="shared" si="453"/>
        <v>BiK81a1K11y-06</v>
      </c>
      <c r="AS1155" s="169" t="str">
        <f t="shared" si="454"/>
        <v/>
      </c>
      <c r="AT1155">
        <f t="shared" si="455"/>
        <v>14</v>
      </c>
      <c r="AU1155" s="170" t="str">
        <f t="shared" si="456"/>
        <v>0-0,15 MW, Bonusregeln a1, y und K erstmals 2011</v>
      </c>
      <c r="AV1155" s="169" t="str">
        <f t="shared" si="457"/>
        <v/>
      </c>
      <c r="AW1155" s="170" t="str">
        <f t="shared" si="458"/>
        <v>Anteil KWK, erstmals 2011</v>
      </c>
      <c r="AX1155" s="169" t="str">
        <f t="shared" si="459"/>
        <v/>
      </c>
      <c r="AY1155" t="str">
        <f t="shared" si="460"/>
        <v>x</v>
      </c>
      <c r="AZ1155" t="str">
        <f t="shared" si="461"/>
        <v/>
      </c>
    </row>
    <row r="1156" spans="1:52" s="145" customFormat="1" x14ac:dyDescent="0.35">
      <c r="A1156" s="511" t="s">
        <v>1607</v>
      </c>
      <c r="B1156" s="173" t="s">
        <v>5547</v>
      </c>
      <c r="C1156" s="173" t="s">
        <v>1296</v>
      </c>
      <c r="D1156" s="173" t="s">
        <v>6889</v>
      </c>
      <c r="E1156" s="173" t="s">
        <v>1980</v>
      </c>
      <c r="F1156" s="374">
        <f t="shared" si="467"/>
        <v>21.58</v>
      </c>
      <c r="G1156" s="431">
        <v>21.58</v>
      </c>
      <c r="H1156" s="400">
        <f t="shared" si="468"/>
        <v>17.260000000000002</v>
      </c>
      <c r="I1156" s="577"/>
      <c r="J1156" s="549" t="s">
        <v>5804</v>
      </c>
      <c r="K1156" s="11"/>
      <c r="L1156"/>
      <c r="M1156" s="37">
        <f t="shared" si="469"/>
        <v>21.58</v>
      </c>
      <c r="N1156" s="29">
        <v>11.67</v>
      </c>
      <c r="O1156" s="41"/>
      <c r="P1156" s="11"/>
      <c r="Q1156"/>
      <c r="R1156"/>
      <c r="S1156" t="s">
        <v>4179</v>
      </c>
      <c r="T1156" s="145" t="s">
        <v>1017</v>
      </c>
      <c r="U1156" s="42" t="s">
        <v>1017</v>
      </c>
      <c r="V1156" t="s">
        <v>1017</v>
      </c>
      <c r="W1156" s="50"/>
      <c r="X1156" s="50"/>
      <c r="Y1156"/>
      <c r="Z1156"/>
      <c r="AA1156" s="50"/>
      <c r="AB1156"/>
      <c r="AC1156"/>
      <c r="AD1156" s="50"/>
      <c r="AE1156" s="75"/>
      <c r="AF1156" s="50"/>
      <c r="AG1156" s="50"/>
      <c r="AH1156" s="171" t="s">
        <v>4178</v>
      </c>
      <c r="AI1156" s="168" t="str">
        <f t="shared" si="462"/>
        <v/>
      </c>
      <c r="AJ1156" s="168" t="str">
        <f t="shared" si="463"/>
        <v/>
      </c>
      <c r="AK1156" s="168" t="str">
        <f t="shared" si="464"/>
        <v/>
      </c>
      <c r="AL1156" s="168" t="str">
        <f t="shared" si="465"/>
        <v/>
      </c>
      <c r="AM1156" s="168" t="str">
        <f t="shared" si="466"/>
        <v/>
      </c>
      <c r="AN1156" s="167" t="str">
        <f t="shared" si="449"/>
        <v>2012</v>
      </c>
      <c r="AO1156" s="167" t="str">
        <f t="shared" si="450"/>
        <v>2012</v>
      </c>
      <c r="AP1156" s="167" t="str">
        <f t="shared" si="451"/>
        <v>2012</v>
      </c>
      <c r="AQ1156" s="169" t="str">
        <f t="shared" si="452"/>
        <v/>
      </c>
      <c r="AR1156" s="170" t="str">
        <f t="shared" si="453"/>
        <v>BiK81a1K12y-06</v>
      </c>
      <c r="AS1156" s="169" t="str">
        <f t="shared" si="454"/>
        <v/>
      </c>
      <c r="AT1156">
        <f t="shared" si="455"/>
        <v>14</v>
      </c>
      <c r="AU1156" s="170" t="str">
        <f t="shared" si="456"/>
        <v>0-0,15 MW, Bonusregeln a1, y und K erstmals 2012</v>
      </c>
      <c r="AV1156" s="169" t="str">
        <f t="shared" si="457"/>
        <v/>
      </c>
      <c r="AW1156" s="170" t="str">
        <f t="shared" si="458"/>
        <v>Anteil KWK, erstmals 2012</v>
      </c>
      <c r="AX1156" s="169" t="str">
        <f t="shared" si="459"/>
        <v/>
      </c>
      <c r="AY1156" t="str">
        <f t="shared" si="460"/>
        <v/>
      </c>
      <c r="AZ1156" t="str">
        <f t="shared" si="461"/>
        <v>x</v>
      </c>
    </row>
    <row r="1157" spans="1:52" s="145" customFormat="1" x14ac:dyDescent="0.35">
      <c r="A1157" s="497" t="s">
        <v>4595</v>
      </c>
      <c r="B1157" s="13" t="s">
        <v>5547</v>
      </c>
      <c r="C1157" s="13" t="s">
        <v>1296</v>
      </c>
      <c r="D1157" s="13" t="s">
        <v>6805</v>
      </c>
      <c r="E1157" s="13" t="s">
        <v>4809</v>
      </c>
      <c r="F1157" s="373">
        <f t="shared" si="467"/>
        <v>18.670000000000002</v>
      </c>
      <c r="G1157" s="430">
        <v>18.670000000000002</v>
      </c>
      <c r="H1157" s="399">
        <f t="shared" si="468"/>
        <v>14.94</v>
      </c>
      <c r="I1157" s="576"/>
      <c r="J1157" s="549" t="s">
        <v>5804</v>
      </c>
      <c r="K1157" s="11"/>
      <c r="L1157"/>
      <c r="M1157" s="37">
        <f t="shared" si="469"/>
        <v>18.670000000000002</v>
      </c>
      <c r="N1157" s="29">
        <v>11.67</v>
      </c>
      <c r="O1157" s="149"/>
      <c r="P1157" s="144"/>
      <c r="S1157" s="145" t="s">
        <v>4179</v>
      </c>
      <c r="T1157" s="145" t="s">
        <v>4179</v>
      </c>
      <c r="U1157" s="146"/>
      <c r="W1157" s="147"/>
      <c r="X1157" s="147"/>
      <c r="Y1157" s="145" t="s">
        <v>1017</v>
      </c>
      <c r="AA1157" s="147"/>
      <c r="AD1157" s="147"/>
      <c r="AE1157" s="148"/>
      <c r="AF1157" s="147"/>
      <c r="AG1157" s="147"/>
      <c r="AH1157" s="166" t="str">
        <f t="shared" ref="AH1157:AH1162" si="473">IF(ISERROR(SEARCH("K erstmals 201",D1157)),"",RIGHT(D1157,4))</f>
        <v/>
      </c>
      <c r="AI1157" s="168" t="str">
        <f t="shared" si="462"/>
        <v/>
      </c>
      <c r="AJ1157" s="168" t="str">
        <f t="shared" si="463"/>
        <v/>
      </c>
      <c r="AK1157" s="168" t="str">
        <f t="shared" si="464"/>
        <v/>
      </c>
      <c r="AL1157" s="168" t="str">
        <f t="shared" si="465"/>
        <v/>
      </c>
      <c r="AM1157" s="168" t="str">
        <f t="shared" si="466"/>
        <v/>
      </c>
      <c r="AN1157" s="167" t="str">
        <f t="shared" si="449"/>
        <v/>
      </c>
      <c r="AO1157" s="167" t="str">
        <f t="shared" si="450"/>
        <v/>
      </c>
      <c r="AP1157" s="167" t="str">
        <f t="shared" si="451"/>
        <v/>
      </c>
      <c r="AQ1157" s="169" t="str">
        <f t="shared" si="452"/>
        <v/>
      </c>
      <c r="AR1157" s="170" t="str">
        <f t="shared" si="453"/>
        <v>BiK81G------06</v>
      </c>
      <c r="AS1157" s="169" t="str">
        <f t="shared" si="454"/>
        <v/>
      </c>
      <c r="AT1157">
        <f t="shared" si="455"/>
        <v>14</v>
      </c>
      <c r="AU1157" s="170" t="str">
        <f t="shared" si="456"/>
        <v>0-0,15 MW, Bonusregel G</v>
      </c>
      <c r="AV1157" s="169" t="str">
        <f t="shared" si="457"/>
        <v/>
      </c>
      <c r="AW1157" s="170" t="str">
        <f t="shared" si="458"/>
        <v>Anteil Nicht-KWK</v>
      </c>
      <c r="AX1157" s="169" t="str">
        <f t="shared" si="459"/>
        <v/>
      </c>
      <c r="AY1157" t="str">
        <f t="shared" si="460"/>
        <v/>
      </c>
      <c r="AZ1157" t="str">
        <f t="shared" si="461"/>
        <v/>
      </c>
    </row>
    <row r="1158" spans="1:52" s="145" customFormat="1" x14ac:dyDescent="0.35">
      <c r="A1158" s="497" t="s">
        <v>4596</v>
      </c>
      <c r="B1158" s="13" t="s">
        <v>5547</v>
      </c>
      <c r="C1158" s="13" t="s">
        <v>1296</v>
      </c>
      <c r="D1158" s="13" t="s">
        <v>6890</v>
      </c>
      <c r="E1158" s="13" t="s">
        <v>4811</v>
      </c>
      <c r="F1158" s="373">
        <f t="shared" si="467"/>
        <v>20.67</v>
      </c>
      <c r="G1158" s="430">
        <v>20.67</v>
      </c>
      <c r="H1158" s="399">
        <f t="shared" si="468"/>
        <v>16.54</v>
      </c>
      <c r="I1158" s="576"/>
      <c r="J1158" s="549" t="s">
        <v>5804</v>
      </c>
      <c r="K1158" s="11"/>
      <c r="L1158"/>
      <c r="M1158" s="37">
        <f t="shared" si="469"/>
        <v>20.67</v>
      </c>
      <c r="N1158" s="29">
        <v>11.67</v>
      </c>
      <c r="O1158" s="149" t="s">
        <v>1017</v>
      </c>
      <c r="P1158" s="144"/>
      <c r="S1158" s="145" t="s">
        <v>4179</v>
      </c>
      <c r="T1158" s="145" t="s">
        <v>4179</v>
      </c>
      <c r="U1158" s="146"/>
      <c r="W1158" s="147"/>
      <c r="X1158" s="147"/>
      <c r="Y1158" s="145" t="s">
        <v>1017</v>
      </c>
      <c r="AA1158" s="147"/>
      <c r="AD1158" s="147"/>
      <c r="AE1158" s="148"/>
      <c r="AF1158" s="147"/>
      <c r="AG1158" s="147"/>
      <c r="AH1158" s="166" t="str">
        <f t="shared" si="473"/>
        <v/>
      </c>
      <c r="AI1158" s="168" t="str">
        <f t="shared" si="462"/>
        <v/>
      </c>
      <c r="AJ1158" s="168" t="str">
        <f t="shared" si="463"/>
        <v/>
      </c>
      <c r="AK1158" s="168" t="str">
        <f t="shared" si="464"/>
        <v/>
      </c>
      <c r="AL1158" s="168" t="str">
        <f t="shared" si="465"/>
        <v/>
      </c>
      <c r="AM1158" s="168" t="str">
        <f t="shared" si="466"/>
        <v/>
      </c>
      <c r="AN1158" s="167" t="str">
        <f t="shared" si="449"/>
        <v/>
      </c>
      <c r="AO1158" s="167" t="str">
        <f t="shared" si="450"/>
        <v/>
      </c>
      <c r="AP1158" s="167" t="str">
        <f t="shared" si="451"/>
        <v/>
      </c>
      <c r="AQ1158" s="169" t="str">
        <f t="shared" si="452"/>
        <v/>
      </c>
      <c r="AR1158" s="170" t="str">
        <f t="shared" si="453"/>
        <v>BiK81GKWK---06</v>
      </c>
      <c r="AS1158" s="169" t="str">
        <f t="shared" si="454"/>
        <v/>
      </c>
      <c r="AT1158">
        <f t="shared" si="455"/>
        <v>14</v>
      </c>
      <c r="AU1158" s="170" t="str">
        <f t="shared" si="456"/>
        <v>0-0,15 MW, Bonusregeln G und KWK</v>
      </c>
      <c r="AV1158" s="169" t="str">
        <f t="shared" si="457"/>
        <v/>
      </c>
      <c r="AW1158" s="170" t="str">
        <f t="shared" si="458"/>
        <v>Anteil KWK</v>
      </c>
      <c r="AX1158" s="169" t="str">
        <f t="shared" si="459"/>
        <v/>
      </c>
      <c r="AY1158" t="str">
        <f t="shared" si="460"/>
        <v/>
      </c>
      <c r="AZ1158" t="str">
        <f t="shared" si="461"/>
        <v/>
      </c>
    </row>
    <row r="1159" spans="1:52" s="145" customFormat="1" x14ac:dyDescent="0.35">
      <c r="A1159" s="497" t="s">
        <v>4597</v>
      </c>
      <c r="B1159" s="13" t="s">
        <v>5547</v>
      </c>
      <c r="C1159" s="13" t="s">
        <v>1296</v>
      </c>
      <c r="D1159" s="13" t="s">
        <v>6806</v>
      </c>
      <c r="E1159" s="13" t="s">
        <v>4330</v>
      </c>
      <c r="F1159" s="373">
        <f t="shared" si="467"/>
        <v>21.67</v>
      </c>
      <c r="G1159" s="430">
        <v>21.67</v>
      </c>
      <c r="H1159" s="399">
        <f t="shared" si="468"/>
        <v>17.34</v>
      </c>
      <c r="I1159" s="576"/>
      <c r="J1159" s="549" t="s">
        <v>5804</v>
      </c>
      <c r="K1159" s="11"/>
      <c r="L1159"/>
      <c r="M1159" s="37">
        <f t="shared" si="469"/>
        <v>21.67</v>
      </c>
      <c r="N1159" s="29">
        <v>11.67</v>
      </c>
      <c r="O1159" s="149"/>
      <c r="P1159" s="145" t="s">
        <v>1017</v>
      </c>
      <c r="S1159" s="145" t="s">
        <v>4179</v>
      </c>
      <c r="T1159" s="145" t="s">
        <v>4179</v>
      </c>
      <c r="U1159" s="146"/>
      <c r="W1159" s="147"/>
      <c r="X1159" s="147"/>
      <c r="Y1159" s="145" t="s">
        <v>1017</v>
      </c>
      <c r="AA1159" s="147"/>
      <c r="AD1159" s="147"/>
      <c r="AE1159" s="148"/>
      <c r="AF1159" s="147"/>
      <c r="AG1159" s="147"/>
      <c r="AH1159" s="166" t="str">
        <f t="shared" si="473"/>
        <v/>
      </c>
      <c r="AI1159" s="168" t="str">
        <f t="shared" si="462"/>
        <v/>
      </c>
      <c r="AJ1159" s="168" t="str">
        <f t="shared" si="463"/>
        <v/>
      </c>
      <c r="AK1159" s="168" t="str">
        <f t="shared" si="464"/>
        <v/>
      </c>
      <c r="AL1159" s="168" t="str">
        <f t="shared" si="465"/>
        <v/>
      </c>
      <c r="AM1159" s="168" t="str">
        <f t="shared" si="466"/>
        <v/>
      </c>
      <c r="AN1159" s="167" t="str">
        <f t="shared" si="449"/>
        <v/>
      </c>
      <c r="AO1159" s="167" t="str">
        <f t="shared" si="450"/>
        <v/>
      </c>
      <c r="AP1159" s="167" t="str">
        <f t="shared" si="451"/>
        <v/>
      </c>
      <c r="AQ1159" s="169" t="str">
        <f t="shared" si="452"/>
        <v/>
      </c>
      <c r="AR1159" s="170" t="str">
        <f t="shared" si="453"/>
        <v>BiK81GKA3---06</v>
      </c>
      <c r="AS1159" s="169" t="str">
        <f t="shared" si="454"/>
        <v/>
      </c>
      <c r="AT1159">
        <f t="shared" si="455"/>
        <v>14</v>
      </c>
      <c r="AU1159" s="170" t="str">
        <f t="shared" si="456"/>
        <v>0-0,15 MW, Bonusregeln G und K wenn Anlage 3 erfüllt</v>
      </c>
      <c r="AV1159" s="169" t="str">
        <f t="shared" si="457"/>
        <v/>
      </c>
      <c r="AW1159" s="170" t="str">
        <f t="shared" si="458"/>
        <v>Anteil KWK gemäß Anlage 3</v>
      </c>
      <c r="AX1159" s="169" t="str">
        <f t="shared" si="459"/>
        <v/>
      </c>
      <c r="AY1159" t="str">
        <f t="shared" si="460"/>
        <v/>
      </c>
      <c r="AZ1159" t="str">
        <f t="shared" si="461"/>
        <v/>
      </c>
    </row>
    <row r="1160" spans="1:52" s="145" customFormat="1" x14ac:dyDescent="0.35">
      <c r="A1160" s="497" t="s">
        <v>4598</v>
      </c>
      <c r="B1160" s="13" t="s">
        <v>5547</v>
      </c>
      <c r="C1160" s="13" t="s">
        <v>1296</v>
      </c>
      <c r="D1160" s="13" t="s">
        <v>6807</v>
      </c>
      <c r="E1160" s="13" t="s">
        <v>674</v>
      </c>
      <c r="F1160" s="373">
        <f t="shared" si="467"/>
        <v>21.67</v>
      </c>
      <c r="G1160" s="430">
        <v>21.67</v>
      </c>
      <c r="H1160" s="399">
        <f t="shared" si="468"/>
        <v>17.34</v>
      </c>
      <c r="I1160" s="576"/>
      <c r="J1160" s="549" t="s">
        <v>5804</v>
      </c>
      <c r="K1160" s="11"/>
      <c r="L1160"/>
      <c r="M1160" s="37">
        <f t="shared" si="469"/>
        <v>21.67</v>
      </c>
      <c r="N1160" s="29">
        <v>11.67</v>
      </c>
      <c r="O1160" s="149"/>
      <c r="P1160" s="144"/>
      <c r="Q1160" s="145" t="s">
        <v>1017</v>
      </c>
      <c r="S1160" s="145" t="s">
        <v>4179</v>
      </c>
      <c r="T1160" s="145" t="s">
        <v>4179</v>
      </c>
      <c r="U1160" s="146"/>
      <c r="W1160" s="147"/>
      <c r="X1160" s="147"/>
      <c r="Y1160" s="145" t="s">
        <v>1017</v>
      </c>
      <c r="AA1160" s="147"/>
      <c r="AD1160" s="147"/>
      <c r="AE1160" s="148"/>
      <c r="AF1160" s="147"/>
      <c r="AG1160" s="147"/>
      <c r="AH1160" s="166" t="str">
        <f t="shared" si="473"/>
        <v/>
      </c>
      <c r="AI1160" s="168" t="str">
        <f t="shared" si="462"/>
        <v/>
      </c>
      <c r="AJ1160" s="168" t="str">
        <f t="shared" si="463"/>
        <v/>
      </c>
      <c r="AK1160" s="168" t="str">
        <f t="shared" si="464"/>
        <v/>
      </c>
      <c r="AL1160" s="168" t="str">
        <f t="shared" si="465"/>
        <v/>
      </c>
      <c r="AM1160" s="168" t="str">
        <f t="shared" si="466"/>
        <v/>
      </c>
      <c r="AN1160" s="167" t="str">
        <f t="shared" si="449"/>
        <v/>
      </c>
      <c r="AO1160" s="167" t="str">
        <f t="shared" si="450"/>
        <v/>
      </c>
      <c r="AP1160" s="167" t="str">
        <f t="shared" si="451"/>
        <v/>
      </c>
      <c r="AQ1160" s="169" t="str">
        <f t="shared" si="452"/>
        <v/>
      </c>
      <c r="AR1160" s="170" t="str">
        <f t="shared" si="453"/>
        <v>BiK81GK09---06</v>
      </c>
      <c r="AS1160" s="169" t="str">
        <f t="shared" si="454"/>
        <v/>
      </c>
      <c r="AT1160">
        <f t="shared" si="455"/>
        <v>14</v>
      </c>
      <c r="AU1160" s="170" t="str">
        <f t="shared" si="456"/>
        <v>0-0,15 MW, Bonusregeln G und K erstmals 2009</v>
      </c>
      <c r="AV1160" s="169" t="str">
        <f t="shared" si="457"/>
        <v/>
      </c>
      <c r="AW1160" s="170" t="str">
        <f t="shared" si="458"/>
        <v>Anteil KWK, erstmals 2009</v>
      </c>
      <c r="AX1160" s="169" t="str">
        <f t="shared" si="459"/>
        <v/>
      </c>
      <c r="AY1160" t="str">
        <f t="shared" si="460"/>
        <v/>
      </c>
      <c r="AZ1160" t="str">
        <f t="shared" si="461"/>
        <v/>
      </c>
    </row>
    <row r="1161" spans="1:52" s="145" customFormat="1" x14ac:dyDescent="0.35">
      <c r="A1161" s="497" t="s">
        <v>4888</v>
      </c>
      <c r="B1161" s="13" t="s">
        <v>5547</v>
      </c>
      <c r="C1161" s="13" t="s">
        <v>1296</v>
      </c>
      <c r="D1161" s="13" t="s">
        <v>6808</v>
      </c>
      <c r="E1161" s="13" t="s">
        <v>3566</v>
      </c>
      <c r="F1161" s="373">
        <f t="shared" si="467"/>
        <v>21.64</v>
      </c>
      <c r="G1161" s="430">
        <v>21.64</v>
      </c>
      <c r="H1161" s="399">
        <f t="shared" si="468"/>
        <v>17.309999999999999</v>
      </c>
      <c r="I1161" s="576"/>
      <c r="J1161" s="549" t="s">
        <v>5804</v>
      </c>
      <c r="K1161" s="11"/>
      <c r="L1161"/>
      <c r="M1161" s="37">
        <f t="shared" si="469"/>
        <v>21.64</v>
      </c>
      <c r="N1161" s="29">
        <v>11.67</v>
      </c>
      <c r="O1161" s="149"/>
      <c r="P1161" s="144"/>
      <c r="R1161" s="145" t="s">
        <v>1017</v>
      </c>
      <c r="S1161" s="145" t="s">
        <v>4179</v>
      </c>
      <c r="T1161" s="145" t="s">
        <v>4179</v>
      </c>
      <c r="U1161" s="146"/>
      <c r="W1161" s="147"/>
      <c r="X1161" s="147"/>
      <c r="Y1161" s="145" t="s">
        <v>1017</v>
      </c>
      <c r="AA1161" s="147"/>
      <c r="AD1161" s="147"/>
      <c r="AE1161" s="148"/>
      <c r="AF1161" s="147"/>
      <c r="AG1161" s="147"/>
      <c r="AH1161" s="166" t="str">
        <f t="shared" si="473"/>
        <v>2010</v>
      </c>
      <c r="AI1161" s="168" t="str">
        <f t="shared" si="462"/>
        <v/>
      </c>
      <c r="AJ1161" s="168" t="str">
        <f t="shared" si="463"/>
        <v/>
      </c>
      <c r="AK1161" s="168" t="str">
        <f t="shared" si="464"/>
        <v/>
      </c>
      <c r="AL1161" s="168" t="str">
        <f t="shared" si="465"/>
        <v/>
      </c>
      <c r="AM1161" s="168" t="str">
        <f t="shared" si="466"/>
        <v/>
      </c>
      <c r="AN1161" s="167" t="str">
        <f t="shared" si="449"/>
        <v>2010</v>
      </c>
      <c r="AO1161" s="167" t="str">
        <f t="shared" si="450"/>
        <v>2010</v>
      </c>
      <c r="AP1161" s="167" t="str">
        <f t="shared" si="451"/>
        <v>2010</v>
      </c>
      <c r="AQ1161" s="169" t="str">
        <f t="shared" si="452"/>
        <v/>
      </c>
      <c r="AR1161" s="170" t="str">
        <f t="shared" si="453"/>
        <v>BiK81GK10---06</v>
      </c>
      <c r="AS1161" s="169" t="str">
        <f t="shared" si="454"/>
        <v/>
      </c>
      <c r="AT1161">
        <f t="shared" si="455"/>
        <v>14</v>
      </c>
      <c r="AU1161" s="170" t="str">
        <f t="shared" si="456"/>
        <v>0-0,15 MW, Bonusregeln G und K erstmals 2010</v>
      </c>
      <c r="AV1161" s="169" t="str">
        <f t="shared" si="457"/>
        <v/>
      </c>
      <c r="AW1161" s="170" t="str">
        <f t="shared" si="458"/>
        <v>Anteil KWK, erstmals 2010</v>
      </c>
      <c r="AX1161" s="169" t="str">
        <f t="shared" si="459"/>
        <v/>
      </c>
      <c r="AY1161" t="str">
        <f t="shared" si="460"/>
        <v/>
      </c>
      <c r="AZ1161" t="str">
        <f t="shared" si="461"/>
        <v/>
      </c>
    </row>
    <row r="1162" spans="1:52" s="145" customFormat="1" x14ac:dyDescent="0.35">
      <c r="A1162" s="497" t="s">
        <v>5357</v>
      </c>
      <c r="B1162" s="13" t="s">
        <v>5547</v>
      </c>
      <c r="C1162" s="13" t="s">
        <v>1296</v>
      </c>
      <c r="D1162" s="13" t="s">
        <v>6809</v>
      </c>
      <c r="E1162" s="13" t="s">
        <v>3054</v>
      </c>
      <c r="F1162" s="373">
        <f t="shared" si="467"/>
        <v>21.61</v>
      </c>
      <c r="G1162" s="430">
        <v>21.61</v>
      </c>
      <c r="H1162" s="399">
        <f t="shared" si="468"/>
        <v>17.29</v>
      </c>
      <c r="I1162" s="576"/>
      <c r="J1162" s="549" t="s">
        <v>5804</v>
      </c>
      <c r="K1162" s="11"/>
      <c r="L1162"/>
      <c r="M1162" s="37">
        <f t="shared" si="469"/>
        <v>21.61</v>
      </c>
      <c r="N1162" s="29">
        <v>11.67</v>
      </c>
      <c r="O1162" s="149"/>
      <c r="P1162" s="144"/>
      <c r="S1162" s="145" t="s">
        <v>1017</v>
      </c>
      <c r="T1162" s="145" t="s">
        <v>4179</v>
      </c>
      <c r="U1162" s="146"/>
      <c r="W1162" s="147"/>
      <c r="X1162" s="147"/>
      <c r="Y1162" s="145" t="s">
        <v>1017</v>
      </c>
      <c r="AA1162" s="147"/>
      <c r="AD1162" s="147"/>
      <c r="AE1162" s="148"/>
      <c r="AF1162" s="147"/>
      <c r="AG1162" s="147"/>
      <c r="AH1162" s="166" t="str">
        <f t="shared" si="473"/>
        <v>2011</v>
      </c>
      <c r="AI1162" s="168" t="str">
        <f t="shared" si="462"/>
        <v/>
      </c>
      <c r="AJ1162" s="168" t="str">
        <f t="shared" si="463"/>
        <v/>
      </c>
      <c r="AK1162" s="168" t="str">
        <f t="shared" si="464"/>
        <v/>
      </c>
      <c r="AL1162" s="168" t="str">
        <f t="shared" si="465"/>
        <v/>
      </c>
      <c r="AM1162" s="168" t="str">
        <f t="shared" si="466"/>
        <v/>
      </c>
      <c r="AN1162" s="167" t="str">
        <f t="shared" si="449"/>
        <v>2011</v>
      </c>
      <c r="AO1162" s="167" t="str">
        <f t="shared" si="450"/>
        <v>2011</v>
      </c>
      <c r="AP1162" s="167" t="str">
        <f t="shared" si="451"/>
        <v>2011</v>
      </c>
      <c r="AQ1162" s="169" t="str">
        <f t="shared" si="452"/>
        <v/>
      </c>
      <c r="AR1162" s="170" t="str">
        <f t="shared" si="453"/>
        <v>BiK81GK11---06</v>
      </c>
      <c r="AS1162" s="169" t="str">
        <f t="shared" si="454"/>
        <v/>
      </c>
      <c r="AT1162">
        <f t="shared" si="455"/>
        <v>14</v>
      </c>
      <c r="AU1162" s="170" t="str">
        <f t="shared" si="456"/>
        <v>0-0,15 MW, Bonusregeln G und K erstmals 2011</v>
      </c>
      <c r="AV1162" s="169" t="str">
        <f t="shared" si="457"/>
        <v/>
      </c>
      <c r="AW1162" s="170" t="str">
        <f t="shared" si="458"/>
        <v>Anteil KWK, erstmals 2011</v>
      </c>
      <c r="AX1162" s="169" t="str">
        <f t="shared" si="459"/>
        <v/>
      </c>
      <c r="AY1162" t="str">
        <f t="shared" si="460"/>
        <v>x</v>
      </c>
      <c r="AZ1162" t="str">
        <f t="shared" si="461"/>
        <v/>
      </c>
    </row>
    <row r="1163" spans="1:52" s="145" customFormat="1" x14ac:dyDescent="0.35">
      <c r="A1163" s="511" t="s">
        <v>1608</v>
      </c>
      <c r="B1163" s="173" t="s">
        <v>5547</v>
      </c>
      <c r="C1163" s="173" t="s">
        <v>1296</v>
      </c>
      <c r="D1163" s="173" t="s">
        <v>6810</v>
      </c>
      <c r="E1163" s="173" t="s">
        <v>1980</v>
      </c>
      <c r="F1163" s="374">
        <f t="shared" si="467"/>
        <v>21.58</v>
      </c>
      <c r="G1163" s="431">
        <v>21.58</v>
      </c>
      <c r="H1163" s="400">
        <f t="shared" si="468"/>
        <v>17.260000000000002</v>
      </c>
      <c r="I1163" s="577"/>
      <c r="J1163" s="549" t="s">
        <v>5804</v>
      </c>
      <c r="K1163" s="11"/>
      <c r="L1163"/>
      <c r="M1163" s="37">
        <f t="shared" si="469"/>
        <v>21.58</v>
      </c>
      <c r="N1163" s="29">
        <v>11.67</v>
      </c>
      <c r="O1163" s="149"/>
      <c r="P1163" s="144"/>
      <c r="S1163" s="145" t="s">
        <v>4179</v>
      </c>
      <c r="T1163" s="145" t="s">
        <v>1017</v>
      </c>
      <c r="U1163" s="146"/>
      <c r="W1163" s="147"/>
      <c r="X1163" s="147"/>
      <c r="Y1163" s="145" t="s">
        <v>1017</v>
      </c>
      <c r="AA1163" s="147"/>
      <c r="AD1163" s="147"/>
      <c r="AE1163" s="148"/>
      <c r="AF1163" s="147"/>
      <c r="AG1163" s="147"/>
      <c r="AH1163" s="171" t="s">
        <v>4178</v>
      </c>
      <c r="AI1163" s="168" t="str">
        <f t="shared" si="462"/>
        <v/>
      </c>
      <c r="AJ1163" s="168" t="str">
        <f t="shared" si="463"/>
        <v/>
      </c>
      <c r="AK1163" s="168" t="str">
        <f t="shared" si="464"/>
        <v/>
      </c>
      <c r="AL1163" s="168" t="str">
        <f t="shared" si="465"/>
        <v/>
      </c>
      <c r="AM1163" s="168" t="str">
        <f t="shared" si="466"/>
        <v/>
      </c>
      <c r="AN1163" s="167" t="str">
        <f t="shared" si="449"/>
        <v>2012</v>
      </c>
      <c r="AO1163" s="167" t="str">
        <f t="shared" si="450"/>
        <v>2012</v>
      </c>
      <c r="AP1163" s="167" t="str">
        <f t="shared" si="451"/>
        <v>2012</v>
      </c>
      <c r="AQ1163" s="169" t="str">
        <f t="shared" si="452"/>
        <v/>
      </c>
      <c r="AR1163" s="170" t="str">
        <f t="shared" si="453"/>
        <v>BiK81GK12---06</v>
      </c>
      <c r="AS1163" s="169" t="str">
        <f t="shared" si="454"/>
        <v/>
      </c>
      <c r="AT1163">
        <f t="shared" si="455"/>
        <v>14</v>
      </c>
      <c r="AU1163" s="170" t="str">
        <f t="shared" si="456"/>
        <v>0-0,15 MW, Bonusregeln G und K erstmals 2012</v>
      </c>
      <c r="AV1163" s="169" t="str">
        <f t="shared" si="457"/>
        <v/>
      </c>
      <c r="AW1163" s="170" t="str">
        <f t="shared" si="458"/>
        <v>Anteil KWK, erstmals 2012</v>
      </c>
      <c r="AX1163" s="169" t="str">
        <f t="shared" si="459"/>
        <v/>
      </c>
      <c r="AY1163" t="str">
        <f t="shared" si="460"/>
        <v/>
      </c>
      <c r="AZ1163" t="str">
        <f t="shared" si="461"/>
        <v>x</v>
      </c>
    </row>
    <row r="1164" spans="1:52" s="145" customFormat="1" x14ac:dyDescent="0.35">
      <c r="A1164" s="497" t="s">
        <v>4599</v>
      </c>
      <c r="B1164" s="13" t="s">
        <v>5547</v>
      </c>
      <c r="C1164" s="13" t="s">
        <v>1296</v>
      </c>
      <c r="D1164" s="13" t="s">
        <v>6811</v>
      </c>
      <c r="E1164" s="13" t="s">
        <v>4809</v>
      </c>
      <c r="F1164" s="373">
        <f t="shared" si="467"/>
        <v>19.670000000000002</v>
      </c>
      <c r="G1164" s="430">
        <v>19.670000000000002</v>
      </c>
      <c r="H1164" s="399">
        <f t="shared" si="468"/>
        <v>15.74</v>
      </c>
      <c r="I1164" s="576"/>
      <c r="J1164" s="549" t="s">
        <v>5804</v>
      </c>
      <c r="K1164" s="11"/>
      <c r="L1164"/>
      <c r="M1164" s="37">
        <f t="shared" si="469"/>
        <v>19.670000000000002</v>
      </c>
      <c r="N1164" s="29">
        <v>11.67</v>
      </c>
      <c r="O1164" s="149"/>
      <c r="P1164" s="144"/>
      <c r="S1164" s="145" t="s">
        <v>4179</v>
      </c>
      <c r="T1164" s="145" t="s">
        <v>4179</v>
      </c>
      <c r="U1164" s="146" t="s">
        <v>1017</v>
      </c>
      <c r="W1164" s="147"/>
      <c r="X1164" s="147"/>
      <c r="Y1164" s="145" t="s">
        <v>1017</v>
      </c>
      <c r="AA1164" s="147"/>
      <c r="AD1164" s="147"/>
      <c r="AE1164" s="148"/>
      <c r="AF1164" s="147"/>
      <c r="AG1164" s="147"/>
      <c r="AH1164" s="166" t="str">
        <f t="shared" ref="AH1164:AH1169" si="474">IF(ISERROR(SEARCH("K erstmals 201",D1164)),"",RIGHT(D1164,4))</f>
        <v/>
      </c>
      <c r="AI1164" s="168" t="str">
        <f t="shared" si="462"/>
        <v/>
      </c>
      <c r="AJ1164" s="168" t="str">
        <f t="shared" si="463"/>
        <v/>
      </c>
      <c r="AK1164" s="168" t="str">
        <f t="shared" si="464"/>
        <v/>
      </c>
      <c r="AL1164" s="168" t="str">
        <f t="shared" si="465"/>
        <v/>
      </c>
      <c r="AM1164" s="168" t="str">
        <f t="shared" si="466"/>
        <v/>
      </c>
      <c r="AN1164" s="167" t="str">
        <f t="shared" si="449"/>
        <v/>
      </c>
      <c r="AO1164" s="167" t="str">
        <f t="shared" si="450"/>
        <v/>
      </c>
      <c r="AP1164" s="167" t="str">
        <f t="shared" si="451"/>
        <v/>
      </c>
      <c r="AQ1164" s="169" t="str">
        <f t="shared" si="452"/>
        <v/>
      </c>
      <c r="AR1164" s="170" t="str">
        <f t="shared" si="453"/>
        <v>BiK81Gy-----06</v>
      </c>
      <c r="AS1164" s="169" t="str">
        <f t="shared" si="454"/>
        <v/>
      </c>
      <c r="AT1164">
        <f t="shared" si="455"/>
        <v>14</v>
      </c>
      <c r="AU1164" s="170" t="str">
        <f t="shared" si="456"/>
        <v>0-0,15 MW, Bonusregel G, y</v>
      </c>
      <c r="AV1164" s="169" t="str">
        <f t="shared" si="457"/>
        <v/>
      </c>
      <c r="AW1164" s="170" t="str">
        <f t="shared" si="458"/>
        <v>Anteil Nicht-KWK</v>
      </c>
      <c r="AX1164" s="169" t="str">
        <f t="shared" si="459"/>
        <v/>
      </c>
      <c r="AY1164" t="str">
        <f t="shared" si="460"/>
        <v/>
      </c>
      <c r="AZ1164" t="str">
        <f t="shared" si="461"/>
        <v/>
      </c>
    </row>
    <row r="1165" spans="1:52" s="145" customFormat="1" x14ac:dyDescent="0.35">
      <c r="A1165" s="497" t="s">
        <v>4600</v>
      </c>
      <c r="B1165" s="13" t="s">
        <v>5547</v>
      </c>
      <c r="C1165" s="13" t="s">
        <v>1296</v>
      </c>
      <c r="D1165" s="13" t="s">
        <v>6891</v>
      </c>
      <c r="E1165" s="13" t="s">
        <v>4811</v>
      </c>
      <c r="F1165" s="373">
        <f t="shared" si="467"/>
        <v>21.67</v>
      </c>
      <c r="G1165" s="430">
        <v>21.67</v>
      </c>
      <c r="H1165" s="399">
        <f t="shared" si="468"/>
        <v>17.34</v>
      </c>
      <c r="I1165" s="576"/>
      <c r="J1165" s="549" t="s">
        <v>5804</v>
      </c>
      <c r="K1165" s="11"/>
      <c r="L1165"/>
      <c r="M1165" s="37">
        <f t="shared" si="469"/>
        <v>21.67</v>
      </c>
      <c r="N1165" s="29">
        <v>11.67</v>
      </c>
      <c r="O1165" s="149" t="s">
        <v>1017</v>
      </c>
      <c r="P1165" s="144"/>
      <c r="S1165" s="145" t="s">
        <v>4179</v>
      </c>
      <c r="T1165" s="145" t="s">
        <v>4179</v>
      </c>
      <c r="U1165" s="146" t="s">
        <v>1017</v>
      </c>
      <c r="W1165" s="147"/>
      <c r="X1165" s="147"/>
      <c r="Y1165" s="145" t="s">
        <v>1017</v>
      </c>
      <c r="AA1165" s="147"/>
      <c r="AD1165" s="147"/>
      <c r="AE1165" s="148"/>
      <c r="AF1165" s="147"/>
      <c r="AG1165" s="147"/>
      <c r="AH1165" s="166" t="str">
        <f t="shared" si="474"/>
        <v/>
      </c>
      <c r="AI1165" s="168" t="str">
        <f t="shared" si="462"/>
        <v/>
      </c>
      <c r="AJ1165" s="168" t="str">
        <f t="shared" si="463"/>
        <v/>
      </c>
      <c r="AK1165" s="168" t="str">
        <f t="shared" si="464"/>
        <v/>
      </c>
      <c r="AL1165" s="168" t="str">
        <f t="shared" si="465"/>
        <v/>
      </c>
      <c r="AM1165" s="168" t="str">
        <f t="shared" si="466"/>
        <v/>
      </c>
      <c r="AN1165" s="167" t="str">
        <f t="shared" si="449"/>
        <v/>
      </c>
      <c r="AO1165" s="167" t="str">
        <f t="shared" si="450"/>
        <v/>
      </c>
      <c r="AP1165" s="167" t="str">
        <f t="shared" si="451"/>
        <v/>
      </c>
      <c r="AQ1165" s="169" t="str">
        <f t="shared" si="452"/>
        <v/>
      </c>
      <c r="AR1165" s="170" t="str">
        <f t="shared" si="453"/>
        <v>BiK81GKWKy--06</v>
      </c>
      <c r="AS1165" s="169" t="str">
        <f t="shared" si="454"/>
        <v/>
      </c>
      <c r="AT1165">
        <f t="shared" si="455"/>
        <v>14</v>
      </c>
      <c r="AU1165" s="170" t="str">
        <f t="shared" si="456"/>
        <v>0-0,15 MW, Bonusregeln G, y und KWK</v>
      </c>
      <c r="AV1165" s="169" t="str">
        <f t="shared" si="457"/>
        <v/>
      </c>
      <c r="AW1165" s="170" t="str">
        <f t="shared" si="458"/>
        <v>Anteil KWK</v>
      </c>
      <c r="AX1165" s="169" t="str">
        <f t="shared" si="459"/>
        <v/>
      </c>
      <c r="AY1165" t="str">
        <f t="shared" si="460"/>
        <v/>
      </c>
      <c r="AZ1165" t="str">
        <f t="shared" si="461"/>
        <v/>
      </c>
    </row>
    <row r="1166" spans="1:52" s="145" customFormat="1" x14ac:dyDescent="0.35">
      <c r="A1166" s="497" t="s">
        <v>4601</v>
      </c>
      <c r="B1166" s="13" t="s">
        <v>5547</v>
      </c>
      <c r="C1166" s="13" t="s">
        <v>1296</v>
      </c>
      <c r="D1166" s="88" t="s">
        <v>6812</v>
      </c>
      <c r="E1166" s="13" t="s">
        <v>4330</v>
      </c>
      <c r="F1166" s="373">
        <f t="shared" si="467"/>
        <v>22.67</v>
      </c>
      <c r="G1166" s="430">
        <v>22.67</v>
      </c>
      <c r="H1166" s="399">
        <f t="shared" si="468"/>
        <v>18.14</v>
      </c>
      <c r="I1166" s="576"/>
      <c r="J1166" s="549" t="s">
        <v>5804</v>
      </c>
      <c r="K1166" s="11"/>
      <c r="L1166"/>
      <c r="M1166" s="37">
        <f t="shared" si="469"/>
        <v>22.67</v>
      </c>
      <c r="N1166" s="29">
        <v>11.67</v>
      </c>
      <c r="O1166" s="149"/>
      <c r="P1166" s="145" t="s">
        <v>1017</v>
      </c>
      <c r="S1166" s="145" t="s">
        <v>4179</v>
      </c>
      <c r="T1166" s="145" t="s">
        <v>4179</v>
      </c>
      <c r="U1166" s="146" t="s">
        <v>1017</v>
      </c>
      <c r="W1166" s="147"/>
      <c r="X1166" s="147"/>
      <c r="Y1166" s="145" t="s">
        <v>1017</v>
      </c>
      <c r="AA1166" s="147"/>
      <c r="AD1166" s="147"/>
      <c r="AE1166" s="148"/>
      <c r="AF1166" s="147"/>
      <c r="AG1166" s="147"/>
      <c r="AH1166" s="166" t="str">
        <f t="shared" si="474"/>
        <v/>
      </c>
      <c r="AI1166" s="168" t="str">
        <f t="shared" si="462"/>
        <v/>
      </c>
      <c r="AJ1166" s="168" t="str">
        <f t="shared" si="463"/>
        <v/>
      </c>
      <c r="AK1166" s="168" t="str">
        <f t="shared" si="464"/>
        <v/>
      </c>
      <c r="AL1166" s="168" t="str">
        <f t="shared" si="465"/>
        <v/>
      </c>
      <c r="AM1166" s="168" t="str">
        <f t="shared" si="466"/>
        <v/>
      </c>
      <c r="AN1166" s="167" t="str">
        <f t="shared" si="449"/>
        <v/>
      </c>
      <c r="AO1166" s="167" t="str">
        <f t="shared" si="450"/>
        <v/>
      </c>
      <c r="AP1166" s="167" t="str">
        <f t="shared" si="451"/>
        <v/>
      </c>
      <c r="AQ1166" s="169" t="str">
        <f t="shared" si="452"/>
        <v/>
      </c>
      <c r="AR1166" s="170" t="str">
        <f t="shared" si="453"/>
        <v>BiK81GKA3y--06</v>
      </c>
      <c r="AS1166" s="169" t="str">
        <f t="shared" si="454"/>
        <v/>
      </c>
      <c r="AT1166">
        <f t="shared" si="455"/>
        <v>14</v>
      </c>
      <c r="AU1166" s="170" t="str">
        <f t="shared" si="456"/>
        <v>0-0,15 MW, Bonusregeln G, y und K wenn Anlage 3 erfüllt</v>
      </c>
      <c r="AV1166" s="169" t="str">
        <f t="shared" si="457"/>
        <v/>
      </c>
      <c r="AW1166" s="170" t="str">
        <f t="shared" si="458"/>
        <v>Anteil KWK gemäß Anlage 3</v>
      </c>
      <c r="AX1166" s="169" t="str">
        <f t="shared" si="459"/>
        <v/>
      </c>
      <c r="AY1166" t="str">
        <f t="shared" si="460"/>
        <v/>
      </c>
      <c r="AZ1166" t="str">
        <f t="shared" si="461"/>
        <v/>
      </c>
    </row>
    <row r="1167" spans="1:52" s="145" customFormat="1" x14ac:dyDescent="0.35">
      <c r="A1167" s="497" t="s">
        <v>4602</v>
      </c>
      <c r="B1167" s="13" t="s">
        <v>5547</v>
      </c>
      <c r="C1167" s="13" t="s">
        <v>1296</v>
      </c>
      <c r="D1167" s="13" t="s">
        <v>6813</v>
      </c>
      <c r="E1167" s="13" t="s">
        <v>674</v>
      </c>
      <c r="F1167" s="373">
        <f t="shared" si="467"/>
        <v>22.67</v>
      </c>
      <c r="G1167" s="430">
        <v>22.67</v>
      </c>
      <c r="H1167" s="399">
        <f t="shared" si="468"/>
        <v>18.14</v>
      </c>
      <c r="I1167" s="576"/>
      <c r="J1167" s="549" t="s">
        <v>5804</v>
      </c>
      <c r="K1167" s="11"/>
      <c r="L1167"/>
      <c r="M1167" s="37">
        <f t="shared" si="469"/>
        <v>22.67</v>
      </c>
      <c r="N1167" s="29">
        <v>11.67</v>
      </c>
      <c r="O1167" s="149"/>
      <c r="P1167" s="144"/>
      <c r="Q1167" s="145" t="s">
        <v>1017</v>
      </c>
      <c r="S1167" s="145" t="s">
        <v>4179</v>
      </c>
      <c r="T1167" s="145" t="s">
        <v>4179</v>
      </c>
      <c r="U1167" s="146" t="s">
        <v>1017</v>
      </c>
      <c r="W1167" s="147"/>
      <c r="X1167" s="147"/>
      <c r="Y1167" s="145" t="s">
        <v>1017</v>
      </c>
      <c r="AA1167" s="147"/>
      <c r="AD1167" s="147"/>
      <c r="AE1167" s="148"/>
      <c r="AF1167" s="147"/>
      <c r="AG1167" s="147"/>
      <c r="AH1167" s="166" t="str">
        <f t="shared" si="474"/>
        <v/>
      </c>
      <c r="AI1167" s="168" t="str">
        <f t="shared" si="462"/>
        <v/>
      </c>
      <c r="AJ1167" s="168" t="str">
        <f t="shared" si="463"/>
        <v/>
      </c>
      <c r="AK1167" s="168" t="str">
        <f t="shared" si="464"/>
        <v/>
      </c>
      <c r="AL1167" s="168" t="str">
        <f t="shared" si="465"/>
        <v/>
      </c>
      <c r="AM1167" s="168" t="str">
        <f t="shared" si="466"/>
        <v/>
      </c>
      <c r="AN1167" s="167" t="str">
        <f t="shared" si="449"/>
        <v/>
      </c>
      <c r="AO1167" s="167" t="str">
        <f t="shared" si="450"/>
        <v/>
      </c>
      <c r="AP1167" s="167" t="str">
        <f t="shared" si="451"/>
        <v/>
      </c>
      <c r="AQ1167" s="169" t="str">
        <f t="shared" si="452"/>
        <v/>
      </c>
      <c r="AR1167" s="170" t="str">
        <f t="shared" si="453"/>
        <v>BiK81GK09y--06</v>
      </c>
      <c r="AS1167" s="169" t="str">
        <f t="shared" si="454"/>
        <v/>
      </c>
      <c r="AT1167">
        <f t="shared" si="455"/>
        <v>14</v>
      </c>
      <c r="AU1167" s="170" t="str">
        <f t="shared" si="456"/>
        <v>0-0,15 MW, Bonusregeln G, y und K erstmals 2009</v>
      </c>
      <c r="AV1167" s="169" t="str">
        <f t="shared" si="457"/>
        <v/>
      </c>
      <c r="AW1167" s="170" t="str">
        <f t="shared" si="458"/>
        <v>Anteil KWK, erstmals 2009</v>
      </c>
      <c r="AX1167" s="169" t="str">
        <f t="shared" si="459"/>
        <v/>
      </c>
      <c r="AY1167" t="str">
        <f t="shared" si="460"/>
        <v/>
      </c>
      <c r="AZ1167" t="str">
        <f t="shared" si="461"/>
        <v/>
      </c>
    </row>
    <row r="1168" spans="1:52" s="145" customFormat="1" x14ac:dyDescent="0.35">
      <c r="A1168" s="497" t="s">
        <v>4889</v>
      </c>
      <c r="B1168" s="13" t="s">
        <v>5547</v>
      </c>
      <c r="C1168" s="13" t="s">
        <v>1296</v>
      </c>
      <c r="D1168" s="13" t="s">
        <v>6814</v>
      </c>
      <c r="E1168" s="13" t="s">
        <v>3566</v>
      </c>
      <c r="F1168" s="373">
        <f t="shared" si="467"/>
        <v>22.64</v>
      </c>
      <c r="G1168" s="430">
        <v>22.64</v>
      </c>
      <c r="H1168" s="399">
        <f t="shared" si="468"/>
        <v>18.11</v>
      </c>
      <c r="I1168" s="576"/>
      <c r="J1168" s="549" t="s">
        <v>5804</v>
      </c>
      <c r="K1168" s="11"/>
      <c r="L1168"/>
      <c r="M1168" s="37">
        <f t="shared" si="469"/>
        <v>22.64</v>
      </c>
      <c r="N1168" s="29">
        <v>11.67</v>
      </c>
      <c r="O1168" s="149"/>
      <c r="P1168" s="144"/>
      <c r="R1168" s="145" t="s">
        <v>1017</v>
      </c>
      <c r="S1168" s="145" t="s">
        <v>4179</v>
      </c>
      <c r="T1168" s="145" t="s">
        <v>4179</v>
      </c>
      <c r="U1168" s="146" t="s">
        <v>1017</v>
      </c>
      <c r="W1168" s="147"/>
      <c r="X1168" s="147"/>
      <c r="Y1168" s="145" t="s">
        <v>1017</v>
      </c>
      <c r="AA1168" s="147"/>
      <c r="AD1168" s="147"/>
      <c r="AE1168" s="148"/>
      <c r="AF1168" s="147"/>
      <c r="AG1168" s="147"/>
      <c r="AH1168" s="166" t="str">
        <f t="shared" si="474"/>
        <v>2010</v>
      </c>
      <c r="AI1168" s="168" t="str">
        <f t="shared" si="462"/>
        <v/>
      </c>
      <c r="AJ1168" s="168" t="str">
        <f t="shared" si="463"/>
        <v/>
      </c>
      <c r="AK1168" s="168" t="str">
        <f t="shared" si="464"/>
        <v/>
      </c>
      <c r="AL1168" s="168" t="str">
        <f t="shared" si="465"/>
        <v/>
      </c>
      <c r="AM1168" s="168" t="str">
        <f t="shared" si="466"/>
        <v/>
      </c>
      <c r="AN1168" s="167" t="str">
        <f t="shared" si="449"/>
        <v>2010</v>
      </c>
      <c r="AO1168" s="167" t="str">
        <f t="shared" si="450"/>
        <v>2010</v>
      </c>
      <c r="AP1168" s="167" t="str">
        <f t="shared" si="451"/>
        <v>2010</v>
      </c>
      <c r="AQ1168" s="169" t="str">
        <f t="shared" si="452"/>
        <v/>
      </c>
      <c r="AR1168" s="170" t="str">
        <f t="shared" si="453"/>
        <v>BiK81GK10y--06</v>
      </c>
      <c r="AS1168" s="169" t="str">
        <f t="shared" si="454"/>
        <v/>
      </c>
      <c r="AT1168">
        <f t="shared" si="455"/>
        <v>14</v>
      </c>
      <c r="AU1168" s="170" t="str">
        <f t="shared" si="456"/>
        <v>0-0,15 MW, Bonusregeln G, y und K erstmals 2010</v>
      </c>
      <c r="AV1168" s="169" t="str">
        <f t="shared" si="457"/>
        <v/>
      </c>
      <c r="AW1168" s="170" t="str">
        <f t="shared" si="458"/>
        <v>Anteil KWK, erstmals 2010</v>
      </c>
      <c r="AX1168" s="169" t="str">
        <f t="shared" si="459"/>
        <v/>
      </c>
      <c r="AY1168" t="str">
        <f t="shared" si="460"/>
        <v/>
      </c>
      <c r="AZ1168" t="str">
        <f t="shared" si="461"/>
        <v/>
      </c>
    </row>
    <row r="1169" spans="1:52" s="145" customFormat="1" x14ac:dyDescent="0.35">
      <c r="A1169" s="497" t="s">
        <v>5358</v>
      </c>
      <c r="B1169" s="13" t="s">
        <v>5547</v>
      </c>
      <c r="C1169" s="13" t="s">
        <v>1296</v>
      </c>
      <c r="D1169" s="13" t="s">
        <v>6815</v>
      </c>
      <c r="E1169" s="13" t="s">
        <v>3054</v>
      </c>
      <c r="F1169" s="373">
        <f t="shared" si="467"/>
        <v>22.61</v>
      </c>
      <c r="G1169" s="430">
        <v>22.61</v>
      </c>
      <c r="H1169" s="399">
        <f t="shared" si="468"/>
        <v>18.09</v>
      </c>
      <c r="I1169" s="576"/>
      <c r="J1169" s="549" t="s">
        <v>5804</v>
      </c>
      <c r="K1169" s="11"/>
      <c r="L1169"/>
      <c r="M1169" s="37">
        <f t="shared" si="469"/>
        <v>22.61</v>
      </c>
      <c r="N1169" s="29">
        <v>11.67</v>
      </c>
      <c r="O1169" s="149"/>
      <c r="P1169" s="144"/>
      <c r="S1169" s="145" t="s">
        <v>1017</v>
      </c>
      <c r="T1169" s="145" t="s">
        <v>4179</v>
      </c>
      <c r="U1169" s="146" t="s">
        <v>1017</v>
      </c>
      <c r="W1169" s="147"/>
      <c r="X1169" s="147"/>
      <c r="Y1169" s="145" t="s">
        <v>1017</v>
      </c>
      <c r="AA1169" s="147"/>
      <c r="AD1169" s="147"/>
      <c r="AE1169" s="148"/>
      <c r="AF1169" s="147"/>
      <c r="AG1169" s="147"/>
      <c r="AH1169" s="166" t="str">
        <f t="shared" si="474"/>
        <v>2011</v>
      </c>
      <c r="AI1169" s="168" t="str">
        <f t="shared" si="462"/>
        <v/>
      </c>
      <c r="AJ1169" s="168" t="str">
        <f t="shared" si="463"/>
        <v/>
      </c>
      <c r="AK1169" s="168" t="str">
        <f t="shared" si="464"/>
        <v/>
      </c>
      <c r="AL1169" s="168" t="str">
        <f t="shared" si="465"/>
        <v/>
      </c>
      <c r="AM1169" s="168" t="str">
        <f t="shared" si="466"/>
        <v/>
      </c>
      <c r="AN1169" s="167" t="str">
        <f t="shared" si="449"/>
        <v>2011</v>
      </c>
      <c r="AO1169" s="167" t="str">
        <f t="shared" si="450"/>
        <v>2011</v>
      </c>
      <c r="AP1169" s="167" t="str">
        <f t="shared" si="451"/>
        <v>2011</v>
      </c>
      <c r="AQ1169" s="169" t="str">
        <f t="shared" si="452"/>
        <v/>
      </c>
      <c r="AR1169" s="170" t="str">
        <f t="shared" si="453"/>
        <v>BiK81GK11y--06</v>
      </c>
      <c r="AS1169" s="169" t="str">
        <f t="shared" si="454"/>
        <v/>
      </c>
      <c r="AT1169">
        <f t="shared" si="455"/>
        <v>14</v>
      </c>
      <c r="AU1169" s="170" t="str">
        <f t="shared" si="456"/>
        <v>0-0,15 MW, Bonusregeln G, y und K erstmals 2011</v>
      </c>
      <c r="AV1169" s="169" t="str">
        <f t="shared" si="457"/>
        <v/>
      </c>
      <c r="AW1169" s="170" t="str">
        <f t="shared" si="458"/>
        <v>Anteil KWK, erstmals 2011</v>
      </c>
      <c r="AX1169" s="169" t="str">
        <f t="shared" si="459"/>
        <v/>
      </c>
      <c r="AY1169" t="str">
        <f t="shared" si="460"/>
        <v>x</v>
      </c>
      <c r="AZ1169" t="str">
        <f t="shared" si="461"/>
        <v/>
      </c>
    </row>
    <row r="1170" spans="1:52" s="145" customFormat="1" x14ac:dyDescent="0.35">
      <c r="A1170" s="511" t="s">
        <v>1609</v>
      </c>
      <c r="B1170" s="173" t="s">
        <v>5547</v>
      </c>
      <c r="C1170" s="173" t="s">
        <v>1296</v>
      </c>
      <c r="D1170" s="173" t="s">
        <v>6816</v>
      </c>
      <c r="E1170" s="173" t="s">
        <v>1980</v>
      </c>
      <c r="F1170" s="374">
        <f t="shared" si="467"/>
        <v>22.58</v>
      </c>
      <c r="G1170" s="431">
        <v>22.58</v>
      </c>
      <c r="H1170" s="400">
        <f t="shared" si="468"/>
        <v>18.059999999999999</v>
      </c>
      <c r="I1170" s="577"/>
      <c r="J1170" s="549" t="s">
        <v>5804</v>
      </c>
      <c r="K1170" s="11"/>
      <c r="L1170"/>
      <c r="M1170" s="37">
        <f t="shared" si="469"/>
        <v>22.58</v>
      </c>
      <c r="N1170" s="29">
        <v>11.67</v>
      </c>
      <c r="O1170" s="149"/>
      <c r="P1170" s="144"/>
      <c r="S1170" s="145" t="s">
        <v>4179</v>
      </c>
      <c r="T1170" s="145" t="s">
        <v>1017</v>
      </c>
      <c r="U1170" s="146" t="s">
        <v>1017</v>
      </c>
      <c r="W1170" s="147"/>
      <c r="X1170" s="147"/>
      <c r="Y1170" s="145" t="s">
        <v>1017</v>
      </c>
      <c r="AA1170" s="147"/>
      <c r="AD1170" s="147"/>
      <c r="AE1170" s="148"/>
      <c r="AF1170" s="147"/>
      <c r="AG1170" s="147"/>
      <c r="AH1170" s="171" t="s">
        <v>4178</v>
      </c>
      <c r="AI1170" s="168" t="str">
        <f t="shared" si="462"/>
        <v/>
      </c>
      <c r="AJ1170" s="168" t="str">
        <f t="shared" si="463"/>
        <v/>
      </c>
      <c r="AK1170" s="168" t="str">
        <f t="shared" si="464"/>
        <v/>
      </c>
      <c r="AL1170" s="168" t="str">
        <f t="shared" si="465"/>
        <v/>
      </c>
      <c r="AM1170" s="168" t="str">
        <f t="shared" si="466"/>
        <v/>
      </c>
      <c r="AN1170" s="167" t="str">
        <f t="shared" si="449"/>
        <v>2012</v>
      </c>
      <c r="AO1170" s="167" t="str">
        <f t="shared" si="450"/>
        <v>2012</v>
      </c>
      <c r="AP1170" s="167" t="str">
        <f t="shared" si="451"/>
        <v>2012</v>
      </c>
      <c r="AQ1170" s="169" t="str">
        <f t="shared" si="452"/>
        <v/>
      </c>
      <c r="AR1170" s="170" t="str">
        <f t="shared" si="453"/>
        <v>BiK81GK12y--06</v>
      </c>
      <c r="AS1170" s="169" t="str">
        <f t="shared" si="454"/>
        <v/>
      </c>
      <c r="AT1170">
        <f t="shared" si="455"/>
        <v>14</v>
      </c>
      <c r="AU1170" s="170" t="str">
        <f t="shared" si="456"/>
        <v>0-0,15 MW, Bonusregeln G, y und K erstmals 2012</v>
      </c>
      <c r="AV1170" s="169" t="str">
        <f t="shared" si="457"/>
        <v/>
      </c>
      <c r="AW1170" s="170" t="str">
        <f t="shared" si="458"/>
        <v>Anteil KWK, erstmals 2012</v>
      </c>
      <c r="AX1170" s="169" t="str">
        <f t="shared" si="459"/>
        <v/>
      </c>
      <c r="AY1170" t="str">
        <f t="shared" si="460"/>
        <v/>
      </c>
      <c r="AZ1170" t="str">
        <f t="shared" si="461"/>
        <v>x</v>
      </c>
    </row>
    <row r="1171" spans="1:52" s="145" customFormat="1" x14ac:dyDescent="0.35">
      <c r="A1171" s="497" t="s">
        <v>4603</v>
      </c>
      <c r="B1171" s="13" t="s">
        <v>5547</v>
      </c>
      <c r="C1171" s="13" t="s">
        <v>1296</v>
      </c>
      <c r="D1171" s="13" t="s">
        <v>6817</v>
      </c>
      <c r="E1171" s="13" t="s">
        <v>4809</v>
      </c>
      <c r="F1171" s="373">
        <f t="shared" si="467"/>
        <v>22.67</v>
      </c>
      <c r="G1171" s="430">
        <v>22.67</v>
      </c>
      <c r="H1171" s="399">
        <f t="shared" si="468"/>
        <v>18.14</v>
      </c>
      <c r="I1171" s="576"/>
      <c r="J1171" s="549" t="s">
        <v>5804</v>
      </c>
      <c r="K1171" s="11"/>
      <c r="L1171"/>
      <c r="M1171" s="37">
        <f t="shared" si="469"/>
        <v>22.67</v>
      </c>
      <c r="N1171" s="29">
        <v>11.67</v>
      </c>
      <c r="O1171" s="149"/>
      <c r="P1171" s="144"/>
      <c r="S1171" s="145" t="s">
        <v>4179</v>
      </c>
      <c r="T1171" s="145" t="s">
        <v>4179</v>
      </c>
      <c r="U1171" s="146"/>
      <c r="W1171" s="147"/>
      <c r="X1171" s="147"/>
      <c r="Z1171" s="145" t="s">
        <v>1017</v>
      </c>
      <c r="AA1171" s="147"/>
      <c r="AD1171" s="147"/>
      <c r="AE1171" s="148"/>
      <c r="AF1171" s="147"/>
      <c r="AG1171" s="147"/>
      <c r="AH1171" s="166" t="str">
        <f t="shared" ref="AH1171:AH1176" si="475">IF(ISERROR(SEARCH("K erstmals 201",D1171)),"",RIGHT(D1171,4))</f>
        <v/>
      </c>
      <c r="AI1171" s="168" t="str">
        <f t="shared" si="462"/>
        <v/>
      </c>
      <c r="AJ1171" s="168" t="str">
        <f t="shared" si="463"/>
        <v/>
      </c>
      <c r="AK1171" s="168" t="str">
        <f t="shared" si="464"/>
        <v/>
      </c>
      <c r="AL1171" s="168" t="str">
        <f t="shared" si="465"/>
        <v/>
      </c>
      <c r="AM1171" s="168" t="str">
        <f t="shared" si="466"/>
        <v/>
      </c>
      <c r="AN1171" s="167" t="str">
        <f t="shared" si="449"/>
        <v/>
      </c>
      <c r="AO1171" s="167" t="str">
        <f t="shared" si="450"/>
        <v/>
      </c>
      <c r="AP1171" s="167" t="str">
        <f t="shared" si="451"/>
        <v/>
      </c>
      <c r="AQ1171" s="169" t="str">
        <f t="shared" si="452"/>
        <v/>
      </c>
      <c r="AR1171" s="170" t="str">
        <f t="shared" si="453"/>
        <v>BiK81M1-----06</v>
      </c>
      <c r="AS1171" s="169" t="str">
        <f t="shared" si="454"/>
        <v/>
      </c>
      <c r="AT1171">
        <f t="shared" si="455"/>
        <v>14</v>
      </c>
      <c r="AU1171" s="170" t="str">
        <f t="shared" si="456"/>
        <v>0-0,15 MW, Bonusregel M1</v>
      </c>
      <c r="AV1171" s="169" t="str">
        <f t="shared" si="457"/>
        <v/>
      </c>
      <c r="AW1171" s="170" t="str">
        <f t="shared" si="458"/>
        <v>Anteil Nicht-KWK</v>
      </c>
      <c r="AX1171" s="169" t="str">
        <f t="shared" si="459"/>
        <v/>
      </c>
      <c r="AY1171" t="str">
        <f t="shared" si="460"/>
        <v/>
      </c>
      <c r="AZ1171" t="str">
        <f t="shared" si="461"/>
        <v/>
      </c>
    </row>
    <row r="1172" spans="1:52" s="145" customFormat="1" x14ac:dyDescent="0.35">
      <c r="A1172" s="497" t="s">
        <v>4604</v>
      </c>
      <c r="B1172" s="13" t="s">
        <v>5547</v>
      </c>
      <c r="C1172" s="13" t="s">
        <v>1296</v>
      </c>
      <c r="D1172" s="13" t="s">
        <v>6892</v>
      </c>
      <c r="E1172" s="13" t="s">
        <v>4811</v>
      </c>
      <c r="F1172" s="373">
        <f t="shared" si="467"/>
        <v>24.67</v>
      </c>
      <c r="G1172" s="430">
        <v>24.67</v>
      </c>
      <c r="H1172" s="399">
        <f t="shared" si="468"/>
        <v>19.739999999999998</v>
      </c>
      <c r="I1172" s="576"/>
      <c r="J1172" s="549" t="s">
        <v>5804</v>
      </c>
      <c r="K1172" s="11"/>
      <c r="L1172"/>
      <c r="M1172" s="37">
        <f t="shared" si="469"/>
        <v>24.67</v>
      </c>
      <c r="N1172" s="29">
        <v>11.67</v>
      </c>
      <c r="O1172" s="149" t="s">
        <v>1017</v>
      </c>
      <c r="P1172" s="144"/>
      <c r="S1172" s="145" t="s">
        <v>4179</v>
      </c>
      <c r="T1172" s="145" t="s">
        <v>4179</v>
      </c>
      <c r="U1172" s="146"/>
      <c r="W1172" s="147"/>
      <c r="X1172" s="147"/>
      <c r="Z1172" s="145" t="s">
        <v>1017</v>
      </c>
      <c r="AA1172" s="147"/>
      <c r="AD1172" s="147"/>
      <c r="AE1172" s="148"/>
      <c r="AF1172" s="147"/>
      <c r="AG1172" s="147"/>
      <c r="AH1172" s="166" t="str">
        <f t="shared" si="475"/>
        <v/>
      </c>
      <c r="AI1172" s="168" t="str">
        <f t="shared" si="462"/>
        <v/>
      </c>
      <c r="AJ1172" s="168" t="str">
        <f t="shared" si="463"/>
        <v/>
      </c>
      <c r="AK1172" s="168" t="str">
        <f t="shared" si="464"/>
        <v/>
      </c>
      <c r="AL1172" s="168" t="str">
        <f t="shared" si="465"/>
        <v/>
      </c>
      <c r="AM1172" s="168" t="str">
        <f t="shared" si="466"/>
        <v/>
      </c>
      <c r="AN1172" s="167" t="str">
        <f t="shared" si="449"/>
        <v/>
      </c>
      <c r="AO1172" s="167" t="str">
        <f t="shared" si="450"/>
        <v/>
      </c>
      <c r="AP1172" s="167" t="str">
        <f t="shared" si="451"/>
        <v/>
      </c>
      <c r="AQ1172" s="169" t="str">
        <f t="shared" si="452"/>
        <v/>
      </c>
      <c r="AR1172" s="170" t="str">
        <f t="shared" si="453"/>
        <v>BiK81M1KWK--06</v>
      </c>
      <c r="AS1172" s="169" t="str">
        <f t="shared" si="454"/>
        <v/>
      </c>
      <c r="AT1172">
        <f t="shared" si="455"/>
        <v>14</v>
      </c>
      <c r="AU1172" s="170" t="str">
        <f t="shared" si="456"/>
        <v>0-0,15 MW, Bonusregeln M1 und KWK</v>
      </c>
      <c r="AV1172" s="169" t="str">
        <f t="shared" si="457"/>
        <v/>
      </c>
      <c r="AW1172" s="170" t="str">
        <f t="shared" si="458"/>
        <v>Anteil KWK</v>
      </c>
      <c r="AX1172" s="169" t="str">
        <f t="shared" si="459"/>
        <v/>
      </c>
      <c r="AY1172" t="str">
        <f t="shared" si="460"/>
        <v/>
      </c>
      <c r="AZ1172" t="str">
        <f t="shared" si="461"/>
        <v/>
      </c>
    </row>
    <row r="1173" spans="1:52" s="145" customFormat="1" x14ac:dyDescent="0.35">
      <c r="A1173" s="497" t="s">
        <v>4605</v>
      </c>
      <c r="B1173" s="13" t="s">
        <v>5547</v>
      </c>
      <c r="C1173" s="13" t="s">
        <v>1296</v>
      </c>
      <c r="D1173" s="13" t="s">
        <v>6818</v>
      </c>
      <c r="E1173" s="13" t="s">
        <v>4330</v>
      </c>
      <c r="F1173" s="373">
        <f t="shared" si="467"/>
        <v>25.67</v>
      </c>
      <c r="G1173" s="430">
        <v>25.67</v>
      </c>
      <c r="H1173" s="399">
        <f t="shared" si="468"/>
        <v>20.54</v>
      </c>
      <c r="I1173" s="576"/>
      <c r="J1173" s="549" t="s">
        <v>5804</v>
      </c>
      <c r="K1173" s="11"/>
      <c r="L1173"/>
      <c r="M1173" s="37">
        <f t="shared" si="469"/>
        <v>25.67</v>
      </c>
      <c r="N1173" s="29">
        <v>11.67</v>
      </c>
      <c r="O1173" s="149"/>
      <c r="P1173" s="145" t="s">
        <v>1017</v>
      </c>
      <c r="S1173" s="145" t="s">
        <v>4179</v>
      </c>
      <c r="T1173" s="145" t="s">
        <v>4179</v>
      </c>
      <c r="U1173" s="146"/>
      <c r="W1173" s="147"/>
      <c r="X1173" s="147"/>
      <c r="Z1173" s="145" t="s">
        <v>1017</v>
      </c>
      <c r="AA1173" s="147"/>
      <c r="AD1173" s="147"/>
      <c r="AE1173" s="148"/>
      <c r="AF1173" s="147"/>
      <c r="AG1173" s="147"/>
      <c r="AH1173" s="166" t="str">
        <f t="shared" si="475"/>
        <v/>
      </c>
      <c r="AI1173" s="168" t="str">
        <f t="shared" si="462"/>
        <v/>
      </c>
      <c r="AJ1173" s="168" t="str">
        <f t="shared" si="463"/>
        <v/>
      </c>
      <c r="AK1173" s="168" t="str">
        <f t="shared" si="464"/>
        <v/>
      </c>
      <c r="AL1173" s="168" t="str">
        <f t="shared" si="465"/>
        <v/>
      </c>
      <c r="AM1173" s="168" t="str">
        <f t="shared" si="466"/>
        <v/>
      </c>
      <c r="AN1173" s="167" t="str">
        <f t="shared" si="449"/>
        <v/>
      </c>
      <c r="AO1173" s="167" t="str">
        <f t="shared" si="450"/>
        <v/>
      </c>
      <c r="AP1173" s="167" t="str">
        <f t="shared" si="451"/>
        <v/>
      </c>
      <c r="AQ1173" s="169" t="str">
        <f t="shared" si="452"/>
        <v/>
      </c>
      <c r="AR1173" s="170" t="str">
        <f t="shared" si="453"/>
        <v>BiK81M1KA3--06</v>
      </c>
      <c r="AS1173" s="169" t="str">
        <f t="shared" si="454"/>
        <v/>
      </c>
      <c r="AT1173">
        <f t="shared" si="455"/>
        <v>14</v>
      </c>
      <c r="AU1173" s="170" t="str">
        <f t="shared" si="456"/>
        <v>0-0,15 MW, Bonusregeln M1 und K wenn Anlage 3 erfüllt</v>
      </c>
      <c r="AV1173" s="169" t="str">
        <f t="shared" si="457"/>
        <v/>
      </c>
      <c r="AW1173" s="170" t="str">
        <f t="shared" si="458"/>
        <v>Anteil KWK gemäß Anlage 3</v>
      </c>
      <c r="AX1173" s="169" t="str">
        <f t="shared" si="459"/>
        <v/>
      </c>
      <c r="AY1173" t="str">
        <f t="shared" si="460"/>
        <v/>
      </c>
      <c r="AZ1173" t="str">
        <f t="shared" si="461"/>
        <v/>
      </c>
    </row>
    <row r="1174" spans="1:52" s="145" customFormat="1" x14ac:dyDescent="0.35">
      <c r="A1174" s="497" t="s">
        <v>4606</v>
      </c>
      <c r="B1174" s="13" t="s">
        <v>5547</v>
      </c>
      <c r="C1174" s="13" t="s">
        <v>1296</v>
      </c>
      <c r="D1174" s="13" t="s">
        <v>6893</v>
      </c>
      <c r="E1174" s="13" t="s">
        <v>674</v>
      </c>
      <c r="F1174" s="373">
        <f t="shared" si="467"/>
        <v>25.67</v>
      </c>
      <c r="G1174" s="430">
        <v>25.67</v>
      </c>
      <c r="H1174" s="399">
        <f t="shared" si="468"/>
        <v>20.54</v>
      </c>
      <c r="I1174" s="576"/>
      <c r="J1174" s="549" t="s">
        <v>5804</v>
      </c>
      <c r="K1174" s="11"/>
      <c r="L1174"/>
      <c r="M1174" s="37">
        <f t="shared" si="469"/>
        <v>25.67</v>
      </c>
      <c r="N1174" s="29">
        <v>11.67</v>
      </c>
      <c r="O1174" s="149"/>
      <c r="P1174" s="144"/>
      <c r="Q1174" s="145" t="s">
        <v>1017</v>
      </c>
      <c r="S1174" s="145" t="s">
        <v>4179</v>
      </c>
      <c r="T1174" s="145" t="s">
        <v>4179</v>
      </c>
      <c r="U1174" s="146"/>
      <c r="W1174" s="147"/>
      <c r="X1174" s="147"/>
      <c r="Z1174" s="145" t="s">
        <v>1017</v>
      </c>
      <c r="AA1174" s="147"/>
      <c r="AD1174" s="147"/>
      <c r="AE1174" s="148"/>
      <c r="AF1174" s="147"/>
      <c r="AG1174" s="147"/>
      <c r="AH1174" s="166" t="str">
        <f t="shared" si="475"/>
        <v/>
      </c>
      <c r="AI1174" s="168" t="str">
        <f t="shared" si="462"/>
        <v/>
      </c>
      <c r="AJ1174" s="168" t="str">
        <f t="shared" si="463"/>
        <v/>
      </c>
      <c r="AK1174" s="168" t="str">
        <f t="shared" si="464"/>
        <v/>
      </c>
      <c r="AL1174" s="168" t="str">
        <f t="shared" si="465"/>
        <v/>
      </c>
      <c r="AM1174" s="168" t="str">
        <f t="shared" si="466"/>
        <v/>
      </c>
      <c r="AN1174" s="167" t="str">
        <f t="shared" si="449"/>
        <v/>
      </c>
      <c r="AO1174" s="167" t="str">
        <f t="shared" si="450"/>
        <v/>
      </c>
      <c r="AP1174" s="167" t="str">
        <f t="shared" si="451"/>
        <v/>
      </c>
      <c r="AQ1174" s="169" t="str">
        <f t="shared" si="452"/>
        <v/>
      </c>
      <c r="AR1174" s="170" t="str">
        <f t="shared" si="453"/>
        <v>BiK81M1K09--06</v>
      </c>
      <c r="AS1174" s="169" t="str">
        <f t="shared" si="454"/>
        <v/>
      </c>
      <c r="AT1174">
        <f t="shared" si="455"/>
        <v>14</v>
      </c>
      <c r="AU1174" s="170" t="str">
        <f t="shared" si="456"/>
        <v>0-0,15 MW, Bonusregeln M1, K erstmals 2009</v>
      </c>
      <c r="AV1174" s="169" t="str">
        <f t="shared" si="457"/>
        <v/>
      </c>
      <c r="AW1174" s="170" t="str">
        <f t="shared" si="458"/>
        <v>Anteil KWK, erstmals 2009</v>
      </c>
      <c r="AX1174" s="169" t="str">
        <f t="shared" si="459"/>
        <v/>
      </c>
      <c r="AY1174" t="str">
        <f t="shared" si="460"/>
        <v/>
      </c>
      <c r="AZ1174" t="str">
        <f t="shared" si="461"/>
        <v/>
      </c>
    </row>
    <row r="1175" spans="1:52" s="145" customFormat="1" x14ac:dyDescent="0.35">
      <c r="A1175" s="497" t="s">
        <v>4890</v>
      </c>
      <c r="B1175" s="13" t="s">
        <v>5547</v>
      </c>
      <c r="C1175" s="13" t="s">
        <v>1296</v>
      </c>
      <c r="D1175" s="13" t="s">
        <v>6894</v>
      </c>
      <c r="E1175" s="13" t="s">
        <v>3566</v>
      </c>
      <c r="F1175" s="373">
        <f t="shared" si="467"/>
        <v>25.64</v>
      </c>
      <c r="G1175" s="430">
        <v>25.64</v>
      </c>
      <c r="H1175" s="399">
        <f t="shared" si="468"/>
        <v>20.51</v>
      </c>
      <c r="I1175" s="576"/>
      <c r="J1175" s="549" t="s">
        <v>5804</v>
      </c>
      <c r="K1175" s="11"/>
      <c r="L1175"/>
      <c r="M1175" s="37">
        <f t="shared" si="469"/>
        <v>25.64</v>
      </c>
      <c r="N1175" s="29">
        <v>11.67</v>
      </c>
      <c r="O1175" s="149"/>
      <c r="P1175" s="144"/>
      <c r="R1175" s="145" t="s">
        <v>1017</v>
      </c>
      <c r="S1175" s="145" t="s">
        <v>4179</v>
      </c>
      <c r="T1175" s="145" t="s">
        <v>4179</v>
      </c>
      <c r="U1175" s="146"/>
      <c r="W1175" s="147"/>
      <c r="X1175" s="147"/>
      <c r="Z1175" s="145" t="s">
        <v>1017</v>
      </c>
      <c r="AA1175" s="147"/>
      <c r="AD1175" s="147"/>
      <c r="AE1175" s="148"/>
      <c r="AF1175" s="147"/>
      <c r="AG1175" s="147"/>
      <c r="AH1175" s="166" t="str">
        <f t="shared" si="475"/>
        <v>2010</v>
      </c>
      <c r="AI1175" s="168" t="str">
        <f t="shared" si="462"/>
        <v/>
      </c>
      <c r="AJ1175" s="168" t="str">
        <f t="shared" si="463"/>
        <v/>
      </c>
      <c r="AK1175" s="168" t="str">
        <f t="shared" si="464"/>
        <v/>
      </c>
      <c r="AL1175" s="168" t="str">
        <f t="shared" si="465"/>
        <v/>
      </c>
      <c r="AM1175" s="168" t="str">
        <f t="shared" si="466"/>
        <v/>
      </c>
      <c r="AN1175" s="167" t="str">
        <f t="shared" si="449"/>
        <v>2010</v>
      </c>
      <c r="AO1175" s="167" t="str">
        <f t="shared" si="450"/>
        <v>2010</v>
      </c>
      <c r="AP1175" s="167" t="str">
        <f t="shared" si="451"/>
        <v>2010</v>
      </c>
      <c r="AQ1175" s="169" t="str">
        <f t="shared" si="452"/>
        <v/>
      </c>
      <c r="AR1175" s="170" t="str">
        <f t="shared" si="453"/>
        <v>BiK81M1K10--06</v>
      </c>
      <c r="AS1175" s="169" t="str">
        <f t="shared" si="454"/>
        <v/>
      </c>
      <c r="AT1175">
        <f t="shared" si="455"/>
        <v>14</v>
      </c>
      <c r="AU1175" s="170" t="str">
        <f t="shared" si="456"/>
        <v>0-0,15 MW, Bonusregeln M1, K erstmals 2010</v>
      </c>
      <c r="AV1175" s="169" t="str">
        <f t="shared" si="457"/>
        <v/>
      </c>
      <c r="AW1175" s="170" t="str">
        <f t="shared" si="458"/>
        <v>Anteil KWK, erstmals 2010</v>
      </c>
      <c r="AX1175" s="169" t="str">
        <f t="shared" si="459"/>
        <v/>
      </c>
      <c r="AY1175" t="str">
        <f t="shared" si="460"/>
        <v/>
      </c>
      <c r="AZ1175" t="str">
        <f t="shared" si="461"/>
        <v/>
      </c>
    </row>
    <row r="1176" spans="1:52" s="145" customFormat="1" x14ac:dyDescent="0.35">
      <c r="A1176" s="497" t="s">
        <v>5359</v>
      </c>
      <c r="B1176" s="13" t="s">
        <v>5547</v>
      </c>
      <c r="C1176" s="13" t="s">
        <v>1296</v>
      </c>
      <c r="D1176" s="13" t="s">
        <v>6895</v>
      </c>
      <c r="E1176" s="13" t="s">
        <v>3054</v>
      </c>
      <c r="F1176" s="373">
        <f t="shared" si="467"/>
        <v>25.61</v>
      </c>
      <c r="G1176" s="430">
        <v>25.61</v>
      </c>
      <c r="H1176" s="399">
        <f t="shared" si="468"/>
        <v>20.49</v>
      </c>
      <c r="I1176" s="576"/>
      <c r="J1176" s="549" t="s">
        <v>5804</v>
      </c>
      <c r="K1176" s="11"/>
      <c r="L1176"/>
      <c r="M1176" s="37">
        <f t="shared" si="469"/>
        <v>25.61</v>
      </c>
      <c r="N1176" s="29">
        <v>11.67</v>
      </c>
      <c r="O1176" s="149"/>
      <c r="P1176" s="144"/>
      <c r="S1176" s="145" t="s">
        <v>1017</v>
      </c>
      <c r="T1176" s="145" t="s">
        <v>4179</v>
      </c>
      <c r="U1176" s="146"/>
      <c r="W1176" s="147"/>
      <c r="X1176" s="147"/>
      <c r="Z1176" s="145" t="s">
        <v>1017</v>
      </c>
      <c r="AA1176" s="147"/>
      <c r="AD1176" s="147"/>
      <c r="AE1176" s="148"/>
      <c r="AF1176" s="147"/>
      <c r="AG1176" s="147"/>
      <c r="AH1176" s="166" t="str">
        <f t="shared" si="475"/>
        <v>2011</v>
      </c>
      <c r="AI1176" s="168" t="str">
        <f t="shared" si="462"/>
        <v/>
      </c>
      <c r="AJ1176" s="168" t="str">
        <f t="shared" si="463"/>
        <v/>
      </c>
      <c r="AK1176" s="168" t="str">
        <f t="shared" si="464"/>
        <v/>
      </c>
      <c r="AL1176" s="168" t="str">
        <f t="shared" si="465"/>
        <v/>
      </c>
      <c r="AM1176" s="168" t="str">
        <f t="shared" si="466"/>
        <v/>
      </c>
      <c r="AN1176" s="167" t="str">
        <f t="shared" si="449"/>
        <v>2011</v>
      </c>
      <c r="AO1176" s="167" t="str">
        <f t="shared" si="450"/>
        <v>2011</v>
      </c>
      <c r="AP1176" s="167" t="str">
        <f t="shared" si="451"/>
        <v>2011</v>
      </c>
      <c r="AQ1176" s="169" t="str">
        <f t="shared" si="452"/>
        <v/>
      </c>
      <c r="AR1176" s="170" t="str">
        <f t="shared" si="453"/>
        <v>BiK81M1K11--06</v>
      </c>
      <c r="AS1176" s="169" t="str">
        <f t="shared" si="454"/>
        <v/>
      </c>
      <c r="AT1176">
        <f t="shared" si="455"/>
        <v>14</v>
      </c>
      <c r="AU1176" s="170" t="str">
        <f t="shared" si="456"/>
        <v>0-0,15 MW, Bonusregeln M1, K erstmals 2011</v>
      </c>
      <c r="AV1176" s="169" t="str">
        <f t="shared" si="457"/>
        <v/>
      </c>
      <c r="AW1176" s="170" t="str">
        <f t="shared" si="458"/>
        <v>Anteil KWK, erstmals 2011</v>
      </c>
      <c r="AX1176" s="169" t="str">
        <f t="shared" si="459"/>
        <v/>
      </c>
      <c r="AY1176" t="str">
        <f t="shared" si="460"/>
        <v>x</v>
      </c>
      <c r="AZ1176" t="str">
        <f t="shared" si="461"/>
        <v/>
      </c>
    </row>
    <row r="1177" spans="1:52" s="145" customFormat="1" x14ac:dyDescent="0.35">
      <c r="A1177" s="511" t="s">
        <v>1610</v>
      </c>
      <c r="B1177" s="173" t="s">
        <v>5547</v>
      </c>
      <c r="C1177" s="173" t="s">
        <v>1296</v>
      </c>
      <c r="D1177" s="173" t="s">
        <v>6896</v>
      </c>
      <c r="E1177" s="173" t="s">
        <v>1980</v>
      </c>
      <c r="F1177" s="374">
        <f t="shared" si="467"/>
        <v>25.58</v>
      </c>
      <c r="G1177" s="431">
        <v>25.58</v>
      </c>
      <c r="H1177" s="400">
        <f t="shared" si="468"/>
        <v>20.46</v>
      </c>
      <c r="I1177" s="577"/>
      <c r="J1177" s="549" t="s">
        <v>5804</v>
      </c>
      <c r="K1177" s="11"/>
      <c r="L1177"/>
      <c r="M1177" s="37">
        <f t="shared" si="469"/>
        <v>25.58</v>
      </c>
      <c r="N1177" s="29">
        <v>11.67</v>
      </c>
      <c r="O1177" s="149"/>
      <c r="P1177" s="144"/>
      <c r="S1177" s="145" t="s">
        <v>4179</v>
      </c>
      <c r="T1177" s="145" t="s">
        <v>1017</v>
      </c>
      <c r="U1177" s="146"/>
      <c r="W1177" s="147"/>
      <c r="X1177" s="147"/>
      <c r="Z1177" s="145" t="s">
        <v>1017</v>
      </c>
      <c r="AA1177" s="147"/>
      <c r="AD1177" s="147"/>
      <c r="AE1177" s="148"/>
      <c r="AF1177" s="147"/>
      <c r="AG1177" s="147"/>
      <c r="AH1177" s="171" t="s">
        <v>4178</v>
      </c>
      <c r="AI1177" s="168" t="str">
        <f t="shared" si="462"/>
        <v/>
      </c>
      <c r="AJ1177" s="168" t="str">
        <f t="shared" si="463"/>
        <v/>
      </c>
      <c r="AK1177" s="168" t="str">
        <f t="shared" si="464"/>
        <v/>
      </c>
      <c r="AL1177" s="168" t="str">
        <f t="shared" si="465"/>
        <v/>
      </c>
      <c r="AM1177" s="168" t="str">
        <f t="shared" si="466"/>
        <v/>
      </c>
      <c r="AN1177" s="167" t="str">
        <f t="shared" si="449"/>
        <v>2012</v>
      </c>
      <c r="AO1177" s="167" t="str">
        <f t="shared" si="450"/>
        <v>2012</v>
      </c>
      <c r="AP1177" s="167" t="str">
        <f t="shared" si="451"/>
        <v>2012</v>
      </c>
      <c r="AQ1177" s="169" t="str">
        <f t="shared" si="452"/>
        <v/>
      </c>
      <c r="AR1177" s="170" t="str">
        <f t="shared" si="453"/>
        <v>BiK81M1K12--06</v>
      </c>
      <c r="AS1177" s="169" t="str">
        <f t="shared" si="454"/>
        <v/>
      </c>
      <c r="AT1177">
        <f t="shared" si="455"/>
        <v>14</v>
      </c>
      <c r="AU1177" s="170" t="str">
        <f t="shared" si="456"/>
        <v>0-0,15 MW, Bonusregeln M1, K erstmals 2012</v>
      </c>
      <c r="AV1177" s="169" t="str">
        <f t="shared" si="457"/>
        <v/>
      </c>
      <c r="AW1177" s="170" t="str">
        <f t="shared" si="458"/>
        <v>Anteil KWK, erstmals 2012</v>
      </c>
      <c r="AX1177" s="169" t="str">
        <f t="shared" si="459"/>
        <v/>
      </c>
      <c r="AY1177" t="str">
        <f t="shared" si="460"/>
        <v/>
      </c>
      <c r="AZ1177" t="str">
        <f t="shared" si="461"/>
        <v>x</v>
      </c>
    </row>
    <row r="1178" spans="1:52" s="145" customFormat="1" x14ac:dyDescent="0.35">
      <c r="A1178" s="497" t="s">
        <v>4607</v>
      </c>
      <c r="B1178" s="13" t="s">
        <v>5547</v>
      </c>
      <c r="C1178" s="13" t="s">
        <v>1296</v>
      </c>
      <c r="D1178" s="13" t="s">
        <v>6823</v>
      </c>
      <c r="E1178" s="13" t="s">
        <v>4809</v>
      </c>
      <c r="F1178" s="373">
        <f t="shared" si="467"/>
        <v>23.67</v>
      </c>
      <c r="G1178" s="430">
        <v>23.67</v>
      </c>
      <c r="H1178" s="399">
        <f t="shared" si="468"/>
        <v>18.940000000000001</v>
      </c>
      <c r="I1178" s="576"/>
      <c r="J1178" s="549" t="s">
        <v>5804</v>
      </c>
      <c r="K1178" s="11"/>
      <c r="L1178"/>
      <c r="M1178" s="37">
        <f t="shared" si="469"/>
        <v>23.67</v>
      </c>
      <c r="N1178" s="29">
        <v>11.67</v>
      </c>
      <c r="O1178" s="149"/>
      <c r="P1178" s="144"/>
      <c r="S1178" s="145" t="s">
        <v>4179</v>
      </c>
      <c r="T1178" s="145" t="s">
        <v>4179</v>
      </c>
      <c r="U1178" s="146" t="s">
        <v>1017</v>
      </c>
      <c r="W1178" s="147"/>
      <c r="X1178" s="147"/>
      <c r="Z1178" s="145" t="s">
        <v>1017</v>
      </c>
      <c r="AA1178" s="147"/>
      <c r="AD1178" s="147"/>
      <c r="AE1178" s="148"/>
      <c r="AF1178" s="147"/>
      <c r="AG1178" s="147"/>
      <c r="AH1178" s="166" t="str">
        <f t="shared" ref="AH1178:AH1183" si="476">IF(ISERROR(SEARCH("K erstmals 201",D1178)),"",RIGHT(D1178,4))</f>
        <v/>
      </c>
      <c r="AI1178" s="168" t="str">
        <f t="shared" si="462"/>
        <v/>
      </c>
      <c r="AJ1178" s="168" t="str">
        <f t="shared" si="463"/>
        <v/>
      </c>
      <c r="AK1178" s="168" t="str">
        <f t="shared" si="464"/>
        <v/>
      </c>
      <c r="AL1178" s="168" t="str">
        <f t="shared" si="465"/>
        <v/>
      </c>
      <c r="AM1178" s="168" t="str">
        <f t="shared" si="466"/>
        <v/>
      </c>
      <c r="AN1178" s="167" t="str">
        <f t="shared" si="449"/>
        <v/>
      </c>
      <c r="AO1178" s="167" t="str">
        <f t="shared" si="450"/>
        <v/>
      </c>
      <c r="AP1178" s="167" t="str">
        <f t="shared" si="451"/>
        <v/>
      </c>
      <c r="AQ1178" s="169" t="str">
        <f t="shared" si="452"/>
        <v/>
      </c>
      <c r="AR1178" s="170" t="str">
        <f t="shared" si="453"/>
        <v>BiK81M1y----06</v>
      </c>
      <c r="AS1178" s="169" t="str">
        <f t="shared" si="454"/>
        <v/>
      </c>
      <c r="AT1178">
        <f t="shared" si="455"/>
        <v>14</v>
      </c>
      <c r="AU1178" s="170" t="str">
        <f t="shared" si="456"/>
        <v>0-0,15 MW, Bonusregeln M1, y</v>
      </c>
      <c r="AV1178" s="169" t="str">
        <f t="shared" si="457"/>
        <v/>
      </c>
      <c r="AW1178" s="170" t="str">
        <f t="shared" si="458"/>
        <v>Anteil Nicht-KWK</v>
      </c>
      <c r="AX1178" s="169" t="str">
        <f t="shared" si="459"/>
        <v/>
      </c>
      <c r="AY1178" t="str">
        <f t="shared" si="460"/>
        <v/>
      </c>
      <c r="AZ1178" t="str">
        <f t="shared" si="461"/>
        <v/>
      </c>
    </row>
    <row r="1179" spans="1:52" s="145" customFormat="1" x14ac:dyDescent="0.35">
      <c r="A1179" s="497" t="s">
        <v>4608</v>
      </c>
      <c r="B1179" s="13" t="s">
        <v>5547</v>
      </c>
      <c r="C1179" s="13" t="s">
        <v>1296</v>
      </c>
      <c r="D1179" s="13" t="s">
        <v>6897</v>
      </c>
      <c r="E1179" s="13" t="s">
        <v>4811</v>
      </c>
      <c r="F1179" s="373">
        <f t="shared" si="467"/>
        <v>25.67</v>
      </c>
      <c r="G1179" s="430">
        <v>25.67</v>
      </c>
      <c r="H1179" s="399">
        <f t="shared" si="468"/>
        <v>20.54</v>
      </c>
      <c r="I1179" s="576"/>
      <c r="J1179" s="549" t="s">
        <v>5804</v>
      </c>
      <c r="K1179" s="11"/>
      <c r="L1179"/>
      <c r="M1179" s="37">
        <f t="shared" si="469"/>
        <v>25.67</v>
      </c>
      <c r="N1179" s="29">
        <v>11.67</v>
      </c>
      <c r="O1179" s="149" t="s">
        <v>1017</v>
      </c>
      <c r="P1179" s="144"/>
      <c r="S1179" s="145" t="s">
        <v>4179</v>
      </c>
      <c r="T1179" s="145" t="s">
        <v>4179</v>
      </c>
      <c r="U1179" s="146" t="s">
        <v>1017</v>
      </c>
      <c r="W1179" s="147"/>
      <c r="X1179" s="147"/>
      <c r="Z1179" s="145" t="s">
        <v>1017</v>
      </c>
      <c r="AA1179" s="147"/>
      <c r="AD1179" s="147"/>
      <c r="AE1179" s="148"/>
      <c r="AF1179" s="147"/>
      <c r="AG1179" s="147"/>
      <c r="AH1179" s="166" t="str">
        <f t="shared" si="476"/>
        <v/>
      </c>
      <c r="AI1179" s="168" t="str">
        <f t="shared" si="462"/>
        <v/>
      </c>
      <c r="AJ1179" s="168" t="str">
        <f t="shared" si="463"/>
        <v/>
      </c>
      <c r="AK1179" s="168" t="str">
        <f t="shared" si="464"/>
        <v/>
      </c>
      <c r="AL1179" s="168" t="str">
        <f t="shared" si="465"/>
        <v/>
      </c>
      <c r="AM1179" s="168" t="str">
        <f t="shared" si="466"/>
        <v/>
      </c>
      <c r="AN1179" s="167" t="str">
        <f t="shared" si="449"/>
        <v/>
      </c>
      <c r="AO1179" s="167" t="str">
        <f t="shared" si="450"/>
        <v/>
      </c>
      <c r="AP1179" s="167" t="str">
        <f t="shared" si="451"/>
        <v/>
      </c>
      <c r="AQ1179" s="169" t="str">
        <f t="shared" si="452"/>
        <v/>
      </c>
      <c r="AR1179" s="170" t="str">
        <f t="shared" si="453"/>
        <v>BiK81M1KWKy-06</v>
      </c>
      <c r="AS1179" s="169" t="str">
        <f t="shared" si="454"/>
        <v/>
      </c>
      <c r="AT1179">
        <f t="shared" si="455"/>
        <v>14</v>
      </c>
      <c r="AU1179" s="170" t="str">
        <f t="shared" si="456"/>
        <v>0-0,15 MW, Bonusregeln M1, y und KWK</v>
      </c>
      <c r="AV1179" s="169" t="str">
        <f t="shared" si="457"/>
        <v/>
      </c>
      <c r="AW1179" s="170" t="str">
        <f t="shared" si="458"/>
        <v>Anteil KWK</v>
      </c>
      <c r="AX1179" s="169" t="str">
        <f t="shared" si="459"/>
        <v/>
      </c>
      <c r="AY1179" t="str">
        <f t="shared" si="460"/>
        <v/>
      </c>
      <c r="AZ1179" t="str">
        <f t="shared" si="461"/>
        <v/>
      </c>
    </row>
    <row r="1180" spans="1:52" s="145" customFormat="1" x14ac:dyDescent="0.35">
      <c r="A1180" s="497" t="s">
        <v>4609</v>
      </c>
      <c r="B1180" s="13" t="s">
        <v>5547</v>
      </c>
      <c r="C1180" s="13" t="s">
        <v>1296</v>
      </c>
      <c r="D1180" s="88" t="s">
        <v>6824</v>
      </c>
      <c r="E1180" s="13" t="s">
        <v>4330</v>
      </c>
      <c r="F1180" s="373">
        <f t="shared" si="467"/>
        <v>26.67</v>
      </c>
      <c r="G1180" s="430">
        <v>26.67</v>
      </c>
      <c r="H1180" s="399">
        <f t="shared" si="468"/>
        <v>21.34</v>
      </c>
      <c r="I1180" s="576"/>
      <c r="J1180" s="549" t="s">
        <v>5804</v>
      </c>
      <c r="K1180" s="11"/>
      <c r="L1180"/>
      <c r="M1180" s="37">
        <f t="shared" si="469"/>
        <v>26.67</v>
      </c>
      <c r="N1180" s="29">
        <v>11.67</v>
      </c>
      <c r="O1180" s="149"/>
      <c r="P1180" s="145" t="s">
        <v>1017</v>
      </c>
      <c r="S1180" s="145" t="s">
        <v>4179</v>
      </c>
      <c r="T1180" s="145" t="s">
        <v>4179</v>
      </c>
      <c r="U1180" s="146" t="s">
        <v>1017</v>
      </c>
      <c r="W1180" s="147"/>
      <c r="X1180" s="147"/>
      <c r="Z1180" s="145" t="s">
        <v>1017</v>
      </c>
      <c r="AA1180" s="147"/>
      <c r="AD1180" s="147"/>
      <c r="AE1180" s="148"/>
      <c r="AF1180" s="147"/>
      <c r="AG1180" s="147"/>
      <c r="AH1180" s="166" t="str">
        <f t="shared" si="476"/>
        <v/>
      </c>
      <c r="AI1180" s="168" t="str">
        <f t="shared" si="462"/>
        <v/>
      </c>
      <c r="AJ1180" s="168" t="str">
        <f t="shared" si="463"/>
        <v/>
      </c>
      <c r="AK1180" s="168" t="str">
        <f t="shared" si="464"/>
        <v/>
      </c>
      <c r="AL1180" s="168" t="str">
        <f t="shared" si="465"/>
        <v/>
      </c>
      <c r="AM1180" s="168" t="str">
        <f t="shared" si="466"/>
        <v/>
      </c>
      <c r="AN1180" s="167" t="str">
        <f t="shared" si="449"/>
        <v/>
      </c>
      <c r="AO1180" s="167" t="str">
        <f t="shared" si="450"/>
        <v/>
      </c>
      <c r="AP1180" s="167" t="str">
        <f t="shared" si="451"/>
        <v/>
      </c>
      <c r="AQ1180" s="169" t="str">
        <f t="shared" si="452"/>
        <v/>
      </c>
      <c r="AR1180" s="170" t="str">
        <f t="shared" si="453"/>
        <v>BiK81M1KA3y-06</v>
      </c>
      <c r="AS1180" s="169" t="str">
        <f t="shared" si="454"/>
        <v/>
      </c>
      <c r="AT1180">
        <f t="shared" si="455"/>
        <v>14</v>
      </c>
      <c r="AU1180" s="170" t="str">
        <f t="shared" si="456"/>
        <v>0-0,15 MW, Bonusregeln M1, y und K wenn Anlage 3 erfüllt</v>
      </c>
      <c r="AV1180" s="169" t="str">
        <f t="shared" si="457"/>
        <v/>
      </c>
      <c r="AW1180" s="170" t="str">
        <f t="shared" si="458"/>
        <v>Anteil KWK gemäß Anlage 3</v>
      </c>
      <c r="AX1180" s="169" t="str">
        <f t="shared" si="459"/>
        <v/>
      </c>
      <c r="AY1180" t="str">
        <f t="shared" si="460"/>
        <v/>
      </c>
      <c r="AZ1180" t="str">
        <f t="shared" si="461"/>
        <v/>
      </c>
    </row>
    <row r="1181" spans="1:52" s="145" customFormat="1" x14ac:dyDescent="0.35">
      <c r="A1181" s="497" t="s">
        <v>2724</v>
      </c>
      <c r="B1181" s="13" t="s">
        <v>5547</v>
      </c>
      <c r="C1181" s="13" t="s">
        <v>1296</v>
      </c>
      <c r="D1181" s="13" t="s">
        <v>6825</v>
      </c>
      <c r="E1181" s="13" t="s">
        <v>674</v>
      </c>
      <c r="F1181" s="373">
        <f t="shared" si="467"/>
        <v>26.67</v>
      </c>
      <c r="G1181" s="430">
        <v>26.67</v>
      </c>
      <c r="H1181" s="399">
        <f t="shared" si="468"/>
        <v>21.34</v>
      </c>
      <c r="I1181" s="576"/>
      <c r="J1181" s="549" t="s">
        <v>5804</v>
      </c>
      <c r="K1181" s="11"/>
      <c r="L1181"/>
      <c r="M1181" s="37">
        <f t="shared" si="469"/>
        <v>26.67</v>
      </c>
      <c r="N1181" s="29">
        <v>11.67</v>
      </c>
      <c r="O1181" s="149"/>
      <c r="P1181" s="144"/>
      <c r="Q1181" s="145" t="s">
        <v>1017</v>
      </c>
      <c r="S1181" s="145" t="s">
        <v>4179</v>
      </c>
      <c r="T1181" s="145" t="s">
        <v>4179</v>
      </c>
      <c r="U1181" s="146" t="s">
        <v>1017</v>
      </c>
      <c r="W1181" s="147"/>
      <c r="X1181" s="147"/>
      <c r="Z1181" s="145" t="s">
        <v>1017</v>
      </c>
      <c r="AA1181" s="147"/>
      <c r="AD1181" s="147"/>
      <c r="AE1181" s="148"/>
      <c r="AF1181" s="147"/>
      <c r="AG1181" s="147"/>
      <c r="AH1181" s="166" t="str">
        <f t="shared" si="476"/>
        <v/>
      </c>
      <c r="AI1181" s="168" t="str">
        <f t="shared" si="462"/>
        <v/>
      </c>
      <c r="AJ1181" s="168" t="str">
        <f t="shared" si="463"/>
        <v/>
      </c>
      <c r="AK1181" s="168" t="str">
        <f t="shared" si="464"/>
        <v/>
      </c>
      <c r="AL1181" s="168" t="str">
        <f t="shared" si="465"/>
        <v/>
      </c>
      <c r="AM1181" s="168" t="str">
        <f t="shared" si="466"/>
        <v/>
      </c>
      <c r="AN1181" s="167" t="str">
        <f t="shared" si="449"/>
        <v/>
      </c>
      <c r="AO1181" s="167" t="str">
        <f t="shared" si="450"/>
        <v/>
      </c>
      <c r="AP1181" s="167" t="str">
        <f t="shared" si="451"/>
        <v/>
      </c>
      <c r="AQ1181" s="169" t="str">
        <f t="shared" si="452"/>
        <v/>
      </c>
      <c r="AR1181" s="170" t="str">
        <f t="shared" si="453"/>
        <v>BiK81M1K09y-06</v>
      </c>
      <c r="AS1181" s="169" t="str">
        <f t="shared" si="454"/>
        <v/>
      </c>
      <c r="AT1181">
        <f t="shared" si="455"/>
        <v>14</v>
      </c>
      <c r="AU1181" s="170" t="str">
        <f t="shared" si="456"/>
        <v>0-0,15 MW, Bonusregeln M1, y und K erstmals 2009</v>
      </c>
      <c r="AV1181" s="169" t="str">
        <f t="shared" si="457"/>
        <v/>
      </c>
      <c r="AW1181" s="170" t="str">
        <f t="shared" si="458"/>
        <v>Anteil KWK, erstmals 2009</v>
      </c>
      <c r="AX1181" s="169" t="str">
        <f t="shared" si="459"/>
        <v/>
      </c>
      <c r="AY1181" t="str">
        <f t="shared" si="460"/>
        <v/>
      </c>
      <c r="AZ1181" t="str">
        <f t="shared" si="461"/>
        <v/>
      </c>
    </row>
    <row r="1182" spans="1:52" s="145" customFormat="1" x14ac:dyDescent="0.35">
      <c r="A1182" s="497" t="s">
        <v>4891</v>
      </c>
      <c r="B1182" s="13" t="s">
        <v>5547</v>
      </c>
      <c r="C1182" s="13" t="s">
        <v>1296</v>
      </c>
      <c r="D1182" s="13" t="s">
        <v>6826</v>
      </c>
      <c r="E1182" s="13" t="s">
        <v>3566</v>
      </c>
      <c r="F1182" s="373">
        <f t="shared" si="467"/>
        <v>26.64</v>
      </c>
      <c r="G1182" s="430">
        <v>26.64</v>
      </c>
      <c r="H1182" s="399">
        <f t="shared" si="468"/>
        <v>21.31</v>
      </c>
      <c r="I1182" s="576"/>
      <c r="J1182" s="549" t="s">
        <v>5804</v>
      </c>
      <c r="K1182" s="11"/>
      <c r="L1182"/>
      <c r="M1182" s="37">
        <f t="shared" si="469"/>
        <v>26.64</v>
      </c>
      <c r="N1182" s="29">
        <v>11.67</v>
      </c>
      <c r="O1182" s="149"/>
      <c r="P1182" s="144"/>
      <c r="R1182" s="145" t="s">
        <v>1017</v>
      </c>
      <c r="S1182" s="145" t="s">
        <v>4179</v>
      </c>
      <c r="T1182" s="145" t="s">
        <v>4179</v>
      </c>
      <c r="U1182" s="146" t="s">
        <v>1017</v>
      </c>
      <c r="W1182" s="147"/>
      <c r="X1182" s="147"/>
      <c r="Z1182" s="145" t="s">
        <v>1017</v>
      </c>
      <c r="AA1182" s="147"/>
      <c r="AD1182" s="147"/>
      <c r="AE1182" s="148"/>
      <c r="AF1182" s="147"/>
      <c r="AG1182" s="147"/>
      <c r="AH1182" s="166" t="str">
        <f t="shared" si="476"/>
        <v>2010</v>
      </c>
      <c r="AI1182" s="168" t="str">
        <f t="shared" si="462"/>
        <v/>
      </c>
      <c r="AJ1182" s="168" t="str">
        <f t="shared" si="463"/>
        <v/>
      </c>
      <c r="AK1182" s="168" t="str">
        <f t="shared" si="464"/>
        <v/>
      </c>
      <c r="AL1182" s="168" t="str">
        <f t="shared" si="465"/>
        <v/>
      </c>
      <c r="AM1182" s="168" t="str">
        <f t="shared" si="466"/>
        <v/>
      </c>
      <c r="AN1182" s="167" t="str">
        <f t="shared" si="449"/>
        <v>2010</v>
      </c>
      <c r="AO1182" s="167" t="str">
        <f t="shared" si="450"/>
        <v>2010</v>
      </c>
      <c r="AP1182" s="167" t="str">
        <f t="shared" si="451"/>
        <v>2010</v>
      </c>
      <c r="AQ1182" s="169" t="str">
        <f t="shared" si="452"/>
        <v/>
      </c>
      <c r="AR1182" s="170" t="str">
        <f t="shared" si="453"/>
        <v>BiK81M1K10y-06</v>
      </c>
      <c r="AS1182" s="169" t="str">
        <f t="shared" si="454"/>
        <v/>
      </c>
      <c r="AT1182">
        <f t="shared" si="455"/>
        <v>14</v>
      </c>
      <c r="AU1182" s="170" t="str">
        <f t="shared" si="456"/>
        <v>0-0,15 MW, Bonusregeln M1, y und K erstmals 2010</v>
      </c>
      <c r="AV1182" s="169" t="str">
        <f t="shared" si="457"/>
        <v/>
      </c>
      <c r="AW1182" s="170" t="str">
        <f t="shared" si="458"/>
        <v>Anteil KWK, erstmals 2010</v>
      </c>
      <c r="AX1182" s="169" t="str">
        <f t="shared" si="459"/>
        <v/>
      </c>
      <c r="AY1182" t="str">
        <f t="shared" si="460"/>
        <v/>
      </c>
      <c r="AZ1182" t="str">
        <f t="shared" si="461"/>
        <v/>
      </c>
    </row>
    <row r="1183" spans="1:52" s="145" customFormat="1" x14ac:dyDescent="0.35">
      <c r="A1183" s="497" t="s">
        <v>5360</v>
      </c>
      <c r="B1183" s="13" t="s">
        <v>5547</v>
      </c>
      <c r="C1183" s="13" t="s">
        <v>1296</v>
      </c>
      <c r="D1183" s="13" t="s">
        <v>6827</v>
      </c>
      <c r="E1183" s="13" t="s">
        <v>3054</v>
      </c>
      <c r="F1183" s="373">
        <f t="shared" si="467"/>
        <v>26.61</v>
      </c>
      <c r="G1183" s="430">
        <v>26.61</v>
      </c>
      <c r="H1183" s="399">
        <f t="shared" si="468"/>
        <v>21.29</v>
      </c>
      <c r="I1183" s="576"/>
      <c r="J1183" s="549" t="s">
        <v>5804</v>
      </c>
      <c r="K1183" s="11"/>
      <c r="L1183"/>
      <c r="M1183" s="37">
        <f t="shared" si="469"/>
        <v>26.61</v>
      </c>
      <c r="N1183" s="29">
        <v>11.67</v>
      </c>
      <c r="O1183" s="149"/>
      <c r="P1183" s="144"/>
      <c r="S1183" s="145" t="s">
        <v>1017</v>
      </c>
      <c r="T1183" s="145" t="s">
        <v>4179</v>
      </c>
      <c r="U1183" s="146" t="s">
        <v>1017</v>
      </c>
      <c r="W1183" s="147"/>
      <c r="X1183" s="147"/>
      <c r="Z1183" s="145" t="s">
        <v>1017</v>
      </c>
      <c r="AA1183" s="147"/>
      <c r="AD1183" s="147"/>
      <c r="AE1183" s="148"/>
      <c r="AF1183" s="147"/>
      <c r="AG1183" s="147"/>
      <c r="AH1183" s="166" t="str">
        <f t="shared" si="476"/>
        <v>2011</v>
      </c>
      <c r="AI1183" s="168" t="str">
        <f t="shared" si="462"/>
        <v/>
      </c>
      <c r="AJ1183" s="168" t="str">
        <f t="shared" si="463"/>
        <v/>
      </c>
      <c r="AK1183" s="168" t="str">
        <f t="shared" si="464"/>
        <v/>
      </c>
      <c r="AL1183" s="168" t="str">
        <f t="shared" si="465"/>
        <v/>
      </c>
      <c r="AM1183" s="168" t="str">
        <f t="shared" si="466"/>
        <v/>
      </c>
      <c r="AN1183" s="167" t="str">
        <f t="shared" si="449"/>
        <v>2011</v>
      </c>
      <c r="AO1183" s="167" t="str">
        <f t="shared" si="450"/>
        <v>2011</v>
      </c>
      <c r="AP1183" s="167" t="str">
        <f t="shared" si="451"/>
        <v>2011</v>
      </c>
      <c r="AQ1183" s="169" t="str">
        <f t="shared" si="452"/>
        <v/>
      </c>
      <c r="AR1183" s="170" t="str">
        <f t="shared" si="453"/>
        <v>BiK81M1K11y-06</v>
      </c>
      <c r="AS1183" s="169" t="str">
        <f t="shared" si="454"/>
        <v/>
      </c>
      <c r="AT1183">
        <f t="shared" si="455"/>
        <v>14</v>
      </c>
      <c r="AU1183" s="170" t="str">
        <f t="shared" si="456"/>
        <v>0-0,15 MW, Bonusregeln M1, y und K erstmals 2011</v>
      </c>
      <c r="AV1183" s="169" t="str">
        <f t="shared" si="457"/>
        <v/>
      </c>
      <c r="AW1183" s="170" t="str">
        <f t="shared" si="458"/>
        <v>Anteil KWK, erstmals 2011</v>
      </c>
      <c r="AX1183" s="169" t="str">
        <f t="shared" si="459"/>
        <v/>
      </c>
      <c r="AY1183" t="str">
        <f t="shared" si="460"/>
        <v>x</v>
      </c>
      <c r="AZ1183" t="str">
        <f t="shared" si="461"/>
        <v/>
      </c>
    </row>
    <row r="1184" spans="1:52" s="145" customFormat="1" x14ac:dyDescent="0.35">
      <c r="A1184" s="511" t="s">
        <v>1611</v>
      </c>
      <c r="B1184" s="173" t="s">
        <v>5547</v>
      </c>
      <c r="C1184" s="173" t="s">
        <v>1296</v>
      </c>
      <c r="D1184" s="173" t="s">
        <v>6828</v>
      </c>
      <c r="E1184" s="173" t="s">
        <v>1980</v>
      </c>
      <c r="F1184" s="374">
        <f t="shared" si="467"/>
        <v>26.58</v>
      </c>
      <c r="G1184" s="431">
        <v>26.58</v>
      </c>
      <c r="H1184" s="400">
        <f t="shared" si="468"/>
        <v>21.26</v>
      </c>
      <c r="I1184" s="577"/>
      <c r="J1184" s="549" t="s">
        <v>5804</v>
      </c>
      <c r="K1184" s="11"/>
      <c r="L1184"/>
      <c r="M1184" s="37">
        <f t="shared" si="469"/>
        <v>26.58</v>
      </c>
      <c r="N1184" s="29">
        <v>11.67</v>
      </c>
      <c r="O1184" s="149"/>
      <c r="P1184" s="144"/>
      <c r="S1184" s="145" t="s">
        <v>4179</v>
      </c>
      <c r="T1184" s="145" t="s">
        <v>1017</v>
      </c>
      <c r="U1184" s="146" t="s">
        <v>1017</v>
      </c>
      <c r="W1184" s="147"/>
      <c r="X1184" s="147"/>
      <c r="Z1184" s="145" t="s">
        <v>1017</v>
      </c>
      <c r="AA1184" s="147"/>
      <c r="AD1184" s="147"/>
      <c r="AE1184" s="148"/>
      <c r="AF1184" s="147"/>
      <c r="AG1184" s="147"/>
      <c r="AH1184" s="171" t="s">
        <v>4178</v>
      </c>
      <c r="AI1184" s="168" t="str">
        <f t="shared" si="462"/>
        <v/>
      </c>
      <c r="AJ1184" s="168" t="str">
        <f t="shared" si="463"/>
        <v/>
      </c>
      <c r="AK1184" s="168" t="str">
        <f t="shared" si="464"/>
        <v/>
      </c>
      <c r="AL1184" s="168" t="str">
        <f t="shared" si="465"/>
        <v/>
      </c>
      <c r="AM1184" s="168" t="str">
        <f t="shared" si="466"/>
        <v/>
      </c>
      <c r="AN1184" s="167" t="str">
        <f t="shared" si="449"/>
        <v>2012</v>
      </c>
      <c r="AO1184" s="167" t="str">
        <f t="shared" si="450"/>
        <v>2012</v>
      </c>
      <c r="AP1184" s="167" t="str">
        <f t="shared" si="451"/>
        <v>2012</v>
      </c>
      <c r="AQ1184" s="169" t="str">
        <f t="shared" si="452"/>
        <v/>
      </c>
      <c r="AR1184" s="170" t="str">
        <f t="shared" si="453"/>
        <v>BiK81M1K12y-06</v>
      </c>
      <c r="AS1184" s="169" t="str">
        <f t="shared" si="454"/>
        <v/>
      </c>
      <c r="AT1184">
        <f t="shared" si="455"/>
        <v>14</v>
      </c>
      <c r="AU1184" s="170" t="str">
        <f t="shared" si="456"/>
        <v>0-0,15 MW, Bonusregeln M1, y und K erstmals 2012</v>
      </c>
      <c r="AV1184" s="169" t="str">
        <f t="shared" si="457"/>
        <v/>
      </c>
      <c r="AW1184" s="170" t="str">
        <f t="shared" si="458"/>
        <v>Anteil KWK, erstmals 2012</v>
      </c>
      <c r="AX1184" s="169" t="str">
        <f t="shared" si="459"/>
        <v/>
      </c>
      <c r="AY1184" t="str">
        <f t="shared" si="460"/>
        <v/>
      </c>
      <c r="AZ1184" t="str">
        <f t="shared" si="461"/>
        <v>x</v>
      </c>
    </row>
    <row r="1185" spans="1:52" s="145" customFormat="1" x14ac:dyDescent="0.35">
      <c r="A1185" s="497" t="s">
        <v>2725</v>
      </c>
      <c r="B1185" s="13" t="s">
        <v>5547</v>
      </c>
      <c r="C1185" s="13" t="s">
        <v>1296</v>
      </c>
      <c r="D1185" s="13" t="s">
        <v>6829</v>
      </c>
      <c r="E1185" s="13" t="s">
        <v>4809</v>
      </c>
      <c r="F1185" s="373">
        <f t="shared" si="467"/>
        <v>20.67</v>
      </c>
      <c r="G1185" s="430">
        <v>20.67</v>
      </c>
      <c r="H1185" s="399">
        <f t="shared" si="468"/>
        <v>16.54</v>
      </c>
      <c r="I1185" s="576"/>
      <c r="J1185" s="549" t="s">
        <v>5804</v>
      </c>
      <c r="K1185" s="11"/>
      <c r="L1185"/>
      <c r="M1185" s="37">
        <f t="shared" si="469"/>
        <v>20.67</v>
      </c>
      <c r="N1185" s="29">
        <v>11.67</v>
      </c>
      <c r="O1185" s="149"/>
      <c r="P1185" s="144"/>
      <c r="S1185" s="145" t="s">
        <v>4179</v>
      </c>
      <c r="T1185" s="145" t="s">
        <v>4179</v>
      </c>
      <c r="U1185" s="146"/>
      <c r="W1185" s="147"/>
      <c r="X1185" s="147"/>
      <c r="AA1185" s="147"/>
      <c r="AB1185" s="145" t="s">
        <v>1017</v>
      </c>
      <c r="AD1185" s="147"/>
      <c r="AE1185" s="148"/>
      <c r="AF1185" s="147"/>
      <c r="AG1185" s="147"/>
      <c r="AH1185" s="166" t="str">
        <f t="shared" ref="AH1185:AH1190" si="477">IF(ISERROR(SEARCH("K erstmals 201",D1185)),"",RIGHT(D1185,4))</f>
        <v/>
      </c>
      <c r="AI1185" s="168" t="str">
        <f t="shared" si="462"/>
        <v/>
      </c>
      <c r="AJ1185" s="168" t="str">
        <f t="shared" si="463"/>
        <v/>
      </c>
      <c r="AK1185" s="168" t="str">
        <f t="shared" si="464"/>
        <v/>
      </c>
      <c r="AL1185" s="168" t="str">
        <f t="shared" si="465"/>
        <v/>
      </c>
      <c r="AM1185" s="168" t="str">
        <f t="shared" si="466"/>
        <v/>
      </c>
      <c r="AN1185" s="167" t="str">
        <f t="shared" si="449"/>
        <v/>
      </c>
      <c r="AO1185" s="167" t="str">
        <f t="shared" si="450"/>
        <v/>
      </c>
      <c r="AP1185" s="167" t="str">
        <f t="shared" si="451"/>
        <v/>
      </c>
      <c r="AQ1185" s="169" t="str">
        <f t="shared" si="452"/>
        <v/>
      </c>
      <c r="AR1185" s="170" t="str">
        <f t="shared" si="453"/>
        <v>BiK81L------06</v>
      </c>
      <c r="AS1185" s="169" t="str">
        <f t="shared" si="454"/>
        <v/>
      </c>
      <c r="AT1185">
        <f t="shared" si="455"/>
        <v>14</v>
      </c>
      <c r="AU1185" s="170" t="str">
        <f t="shared" si="456"/>
        <v>0-0,15 MW, Bonusregel L</v>
      </c>
      <c r="AV1185" s="169" t="str">
        <f t="shared" si="457"/>
        <v/>
      </c>
      <c r="AW1185" s="170" t="str">
        <f t="shared" si="458"/>
        <v>Anteil Nicht-KWK</v>
      </c>
      <c r="AX1185" s="169" t="str">
        <f t="shared" si="459"/>
        <v/>
      </c>
      <c r="AY1185" t="str">
        <f t="shared" si="460"/>
        <v/>
      </c>
      <c r="AZ1185" t="str">
        <f t="shared" si="461"/>
        <v/>
      </c>
    </row>
    <row r="1186" spans="1:52" x14ac:dyDescent="0.35">
      <c r="A1186" s="497" t="s">
        <v>2726</v>
      </c>
      <c r="B1186" s="13" t="s">
        <v>5547</v>
      </c>
      <c r="C1186" s="13" t="s">
        <v>1296</v>
      </c>
      <c r="D1186" s="13" t="s">
        <v>6898</v>
      </c>
      <c r="E1186" s="13" t="s">
        <v>4811</v>
      </c>
      <c r="F1186" s="373">
        <f t="shared" si="467"/>
        <v>22.67</v>
      </c>
      <c r="G1186" s="430">
        <v>22.67</v>
      </c>
      <c r="H1186" s="399">
        <f t="shared" si="468"/>
        <v>18.14</v>
      </c>
      <c r="I1186" s="576"/>
      <c r="J1186" s="549" t="s">
        <v>5804</v>
      </c>
      <c r="K1186" s="11"/>
      <c r="M1186" s="37">
        <f t="shared" si="469"/>
        <v>22.67</v>
      </c>
      <c r="N1186" s="29">
        <v>11.67</v>
      </c>
      <c r="O1186" s="149" t="s">
        <v>1017</v>
      </c>
      <c r="P1186" s="144"/>
      <c r="Q1186" s="145"/>
      <c r="R1186" s="145"/>
      <c r="S1186" s="145" t="s">
        <v>4179</v>
      </c>
      <c r="T1186" t="s">
        <v>4179</v>
      </c>
      <c r="U1186" s="146"/>
      <c r="V1186" s="145"/>
      <c r="W1186" s="147"/>
      <c r="X1186" s="147"/>
      <c r="Y1186" s="145"/>
      <c r="Z1186" s="145"/>
      <c r="AA1186" s="147"/>
      <c r="AB1186" s="145" t="s">
        <v>1017</v>
      </c>
      <c r="AC1186" s="145"/>
      <c r="AD1186" s="147"/>
      <c r="AE1186" s="148"/>
      <c r="AF1186" s="147"/>
      <c r="AG1186" s="147"/>
      <c r="AH1186" s="166" t="str">
        <f t="shared" si="477"/>
        <v/>
      </c>
      <c r="AI1186" s="168" t="str">
        <f t="shared" si="462"/>
        <v/>
      </c>
      <c r="AJ1186" s="168" t="str">
        <f t="shared" si="463"/>
        <v/>
      </c>
      <c r="AK1186" s="168" t="str">
        <f t="shared" si="464"/>
        <v/>
      </c>
      <c r="AL1186" s="168" t="str">
        <f t="shared" si="465"/>
        <v/>
      </c>
      <c r="AM1186" s="168" t="str">
        <f t="shared" si="466"/>
        <v/>
      </c>
      <c r="AN1186" s="167" t="str">
        <f t="shared" si="449"/>
        <v/>
      </c>
      <c r="AO1186" s="167" t="str">
        <f t="shared" si="450"/>
        <v/>
      </c>
      <c r="AP1186" s="167" t="str">
        <f t="shared" si="451"/>
        <v/>
      </c>
      <c r="AQ1186" s="169" t="str">
        <f t="shared" si="452"/>
        <v/>
      </c>
      <c r="AR1186" s="170" t="str">
        <f t="shared" si="453"/>
        <v>BiK81LKWK---06</v>
      </c>
      <c r="AS1186" s="169" t="str">
        <f t="shared" si="454"/>
        <v/>
      </c>
      <c r="AT1186">
        <f t="shared" si="455"/>
        <v>14</v>
      </c>
      <c r="AU1186" s="170" t="str">
        <f t="shared" si="456"/>
        <v>0-0,15 MW, Bonusregeln L und KWK</v>
      </c>
      <c r="AV1186" s="169" t="str">
        <f t="shared" si="457"/>
        <v/>
      </c>
      <c r="AW1186" s="170" t="str">
        <f t="shared" si="458"/>
        <v>Anteil KWK</v>
      </c>
      <c r="AX1186" s="169" t="str">
        <f t="shared" si="459"/>
        <v/>
      </c>
      <c r="AY1186" t="str">
        <f t="shared" si="460"/>
        <v/>
      </c>
      <c r="AZ1186" t="str">
        <f t="shared" si="461"/>
        <v/>
      </c>
    </row>
    <row r="1187" spans="1:52" x14ac:dyDescent="0.35">
      <c r="A1187" s="497" t="s">
        <v>2727</v>
      </c>
      <c r="B1187" s="13" t="s">
        <v>5547</v>
      </c>
      <c r="C1187" s="13" t="s">
        <v>1296</v>
      </c>
      <c r="D1187" s="13" t="s">
        <v>6830</v>
      </c>
      <c r="E1187" s="13" t="s">
        <v>4330</v>
      </c>
      <c r="F1187" s="373">
        <f t="shared" si="467"/>
        <v>23.67</v>
      </c>
      <c r="G1187" s="430">
        <v>23.67</v>
      </c>
      <c r="H1187" s="399">
        <f t="shared" si="468"/>
        <v>18.940000000000001</v>
      </c>
      <c r="I1187" s="576"/>
      <c r="J1187" s="549" t="s">
        <v>5804</v>
      </c>
      <c r="K1187" s="11"/>
      <c r="M1187" s="37">
        <f t="shared" si="469"/>
        <v>23.67</v>
      </c>
      <c r="N1187" s="29">
        <v>11.67</v>
      </c>
      <c r="O1187" s="149"/>
      <c r="P1187" s="145" t="s">
        <v>1017</v>
      </c>
      <c r="Q1187" s="145"/>
      <c r="R1187" s="145"/>
      <c r="S1187" s="145" t="s">
        <v>4179</v>
      </c>
      <c r="T1187" t="s">
        <v>4179</v>
      </c>
      <c r="U1187" s="146"/>
      <c r="V1187" s="145"/>
      <c r="W1187" s="147"/>
      <c r="X1187" s="147"/>
      <c r="Y1187" s="145"/>
      <c r="Z1187" s="145"/>
      <c r="AA1187" s="147"/>
      <c r="AB1187" s="145" t="s">
        <v>1017</v>
      </c>
      <c r="AC1187" s="145"/>
      <c r="AD1187" s="147"/>
      <c r="AE1187" s="148"/>
      <c r="AF1187" s="147"/>
      <c r="AG1187" s="147"/>
      <c r="AH1187" s="166" t="str">
        <f t="shared" si="477"/>
        <v/>
      </c>
      <c r="AI1187" s="168" t="str">
        <f t="shared" si="462"/>
        <v/>
      </c>
      <c r="AJ1187" s="168" t="str">
        <f t="shared" si="463"/>
        <v/>
      </c>
      <c r="AK1187" s="168" t="str">
        <f t="shared" si="464"/>
        <v/>
      </c>
      <c r="AL1187" s="168" t="str">
        <f t="shared" si="465"/>
        <v/>
      </c>
      <c r="AM1187" s="168" t="str">
        <f t="shared" si="466"/>
        <v/>
      </c>
      <c r="AN1187" s="167" t="str">
        <f t="shared" ref="AN1187:AN1250" si="478">IF(ISERROR(SEARCH("K1",A1187)),"","20"&amp;MID(A1187,SEARCH("K1",A1187)+1,2))</f>
        <v/>
      </c>
      <c r="AO1187" s="167" t="str">
        <f t="shared" ref="AO1187:AO1250" si="479">IF(ISERROR(SEARCH("erstmals 201",E1187)),"",MID(E1187,SEARCH("erstmals ",E1187)+9,4))</f>
        <v/>
      </c>
      <c r="AP1187" s="167" t="str">
        <f t="shared" ref="AP1187:AP1250" si="480">IF(R1187="x","2010",IF(S1187="x","2011",IF(T1187="x","2012","")))</f>
        <v/>
      </c>
      <c r="AQ1187" s="169" t="str">
        <f t="shared" ref="AQ1187:AQ1250" si="481">IF(OR(AH1187&lt;&gt;AN1187,AH1187&lt;&gt;AO1187,AH1187&lt;&gt;AP1187),"DIFF","")</f>
        <v/>
      </c>
      <c r="AR1187" s="170" t="str">
        <f t="shared" ref="AR1187:AR1250" si="482">IF(A1187="","",IF(ISERROR(SEARCH("K1",A1187)),A1187,LEFT(A1187,SEARCH("K1",A1187)+1)&amp;RIGHT(AH1187,1)&amp;MID(A1187,SEARCH("K1",A1187)+3,14)))</f>
        <v>BiK81LKA3---06</v>
      </c>
      <c r="AS1187" s="169" t="str">
        <f t="shared" ref="AS1187:AS1250" si="483">IF(OR(A1187&lt;&gt;AR1187),"DIFF","")</f>
        <v/>
      </c>
      <c r="AT1187">
        <f t="shared" ref="AT1187:AT1250" si="484">LEN(AR1187)</f>
        <v>14</v>
      </c>
      <c r="AU1187" s="170" t="str">
        <f t="shared" ref="AU1187:AU1250" si="485">IF(D1187="","",IF(OR(A1187="",ISERROR(SEARCH("erstmals 201",D1187))),D1187,LEFT(D1187,SEARCH("erstmals 201",D1187)+8) &amp; AH1187 &amp; MID(D1187,SEARCH("erstmals 201",D1187)+13,255)))</f>
        <v>0-0,15 MW, Bonusregeln L und K wenn Anlage 3 erfüllt</v>
      </c>
      <c r="AV1187" s="169" t="str">
        <f t="shared" ref="AV1187:AV1250" si="486">IF(OR(D1187&lt;&gt;AU1187),"DIFF","")</f>
        <v/>
      </c>
      <c r="AW1187" s="170" t="str">
        <f t="shared" ref="AW1187:AW1250" si="487">IF(E1187="","",IF(OR(E1187="",ISERROR(SEARCH("erstmals 201",E1187))),E1187,LEFT(E1187,SEARCH("erstmals 201",E1187)+8) &amp; AH1187 &amp; MID(E1187,SEARCH("erstmals 201",E1187)+13,255)))</f>
        <v>Anteil KWK gemäß Anlage 3</v>
      </c>
      <c r="AX1187" s="169" t="str">
        <f t="shared" ref="AX1187:AX1250" si="488">IF(OR(E1187&lt;&gt;AW1187),"DIFF","")</f>
        <v/>
      </c>
      <c r="AY1187" t="str">
        <f t="shared" ref="AY1187:AY1250" si="489">IF(AH1187="2011","x",IF(AH1187="2012","","" &amp; S1187))</f>
        <v/>
      </c>
      <c r="AZ1187" t="str">
        <f t="shared" ref="AZ1187:AZ1250" si="490">IF(AH1187="2012","x",IF(AH1187="2011","","" &amp; T1187))</f>
        <v/>
      </c>
    </row>
    <row r="1188" spans="1:52" x14ac:dyDescent="0.35">
      <c r="A1188" s="497" t="s">
        <v>2728</v>
      </c>
      <c r="B1188" s="13" t="s">
        <v>5547</v>
      </c>
      <c r="C1188" s="13" t="s">
        <v>1296</v>
      </c>
      <c r="D1188" s="13" t="s">
        <v>6831</v>
      </c>
      <c r="E1188" s="13" t="s">
        <v>674</v>
      </c>
      <c r="F1188" s="373">
        <f t="shared" si="467"/>
        <v>23.67</v>
      </c>
      <c r="G1188" s="430">
        <v>23.67</v>
      </c>
      <c r="H1188" s="399">
        <f t="shared" si="468"/>
        <v>18.940000000000001</v>
      </c>
      <c r="I1188" s="576"/>
      <c r="J1188" s="549" t="s">
        <v>5804</v>
      </c>
      <c r="K1188" s="11"/>
      <c r="M1188" s="37">
        <f t="shared" si="469"/>
        <v>23.67</v>
      </c>
      <c r="N1188" s="29">
        <v>11.67</v>
      </c>
      <c r="O1188" s="149"/>
      <c r="P1188" s="144"/>
      <c r="Q1188" s="145" t="s">
        <v>1017</v>
      </c>
      <c r="R1188" s="145"/>
      <c r="S1188" s="145" t="s">
        <v>4179</v>
      </c>
      <c r="T1188" t="s">
        <v>4179</v>
      </c>
      <c r="U1188" s="146"/>
      <c r="V1188" s="145"/>
      <c r="W1188" s="147"/>
      <c r="X1188" s="147"/>
      <c r="Y1188" s="145"/>
      <c r="Z1188" s="145"/>
      <c r="AA1188" s="147"/>
      <c r="AB1188" s="145" t="s">
        <v>1017</v>
      </c>
      <c r="AC1188" s="145"/>
      <c r="AD1188" s="147"/>
      <c r="AE1188" s="148"/>
      <c r="AF1188" s="147"/>
      <c r="AG1188" s="147"/>
      <c r="AH1188" s="166" t="str">
        <f t="shared" si="477"/>
        <v/>
      </c>
      <c r="AI1188" s="168" t="str">
        <f t="shared" si="462"/>
        <v/>
      </c>
      <c r="AJ1188" s="168" t="str">
        <f t="shared" si="463"/>
        <v/>
      </c>
      <c r="AK1188" s="168" t="str">
        <f t="shared" si="464"/>
        <v/>
      </c>
      <c r="AL1188" s="168" t="str">
        <f t="shared" si="465"/>
        <v/>
      </c>
      <c r="AM1188" s="168" t="str">
        <f t="shared" si="466"/>
        <v/>
      </c>
      <c r="AN1188" s="167" t="str">
        <f t="shared" si="478"/>
        <v/>
      </c>
      <c r="AO1188" s="167" t="str">
        <f t="shared" si="479"/>
        <v/>
      </c>
      <c r="AP1188" s="167" t="str">
        <f t="shared" si="480"/>
        <v/>
      </c>
      <c r="AQ1188" s="169" t="str">
        <f t="shared" si="481"/>
        <v/>
      </c>
      <c r="AR1188" s="170" t="str">
        <f t="shared" si="482"/>
        <v>BiK81LK09---06</v>
      </c>
      <c r="AS1188" s="169" t="str">
        <f t="shared" si="483"/>
        <v/>
      </c>
      <c r="AT1188">
        <f t="shared" si="484"/>
        <v>14</v>
      </c>
      <c r="AU1188" s="170" t="str">
        <f t="shared" si="485"/>
        <v>0-0,15 MW, Bonusregeln L und K erstmals 2009</v>
      </c>
      <c r="AV1188" s="169" t="str">
        <f t="shared" si="486"/>
        <v/>
      </c>
      <c r="AW1188" s="170" t="str">
        <f t="shared" si="487"/>
        <v>Anteil KWK, erstmals 2009</v>
      </c>
      <c r="AX1188" s="169" t="str">
        <f t="shared" si="488"/>
        <v/>
      </c>
      <c r="AY1188" t="str">
        <f t="shared" si="489"/>
        <v/>
      </c>
      <c r="AZ1188" t="str">
        <f t="shared" si="490"/>
        <v/>
      </c>
    </row>
    <row r="1189" spans="1:52" x14ac:dyDescent="0.35">
      <c r="A1189" s="497" t="s">
        <v>4892</v>
      </c>
      <c r="B1189" s="13" t="s">
        <v>5547</v>
      </c>
      <c r="C1189" s="13" t="s">
        <v>1296</v>
      </c>
      <c r="D1189" s="13" t="s">
        <v>6832</v>
      </c>
      <c r="E1189" s="13" t="s">
        <v>3566</v>
      </c>
      <c r="F1189" s="373">
        <f t="shared" si="467"/>
        <v>23.64</v>
      </c>
      <c r="G1189" s="430">
        <v>23.64</v>
      </c>
      <c r="H1189" s="399">
        <f t="shared" si="468"/>
        <v>18.91</v>
      </c>
      <c r="I1189" s="576"/>
      <c r="J1189" s="549" t="s">
        <v>5804</v>
      </c>
      <c r="K1189" s="11"/>
      <c r="M1189" s="37">
        <f t="shared" si="469"/>
        <v>23.64</v>
      </c>
      <c r="N1189" s="29">
        <v>11.67</v>
      </c>
      <c r="O1189" s="149"/>
      <c r="P1189" s="144"/>
      <c r="Q1189" s="145"/>
      <c r="R1189" s="145" t="s">
        <v>1017</v>
      </c>
      <c r="S1189" s="145" t="s">
        <v>4179</v>
      </c>
      <c r="T1189" t="s">
        <v>4179</v>
      </c>
      <c r="U1189" s="146"/>
      <c r="V1189" s="145"/>
      <c r="W1189" s="147"/>
      <c r="X1189" s="147"/>
      <c r="Y1189" s="145"/>
      <c r="Z1189" s="145"/>
      <c r="AA1189" s="147"/>
      <c r="AB1189" s="145" t="s">
        <v>1017</v>
      </c>
      <c r="AC1189" s="145"/>
      <c r="AD1189" s="147"/>
      <c r="AE1189" s="148"/>
      <c r="AF1189" s="147"/>
      <c r="AG1189" s="147"/>
      <c r="AH1189" s="166" t="str">
        <f t="shared" si="477"/>
        <v>2010</v>
      </c>
      <c r="AI1189" s="168" t="str">
        <f t="shared" ref="AI1189:AI1252" si="491">IF(AND($AH1189&lt;&gt;"",AH1189 =AH1188),"Gleich","")</f>
        <v/>
      </c>
      <c r="AJ1189" s="168" t="str">
        <f t="shared" ref="AJ1189:AJ1252" si="492">IF(AND($AH1189&lt;&gt;"",A1189 =A1188),"Gleich","")</f>
        <v/>
      </c>
      <c r="AK1189" s="168" t="str">
        <f t="shared" ref="AK1189:AK1252" si="493">IF(AND($AH1189&lt;&gt;"",D1189 =D1188),"Gleich","")</f>
        <v/>
      </c>
      <c r="AL1189" s="168" t="str">
        <f t="shared" ref="AL1189:AL1252" si="494">IF(AND($AH1189&lt;&gt;"",E1189 =E1188),"Gleich","")</f>
        <v/>
      </c>
      <c r="AM1189" s="168" t="str">
        <f t="shared" ref="AM1189:AM1252" si="495">IF(AND($AH1189&lt;&gt;"",F1189 =F1188),"Gleich","")</f>
        <v/>
      </c>
      <c r="AN1189" s="167" t="str">
        <f t="shared" si="478"/>
        <v>2010</v>
      </c>
      <c r="AO1189" s="167" t="str">
        <f t="shared" si="479"/>
        <v>2010</v>
      </c>
      <c r="AP1189" s="167" t="str">
        <f t="shared" si="480"/>
        <v>2010</v>
      </c>
      <c r="AQ1189" s="169" t="str">
        <f t="shared" si="481"/>
        <v/>
      </c>
      <c r="AR1189" s="170" t="str">
        <f t="shared" si="482"/>
        <v>BiK81LK10---06</v>
      </c>
      <c r="AS1189" s="169" t="str">
        <f t="shared" si="483"/>
        <v/>
      </c>
      <c r="AT1189">
        <f t="shared" si="484"/>
        <v>14</v>
      </c>
      <c r="AU1189" s="170" t="str">
        <f t="shared" si="485"/>
        <v>0-0,15 MW, Bonusregeln L und K erstmals 2010</v>
      </c>
      <c r="AV1189" s="169" t="str">
        <f t="shared" si="486"/>
        <v/>
      </c>
      <c r="AW1189" s="170" t="str">
        <f t="shared" si="487"/>
        <v>Anteil KWK, erstmals 2010</v>
      </c>
      <c r="AX1189" s="169" t="str">
        <f t="shared" si="488"/>
        <v/>
      </c>
      <c r="AY1189" t="str">
        <f t="shared" si="489"/>
        <v/>
      </c>
      <c r="AZ1189" t="str">
        <f t="shared" si="490"/>
        <v/>
      </c>
    </row>
    <row r="1190" spans="1:52" x14ac:dyDescent="0.35">
      <c r="A1190" s="497" t="s">
        <v>5361</v>
      </c>
      <c r="B1190" s="13" t="s">
        <v>5547</v>
      </c>
      <c r="C1190" s="13" t="s">
        <v>1296</v>
      </c>
      <c r="D1190" s="13" t="s">
        <v>6833</v>
      </c>
      <c r="E1190" s="13" t="s">
        <v>3054</v>
      </c>
      <c r="F1190" s="373">
        <f t="shared" si="467"/>
        <v>23.61</v>
      </c>
      <c r="G1190" s="430">
        <v>23.61</v>
      </c>
      <c r="H1190" s="399">
        <f t="shared" si="468"/>
        <v>18.89</v>
      </c>
      <c r="I1190" s="576"/>
      <c r="J1190" s="549" t="s">
        <v>5804</v>
      </c>
      <c r="K1190" s="11"/>
      <c r="M1190" s="37">
        <f t="shared" si="469"/>
        <v>23.61</v>
      </c>
      <c r="N1190" s="29">
        <v>11.67</v>
      </c>
      <c r="O1190" s="149"/>
      <c r="P1190" s="144"/>
      <c r="Q1190" s="145"/>
      <c r="R1190" s="145"/>
      <c r="S1190" s="145" t="s">
        <v>1017</v>
      </c>
      <c r="T1190" t="s">
        <v>4179</v>
      </c>
      <c r="U1190" s="146"/>
      <c r="V1190" s="145"/>
      <c r="W1190" s="147"/>
      <c r="X1190" s="147"/>
      <c r="Y1190" s="145"/>
      <c r="Z1190" s="145"/>
      <c r="AA1190" s="147"/>
      <c r="AB1190" s="145" t="s">
        <v>1017</v>
      </c>
      <c r="AC1190" s="145"/>
      <c r="AD1190" s="147"/>
      <c r="AE1190" s="148"/>
      <c r="AF1190" s="147"/>
      <c r="AG1190" s="147"/>
      <c r="AH1190" s="166" t="str">
        <f t="shared" si="477"/>
        <v>2011</v>
      </c>
      <c r="AI1190" s="168" t="str">
        <f t="shared" si="491"/>
        <v/>
      </c>
      <c r="AJ1190" s="168" t="str">
        <f t="shared" si="492"/>
        <v/>
      </c>
      <c r="AK1190" s="168" t="str">
        <f t="shared" si="493"/>
        <v/>
      </c>
      <c r="AL1190" s="168" t="str">
        <f t="shared" si="494"/>
        <v/>
      </c>
      <c r="AM1190" s="168" t="str">
        <f t="shared" si="495"/>
        <v/>
      </c>
      <c r="AN1190" s="167" t="str">
        <f t="shared" si="478"/>
        <v>2011</v>
      </c>
      <c r="AO1190" s="167" t="str">
        <f t="shared" si="479"/>
        <v>2011</v>
      </c>
      <c r="AP1190" s="167" t="str">
        <f t="shared" si="480"/>
        <v>2011</v>
      </c>
      <c r="AQ1190" s="169" t="str">
        <f t="shared" si="481"/>
        <v/>
      </c>
      <c r="AR1190" s="170" t="str">
        <f t="shared" si="482"/>
        <v>BiK81LK11---06</v>
      </c>
      <c r="AS1190" s="169" t="str">
        <f t="shared" si="483"/>
        <v/>
      </c>
      <c r="AT1190">
        <f t="shared" si="484"/>
        <v>14</v>
      </c>
      <c r="AU1190" s="170" t="str">
        <f t="shared" si="485"/>
        <v>0-0,15 MW, Bonusregeln L und K erstmals 2011</v>
      </c>
      <c r="AV1190" s="169" t="str">
        <f t="shared" si="486"/>
        <v/>
      </c>
      <c r="AW1190" s="170" t="str">
        <f t="shared" si="487"/>
        <v>Anteil KWK, erstmals 2011</v>
      </c>
      <c r="AX1190" s="169" t="str">
        <f t="shared" si="488"/>
        <v/>
      </c>
      <c r="AY1190" t="str">
        <f t="shared" si="489"/>
        <v>x</v>
      </c>
      <c r="AZ1190" t="str">
        <f t="shared" si="490"/>
        <v/>
      </c>
    </row>
    <row r="1191" spans="1:52" x14ac:dyDescent="0.35">
      <c r="A1191" s="511" t="s">
        <v>3639</v>
      </c>
      <c r="B1191" s="173" t="s">
        <v>5547</v>
      </c>
      <c r="C1191" s="173" t="s">
        <v>1296</v>
      </c>
      <c r="D1191" s="173" t="s">
        <v>6834</v>
      </c>
      <c r="E1191" s="173" t="s">
        <v>1980</v>
      </c>
      <c r="F1191" s="374">
        <f t="shared" si="467"/>
        <v>23.58</v>
      </c>
      <c r="G1191" s="431">
        <v>23.58</v>
      </c>
      <c r="H1191" s="400">
        <f t="shared" si="468"/>
        <v>18.86</v>
      </c>
      <c r="I1191" s="577"/>
      <c r="J1191" s="549" t="s">
        <v>5804</v>
      </c>
      <c r="K1191" s="11"/>
      <c r="M1191" s="37">
        <f t="shared" si="469"/>
        <v>23.58</v>
      </c>
      <c r="N1191" s="29">
        <v>11.67</v>
      </c>
      <c r="O1191" s="149"/>
      <c r="P1191" s="144"/>
      <c r="Q1191" s="145"/>
      <c r="R1191" s="145"/>
      <c r="S1191" s="145" t="s">
        <v>4179</v>
      </c>
      <c r="T1191" t="s">
        <v>1017</v>
      </c>
      <c r="U1191" s="146"/>
      <c r="V1191" s="145"/>
      <c r="W1191" s="147"/>
      <c r="X1191" s="147"/>
      <c r="Y1191" s="145"/>
      <c r="Z1191" s="145"/>
      <c r="AA1191" s="147"/>
      <c r="AB1191" s="145" t="s">
        <v>1017</v>
      </c>
      <c r="AC1191" s="145"/>
      <c r="AD1191" s="147"/>
      <c r="AE1191" s="148"/>
      <c r="AF1191" s="147"/>
      <c r="AG1191" s="147"/>
      <c r="AH1191" s="171" t="s">
        <v>4178</v>
      </c>
      <c r="AI1191" s="168" t="str">
        <f t="shared" si="491"/>
        <v/>
      </c>
      <c r="AJ1191" s="168" t="str">
        <f t="shared" si="492"/>
        <v/>
      </c>
      <c r="AK1191" s="168" t="str">
        <f t="shared" si="493"/>
        <v/>
      </c>
      <c r="AL1191" s="168" t="str">
        <f t="shared" si="494"/>
        <v/>
      </c>
      <c r="AM1191" s="168" t="str">
        <f t="shared" si="495"/>
        <v/>
      </c>
      <c r="AN1191" s="167" t="str">
        <f t="shared" si="478"/>
        <v>2012</v>
      </c>
      <c r="AO1191" s="167" t="str">
        <f t="shared" si="479"/>
        <v>2012</v>
      </c>
      <c r="AP1191" s="167" t="str">
        <f t="shared" si="480"/>
        <v>2012</v>
      </c>
      <c r="AQ1191" s="169" t="str">
        <f t="shared" si="481"/>
        <v/>
      </c>
      <c r="AR1191" s="170" t="str">
        <f t="shared" si="482"/>
        <v>BiK81LK12---06</v>
      </c>
      <c r="AS1191" s="169" t="str">
        <f t="shared" si="483"/>
        <v/>
      </c>
      <c r="AT1191">
        <f t="shared" si="484"/>
        <v>14</v>
      </c>
      <c r="AU1191" s="170" t="str">
        <f t="shared" si="485"/>
        <v>0-0,15 MW, Bonusregeln L und K erstmals 2012</v>
      </c>
      <c r="AV1191" s="169" t="str">
        <f t="shared" si="486"/>
        <v/>
      </c>
      <c r="AW1191" s="170" t="str">
        <f t="shared" si="487"/>
        <v>Anteil KWK, erstmals 2012</v>
      </c>
      <c r="AX1191" s="169" t="str">
        <f t="shared" si="488"/>
        <v/>
      </c>
      <c r="AY1191" t="str">
        <f t="shared" si="489"/>
        <v/>
      </c>
      <c r="AZ1191" t="str">
        <f t="shared" si="490"/>
        <v>x</v>
      </c>
    </row>
    <row r="1192" spans="1:52" x14ac:dyDescent="0.35">
      <c r="A1192" s="497" t="s">
        <v>2729</v>
      </c>
      <c r="B1192" s="13" t="s">
        <v>5547</v>
      </c>
      <c r="C1192" s="13" t="s">
        <v>1296</v>
      </c>
      <c r="D1192" s="13" t="s">
        <v>6835</v>
      </c>
      <c r="E1192" s="13" t="s">
        <v>4809</v>
      </c>
      <c r="F1192" s="373">
        <f t="shared" si="467"/>
        <v>21.67</v>
      </c>
      <c r="G1192" s="430">
        <v>21.67</v>
      </c>
      <c r="H1192" s="399">
        <f t="shared" si="468"/>
        <v>17.34</v>
      </c>
      <c r="I1192" s="576"/>
      <c r="J1192" s="549" t="s">
        <v>5804</v>
      </c>
      <c r="K1192" s="11"/>
      <c r="M1192" s="37">
        <f t="shared" si="469"/>
        <v>21.67</v>
      </c>
      <c r="N1192" s="29">
        <v>11.67</v>
      </c>
      <c r="O1192" s="149"/>
      <c r="P1192" s="144"/>
      <c r="Q1192" s="145"/>
      <c r="R1192" s="145"/>
      <c r="S1192" s="145" t="s">
        <v>4179</v>
      </c>
      <c r="T1192" t="s">
        <v>4179</v>
      </c>
      <c r="U1192" s="146" t="s">
        <v>1017</v>
      </c>
      <c r="V1192" s="145"/>
      <c r="W1192" s="147"/>
      <c r="X1192" s="147"/>
      <c r="Y1192" s="145"/>
      <c r="Z1192" s="145"/>
      <c r="AA1192" s="147"/>
      <c r="AB1192" s="145" t="s">
        <v>1017</v>
      </c>
      <c r="AC1192" s="145"/>
      <c r="AD1192" s="147"/>
      <c r="AE1192" s="148"/>
      <c r="AF1192" s="147"/>
      <c r="AG1192" s="147"/>
      <c r="AH1192" s="166" t="str">
        <f t="shared" ref="AH1192:AH1197" si="496">IF(ISERROR(SEARCH("K erstmals 201",D1192)),"",RIGHT(D1192,4))</f>
        <v/>
      </c>
      <c r="AI1192" s="168" t="str">
        <f t="shared" si="491"/>
        <v/>
      </c>
      <c r="AJ1192" s="168" t="str">
        <f t="shared" si="492"/>
        <v/>
      </c>
      <c r="AK1192" s="168" t="str">
        <f t="shared" si="493"/>
        <v/>
      </c>
      <c r="AL1192" s="168" t="str">
        <f t="shared" si="494"/>
        <v/>
      </c>
      <c r="AM1192" s="168" t="str">
        <f t="shared" si="495"/>
        <v/>
      </c>
      <c r="AN1192" s="167" t="str">
        <f t="shared" si="478"/>
        <v/>
      </c>
      <c r="AO1192" s="167" t="str">
        <f t="shared" si="479"/>
        <v/>
      </c>
      <c r="AP1192" s="167" t="str">
        <f t="shared" si="480"/>
        <v/>
      </c>
      <c r="AQ1192" s="169" t="str">
        <f t="shared" si="481"/>
        <v/>
      </c>
      <c r="AR1192" s="170" t="str">
        <f t="shared" si="482"/>
        <v>BiK81Ly-----06</v>
      </c>
      <c r="AS1192" s="169" t="str">
        <f t="shared" si="483"/>
        <v/>
      </c>
      <c r="AT1192">
        <f t="shared" si="484"/>
        <v>14</v>
      </c>
      <c r="AU1192" s="170" t="str">
        <f t="shared" si="485"/>
        <v>0-0,15 MW, Bonusregeln L, y</v>
      </c>
      <c r="AV1192" s="169" t="str">
        <f t="shared" si="486"/>
        <v/>
      </c>
      <c r="AW1192" s="170" t="str">
        <f t="shared" si="487"/>
        <v>Anteil Nicht-KWK</v>
      </c>
      <c r="AX1192" s="169" t="str">
        <f t="shared" si="488"/>
        <v/>
      </c>
      <c r="AY1192" t="str">
        <f t="shared" si="489"/>
        <v/>
      </c>
      <c r="AZ1192" t="str">
        <f t="shared" si="490"/>
        <v/>
      </c>
    </row>
    <row r="1193" spans="1:52" x14ac:dyDescent="0.35">
      <c r="A1193" s="497" t="s">
        <v>2730</v>
      </c>
      <c r="B1193" s="13" t="s">
        <v>5547</v>
      </c>
      <c r="C1193" s="13" t="s">
        <v>1296</v>
      </c>
      <c r="D1193" s="13" t="s">
        <v>6899</v>
      </c>
      <c r="E1193" s="13" t="s">
        <v>4811</v>
      </c>
      <c r="F1193" s="373">
        <f t="shared" ref="F1193:F1256" si="497">M1193</f>
        <v>23.67</v>
      </c>
      <c r="G1193" s="430">
        <v>23.67</v>
      </c>
      <c r="H1193" s="399">
        <f t="shared" ref="H1193:H1256" si="498">IF(ISNUMBER(G1193),ROUND(0.8*G1193,2),"")</f>
        <v>18.940000000000001</v>
      </c>
      <c r="I1193" s="576"/>
      <c r="J1193" s="549" t="s">
        <v>5804</v>
      </c>
      <c r="K1193" s="11"/>
      <c r="M1193" s="37">
        <f t="shared" ref="M1193:M1256" si="499">N1193+SUMIF(O1193:AG1193,"x",O$1128:AG$1128)</f>
        <v>23.67</v>
      </c>
      <c r="N1193" s="29">
        <v>11.67</v>
      </c>
      <c r="O1193" s="149" t="s">
        <v>1017</v>
      </c>
      <c r="P1193" s="144"/>
      <c r="Q1193" s="145"/>
      <c r="R1193" s="145"/>
      <c r="S1193" s="145" t="s">
        <v>4179</v>
      </c>
      <c r="T1193" t="s">
        <v>4179</v>
      </c>
      <c r="U1193" s="146" t="s">
        <v>1017</v>
      </c>
      <c r="V1193" s="145"/>
      <c r="W1193" s="147"/>
      <c r="X1193" s="147"/>
      <c r="Y1193" s="145"/>
      <c r="Z1193" s="145"/>
      <c r="AA1193" s="147"/>
      <c r="AB1193" s="145" t="s">
        <v>1017</v>
      </c>
      <c r="AC1193" s="145"/>
      <c r="AD1193" s="147"/>
      <c r="AE1193" s="148"/>
      <c r="AF1193" s="147"/>
      <c r="AG1193" s="147"/>
      <c r="AH1193" s="166" t="str">
        <f t="shared" si="496"/>
        <v/>
      </c>
      <c r="AI1193" s="168" t="str">
        <f t="shared" si="491"/>
        <v/>
      </c>
      <c r="AJ1193" s="168" t="str">
        <f t="shared" si="492"/>
        <v/>
      </c>
      <c r="AK1193" s="168" t="str">
        <f t="shared" si="493"/>
        <v/>
      </c>
      <c r="AL1193" s="168" t="str">
        <f t="shared" si="494"/>
        <v/>
      </c>
      <c r="AM1193" s="168" t="str">
        <f t="shared" si="495"/>
        <v/>
      </c>
      <c r="AN1193" s="167" t="str">
        <f t="shared" si="478"/>
        <v/>
      </c>
      <c r="AO1193" s="167" t="str">
        <f t="shared" si="479"/>
        <v/>
      </c>
      <c r="AP1193" s="167" t="str">
        <f t="shared" si="480"/>
        <v/>
      </c>
      <c r="AQ1193" s="169" t="str">
        <f t="shared" si="481"/>
        <v/>
      </c>
      <c r="AR1193" s="170" t="str">
        <f t="shared" si="482"/>
        <v>BiK81LKWKy--06</v>
      </c>
      <c r="AS1193" s="169" t="str">
        <f t="shared" si="483"/>
        <v/>
      </c>
      <c r="AT1193">
        <f t="shared" si="484"/>
        <v>14</v>
      </c>
      <c r="AU1193" s="170" t="str">
        <f t="shared" si="485"/>
        <v>0-0,15 MW, Bonusregeln L, y und KWK</v>
      </c>
      <c r="AV1193" s="169" t="str">
        <f t="shared" si="486"/>
        <v/>
      </c>
      <c r="AW1193" s="170" t="str">
        <f t="shared" si="487"/>
        <v>Anteil KWK</v>
      </c>
      <c r="AX1193" s="169" t="str">
        <f t="shared" si="488"/>
        <v/>
      </c>
      <c r="AY1193" t="str">
        <f t="shared" si="489"/>
        <v/>
      </c>
      <c r="AZ1193" t="str">
        <f t="shared" si="490"/>
        <v/>
      </c>
    </row>
    <row r="1194" spans="1:52" x14ac:dyDescent="0.35">
      <c r="A1194" s="497" t="s">
        <v>2731</v>
      </c>
      <c r="B1194" s="13" t="s">
        <v>5547</v>
      </c>
      <c r="C1194" s="13" t="s">
        <v>1296</v>
      </c>
      <c r="D1194" s="88" t="s">
        <v>6836</v>
      </c>
      <c r="E1194" s="13" t="s">
        <v>4330</v>
      </c>
      <c r="F1194" s="373">
        <f t="shared" si="497"/>
        <v>24.67</v>
      </c>
      <c r="G1194" s="430">
        <v>24.67</v>
      </c>
      <c r="H1194" s="399">
        <f t="shared" si="498"/>
        <v>19.739999999999998</v>
      </c>
      <c r="I1194" s="576"/>
      <c r="J1194" s="549" t="s">
        <v>5804</v>
      </c>
      <c r="K1194" s="11"/>
      <c r="M1194" s="37">
        <f t="shared" si="499"/>
        <v>24.67</v>
      </c>
      <c r="N1194" s="29">
        <v>11.67</v>
      </c>
      <c r="O1194" s="149"/>
      <c r="P1194" s="145" t="s">
        <v>1017</v>
      </c>
      <c r="Q1194" s="145"/>
      <c r="R1194" s="145"/>
      <c r="S1194" s="145" t="s">
        <v>4179</v>
      </c>
      <c r="T1194" t="s">
        <v>4179</v>
      </c>
      <c r="U1194" s="146" t="s">
        <v>1017</v>
      </c>
      <c r="V1194" s="145"/>
      <c r="W1194" s="147"/>
      <c r="X1194" s="147"/>
      <c r="Y1194" s="145"/>
      <c r="Z1194" s="145"/>
      <c r="AA1194" s="147"/>
      <c r="AB1194" s="145" t="s">
        <v>1017</v>
      </c>
      <c r="AC1194" s="145"/>
      <c r="AD1194" s="147"/>
      <c r="AE1194" s="148"/>
      <c r="AF1194" s="147"/>
      <c r="AG1194" s="147"/>
      <c r="AH1194" s="166" t="str">
        <f t="shared" si="496"/>
        <v/>
      </c>
      <c r="AI1194" s="168" t="str">
        <f t="shared" si="491"/>
        <v/>
      </c>
      <c r="AJ1194" s="168" t="str">
        <f t="shared" si="492"/>
        <v/>
      </c>
      <c r="AK1194" s="168" t="str">
        <f t="shared" si="493"/>
        <v/>
      </c>
      <c r="AL1194" s="168" t="str">
        <f t="shared" si="494"/>
        <v/>
      </c>
      <c r="AM1194" s="168" t="str">
        <f t="shared" si="495"/>
        <v/>
      </c>
      <c r="AN1194" s="167" t="str">
        <f t="shared" si="478"/>
        <v/>
      </c>
      <c r="AO1194" s="167" t="str">
        <f t="shared" si="479"/>
        <v/>
      </c>
      <c r="AP1194" s="167" t="str">
        <f t="shared" si="480"/>
        <v/>
      </c>
      <c r="AQ1194" s="169" t="str">
        <f t="shared" si="481"/>
        <v/>
      </c>
      <c r="AR1194" s="170" t="str">
        <f t="shared" si="482"/>
        <v>BiK81LKA3y--06</v>
      </c>
      <c r="AS1194" s="169" t="str">
        <f t="shared" si="483"/>
        <v/>
      </c>
      <c r="AT1194">
        <f t="shared" si="484"/>
        <v>14</v>
      </c>
      <c r="AU1194" s="170" t="str">
        <f t="shared" si="485"/>
        <v>0-0,15 MW, Bonusregeln L, y und K wenn Anlage 3 erfüllt</v>
      </c>
      <c r="AV1194" s="169" t="str">
        <f t="shared" si="486"/>
        <v/>
      </c>
      <c r="AW1194" s="170" t="str">
        <f t="shared" si="487"/>
        <v>Anteil KWK gemäß Anlage 3</v>
      </c>
      <c r="AX1194" s="169" t="str">
        <f t="shared" si="488"/>
        <v/>
      </c>
      <c r="AY1194" t="str">
        <f t="shared" si="489"/>
        <v/>
      </c>
      <c r="AZ1194" t="str">
        <f t="shared" si="490"/>
        <v/>
      </c>
    </row>
    <row r="1195" spans="1:52" x14ac:dyDescent="0.35">
      <c r="A1195" s="497" t="s">
        <v>2732</v>
      </c>
      <c r="B1195" s="13" t="s">
        <v>5547</v>
      </c>
      <c r="C1195" s="13" t="s">
        <v>1296</v>
      </c>
      <c r="D1195" s="13" t="s">
        <v>6837</v>
      </c>
      <c r="E1195" s="13" t="s">
        <v>674</v>
      </c>
      <c r="F1195" s="373">
        <f t="shared" si="497"/>
        <v>24.67</v>
      </c>
      <c r="G1195" s="430">
        <v>24.67</v>
      </c>
      <c r="H1195" s="399">
        <f t="shared" si="498"/>
        <v>19.739999999999998</v>
      </c>
      <c r="I1195" s="576"/>
      <c r="J1195" s="549" t="s">
        <v>5804</v>
      </c>
      <c r="K1195" s="11"/>
      <c r="M1195" s="37">
        <f t="shared" si="499"/>
        <v>24.67</v>
      </c>
      <c r="N1195" s="29">
        <v>11.67</v>
      </c>
      <c r="O1195" s="149"/>
      <c r="P1195" s="144"/>
      <c r="Q1195" s="145" t="s">
        <v>1017</v>
      </c>
      <c r="R1195" s="145"/>
      <c r="S1195" s="145" t="s">
        <v>4179</v>
      </c>
      <c r="T1195" t="s">
        <v>4179</v>
      </c>
      <c r="U1195" s="146" t="s">
        <v>1017</v>
      </c>
      <c r="V1195" s="145"/>
      <c r="W1195" s="147"/>
      <c r="X1195" s="147"/>
      <c r="Y1195" s="145"/>
      <c r="Z1195" s="145"/>
      <c r="AA1195" s="147"/>
      <c r="AB1195" s="145" t="s">
        <v>1017</v>
      </c>
      <c r="AC1195" s="145"/>
      <c r="AD1195" s="147"/>
      <c r="AE1195" s="148"/>
      <c r="AF1195" s="147"/>
      <c r="AG1195" s="147"/>
      <c r="AH1195" s="166" t="str">
        <f t="shared" si="496"/>
        <v/>
      </c>
      <c r="AI1195" s="168" t="str">
        <f t="shared" si="491"/>
        <v/>
      </c>
      <c r="AJ1195" s="168" t="str">
        <f t="shared" si="492"/>
        <v/>
      </c>
      <c r="AK1195" s="168" t="str">
        <f t="shared" si="493"/>
        <v/>
      </c>
      <c r="AL1195" s="168" t="str">
        <f t="shared" si="494"/>
        <v/>
      </c>
      <c r="AM1195" s="168" t="str">
        <f t="shared" si="495"/>
        <v/>
      </c>
      <c r="AN1195" s="167" t="str">
        <f t="shared" si="478"/>
        <v/>
      </c>
      <c r="AO1195" s="167" t="str">
        <f t="shared" si="479"/>
        <v/>
      </c>
      <c r="AP1195" s="167" t="str">
        <f t="shared" si="480"/>
        <v/>
      </c>
      <c r="AQ1195" s="169" t="str">
        <f t="shared" si="481"/>
        <v/>
      </c>
      <c r="AR1195" s="170" t="str">
        <f t="shared" si="482"/>
        <v>BiK81LK09y--06</v>
      </c>
      <c r="AS1195" s="169" t="str">
        <f t="shared" si="483"/>
        <v/>
      </c>
      <c r="AT1195">
        <f t="shared" si="484"/>
        <v>14</v>
      </c>
      <c r="AU1195" s="170" t="str">
        <f t="shared" si="485"/>
        <v>0-0,15 MW, Bonusregeln L, y und K erstmals 2009</v>
      </c>
      <c r="AV1195" s="169" t="str">
        <f t="shared" si="486"/>
        <v/>
      </c>
      <c r="AW1195" s="170" t="str">
        <f t="shared" si="487"/>
        <v>Anteil KWK, erstmals 2009</v>
      </c>
      <c r="AX1195" s="169" t="str">
        <f t="shared" si="488"/>
        <v/>
      </c>
      <c r="AY1195" t="str">
        <f t="shared" si="489"/>
        <v/>
      </c>
      <c r="AZ1195" t="str">
        <f t="shared" si="490"/>
        <v/>
      </c>
    </row>
    <row r="1196" spans="1:52" x14ac:dyDescent="0.35">
      <c r="A1196" s="497" t="s">
        <v>4893</v>
      </c>
      <c r="B1196" s="13" t="s">
        <v>5547</v>
      </c>
      <c r="C1196" s="13" t="s">
        <v>1296</v>
      </c>
      <c r="D1196" s="13" t="s">
        <v>6838</v>
      </c>
      <c r="E1196" s="13" t="s">
        <v>3566</v>
      </c>
      <c r="F1196" s="373">
        <f t="shared" si="497"/>
        <v>24.64</v>
      </c>
      <c r="G1196" s="430">
        <v>24.64</v>
      </c>
      <c r="H1196" s="399">
        <f t="shared" si="498"/>
        <v>19.71</v>
      </c>
      <c r="I1196" s="576"/>
      <c r="J1196" s="549" t="s">
        <v>5804</v>
      </c>
      <c r="K1196" s="11"/>
      <c r="M1196" s="37">
        <f t="shared" si="499"/>
        <v>24.64</v>
      </c>
      <c r="N1196" s="29">
        <v>11.67</v>
      </c>
      <c r="O1196" s="149"/>
      <c r="P1196" s="144"/>
      <c r="Q1196" s="145"/>
      <c r="R1196" s="145" t="s">
        <v>1017</v>
      </c>
      <c r="S1196" s="145" t="s">
        <v>4179</v>
      </c>
      <c r="T1196" t="s">
        <v>4179</v>
      </c>
      <c r="U1196" s="146" t="s">
        <v>1017</v>
      </c>
      <c r="V1196" s="145"/>
      <c r="W1196" s="147"/>
      <c r="X1196" s="147"/>
      <c r="Y1196" s="145"/>
      <c r="Z1196" s="145"/>
      <c r="AA1196" s="147"/>
      <c r="AB1196" s="145" t="s">
        <v>1017</v>
      </c>
      <c r="AC1196" s="145"/>
      <c r="AD1196" s="147"/>
      <c r="AE1196" s="148"/>
      <c r="AF1196" s="147"/>
      <c r="AG1196" s="147"/>
      <c r="AH1196" s="166" t="str">
        <f t="shared" si="496"/>
        <v>2010</v>
      </c>
      <c r="AI1196" s="168" t="str">
        <f t="shared" si="491"/>
        <v/>
      </c>
      <c r="AJ1196" s="168" t="str">
        <f t="shared" si="492"/>
        <v/>
      </c>
      <c r="AK1196" s="168" t="str">
        <f t="shared" si="493"/>
        <v/>
      </c>
      <c r="AL1196" s="168" t="str">
        <f t="shared" si="494"/>
        <v/>
      </c>
      <c r="AM1196" s="168" t="str">
        <f t="shared" si="495"/>
        <v/>
      </c>
      <c r="AN1196" s="167" t="str">
        <f t="shared" si="478"/>
        <v>2010</v>
      </c>
      <c r="AO1196" s="167" t="str">
        <f t="shared" si="479"/>
        <v>2010</v>
      </c>
      <c r="AP1196" s="167" t="str">
        <f t="shared" si="480"/>
        <v>2010</v>
      </c>
      <c r="AQ1196" s="169" t="str">
        <f t="shared" si="481"/>
        <v/>
      </c>
      <c r="AR1196" s="170" t="str">
        <f t="shared" si="482"/>
        <v>BiK81LK10y--06</v>
      </c>
      <c r="AS1196" s="169" t="str">
        <f t="shared" si="483"/>
        <v/>
      </c>
      <c r="AT1196">
        <f t="shared" si="484"/>
        <v>14</v>
      </c>
      <c r="AU1196" s="170" t="str">
        <f t="shared" si="485"/>
        <v>0-0,15 MW, Bonusregeln L, y und K erstmals 2010</v>
      </c>
      <c r="AV1196" s="169" t="str">
        <f t="shared" si="486"/>
        <v/>
      </c>
      <c r="AW1196" s="170" t="str">
        <f t="shared" si="487"/>
        <v>Anteil KWK, erstmals 2010</v>
      </c>
      <c r="AX1196" s="169" t="str">
        <f t="shared" si="488"/>
        <v/>
      </c>
      <c r="AY1196" t="str">
        <f t="shared" si="489"/>
        <v/>
      </c>
      <c r="AZ1196" t="str">
        <f t="shared" si="490"/>
        <v/>
      </c>
    </row>
    <row r="1197" spans="1:52" x14ac:dyDescent="0.35">
      <c r="A1197" s="497" t="s">
        <v>5362</v>
      </c>
      <c r="B1197" s="13" t="s">
        <v>5547</v>
      </c>
      <c r="C1197" s="13" t="s">
        <v>1296</v>
      </c>
      <c r="D1197" s="13" t="s">
        <v>6839</v>
      </c>
      <c r="E1197" s="13" t="s">
        <v>3054</v>
      </c>
      <c r="F1197" s="373">
        <f t="shared" si="497"/>
        <v>24.61</v>
      </c>
      <c r="G1197" s="430">
        <v>24.61</v>
      </c>
      <c r="H1197" s="399">
        <f t="shared" si="498"/>
        <v>19.690000000000001</v>
      </c>
      <c r="I1197" s="576"/>
      <c r="J1197" s="549" t="s">
        <v>5804</v>
      </c>
      <c r="K1197" s="11"/>
      <c r="M1197" s="37">
        <f t="shared" si="499"/>
        <v>24.61</v>
      </c>
      <c r="N1197" s="29">
        <v>11.67</v>
      </c>
      <c r="O1197" s="149"/>
      <c r="P1197" s="144"/>
      <c r="Q1197" s="145"/>
      <c r="R1197" s="145"/>
      <c r="S1197" s="145" t="s">
        <v>1017</v>
      </c>
      <c r="T1197" t="s">
        <v>4179</v>
      </c>
      <c r="U1197" s="146" t="s">
        <v>1017</v>
      </c>
      <c r="V1197" s="145"/>
      <c r="W1197" s="147"/>
      <c r="X1197" s="147"/>
      <c r="Y1197" s="145"/>
      <c r="Z1197" s="145"/>
      <c r="AA1197" s="147"/>
      <c r="AB1197" s="145" t="s">
        <v>1017</v>
      </c>
      <c r="AC1197" s="145"/>
      <c r="AD1197" s="147"/>
      <c r="AE1197" s="148"/>
      <c r="AF1197" s="147"/>
      <c r="AG1197" s="147"/>
      <c r="AH1197" s="166" t="str">
        <f t="shared" si="496"/>
        <v>2011</v>
      </c>
      <c r="AI1197" s="168" t="str">
        <f t="shared" si="491"/>
        <v/>
      </c>
      <c r="AJ1197" s="168" t="str">
        <f t="shared" si="492"/>
        <v/>
      </c>
      <c r="AK1197" s="168" t="str">
        <f t="shared" si="493"/>
        <v/>
      </c>
      <c r="AL1197" s="168" t="str">
        <f t="shared" si="494"/>
        <v/>
      </c>
      <c r="AM1197" s="168" t="str">
        <f t="shared" si="495"/>
        <v/>
      </c>
      <c r="AN1197" s="167" t="str">
        <f t="shared" si="478"/>
        <v>2011</v>
      </c>
      <c r="AO1197" s="167" t="str">
        <f t="shared" si="479"/>
        <v>2011</v>
      </c>
      <c r="AP1197" s="167" t="str">
        <f t="shared" si="480"/>
        <v>2011</v>
      </c>
      <c r="AQ1197" s="169" t="str">
        <f t="shared" si="481"/>
        <v/>
      </c>
      <c r="AR1197" s="170" t="str">
        <f t="shared" si="482"/>
        <v>BiK81LK11y--06</v>
      </c>
      <c r="AS1197" s="169" t="str">
        <f t="shared" si="483"/>
        <v/>
      </c>
      <c r="AT1197">
        <f t="shared" si="484"/>
        <v>14</v>
      </c>
      <c r="AU1197" s="170" t="str">
        <f t="shared" si="485"/>
        <v>0-0,15 MW, Bonusregeln L, y und K erstmals 2011</v>
      </c>
      <c r="AV1197" s="169" t="str">
        <f t="shared" si="486"/>
        <v/>
      </c>
      <c r="AW1197" s="170" t="str">
        <f t="shared" si="487"/>
        <v>Anteil KWK, erstmals 2011</v>
      </c>
      <c r="AX1197" s="169" t="str">
        <f t="shared" si="488"/>
        <v/>
      </c>
      <c r="AY1197" t="str">
        <f t="shared" si="489"/>
        <v>x</v>
      </c>
      <c r="AZ1197" t="str">
        <f t="shared" si="490"/>
        <v/>
      </c>
    </row>
    <row r="1198" spans="1:52" x14ac:dyDescent="0.35">
      <c r="A1198" s="511" t="s">
        <v>3640</v>
      </c>
      <c r="B1198" s="173" t="s">
        <v>5547</v>
      </c>
      <c r="C1198" s="173" t="s">
        <v>1296</v>
      </c>
      <c r="D1198" s="173" t="s">
        <v>6840</v>
      </c>
      <c r="E1198" s="173" t="s">
        <v>1980</v>
      </c>
      <c r="F1198" s="374">
        <f t="shared" si="497"/>
        <v>24.58</v>
      </c>
      <c r="G1198" s="431">
        <v>24.58</v>
      </c>
      <c r="H1198" s="400">
        <f t="shared" si="498"/>
        <v>19.66</v>
      </c>
      <c r="I1198" s="577"/>
      <c r="J1198" s="549" t="s">
        <v>5804</v>
      </c>
      <c r="K1198" s="11"/>
      <c r="M1198" s="37">
        <f t="shared" si="499"/>
        <v>24.58</v>
      </c>
      <c r="N1198" s="29">
        <v>11.67</v>
      </c>
      <c r="O1198" s="149"/>
      <c r="P1198" s="144"/>
      <c r="Q1198" s="145"/>
      <c r="R1198" s="145"/>
      <c r="S1198" s="145" t="s">
        <v>4179</v>
      </c>
      <c r="T1198" t="s">
        <v>1017</v>
      </c>
      <c r="U1198" s="146" t="s">
        <v>1017</v>
      </c>
      <c r="V1198" s="145"/>
      <c r="W1198" s="147"/>
      <c r="X1198" s="147"/>
      <c r="Y1198" s="145"/>
      <c r="Z1198" s="145"/>
      <c r="AA1198" s="147"/>
      <c r="AB1198" s="145" t="s">
        <v>1017</v>
      </c>
      <c r="AC1198" s="145"/>
      <c r="AD1198" s="147"/>
      <c r="AE1198" s="148"/>
      <c r="AF1198" s="147"/>
      <c r="AG1198" s="147"/>
      <c r="AH1198" s="171" t="s">
        <v>4178</v>
      </c>
      <c r="AI1198" s="168" t="str">
        <f t="shared" si="491"/>
        <v/>
      </c>
      <c r="AJ1198" s="168" t="str">
        <f t="shared" si="492"/>
        <v/>
      </c>
      <c r="AK1198" s="168" t="str">
        <f t="shared" si="493"/>
        <v/>
      </c>
      <c r="AL1198" s="168" t="str">
        <f t="shared" si="494"/>
        <v/>
      </c>
      <c r="AM1198" s="168" t="str">
        <f t="shared" si="495"/>
        <v/>
      </c>
      <c r="AN1198" s="167" t="str">
        <f t="shared" si="478"/>
        <v>2012</v>
      </c>
      <c r="AO1198" s="167" t="str">
        <f t="shared" si="479"/>
        <v>2012</v>
      </c>
      <c r="AP1198" s="167" t="str">
        <f t="shared" si="480"/>
        <v>2012</v>
      </c>
      <c r="AQ1198" s="169" t="str">
        <f t="shared" si="481"/>
        <v/>
      </c>
      <c r="AR1198" s="170" t="str">
        <f t="shared" si="482"/>
        <v>BiK81LK12y--06</v>
      </c>
      <c r="AS1198" s="169" t="str">
        <f t="shared" si="483"/>
        <v/>
      </c>
      <c r="AT1198">
        <f t="shared" si="484"/>
        <v>14</v>
      </c>
      <c r="AU1198" s="170" t="str">
        <f t="shared" si="485"/>
        <v>0-0,15 MW, Bonusregeln L, y und K erstmals 2012</v>
      </c>
      <c r="AV1198" s="169" t="str">
        <f t="shared" si="486"/>
        <v/>
      </c>
      <c r="AW1198" s="170" t="str">
        <f t="shared" si="487"/>
        <v>Anteil KWK, erstmals 2012</v>
      </c>
      <c r="AX1198" s="169" t="str">
        <f t="shared" si="488"/>
        <v/>
      </c>
      <c r="AY1198" t="str">
        <f t="shared" si="489"/>
        <v/>
      </c>
      <c r="AZ1198" t="str">
        <f t="shared" si="490"/>
        <v>x</v>
      </c>
    </row>
    <row r="1199" spans="1:52" x14ac:dyDescent="0.35">
      <c r="A1199" s="497" t="s">
        <v>2733</v>
      </c>
      <c r="B1199" s="13" t="s">
        <v>5547</v>
      </c>
      <c r="C1199" s="13" t="s">
        <v>1296</v>
      </c>
      <c r="D1199" s="13" t="s">
        <v>6841</v>
      </c>
      <c r="E1199" s="13" t="s">
        <v>4809</v>
      </c>
      <c r="F1199" s="373">
        <f t="shared" si="497"/>
        <v>24.67</v>
      </c>
      <c r="G1199" s="430">
        <v>24.67</v>
      </c>
      <c r="H1199" s="399">
        <f t="shared" si="498"/>
        <v>19.739999999999998</v>
      </c>
      <c r="I1199" s="576"/>
      <c r="J1199" s="549" t="s">
        <v>5804</v>
      </c>
      <c r="K1199" s="11"/>
      <c r="M1199" s="37">
        <f t="shared" si="499"/>
        <v>24.67</v>
      </c>
      <c r="N1199" s="29">
        <v>11.67</v>
      </c>
      <c r="O1199" s="149"/>
      <c r="P1199" s="144"/>
      <c r="Q1199" s="145"/>
      <c r="R1199" s="145"/>
      <c r="S1199" s="145" t="s">
        <v>4179</v>
      </c>
      <c r="T1199" t="s">
        <v>4179</v>
      </c>
      <c r="U1199" s="146"/>
      <c r="V1199" s="145"/>
      <c r="W1199" s="147"/>
      <c r="X1199" s="147"/>
      <c r="Y1199" s="145"/>
      <c r="Z1199" s="145"/>
      <c r="AA1199" s="147"/>
      <c r="AB1199" s="145"/>
      <c r="AC1199" s="145" t="s">
        <v>1017</v>
      </c>
      <c r="AD1199" s="147"/>
      <c r="AE1199" s="148"/>
      <c r="AF1199" s="147"/>
      <c r="AG1199" s="147"/>
      <c r="AH1199" s="166" t="str">
        <f t="shared" ref="AH1199:AH1204" si="500">IF(ISERROR(SEARCH("K erstmals 201",D1199)),"",RIGHT(D1199,4))</f>
        <v/>
      </c>
      <c r="AI1199" s="168" t="str">
        <f t="shared" si="491"/>
        <v/>
      </c>
      <c r="AJ1199" s="168" t="str">
        <f t="shared" si="492"/>
        <v/>
      </c>
      <c r="AK1199" s="168" t="str">
        <f t="shared" si="493"/>
        <v/>
      </c>
      <c r="AL1199" s="168" t="str">
        <f t="shared" si="494"/>
        <v/>
      </c>
      <c r="AM1199" s="168" t="str">
        <f t="shared" si="495"/>
        <v/>
      </c>
      <c r="AN1199" s="167" t="str">
        <f t="shared" si="478"/>
        <v/>
      </c>
      <c r="AO1199" s="167" t="str">
        <f t="shared" si="479"/>
        <v/>
      </c>
      <c r="AP1199" s="167" t="str">
        <f t="shared" si="480"/>
        <v/>
      </c>
      <c r="AQ1199" s="169" t="str">
        <f t="shared" si="481"/>
        <v/>
      </c>
      <c r="AR1199" s="170" t="str">
        <f t="shared" si="482"/>
        <v>BiK81X1-----06</v>
      </c>
      <c r="AS1199" s="169" t="str">
        <f t="shared" si="483"/>
        <v/>
      </c>
      <c r="AT1199">
        <f t="shared" si="484"/>
        <v>14</v>
      </c>
      <c r="AU1199" s="170" t="str">
        <f t="shared" si="485"/>
        <v>0-0,15 MW, Bonusregel X1</v>
      </c>
      <c r="AV1199" s="169" t="str">
        <f t="shared" si="486"/>
        <v/>
      </c>
      <c r="AW1199" s="170" t="str">
        <f t="shared" si="487"/>
        <v>Anteil Nicht-KWK</v>
      </c>
      <c r="AX1199" s="169" t="str">
        <f t="shared" si="488"/>
        <v/>
      </c>
      <c r="AY1199" t="str">
        <f t="shared" si="489"/>
        <v/>
      </c>
      <c r="AZ1199" t="str">
        <f t="shared" si="490"/>
        <v/>
      </c>
    </row>
    <row r="1200" spans="1:52" x14ac:dyDescent="0.35">
      <c r="A1200" s="497" t="s">
        <v>2734</v>
      </c>
      <c r="B1200" s="13" t="s">
        <v>5547</v>
      </c>
      <c r="C1200" s="13" t="s">
        <v>1296</v>
      </c>
      <c r="D1200" s="13" t="s">
        <v>6900</v>
      </c>
      <c r="E1200" s="13" t="s">
        <v>4811</v>
      </c>
      <c r="F1200" s="373">
        <f t="shared" si="497"/>
        <v>26.67</v>
      </c>
      <c r="G1200" s="430">
        <v>26.67</v>
      </c>
      <c r="H1200" s="399">
        <f t="shared" si="498"/>
        <v>21.34</v>
      </c>
      <c r="I1200" s="576"/>
      <c r="J1200" s="549" t="s">
        <v>5804</v>
      </c>
      <c r="K1200" s="11"/>
      <c r="M1200" s="37">
        <f t="shared" si="499"/>
        <v>26.67</v>
      </c>
      <c r="N1200" s="29">
        <v>11.67</v>
      </c>
      <c r="O1200" s="149" t="s">
        <v>1017</v>
      </c>
      <c r="P1200" s="144"/>
      <c r="Q1200" s="145"/>
      <c r="R1200" s="145"/>
      <c r="S1200" s="145" t="s">
        <v>4179</v>
      </c>
      <c r="T1200" t="s">
        <v>4179</v>
      </c>
      <c r="U1200" s="146"/>
      <c r="V1200" s="145"/>
      <c r="W1200" s="147"/>
      <c r="X1200" s="147"/>
      <c r="Y1200" s="145"/>
      <c r="Z1200" s="145"/>
      <c r="AA1200" s="147"/>
      <c r="AB1200" s="145"/>
      <c r="AC1200" s="145" t="s">
        <v>1017</v>
      </c>
      <c r="AD1200" s="147"/>
      <c r="AE1200" s="148"/>
      <c r="AF1200" s="147"/>
      <c r="AG1200" s="147"/>
      <c r="AH1200" s="166" t="str">
        <f t="shared" si="500"/>
        <v/>
      </c>
      <c r="AI1200" s="168" t="str">
        <f t="shared" si="491"/>
        <v/>
      </c>
      <c r="AJ1200" s="168" t="str">
        <f t="shared" si="492"/>
        <v/>
      </c>
      <c r="AK1200" s="168" t="str">
        <f t="shared" si="493"/>
        <v/>
      </c>
      <c r="AL1200" s="168" t="str">
        <f t="shared" si="494"/>
        <v/>
      </c>
      <c r="AM1200" s="168" t="str">
        <f t="shared" si="495"/>
        <v/>
      </c>
      <c r="AN1200" s="167" t="str">
        <f t="shared" si="478"/>
        <v/>
      </c>
      <c r="AO1200" s="167" t="str">
        <f t="shared" si="479"/>
        <v/>
      </c>
      <c r="AP1200" s="167" t="str">
        <f t="shared" si="480"/>
        <v/>
      </c>
      <c r="AQ1200" s="169" t="str">
        <f t="shared" si="481"/>
        <v/>
      </c>
      <c r="AR1200" s="170" t="str">
        <f t="shared" si="482"/>
        <v>BiK81X1KWK--06</v>
      </c>
      <c r="AS1200" s="169" t="str">
        <f t="shared" si="483"/>
        <v/>
      </c>
      <c r="AT1200">
        <f t="shared" si="484"/>
        <v>14</v>
      </c>
      <c r="AU1200" s="170" t="str">
        <f t="shared" si="485"/>
        <v>0-0,15 MW, Bonusregeln X1 und KWK</v>
      </c>
      <c r="AV1200" s="169" t="str">
        <f t="shared" si="486"/>
        <v/>
      </c>
      <c r="AW1200" s="170" t="str">
        <f t="shared" si="487"/>
        <v>Anteil KWK</v>
      </c>
      <c r="AX1200" s="169" t="str">
        <f t="shared" si="488"/>
        <v/>
      </c>
      <c r="AY1200" t="str">
        <f t="shared" si="489"/>
        <v/>
      </c>
      <c r="AZ1200" t="str">
        <f t="shared" si="490"/>
        <v/>
      </c>
    </row>
    <row r="1201" spans="1:52" x14ac:dyDescent="0.35">
      <c r="A1201" s="497" t="s">
        <v>2735</v>
      </c>
      <c r="B1201" s="13" t="s">
        <v>5547</v>
      </c>
      <c r="C1201" s="13" t="s">
        <v>1296</v>
      </c>
      <c r="D1201" s="13" t="s">
        <v>6842</v>
      </c>
      <c r="E1201" s="13" t="s">
        <v>4330</v>
      </c>
      <c r="F1201" s="373">
        <f t="shared" si="497"/>
        <v>27.67</v>
      </c>
      <c r="G1201" s="430">
        <v>27.67</v>
      </c>
      <c r="H1201" s="399">
        <f t="shared" si="498"/>
        <v>22.14</v>
      </c>
      <c r="I1201" s="576"/>
      <c r="J1201" s="549" t="s">
        <v>5804</v>
      </c>
      <c r="K1201" s="11"/>
      <c r="M1201" s="37">
        <f t="shared" si="499"/>
        <v>27.67</v>
      </c>
      <c r="N1201" s="29">
        <v>11.67</v>
      </c>
      <c r="O1201" s="149"/>
      <c r="P1201" s="145" t="s">
        <v>1017</v>
      </c>
      <c r="Q1201" s="145"/>
      <c r="R1201" s="145"/>
      <c r="S1201" s="145" t="s">
        <v>4179</v>
      </c>
      <c r="T1201" t="s">
        <v>4179</v>
      </c>
      <c r="U1201" s="146"/>
      <c r="V1201" s="145"/>
      <c r="W1201" s="147"/>
      <c r="X1201" s="147"/>
      <c r="Y1201" s="145"/>
      <c r="Z1201" s="145"/>
      <c r="AA1201" s="147"/>
      <c r="AB1201" s="145"/>
      <c r="AC1201" s="145" t="s">
        <v>1017</v>
      </c>
      <c r="AD1201" s="147"/>
      <c r="AE1201" s="148"/>
      <c r="AF1201" s="147"/>
      <c r="AG1201" s="147"/>
      <c r="AH1201" s="166" t="str">
        <f t="shared" si="500"/>
        <v/>
      </c>
      <c r="AI1201" s="168" t="str">
        <f t="shared" si="491"/>
        <v/>
      </c>
      <c r="AJ1201" s="168" t="str">
        <f t="shared" si="492"/>
        <v/>
      </c>
      <c r="AK1201" s="168" t="str">
        <f t="shared" si="493"/>
        <v/>
      </c>
      <c r="AL1201" s="168" t="str">
        <f t="shared" si="494"/>
        <v/>
      </c>
      <c r="AM1201" s="168" t="str">
        <f t="shared" si="495"/>
        <v/>
      </c>
      <c r="AN1201" s="167" t="str">
        <f t="shared" si="478"/>
        <v/>
      </c>
      <c r="AO1201" s="167" t="str">
        <f t="shared" si="479"/>
        <v/>
      </c>
      <c r="AP1201" s="167" t="str">
        <f t="shared" si="480"/>
        <v/>
      </c>
      <c r="AQ1201" s="169" t="str">
        <f t="shared" si="481"/>
        <v/>
      </c>
      <c r="AR1201" s="170" t="str">
        <f t="shared" si="482"/>
        <v>BiK81X1KA3--06</v>
      </c>
      <c r="AS1201" s="169" t="str">
        <f t="shared" si="483"/>
        <v/>
      </c>
      <c r="AT1201">
        <f t="shared" si="484"/>
        <v>14</v>
      </c>
      <c r="AU1201" s="170" t="str">
        <f t="shared" si="485"/>
        <v>0-0,15 MW, Bonusregeln X1 und K wenn Anlage 3 erfüllt</v>
      </c>
      <c r="AV1201" s="169" t="str">
        <f t="shared" si="486"/>
        <v/>
      </c>
      <c r="AW1201" s="170" t="str">
        <f t="shared" si="487"/>
        <v>Anteil KWK gemäß Anlage 3</v>
      </c>
      <c r="AX1201" s="169" t="str">
        <f t="shared" si="488"/>
        <v/>
      </c>
      <c r="AY1201" t="str">
        <f t="shared" si="489"/>
        <v/>
      </c>
      <c r="AZ1201" t="str">
        <f t="shared" si="490"/>
        <v/>
      </c>
    </row>
    <row r="1202" spans="1:52" x14ac:dyDescent="0.35">
      <c r="A1202" s="497" t="s">
        <v>2736</v>
      </c>
      <c r="B1202" s="13" t="s">
        <v>5547</v>
      </c>
      <c r="C1202" s="13" t="s">
        <v>1296</v>
      </c>
      <c r="D1202" s="13" t="s">
        <v>6843</v>
      </c>
      <c r="E1202" s="13" t="s">
        <v>674</v>
      </c>
      <c r="F1202" s="373">
        <f t="shared" si="497"/>
        <v>27.67</v>
      </c>
      <c r="G1202" s="430">
        <v>27.67</v>
      </c>
      <c r="H1202" s="399">
        <f t="shared" si="498"/>
        <v>22.14</v>
      </c>
      <c r="I1202" s="576"/>
      <c r="J1202" s="549" t="s">
        <v>5804</v>
      </c>
      <c r="K1202" s="11"/>
      <c r="M1202" s="37">
        <f t="shared" si="499"/>
        <v>27.67</v>
      </c>
      <c r="N1202" s="29">
        <v>11.67</v>
      </c>
      <c r="O1202" s="149"/>
      <c r="P1202" s="144"/>
      <c r="Q1202" s="145" t="s">
        <v>1017</v>
      </c>
      <c r="R1202" s="145"/>
      <c r="S1202" s="145" t="s">
        <v>4179</v>
      </c>
      <c r="T1202" t="s">
        <v>4179</v>
      </c>
      <c r="U1202" s="146"/>
      <c r="V1202" s="145"/>
      <c r="W1202" s="147"/>
      <c r="X1202" s="147"/>
      <c r="Y1202" s="145"/>
      <c r="Z1202" s="145"/>
      <c r="AA1202" s="147"/>
      <c r="AB1202" s="145"/>
      <c r="AC1202" s="145" t="s">
        <v>1017</v>
      </c>
      <c r="AD1202" s="147"/>
      <c r="AE1202" s="148"/>
      <c r="AF1202" s="147"/>
      <c r="AG1202" s="147"/>
      <c r="AH1202" s="166" t="str">
        <f t="shared" si="500"/>
        <v/>
      </c>
      <c r="AI1202" s="168" t="str">
        <f t="shared" si="491"/>
        <v/>
      </c>
      <c r="AJ1202" s="168" t="str">
        <f t="shared" si="492"/>
        <v/>
      </c>
      <c r="AK1202" s="168" t="str">
        <f t="shared" si="493"/>
        <v/>
      </c>
      <c r="AL1202" s="168" t="str">
        <f t="shared" si="494"/>
        <v/>
      </c>
      <c r="AM1202" s="168" t="str">
        <f t="shared" si="495"/>
        <v/>
      </c>
      <c r="AN1202" s="167" t="str">
        <f t="shared" si="478"/>
        <v/>
      </c>
      <c r="AO1202" s="167" t="str">
        <f t="shared" si="479"/>
        <v/>
      </c>
      <c r="AP1202" s="167" t="str">
        <f t="shared" si="480"/>
        <v/>
      </c>
      <c r="AQ1202" s="169" t="str">
        <f t="shared" si="481"/>
        <v/>
      </c>
      <c r="AR1202" s="170" t="str">
        <f t="shared" si="482"/>
        <v>BiK81X1K09--06</v>
      </c>
      <c r="AS1202" s="169" t="str">
        <f t="shared" si="483"/>
        <v/>
      </c>
      <c r="AT1202">
        <f t="shared" si="484"/>
        <v>14</v>
      </c>
      <c r="AU1202" s="170" t="str">
        <f t="shared" si="485"/>
        <v>0-0,15 MW, Bonusregeln X1 und K erstmals 2009</v>
      </c>
      <c r="AV1202" s="169" t="str">
        <f t="shared" si="486"/>
        <v/>
      </c>
      <c r="AW1202" s="170" t="str">
        <f t="shared" si="487"/>
        <v>Anteil KWK, erstmals 2009</v>
      </c>
      <c r="AX1202" s="169" t="str">
        <f t="shared" si="488"/>
        <v/>
      </c>
      <c r="AY1202" t="str">
        <f t="shared" si="489"/>
        <v/>
      </c>
      <c r="AZ1202" t="str">
        <f t="shared" si="490"/>
        <v/>
      </c>
    </row>
    <row r="1203" spans="1:52" x14ac:dyDescent="0.35">
      <c r="A1203" s="497" t="s">
        <v>4894</v>
      </c>
      <c r="B1203" s="13" t="s">
        <v>5547</v>
      </c>
      <c r="C1203" s="13" t="s">
        <v>1296</v>
      </c>
      <c r="D1203" s="13" t="s">
        <v>6844</v>
      </c>
      <c r="E1203" s="13" t="s">
        <v>3566</v>
      </c>
      <c r="F1203" s="373">
        <f t="shared" si="497"/>
        <v>27.64</v>
      </c>
      <c r="G1203" s="430">
        <v>27.64</v>
      </c>
      <c r="H1203" s="399">
        <f t="shared" si="498"/>
        <v>22.11</v>
      </c>
      <c r="I1203" s="576"/>
      <c r="J1203" s="549" t="s">
        <v>5804</v>
      </c>
      <c r="K1203" s="11"/>
      <c r="M1203" s="37">
        <f t="shared" si="499"/>
        <v>27.64</v>
      </c>
      <c r="N1203" s="29">
        <v>11.67</v>
      </c>
      <c r="O1203" s="149"/>
      <c r="P1203" s="144"/>
      <c r="Q1203" s="145"/>
      <c r="R1203" s="145" t="s">
        <v>1017</v>
      </c>
      <c r="S1203" s="145" t="s">
        <v>4179</v>
      </c>
      <c r="T1203" t="s">
        <v>4179</v>
      </c>
      <c r="U1203" s="146"/>
      <c r="V1203" s="145"/>
      <c r="W1203" s="147"/>
      <c r="X1203" s="147"/>
      <c r="Y1203" s="145"/>
      <c r="Z1203" s="145"/>
      <c r="AA1203" s="147"/>
      <c r="AB1203" s="145"/>
      <c r="AC1203" s="145" t="s">
        <v>1017</v>
      </c>
      <c r="AD1203" s="147"/>
      <c r="AE1203" s="148"/>
      <c r="AF1203" s="147"/>
      <c r="AG1203" s="147"/>
      <c r="AH1203" s="166" t="str">
        <f t="shared" si="500"/>
        <v>2010</v>
      </c>
      <c r="AI1203" s="168" t="str">
        <f t="shared" si="491"/>
        <v/>
      </c>
      <c r="AJ1203" s="168" t="str">
        <f t="shared" si="492"/>
        <v/>
      </c>
      <c r="AK1203" s="168" t="str">
        <f t="shared" si="493"/>
        <v/>
      </c>
      <c r="AL1203" s="168" t="str">
        <f t="shared" si="494"/>
        <v/>
      </c>
      <c r="AM1203" s="168" t="str">
        <f t="shared" si="495"/>
        <v/>
      </c>
      <c r="AN1203" s="167" t="str">
        <f t="shared" si="478"/>
        <v>2010</v>
      </c>
      <c r="AO1203" s="167" t="str">
        <f t="shared" si="479"/>
        <v>2010</v>
      </c>
      <c r="AP1203" s="167" t="str">
        <f t="shared" si="480"/>
        <v>2010</v>
      </c>
      <c r="AQ1203" s="169" t="str">
        <f t="shared" si="481"/>
        <v/>
      </c>
      <c r="AR1203" s="170" t="str">
        <f t="shared" si="482"/>
        <v>BiK81X1K10--06</v>
      </c>
      <c r="AS1203" s="169" t="str">
        <f t="shared" si="483"/>
        <v/>
      </c>
      <c r="AT1203">
        <f t="shared" si="484"/>
        <v>14</v>
      </c>
      <c r="AU1203" s="170" t="str">
        <f t="shared" si="485"/>
        <v>0-0,15 MW, Bonusregeln X1 und K erstmals 2010</v>
      </c>
      <c r="AV1203" s="169" t="str">
        <f t="shared" si="486"/>
        <v/>
      </c>
      <c r="AW1203" s="170" t="str">
        <f t="shared" si="487"/>
        <v>Anteil KWK, erstmals 2010</v>
      </c>
      <c r="AX1203" s="169" t="str">
        <f t="shared" si="488"/>
        <v/>
      </c>
      <c r="AY1203" t="str">
        <f t="shared" si="489"/>
        <v/>
      </c>
      <c r="AZ1203" t="str">
        <f t="shared" si="490"/>
        <v/>
      </c>
    </row>
    <row r="1204" spans="1:52" x14ac:dyDescent="0.35">
      <c r="A1204" s="497" t="s">
        <v>5363</v>
      </c>
      <c r="B1204" s="13" t="s">
        <v>5547</v>
      </c>
      <c r="C1204" s="13" t="s">
        <v>1296</v>
      </c>
      <c r="D1204" s="13" t="s">
        <v>6845</v>
      </c>
      <c r="E1204" s="13" t="s">
        <v>3054</v>
      </c>
      <c r="F1204" s="373">
        <f t="shared" si="497"/>
        <v>27.61</v>
      </c>
      <c r="G1204" s="430">
        <v>27.61</v>
      </c>
      <c r="H1204" s="399">
        <f t="shared" si="498"/>
        <v>22.09</v>
      </c>
      <c r="I1204" s="576"/>
      <c r="J1204" s="549" t="s">
        <v>5804</v>
      </c>
      <c r="K1204" s="11"/>
      <c r="M1204" s="37">
        <f t="shared" si="499"/>
        <v>27.61</v>
      </c>
      <c r="N1204" s="29">
        <v>11.67</v>
      </c>
      <c r="O1204" s="149"/>
      <c r="P1204" s="144"/>
      <c r="Q1204" s="145"/>
      <c r="R1204" s="145"/>
      <c r="S1204" s="145" t="s">
        <v>1017</v>
      </c>
      <c r="T1204" t="s">
        <v>4179</v>
      </c>
      <c r="U1204" s="146"/>
      <c r="V1204" s="145"/>
      <c r="W1204" s="147"/>
      <c r="X1204" s="147"/>
      <c r="Y1204" s="145"/>
      <c r="Z1204" s="145"/>
      <c r="AA1204" s="147"/>
      <c r="AB1204" s="145"/>
      <c r="AC1204" s="145" t="s">
        <v>1017</v>
      </c>
      <c r="AD1204" s="147"/>
      <c r="AE1204" s="148"/>
      <c r="AF1204" s="147"/>
      <c r="AG1204" s="147"/>
      <c r="AH1204" s="166" t="str">
        <f t="shared" si="500"/>
        <v>2011</v>
      </c>
      <c r="AI1204" s="168" t="str">
        <f t="shared" si="491"/>
        <v/>
      </c>
      <c r="AJ1204" s="168" t="str">
        <f t="shared" si="492"/>
        <v/>
      </c>
      <c r="AK1204" s="168" t="str">
        <f t="shared" si="493"/>
        <v/>
      </c>
      <c r="AL1204" s="168" t="str">
        <f t="shared" si="494"/>
        <v/>
      </c>
      <c r="AM1204" s="168" t="str">
        <f t="shared" si="495"/>
        <v/>
      </c>
      <c r="AN1204" s="167" t="str">
        <f t="shared" si="478"/>
        <v>2011</v>
      </c>
      <c r="AO1204" s="167" t="str">
        <f t="shared" si="479"/>
        <v>2011</v>
      </c>
      <c r="AP1204" s="167" t="str">
        <f t="shared" si="480"/>
        <v>2011</v>
      </c>
      <c r="AQ1204" s="169" t="str">
        <f t="shared" si="481"/>
        <v/>
      </c>
      <c r="AR1204" s="170" t="str">
        <f t="shared" si="482"/>
        <v>BiK81X1K11--06</v>
      </c>
      <c r="AS1204" s="169" t="str">
        <f t="shared" si="483"/>
        <v/>
      </c>
      <c r="AT1204">
        <f t="shared" si="484"/>
        <v>14</v>
      </c>
      <c r="AU1204" s="170" t="str">
        <f t="shared" si="485"/>
        <v>0-0,15 MW, Bonusregeln X1 und K erstmals 2011</v>
      </c>
      <c r="AV1204" s="169" t="str">
        <f t="shared" si="486"/>
        <v/>
      </c>
      <c r="AW1204" s="170" t="str">
        <f t="shared" si="487"/>
        <v>Anteil KWK, erstmals 2011</v>
      </c>
      <c r="AX1204" s="169" t="str">
        <f t="shared" si="488"/>
        <v/>
      </c>
      <c r="AY1204" t="str">
        <f t="shared" si="489"/>
        <v>x</v>
      </c>
      <c r="AZ1204" t="str">
        <f t="shared" si="490"/>
        <v/>
      </c>
    </row>
    <row r="1205" spans="1:52" x14ac:dyDescent="0.35">
      <c r="A1205" s="511" t="s">
        <v>3641</v>
      </c>
      <c r="B1205" s="173" t="s">
        <v>5547</v>
      </c>
      <c r="C1205" s="173" t="s">
        <v>1296</v>
      </c>
      <c r="D1205" s="173" t="s">
        <v>6846</v>
      </c>
      <c r="E1205" s="173" t="s">
        <v>1980</v>
      </c>
      <c r="F1205" s="374">
        <f t="shared" si="497"/>
        <v>27.58</v>
      </c>
      <c r="G1205" s="431">
        <v>27.58</v>
      </c>
      <c r="H1205" s="400">
        <f t="shared" si="498"/>
        <v>22.06</v>
      </c>
      <c r="I1205" s="577"/>
      <c r="J1205" s="549" t="s">
        <v>5804</v>
      </c>
      <c r="K1205" s="11"/>
      <c r="M1205" s="37">
        <f t="shared" si="499"/>
        <v>27.58</v>
      </c>
      <c r="N1205" s="29">
        <v>11.67</v>
      </c>
      <c r="O1205" s="149"/>
      <c r="P1205" s="144"/>
      <c r="Q1205" s="145"/>
      <c r="R1205" s="145"/>
      <c r="S1205" s="145" t="s">
        <v>4179</v>
      </c>
      <c r="T1205" t="s">
        <v>1017</v>
      </c>
      <c r="U1205" s="146"/>
      <c r="V1205" s="145"/>
      <c r="W1205" s="147"/>
      <c r="X1205" s="147"/>
      <c r="Y1205" s="145"/>
      <c r="Z1205" s="145"/>
      <c r="AA1205" s="147"/>
      <c r="AB1205" s="145"/>
      <c r="AC1205" s="145" t="s">
        <v>1017</v>
      </c>
      <c r="AD1205" s="147"/>
      <c r="AE1205" s="148"/>
      <c r="AF1205" s="147"/>
      <c r="AG1205" s="147"/>
      <c r="AH1205" s="171" t="s">
        <v>4178</v>
      </c>
      <c r="AI1205" s="168" t="str">
        <f t="shared" si="491"/>
        <v/>
      </c>
      <c r="AJ1205" s="168" t="str">
        <f t="shared" si="492"/>
        <v/>
      </c>
      <c r="AK1205" s="168" t="str">
        <f t="shared" si="493"/>
        <v/>
      </c>
      <c r="AL1205" s="168" t="str">
        <f t="shared" si="494"/>
        <v/>
      </c>
      <c r="AM1205" s="168" t="str">
        <f t="shared" si="495"/>
        <v/>
      </c>
      <c r="AN1205" s="167" t="str">
        <f t="shared" si="478"/>
        <v>2012</v>
      </c>
      <c r="AO1205" s="167" t="str">
        <f t="shared" si="479"/>
        <v>2012</v>
      </c>
      <c r="AP1205" s="167" t="str">
        <f t="shared" si="480"/>
        <v>2012</v>
      </c>
      <c r="AQ1205" s="169" t="str">
        <f t="shared" si="481"/>
        <v/>
      </c>
      <c r="AR1205" s="170" t="str">
        <f t="shared" si="482"/>
        <v>BiK81X1K12--06</v>
      </c>
      <c r="AS1205" s="169" t="str">
        <f t="shared" si="483"/>
        <v/>
      </c>
      <c r="AT1205">
        <f t="shared" si="484"/>
        <v>14</v>
      </c>
      <c r="AU1205" s="170" t="str">
        <f t="shared" si="485"/>
        <v>0-0,15 MW, Bonusregeln X1 und K erstmals 2012</v>
      </c>
      <c r="AV1205" s="169" t="str">
        <f t="shared" si="486"/>
        <v/>
      </c>
      <c r="AW1205" s="170" t="str">
        <f t="shared" si="487"/>
        <v>Anteil KWK, erstmals 2012</v>
      </c>
      <c r="AX1205" s="169" t="str">
        <f t="shared" si="488"/>
        <v/>
      </c>
      <c r="AY1205" t="str">
        <f t="shared" si="489"/>
        <v/>
      </c>
      <c r="AZ1205" t="str">
        <f t="shared" si="490"/>
        <v>x</v>
      </c>
    </row>
    <row r="1206" spans="1:52" x14ac:dyDescent="0.35">
      <c r="A1206" s="497" t="s">
        <v>2737</v>
      </c>
      <c r="B1206" s="13" t="s">
        <v>5547</v>
      </c>
      <c r="C1206" s="13" t="s">
        <v>1296</v>
      </c>
      <c r="D1206" s="13" t="s">
        <v>6847</v>
      </c>
      <c r="E1206" s="13" t="s">
        <v>4809</v>
      </c>
      <c r="F1206" s="373">
        <f t="shared" si="497"/>
        <v>25.67</v>
      </c>
      <c r="G1206" s="430">
        <v>25.67</v>
      </c>
      <c r="H1206" s="399">
        <f t="shared" si="498"/>
        <v>20.54</v>
      </c>
      <c r="I1206" s="576"/>
      <c r="J1206" s="549" t="s">
        <v>5804</v>
      </c>
      <c r="K1206" s="11"/>
      <c r="M1206" s="37">
        <f t="shared" si="499"/>
        <v>25.67</v>
      </c>
      <c r="N1206" s="29">
        <v>11.67</v>
      </c>
      <c r="O1206" s="149"/>
      <c r="P1206" s="144"/>
      <c r="Q1206" s="145"/>
      <c r="R1206" s="145"/>
      <c r="S1206" s="145" t="s">
        <v>4179</v>
      </c>
      <c r="T1206" t="s">
        <v>4179</v>
      </c>
      <c r="U1206" s="146" t="s">
        <v>1017</v>
      </c>
      <c r="V1206" s="145"/>
      <c r="W1206" s="147"/>
      <c r="X1206" s="147"/>
      <c r="Y1206" s="145"/>
      <c r="Z1206" s="145"/>
      <c r="AA1206" s="147"/>
      <c r="AB1206" s="145"/>
      <c r="AC1206" s="145" t="s">
        <v>1017</v>
      </c>
      <c r="AD1206" s="147"/>
      <c r="AE1206" s="148"/>
      <c r="AF1206" s="147"/>
      <c r="AG1206" s="147"/>
      <c r="AH1206" s="166" t="str">
        <f t="shared" ref="AH1206:AH1211" si="501">IF(ISERROR(SEARCH("K erstmals 201",D1206)),"",RIGHT(D1206,4))</f>
        <v/>
      </c>
      <c r="AI1206" s="168" t="str">
        <f t="shared" si="491"/>
        <v/>
      </c>
      <c r="AJ1206" s="168" t="str">
        <f t="shared" si="492"/>
        <v/>
      </c>
      <c r="AK1206" s="168" t="str">
        <f t="shared" si="493"/>
        <v/>
      </c>
      <c r="AL1206" s="168" t="str">
        <f t="shared" si="494"/>
        <v/>
      </c>
      <c r="AM1206" s="168" t="str">
        <f t="shared" si="495"/>
        <v/>
      </c>
      <c r="AN1206" s="167" t="str">
        <f t="shared" si="478"/>
        <v/>
      </c>
      <c r="AO1206" s="167" t="str">
        <f t="shared" si="479"/>
        <v/>
      </c>
      <c r="AP1206" s="167" t="str">
        <f t="shared" si="480"/>
        <v/>
      </c>
      <c r="AQ1206" s="169" t="str">
        <f t="shared" si="481"/>
        <v/>
      </c>
      <c r="AR1206" s="170" t="str">
        <f t="shared" si="482"/>
        <v>BiK81X1y----06</v>
      </c>
      <c r="AS1206" s="169" t="str">
        <f t="shared" si="483"/>
        <v/>
      </c>
      <c r="AT1206">
        <f t="shared" si="484"/>
        <v>14</v>
      </c>
      <c r="AU1206" s="170" t="str">
        <f t="shared" si="485"/>
        <v>0-0,15 MW, Bonusregeln X1, y</v>
      </c>
      <c r="AV1206" s="169" t="str">
        <f t="shared" si="486"/>
        <v/>
      </c>
      <c r="AW1206" s="170" t="str">
        <f t="shared" si="487"/>
        <v>Anteil Nicht-KWK</v>
      </c>
      <c r="AX1206" s="169" t="str">
        <f t="shared" si="488"/>
        <v/>
      </c>
      <c r="AY1206" t="str">
        <f t="shared" si="489"/>
        <v/>
      </c>
      <c r="AZ1206" t="str">
        <f t="shared" si="490"/>
        <v/>
      </c>
    </row>
    <row r="1207" spans="1:52" x14ac:dyDescent="0.35">
      <c r="A1207" s="497" t="s">
        <v>2738</v>
      </c>
      <c r="B1207" s="13" t="s">
        <v>5547</v>
      </c>
      <c r="C1207" s="13" t="s">
        <v>1296</v>
      </c>
      <c r="D1207" s="13" t="s">
        <v>6901</v>
      </c>
      <c r="E1207" s="13" t="s">
        <v>4811</v>
      </c>
      <c r="F1207" s="373">
        <f t="shared" si="497"/>
        <v>27.67</v>
      </c>
      <c r="G1207" s="430">
        <v>27.67</v>
      </c>
      <c r="H1207" s="399">
        <f t="shared" si="498"/>
        <v>22.14</v>
      </c>
      <c r="I1207" s="576"/>
      <c r="J1207" s="549" t="s">
        <v>5804</v>
      </c>
      <c r="K1207" s="11"/>
      <c r="M1207" s="37">
        <f t="shared" si="499"/>
        <v>27.67</v>
      </c>
      <c r="N1207" s="29">
        <v>11.67</v>
      </c>
      <c r="O1207" s="149" t="s">
        <v>1017</v>
      </c>
      <c r="P1207" s="144"/>
      <c r="Q1207" s="145"/>
      <c r="R1207" s="145"/>
      <c r="S1207" s="145" t="s">
        <v>4179</v>
      </c>
      <c r="T1207" t="s">
        <v>4179</v>
      </c>
      <c r="U1207" s="146" t="s">
        <v>1017</v>
      </c>
      <c r="V1207" s="145"/>
      <c r="W1207" s="147"/>
      <c r="X1207" s="147"/>
      <c r="Y1207" s="145"/>
      <c r="Z1207" s="145"/>
      <c r="AA1207" s="147"/>
      <c r="AB1207" s="145"/>
      <c r="AC1207" s="145" t="s">
        <v>1017</v>
      </c>
      <c r="AD1207" s="147"/>
      <c r="AE1207" s="148"/>
      <c r="AF1207" s="147"/>
      <c r="AG1207" s="147"/>
      <c r="AH1207" s="166" t="str">
        <f t="shared" si="501"/>
        <v/>
      </c>
      <c r="AI1207" s="168" t="str">
        <f t="shared" si="491"/>
        <v/>
      </c>
      <c r="AJ1207" s="168" t="str">
        <f t="shared" si="492"/>
        <v/>
      </c>
      <c r="AK1207" s="168" t="str">
        <f t="shared" si="493"/>
        <v/>
      </c>
      <c r="AL1207" s="168" t="str">
        <f t="shared" si="494"/>
        <v/>
      </c>
      <c r="AM1207" s="168" t="str">
        <f t="shared" si="495"/>
        <v/>
      </c>
      <c r="AN1207" s="167" t="str">
        <f t="shared" si="478"/>
        <v/>
      </c>
      <c r="AO1207" s="167" t="str">
        <f t="shared" si="479"/>
        <v/>
      </c>
      <c r="AP1207" s="167" t="str">
        <f t="shared" si="480"/>
        <v/>
      </c>
      <c r="AQ1207" s="169" t="str">
        <f t="shared" si="481"/>
        <v/>
      </c>
      <c r="AR1207" s="170" t="str">
        <f t="shared" si="482"/>
        <v>BiK81X1KWKy-06</v>
      </c>
      <c r="AS1207" s="169" t="str">
        <f t="shared" si="483"/>
        <v/>
      </c>
      <c r="AT1207">
        <f t="shared" si="484"/>
        <v>14</v>
      </c>
      <c r="AU1207" s="170" t="str">
        <f t="shared" si="485"/>
        <v>0-0,15 MW, Bonusregeln X1, y und KWK</v>
      </c>
      <c r="AV1207" s="169" t="str">
        <f t="shared" si="486"/>
        <v/>
      </c>
      <c r="AW1207" s="170" t="str">
        <f t="shared" si="487"/>
        <v>Anteil KWK</v>
      </c>
      <c r="AX1207" s="169" t="str">
        <f t="shared" si="488"/>
        <v/>
      </c>
      <c r="AY1207" t="str">
        <f t="shared" si="489"/>
        <v/>
      </c>
      <c r="AZ1207" t="str">
        <f t="shared" si="490"/>
        <v/>
      </c>
    </row>
    <row r="1208" spans="1:52" x14ac:dyDescent="0.35">
      <c r="A1208" s="497" t="s">
        <v>2739</v>
      </c>
      <c r="B1208" s="13" t="s">
        <v>5547</v>
      </c>
      <c r="C1208" s="13" t="s">
        <v>1296</v>
      </c>
      <c r="D1208" s="88" t="s">
        <v>6848</v>
      </c>
      <c r="E1208" s="13" t="s">
        <v>4330</v>
      </c>
      <c r="F1208" s="373">
        <f t="shared" si="497"/>
        <v>28.67</v>
      </c>
      <c r="G1208" s="430">
        <v>28.67</v>
      </c>
      <c r="H1208" s="399">
        <f t="shared" si="498"/>
        <v>22.94</v>
      </c>
      <c r="I1208" s="576"/>
      <c r="J1208" s="549" t="s">
        <v>5804</v>
      </c>
      <c r="K1208" s="11"/>
      <c r="M1208" s="37">
        <f t="shared" si="499"/>
        <v>28.67</v>
      </c>
      <c r="N1208" s="29">
        <v>11.67</v>
      </c>
      <c r="O1208" s="149"/>
      <c r="P1208" s="145" t="s">
        <v>1017</v>
      </c>
      <c r="Q1208" s="145"/>
      <c r="R1208" s="145"/>
      <c r="S1208" s="145" t="s">
        <v>4179</v>
      </c>
      <c r="T1208" t="s">
        <v>4179</v>
      </c>
      <c r="U1208" s="146" t="s">
        <v>1017</v>
      </c>
      <c r="V1208" s="145"/>
      <c r="W1208" s="147"/>
      <c r="X1208" s="147"/>
      <c r="Y1208" s="145"/>
      <c r="Z1208" s="145"/>
      <c r="AA1208" s="147"/>
      <c r="AB1208" s="145"/>
      <c r="AC1208" s="145" t="s">
        <v>1017</v>
      </c>
      <c r="AD1208" s="147"/>
      <c r="AE1208" s="148"/>
      <c r="AF1208" s="147"/>
      <c r="AG1208" s="147"/>
      <c r="AH1208" s="166" t="str">
        <f t="shared" si="501"/>
        <v/>
      </c>
      <c r="AI1208" s="168" t="str">
        <f t="shared" si="491"/>
        <v/>
      </c>
      <c r="AJ1208" s="168" t="str">
        <f t="shared" si="492"/>
        <v/>
      </c>
      <c r="AK1208" s="168" t="str">
        <f t="shared" si="493"/>
        <v/>
      </c>
      <c r="AL1208" s="168" t="str">
        <f t="shared" si="494"/>
        <v/>
      </c>
      <c r="AM1208" s="168" t="str">
        <f t="shared" si="495"/>
        <v/>
      </c>
      <c r="AN1208" s="167" t="str">
        <f t="shared" si="478"/>
        <v/>
      </c>
      <c r="AO1208" s="167" t="str">
        <f t="shared" si="479"/>
        <v/>
      </c>
      <c r="AP1208" s="167" t="str">
        <f t="shared" si="480"/>
        <v/>
      </c>
      <c r="AQ1208" s="169" t="str">
        <f t="shared" si="481"/>
        <v/>
      </c>
      <c r="AR1208" s="170" t="str">
        <f t="shared" si="482"/>
        <v>BiK81X1KA3y-06</v>
      </c>
      <c r="AS1208" s="169" t="str">
        <f t="shared" si="483"/>
        <v/>
      </c>
      <c r="AT1208">
        <f t="shared" si="484"/>
        <v>14</v>
      </c>
      <c r="AU1208" s="170" t="str">
        <f t="shared" si="485"/>
        <v>0-0,15 MW, Bonusregeln X1, y und K wenn Anlage 3 erfüllt</v>
      </c>
      <c r="AV1208" s="169" t="str">
        <f t="shared" si="486"/>
        <v/>
      </c>
      <c r="AW1208" s="170" t="str">
        <f t="shared" si="487"/>
        <v>Anteil KWK gemäß Anlage 3</v>
      </c>
      <c r="AX1208" s="169" t="str">
        <f t="shared" si="488"/>
        <v/>
      </c>
      <c r="AY1208" t="str">
        <f t="shared" si="489"/>
        <v/>
      </c>
      <c r="AZ1208" t="str">
        <f t="shared" si="490"/>
        <v/>
      </c>
    </row>
    <row r="1209" spans="1:52" x14ac:dyDescent="0.35">
      <c r="A1209" s="497" t="s">
        <v>2740</v>
      </c>
      <c r="B1209" s="13" t="s">
        <v>5547</v>
      </c>
      <c r="C1209" s="13" t="s">
        <v>1296</v>
      </c>
      <c r="D1209" s="13" t="s">
        <v>6849</v>
      </c>
      <c r="E1209" s="13" t="s">
        <v>674</v>
      </c>
      <c r="F1209" s="373">
        <f t="shared" si="497"/>
        <v>28.67</v>
      </c>
      <c r="G1209" s="430">
        <v>28.67</v>
      </c>
      <c r="H1209" s="399">
        <f t="shared" si="498"/>
        <v>22.94</v>
      </c>
      <c r="I1209" s="576"/>
      <c r="J1209" s="549" t="s">
        <v>5804</v>
      </c>
      <c r="K1209" s="11"/>
      <c r="M1209" s="37">
        <f t="shared" si="499"/>
        <v>28.67</v>
      </c>
      <c r="N1209" s="29">
        <v>11.67</v>
      </c>
      <c r="O1209" s="149"/>
      <c r="P1209" s="144"/>
      <c r="Q1209" s="145" t="s">
        <v>1017</v>
      </c>
      <c r="R1209" s="145"/>
      <c r="S1209" s="145" t="s">
        <v>4179</v>
      </c>
      <c r="T1209" t="s">
        <v>4179</v>
      </c>
      <c r="U1209" s="146" t="s">
        <v>1017</v>
      </c>
      <c r="V1209" s="145"/>
      <c r="W1209" s="147"/>
      <c r="X1209" s="147"/>
      <c r="Y1209" s="145"/>
      <c r="Z1209" s="145"/>
      <c r="AA1209" s="147"/>
      <c r="AB1209" s="145"/>
      <c r="AC1209" s="145" t="s">
        <v>1017</v>
      </c>
      <c r="AD1209" s="147"/>
      <c r="AE1209" s="148"/>
      <c r="AF1209" s="147"/>
      <c r="AG1209" s="147"/>
      <c r="AH1209" s="166" t="str">
        <f t="shared" si="501"/>
        <v/>
      </c>
      <c r="AI1209" s="168" t="str">
        <f t="shared" si="491"/>
        <v/>
      </c>
      <c r="AJ1209" s="168" t="str">
        <f t="shared" si="492"/>
        <v/>
      </c>
      <c r="AK1209" s="168" t="str">
        <f t="shared" si="493"/>
        <v/>
      </c>
      <c r="AL1209" s="168" t="str">
        <f t="shared" si="494"/>
        <v/>
      </c>
      <c r="AM1209" s="168" t="str">
        <f t="shared" si="495"/>
        <v/>
      </c>
      <c r="AN1209" s="167" t="str">
        <f t="shared" si="478"/>
        <v/>
      </c>
      <c r="AO1209" s="167" t="str">
        <f t="shared" si="479"/>
        <v/>
      </c>
      <c r="AP1209" s="167" t="str">
        <f t="shared" si="480"/>
        <v/>
      </c>
      <c r="AQ1209" s="169" t="str">
        <f t="shared" si="481"/>
        <v/>
      </c>
      <c r="AR1209" s="170" t="str">
        <f t="shared" si="482"/>
        <v>BiK81X1K09y-06</v>
      </c>
      <c r="AS1209" s="169" t="str">
        <f t="shared" si="483"/>
        <v/>
      </c>
      <c r="AT1209">
        <f t="shared" si="484"/>
        <v>14</v>
      </c>
      <c r="AU1209" s="170" t="str">
        <f t="shared" si="485"/>
        <v>0-0,15 MW, Bonusregeln X1, y und K erstmals 2009</v>
      </c>
      <c r="AV1209" s="169" t="str">
        <f t="shared" si="486"/>
        <v/>
      </c>
      <c r="AW1209" s="170" t="str">
        <f t="shared" si="487"/>
        <v>Anteil KWK, erstmals 2009</v>
      </c>
      <c r="AX1209" s="169" t="str">
        <f t="shared" si="488"/>
        <v/>
      </c>
      <c r="AY1209" t="str">
        <f t="shared" si="489"/>
        <v/>
      </c>
      <c r="AZ1209" t="str">
        <f t="shared" si="490"/>
        <v/>
      </c>
    </row>
    <row r="1210" spans="1:52" x14ac:dyDescent="0.35">
      <c r="A1210" s="497" t="s">
        <v>4895</v>
      </c>
      <c r="B1210" s="13" t="s">
        <v>5547</v>
      </c>
      <c r="C1210" s="13" t="s">
        <v>1296</v>
      </c>
      <c r="D1210" s="13" t="s">
        <v>6850</v>
      </c>
      <c r="E1210" s="13" t="s">
        <v>3566</v>
      </c>
      <c r="F1210" s="373">
        <f t="shared" si="497"/>
        <v>28.64</v>
      </c>
      <c r="G1210" s="430">
        <v>28.64</v>
      </c>
      <c r="H1210" s="399">
        <f t="shared" si="498"/>
        <v>22.91</v>
      </c>
      <c r="I1210" s="576"/>
      <c r="J1210" s="549" t="s">
        <v>5804</v>
      </c>
      <c r="K1210" s="11"/>
      <c r="M1210" s="37">
        <f t="shared" si="499"/>
        <v>28.64</v>
      </c>
      <c r="N1210" s="29">
        <v>11.67</v>
      </c>
      <c r="O1210" s="149"/>
      <c r="P1210" s="144"/>
      <c r="Q1210" s="145"/>
      <c r="R1210" s="145" t="s">
        <v>1017</v>
      </c>
      <c r="S1210" s="145" t="s">
        <v>4179</v>
      </c>
      <c r="T1210" t="s">
        <v>4179</v>
      </c>
      <c r="U1210" s="146" t="s">
        <v>1017</v>
      </c>
      <c r="V1210" s="145"/>
      <c r="W1210" s="147"/>
      <c r="X1210" s="147"/>
      <c r="Y1210" s="145"/>
      <c r="Z1210" s="145"/>
      <c r="AA1210" s="147"/>
      <c r="AB1210" s="145"/>
      <c r="AC1210" s="145" t="s">
        <v>1017</v>
      </c>
      <c r="AD1210" s="147"/>
      <c r="AE1210" s="148"/>
      <c r="AF1210" s="147"/>
      <c r="AG1210" s="147"/>
      <c r="AH1210" s="166" t="str">
        <f t="shared" si="501"/>
        <v>2010</v>
      </c>
      <c r="AI1210" s="168" t="str">
        <f t="shared" si="491"/>
        <v/>
      </c>
      <c r="AJ1210" s="168" t="str">
        <f t="shared" si="492"/>
        <v/>
      </c>
      <c r="AK1210" s="168" t="str">
        <f t="shared" si="493"/>
        <v/>
      </c>
      <c r="AL1210" s="168" t="str">
        <f t="shared" si="494"/>
        <v/>
      </c>
      <c r="AM1210" s="168" t="str">
        <f t="shared" si="495"/>
        <v/>
      </c>
      <c r="AN1210" s="167" t="str">
        <f t="shared" si="478"/>
        <v>2010</v>
      </c>
      <c r="AO1210" s="167" t="str">
        <f t="shared" si="479"/>
        <v>2010</v>
      </c>
      <c r="AP1210" s="167" t="str">
        <f t="shared" si="480"/>
        <v>2010</v>
      </c>
      <c r="AQ1210" s="169" t="str">
        <f t="shared" si="481"/>
        <v/>
      </c>
      <c r="AR1210" s="170" t="str">
        <f t="shared" si="482"/>
        <v>BiK81X1K10y-06</v>
      </c>
      <c r="AS1210" s="169" t="str">
        <f t="shared" si="483"/>
        <v/>
      </c>
      <c r="AT1210">
        <f t="shared" si="484"/>
        <v>14</v>
      </c>
      <c r="AU1210" s="170" t="str">
        <f t="shared" si="485"/>
        <v>0-0,15 MW, Bonusregeln X1, y und K erstmals 2010</v>
      </c>
      <c r="AV1210" s="169" t="str">
        <f t="shared" si="486"/>
        <v/>
      </c>
      <c r="AW1210" s="170" t="str">
        <f t="shared" si="487"/>
        <v>Anteil KWK, erstmals 2010</v>
      </c>
      <c r="AX1210" s="169" t="str">
        <f t="shared" si="488"/>
        <v/>
      </c>
      <c r="AY1210" t="str">
        <f t="shared" si="489"/>
        <v/>
      </c>
      <c r="AZ1210" t="str">
        <f t="shared" si="490"/>
        <v/>
      </c>
    </row>
    <row r="1211" spans="1:52" x14ac:dyDescent="0.35">
      <c r="A1211" s="497" t="s">
        <v>5364</v>
      </c>
      <c r="B1211" s="13" t="s">
        <v>5547</v>
      </c>
      <c r="C1211" s="13" t="s">
        <v>1296</v>
      </c>
      <c r="D1211" s="13" t="s">
        <v>6851</v>
      </c>
      <c r="E1211" s="13" t="s">
        <v>3054</v>
      </c>
      <c r="F1211" s="373">
        <f t="shared" si="497"/>
        <v>28.61</v>
      </c>
      <c r="G1211" s="430">
        <v>28.61</v>
      </c>
      <c r="H1211" s="399">
        <f t="shared" si="498"/>
        <v>22.89</v>
      </c>
      <c r="I1211" s="576"/>
      <c r="J1211" s="549" t="s">
        <v>5804</v>
      </c>
      <c r="K1211" s="11"/>
      <c r="M1211" s="37">
        <f t="shared" si="499"/>
        <v>28.61</v>
      </c>
      <c r="N1211" s="29">
        <v>11.67</v>
      </c>
      <c r="O1211" s="149"/>
      <c r="P1211" s="144"/>
      <c r="Q1211" s="145"/>
      <c r="R1211" s="145"/>
      <c r="S1211" s="145" t="s">
        <v>1017</v>
      </c>
      <c r="T1211" t="s">
        <v>4179</v>
      </c>
      <c r="U1211" s="146" t="s">
        <v>1017</v>
      </c>
      <c r="V1211" s="145"/>
      <c r="W1211" s="147"/>
      <c r="X1211" s="147"/>
      <c r="Y1211" s="145"/>
      <c r="Z1211" s="145"/>
      <c r="AA1211" s="147"/>
      <c r="AB1211" s="145"/>
      <c r="AC1211" s="145" t="s">
        <v>1017</v>
      </c>
      <c r="AD1211" s="147"/>
      <c r="AE1211" s="148"/>
      <c r="AF1211" s="147"/>
      <c r="AG1211" s="147"/>
      <c r="AH1211" s="166" t="str">
        <f t="shared" si="501"/>
        <v>2011</v>
      </c>
      <c r="AI1211" s="168" t="str">
        <f t="shared" si="491"/>
        <v/>
      </c>
      <c r="AJ1211" s="168" t="str">
        <f t="shared" si="492"/>
        <v/>
      </c>
      <c r="AK1211" s="168" t="str">
        <f t="shared" si="493"/>
        <v/>
      </c>
      <c r="AL1211" s="168" t="str">
        <f t="shared" si="494"/>
        <v/>
      </c>
      <c r="AM1211" s="168" t="str">
        <f t="shared" si="495"/>
        <v/>
      </c>
      <c r="AN1211" s="167" t="str">
        <f t="shared" si="478"/>
        <v>2011</v>
      </c>
      <c r="AO1211" s="167" t="str">
        <f t="shared" si="479"/>
        <v>2011</v>
      </c>
      <c r="AP1211" s="167" t="str">
        <f t="shared" si="480"/>
        <v>2011</v>
      </c>
      <c r="AQ1211" s="169" t="str">
        <f t="shared" si="481"/>
        <v/>
      </c>
      <c r="AR1211" s="170" t="str">
        <f t="shared" si="482"/>
        <v>BiK81X1K11y-06</v>
      </c>
      <c r="AS1211" s="169" t="str">
        <f t="shared" si="483"/>
        <v/>
      </c>
      <c r="AT1211">
        <f t="shared" si="484"/>
        <v>14</v>
      </c>
      <c r="AU1211" s="170" t="str">
        <f t="shared" si="485"/>
        <v>0-0,15 MW, Bonusregeln X1, y und K erstmals 2011</v>
      </c>
      <c r="AV1211" s="169" t="str">
        <f t="shared" si="486"/>
        <v/>
      </c>
      <c r="AW1211" s="170" t="str">
        <f t="shared" si="487"/>
        <v>Anteil KWK, erstmals 2011</v>
      </c>
      <c r="AX1211" s="169" t="str">
        <f t="shared" si="488"/>
        <v/>
      </c>
      <c r="AY1211" t="str">
        <f t="shared" si="489"/>
        <v>x</v>
      </c>
      <c r="AZ1211" t="str">
        <f t="shared" si="490"/>
        <v/>
      </c>
    </row>
    <row r="1212" spans="1:52" x14ac:dyDescent="0.35">
      <c r="A1212" s="511" t="s">
        <v>3642</v>
      </c>
      <c r="B1212" s="173" t="s">
        <v>5547</v>
      </c>
      <c r="C1212" s="173" t="s">
        <v>1296</v>
      </c>
      <c r="D1212" s="173" t="s">
        <v>6852</v>
      </c>
      <c r="E1212" s="173" t="s">
        <v>1980</v>
      </c>
      <c r="F1212" s="374">
        <f t="shared" si="497"/>
        <v>28.58</v>
      </c>
      <c r="G1212" s="431">
        <v>28.58</v>
      </c>
      <c r="H1212" s="400">
        <f t="shared" si="498"/>
        <v>22.86</v>
      </c>
      <c r="I1212" s="577"/>
      <c r="J1212" s="549" t="s">
        <v>5804</v>
      </c>
      <c r="K1212" s="11"/>
      <c r="M1212" s="37">
        <f t="shared" si="499"/>
        <v>28.58</v>
      </c>
      <c r="N1212" s="29">
        <v>11.67</v>
      </c>
      <c r="O1212" s="149"/>
      <c r="P1212" s="144"/>
      <c r="Q1212" s="145"/>
      <c r="R1212" s="145"/>
      <c r="S1212" s="145" t="s">
        <v>4179</v>
      </c>
      <c r="T1212" t="s">
        <v>1017</v>
      </c>
      <c r="U1212" s="146" t="s">
        <v>1017</v>
      </c>
      <c r="V1212" s="145"/>
      <c r="W1212" s="147"/>
      <c r="X1212" s="147"/>
      <c r="Y1212" s="145"/>
      <c r="Z1212" s="145"/>
      <c r="AA1212" s="147"/>
      <c r="AB1212" s="145"/>
      <c r="AC1212" s="145" t="s">
        <v>1017</v>
      </c>
      <c r="AD1212" s="147"/>
      <c r="AE1212" s="148"/>
      <c r="AF1212" s="147"/>
      <c r="AG1212" s="147"/>
      <c r="AH1212" s="171" t="s">
        <v>4178</v>
      </c>
      <c r="AI1212" s="168" t="str">
        <f t="shared" si="491"/>
        <v/>
      </c>
      <c r="AJ1212" s="168" t="str">
        <f t="shared" si="492"/>
        <v/>
      </c>
      <c r="AK1212" s="168" t="str">
        <f t="shared" si="493"/>
        <v/>
      </c>
      <c r="AL1212" s="168" t="str">
        <f t="shared" si="494"/>
        <v/>
      </c>
      <c r="AM1212" s="168" t="str">
        <f t="shared" si="495"/>
        <v/>
      </c>
      <c r="AN1212" s="167" t="str">
        <f t="shared" si="478"/>
        <v>2012</v>
      </c>
      <c r="AO1212" s="167" t="str">
        <f t="shared" si="479"/>
        <v>2012</v>
      </c>
      <c r="AP1212" s="167" t="str">
        <f t="shared" si="480"/>
        <v>2012</v>
      </c>
      <c r="AQ1212" s="169" t="str">
        <f t="shared" si="481"/>
        <v/>
      </c>
      <c r="AR1212" s="170" t="str">
        <f t="shared" si="482"/>
        <v>BiK81X1K12y-06</v>
      </c>
      <c r="AS1212" s="169" t="str">
        <f t="shared" si="483"/>
        <v/>
      </c>
      <c r="AT1212">
        <f t="shared" si="484"/>
        <v>14</v>
      </c>
      <c r="AU1212" s="170" t="str">
        <f t="shared" si="485"/>
        <v>0-0,15 MW, Bonusregeln X1, y und K erstmals 2012</v>
      </c>
      <c r="AV1212" s="169" t="str">
        <f t="shared" si="486"/>
        <v/>
      </c>
      <c r="AW1212" s="170" t="str">
        <f t="shared" si="487"/>
        <v>Anteil KWK, erstmals 2012</v>
      </c>
      <c r="AX1212" s="169" t="str">
        <f t="shared" si="488"/>
        <v/>
      </c>
      <c r="AY1212" t="str">
        <f t="shared" si="489"/>
        <v/>
      </c>
      <c r="AZ1212" t="str">
        <f t="shared" si="490"/>
        <v>x</v>
      </c>
    </row>
    <row r="1213" spans="1:52" x14ac:dyDescent="0.35">
      <c r="A1213" s="505" t="s">
        <v>878</v>
      </c>
      <c r="B1213" s="23" t="s">
        <v>5547</v>
      </c>
      <c r="C1213" s="23" t="s">
        <v>1296</v>
      </c>
      <c r="D1213" s="23" t="s">
        <v>6902</v>
      </c>
      <c r="E1213" s="23" t="s">
        <v>4809</v>
      </c>
      <c r="F1213" s="378">
        <f t="shared" si="497"/>
        <v>13.67</v>
      </c>
      <c r="G1213" s="434">
        <v>13.67</v>
      </c>
      <c r="H1213" s="403">
        <f t="shared" si="498"/>
        <v>10.94</v>
      </c>
      <c r="I1213" s="581"/>
      <c r="J1213" s="549" t="s">
        <v>5804</v>
      </c>
      <c r="K1213" s="11"/>
      <c r="M1213" s="37">
        <f t="shared" si="499"/>
        <v>13.67</v>
      </c>
      <c r="N1213" s="29">
        <v>11.67</v>
      </c>
      <c r="O1213" s="41"/>
      <c r="P1213" s="11"/>
      <c r="S1213" t="s">
        <v>4179</v>
      </c>
      <c r="T1213" t="s">
        <v>4179</v>
      </c>
      <c r="U1213" s="42"/>
      <c r="W1213" s="50"/>
      <c r="X1213" s="50"/>
      <c r="AA1213" s="50"/>
      <c r="AD1213" s="50"/>
      <c r="AE1213" s="75" t="s">
        <v>1017</v>
      </c>
      <c r="AF1213" s="50"/>
      <c r="AG1213" s="50"/>
      <c r="AH1213" s="166" t="str">
        <f t="shared" ref="AH1213:AH1218" si="502">IF(ISERROR(SEARCH("K erstmals 201",D1213)),"",RIGHT(D1213,4))</f>
        <v/>
      </c>
      <c r="AI1213" s="168" t="str">
        <f t="shared" si="491"/>
        <v/>
      </c>
      <c r="AJ1213" s="168" t="str">
        <f t="shared" si="492"/>
        <v/>
      </c>
      <c r="AK1213" s="168" t="str">
        <f t="shared" si="493"/>
        <v/>
      </c>
      <c r="AL1213" s="168" t="str">
        <f t="shared" si="494"/>
        <v/>
      </c>
      <c r="AM1213" s="168" t="str">
        <f t="shared" si="495"/>
        <v/>
      </c>
      <c r="AN1213" s="167" t="str">
        <f t="shared" si="478"/>
        <v/>
      </c>
      <c r="AO1213" s="167" t="str">
        <f t="shared" si="479"/>
        <v/>
      </c>
      <c r="AP1213" s="167" t="str">
        <f t="shared" si="480"/>
        <v/>
      </c>
      <c r="AQ1213" s="169" t="str">
        <f t="shared" si="481"/>
        <v/>
      </c>
      <c r="AR1213" s="170" t="str">
        <f t="shared" si="482"/>
        <v>BiK81b------06</v>
      </c>
      <c r="AS1213" s="169" t="str">
        <f t="shared" si="483"/>
        <v/>
      </c>
      <c r="AT1213">
        <f t="shared" si="484"/>
        <v>14</v>
      </c>
      <c r="AU1213" s="170" t="str">
        <f t="shared" si="485"/>
        <v>0-0,15 MW, Bonusregel b</v>
      </c>
      <c r="AV1213" s="169" t="str">
        <f t="shared" si="486"/>
        <v/>
      </c>
      <c r="AW1213" s="170" t="str">
        <f t="shared" si="487"/>
        <v>Anteil Nicht-KWK</v>
      </c>
      <c r="AX1213" s="169" t="str">
        <f t="shared" si="488"/>
        <v/>
      </c>
      <c r="AY1213" t="str">
        <f t="shared" si="489"/>
        <v/>
      </c>
      <c r="AZ1213" t="str">
        <f t="shared" si="490"/>
        <v/>
      </c>
    </row>
    <row r="1214" spans="1:52" x14ac:dyDescent="0.35">
      <c r="A1214" s="505" t="s">
        <v>879</v>
      </c>
      <c r="B1214" s="23" t="s">
        <v>5547</v>
      </c>
      <c r="C1214" s="23" t="s">
        <v>1296</v>
      </c>
      <c r="D1214" s="23" t="s">
        <v>6903</v>
      </c>
      <c r="E1214" s="23" t="s">
        <v>4811</v>
      </c>
      <c r="F1214" s="378">
        <f t="shared" si="497"/>
        <v>15.67</v>
      </c>
      <c r="G1214" s="434">
        <v>15.67</v>
      </c>
      <c r="H1214" s="403">
        <f t="shared" si="498"/>
        <v>12.54</v>
      </c>
      <c r="I1214" s="581"/>
      <c r="J1214" s="549" t="s">
        <v>5804</v>
      </c>
      <c r="K1214" s="11"/>
      <c r="M1214" s="37">
        <f t="shared" si="499"/>
        <v>15.67</v>
      </c>
      <c r="N1214" s="29">
        <v>11.67</v>
      </c>
      <c r="O1214" s="41" t="s">
        <v>1017</v>
      </c>
      <c r="P1214" s="11"/>
      <c r="S1214" t="s">
        <v>4179</v>
      </c>
      <c r="T1214" t="s">
        <v>4179</v>
      </c>
      <c r="U1214" s="42"/>
      <c r="W1214" s="50"/>
      <c r="X1214" s="50"/>
      <c r="AA1214" s="50"/>
      <c r="AD1214" s="50"/>
      <c r="AE1214" s="75" t="s">
        <v>1017</v>
      </c>
      <c r="AF1214" s="50"/>
      <c r="AG1214" s="50"/>
      <c r="AH1214" s="166" t="str">
        <f t="shared" si="502"/>
        <v/>
      </c>
      <c r="AI1214" s="168" t="str">
        <f t="shared" si="491"/>
        <v/>
      </c>
      <c r="AJ1214" s="168" t="str">
        <f t="shared" si="492"/>
        <v/>
      </c>
      <c r="AK1214" s="168" t="str">
        <f t="shared" si="493"/>
        <v/>
      </c>
      <c r="AL1214" s="168" t="str">
        <f t="shared" si="494"/>
        <v/>
      </c>
      <c r="AM1214" s="168" t="str">
        <f t="shared" si="495"/>
        <v/>
      </c>
      <c r="AN1214" s="167" t="str">
        <f t="shared" si="478"/>
        <v/>
      </c>
      <c r="AO1214" s="167" t="str">
        <f t="shared" si="479"/>
        <v/>
      </c>
      <c r="AP1214" s="167" t="str">
        <f t="shared" si="480"/>
        <v/>
      </c>
      <c r="AQ1214" s="169" t="str">
        <f t="shared" si="481"/>
        <v/>
      </c>
      <c r="AR1214" s="170" t="str">
        <f t="shared" si="482"/>
        <v>BiK81bKWK---06</v>
      </c>
      <c r="AS1214" s="169" t="str">
        <f t="shared" si="483"/>
        <v/>
      </c>
      <c r="AT1214">
        <f t="shared" si="484"/>
        <v>14</v>
      </c>
      <c r="AU1214" s="170" t="str">
        <f t="shared" si="485"/>
        <v>0-0,15 MW, Bonusregeln b und KWK</v>
      </c>
      <c r="AV1214" s="169" t="str">
        <f t="shared" si="486"/>
        <v/>
      </c>
      <c r="AW1214" s="170" t="str">
        <f t="shared" si="487"/>
        <v>Anteil KWK</v>
      </c>
      <c r="AX1214" s="169" t="str">
        <f t="shared" si="488"/>
        <v/>
      </c>
      <c r="AY1214" t="str">
        <f t="shared" si="489"/>
        <v/>
      </c>
      <c r="AZ1214" t="str">
        <f t="shared" si="490"/>
        <v/>
      </c>
    </row>
    <row r="1215" spans="1:52" x14ac:dyDescent="0.35">
      <c r="A1215" s="497" t="s">
        <v>4351</v>
      </c>
      <c r="B1215" s="13" t="s">
        <v>5547</v>
      </c>
      <c r="C1215" s="13" t="s">
        <v>1296</v>
      </c>
      <c r="D1215" s="13" t="s">
        <v>6904</v>
      </c>
      <c r="E1215" s="13" t="s">
        <v>4330</v>
      </c>
      <c r="F1215" s="373">
        <f t="shared" si="497"/>
        <v>16.670000000000002</v>
      </c>
      <c r="G1215" s="430">
        <v>16.670000000000002</v>
      </c>
      <c r="H1215" s="399">
        <f t="shared" si="498"/>
        <v>13.34</v>
      </c>
      <c r="I1215" s="576"/>
      <c r="J1215" s="549" t="s">
        <v>5804</v>
      </c>
      <c r="K1215" s="11"/>
      <c r="M1215" s="37">
        <f t="shared" si="499"/>
        <v>16.670000000000002</v>
      </c>
      <c r="N1215" s="29">
        <v>11.67</v>
      </c>
      <c r="O1215" s="41"/>
      <c r="P1215" t="s">
        <v>1017</v>
      </c>
      <c r="S1215" t="s">
        <v>4179</v>
      </c>
      <c r="T1215" t="s">
        <v>4179</v>
      </c>
      <c r="U1215" s="42"/>
      <c r="W1215" s="50"/>
      <c r="X1215" s="50"/>
      <c r="AA1215" s="50"/>
      <c r="AD1215" s="50"/>
      <c r="AE1215" s="75" t="s">
        <v>1017</v>
      </c>
      <c r="AF1215" s="50"/>
      <c r="AG1215" s="50"/>
      <c r="AH1215" s="166" t="str">
        <f t="shared" si="502"/>
        <v/>
      </c>
      <c r="AI1215" s="168" t="str">
        <f t="shared" si="491"/>
        <v/>
      </c>
      <c r="AJ1215" s="168" t="str">
        <f t="shared" si="492"/>
        <v/>
      </c>
      <c r="AK1215" s="168" t="str">
        <f t="shared" si="493"/>
        <v/>
      </c>
      <c r="AL1215" s="168" t="str">
        <f t="shared" si="494"/>
        <v/>
      </c>
      <c r="AM1215" s="168" t="str">
        <f t="shared" si="495"/>
        <v/>
      </c>
      <c r="AN1215" s="167" t="str">
        <f t="shared" si="478"/>
        <v/>
      </c>
      <c r="AO1215" s="167" t="str">
        <f t="shared" si="479"/>
        <v/>
      </c>
      <c r="AP1215" s="167" t="str">
        <f t="shared" si="480"/>
        <v/>
      </c>
      <c r="AQ1215" s="169" t="str">
        <f t="shared" si="481"/>
        <v/>
      </c>
      <c r="AR1215" s="170" t="str">
        <f t="shared" si="482"/>
        <v>BiK81bKA3---06</v>
      </c>
      <c r="AS1215" s="169" t="str">
        <f t="shared" si="483"/>
        <v/>
      </c>
      <c r="AT1215">
        <f t="shared" si="484"/>
        <v>14</v>
      </c>
      <c r="AU1215" s="170" t="str">
        <f t="shared" si="485"/>
        <v>0-0,15 MW, Bonusregeln b und K wenn Anlage 3 erfüllt</v>
      </c>
      <c r="AV1215" s="169" t="str">
        <f t="shared" si="486"/>
        <v/>
      </c>
      <c r="AW1215" s="170" t="str">
        <f t="shared" si="487"/>
        <v>Anteil KWK gemäß Anlage 3</v>
      </c>
      <c r="AX1215" s="169" t="str">
        <f t="shared" si="488"/>
        <v/>
      </c>
      <c r="AY1215" t="str">
        <f t="shared" si="489"/>
        <v/>
      </c>
      <c r="AZ1215" t="str">
        <f t="shared" si="490"/>
        <v/>
      </c>
    </row>
    <row r="1216" spans="1:52" x14ac:dyDescent="0.35">
      <c r="A1216" s="497" t="s">
        <v>5550</v>
      </c>
      <c r="B1216" s="13" t="s">
        <v>5547</v>
      </c>
      <c r="C1216" s="13" t="s">
        <v>1296</v>
      </c>
      <c r="D1216" s="13" t="s">
        <v>6905</v>
      </c>
      <c r="E1216" s="13" t="s">
        <v>674</v>
      </c>
      <c r="F1216" s="373">
        <f t="shared" si="497"/>
        <v>16.670000000000002</v>
      </c>
      <c r="G1216" s="430">
        <v>16.670000000000002</v>
      </c>
      <c r="H1216" s="399">
        <f t="shared" si="498"/>
        <v>13.34</v>
      </c>
      <c r="I1216" s="576"/>
      <c r="J1216" s="549" t="s">
        <v>5804</v>
      </c>
      <c r="K1216" s="11"/>
      <c r="M1216" s="37">
        <f t="shared" si="499"/>
        <v>16.670000000000002</v>
      </c>
      <c r="N1216" s="29">
        <v>11.67</v>
      </c>
      <c r="O1216" s="41"/>
      <c r="P1216" s="11"/>
      <c r="Q1216" t="s">
        <v>1017</v>
      </c>
      <c r="S1216" t="s">
        <v>4179</v>
      </c>
      <c r="T1216" t="s">
        <v>4179</v>
      </c>
      <c r="U1216" s="42"/>
      <c r="W1216" s="50"/>
      <c r="X1216" s="50"/>
      <c r="AA1216" s="50"/>
      <c r="AD1216" s="50"/>
      <c r="AE1216" s="75" t="s">
        <v>1017</v>
      </c>
      <c r="AF1216" s="50"/>
      <c r="AG1216" s="50"/>
      <c r="AH1216" s="166" t="str">
        <f t="shared" si="502"/>
        <v/>
      </c>
      <c r="AI1216" s="168" t="str">
        <f t="shared" si="491"/>
        <v/>
      </c>
      <c r="AJ1216" s="168" t="str">
        <f t="shared" si="492"/>
        <v/>
      </c>
      <c r="AK1216" s="168" t="str">
        <f t="shared" si="493"/>
        <v/>
      </c>
      <c r="AL1216" s="168" t="str">
        <f t="shared" si="494"/>
        <v/>
      </c>
      <c r="AM1216" s="168" t="str">
        <f t="shared" si="495"/>
        <v/>
      </c>
      <c r="AN1216" s="167" t="str">
        <f t="shared" si="478"/>
        <v/>
      </c>
      <c r="AO1216" s="167" t="str">
        <f t="shared" si="479"/>
        <v/>
      </c>
      <c r="AP1216" s="167" t="str">
        <f t="shared" si="480"/>
        <v/>
      </c>
      <c r="AQ1216" s="169" t="str">
        <f t="shared" si="481"/>
        <v/>
      </c>
      <c r="AR1216" s="170" t="str">
        <f t="shared" si="482"/>
        <v>BiK81bK09---06</v>
      </c>
      <c r="AS1216" s="169" t="str">
        <f t="shared" si="483"/>
        <v/>
      </c>
      <c r="AT1216">
        <f t="shared" si="484"/>
        <v>14</v>
      </c>
      <c r="AU1216" s="170" t="str">
        <f t="shared" si="485"/>
        <v>0-0,15 MW, Bonusregeln b und K erstmals 2009</v>
      </c>
      <c r="AV1216" s="169" t="str">
        <f t="shared" si="486"/>
        <v/>
      </c>
      <c r="AW1216" s="170" t="str">
        <f t="shared" si="487"/>
        <v>Anteil KWK, erstmals 2009</v>
      </c>
      <c r="AX1216" s="169" t="str">
        <f t="shared" si="488"/>
        <v/>
      </c>
      <c r="AY1216" t="str">
        <f t="shared" si="489"/>
        <v/>
      </c>
      <c r="AZ1216" t="str">
        <f t="shared" si="490"/>
        <v/>
      </c>
    </row>
    <row r="1217" spans="1:52" x14ac:dyDescent="0.35">
      <c r="A1217" s="497" t="s">
        <v>4896</v>
      </c>
      <c r="B1217" s="13" t="s">
        <v>5547</v>
      </c>
      <c r="C1217" s="13" t="s">
        <v>1296</v>
      </c>
      <c r="D1217" s="13" t="s">
        <v>6906</v>
      </c>
      <c r="E1217" s="13" t="s">
        <v>3566</v>
      </c>
      <c r="F1217" s="373">
        <f t="shared" si="497"/>
        <v>16.64</v>
      </c>
      <c r="G1217" s="430">
        <v>16.64</v>
      </c>
      <c r="H1217" s="399">
        <f t="shared" si="498"/>
        <v>13.31</v>
      </c>
      <c r="I1217" s="576"/>
      <c r="J1217" s="549" t="s">
        <v>5804</v>
      </c>
      <c r="K1217" s="11"/>
      <c r="M1217" s="37">
        <f t="shared" si="499"/>
        <v>16.64</v>
      </c>
      <c r="N1217" s="29">
        <v>11.67</v>
      </c>
      <c r="O1217" s="41"/>
      <c r="P1217" s="11"/>
      <c r="R1217" t="s">
        <v>1017</v>
      </c>
      <c r="S1217" t="s">
        <v>4179</v>
      </c>
      <c r="T1217" t="s">
        <v>4179</v>
      </c>
      <c r="U1217" s="42"/>
      <c r="W1217" s="50"/>
      <c r="X1217" s="50"/>
      <c r="AA1217" s="50"/>
      <c r="AD1217" s="50"/>
      <c r="AE1217" s="75" t="s">
        <v>1017</v>
      </c>
      <c r="AF1217" s="50"/>
      <c r="AG1217" s="50"/>
      <c r="AH1217" s="166" t="str">
        <f t="shared" si="502"/>
        <v>2010</v>
      </c>
      <c r="AI1217" s="168" t="str">
        <f t="shared" si="491"/>
        <v/>
      </c>
      <c r="AJ1217" s="168" t="str">
        <f t="shared" si="492"/>
        <v/>
      </c>
      <c r="AK1217" s="168" t="str">
        <f t="shared" si="493"/>
        <v/>
      </c>
      <c r="AL1217" s="168" t="str">
        <f t="shared" si="494"/>
        <v/>
      </c>
      <c r="AM1217" s="168" t="str">
        <f t="shared" si="495"/>
        <v/>
      </c>
      <c r="AN1217" s="167" t="str">
        <f t="shared" si="478"/>
        <v>2010</v>
      </c>
      <c r="AO1217" s="167" t="str">
        <f t="shared" si="479"/>
        <v>2010</v>
      </c>
      <c r="AP1217" s="167" t="str">
        <f t="shared" si="480"/>
        <v>2010</v>
      </c>
      <c r="AQ1217" s="169" t="str">
        <f t="shared" si="481"/>
        <v/>
      </c>
      <c r="AR1217" s="170" t="str">
        <f t="shared" si="482"/>
        <v>BiK81bK10---06</v>
      </c>
      <c r="AS1217" s="169" t="str">
        <f t="shared" si="483"/>
        <v/>
      </c>
      <c r="AT1217">
        <f t="shared" si="484"/>
        <v>14</v>
      </c>
      <c r="AU1217" s="170" t="str">
        <f t="shared" si="485"/>
        <v>0-0,15 MW, Bonusregeln b und K erstmals 2010</v>
      </c>
      <c r="AV1217" s="169" t="str">
        <f t="shared" si="486"/>
        <v/>
      </c>
      <c r="AW1217" s="170" t="str">
        <f t="shared" si="487"/>
        <v>Anteil KWK, erstmals 2010</v>
      </c>
      <c r="AX1217" s="169" t="str">
        <f t="shared" si="488"/>
        <v/>
      </c>
      <c r="AY1217" t="str">
        <f t="shared" si="489"/>
        <v/>
      </c>
      <c r="AZ1217" t="str">
        <f t="shared" si="490"/>
        <v/>
      </c>
    </row>
    <row r="1218" spans="1:52" x14ac:dyDescent="0.35">
      <c r="A1218" s="497" t="s">
        <v>5365</v>
      </c>
      <c r="B1218" s="13" t="s">
        <v>5547</v>
      </c>
      <c r="C1218" s="13" t="s">
        <v>1296</v>
      </c>
      <c r="D1218" s="13" t="s">
        <v>6907</v>
      </c>
      <c r="E1218" s="13" t="s">
        <v>3054</v>
      </c>
      <c r="F1218" s="373">
        <f t="shared" si="497"/>
        <v>16.61</v>
      </c>
      <c r="G1218" s="430">
        <v>16.61</v>
      </c>
      <c r="H1218" s="399">
        <f t="shared" si="498"/>
        <v>13.29</v>
      </c>
      <c r="I1218" s="576"/>
      <c r="J1218" s="549" t="s">
        <v>5804</v>
      </c>
      <c r="K1218" s="11"/>
      <c r="M1218" s="37">
        <f t="shared" si="499"/>
        <v>16.61</v>
      </c>
      <c r="N1218" s="29">
        <v>11.67</v>
      </c>
      <c r="O1218" s="41"/>
      <c r="P1218" s="11"/>
      <c r="S1218" t="s">
        <v>1017</v>
      </c>
      <c r="T1218" t="s">
        <v>4179</v>
      </c>
      <c r="U1218" s="42"/>
      <c r="W1218" s="50"/>
      <c r="X1218" s="50"/>
      <c r="AA1218" s="50"/>
      <c r="AD1218" s="50"/>
      <c r="AE1218" s="75" t="s">
        <v>1017</v>
      </c>
      <c r="AF1218" s="50"/>
      <c r="AG1218" s="50"/>
      <c r="AH1218" s="166" t="str">
        <f t="shared" si="502"/>
        <v>2011</v>
      </c>
      <c r="AI1218" s="168" t="str">
        <f t="shared" si="491"/>
        <v/>
      </c>
      <c r="AJ1218" s="168" t="str">
        <f t="shared" si="492"/>
        <v/>
      </c>
      <c r="AK1218" s="168" t="str">
        <f t="shared" si="493"/>
        <v/>
      </c>
      <c r="AL1218" s="168" t="str">
        <f t="shared" si="494"/>
        <v/>
      </c>
      <c r="AM1218" s="168" t="str">
        <f t="shared" si="495"/>
        <v/>
      </c>
      <c r="AN1218" s="167" t="str">
        <f t="shared" si="478"/>
        <v>2011</v>
      </c>
      <c r="AO1218" s="167" t="str">
        <f t="shared" si="479"/>
        <v>2011</v>
      </c>
      <c r="AP1218" s="167" t="str">
        <f t="shared" si="480"/>
        <v>2011</v>
      </c>
      <c r="AQ1218" s="169" t="str">
        <f t="shared" si="481"/>
        <v/>
      </c>
      <c r="AR1218" s="170" t="str">
        <f t="shared" si="482"/>
        <v>BiK81bK11---06</v>
      </c>
      <c r="AS1218" s="169" t="str">
        <f t="shared" si="483"/>
        <v/>
      </c>
      <c r="AT1218">
        <f t="shared" si="484"/>
        <v>14</v>
      </c>
      <c r="AU1218" s="170" t="str">
        <f t="shared" si="485"/>
        <v>0-0,15 MW, Bonusregeln b und K erstmals 2011</v>
      </c>
      <c r="AV1218" s="169" t="str">
        <f t="shared" si="486"/>
        <v/>
      </c>
      <c r="AW1218" s="170" t="str">
        <f t="shared" si="487"/>
        <v>Anteil KWK, erstmals 2011</v>
      </c>
      <c r="AX1218" s="169" t="str">
        <f t="shared" si="488"/>
        <v/>
      </c>
      <c r="AY1218" t="str">
        <f t="shared" si="489"/>
        <v>x</v>
      </c>
      <c r="AZ1218" t="str">
        <f t="shared" si="490"/>
        <v/>
      </c>
    </row>
    <row r="1219" spans="1:52" x14ac:dyDescent="0.35">
      <c r="A1219" s="511" t="s">
        <v>3643</v>
      </c>
      <c r="B1219" s="173" t="s">
        <v>5547</v>
      </c>
      <c r="C1219" s="173" t="s">
        <v>1296</v>
      </c>
      <c r="D1219" s="173" t="s">
        <v>6908</v>
      </c>
      <c r="E1219" s="173" t="s">
        <v>1980</v>
      </c>
      <c r="F1219" s="374">
        <f t="shared" si="497"/>
        <v>16.579999999999998</v>
      </c>
      <c r="G1219" s="431">
        <v>16.579999999999998</v>
      </c>
      <c r="H1219" s="400">
        <f t="shared" si="498"/>
        <v>13.26</v>
      </c>
      <c r="I1219" s="577"/>
      <c r="J1219" s="549" t="s">
        <v>5804</v>
      </c>
      <c r="K1219" s="11"/>
      <c r="M1219" s="37">
        <f t="shared" si="499"/>
        <v>16.579999999999998</v>
      </c>
      <c r="N1219" s="29">
        <v>11.67</v>
      </c>
      <c r="O1219" s="41"/>
      <c r="P1219" s="11"/>
      <c r="S1219" t="s">
        <v>4179</v>
      </c>
      <c r="T1219" t="s">
        <v>1017</v>
      </c>
      <c r="U1219" s="42"/>
      <c r="W1219" s="50"/>
      <c r="X1219" s="50"/>
      <c r="AA1219" s="50"/>
      <c r="AD1219" s="50"/>
      <c r="AE1219" s="75" t="s">
        <v>1017</v>
      </c>
      <c r="AF1219" s="50"/>
      <c r="AG1219" s="50"/>
      <c r="AH1219" s="171" t="s">
        <v>4178</v>
      </c>
      <c r="AI1219" s="168" t="str">
        <f t="shared" si="491"/>
        <v/>
      </c>
      <c r="AJ1219" s="168" t="str">
        <f t="shared" si="492"/>
        <v/>
      </c>
      <c r="AK1219" s="168" t="str">
        <f t="shared" si="493"/>
        <v/>
      </c>
      <c r="AL1219" s="168" t="str">
        <f t="shared" si="494"/>
        <v/>
      </c>
      <c r="AM1219" s="168" t="str">
        <f t="shared" si="495"/>
        <v/>
      </c>
      <c r="AN1219" s="167" t="str">
        <f t="shared" si="478"/>
        <v>2012</v>
      </c>
      <c r="AO1219" s="167" t="str">
        <f t="shared" si="479"/>
        <v>2012</v>
      </c>
      <c r="AP1219" s="167" t="str">
        <f t="shared" si="480"/>
        <v>2012</v>
      </c>
      <c r="AQ1219" s="169" t="str">
        <f t="shared" si="481"/>
        <v/>
      </c>
      <c r="AR1219" s="170" t="str">
        <f t="shared" si="482"/>
        <v>BiK81bK12---06</v>
      </c>
      <c r="AS1219" s="169" t="str">
        <f t="shared" si="483"/>
        <v/>
      </c>
      <c r="AT1219">
        <f t="shared" si="484"/>
        <v>14</v>
      </c>
      <c r="AU1219" s="170" t="str">
        <f t="shared" si="485"/>
        <v>0-0,15 MW, Bonusregeln b und K erstmals 2012</v>
      </c>
      <c r="AV1219" s="169" t="str">
        <f t="shared" si="486"/>
        <v/>
      </c>
      <c r="AW1219" s="170" t="str">
        <f t="shared" si="487"/>
        <v>Anteil KWK, erstmals 2012</v>
      </c>
      <c r="AX1219" s="169" t="str">
        <f t="shared" si="488"/>
        <v/>
      </c>
      <c r="AY1219" t="str">
        <f t="shared" si="489"/>
        <v/>
      </c>
      <c r="AZ1219" t="str">
        <f t="shared" si="490"/>
        <v>x</v>
      </c>
    </row>
    <row r="1220" spans="1:52" x14ac:dyDescent="0.35">
      <c r="A1220" s="497" t="s">
        <v>972</v>
      </c>
      <c r="B1220" s="13" t="s">
        <v>5547</v>
      </c>
      <c r="C1220" s="13" t="s">
        <v>1296</v>
      </c>
      <c r="D1220" s="13" t="s">
        <v>6909</v>
      </c>
      <c r="E1220" s="13" t="s">
        <v>4809</v>
      </c>
      <c r="F1220" s="373">
        <f t="shared" si="497"/>
        <v>14.67</v>
      </c>
      <c r="G1220" s="430">
        <v>14.67</v>
      </c>
      <c r="H1220" s="399">
        <f t="shared" si="498"/>
        <v>11.74</v>
      </c>
      <c r="I1220" s="576"/>
      <c r="J1220" s="549" t="s">
        <v>5804</v>
      </c>
      <c r="K1220" s="11"/>
      <c r="M1220" s="37">
        <f t="shared" si="499"/>
        <v>14.67</v>
      </c>
      <c r="N1220" s="29">
        <v>11.67</v>
      </c>
      <c r="O1220" s="41"/>
      <c r="P1220" s="11"/>
      <c r="S1220" t="s">
        <v>4179</v>
      </c>
      <c r="T1220" t="s">
        <v>4179</v>
      </c>
      <c r="U1220" s="42" t="s">
        <v>1017</v>
      </c>
      <c r="W1220" s="50"/>
      <c r="X1220" s="50"/>
      <c r="AA1220" s="50"/>
      <c r="AD1220" s="50"/>
      <c r="AE1220" s="75" t="s">
        <v>1017</v>
      </c>
      <c r="AF1220" s="50"/>
      <c r="AG1220" s="50"/>
      <c r="AH1220" s="166" t="str">
        <f t="shared" ref="AH1220:AH1225" si="503">IF(ISERROR(SEARCH("K erstmals 201",D1220)),"",RIGHT(D1220,4))</f>
        <v/>
      </c>
      <c r="AI1220" s="168" t="str">
        <f t="shared" si="491"/>
        <v/>
      </c>
      <c r="AJ1220" s="168" t="str">
        <f t="shared" si="492"/>
        <v/>
      </c>
      <c r="AK1220" s="168" t="str">
        <f t="shared" si="493"/>
        <v/>
      </c>
      <c r="AL1220" s="168" t="str">
        <f t="shared" si="494"/>
        <v/>
      </c>
      <c r="AM1220" s="168" t="str">
        <f t="shared" si="495"/>
        <v/>
      </c>
      <c r="AN1220" s="167" t="str">
        <f t="shared" si="478"/>
        <v/>
      </c>
      <c r="AO1220" s="167" t="str">
        <f t="shared" si="479"/>
        <v/>
      </c>
      <c r="AP1220" s="167" t="str">
        <f t="shared" si="480"/>
        <v/>
      </c>
      <c r="AQ1220" s="169" t="str">
        <f t="shared" si="481"/>
        <v/>
      </c>
      <c r="AR1220" s="170" t="str">
        <f t="shared" si="482"/>
        <v>BiK81by-----06</v>
      </c>
      <c r="AS1220" s="169" t="str">
        <f t="shared" si="483"/>
        <v/>
      </c>
      <c r="AT1220">
        <f t="shared" si="484"/>
        <v>14</v>
      </c>
      <c r="AU1220" s="170" t="str">
        <f t="shared" si="485"/>
        <v>0-0,15 MW, Bonusregeln b, y</v>
      </c>
      <c r="AV1220" s="169" t="str">
        <f t="shared" si="486"/>
        <v/>
      </c>
      <c r="AW1220" s="170" t="str">
        <f t="shared" si="487"/>
        <v>Anteil Nicht-KWK</v>
      </c>
      <c r="AX1220" s="169" t="str">
        <f t="shared" si="488"/>
        <v/>
      </c>
      <c r="AY1220" t="str">
        <f t="shared" si="489"/>
        <v/>
      </c>
      <c r="AZ1220" t="str">
        <f t="shared" si="490"/>
        <v/>
      </c>
    </row>
    <row r="1221" spans="1:52" x14ac:dyDescent="0.35">
      <c r="A1221" s="497" t="s">
        <v>973</v>
      </c>
      <c r="B1221" s="13" t="s">
        <v>5547</v>
      </c>
      <c r="C1221" s="13" t="s">
        <v>1296</v>
      </c>
      <c r="D1221" s="13" t="s">
        <v>6910</v>
      </c>
      <c r="E1221" s="13" t="s">
        <v>4811</v>
      </c>
      <c r="F1221" s="373">
        <f t="shared" si="497"/>
        <v>16.670000000000002</v>
      </c>
      <c r="G1221" s="430">
        <v>16.670000000000002</v>
      </c>
      <c r="H1221" s="399">
        <f t="shared" si="498"/>
        <v>13.34</v>
      </c>
      <c r="I1221" s="576"/>
      <c r="J1221" s="549" t="s">
        <v>5804</v>
      </c>
      <c r="K1221" s="11"/>
      <c r="M1221" s="37">
        <f t="shared" si="499"/>
        <v>16.670000000000002</v>
      </c>
      <c r="N1221" s="29">
        <v>11.67</v>
      </c>
      <c r="O1221" s="41" t="s">
        <v>1017</v>
      </c>
      <c r="P1221" s="11"/>
      <c r="S1221" t="s">
        <v>4179</v>
      </c>
      <c r="T1221" t="s">
        <v>4179</v>
      </c>
      <c r="U1221" s="42" t="s">
        <v>1017</v>
      </c>
      <c r="W1221" s="50"/>
      <c r="X1221" s="50"/>
      <c r="AA1221" s="50"/>
      <c r="AD1221" s="50"/>
      <c r="AE1221" s="75" t="s">
        <v>1017</v>
      </c>
      <c r="AF1221" s="50"/>
      <c r="AG1221" s="50"/>
      <c r="AH1221" s="166" t="str">
        <f t="shared" si="503"/>
        <v/>
      </c>
      <c r="AI1221" s="168" t="str">
        <f t="shared" si="491"/>
        <v/>
      </c>
      <c r="AJ1221" s="168" t="str">
        <f t="shared" si="492"/>
        <v/>
      </c>
      <c r="AK1221" s="168" t="str">
        <f t="shared" si="493"/>
        <v/>
      </c>
      <c r="AL1221" s="168" t="str">
        <f t="shared" si="494"/>
        <v/>
      </c>
      <c r="AM1221" s="168" t="str">
        <f t="shared" si="495"/>
        <v/>
      </c>
      <c r="AN1221" s="167" t="str">
        <f t="shared" si="478"/>
        <v/>
      </c>
      <c r="AO1221" s="167" t="str">
        <f t="shared" si="479"/>
        <v/>
      </c>
      <c r="AP1221" s="167" t="str">
        <f t="shared" si="480"/>
        <v/>
      </c>
      <c r="AQ1221" s="169" t="str">
        <f t="shared" si="481"/>
        <v/>
      </c>
      <c r="AR1221" s="170" t="str">
        <f t="shared" si="482"/>
        <v>BiK81bKWKy--06</v>
      </c>
      <c r="AS1221" s="169" t="str">
        <f t="shared" si="483"/>
        <v/>
      </c>
      <c r="AT1221">
        <f t="shared" si="484"/>
        <v>14</v>
      </c>
      <c r="AU1221" s="170" t="str">
        <f t="shared" si="485"/>
        <v>0-0,15 MW, Bonusregeln b, y und KWK</v>
      </c>
      <c r="AV1221" s="169" t="str">
        <f t="shared" si="486"/>
        <v/>
      </c>
      <c r="AW1221" s="170" t="str">
        <f t="shared" si="487"/>
        <v>Anteil KWK</v>
      </c>
      <c r="AX1221" s="169" t="str">
        <f t="shared" si="488"/>
        <v/>
      </c>
      <c r="AY1221" t="str">
        <f t="shared" si="489"/>
        <v/>
      </c>
      <c r="AZ1221" t="str">
        <f t="shared" si="490"/>
        <v/>
      </c>
    </row>
    <row r="1222" spans="1:52" x14ac:dyDescent="0.35">
      <c r="A1222" s="497" t="s">
        <v>974</v>
      </c>
      <c r="B1222" s="13" t="s">
        <v>5547</v>
      </c>
      <c r="C1222" s="13" t="s">
        <v>1296</v>
      </c>
      <c r="D1222" s="13" t="s">
        <v>6911</v>
      </c>
      <c r="E1222" s="13" t="s">
        <v>4330</v>
      </c>
      <c r="F1222" s="373">
        <f t="shared" si="497"/>
        <v>17.670000000000002</v>
      </c>
      <c r="G1222" s="430">
        <v>17.670000000000002</v>
      </c>
      <c r="H1222" s="399">
        <f t="shared" si="498"/>
        <v>14.14</v>
      </c>
      <c r="I1222" s="576"/>
      <c r="J1222" s="549" t="s">
        <v>5804</v>
      </c>
      <c r="K1222" s="11"/>
      <c r="M1222" s="37">
        <f t="shared" si="499"/>
        <v>17.670000000000002</v>
      </c>
      <c r="N1222" s="29">
        <v>11.67</v>
      </c>
      <c r="O1222" s="41"/>
      <c r="P1222" t="s">
        <v>1017</v>
      </c>
      <c r="S1222" t="s">
        <v>4179</v>
      </c>
      <c r="T1222" t="s">
        <v>4179</v>
      </c>
      <c r="U1222" s="42" t="s">
        <v>1017</v>
      </c>
      <c r="W1222" s="50"/>
      <c r="X1222" s="50"/>
      <c r="AA1222" s="50"/>
      <c r="AD1222" s="50"/>
      <c r="AE1222" s="75" t="s">
        <v>1017</v>
      </c>
      <c r="AF1222" s="50"/>
      <c r="AG1222" s="50"/>
      <c r="AH1222" s="166" t="str">
        <f t="shared" si="503"/>
        <v/>
      </c>
      <c r="AI1222" s="168" t="str">
        <f t="shared" si="491"/>
        <v/>
      </c>
      <c r="AJ1222" s="168" t="str">
        <f t="shared" si="492"/>
        <v/>
      </c>
      <c r="AK1222" s="168" t="str">
        <f t="shared" si="493"/>
        <v/>
      </c>
      <c r="AL1222" s="168" t="str">
        <f t="shared" si="494"/>
        <v/>
      </c>
      <c r="AM1222" s="168" t="str">
        <f t="shared" si="495"/>
        <v/>
      </c>
      <c r="AN1222" s="167" t="str">
        <f t="shared" si="478"/>
        <v/>
      </c>
      <c r="AO1222" s="167" t="str">
        <f t="shared" si="479"/>
        <v/>
      </c>
      <c r="AP1222" s="167" t="str">
        <f t="shared" si="480"/>
        <v/>
      </c>
      <c r="AQ1222" s="169" t="str">
        <f t="shared" si="481"/>
        <v/>
      </c>
      <c r="AR1222" s="170" t="str">
        <f t="shared" si="482"/>
        <v>BiK81bKA3y--06</v>
      </c>
      <c r="AS1222" s="169" t="str">
        <f t="shared" si="483"/>
        <v/>
      </c>
      <c r="AT1222">
        <f t="shared" si="484"/>
        <v>14</v>
      </c>
      <c r="AU1222" s="170" t="str">
        <f t="shared" si="485"/>
        <v>0-0,15 MW, Bonusregeln b, y und K wenn Anlage 3 erfüllt</v>
      </c>
      <c r="AV1222" s="169" t="str">
        <f t="shared" si="486"/>
        <v/>
      </c>
      <c r="AW1222" s="170" t="str">
        <f t="shared" si="487"/>
        <v>Anteil KWK gemäß Anlage 3</v>
      </c>
      <c r="AX1222" s="169" t="str">
        <f t="shared" si="488"/>
        <v/>
      </c>
      <c r="AY1222" t="str">
        <f t="shared" si="489"/>
        <v/>
      </c>
      <c r="AZ1222" t="str">
        <f t="shared" si="490"/>
        <v/>
      </c>
    </row>
    <row r="1223" spans="1:52" ht="17.25" customHeight="1" x14ac:dyDescent="0.35">
      <c r="A1223" s="497" t="s">
        <v>975</v>
      </c>
      <c r="B1223" s="13" t="s">
        <v>5547</v>
      </c>
      <c r="C1223" s="13" t="s">
        <v>1296</v>
      </c>
      <c r="D1223" s="13" t="s">
        <v>6912</v>
      </c>
      <c r="E1223" s="13" t="s">
        <v>674</v>
      </c>
      <c r="F1223" s="373">
        <f t="shared" si="497"/>
        <v>17.670000000000002</v>
      </c>
      <c r="G1223" s="430">
        <v>17.670000000000002</v>
      </c>
      <c r="H1223" s="399">
        <f t="shared" si="498"/>
        <v>14.14</v>
      </c>
      <c r="I1223" s="576"/>
      <c r="J1223" s="549" t="s">
        <v>5804</v>
      </c>
      <c r="K1223" s="11"/>
      <c r="M1223" s="37">
        <f t="shared" si="499"/>
        <v>17.670000000000002</v>
      </c>
      <c r="N1223" s="29">
        <v>11.67</v>
      </c>
      <c r="O1223" s="41"/>
      <c r="P1223" s="11"/>
      <c r="Q1223" t="s">
        <v>1017</v>
      </c>
      <c r="S1223" t="s">
        <v>4179</v>
      </c>
      <c r="T1223" t="s">
        <v>4179</v>
      </c>
      <c r="U1223" s="42" t="s">
        <v>1017</v>
      </c>
      <c r="W1223" s="50"/>
      <c r="X1223" s="50"/>
      <c r="AA1223" s="50"/>
      <c r="AD1223" s="50"/>
      <c r="AE1223" s="75" t="s">
        <v>1017</v>
      </c>
      <c r="AF1223" s="50"/>
      <c r="AG1223" s="50"/>
      <c r="AH1223" s="166" t="str">
        <f t="shared" si="503"/>
        <v/>
      </c>
      <c r="AI1223" s="168" t="str">
        <f t="shared" si="491"/>
        <v/>
      </c>
      <c r="AJ1223" s="168" t="str">
        <f t="shared" si="492"/>
        <v/>
      </c>
      <c r="AK1223" s="168" t="str">
        <f t="shared" si="493"/>
        <v/>
      </c>
      <c r="AL1223" s="168" t="str">
        <f t="shared" si="494"/>
        <v/>
      </c>
      <c r="AM1223" s="168" t="str">
        <f t="shared" si="495"/>
        <v/>
      </c>
      <c r="AN1223" s="167" t="str">
        <f t="shared" si="478"/>
        <v/>
      </c>
      <c r="AO1223" s="167" t="str">
        <f t="shared" si="479"/>
        <v/>
      </c>
      <c r="AP1223" s="167" t="str">
        <f t="shared" si="480"/>
        <v/>
      </c>
      <c r="AQ1223" s="169" t="str">
        <f t="shared" si="481"/>
        <v/>
      </c>
      <c r="AR1223" s="170" t="str">
        <f t="shared" si="482"/>
        <v>BiK81bK09y--06</v>
      </c>
      <c r="AS1223" s="169" t="str">
        <f t="shared" si="483"/>
        <v/>
      </c>
      <c r="AT1223">
        <f t="shared" si="484"/>
        <v>14</v>
      </c>
      <c r="AU1223" s="170" t="str">
        <f t="shared" si="485"/>
        <v>0-0,15 MW, Bonusregeln b, y und K erstmals 2009</v>
      </c>
      <c r="AV1223" s="169" t="str">
        <f t="shared" si="486"/>
        <v/>
      </c>
      <c r="AW1223" s="170" t="str">
        <f t="shared" si="487"/>
        <v>Anteil KWK, erstmals 2009</v>
      </c>
      <c r="AX1223" s="169" t="str">
        <f t="shared" si="488"/>
        <v/>
      </c>
      <c r="AY1223" t="str">
        <f t="shared" si="489"/>
        <v/>
      </c>
      <c r="AZ1223" t="str">
        <f t="shared" si="490"/>
        <v/>
      </c>
    </row>
    <row r="1224" spans="1:52" x14ac:dyDescent="0.35">
      <c r="A1224" s="497" t="s">
        <v>4897</v>
      </c>
      <c r="B1224" s="13" t="s">
        <v>5547</v>
      </c>
      <c r="C1224" s="13" t="s">
        <v>1296</v>
      </c>
      <c r="D1224" s="13" t="s">
        <v>6913</v>
      </c>
      <c r="E1224" s="13" t="s">
        <v>3566</v>
      </c>
      <c r="F1224" s="373">
        <f t="shared" si="497"/>
        <v>17.64</v>
      </c>
      <c r="G1224" s="430">
        <v>17.64</v>
      </c>
      <c r="H1224" s="399">
        <f t="shared" si="498"/>
        <v>14.11</v>
      </c>
      <c r="I1224" s="576"/>
      <c r="J1224" s="549" t="s">
        <v>5804</v>
      </c>
      <c r="K1224" s="11"/>
      <c r="M1224" s="37">
        <f t="shared" si="499"/>
        <v>17.64</v>
      </c>
      <c r="N1224" s="29">
        <v>11.67</v>
      </c>
      <c r="O1224" s="41"/>
      <c r="P1224" s="11"/>
      <c r="R1224" t="s">
        <v>1017</v>
      </c>
      <c r="S1224" t="s">
        <v>4179</v>
      </c>
      <c r="T1224" t="s">
        <v>4179</v>
      </c>
      <c r="U1224" s="42" t="s">
        <v>1017</v>
      </c>
      <c r="W1224" s="50"/>
      <c r="X1224" s="50"/>
      <c r="AA1224" s="50"/>
      <c r="AD1224" s="50"/>
      <c r="AE1224" s="75" t="s">
        <v>1017</v>
      </c>
      <c r="AF1224" s="50"/>
      <c r="AG1224" s="50"/>
      <c r="AH1224" s="166" t="str">
        <f t="shared" si="503"/>
        <v>2010</v>
      </c>
      <c r="AI1224" s="168" t="str">
        <f t="shared" si="491"/>
        <v/>
      </c>
      <c r="AJ1224" s="168" t="str">
        <f t="shared" si="492"/>
        <v/>
      </c>
      <c r="AK1224" s="168" t="str">
        <f t="shared" si="493"/>
        <v/>
      </c>
      <c r="AL1224" s="168" t="str">
        <f t="shared" si="494"/>
        <v/>
      </c>
      <c r="AM1224" s="168" t="str">
        <f t="shared" si="495"/>
        <v/>
      </c>
      <c r="AN1224" s="167" t="str">
        <f t="shared" si="478"/>
        <v>2010</v>
      </c>
      <c r="AO1224" s="167" t="str">
        <f t="shared" si="479"/>
        <v>2010</v>
      </c>
      <c r="AP1224" s="167" t="str">
        <f t="shared" si="480"/>
        <v>2010</v>
      </c>
      <c r="AQ1224" s="169" t="str">
        <f t="shared" si="481"/>
        <v/>
      </c>
      <c r="AR1224" s="170" t="str">
        <f t="shared" si="482"/>
        <v>BiK81bK10y--06</v>
      </c>
      <c r="AS1224" s="169" t="str">
        <f t="shared" si="483"/>
        <v/>
      </c>
      <c r="AT1224">
        <f t="shared" si="484"/>
        <v>14</v>
      </c>
      <c r="AU1224" s="170" t="str">
        <f t="shared" si="485"/>
        <v>0-0,15 MW, Bonusregeln b, y und K erstmals 2010</v>
      </c>
      <c r="AV1224" s="169" t="str">
        <f t="shared" si="486"/>
        <v/>
      </c>
      <c r="AW1224" s="170" t="str">
        <f t="shared" si="487"/>
        <v>Anteil KWK, erstmals 2010</v>
      </c>
      <c r="AX1224" s="169" t="str">
        <f t="shared" si="488"/>
        <v/>
      </c>
      <c r="AY1224" t="str">
        <f t="shared" si="489"/>
        <v/>
      </c>
      <c r="AZ1224" t="str">
        <f t="shared" si="490"/>
        <v/>
      </c>
    </row>
    <row r="1225" spans="1:52" x14ac:dyDescent="0.35">
      <c r="A1225" s="497" t="s">
        <v>5366</v>
      </c>
      <c r="B1225" s="13" t="s">
        <v>5547</v>
      </c>
      <c r="C1225" s="13" t="s">
        <v>1296</v>
      </c>
      <c r="D1225" s="13" t="s">
        <v>6914</v>
      </c>
      <c r="E1225" s="13" t="s">
        <v>3054</v>
      </c>
      <c r="F1225" s="373">
        <f t="shared" si="497"/>
        <v>17.61</v>
      </c>
      <c r="G1225" s="430">
        <v>17.61</v>
      </c>
      <c r="H1225" s="399">
        <f t="shared" si="498"/>
        <v>14.09</v>
      </c>
      <c r="I1225" s="576"/>
      <c r="J1225" s="549" t="s">
        <v>5804</v>
      </c>
      <c r="K1225" s="11"/>
      <c r="M1225" s="37">
        <f t="shared" si="499"/>
        <v>17.61</v>
      </c>
      <c r="N1225" s="29">
        <v>11.67</v>
      </c>
      <c r="O1225" s="41"/>
      <c r="P1225" s="11"/>
      <c r="S1225" t="s">
        <v>1017</v>
      </c>
      <c r="T1225" t="s">
        <v>4179</v>
      </c>
      <c r="U1225" s="42" t="s">
        <v>1017</v>
      </c>
      <c r="W1225" s="50"/>
      <c r="X1225" s="50"/>
      <c r="AA1225" s="50"/>
      <c r="AD1225" s="50"/>
      <c r="AE1225" s="75" t="s">
        <v>1017</v>
      </c>
      <c r="AF1225" s="50"/>
      <c r="AG1225" s="50"/>
      <c r="AH1225" s="166" t="str">
        <f t="shared" si="503"/>
        <v>2011</v>
      </c>
      <c r="AI1225" s="168" t="str">
        <f t="shared" si="491"/>
        <v/>
      </c>
      <c r="AJ1225" s="168" t="str">
        <f t="shared" si="492"/>
        <v/>
      </c>
      <c r="AK1225" s="168" t="str">
        <f t="shared" si="493"/>
        <v/>
      </c>
      <c r="AL1225" s="168" t="str">
        <f t="shared" si="494"/>
        <v/>
      </c>
      <c r="AM1225" s="168" t="str">
        <f t="shared" si="495"/>
        <v/>
      </c>
      <c r="AN1225" s="167" t="str">
        <f t="shared" si="478"/>
        <v>2011</v>
      </c>
      <c r="AO1225" s="167" t="str">
        <f t="shared" si="479"/>
        <v>2011</v>
      </c>
      <c r="AP1225" s="167" t="str">
        <f t="shared" si="480"/>
        <v>2011</v>
      </c>
      <c r="AQ1225" s="169" t="str">
        <f t="shared" si="481"/>
        <v/>
      </c>
      <c r="AR1225" s="170" t="str">
        <f t="shared" si="482"/>
        <v>BiK81bK11y--06</v>
      </c>
      <c r="AS1225" s="169" t="str">
        <f t="shared" si="483"/>
        <v/>
      </c>
      <c r="AT1225">
        <f t="shared" si="484"/>
        <v>14</v>
      </c>
      <c r="AU1225" s="170" t="str">
        <f t="shared" si="485"/>
        <v>0-0,15 MW, Bonusregeln b, y und K erstmals 2011</v>
      </c>
      <c r="AV1225" s="169" t="str">
        <f t="shared" si="486"/>
        <v/>
      </c>
      <c r="AW1225" s="170" t="str">
        <f t="shared" si="487"/>
        <v>Anteil KWK, erstmals 2011</v>
      </c>
      <c r="AX1225" s="169" t="str">
        <f t="shared" si="488"/>
        <v/>
      </c>
      <c r="AY1225" t="str">
        <f t="shared" si="489"/>
        <v>x</v>
      </c>
      <c r="AZ1225" t="str">
        <f t="shared" si="490"/>
        <v/>
      </c>
    </row>
    <row r="1226" spans="1:52" x14ac:dyDescent="0.35">
      <c r="A1226" s="511" t="s">
        <v>3644</v>
      </c>
      <c r="B1226" s="173" t="s">
        <v>5547</v>
      </c>
      <c r="C1226" s="173" t="s">
        <v>1296</v>
      </c>
      <c r="D1226" s="173" t="s">
        <v>6915</v>
      </c>
      <c r="E1226" s="173" t="s">
        <v>1980</v>
      </c>
      <c r="F1226" s="374">
        <f t="shared" si="497"/>
        <v>17.579999999999998</v>
      </c>
      <c r="G1226" s="431">
        <v>17.579999999999998</v>
      </c>
      <c r="H1226" s="400">
        <f t="shared" si="498"/>
        <v>14.06</v>
      </c>
      <c r="I1226" s="577"/>
      <c r="J1226" s="549" t="s">
        <v>5804</v>
      </c>
      <c r="K1226" s="11"/>
      <c r="M1226" s="37">
        <f t="shared" si="499"/>
        <v>17.579999999999998</v>
      </c>
      <c r="N1226" s="29">
        <v>11.67</v>
      </c>
      <c r="O1226" s="41"/>
      <c r="P1226" s="11"/>
      <c r="S1226" t="s">
        <v>4179</v>
      </c>
      <c r="T1226" t="s">
        <v>1017</v>
      </c>
      <c r="U1226" s="42" t="s">
        <v>1017</v>
      </c>
      <c r="W1226" s="50"/>
      <c r="X1226" s="50"/>
      <c r="AA1226" s="50"/>
      <c r="AD1226" s="50"/>
      <c r="AE1226" s="75" t="s">
        <v>1017</v>
      </c>
      <c r="AF1226" s="50"/>
      <c r="AG1226" s="50"/>
      <c r="AH1226" s="171" t="s">
        <v>4178</v>
      </c>
      <c r="AI1226" s="168" t="str">
        <f t="shared" si="491"/>
        <v/>
      </c>
      <c r="AJ1226" s="168" t="str">
        <f t="shared" si="492"/>
        <v/>
      </c>
      <c r="AK1226" s="168" t="str">
        <f t="shared" si="493"/>
        <v/>
      </c>
      <c r="AL1226" s="168" t="str">
        <f t="shared" si="494"/>
        <v/>
      </c>
      <c r="AM1226" s="168" t="str">
        <f t="shared" si="495"/>
        <v/>
      </c>
      <c r="AN1226" s="167" t="str">
        <f t="shared" si="478"/>
        <v>2012</v>
      </c>
      <c r="AO1226" s="167" t="str">
        <f t="shared" si="479"/>
        <v>2012</v>
      </c>
      <c r="AP1226" s="167" t="str">
        <f t="shared" si="480"/>
        <v>2012</v>
      </c>
      <c r="AQ1226" s="169" t="str">
        <f t="shared" si="481"/>
        <v/>
      </c>
      <c r="AR1226" s="170" t="str">
        <f t="shared" si="482"/>
        <v>BiK81bK12y--06</v>
      </c>
      <c r="AS1226" s="169" t="str">
        <f t="shared" si="483"/>
        <v/>
      </c>
      <c r="AT1226">
        <f t="shared" si="484"/>
        <v>14</v>
      </c>
      <c r="AU1226" s="170" t="str">
        <f t="shared" si="485"/>
        <v>0-0,15 MW, Bonusregeln b, y und K erstmals 2012</v>
      </c>
      <c r="AV1226" s="169" t="str">
        <f t="shared" si="486"/>
        <v/>
      </c>
      <c r="AW1226" s="170" t="str">
        <f t="shared" si="487"/>
        <v>Anteil KWK, erstmals 2012</v>
      </c>
      <c r="AX1226" s="169" t="str">
        <f t="shared" si="488"/>
        <v/>
      </c>
      <c r="AY1226" t="str">
        <f t="shared" si="489"/>
        <v/>
      </c>
      <c r="AZ1226" t="str">
        <f t="shared" si="490"/>
        <v>x</v>
      </c>
    </row>
    <row r="1227" spans="1:52" x14ac:dyDescent="0.35">
      <c r="A1227" s="505" t="s">
        <v>880</v>
      </c>
      <c r="B1227" s="23" t="s">
        <v>5547</v>
      </c>
      <c r="C1227" s="23" t="s">
        <v>1296</v>
      </c>
      <c r="D1227" s="23" t="s">
        <v>6916</v>
      </c>
      <c r="E1227" s="23" t="s">
        <v>4809</v>
      </c>
      <c r="F1227" s="378">
        <f t="shared" si="497"/>
        <v>19.670000000000002</v>
      </c>
      <c r="G1227" s="434">
        <v>19.670000000000002</v>
      </c>
      <c r="H1227" s="403">
        <f t="shared" si="498"/>
        <v>15.74</v>
      </c>
      <c r="I1227" s="581"/>
      <c r="J1227" s="549" t="s">
        <v>5804</v>
      </c>
      <c r="K1227" s="11"/>
      <c r="M1227" s="37">
        <f t="shared" si="499"/>
        <v>19.670000000000002</v>
      </c>
      <c r="N1227" s="29">
        <v>11.67</v>
      </c>
      <c r="O1227" s="41"/>
      <c r="P1227" s="11"/>
      <c r="S1227" t="s">
        <v>4179</v>
      </c>
      <c r="T1227" t="s">
        <v>4179</v>
      </c>
      <c r="U1227" s="42"/>
      <c r="V1227" t="s">
        <v>1017</v>
      </c>
      <c r="W1227" s="50"/>
      <c r="X1227" s="50"/>
      <c r="AA1227" s="50"/>
      <c r="AD1227" s="50"/>
      <c r="AE1227" s="75" t="s">
        <v>1017</v>
      </c>
      <c r="AF1227" s="50"/>
      <c r="AG1227" s="50"/>
      <c r="AH1227" s="166" t="str">
        <f t="shared" ref="AH1227:AH1232" si="504">IF(ISERROR(SEARCH("K erstmals 201",D1227)),"",RIGHT(D1227,4))</f>
        <v/>
      </c>
      <c r="AI1227" s="168" t="str">
        <f t="shared" si="491"/>
        <v/>
      </c>
      <c r="AJ1227" s="168" t="str">
        <f t="shared" si="492"/>
        <v/>
      </c>
      <c r="AK1227" s="168" t="str">
        <f t="shared" si="493"/>
        <v/>
      </c>
      <c r="AL1227" s="168" t="str">
        <f t="shared" si="494"/>
        <v/>
      </c>
      <c r="AM1227" s="168" t="str">
        <f t="shared" si="495"/>
        <v/>
      </c>
      <c r="AN1227" s="167" t="str">
        <f t="shared" si="478"/>
        <v/>
      </c>
      <c r="AO1227" s="167" t="str">
        <f t="shared" si="479"/>
        <v/>
      </c>
      <c r="AP1227" s="167" t="str">
        <f t="shared" si="480"/>
        <v/>
      </c>
      <c r="AQ1227" s="169" t="str">
        <f t="shared" si="481"/>
        <v/>
      </c>
      <c r="AR1227" s="170" t="str">
        <f t="shared" si="482"/>
        <v>BiK81a1b----06</v>
      </c>
      <c r="AS1227" s="169" t="str">
        <f t="shared" si="483"/>
        <v/>
      </c>
      <c r="AT1227">
        <f t="shared" si="484"/>
        <v>14</v>
      </c>
      <c r="AU1227" s="170" t="str">
        <f t="shared" si="485"/>
        <v>0-0,15 MW, Bonusregeln a1 und b</v>
      </c>
      <c r="AV1227" s="169" t="str">
        <f t="shared" si="486"/>
        <v/>
      </c>
      <c r="AW1227" s="170" t="str">
        <f t="shared" si="487"/>
        <v>Anteil Nicht-KWK</v>
      </c>
      <c r="AX1227" s="169" t="str">
        <f t="shared" si="488"/>
        <v/>
      </c>
      <c r="AY1227" t="str">
        <f t="shared" si="489"/>
        <v/>
      </c>
      <c r="AZ1227" t="str">
        <f t="shared" si="490"/>
        <v/>
      </c>
    </row>
    <row r="1228" spans="1:52" x14ac:dyDescent="0.35">
      <c r="A1228" s="505" t="s">
        <v>881</v>
      </c>
      <c r="B1228" s="23" t="s">
        <v>5547</v>
      </c>
      <c r="C1228" s="23" t="s">
        <v>1296</v>
      </c>
      <c r="D1228" s="23" t="s">
        <v>6917</v>
      </c>
      <c r="E1228" s="23" t="s">
        <v>4811</v>
      </c>
      <c r="F1228" s="378">
        <f t="shared" si="497"/>
        <v>21.67</v>
      </c>
      <c r="G1228" s="434">
        <v>21.67</v>
      </c>
      <c r="H1228" s="403">
        <f t="shared" si="498"/>
        <v>17.34</v>
      </c>
      <c r="I1228" s="581"/>
      <c r="J1228" s="549" t="s">
        <v>5804</v>
      </c>
      <c r="K1228" s="11"/>
      <c r="M1228" s="37">
        <f t="shared" si="499"/>
        <v>21.67</v>
      </c>
      <c r="N1228" s="29">
        <v>11.67</v>
      </c>
      <c r="O1228" s="41" t="s">
        <v>1017</v>
      </c>
      <c r="P1228" s="11"/>
      <c r="S1228" t="s">
        <v>4179</v>
      </c>
      <c r="T1228" t="s">
        <v>4179</v>
      </c>
      <c r="U1228" s="42"/>
      <c r="V1228" t="s">
        <v>1017</v>
      </c>
      <c r="W1228" s="50"/>
      <c r="X1228" s="50"/>
      <c r="AA1228" s="50"/>
      <c r="AD1228" s="50"/>
      <c r="AE1228" s="75" t="s">
        <v>1017</v>
      </c>
      <c r="AF1228" s="50"/>
      <c r="AG1228" s="50"/>
      <c r="AH1228" s="166" t="str">
        <f t="shared" si="504"/>
        <v/>
      </c>
      <c r="AI1228" s="168" t="str">
        <f t="shared" si="491"/>
        <v/>
      </c>
      <c r="AJ1228" s="168" t="str">
        <f t="shared" si="492"/>
        <v/>
      </c>
      <c r="AK1228" s="168" t="str">
        <f t="shared" si="493"/>
        <v/>
      </c>
      <c r="AL1228" s="168" t="str">
        <f t="shared" si="494"/>
        <v/>
      </c>
      <c r="AM1228" s="168" t="str">
        <f t="shared" si="495"/>
        <v/>
      </c>
      <c r="AN1228" s="167" t="str">
        <f t="shared" si="478"/>
        <v/>
      </c>
      <c r="AO1228" s="167" t="str">
        <f t="shared" si="479"/>
        <v/>
      </c>
      <c r="AP1228" s="167" t="str">
        <f t="shared" si="480"/>
        <v/>
      </c>
      <c r="AQ1228" s="169" t="str">
        <f t="shared" si="481"/>
        <v/>
      </c>
      <c r="AR1228" s="170" t="str">
        <f t="shared" si="482"/>
        <v>BiK81a1bKWK-06</v>
      </c>
      <c r="AS1228" s="169" t="str">
        <f t="shared" si="483"/>
        <v/>
      </c>
      <c r="AT1228">
        <f t="shared" si="484"/>
        <v>14</v>
      </c>
      <c r="AU1228" s="170" t="str">
        <f t="shared" si="485"/>
        <v>0-0,15 MW, Bonusregeln a1, b und KWK</v>
      </c>
      <c r="AV1228" s="169" t="str">
        <f t="shared" si="486"/>
        <v/>
      </c>
      <c r="AW1228" s="170" t="str">
        <f t="shared" si="487"/>
        <v>Anteil KWK</v>
      </c>
      <c r="AX1228" s="169" t="str">
        <f t="shared" si="488"/>
        <v/>
      </c>
      <c r="AY1228" t="str">
        <f t="shared" si="489"/>
        <v/>
      </c>
      <c r="AZ1228" t="str">
        <f t="shared" si="490"/>
        <v/>
      </c>
    </row>
    <row r="1229" spans="1:52" x14ac:dyDescent="0.35">
      <c r="A1229" s="497" t="s">
        <v>4352</v>
      </c>
      <c r="B1229" s="13" t="s">
        <v>5547</v>
      </c>
      <c r="C1229" s="13" t="s">
        <v>1296</v>
      </c>
      <c r="D1229" s="13" t="s">
        <v>6918</v>
      </c>
      <c r="E1229" s="13" t="s">
        <v>4330</v>
      </c>
      <c r="F1229" s="373">
        <f t="shared" si="497"/>
        <v>22.67</v>
      </c>
      <c r="G1229" s="430">
        <v>22.67</v>
      </c>
      <c r="H1229" s="399">
        <f t="shared" si="498"/>
        <v>18.14</v>
      </c>
      <c r="I1229" s="576"/>
      <c r="J1229" s="549" t="s">
        <v>5804</v>
      </c>
      <c r="K1229" s="11"/>
      <c r="M1229" s="37">
        <f t="shared" si="499"/>
        <v>22.67</v>
      </c>
      <c r="N1229" s="29">
        <v>11.67</v>
      </c>
      <c r="O1229" s="41"/>
      <c r="P1229" t="s">
        <v>1017</v>
      </c>
      <c r="S1229" t="s">
        <v>4179</v>
      </c>
      <c r="T1229" t="s">
        <v>4179</v>
      </c>
      <c r="U1229" s="42"/>
      <c r="V1229" t="s">
        <v>1017</v>
      </c>
      <c r="W1229" s="50"/>
      <c r="X1229" s="50"/>
      <c r="AA1229" s="50"/>
      <c r="AD1229" s="50"/>
      <c r="AE1229" s="75" t="s">
        <v>1017</v>
      </c>
      <c r="AF1229" s="50"/>
      <c r="AG1229" s="50"/>
      <c r="AH1229" s="166" t="str">
        <f t="shared" si="504"/>
        <v/>
      </c>
      <c r="AI1229" s="168" t="str">
        <f t="shared" si="491"/>
        <v/>
      </c>
      <c r="AJ1229" s="168" t="str">
        <f t="shared" si="492"/>
        <v/>
      </c>
      <c r="AK1229" s="168" t="str">
        <f t="shared" si="493"/>
        <v/>
      </c>
      <c r="AL1229" s="168" t="str">
        <f t="shared" si="494"/>
        <v/>
      </c>
      <c r="AM1229" s="168" t="str">
        <f t="shared" si="495"/>
        <v/>
      </c>
      <c r="AN1229" s="167" t="str">
        <f t="shared" si="478"/>
        <v/>
      </c>
      <c r="AO1229" s="167" t="str">
        <f t="shared" si="479"/>
        <v/>
      </c>
      <c r="AP1229" s="167" t="str">
        <f t="shared" si="480"/>
        <v/>
      </c>
      <c r="AQ1229" s="169" t="str">
        <f t="shared" si="481"/>
        <v/>
      </c>
      <c r="AR1229" s="170" t="str">
        <f t="shared" si="482"/>
        <v>BiK81a1bKA3-06</v>
      </c>
      <c r="AS1229" s="169" t="str">
        <f t="shared" si="483"/>
        <v/>
      </c>
      <c r="AT1229">
        <f t="shared" si="484"/>
        <v>14</v>
      </c>
      <c r="AU1229" s="170" t="str">
        <f t="shared" si="485"/>
        <v>0-0,15 MW, Bonusregeln a1, b und K wenn Anlage 3 erfüllt</v>
      </c>
      <c r="AV1229" s="169" t="str">
        <f t="shared" si="486"/>
        <v/>
      </c>
      <c r="AW1229" s="170" t="str">
        <f t="shared" si="487"/>
        <v>Anteil KWK gemäß Anlage 3</v>
      </c>
      <c r="AX1229" s="169" t="str">
        <f t="shared" si="488"/>
        <v/>
      </c>
      <c r="AY1229" t="str">
        <f t="shared" si="489"/>
        <v/>
      </c>
      <c r="AZ1229" t="str">
        <f t="shared" si="490"/>
        <v/>
      </c>
    </row>
    <row r="1230" spans="1:52" x14ac:dyDescent="0.35">
      <c r="A1230" s="497" t="s">
        <v>5551</v>
      </c>
      <c r="B1230" s="13" t="s">
        <v>5547</v>
      </c>
      <c r="C1230" s="13" t="s">
        <v>1296</v>
      </c>
      <c r="D1230" s="13" t="s">
        <v>6919</v>
      </c>
      <c r="E1230" s="13" t="s">
        <v>674</v>
      </c>
      <c r="F1230" s="373">
        <f t="shared" si="497"/>
        <v>22.67</v>
      </c>
      <c r="G1230" s="430">
        <v>22.67</v>
      </c>
      <c r="H1230" s="399">
        <f t="shared" si="498"/>
        <v>18.14</v>
      </c>
      <c r="I1230" s="576"/>
      <c r="J1230" s="549" t="s">
        <v>5804</v>
      </c>
      <c r="K1230" s="11"/>
      <c r="M1230" s="37">
        <f t="shared" si="499"/>
        <v>22.67</v>
      </c>
      <c r="N1230" s="29">
        <v>11.67</v>
      </c>
      <c r="O1230" s="41"/>
      <c r="P1230" s="11"/>
      <c r="Q1230" t="s">
        <v>1017</v>
      </c>
      <c r="S1230" t="s">
        <v>4179</v>
      </c>
      <c r="T1230" t="s">
        <v>4179</v>
      </c>
      <c r="U1230" s="42"/>
      <c r="V1230" t="s">
        <v>1017</v>
      </c>
      <c r="W1230" s="50"/>
      <c r="X1230" s="50"/>
      <c r="AA1230" s="50"/>
      <c r="AD1230" s="50"/>
      <c r="AE1230" s="75" t="s">
        <v>1017</v>
      </c>
      <c r="AF1230" s="50"/>
      <c r="AG1230" s="50"/>
      <c r="AH1230" s="166" t="str">
        <f t="shared" si="504"/>
        <v/>
      </c>
      <c r="AI1230" s="168" t="str">
        <f t="shared" si="491"/>
        <v/>
      </c>
      <c r="AJ1230" s="168" t="str">
        <f t="shared" si="492"/>
        <v/>
      </c>
      <c r="AK1230" s="168" t="str">
        <f t="shared" si="493"/>
        <v/>
      </c>
      <c r="AL1230" s="168" t="str">
        <f t="shared" si="494"/>
        <v/>
      </c>
      <c r="AM1230" s="168" t="str">
        <f t="shared" si="495"/>
        <v/>
      </c>
      <c r="AN1230" s="167" t="str">
        <f t="shared" si="478"/>
        <v/>
      </c>
      <c r="AO1230" s="167" t="str">
        <f t="shared" si="479"/>
        <v/>
      </c>
      <c r="AP1230" s="167" t="str">
        <f t="shared" si="480"/>
        <v/>
      </c>
      <c r="AQ1230" s="169" t="str">
        <f t="shared" si="481"/>
        <v/>
      </c>
      <c r="AR1230" s="170" t="str">
        <f t="shared" si="482"/>
        <v>BiK81a1bK09-06</v>
      </c>
      <c r="AS1230" s="169" t="str">
        <f t="shared" si="483"/>
        <v/>
      </c>
      <c r="AT1230">
        <f t="shared" si="484"/>
        <v>14</v>
      </c>
      <c r="AU1230" s="170" t="str">
        <f t="shared" si="485"/>
        <v>0-0,15 MW, Bonusregeln a1, b und K erstmals 2009</v>
      </c>
      <c r="AV1230" s="169" t="str">
        <f t="shared" si="486"/>
        <v/>
      </c>
      <c r="AW1230" s="170" t="str">
        <f t="shared" si="487"/>
        <v>Anteil KWK, erstmals 2009</v>
      </c>
      <c r="AX1230" s="169" t="str">
        <f t="shared" si="488"/>
        <v/>
      </c>
      <c r="AY1230" t="str">
        <f t="shared" si="489"/>
        <v/>
      </c>
      <c r="AZ1230" t="str">
        <f t="shared" si="490"/>
        <v/>
      </c>
    </row>
    <row r="1231" spans="1:52" x14ac:dyDescent="0.35">
      <c r="A1231" s="497" t="s">
        <v>4898</v>
      </c>
      <c r="B1231" s="13" t="s">
        <v>5547</v>
      </c>
      <c r="C1231" s="13" t="s">
        <v>1296</v>
      </c>
      <c r="D1231" s="13" t="s">
        <v>6920</v>
      </c>
      <c r="E1231" s="13" t="s">
        <v>3566</v>
      </c>
      <c r="F1231" s="373">
        <f t="shared" si="497"/>
        <v>22.64</v>
      </c>
      <c r="G1231" s="430">
        <v>22.64</v>
      </c>
      <c r="H1231" s="399">
        <f t="shared" si="498"/>
        <v>18.11</v>
      </c>
      <c r="I1231" s="576"/>
      <c r="J1231" s="549" t="s">
        <v>5804</v>
      </c>
      <c r="K1231" s="11"/>
      <c r="M1231" s="37">
        <f t="shared" si="499"/>
        <v>22.64</v>
      </c>
      <c r="N1231" s="29">
        <v>11.67</v>
      </c>
      <c r="O1231" s="41"/>
      <c r="P1231" s="11"/>
      <c r="R1231" t="s">
        <v>1017</v>
      </c>
      <c r="S1231" t="s">
        <v>4179</v>
      </c>
      <c r="T1231" t="s">
        <v>4179</v>
      </c>
      <c r="U1231" s="42"/>
      <c r="V1231" t="s">
        <v>1017</v>
      </c>
      <c r="W1231" s="50"/>
      <c r="X1231" s="50"/>
      <c r="AA1231" s="50"/>
      <c r="AD1231" s="50"/>
      <c r="AE1231" s="75" t="s">
        <v>1017</v>
      </c>
      <c r="AF1231" s="50"/>
      <c r="AG1231" s="50"/>
      <c r="AH1231" s="166" t="str">
        <f t="shared" si="504"/>
        <v>2010</v>
      </c>
      <c r="AI1231" s="168" t="str">
        <f t="shared" si="491"/>
        <v/>
      </c>
      <c r="AJ1231" s="168" t="str">
        <f t="shared" si="492"/>
        <v/>
      </c>
      <c r="AK1231" s="168" t="str">
        <f t="shared" si="493"/>
        <v/>
      </c>
      <c r="AL1231" s="168" t="str">
        <f t="shared" si="494"/>
        <v/>
      </c>
      <c r="AM1231" s="168" t="str">
        <f t="shared" si="495"/>
        <v/>
      </c>
      <c r="AN1231" s="167" t="str">
        <f t="shared" si="478"/>
        <v>2010</v>
      </c>
      <c r="AO1231" s="167" t="str">
        <f t="shared" si="479"/>
        <v>2010</v>
      </c>
      <c r="AP1231" s="167" t="str">
        <f t="shared" si="480"/>
        <v>2010</v>
      </c>
      <c r="AQ1231" s="169" t="str">
        <f t="shared" si="481"/>
        <v/>
      </c>
      <c r="AR1231" s="170" t="str">
        <f t="shared" si="482"/>
        <v>BiK81a1bK10-06</v>
      </c>
      <c r="AS1231" s="169" t="str">
        <f t="shared" si="483"/>
        <v/>
      </c>
      <c r="AT1231">
        <f t="shared" si="484"/>
        <v>14</v>
      </c>
      <c r="AU1231" s="170" t="str">
        <f t="shared" si="485"/>
        <v>0-0,15 MW, Bonusregeln a1, b und K erstmals 2010</v>
      </c>
      <c r="AV1231" s="169" t="str">
        <f t="shared" si="486"/>
        <v/>
      </c>
      <c r="AW1231" s="170" t="str">
        <f t="shared" si="487"/>
        <v>Anteil KWK, erstmals 2010</v>
      </c>
      <c r="AX1231" s="169" t="str">
        <f t="shared" si="488"/>
        <v/>
      </c>
      <c r="AY1231" t="str">
        <f t="shared" si="489"/>
        <v/>
      </c>
      <c r="AZ1231" t="str">
        <f t="shared" si="490"/>
        <v/>
      </c>
    </row>
    <row r="1232" spans="1:52" x14ac:dyDescent="0.35">
      <c r="A1232" s="497" t="s">
        <v>5367</v>
      </c>
      <c r="B1232" s="13" t="s">
        <v>5547</v>
      </c>
      <c r="C1232" s="13" t="s">
        <v>1296</v>
      </c>
      <c r="D1232" s="13" t="s">
        <v>6921</v>
      </c>
      <c r="E1232" s="13" t="s">
        <v>3054</v>
      </c>
      <c r="F1232" s="373">
        <f t="shared" si="497"/>
        <v>22.61</v>
      </c>
      <c r="G1232" s="430">
        <v>22.61</v>
      </c>
      <c r="H1232" s="399">
        <f t="shared" si="498"/>
        <v>18.09</v>
      </c>
      <c r="I1232" s="576"/>
      <c r="J1232" s="549" t="s">
        <v>5804</v>
      </c>
      <c r="K1232" s="11"/>
      <c r="M1232" s="37">
        <f t="shared" si="499"/>
        <v>22.61</v>
      </c>
      <c r="N1232" s="29">
        <v>11.67</v>
      </c>
      <c r="O1232" s="41"/>
      <c r="P1232" s="11"/>
      <c r="S1232" t="s">
        <v>1017</v>
      </c>
      <c r="T1232" t="s">
        <v>4179</v>
      </c>
      <c r="U1232" s="42"/>
      <c r="V1232" t="s">
        <v>1017</v>
      </c>
      <c r="W1232" s="50"/>
      <c r="X1232" s="50"/>
      <c r="AA1232" s="50"/>
      <c r="AD1232" s="50"/>
      <c r="AE1232" s="75" t="s">
        <v>1017</v>
      </c>
      <c r="AF1232" s="50"/>
      <c r="AG1232" s="50"/>
      <c r="AH1232" s="166" t="str">
        <f t="shared" si="504"/>
        <v>2011</v>
      </c>
      <c r="AI1232" s="168" t="str">
        <f t="shared" si="491"/>
        <v/>
      </c>
      <c r="AJ1232" s="168" t="str">
        <f t="shared" si="492"/>
        <v/>
      </c>
      <c r="AK1232" s="168" t="str">
        <f t="shared" si="493"/>
        <v/>
      </c>
      <c r="AL1232" s="168" t="str">
        <f t="shared" si="494"/>
        <v/>
      </c>
      <c r="AM1232" s="168" t="str">
        <f t="shared" si="495"/>
        <v/>
      </c>
      <c r="AN1232" s="167" t="str">
        <f t="shared" si="478"/>
        <v>2011</v>
      </c>
      <c r="AO1232" s="167" t="str">
        <f t="shared" si="479"/>
        <v>2011</v>
      </c>
      <c r="AP1232" s="167" t="str">
        <f t="shared" si="480"/>
        <v>2011</v>
      </c>
      <c r="AQ1232" s="169" t="str">
        <f t="shared" si="481"/>
        <v/>
      </c>
      <c r="AR1232" s="170" t="str">
        <f t="shared" si="482"/>
        <v>BiK81a1bK11-06</v>
      </c>
      <c r="AS1232" s="169" t="str">
        <f t="shared" si="483"/>
        <v/>
      </c>
      <c r="AT1232">
        <f t="shared" si="484"/>
        <v>14</v>
      </c>
      <c r="AU1232" s="170" t="str">
        <f t="shared" si="485"/>
        <v>0-0,15 MW, Bonusregeln a1, b und K erstmals 2011</v>
      </c>
      <c r="AV1232" s="169" t="str">
        <f t="shared" si="486"/>
        <v/>
      </c>
      <c r="AW1232" s="170" t="str">
        <f t="shared" si="487"/>
        <v>Anteil KWK, erstmals 2011</v>
      </c>
      <c r="AX1232" s="169" t="str">
        <f t="shared" si="488"/>
        <v/>
      </c>
      <c r="AY1232" t="str">
        <f t="shared" si="489"/>
        <v>x</v>
      </c>
      <c r="AZ1232" t="str">
        <f t="shared" si="490"/>
        <v/>
      </c>
    </row>
    <row r="1233" spans="1:52" x14ac:dyDescent="0.35">
      <c r="A1233" s="511" t="s">
        <v>3645</v>
      </c>
      <c r="B1233" s="173" t="s">
        <v>5547</v>
      </c>
      <c r="C1233" s="173" t="s">
        <v>1296</v>
      </c>
      <c r="D1233" s="173" t="s">
        <v>6922</v>
      </c>
      <c r="E1233" s="173" t="s">
        <v>1980</v>
      </c>
      <c r="F1233" s="374">
        <f t="shared" si="497"/>
        <v>22.58</v>
      </c>
      <c r="G1233" s="431">
        <v>22.58</v>
      </c>
      <c r="H1233" s="400">
        <f t="shared" si="498"/>
        <v>18.059999999999999</v>
      </c>
      <c r="I1233" s="577"/>
      <c r="J1233" s="549" t="s">
        <v>5804</v>
      </c>
      <c r="K1233" s="11"/>
      <c r="M1233" s="37">
        <f t="shared" si="499"/>
        <v>22.58</v>
      </c>
      <c r="N1233" s="29">
        <v>11.67</v>
      </c>
      <c r="O1233" s="41"/>
      <c r="P1233" s="11"/>
      <c r="S1233" t="s">
        <v>4179</v>
      </c>
      <c r="T1233" t="s">
        <v>1017</v>
      </c>
      <c r="U1233" s="42"/>
      <c r="V1233" t="s">
        <v>1017</v>
      </c>
      <c r="W1233" s="50"/>
      <c r="X1233" s="50"/>
      <c r="AA1233" s="50"/>
      <c r="AD1233" s="50"/>
      <c r="AE1233" s="75" t="s">
        <v>1017</v>
      </c>
      <c r="AF1233" s="50"/>
      <c r="AG1233" s="50"/>
      <c r="AH1233" s="171" t="s">
        <v>4178</v>
      </c>
      <c r="AI1233" s="168" t="str">
        <f t="shared" si="491"/>
        <v/>
      </c>
      <c r="AJ1233" s="168" t="str">
        <f t="shared" si="492"/>
        <v/>
      </c>
      <c r="AK1233" s="168" t="str">
        <f t="shared" si="493"/>
        <v/>
      </c>
      <c r="AL1233" s="168" t="str">
        <f t="shared" si="494"/>
        <v/>
      </c>
      <c r="AM1233" s="168" t="str">
        <f t="shared" si="495"/>
        <v/>
      </c>
      <c r="AN1233" s="167" t="str">
        <f t="shared" si="478"/>
        <v>2012</v>
      </c>
      <c r="AO1233" s="167" t="str">
        <f t="shared" si="479"/>
        <v>2012</v>
      </c>
      <c r="AP1233" s="167" t="str">
        <f t="shared" si="480"/>
        <v>2012</v>
      </c>
      <c r="AQ1233" s="169" t="str">
        <f t="shared" si="481"/>
        <v/>
      </c>
      <c r="AR1233" s="170" t="str">
        <f t="shared" si="482"/>
        <v>BiK81a1bK12-06</v>
      </c>
      <c r="AS1233" s="169" t="str">
        <f t="shared" si="483"/>
        <v/>
      </c>
      <c r="AT1233">
        <f t="shared" si="484"/>
        <v>14</v>
      </c>
      <c r="AU1233" s="170" t="str">
        <f t="shared" si="485"/>
        <v>0-0,15 MW, Bonusregeln a1, b und K erstmals 2012</v>
      </c>
      <c r="AV1233" s="169" t="str">
        <f t="shared" si="486"/>
        <v/>
      </c>
      <c r="AW1233" s="170" t="str">
        <f t="shared" si="487"/>
        <v>Anteil KWK, erstmals 2012</v>
      </c>
      <c r="AX1233" s="169" t="str">
        <f t="shared" si="488"/>
        <v/>
      </c>
      <c r="AY1233" t="str">
        <f t="shared" si="489"/>
        <v/>
      </c>
      <c r="AZ1233" t="str">
        <f t="shared" si="490"/>
        <v>x</v>
      </c>
    </row>
    <row r="1234" spans="1:52" x14ac:dyDescent="0.35">
      <c r="A1234" s="497" t="s">
        <v>976</v>
      </c>
      <c r="B1234" s="13" t="s">
        <v>5547</v>
      </c>
      <c r="C1234" s="13" t="s">
        <v>1296</v>
      </c>
      <c r="D1234" s="13" t="s">
        <v>6923</v>
      </c>
      <c r="E1234" s="13" t="s">
        <v>4809</v>
      </c>
      <c r="F1234" s="373">
        <f t="shared" si="497"/>
        <v>20.67</v>
      </c>
      <c r="G1234" s="430">
        <v>20.67</v>
      </c>
      <c r="H1234" s="399">
        <f t="shared" si="498"/>
        <v>16.54</v>
      </c>
      <c r="I1234" s="576"/>
      <c r="J1234" s="549" t="s">
        <v>5804</v>
      </c>
      <c r="K1234" s="11"/>
      <c r="M1234" s="37">
        <f t="shared" si="499"/>
        <v>20.67</v>
      </c>
      <c r="N1234" s="29">
        <v>11.67</v>
      </c>
      <c r="O1234" s="41"/>
      <c r="P1234" s="11"/>
      <c r="S1234" t="s">
        <v>4179</v>
      </c>
      <c r="T1234" t="s">
        <v>4179</v>
      </c>
      <c r="U1234" s="42" t="s">
        <v>1017</v>
      </c>
      <c r="V1234" t="s">
        <v>1017</v>
      </c>
      <c r="W1234" s="50"/>
      <c r="X1234" s="50"/>
      <c r="AA1234" s="50"/>
      <c r="AD1234" s="50"/>
      <c r="AE1234" s="75" t="s">
        <v>1017</v>
      </c>
      <c r="AF1234" s="50"/>
      <c r="AG1234" s="50"/>
      <c r="AH1234" s="166" t="str">
        <f t="shared" ref="AH1234:AH1239" si="505">IF(ISERROR(SEARCH("K erstmals 201",D1234)),"",RIGHT(D1234,4))</f>
        <v/>
      </c>
      <c r="AI1234" s="168" t="str">
        <f t="shared" si="491"/>
        <v/>
      </c>
      <c r="AJ1234" s="168" t="str">
        <f t="shared" si="492"/>
        <v/>
      </c>
      <c r="AK1234" s="168" t="str">
        <f t="shared" si="493"/>
        <v/>
      </c>
      <c r="AL1234" s="168" t="str">
        <f t="shared" si="494"/>
        <v/>
      </c>
      <c r="AM1234" s="168" t="str">
        <f t="shared" si="495"/>
        <v/>
      </c>
      <c r="AN1234" s="167" t="str">
        <f t="shared" si="478"/>
        <v/>
      </c>
      <c r="AO1234" s="167" t="str">
        <f t="shared" si="479"/>
        <v/>
      </c>
      <c r="AP1234" s="167" t="str">
        <f t="shared" si="480"/>
        <v/>
      </c>
      <c r="AQ1234" s="169" t="str">
        <f t="shared" si="481"/>
        <v/>
      </c>
      <c r="AR1234" s="170" t="str">
        <f t="shared" si="482"/>
        <v>BiK81a1by---06</v>
      </c>
      <c r="AS1234" s="169" t="str">
        <f t="shared" si="483"/>
        <v/>
      </c>
      <c r="AT1234">
        <f t="shared" si="484"/>
        <v>14</v>
      </c>
      <c r="AU1234" s="170" t="str">
        <f t="shared" si="485"/>
        <v>0-0,15 MW, Bonusregeln a1, b, y</v>
      </c>
      <c r="AV1234" s="169" t="str">
        <f t="shared" si="486"/>
        <v/>
      </c>
      <c r="AW1234" s="170" t="str">
        <f t="shared" si="487"/>
        <v>Anteil Nicht-KWK</v>
      </c>
      <c r="AX1234" s="169" t="str">
        <f t="shared" si="488"/>
        <v/>
      </c>
      <c r="AY1234" t="str">
        <f t="shared" si="489"/>
        <v/>
      </c>
      <c r="AZ1234" t="str">
        <f t="shared" si="490"/>
        <v/>
      </c>
    </row>
    <row r="1235" spans="1:52" x14ac:dyDescent="0.35">
      <c r="A1235" s="497" t="s">
        <v>977</v>
      </c>
      <c r="B1235" s="13" t="s">
        <v>5547</v>
      </c>
      <c r="C1235" s="13" t="s">
        <v>1296</v>
      </c>
      <c r="D1235" s="13" t="s">
        <v>6924</v>
      </c>
      <c r="E1235" s="13" t="s">
        <v>4811</v>
      </c>
      <c r="F1235" s="373">
        <f t="shared" si="497"/>
        <v>22.67</v>
      </c>
      <c r="G1235" s="430">
        <v>22.67</v>
      </c>
      <c r="H1235" s="399">
        <f t="shared" si="498"/>
        <v>18.14</v>
      </c>
      <c r="I1235" s="576"/>
      <c r="J1235" s="549" t="s">
        <v>5804</v>
      </c>
      <c r="K1235" s="11"/>
      <c r="M1235" s="37">
        <f t="shared" si="499"/>
        <v>22.67</v>
      </c>
      <c r="N1235" s="29">
        <v>11.67</v>
      </c>
      <c r="O1235" s="41" t="s">
        <v>1017</v>
      </c>
      <c r="P1235" s="11"/>
      <c r="S1235" t="s">
        <v>4179</v>
      </c>
      <c r="T1235" t="s">
        <v>4179</v>
      </c>
      <c r="U1235" s="42" t="s">
        <v>1017</v>
      </c>
      <c r="V1235" t="s">
        <v>1017</v>
      </c>
      <c r="W1235" s="50"/>
      <c r="X1235" s="50"/>
      <c r="AA1235" s="50"/>
      <c r="AD1235" s="50"/>
      <c r="AE1235" s="75" t="s">
        <v>1017</v>
      </c>
      <c r="AF1235" s="50"/>
      <c r="AG1235" s="50"/>
      <c r="AH1235" s="166" t="str">
        <f t="shared" si="505"/>
        <v/>
      </c>
      <c r="AI1235" s="168" t="str">
        <f t="shared" si="491"/>
        <v/>
      </c>
      <c r="AJ1235" s="168" t="str">
        <f t="shared" si="492"/>
        <v/>
      </c>
      <c r="AK1235" s="168" t="str">
        <f t="shared" si="493"/>
        <v/>
      </c>
      <c r="AL1235" s="168" t="str">
        <f t="shared" si="494"/>
        <v/>
      </c>
      <c r="AM1235" s="168" t="str">
        <f t="shared" si="495"/>
        <v/>
      </c>
      <c r="AN1235" s="167" t="str">
        <f t="shared" si="478"/>
        <v/>
      </c>
      <c r="AO1235" s="167" t="str">
        <f t="shared" si="479"/>
        <v/>
      </c>
      <c r="AP1235" s="167" t="str">
        <f t="shared" si="480"/>
        <v/>
      </c>
      <c r="AQ1235" s="169" t="str">
        <f t="shared" si="481"/>
        <v/>
      </c>
      <c r="AR1235" s="170" t="str">
        <f t="shared" si="482"/>
        <v>BiK81a1bKWKy06</v>
      </c>
      <c r="AS1235" s="169" t="str">
        <f t="shared" si="483"/>
        <v/>
      </c>
      <c r="AT1235">
        <f t="shared" si="484"/>
        <v>14</v>
      </c>
      <c r="AU1235" s="170" t="str">
        <f t="shared" si="485"/>
        <v>0-0,15 MW, Bonusregeln a1, b, y und KWK</v>
      </c>
      <c r="AV1235" s="169" t="str">
        <f t="shared" si="486"/>
        <v/>
      </c>
      <c r="AW1235" s="170" t="str">
        <f t="shared" si="487"/>
        <v>Anteil KWK</v>
      </c>
      <c r="AX1235" s="169" t="str">
        <f t="shared" si="488"/>
        <v/>
      </c>
      <c r="AY1235" t="str">
        <f t="shared" si="489"/>
        <v/>
      </c>
      <c r="AZ1235" t="str">
        <f t="shared" si="490"/>
        <v/>
      </c>
    </row>
    <row r="1236" spans="1:52" x14ac:dyDescent="0.35">
      <c r="A1236" s="497" t="s">
        <v>978</v>
      </c>
      <c r="B1236" s="13" t="s">
        <v>5547</v>
      </c>
      <c r="C1236" s="13" t="s">
        <v>1296</v>
      </c>
      <c r="D1236" s="13" t="s">
        <v>6925</v>
      </c>
      <c r="E1236" s="13" t="s">
        <v>4330</v>
      </c>
      <c r="F1236" s="373">
        <f t="shared" si="497"/>
        <v>23.67</v>
      </c>
      <c r="G1236" s="430">
        <v>23.67</v>
      </c>
      <c r="H1236" s="399">
        <f t="shared" si="498"/>
        <v>18.940000000000001</v>
      </c>
      <c r="I1236" s="576"/>
      <c r="J1236" s="549" t="s">
        <v>5804</v>
      </c>
      <c r="K1236" s="11"/>
      <c r="M1236" s="37">
        <f t="shared" si="499"/>
        <v>23.67</v>
      </c>
      <c r="N1236" s="29">
        <v>11.67</v>
      </c>
      <c r="O1236" s="41"/>
      <c r="P1236" t="s">
        <v>1017</v>
      </c>
      <c r="S1236" t="s">
        <v>4179</v>
      </c>
      <c r="T1236" t="s">
        <v>4179</v>
      </c>
      <c r="U1236" s="42" t="s">
        <v>1017</v>
      </c>
      <c r="V1236" t="s">
        <v>1017</v>
      </c>
      <c r="W1236" s="50"/>
      <c r="X1236" s="50"/>
      <c r="AA1236" s="50"/>
      <c r="AD1236" s="50"/>
      <c r="AE1236" s="75" t="s">
        <v>1017</v>
      </c>
      <c r="AF1236" s="50"/>
      <c r="AG1236" s="50"/>
      <c r="AH1236" s="166" t="str">
        <f t="shared" si="505"/>
        <v/>
      </c>
      <c r="AI1236" s="168" t="str">
        <f t="shared" si="491"/>
        <v/>
      </c>
      <c r="AJ1236" s="168" t="str">
        <f t="shared" si="492"/>
        <v/>
      </c>
      <c r="AK1236" s="168" t="str">
        <f t="shared" si="493"/>
        <v/>
      </c>
      <c r="AL1236" s="168" t="str">
        <f t="shared" si="494"/>
        <v/>
      </c>
      <c r="AM1236" s="168" t="str">
        <f t="shared" si="495"/>
        <v/>
      </c>
      <c r="AN1236" s="167" t="str">
        <f t="shared" si="478"/>
        <v/>
      </c>
      <c r="AO1236" s="167" t="str">
        <f t="shared" si="479"/>
        <v/>
      </c>
      <c r="AP1236" s="167" t="str">
        <f t="shared" si="480"/>
        <v/>
      </c>
      <c r="AQ1236" s="169" t="str">
        <f t="shared" si="481"/>
        <v/>
      </c>
      <c r="AR1236" s="170" t="str">
        <f t="shared" si="482"/>
        <v>BiK81a1bKA3y06</v>
      </c>
      <c r="AS1236" s="169" t="str">
        <f t="shared" si="483"/>
        <v/>
      </c>
      <c r="AT1236">
        <f t="shared" si="484"/>
        <v>14</v>
      </c>
      <c r="AU1236" s="170" t="str">
        <f t="shared" si="485"/>
        <v>0-0,15 MW, Bonusregeln a1, b, y und K wenn Anlage 3 erfüllt</v>
      </c>
      <c r="AV1236" s="169" t="str">
        <f t="shared" si="486"/>
        <v/>
      </c>
      <c r="AW1236" s="170" t="str">
        <f t="shared" si="487"/>
        <v>Anteil KWK gemäß Anlage 3</v>
      </c>
      <c r="AX1236" s="169" t="str">
        <f t="shared" si="488"/>
        <v/>
      </c>
      <c r="AY1236" t="str">
        <f t="shared" si="489"/>
        <v/>
      </c>
      <c r="AZ1236" t="str">
        <f t="shared" si="490"/>
        <v/>
      </c>
    </row>
    <row r="1237" spans="1:52" x14ac:dyDescent="0.35">
      <c r="A1237" s="497" t="s">
        <v>979</v>
      </c>
      <c r="B1237" s="13" t="s">
        <v>5547</v>
      </c>
      <c r="C1237" s="13" t="s">
        <v>1296</v>
      </c>
      <c r="D1237" s="13" t="s">
        <v>6926</v>
      </c>
      <c r="E1237" s="13" t="s">
        <v>674</v>
      </c>
      <c r="F1237" s="373">
        <f t="shared" si="497"/>
        <v>23.67</v>
      </c>
      <c r="G1237" s="430">
        <v>23.67</v>
      </c>
      <c r="H1237" s="399">
        <f t="shared" si="498"/>
        <v>18.940000000000001</v>
      </c>
      <c r="I1237" s="576"/>
      <c r="J1237" s="549" t="s">
        <v>5804</v>
      </c>
      <c r="K1237" s="11"/>
      <c r="M1237" s="37">
        <f t="shared" si="499"/>
        <v>23.67</v>
      </c>
      <c r="N1237" s="29">
        <v>11.67</v>
      </c>
      <c r="O1237" s="41"/>
      <c r="P1237" s="11"/>
      <c r="Q1237" t="s">
        <v>1017</v>
      </c>
      <c r="S1237" t="s">
        <v>4179</v>
      </c>
      <c r="T1237" t="s">
        <v>4179</v>
      </c>
      <c r="U1237" s="42" t="s">
        <v>1017</v>
      </c>
      <c r="V1237" t="s">
        <v>1017</v>
      </c>
      <c r="W1237" s="50"/>
      <c r="X1237" s="50"/>
      <c r="AA1237" s="50"/>
      <c r="AD1237" s="50"/>
      <c r="AE1237" s="75" t="s">
        <v>1017</v>
      </c>
      <c r="AF1237" s="50"/>
      <c r="AG1237" s="50"/>
      <c r="AH1237" s="166" t="str">
        <f t="shared" si="505"/>
        <v/>
      </c>
      <c r="AI1237" s="168" t="str">
        <f t="shared" si="491"/>
        <v/>
      </c>
      <c r="AJ1237" s="168" t="str">
        <f t="shared" si="492"/>
        <v/>
      </c>
      <c r="AK1237" s="168" t="str">
        <f t="shared" si="493"/>
        <v/>
      </c>
      <c r="AL1237" s="168" t="str">
        <f t="shared" si="494"/>
        <v/>
      </c>
      <c r="AM1237" s="168" t="str">
        <f t="shared" si="495"/>
        <v/>
      </c>
      <c r="AN1237" s="167" t="str">
        <f t="shared" si="478"/>
        <v/>
      </c>
      <c r="AO1237" s="167" t="str">
        <f t="shared" si="479"/>
        <v/>
      </c>
      <c r="AP1237" s="167" t="str">
        <f t="shared" si="480"/>
        <v/>
      </c>
      <c r="AQ1237" s="169" t="str">
        <f t="shared" si="481"/>
        <v/>
      </c>
      <c r="AR1237" s="170" t="str">
        <f t="shared" si="482"/>
        <v>BiK81a1bK09y06</v>
      </c>
      <c r="AS1237" s="169" t="str">
        <f t="shared" si="483"/>
        <v/>
      </c>
      <c r="AT1237">
        <f t="shared" si="484"/>
        <v>14</v>
      </c>
      <c r="AU1237" s="170" t="str">
        <f t="shared" si="485"/>
        <v>0-0,15 MW, Bonusregeln a1, b, y und K erstmals 2009</v>
      </c>
      <c r="AV1237" s="169" t="str">
        <f t="shared" si="486"/>
        <v/>
      </c>
      <c r="AW1237" s="170" t="str">
        <f t="shared" si="487"/>
        <v>Anteil KWK, erstmals 2009</v>
      </c>
      <c r="AX1237" s="169" t="str">
        <f t="shared" si="488"/>
        <v/>
      </c>
      <c r="AY1237" t="str">
        <f t="shared" si="489"/>
        <v/>
      </c>
      <c r="AZ1237" t="str">
        <f t="shared" si="490"/>
        <v/>
      </c>
    </row>
    <row r="1238" spans="1:52" x14ac:dyDescent="0.35">
      <c r="A1238" s="497" t="s">
        <v>4899</v>
      </c>
      <c r="B1238" s="13" t="s">
        <v>5547</v>
      </c>
      <c r="C1238" s="13" t="s">
        <v>1296</v>
      </c>
      <c r="D1238" s="13" t="s">
        <v>6927</v>
      </c>
      <c r="E1238" s="13" t="s">
        <v>3566</v>
      </c>
      <c r="F1238" s="373">
        <f t="shared" si="497"/>
        <v>23.64</v>
      </c>
      <c r="G1238" s="430">
        <v>23.64</v>
      </c>
      <c r="H1238" s="399">
        <f t="shared" si="498"/>
        <v>18.91</v>
      </c>
      <c r="I1238" s="576"/>
      <c r="J1238" s="549" t="s">
        <v>5804</v>
      </c>
      <c r="K1238" s="11"/>
      <c r="M1238" s="37">
        <f t="shared" si="499"/>
        <v>23.64</v>
      </c>
      <c r="N1238" s="29">
        <v>11.67</v>
      </c>
      <c r="O1238" s="41"/>
      <c r="P1238" s="11"/>
      <c r="R1238" t="s">
        <v>1017</v>
      </c>
      <c r="S1238" t="s">
        <v>4179</v>
      </c>
      <c r="T1238" t="s">
        <v>4179</v>
      </c>
      <c r="U1238" s="42" t="s">
        <v>1017</v>
      </c>
      <c r="V1238" t="s">
        <v>1017</v>
      </c>
      <c r="W1238" s="50"/>
      <c r="X1238" s="50"/>
      <c r="AA1238" s="50"/>
      <c r="AD1238" s="50"/>
      <c r="AE1238" s="75" t="s">
        <v>1017</v>
      </c>
      <c r="AF1238" s="50"/>
      <c r="AG1238" s="50"/>
      <c r="AH1238" s="166" t="str">
        <f t="shared" si="505"/>
        <v>2010</v>
      </c>
      <c r="AI1238" s="168" t="str">
        <f t="shared" si="491"/>
        <v/>
      </c>
      <c r="AJ1238" s="168" t="str">
        <f t="shared" si="492"/>
        <v/>
      </c>
      <c r="AK1238" s="168" t="str">
        <f t="shared" si="493"/>
        <v/>
      </c>
      <c r="AL1238" s="168" t="str">
        <f t="shared" si="494"/>
        <v/>
      </c>
      <c r="AM1238" s="168" t="str">
        <f t="shared" si="495"/>
        <v/>
      </c>
      <c r="AN1238" s="167" t="str">
        <f t="shared" si="478"/>
        <v>2010</v>
      </c>
      <c r="AO1238" s="167" t="str">
        <f t="shared" si="479"/>
        <v>2010</v>
      </c>
      <c r="AP1238" s="167" t="str">
        <f t="shared" si="480"/>
        <v>2010</v>
      </c>
      <c r="AQ1238" s="169" t="str">
        <f t="shared" si="481"/>
        <v/>
      </c>
      <c r="AR1238" s="170" t="str">
        <f t="shared" si="482"/>
        <v>BiK81a1bK10y06</v>
      </c>
      <c r="AS1238" s="169" t="str">
        <f t="shared" si="483"/>
        <v/>
      </c>
      <c r="AT1238">
        <f t="shared" si="484"/>
        <v>14</v>
      </c>
      <c r="AU1238" s="170" t="str">
        <f t="shared" si="485"/>
        <v>0-0,15 MW, Bonusregeln a1, b, y und K erstmals 2010</v>
      </c>
      <c r="AV1238" s="169" t="str">
        <f t="shared" si="486"/>
        <v/>
      </c>
      <c r="AW1238" s="170" t="str">
        <f t="shared" si="487"/>
        <v>Anteil KWK, erstmals 2010</v>
      </c>
      <c r="AX1238" s="169" t="str">
        <f t="shared" si="488"/>
        <v/>
      </c>
      <c r="AY1238" t="str">
        <f t="shared" si="489"/>
        <v/>
      </c>
      <c r="AZ1238" t="str">
        <f t="shared" si="490"/>
        <v/>
      </c>
    </row>
    <row r="1239" spans="1:52" x14ac:dyDescent="0.35">
      <c r="A1239" s="497" t="s">
        <v>5368</v>
      </c>
      <c r="B1239" s="13" t="s">
        <v>5547</v>
      </c>
      <c r="C1239" s="13" t="s">
        <v>1296</v>
      </c>
      <c r="D1239" s="13" t="s">
        <v>6928</v>
      </c>
      <c r="E1239" s="13" t="s">
        <v>3054</v>
      </c>
      <c r="F1239" s="373">
        <f t="shared" si="497"/>
        <v>23.61</v>
      </c>
      <c r="G1239" s="430">
        <v>23.61</v>
      </c>
      <c r="H1239" s="399">
        <f t="shared" si="498"/>
        <v>18.89</v>
      </c>
      <c r="I1239" s="576"/>
      <c r="J1239" s="549" t="s">
        <v>5804</v>
      </c>
      <c r="K1239" s="11"/>
      <c r="M1239" s="37">
        <f t="shared" si="499"/>
        <v>23.61</v>
      </c>
      <c r="N1239" s="29">
        <v>11.67</v>
      </c>
      <c r="O1239" s="41"/>
      <c r="P1239" s="11"/>
      <c r="S1239" t="s">
        <v>1017</v>
      </c>
      <c r="T1239" t="s">
        <v>4179</v>
      </c>
      <c r="U1239" s="42" t="s">
        <v>1017</v>
      </c>
      <c r="V1239" t="s">
        <v>1017</v>
      </c>
      <c r="W1239" s="50"/>
      <c r="X1239" s="50"/>
      <c r="AA1239" s="50"/>
      <c r="AD1239" s="50"/>
      <c r="AE1239" s="75" t="s">
        <v>1017</v>
      </c>
      <c r="AF1239" s="50"/>
      <c r="AG1239" s="50"/>
      <c r="AH1239" s="166" t="str">
        <f t="shared" si="505"/>
        <v>2011</v>
      </c>
      <c r="AI1239" s="168" t="str">
        <f t="shared" si="491"/>
        <v/>
      </c>
      <c r="AJ1239" s="168" t="str">
        <f t="shared" si="492"/>
        <v/>
      </c>
      <c r="AK1239" s="168" t="str">
        <f t="shared" si="493"/>
        <v/>
      </c>
      <c r="AL1239" s="168" t="str">
        <f t="shared" si="494"/>
        <v/>
      </c>
      <c r="AM1239" s="168" t="str">
        <f t="shared" si="495"/>
        <v/>
      </c>
      <c r="AN1239" s="167" t="str">
        <f t="shared" si="478"/>
        <v>2011</v>
      </c>
      <c r="AO1239" s="167" t="str">
        <f t="shared" si="479"/>
        <v>2011</v>
      </c>
      <c r="AP1239" s="167" t="str">
        <f t="shared" si="480"/>
        <v>2011</v>
      </c>
      <c r="AQ1239" s="169" t="str">
        <f t="shared" si="481"/>
        <v/>
      </c>
      <c r="AR1239" s="170" t="str">
        <f t="shared" si="482"/>
        <v>BiK81a1bK11y06</v>
      </c>
      <c r="AS1239" s="169" t="str">
        <f t="shared" si="483"/>
        <v/>
      </c>
      <c r="AT1239">
        <f t="shared" si="484"/>
        <v>14</v>
      </c>
      <c r="AU1239" s="170" t="str">
        <f t="shared" si="485"/>
        <v>0-0,15 MW, Bonusregeln a1, b, y und K erstmals 2011</v>
      </c>
      <c r="AV1239" s="169" t="str">
        <f t="shared" si="486"/>
        <v/>
      </c>
      <c r="AW1239" s="170" t="str">
        <f t="shared" si="487"/>
        <v>Anteil KWK, erstmals 2011</v>
      </c>
      <c r="AX1239" s="169" t="str">
        <f t="shared" si="488"/>
        <v/>
      </c>
      <c r="AY1239" t="str">
        <f t="shared" si="489"/>
        <v>x</v>
      </c>
      <c r="AZ1239" t="str">
        <f t="shared" si="490"/>
        <v/>
      </c>
    </row>
    <row r="1240" spans="1:52" x14ac:dyDescent="0.35">
      <c r="A1240" s="511" t="s">
        <v>3646</v>
      </c>
      <c r="B1240" s="173" t="s">
        <v>5547</v>
      </c>
      <c r="C1240" s="173" t="s">
        <v>1296</v>
      </c>
      <c r="D1240" s="173" t="s">
        <v>6929</v>
      </c>
      <c r="E1240" s="173" t="s">
        <v>1980</v>
      </c>
      <c r="F1240" s="374">
        <f t="shared" si="497"/>
        <v>23.58</v>
      </c>
      <c r="G1240" s="431">
        <v>23.58</v>
      </c>
      <c r="H1240" s="400">
        <f t="shared" si="498"/>
        <v>18.86</v>
      </c>
      <c r="I1240" s="577"/>
      <c r="J1240" s="549" t="s">
        <v>5804</v>
      </c>
      <c r="K1240" s="11"/>
      <c r="M1240" s="37">
        <f t="shared" si="499"/>
        <v>23.58</v>
      </c>
      <c r="N1240" s="29">
        <v>11.67</v>
      </c>
      <c r="O1240" s="41"/>
      <c r="P1240" s="11"/>
      <c r="S1240" t="s">
        <v>4179</v>
      </c>
      <c r="T1240" t="s">
        <v>1017</v>
      </c>
      <c r="U1240" s="42" t="s">
        <v>1017</v>
      </c>
      <c r="V1240" t="s">
        <v>1017</v>
      </c>
      <c r="W1240" s="50"/>
      <c r="X1240" s="50"/>
      <c r="AA1240" s="50"/>
      <c r="AD1240" s="50"/>
      <c r="AE1240" s="75" t="s">
        <v>1017</v>
      </c>
      <c r="AF1240" s="50"/>
      <c r="AG1240" s="50"/>
      <c r="AH1240" s="171" t="s">
        <v>4178</v>
      </c>
      <c r="AI1240" s="168" t="str">
        <f t="shared" si="491"/>
        <v/>
      </c>
      <c r="AJ1240" s="168" t="str">
        <f t="shared" si="492"/>
        <v/>
      </c>
      <c r="AK1240" s="168" t="str">
        <f t="shared" si="493"/>
        <v/>
      </c>
      <c r="AL1240" s="168" t="str">
        <f t="shared" si="494"/>
        <v/>
      </c>
      <c r="AM1240" s="168" t="str">
        <f t="shared" si="495"/>
        <v/>
      </c>
      <c r="AN1240" s="167" t="str">
        <f t="shared" si="478"/>
        <v>2012</v>
      </c>
      <c r="AO1240" s="167" t="str">
        <f t="shared" si="479"/>
        <v>2012</v>
      </c>
      <c r="AP1240" s="167" t="str">
        <f t="shared" si="480"/>
        <v>2012</v>
      </c>
      <c r="AQ1240" s="169" t="str">
        <f t="shared" si="481"/>
        <v/>
      </c>
      <c r="AR1240" s="170" t="str">
        <f t="shared" si="482"/>
        <v>BiK81a1bK12y06</v>
      </c>
      <c r="AS1240" s="169" t="str">
        <f t="shared" si="483"/>
        <v/>
      </c>
      <c r="AT1240">
        <f t="shared" si="484"/>
        <v>14</v>
      </c>
      <c r="AU1240" s="170" t="str">
        <f t="shared" si="485"/>
        <v>0-0,15 MW, Bonusregeln a1, b, y und K erstmals 2012</v>
      </c>
      <c r="AV1240" s="169" t="str">
        <f t="shared" si="486"/>
        <v/>
      </c>
      <c r="AW1240" s="170" t="str">
        <f t="shared" si="487"/>
        <v>Anteil KWK, erstmals 2012</v>
      </c>
      <c r="AX1240" s="169" t="str">
        <f t="shared" si="488"/>
        <v/>
      </c>
      <c r="AY1240" t="str">
        <f t="shared" si="489"/>
        <v/>
      </c>
      <c r="AZ1240" t="str">
        <f t="shared" si="490"/>
        <v>x</v>
      </c>
    </row>
    <row r="1241" spans="1:52" x14ac:dyDescent="0.35">
      <c r="A1241" s="497" t="s">
        <v>2741</v>
      </c>
      <c r="B1241" s="13" t="s">
        <v>5547</v>
      </c>
      <c r="C1241" s="13" t="s">
        <v>1296</v>
      </c>
      <c r="D1241" s="13" t="s">
        <v>6930</v>
      </c>
      <c r="E1241" s="13" t="s">
        <v>4809</v>
      </c>
      <c r="F1241" s="373">
        <f t="shared" si="497"/>
        <v>20.67</v>
      </c>
      <c r="G1241" s="430">
        <v>20.67</v>
      </c>
      <c r="H1241" s="399">
        <f t="shared" si="498"/>
        <v>16.54</v>
      </c>
      <c r="I1241" s="576"/>
      <c r="J1241" s="549" t="s">
        <v>5804</v>
      </c>
      <c r="K1241" s="11"/>
      <c r="M1241" s="37">
        <f t="shared" si="499"/>
        <v>20.67</v>
      </c>
      <c r="N1241" s="29">
        <v>11.67</v>
      </c>
      <c r="O1241" s="149"/>
      <c r="P1241" s="144"/>
      <c r="Q1241" s="145"/>
      <c r="R1241" s="145"/>
      <c r="S1241" s="145" t="s">
        <v>4179</v>
      </c>
      <c r="T1241" t="s">
        <v>4179</v>
      </c>
      <c r="U1241" s="146"/>
      <c r="V1241" s="145"/>
      <c r="W1241" s="147"/>
      <c r="X1241" s="147"/>
      <c r="Y1241" s="145" t="s">
        <v>1017</v>
      </c>
      <c r="Z1241" s="145"/>
      <c r="AA1241" s="147"/>
      <c r="AB1241" s="145"/>
      <c r="AC1241" s="145"/>
      <c r="AD1241" s="147"/>
      <c r="AE1241" s="148" t="s">
        <v>1017</v>
      </c>
      <c r="AF1241" s="147"/>
      <c r="AG1241" s="147"/>
      <c r="AH1241" s="166" t="str">
        <f t="shared" ref="AH1241:AH1246" si="506">IF(ISERROR(SEARCH("K erstmals 201",D1241)),"",RIGHT(D1241,4))</f>
        <v/>
      </c>
      <c r="AI1241" s="168" t="str">
        <f t="shared" si="491"/>
        <v/>
      </c>
      <c r="AJ1241" s="168" t="str">
        <f t="shared" si="492"/>
        <v/>
      </c>
      <c r="AK1241" s="168" t="str">
        <f t="shared" si="493"/>
        <v/>
      </c>
      <c r="AL1241" s="168" t="str">
        <f t="shared" si="494"/>
        <v/>
      </c>
      <c r="AM1241" s="168" t="str">
        <f t="shared" si="495"/>
        <v/>
      </c>
      <c r="AN1241" s="167" t="str">
        <f t="shared" si="478"/>
        <v/>
      </c>
      <c r="AO1241" s="167" t="str">
        <f t="shared" si="479"/>
        <v/>
      </c>
      <c r="AP1241" s="167" t="str">
        <f t="shared" si="480"/>
        <v/>
      </c>
      <c r="AQ1241" s="169" t="str">
        <f t="shared" si="481"/>
        <v/>
      </c>
      <c r="AR1241" s="170" t="str">
        <f t="shared" si="482"/>
        <v>BiK81Gb-----06</v>
      </c>
      <c r="AS1241" s="169" t="str">
        <f t="shared" si="483"/>
        <v/>
      </c>
      <c r="AT1241">
        <f t="shared" si="484"/>
        <v>14</v>
      </c>
      <c r="AU1241" s="170" t="str">
        <f t="shared" si="485"/>
        <v>0-0,15 MW, Bonusregeln G, b</v>
      </c>
      <c r="AV1241" s="169" t="str">
        <f t="shared" si="486"/>
        <v/>
      </c>
      <c r="AW1241" s="170" t="str">
        <f t="shared" si="487"/>
        <v>Anteil Nicht-KWK</v>
      </c>
      <c r="AX1241" s="169" t="str">
        <f t="shared" si="488"/>
        <v/>
      </c>
      <c r="AY1241" t="str">
        <f t="shared" si="489"/>
        <v/>
      </c>
      <c r="AZ1241" t="str">
        <f t="shared" si="490"/>
        <v/>
      </c>
    </row>
    <row r="1242" spans="1:52" x14ac:dyDescent="0.35">
      <c r="A1242" s="497" t="s">
        <v>2742</v>
      </c>
      <c r="B1242" s="13" t="s">
        <v>5547</v>
      </c>
      <c r="C1242" s="13" t="s">
        <v>1296</v>
      </c>
      <c r="D1242" s="13" t="s">
        <v>6931</v>
      </c>
      <c r="E1242" s="13" t="s">
        <v>4811</v>
      </c>
      <c r="F1242" s="373">
        <f t="shared" si="497"/>
        <v>22.67</v>
      </c>
      <c r="G1242" s="430">
        <v>22.67</v>
      </c>
      <c r="H1242" s="399">
        <f t="shared" si="498"/>
        <v>18.14</v>
      </c>
      <c r="I1242" s="576"/>
      <c r="J1242" s="549" t="s">
        <v>5804</v>
      </c>
      <c r="K1242" s="11"/>
      <c r="M1242" s="37">
        <f t="shared" si="499"/>
        <v>22.67</v>
      </c>
      <c r="N1242" s="29">
        <v>11.67</v>
      </c>
      <c r="O1242" s="149" t="s">
        <v>1017</v>
      </c>
      <c r="P1242" s="144"/>
      <c r="Q1242" s="145"/>
      <c r="R1242" s="145"/>
      <c r="S1242" s="145" t="s">
        <v>4179</v>
      </c>
      <c r="T1242" t="s">
        <v>4179</v>
      </c>
      <c r="U1242" s="146"/>
      <c r="V1242" s="145"/>
      <c r="W1242" s="147"/>
      <c r="X1242" s="147"/>
      <c r="Y1242" s="145" t="s">
        <v>1017</v>
      </c>
      <c r="Z1242" s="145"/>
      <c r="AA1242" s="147"/>
      <c r="AB1242" s="145"/>
      <c r="AC1242" s="145"/>
      <c r="AD1242" s="147"/>
      <c r="AE1242" s="148" t="s">
        <v>1017</v>
      </c>
      <c r="AF1242" s="147"/>
      <c r="AG1242" s="147"/>
      <c r="AH1242" s="166" t="str">
        <f t="shared" si="506"/>
        <v/>
      </c>
      <c r="AI1242" s="168" t="str">
        <f t="shared" si="491"/>
        <v/>
      </c>
      <c r="AJ1242" s="168" t="str">
        <f t="shared" si="492"/>
        <v/>
      </c>
      <c r="AK1242" s="168" t="str">
        <f t="shared" si="493"/>
        <v/>
      </c>
      <c r="AL1242" s="168" t="str">
        <f t="shared" si="494"/>
        <v/>
      </c>
      <c r="AM1242" s="168" t="str">
        <f t="shared" si="495"/>
        <v/>
      </c>
      <c r="AN1242" s="167" t="str">
        <f t="shared" si="478"/>
        <v/>
      </c>
      <c r="AO1242" s="167" t="str">
        <f t="shared" si="479"/>
        <v/>
      </c>
      <c r="AP1242" s="167" t="str">
        <f t="shared" si="480"/>
        <v/>
      </c>
      <c r="AQ1242" s="169" t="str">
        <f t="shared" si="481"/>
        <v/>
      </c>
      <c r="AR1242" s="170" t="str">
        <f t="shared" si="482"/>
        <v>BiK81GbKWK--06</v>
      </c>
      <c r="AS1242" s="169" t="str">
        <f t="shared" si="483"/>
        <v/>
      </c>
      <c r="AT1242">
        <f t="shared" si="484"/>
        <v>14</v>
      </c>
      <c r="AU1242" s="170" t="str">
        <f t="shared" si="485"/>
        <v>0-0,15 MW, Bonusregeln G, b und KWK</v>
      </c>
      <c r="AV1242" s="169" t="str">
        <f t="shared" si="486"/>
        <v/>
      </c>
      <c r="AW1242" s="170" t="str">
        <f t="shared" si="487"/>
        <v>Anteil KWK</v>
      </c>
      <c r="AX1242" s="169" t="str">
        <f t="shared" si="488"/>
        <v/>
      </c>
      <c r="AY1242" t="str">
        <f t="shared" si="489"/>
        <v/>
      </c>
      <c r="AZ1242" t="str">
        <f t="shared" si="490"/>
        <v/>
      </c>
    </row>
    <row r="1243" spans="1:52" x14ac:dyDescent="0.35">
      <c r="A1243" s="497" t="s">
        <v>2743</v>
      </c>
      <c r="B1243" s="13" t="s">
        <v>5547</v>
      </c>
      <c r="C1243" s="13" t="s">
        <v>1296</v>
      </c>
      <c r="D1243" s="13" t="s">
        <v>6932</v>
      </c>
      <c r="E1243" s="13" t="s">
        <v>4330</v>
      </c>
      <c r="F1243" s="373">
        <f t="shared" si="497"/>
        <v>23.67</v>
      </c>
      <c r="G1243" s="430">
        <v>23.67</v>
      </c>
      <c r="H1243" s="399">
        <f t="shared" si="498"/>
        <v>18.940000000000001</v>
      </c>
      <c r="I1243" s="576"/>
      <c r="J1243" s="549" t="s">
        <v>5804</v>
      </c>
      <c r="K1243" s="11"/>
      <c r="M1243" s="37">
        <f t="shared" si="499"/>
        <v>23.67</v>
      </c>
      <c r="N1243" s="29">
        <v>11.67</v>
      </c>
      <c r="O1243" s="149"/>
      <c r="P1243" s="145" t="s">
        <v>1017</v>
      </c>
      <c r="Q1243" s="145"/>
      <c r="R1243" s="145"/>
      <c r="S1243" s="145" t="s">
        <v>4179</v>
      </c>
      <c r="T1243" t="s">
        <v>4179</v>
      </c>
      <c r="U1243" s="146"/>
      <c r="V1243" s="145"/>
      <c r="W1243" s="147"/>
      <c r="X1243" s="147"/>
      <c r="Y1243" s="145" t="s">
        <v>1017</v>
      </c>
      <c r="Z1243" s="145"/>
      <c r="AA1243" s="147"/>
      <c r="AB1243" s="145"/>
      <c r="AC1243" s="145"/>
      <c r="AD1243" s="147"/>
      <c r="AE1243" s="148" t="s">
        <v>1017</v>
      </c>
      <c r="AF1243" s="147"/>
      <c r="AG1243" s="147"/>
      <c r="AH1243" s="166" t="str">
        <f t="shared" si="506"/>
        <v/>
      </c>
      <c r="AI1243" s="168" t="str">
        <f t="shared" si="491"/>
        <v/>
      </c>
      <c r="AJ1243" s="168" t="str">
        <f t="shared" si="492"/>
        <v/>
      </c>
      <c r="AK1243" s="168" t="str">
        <f t="shared" si="493"/>
        <v/>
      </c>
      <c r="AL1243" s="168" t="str">
        <f t="shared" si="494"/>
        <v/>
      </c>
      <c r="AM1243" s="168" t="str">
        <f t="shared" si="495"/>
        <v/>
      </c>
      <c r="AN1243" s="167" t="str">
        <f t="shared" si="478"/>
        <v/>
      </c>
      <c r="AO1243" s="167" t="str">
        <f t="shared" si="479"/>
        <v/>
      </c>
      <c r="AP1243" s="167" t="str">
        <f t="shared" si="480"/>
        <v/>
      </c>
      <c r="AQ1243" s="169" t="str">
        <f t="shared" si="481"/>
        <v/>
      </c>
      <c r="AR1243" s="170" t="str">
        <f t="shared" si="482"/>
        <v>BiK81GbKA3--06</v>
      </c>
      <c r="AS1243" s="169" t="str">
        <f t="shared" si="483"/>
        <v/>
      </c>
      <c r="AT1243">
        <f t="shared" si="484"/>
        <v>14</v>
      </c>
      <c r="AU1243" s="170" t="str">
        <f t="shared" si="485"/>
        <v>0-0,15 MW, Bonusregeln G, b und K wenn Anlage 3 erfüllt</v>
      </c>
      <c r="AV1243" s="169" t="str">
        <f t="shared" si="486"/>
        <v/>
      </c>
      <c r="AW1243" s="170" t="str">
        <f t="shared" si="487"/>
        <v>Anteil KWK gemäß Anlage 3</v>
      </c>
      <c r="AX1243" s="169" t="str">
        <f t="shared" si="488"/>
        <v/>
      </c>
      <c r="AY1243" t="str">
        <f t="shared" si="489"/>
        <v/>
      </c>
      <c r="AZ1243" t="str">
        <f t="shared" si="490"/>
        <v/>
      </c>
    </row>
    <row r="1244" spans="1:52" x14ac:dyDescent="0.35">
      <c r="A1244" s="497" t="s">
        <v>2744</v>
      </c>
      <c r="B1244" s="13" t="s">
        <v>5547</v>
      </c>
      <c r="C1244" s="13" t="s">
        <v>1296</v>
      </c>
      <c r="D1244" s="13" t="s">
        <v>6933</v>
      </c>
      <c r="E1244" s="13" t="s">
        <v>674</v>
      </c>
      <c r="F1244" s="373">
        <f t="shared" si="497"/>
        <v>23.67</v>
      </c>
      <c r="G1244" s="430">
        <v>23.67</v>
      </c>
      <c r="H1244" s="399">
        <f t="shared" si="498"/>
        <v>18.940000000000001</v>
      </c>
      <c r="I1244" s="576"/>
      <c r="J1244" s="549" t="s">
        <v>5804</v>
      </c>
      <c r="K1244" s="11"/>
      <c r="M1244" s="37">
        <f t="shared" si="499"/>
        <v>23.67</v>
      </c>
      <c r="N1244" s="29">
        <v>11.67</v>
      </c>
      <c r="O1244" s="149"/>
      <c r="P1244" s="144"/>
      <c r="Q1244" s="145" t="s">
        <v>1017</v>
      </c>
      <c r="R1244" s="145"/>
      <c r="S1244" s="145" t="s">
        <v>4179</v>
      </c>
      <c r="T1244" t="s">
        <v>4179</v>
      </c>
      <c r="U1244" s="146"/>
      <c r="V1244" s="145"/>
      <c r="W1244" s="147"/>
      <c r="X1244" s="147"/>
      <c r="Y1244" s="145" t="s">
        <v>1017</v>
      </c>
      <c r="Z1244" s="145"/>
      <c r="AA1244" s="147"/>
      <c r="AB1244" s="145"/>
      <c r="AC1244" s="145"/>
      <c r="AD1244" s="147"/>
      <c r="AE1244" s="148" t="s">
        <v>1017</v>
      </c>
      <c r="AF1244" s="147"/>
      <c r="AG1244" s="147"/>
      <c r="AH1244" s="166" t="str">
        <f t="shared" si="506"/>
        <v/>
      </c>
      <c r="AI1244" s="168" t="str">
        <f t="shared" si="491"/>
        <v/>
      </c>
      <c r="AJ1244" s="168" t="str">
        <f t="shared" si="492"/>
        <v/>
      </c>
      <c r="AK1244" s="168" t="str">
        <f t="shared" si="493"/>
        <v/>
      </c>
      <c r="AL1244" s="168" t="str">
        <f t="shared" si="494"/>
        <v/>
      </c>
      <c r="AM1244" s="168" t="str">
        <f t="shared" si="495"/>
        <v/>
      </c>
      <c r="AN1244" s="167" t="str">
        <f t="shared" si="478"/>
        <v/>
      </c>
      <c r="AO1244" s="167" t="str">
        <f t="shared" si="479"/>
        <v/>
      </c>
      <c r="AP1244" s="167" t="str">
        <f t="shared" si="480"/>
        <v/>
      </c>
      <c r="AQ1244" s="169" t="str">
        <f t="shared" si="481"/>
        <v/>
      </c>
      <c r="AR1244" s="170" t="str">
        <f t="shared" si="482"/>
        <v>BiK81GbK09--06</v>
      </c>
      <c r="AS1244" s="169" t="str">
        <f t="shared" si="483"/>
        <v/>
      </c>
      <c r="AT1244">
        <f t="shared" si="484"/>
        <v>14</v>
      </c>
      <c r="AU1244" s="170" t="str">
        <f t="shared" si="485"/>
        <v>0-0,15 MW, Bonusregeln G, b und K erstmals 2009</v>
      </c>
      <c r="AV1244" s="169" t="str">
        <f t="shared" si="486"/>
        <v/>
      </c>
      <c r="AW1244" s="170" t="str">
        <f t="shared" si="487"/>
        <v>Anteil KWK, erstmals 2009</v>
      </c>
      <c r="AX1244" s="169" t="str">
        <f t="shared" si="488"/>
        <v/>
      </c>
      <c r="AY1244" t="str">
        <f t="shared" si="489"/>
        <v/>
      </c>
      <c r="AZ1244" t="str">
        <f t="shared" si="490"/>
        <v/>
      </c>
    </row>
    <row r="1245" spans="1:52" x14ac:dyDescent="0.35">
      <c r="A1245" s="497" t="s">
        <v>4900</v>
      </c>
      <c r="B1245" s="13" t="s">
        <v>5547</v>
      </c>
      <c r="C1245" s="13" t="s">
        <v>1296</v>
      </c>
      <c r="D1245" s="13" t="s">
        <v>6934</v>
      </c>
      <c r="E1245" s="13" t="s">
        <v>3566</v>
      </c>
      <c r="F1245" s="373">
        <f t="shared" si="497"/>
        <v>23.64</v>
      </c>
      <c r="G1245" s="430">
        <v>23.64</v>
      </c>
      <c r="H1245" s="399">
        <f t="shared" si="498"/>
        <v>18.91</v>
      </c>
      <c r="I1245" s="576"/>
      <c r="J1245" s="549" t="s">
        <v>5804</v>
      </c>
      <c r="K1245" s="11"/>
      <c r="M1245" s="37">
        <f t="shared" si="499"/>
        <v>23.64</v>
      </c>
      <c r="N1245" s="29">
        <v>11.67</v>
      </c>
      <c r="O1245" s="149"/>
      <c r="P1245" s="144"/>
      <c r="Q1245" s="145"/>
      <c r="R1245" s="145" t="s">
        <v>1017</v>
      </c>
      <c r="S1245" s="145" t="s">
        <v>4179</v>
      </c>
      <c r="T1245" t="s">
        <v>4179</v>
      </c>
      <c r="U1245" s="146"/>
      <c r="V1245" s="145"/>
      <c r="W1245" s="147"/>
      <c r="X1245" s="147"/>
      <c r="Y1245" s="145" t="s">
        <v>1017</v>
      </c>
      <c r="Z1245" s="145"/>
      <c r="AA1245" s="147"/>
      <c r="AB1245" s="145"/>
      <c r="AC1245" s="145"/>
      <c r="AD1245" s="147"/>
      <c r="AE1245" s="148" t="s">
        <v>1017</v>
      </c>
      <c r="AF1245" s="147"/>
      <c r="AG1245" s="147"/>
      <c r="AH1245" s="166" t="str">
        <f t="shared" si="506"/>
        <v>2010</v>
      </c>
      <c r="AI1245" s="168" t="str">
        <f t="shared" si="491"/>
        <v/>
      </c>
      <c r="AJ1245" s="168" t="str">
        <f t="shared" si="492"/>
        <v/>
      </c>
      <c r="AK1245" s="168" t="str">
        <f t="shared" si="493"/>
        <v/>
      </c>
      <c r="AL1245" s="168" t="str">
        <f t="shared" si="494"/>
        <v/>
      </c>
      <c r="AM1245" s="168" t="str">
        <f t="shared" si="495"/>
        <v/>
      </c>
      <c r="AN1245" s="167" t="str">
        <f t="shared" si="478"/>
        <v>2010</v>
      </c>
      <c r="AO1245" s="167" t="str">
        <f t="shared" si="479"/>
        <v>2010</v>
      </c>
      <c r="AP1245" s="167" t="str">
        <f t="shared" si="480"/>
        <v>2010</v>
      </c>
      <c r="AQ1245" s="169" t="str">
        <f t="shared" si="481"/>
        <v/>
      </c>
      <c r="AR1245" s="170" t="str">
        <f t="shared" si="482"/>
        <v>BiK81GbK10--06</v>
      </c>
      <c r="AS1245" s="169" t="str">
        <f t="shared" si="483"/>
        <v/>
      </c>
      <c r="AT1245">
        <f t="shared" si="484"/>
        <v>14</v>
      </c>
      <c r="AU1245" s="170" t="str">
        <f t="shared" si="485"/>
        <v>0-0,15 MW, Bonusregeln G, b und K erstmals 2010</v>
      </c>
      <c r="AV1245" s="169" t="str">
        <f t="shared" si="486"/>
        <v/>
      </c>
      <c r="AW1245" s="170" t="str">
        <f t="shared" si="487"/>
        <v>Anteil KWK, erstmals 2010</v>
      </c>
      <c r="AX1245" s="169" t="str">
        <f t="shared" si="488"/>
        <v/>
      </c>
      <c r="AY1245" t="str">
        <f t="shared" si="489"/>
        <v/>
      </c>
      <c r="AZ1245" t="str">
        <f t="shared" si="490"/>
        <v/>
      </c>
    </row>
    <row r="1246" spans="1:52" x14ac:dyDescent="0.35">
      <c r="A1246" s="497" t="s">
        <v>5369</v>
      </c>
      <c r="B1246" s="13" t="s">
        <v>5547</v>
      </c>
      <c r="C1246" s="13" t="s">
        <v>1296</v>
      </c>
      <c r="D1246" s="13" t="s">
        <v>6935</v>
      </c>
      <c r="E1246" s="13" t="s">
        <v>3054</v>
      </c>
      <c r="F1246" s="373">
        <f t="shared" si="497"/>
        <v>23.61</v>
      </c>
      <c r="G1246" s="430">
        <v>23.61</v>
      </c>
      <c r="H1246" s="399">
        <f t="shared" si="498"/>
        <v>18.89</v>
      </c>
      <c r="I1246" s="576"/>
      <c r="J1246" s="549" t="s">
        <v>5804</v>
      </c>
      <c r="K1246" s="11"/>
      <c r="M1246" s="37">
        <f t="shared" si="499"/>
        <v>23.61</v>
      </c>
      <c r="N1246" s="29">
        <v>11.67</v>
      </c>
      <c r="O1246" s="149"/>
      <c r="P1246" s="144"/>
      <c r="Q1246" s="145"/>
      <c r="R1246" s="145"/>
      <c r="S1246" s="145" t="s">
        <v>1017</v>
      </c>
      <c r="T1246" t="s">
        <v>4179</v>
      </c>
      <c r="U1246" s="146"/>
      <c r="V1246" s="145"/>
      <c r="W1246" s="147"/>
      <c r="X1246" s="147"/>
      <c r="Y1246" s="145" t="s">
        <v>1017</v>
      </c>
      <c r="Z1246" s="145"/>
      <c r="AA1246" s="147"/>
      <c r="AB1246" s="145"/>
      <c r="AC1246" s="145"/>
      <c r="AD1246" s="147"/>
      <c r="AE1246" s="148" t="s">
        <v>1017</v>
      </c>
      <c r="AF1246" s="147"/>
      <c r="AG1246" s="147"/>
      <c r="AH1246" s="166" t="str">
        <f t="shared" si="506"/>
        <v>2011</v>
      </c>
      <c r="AI1246" s="168" t="str">
        <f t="shared" si="491"/>
        <v/>
      </c>
      <c r="AJ1246" s="168" t="str">
        <f t="shared" si="492"/>
        <v/>
      </c>
      <c r="AK1246" s="168" t="str">
        <f t="shared" si="493"/>
        <v/>
      </c>
      <c r="AL1246" s="168" t="str">
        <f t="shared" si="494"/>
        <v/>
      </c>
      <c r="AM1246" s="168" t="str">
        <f t="shared" si="495"/>
        <v/>
      </c>
      <c r="AN1246" s="167" t="str">
        <f t="shared" si="478"/>
        <v>2011</v>
      </c>
      <c r="AO1246" s="167" t="str">
        <f t="shared" si="479"/>
        <v>2011</v>
      </c>
      <c r="AP1246" s="167" t="str">
        <f t="shared" si="480"/>
        <v>2011</v>
      </c>
      <c r="AQ1246" s="169" t="str">
        <f t="shared" si="481"/>
        <v/>
      </c>
      <c r="AR1246" s="170" t="str">
        <f t="shared" si="482"/>
        <v>BiK81GbK11--06</v>
      </c>
      <c r="AS1246" s="169" t="str">
        <f t="shared" si="483"/>
        <v/>
      </c>
      <c r="AT1246">
        <f t="shared" si="484"/>
        <v>14</v>
      </c>
      <c r="AU1246" s="170" t="str">
        <f t="shared" si="485"/>
        <v>0-0,15 MW, Bonusregeln G, b und K erstmals 2011</v>
      </c>
      <c r="AV1246" s="169" t="str">
        <f t="shared" si="486"/>
        <v/>
      </c>
      <c r="AW1246" s="170" t="str">
        <f t="shared" si="487"/>
        <v>Anteil KWK, erstmals 2011</v>
      </c>
      <c r="AX1246" s="169" t="str">
        <f t="shared" si="488"/>
        <v/>
      </c>
      <c r="AY1246" t="str">
        <f t="shared" si="489"/>
        <v>x</v>
      </c>
      <c r="AZ1246" t="str">
        <f t="shared" si="490"/>
        <v/>
      </c>
    </row>
    <row r="1247" spans="1:52" x14ac:dyDescent="0.35">
      <c r="A1247" s="511" t="s">
        <v>3647</v>
      </c>
      <c r="B1247" s="173" t="s">
        <v>5547</v>
      </c>
      <c r="C1247" s="173" t="s">
        <v>1296</v>
      </c>
      <c r="D1247" s="173" t="s">
        <v>6936</v>
      </c>
      <c r="E1247" s="173" t="s">
        <v>1980</v>
      </c>
      <c r="F1247" s="374">
        <f t="shared" si="497"/>
        <v>23.58</v>
      </c>
      <c r="G1247" s="431">
        <v>23.58</v>
      </c>
      <c r="H1247" s="400">
        <f t="shared" si="498"/>
        <v>18.86</v>
      </c>
      <c r="I1247" s="577"/>
      <c r="J1247" s="549" t="s">
        <v>5804</v>
      </c>
      <c r="K1247" s="11"/>
      <c r="M1247" s="37">
        <f t="shared" si="499"/>
        <v>23.58</v>
      </c>
      <c r="N1247" s="29">
        <v>11.67</v>
      </c>
      <c r="O1247" s="149"/>
      <c r="P1247" s="144"/>
      <c r="Q1247" s="145"/>
      <c r="R1247" s="145"/>
      <c r="S1247" s="145" t="s">
        <v>4179</v>
      </c>
      <c r="T1247" t="s">
        <v>1017</v>
      </c>
      <c r="U1247" s="146"/>
      <c r="V1247" s="145"/>
      <c r="W1247" s="147"/>
      <c r="X1247" s="147"/>
      <c r="Y1247" s="145" t="s">
        <v>1017</v>
      </c>
      <c r="Z1247" s="145"/>
      <c r="AA1247" s="147"/>
      <c r="AB1247" s="145"/>
      <c r="AC1247" s="145"/>
      <c r="AD1247" s="147"/>
      <c r="AE1247" s="148" t="s">
        <v>1017</v>
      </c>
      <c r="AF1247" s="147"/>
      <c r="AG1247" s="147"/>
      <c r="AH1247" s="171" t="s">
        <v>4178</v>
      </c>
      <c r="AI1247" s="168" t="str">
        <f t="shared" si="491"/>
        <v/>
      </c>
      <c r="AJ1247" s="168" t="str">
        <f t="shared" si="492"/>
        <v/>
      </c>
      <c r="AK1247" s="168" t="str">
        <f t="shared" si="493"/>
        <v/>
      </c>
      <c r="AL1247" s="168" t="str">
        <f t="shared" si="494"/>
        <v/>
      </c>
      <c r="AM1247" s="168" t="str">
        <f t="shared" si="495"/>
        <v/>
      </c>
      <c r="AN1247" s="167" t="str">
        <f t="shared" si="478"/>
        <v>2012</v>
      </c>
      <c r="AO1247" s="167" t="str">
        <f t="shared" si="479"/>
        <v>2012</v>
      </c>
      <c r="AP1247" s="167" t="str">
        <f t="shared" si="480"/>
        <v>2012</v>
      </c>
      <c r="AQ1247" s="169" t="str">
        <f t="shared" si="481"/>
        <v/>
      </c>
      <c r="AR1247" s="170" t="str">
        <f t="shared" si="482"/>
        <v>BiK81GbK12--06</v>
      </c>
      <c r="AS1247" s="169" t="str">
        <f t="shared" si="483"/>
        <v/>
      </c>
      <c r="AT1247">
        <f t="shared" si="484"/>
        <v>14</v>
      </c>
      <c r="AU1247" s="170" t="str">
        <f t="shared" si="485"/>
        <v>0-0,15 MW, Bonusregeln G, b und K erstmals 2012</v>
      </c>
      <c r="AV1247" s="169" t="str">
        <f t="shared" si="486"/>
        <v/>
      </c>
      <c r="AW1247" s="170" t="str">
        <f t="shared" si="487"/>
        <v>Anteil KWK, erstmals 2012</v>
      </c>
      <c r="AX1247" s="169" t="str">
        <f t="shared" si="488"/>
        <v/>
      </c>
      <c r="AY1247" t="str">
        <f t="shared" si="489"/>
        <v/>
      </c>
      <c r="AZ1247" t="str">
        <f t="shared" si="490"/>
        <v>x</v>
      </c>
    </row>
    <row r="1248" spans="1:52" x14ac:dyDescent="0.35">
      <c r="A1248" s="497" t="s">
        <v>2745</v>
      </c>
      <c r="B1248" s="13" t="s">
        <v>5547</v>
      </c>
      <c r="C1248" s="13" t="s">
        <v>1296</v>
      </c>
      <c r="D1248" s="13" t="s">
        <v>6937</v>
      </c>
      <c r="E1248" s="13" t="s">
        <v>4809</v>
      </c>
      <c r="F1248" s="373">
        <f t="shared" si="497"/>
        <v>21.67</v>
      </c>
      <c r="G1248" s="430">
        <v>21.67</v>
      </c>
      <c r="H1248" s="399">
        <f t="shared" si="498"/>
        <v>17.34</v>
      </c>
      <c r="I1248" s="576"/>
      <c r="J1248" s="549" t="s">
        <v>5804</v>
      </c>
      <c r="K1248" s="11"/>
      <c r="M1248" s="37">
        <f t="shared" si="499"/>
        <v>21.67</v>
      </c>
      <c r="N1248" s="29">
        <v>11.67</v>
      </c>
      <c r="O1248" s="149"/>
      <c r="P1248" s="144"/>
      <c r="Q1248" s="145"/>
      <c r="R1248" s="145"/>
      <c r="S1248" s="145" t="s">
        <v>4179</v>
      </c>
      <c r="T1248" t="s">
        <v>4179</v>
      </c>
      <c r="U1248" s="146" t="s">
        <v>1017</v>
      </c>
      <c r="V1248" s="145"/>
      <c r="W1248" s="147"/>
      <c r="X1248" s="147"/>
      <c r="Y1248" s="145" t="s">
        <v>1017</v>
      </c>
      <c r="Z1248" s="145"/>
      <c r="AA1248" s="147"/>
      <c r="AB1248" s="145"/>
      <c r="AC1248" s="145"/>
      <c r="AD1248" s="147"/>
      <c r="AE1248" s="148" t="s">
        <v>1017</v>
      </c>
      <c r="AF1248" s="147"/>
      <c r="AG1248" s="147"/>
      <c r="AH1248" s="166" t="str">
        <f t="shared" ref="AH1248:AH1253" si="507">IF(ISERROR(SEARCH("K erstmals 201",D1248)),"",RIGHT(D1248,4))</f>
        <v/>
      </c>
      <c r="AI1248" s="168" t="str">
        <f t="shared" si="491"/>
        <v/>
      </c>
      <c r="AJ1248" s="168" t="str">
        <f t="shared" si="492"/>
        <v/>
      </c>
      <c r="AK1248" s="168" t="str">
        <f t="shared" si="493"/>
        <v/>
      </c>
      <c r="AL1248" s="168" t="str">
        <f t="shared" si="494"/>
        <v/>
      </c>
      <c r="AM1248" s="168" t="str">
        <f t="shared" si="495"/>
        <v/>
      </c>
      <c r="AN1248" s="167" t="str">
        <f t="shared" si="478"/>
        <v/>
      </c>
      <c r="AO1248" s="167" t="str">
        <f t="shared" si="479"/>
        <v/>
      </c>
      <c r="AP1248" s="167" t="str">
        <f t="shared" si="480"/>
        <v/>
      </c>
      <c r="AQ1248" s="169" t="str">
        <f t="shared" si="481"/>
        <v/>
      </c>
      <c r="AR1248" s="170" t="str">
        <f t="shared" si="482"/>
        <v>BiK81Gby----06</v>
      </c>
      <c r="AS1248" s="169" t="str">
        <f t="shared" si="483"/>
        <v/>
      </c>
      <c r="AT1248">
        <f t="shared" si="484"/>
        <v>14</v>
      </c>
      <c r="AU1248" s="170" t="str">
        <f t="shared" si="485"/>
        <v>0-0,15 MW, Bonusregeln G, y, b</v>
      </c>
      <c r="AV1248" s="169" t="str">
        <f t="shared" si="486"/>
        <v/>
      </c>
      <c r="AW1248" s="170" t="str">
        <f t="shared" si="487"/>
        <v>Anteil Nicht-KWK</v>
      </c>
      <c r="AX1248" s="169" t="str">
        <f t="shared" si="488"/>
        <v/>
      </c>
      <c r="AY1248" t="str">
        <f t="shared" si="489"/>
        <v/>
      </c>
      <c r="AZ1248" t="str">
        <f t="shared" si="490"/>
        <v/>
      </c>
    </row>
    <row r="1249" spans="1:52" x14ac:dyDescent="0.35">
      <c r="A1249" s="497" t="s">
        <v>2746</v>
      </c>
      <c r="B1249" s="13" t="s">
        <v>5547</v>
      </c>
      <c r="C1249" s="13" t="s">
        <v>1296</v>
      </c>
      <c r="D1249" s="13" t="s">
        <v>6938</v>
      </c>
      <c r="E1249" s="13" t="s">
        <v>4811</v>
      </c>
      <c r="F1249" s="373">
        <f t="shared" si="497"/>
        <v>23.67</v>
      </c>
      <c r="G1249" s="430">
        <v>23.67</v>
      </c>
      <c r="H1249" s="399">
        <f t="shared" si="498"/>
        <v>18.940000000000001</v>
      </c>
      <c r="I1249" s="576"/>
      <c r="J1249" s="549" t="s">
        <v>5804</v>
      </c>
      <c r="K1249" s="11"/>
      <c r="M1249" s="37">
        <f t="shared" si="499"/>
        <v>23.67</v>
      </c>
      <c r="N1249" s="29">
        <v>11.67</v>
      </c>
      <c r="O1249" s="149" t="s">
        <v>1017</v>
      </c>
      <c r="P1249" s="144"/>
      <c r="Q1249" s="145"/>
      <c r="R1249" s="145"/>
      <c r="S1249" s="145" t="s">
        <v>4179</v>
      </c>
      <c r="T1249" t="s">
        <v>4179</v>
      </c>
      <c r="U1249" s="146" t="s">
        <v>1017</v>
      </c>
      <c r="V1249" s="145"/>
      <c r="W1249" s="147"/>
      <c r="X1249" s="147"/>
      <c r="Y1249" s="145" t="s">
        <v>1017</v>
      </c>
      <c r="Z1249" s="145"/>
      <c r="AA1249" s="147"/>
      <c r="AB1249" s="145"/>
      <c r="AC1249" s="145"/>
      <c r="AD1249" s="147"/>
      <c r="AE1249" s="148" t="s">
        <v>1017</v>
      </c>
      <c r="AF1249" s="147"/>
      <c r="AG1249" s="147"/>
      <c r="AH1249" s="166" t="str">
        <f t="shared" si="507"/>
        <v/>
      </c>
      <c r="AI1249" s="168" t="str">
        <f t="shared" si="491"/>
        <v/>
      </c>
      <c r="AJ1249" s="168" t="str">
        <f t="shared" si="492"/>
        <v/>
      </c>
      <c r="AK1249" s="168" t="str">
        <f t="shared" si="493"/>
        <v/>
      </c>
      <c r="AL1249" s="168" t="str">
        <f t="shared" si="494"/>
        <v/>
      </c>
      <c r="AM1249" s="168" t="str">
        <f t="shared" si="495"/>
        <v/>
      </c>
      <c r="AN1249" s="167" t="str">
        <f t="shared" si="478"/>
        <v/>
      </c>
      <c r="AO1249" s="167" t="str">
        <f t="shared" si="479"/>
        <v/>
      </c>
      <c r="AP1249" s="167" t="str">
        <f t="shared" si="480"/>
        <v/>
      </c>
      <c r="AQ1249" s="169" t="str">
        <f t="shared" si="481"/>
        <v/>
      </c>
      <c r="AR1249" s="170" t="str">
        <f t="shared" si="482"/>
        <v>BiK81GbKWKy-06</v>
      </c>
      <c r="AS1249" s="169" t="str">
        <f t="shared" si="483"/>
        <v/>
      </c>
      <c r="AT1249">
        <f t="shared" si="484"/>
        <v>14</v>
      </c>
      <c r="AU1249" s="170" t="str">
        <f t="shared" si="485"/>
        <v>0-0,15 MW, Bonusregeln G, y, b und KWK</v>
      </c>
      <c r="AV1249" s="169" t="str">
        <f t="shared" si="486"/>
        <v/>
      </c>
      <c r="AW1249" s="170" t="str">
        <f t="shared" si="487"/>
        <v>Anteil KWK</v>
      </c>
      <c r="AX1249" s="169" t="str">
        <f t="shared" si="488"/>
        <v/>
      </c>
      <c r="AY1249" t="str">
        <f t="shared" si="489"/>
        <v/>
      </c>
      <c r="AZ1249" t="str">
        <f t="shared" si="490"/>
        <v/>
      </c>
    </row>
    <row r="1250" spans="1:52" x14ac:dyDescent="0.35">
      <c r="A1250" s="497" t="s">
        <v>2747</v>
      </c>
      <c r="B1250" s="13" t="s">
        <v>5547</v>
      </c>
      <c r="C1250" s="13" t="s">
        <v>1296</v>
      </c>
      <c r="D1250" s="88" t="s">
        <v>6939</v>
      </c>
      <c r="E1250" s="13" t="s">
        <v>4330</v>
      </c>
      <c r="F1250" s="373">
        <f t="shared" si="497"/>
        <v>24.67</v>
      </c>
      <c r="G1250" s="430">
        <v>24.67</v>
      </c>
      <c r="H1250" s="399">
        <f t="shared" si="498"/>
        <v>19.739999999999998</v>
      </c>
      <c r="I1250" s="576"/>
      <c r="J1250" s="549" t="s">
        <v>5804</v>
      </c>
      <c r="K1250" s="11"/>
      <c r="M1250" s="37">
        <f t="shared" si="499"/>
        <v>24.67</v>
      </c>
      <c r="N1250" s="29">
        <v>11.67</v>
      </c>
      <c r="O1250" s="149"/>
      <c r="P1250" s="145" t="s">
        <v>1017</v>
      </c>
      <c r="Q1250" s="145"/>
      <c r="R1250" s="145"/>
      <c r="S1250" s="145" t="s">
        <v>4179</v>
      </c>
      <c r="T1250" t="s">
        <v>4179</v>
      </c>
      <c r="U1250" s="146" t="s">
        <v>1017</v>
      </c>
      <c r="V1250" s="145"/>
      <c r="W1250" s="147"/>
      <c r="X1250" s="147"/>
      <c r="Y1250" s="145" t="s">
        <v>1017</v>
      </c>
      <c r="Z1250" s="145"/>
      <c r="AA1250" s="147"/>
      <c r="AB1250" s="145"/>
      <c r="AC1250" s="145"/>
      <c r="AD1250" s="147"/>
      <c r="AE1250" s="148" t="s">
        <v>1017</v>
      </c>
      <c r="AF1250" s="147"/>
      <c r="AG1250" s="147"/>
      <c r="AH1250" s="166" t="str">
        <f t="shared" si="507"/>
        <v/>
      </c>
      <c r="AI1250" s="168" t="str">
        <f t="shared" si="491"/>
        <v/>
      </c>
      <c r="AJ1250" s="168" t="str">
        <f t="shared" si="492"/>
        <v/>
      </c>
      <c r="AK1250" s="168" t="str">
        <f t="shared" si="493"/>
        <v/>
      </c>
      <c r="AL1250" s="168" t="str">
        <f t="shared" si="494"/>
        <v/>
      </c>
      <c r="AM1250" s="168" t="str">
        <f t="shared" si="495"/>
        <v/>
      </c>
      <c r="AN1250" s="167" t="str">
        <f t="shared" si="478"/>
        <v/>
      </c>
      <c r="AO1250" s="167" t="str">
        <f t="shared" si="479"/>
        <v/>
      </c>
      <c r="AP1250" s="167" t="str">
        <f t="shared" si="480"/>
        <v/>
      </c>
      <c r="AQ1250" s="169" t="str">
        <f t="shared" si="481"/>
        <v/>
      </c>
      <c r="AR1250" s="170" t="str">
        <f t="shared" si="482"/>
        <v>BiK81GbKA3y-06</v>
      </c>
      <c r="AS1250" s="169" t="str">
        <f t="shared" si="483"/>
        <v/>
      </c>
      <c r="AT1250">
        <f t="shared" si="484"/>
        <v>14</v>
      </c>
      <c r="AU1250" s="170" t="str">
        <f t="shared" si="485"/>
        <v>0-0,15 MW, Bonusregeln G, y, b und K wenn Anlage 3 erfüllt</v>
      </c>
      <c r="AV1250" s="169" t="str">
        <f t="shared" si="486"/>
        <v/>
      </c>
      <c r="AW1250" s="170" t="str">
        <f t="shared" si="487"/>
        <v>Anteil KWK gemäß Anlage 3</v>
      </c>
      <c r="AX1250" s="169" t="str">
        <f t="shared" si="488"/>
        <v/>
      </c>
      <c r="AY1250" t="str">
        <f t="shared" si="489"/>
        <v/>
      </c>
      <c r="AZ1250" t="str">
        <f t="shared" si="490"/>
        <v/>
      </c>
    </row>
    <row r="1251" spans="1:52" x14ac:dyDescent="0.35">
      <c r="A1251" s="497" t="s">
        <v>2748</v>
      </c>
      <c r="B1251" s="13" t="s">
        <v>5547</v>
      </c>
      <c r="C1251" s="13" t="s">
        <v>1296</v>
      </c>
      <c r="D1251" s="13" t="s">
        <v>6940</v>
      </c>
      <c r="E1251" s="13" t="s">
        <v>674</v>
      </c>
      <c r="F1251" s="373">
        <f t="shared" si="497"/>
        <v>24.67</v>
      </c>
      <c r="G1251" s="430">
        <v>24.67</v>
      </c>
      <c r="H1251" s="399">
        <f t="shared" si="498"/>
        <v>19.739999999999998</v>
      </c>
      <c r="I1251" s="576"/>
      <c r="J1251" s="549" t="s">
        <v>5804</v>
      </c>
      <c r="K1251" s="11"/>
      <c r="M1251" s="37">
        <f t="shared" si="499"/>
        <v>24.67</v>
      </c>
      <c r="N1251" s="29">
        <v>11.67</v>
      </c>
      <c r="O1251" s="149"/>
      <c r="P1251" s="144"/>
      <c r="Q1251" s="145" t="s">
        <v>1017</v>
      </c>
      <c r="R1251" s="145"/>
      <c r="S1251" s="145" t="s">
        <v>4179</v>
      </c>
      <c r="T1251" t="s">
        <v>4179</v>
      </c>
      <c r="U1251" s="146" t="s">
        <v>1017</v>
      </c>
      <c r="V1251" s="145"/>
      <c r="W1251" s="147"/>
      <c r="X1251" s="147"/>
      <c r="Y1251" s="145" t="s">
        <v>1017</v>
      </c>
      <c r="Z1251" s="145"/>
      <c r="AA1251" s="147"/>
      <c r="AB1251" s="145"/>
      <c r="AC1251" s="145"/>
      <c r="AD1251" s="147"/>
      <c r="AE1251" s="148" t="s">
        <v>1017</v>
      </c>
      <c r="AF1251" s="147"/>
      <c r="AG1251" s="147"/>
      <c r="AH1251" s="166" t="str">
        <f t="shared" si="507"/>
        <v/>
      </c>
      <c r="AI1251" s="168" t="str">
        <f t="shared" si="491"/>
        <v/>
      </c>
      <c r="AJ1251" s="168" t="str">
        <f t="shared" si="492"/>
        <v/>
      </c>
      <c r="AK1251" s="168" t="str">
        <f t="shared" si="493"/>
        <v/>
      </c>
      <c r="AL1251" s="168" t="str">
        <f t="shared" si="494"/>
        <v/>
      </c>
      <c r="AM1251" s="168" t="str">
        <f t="shared" si="495"/>
        <v/>
      </c>
      <c r="AN1251" s="167" t="str">
        <f t="shared" ref="AN1251:AN1314" si="508">IF(ISERROR(SEARCH("K1",A1251)),"","20"&amp;MID(A1251,SEARCH("K1",A1251)+1,2))</f>
        <v/>
      </c>
      <c r="AO1251" s="167" t="str">
        <f t="shared" ref="AO1251:AO1314" si="509">IF(ISERROR(SEARCH("erstmals 201",E1251)),"",MID(E1251,SEARCH("erstmals ",E1251)+9,4))</f>
        <v/>
      </c>
      <c r="AP1251" s="167" t="str">
        <f t="shared" ref="AP1251:AP1314" si="510">IF(R1251="x","2010",IF(S1251="x","2011",IF(T1251="x","2012","")))</f>
        <v/>
      </c>
      <c r="AQ1251" s="169" t="str">
        <f t="shared" ref="AQ1251:AQ1314" si="511">IF(OR(AH1251&lt;&gt;AN1251,AH1251&lt;&gt;AO1251,AH1251&lt;&gt;AP1251),"DIFF","")</f>
        <v/>
      </c>
      <c r="AR1251" s="170" t="str">
        <f t="shared" ref="AR1251:AR1314" si="512">IF(A1251="","",IF(ISERROR(SEARCH("K1",A1251)),A1251,LEFT(A1251,SEARCH("K1",A1251)+1)&amp;RIGHT(AH1251,1)&amp;MID(A1251,SEARCH("K1",A1251)+3,14)))</f>
        <v>BiK81GbK09y-06</v>
      </c>
      <c r="AS1251" s="169" t="str">
        <f t="shared" ref="AS1251:AS1314" si="513">IF(OR(A1251&lt;&gt;AR1251),"DIFF","")</f>
        <v/>
      </c>
      <c r="AT1251">
        <f t="shared" ref="AT1251:AT1314" si="514">LEN(AR1251)</f>
        <v>14</v>
      </c>
      <c r="AU1251" s="170" t="str">
        <f t="shared" ref="AU1251:AU1314" si="515">IF(D1251="","",IF(OR(A1251="",ISERROR(SEARCH("erstmals 201",D1251))),D1251,LEFT(D1251,SEARCH("erstmals 201",D1251)+8) &amp; AH1251 &amp; MID(D1251,SEARCH("erstmals 201",D1251)+13,255)))</f>
        <v>0-0,15 MW, Bonusregeln G, y, b und K erstmals 2009</v>
      </c>
      <c r="AV1251" s="169" t="str">
        <f t="shared" ref="AV1251:AV1314" si="516">IF(OR(D1251&lt;&gt;AU1251),"DIFF","")</f>
        <v/>
      </c>
      <c r="AW1251" s="170" t="str">
        <f t="shared" ref="AW1251:AW1314" si="517">IF(E1251="","",IF(OR(E1251="",ISERROR(SEARCH("erstmals 201",E1251))),E1251,LEFT(E1251,SEARCH("erstmals 201",E1251)+8) &amp; AH1251 &amp; MID(E1251,SEARCH("erstmals 201",E1251)+13,255)))</f>
        <v>Anteil KWK, erstmals 2009</v>
      </c>
      <c r="AX1251" s="169" t="str">
        <f t="shared" ref="AX1251:AX1314" si="518">IF(OR(E1251&lt;&gt;AW1251),"DIFF","")</f>
        <v/>
      </c>
      <c r="AY1251" t="str">
        <f t="shared" ref="AY1251:AY1314" si="519">IF(AH1251="2011","x",IF(AH1251="2012","","" &amp; S1251))</f>
        <v/>
      </c>
      <c r="AZ1251" t="str">
        <f t="shared" ref="AZ1251:AZ1314" si="520">IF(AH1251="2012","x",IF(AH1251="2011","","" &amp; T1251))</f>
        <v/>
      </c>
    </row>
    <row r="1252" spans="1:52" s="145" customFormat="1" x14ac:dyDescent="0.35">
      <c r="A1252" s="497" t="s">
        <v>4901</v>
      </c>
      <c r="B1252" s="13" t="s">
        <v>5547</v>
      </c>
      <c r="C1252" s="13" t="s">
        <v>1296</v>
      </c>
      <c r="D1252" s="13" t="s">
        <v>6941</v>
      </c>
      <c r="E1252" s="13" t="s">
        <v>3566</v>
      </c>
      <c r="F1252" s="373">
        <f t="shared" si="497"/>
        <v>24.64</v>
      </c>
      <c r="G1252" s="430">
        <v>24.64</v>
      </c>
      <c r="H1252" s="399">
        <f t="shared" si="498"/>
        <v>19.71</v>
      </c>
      <c r="I1252" s="576"/>
      <c r="J1252" s="549" t="s">
        <v>5804</v>
      </c>
      <c r="K1252" s="11"/>
      <c r="L1252"/>
      <c r="M1252" s="37">
        <f t="shared" si="499"/>
        <v>24.64</v>
      </c>
      <c r="N1252" s="29">
        <v>11.67</v>
      </c>
      <c r="O1252" s="149"/>
      <c r="P1252" s="144"/>
      <c r="R1252" s="145" t="s">
        <v>1017</v>
      </c>
      <c r="S1252" s="145" t="s">
        <v>4179</v>
      </c>
      <c r="T1252" s="145" t="s">
        <v>4179</v>
      </c>
      <c r="U1252" s="146" t="s">
        <v>1017</v>
      </c>
      <c r="W1252" s="147"/>
      <c r="X1252" s="147"/>
      <c r="Y1252" s="145" t="s">
        <v>1017</v>
      </c>
      <c r="AA1252" s="147"/>
      <c r="AD1252" s="147"/>
      <c r="AE1252" s="148" t="s">
        <v>1017</v>
      </c>
      <c r="AF1252" s="147"/>
      <c r="AG1252" s="147"/>
      <c r="AH1252" s="166" t="str">
        <f t="shared" si="507"/>
        <v>2010</v>
      </c>
      <c r="AI1252" s="168" t="str">
        <f t="shared" si="491"/>
        <v/>
      </c>
      <c r="AJ1252" s="168" t="str">
        <f t="shared" si="492"/>
        <v/>
      </c>
      <c r="AK1252" s="168" t="str">
        <f t="shared" si="493"/>
        <v/>
      </c>
      <c r="AL1252" s="168" t="str">
        <f t="shared" si="494"/>
        <v/>
      </c>
      <c r="AM1252" s="168" t="str">
        <f t="shared" si="495"/>
        <v/>
      </c>
      <c r="AN1252" s="167" t="str">
        <f t="shared" si="508"/>
        <v>2010</v>
      </c>
      <c r="AO1252" s="167" t="str">
        <f t="shared" si="509"/>
        <v>2010</v>
      </c>
      <c r="AP1252" s="167" t="str">
        <f t="shared" si="510"/>
        <v>2010</v>
      </c>
      <c r="AQ1252" s="169" t="str">
        <f t="shared" si="511"/>
        <v/>
      </c>
      <c r="AR1252" s="170" t="str">
        <f t="shared" si="512"/>
        <v>BiK81GbK10y-06</v>
      </c>
      <c r="AS1252" s="169" t="str">
        <f t="shared" si="513"/>
        <v/>
      </c>
      <c r="AT1252">
        <f t="shared" si="514"/>
        <v>14</v>
      </c>
      <c r="AU1252" s="170" t="str">
        <f t="shared" si="515"/>
        <v>0-0,15 MW, Bonusregeln G, y, b und K erstmals 2010</v>
      </c>
      <c r="AV1252" s="169" t="str">
        <f t="shared" si="516"/>
        <v/>
      </c>
      <c r="AW1252" s="170" t="str">
        <f t="shared" si="517"/>
        <v>Anteil KWK, erstmals 2010</v>
      </c>
      <c r="AX1252" s="169" t="str">
        <f t="shared" si="518"/>
        <v/>
      </c>
      <c r="AY1252" t="str">
        <f t="shared" si="519"/>
        <v/>
      </c>
      <c r="AZ1252" t="str">
        <f t="shared" si="520"/>
        <v/>
      </c>
    </row>
    <row r="1253" spans="1:52" s="145" customFormat="1" x14ac:dyDescent="0.35">
      <c r="A1253" s="497" t="s">
        <v>5370</v>
      </c>
      <c r="B1253" s="13" t="s">
        <v>5547</v>
      </c>
      <c r="C1253" s="13" t="s">
        <v>1296</v>
      </c>
      <c r="D1253" s="13" t="s">
        <v>6942</v>
      </c>
      <c r="E1253" s="13" t="s">
        <v>3054</v>
      </c>
      <c r="F1253" s="373">
        <f t="shared" si="497"/>
        <v>24.61</v>
      </c>
      <c r="G1253" s="430">
        <v>24.61</v>
      </c>
      <c r="H1253" s="399">
        <f t="shared" si="498"/>
        <v>19.690000000000001</v>
      </c>
      <c r="I1253" s="576"/>
      <c r="J1253" s="549" t="s">
        <v>5804</v>
      </c>
      <c r="K1253" s="11"/>
      <c r="L1253"/>
      <c r="M1253" s="37">
        <f t="shared" si="499"/>
        <v>24.61</v>
      </c>
      <c r="N1253" s="29">
        <v>11.67</v>
      </c>
      <c r="O1253" s="149"/>
      <c r="P1253" s="144"/>
      <c r="S1253" s="145" t="s">
        <v>1017</v>
      </c>
      <c r="T1253" s="145" t="s">
        <v>4179</v>
      </c>
      <c r="U1253" s="146" t="s">
        <v>1017</v>
      </c>
      <c r="W1253" s="147"/>
      <c r="X1253" s="147"/>
      <c r="Y1253" s="145" t="s">
        <v>1017</v>
      </c>
      <c r="AA1253" s="147"/>
      <c r="AD1253" s="147"/>
      <c r="AE1253" s="148" t="s">
        <v>1017</v>
      </c>
      <c r="AF1253" s="147"/>
      <c r="AG1253" s="147"/>
      <c r="AH1253" s="166" t="str">
        <f t="shared" si="507"/>
        <v>2011</v>
      </c>
      <c r="AI1253" s="168" t="str">
        <f t="shared" ref="AI1253:AI1316" si="521">IF(AND($AH1253&lt;&gt;"",AH1253 =AH1252),"Gleich","")</f>
        <v/>
      </c>
      <c r="AJ1253" s="168" t="str">
        <f t="shared" ref="AJ1253:AJ1316" si="522">IF(AND($AH1253&lt;&gt;"",A1253 =A1252),"Gleich","")</f>
        <v/>
      </c>
      <c r="AK1253" s="168" t="str">
        <f t="shared" ref="AK1253:AK1316" si="523">IF(AND($AH1253&lt;&gt;"",D1253 =D1252),"Gleich","")</f>
        <v/>
      </c>
      <c r="AL1253" s="168" t="str">
        <f t="shared" ref="AL1253:AL1316" si="524">IF(AND($AH1253&lt;&gt;"",E1253 =E1252),"Gleich","")</f>
        <v/>
      </c>
      <c r="AM1253" s="168" t="str">
        <f t="shared" ref="AM1253:AM1316" si="525">IF(AND($AH1253&lt;&gt;"",F1253 =F1252),"Gleich","")</f>
        <v/>
      </c>
      <c r="AN1253" s="167" t="str">
        <f t="shared" si="508"/>
        <v>2011</v>
      </c>
      <c r="AO1253" s="167" t="str">
        <f t="shared" si="509"/>
        <v>2011</v>
      </c>
      <c r="AP1253" s="167" t="str">
        <f t="shared" si="510"/>
        <v>2011</v>
      </c>
      <c r="AQ1253" s="169" t="str">
        <f t="shared" si="511"/>
        <v/>
      </c>
      <c r="AR1253" s="170" t="str">
        <f t="shared" si="512"/>
        <v>BiK81GbK11y-06</v>
      </c>
      <c r="AS1253" s="169" t="str">
        <f t="shared" si="513"/>
        <v/>
      </c>
      <c r="AT1253">
        <f t="shared" si="514"/>
        <v>14</v>
      </c>
      <c r="AU1253" s="170" t="str">
        <f t="shared" si="515"/>
        <v>0-0,15 MW, Bonusregeln G, y, b und K erstmals 2011</v>
      </c>
      <c r="AV1253" s="169" t="str">
        <f t="shared" si="516"/>
        <v/>
      </c>
      <c r="AW1253" s="170" t="str">
        <f t="shared" si="517"/>
        <v>Anteil KWK, erstmals 2011</v>
      </c>
      <c r="AX1253" s="169" t="str">
        <f t="shared" si="518"/>
        <v/>
      </c>
      <c r="AY1253" t="str">
        <f t="shared" si="519"/>
        <v>x</v>
      </c>
      <c r="AZ1253" t="str">
        <f t="shared" si="520"/>
        <v/>
      </c>
    </row>
    <row r="1254" spans="1:52" s="145" customFormat="1" x14ac:dyDescent="0.35">
      <c r="A1254" s="511" t="s">
        <v>3648</v>
      </c>
      <c r="B1254" s="173" t="s">
        <v>5547</v>
      </c>
      <c r="C1254" s="173" t="s">
        <v>1296</v>
      </c>
      <c r="D1254" s="173" t="s">
        <v>6943</v>
      </c>
      <c r="E1254" s="173" t="s">
        <v>1980</v>
      </c>
      <c r="F1254" s="374">
        <f t="shared" si="497"/>
        <v>24.58</v>
      </c>
      <c r="G1254" s="431">
        <v>24.58</v>
      </c>
      <c r="H1254" s="400">
        <f t="shared" si="498"/>
        <v>19.66</v>
      </c>
      <c r="I1254" s="577"/>
      <c r="J1254" s="549" t="s">
        <v>5804</v>
      </c>
      <c r="K1254" s="11"/>
      <c r="L1254"/>
      <c r="M1254" s="37">
        <f t="shared" si="499"/>
        <v>24.58</v>
      </c>
      <c r="N1254" s="29">
        <v>11.67</v>
      </c>
      <c r="O1254" s="149"/>
      <c r="P1254" s="144"/>
      <c r="S1254" s="145" t="s">
        <v>4179</v>
      </c>
      <c r="T1254" s="145" t="s">
        <v>1017</v>
      </c>
      <c r="U1254" s="146" t="s">
        <v>1017</v>
      </c>
      <c r="W1254" s="147"/>
      <c r="X1254" s="147"/>
      <c r="Y1254" s="145" t="s">
        <v>1017</v>
      </c>
      <c r="AA1254" s="147"/>
      <c r="AD1254" s="147"/>
      <c r="AE1254" s="148" t="s">
        <v>1017</v>
      </c>
      <c r="AF1254" s="147"/>
      <c r="AG1254" s="147"/>
      <c r="AH1254" s="171" t="s">
        <v>4178</v>
      </c>
      <c r="AI1254" s="168" t="str">
        <f t="shared" si="521"/>
        <v/>
      </c>
      <c r="AJ1254" s="168" t="str">
        <f t="shared" si="522"/>
        <v/>
      </c>
      <c r="AK1254" s="168" t="str">
        <f t="shared" si="523"/>
        <v/>
      </c>
      <c r="AL1254" s="168" t="str">
        <f t="shared" si="524"/>
        <v/>
      </c>
      <c r="AM1254" s="168" t="str">
        <f t="shared" si="525"/>
        <v/>
      </c>
      <c r="AN1254" s="167" t="str">
        <f t="shared" si="508"/>
        <v>2012</v>
      </c>
      <c r="AO1254" s="167" t="str">
        <f t="shared" si="509"/>
        <v>2012</v>
      </c>
      <c r="AP1254" s="167" t="str">
        <f t="shared" si="510"/>
        <v>2012</v>
      </c>
      <c r="AQ1254" s="169" t="str">
        <f t="shared" si="511"/>
        <v/>
      </c>
      <c r="AR1254" s="170" t="str">
        <f t="shared" si="512"/>
        <v>BiK81GbK12y-06</v>
      </c>
      <c r="AS1254" s="169" t="str">
        <f t="shared" si="513"/>
        <v/>
      </c>
      <c r="AT1254">
        <f t="shared" si="514"/>
        <v>14</v>
      </c>
      <c r="AU1254" s="170" t="str">
        <f t="shared" si="515"/>
        <v>0-0,15 MW, Bonusregeln G, y, b und K erstmals 2012</v>
      </c>
      <c r="AV1254" s="169" t="str">
        <f t="shared" si="516"/>
        <v/>
      </c>
      <c r="AW1254" s="170" t="str">
        <f t="shared" si="517"/>
        <v>Anteil KWK, erstmals 2012</v>
      </c>
      <c r="AX1254" s="169" t="str">
        <f t="shared" si="518"/>
        <v/>
      </c>
      <c r="AY1254" t="str">
        <f t="shared" si="519"/>
        <v/>
      </c>
      <c r="AZ1254" t="str">
        <f t="shared" si="520"/>
        <v>x</v>
      </c>
    </row>
    <row r="1255" spans="1:52" s="145" customFormat="1" x14ac:dyDescent="0.35">
      <c r="A1255" s="497" t="s">
        <v>2749</v>
      </c>
      <c r="B1255" s="13" t="s">
        <v>5547</v>
      </c>
      <c r="C1255" s="13" t="s">
        <v>1296</v>
      </c>
      <c r="D1255" s="13" t="s">
        <v>6944</v>
      </c>
      <c r="E1255" s="13" t="s">
        <v>4809</v>
      </c>
      <c r="F1255" s="373">
        <f t="shared" si="497"/>
        <v>24.67</v>
      </c>
      <c r="G1255" s="430">
        <v>24.67</v>
      </c>
      <c r="H1255" s="399">
        <f t="shared" si="498"/>
        <v>19.739999999999998</v>
      </c>
      <c r="I1255" s="576"/>
      <c r="J1255" s="549" t="s">
        <v>5804</v>
      </c>
      <c r="K1255" s="11"/>
      <c r="L1255"/>
      <c r="M1255" s="37">
        <f t="shared" si="499"/>
        <v>24.67</v>
      </c>
      <c r="N1255" s="29">
        <v>11.67</v>
      </c>
      <c r="O1255" s="149"/>
      <c r="P1255" s="144"/>
      <c r="S1255" s="145" t="s">
        <v>4179</v>
      </c>
      <c r="T1255" s="145" t="s">
        <v>4179</v>
      </c>
      <c r="U1255" s="146"/>
      <c r="W1255" s="147"/>
      <c r="X1255" s="147"/>
      <c r="Z1255" s="145" t="s">
        <v>1017</v>
      </c>
      <c r="AA1255" s="147"/>
      <c r="AD1255" s="147"/>
      <c r="AE1255" s="148" t="s">
        <v>1017</v>
      </c>
      <c r="AF1255" s="147"/>
      <c r="AG1255" s="147"/>
      <c r="AH1255" s="166" t="str">
        <f t="shared" ref="AH1255:AH1260" si="526">IF(ISERROR(SEARCH("K erstmals 201",D1255)),"",RIGHT(D1255,4))</f>
        <v/>
      </c>
      <c r="AI1255" s="168" t="str">
        <f t="shared" si="521"/>
        <v/>
      </c>
      <c r="AJ1255" s="168" t="str">
        <f t="shared" si="522"/>
        <v/>
      </c>
      <c r="AK1255" s="168" t="str">
        <f t="shared" si="523"/>
        <v/>
      </c>
      <c r="AL1255" s="168" t="str">
        <f t="shared" si="524"/>
        <v/>
      </c>
      <c r="AM1255" s="168" t="str">
        <f t="shared" si="525"/>
        <v/>
      </c>
      <c r="AN1255" s="167" t="str">
        <f t="shared" si="508"/>
        <v/>
      </c>
      <c r="AO1255" s="167" t="str">
        <f t="shared" si="509"/>
        <v/>
      </c>
      <c r="AP1255" s="167" t="str">
        <f t="shared" si="510"/>
        <v/>
      </c>
      <c r="AQ1255" s="169" t="str">
        <f t="shared" si="511"/>
        <v/>
      </c>
      <c r="AR1255" s="170" t="str">
        <f t="shared" si="512"/>
        <v>BiK81M1b----06</v>
      </c>
      <c r="AS1255" s="169" t="str">
        <f t="shared" si="513"/>
        <v/>
      </c>
      <c r="AT1255">
        <f t="shared" si="514"/>
        <v>14</v>
      </c>
      <c r="AU1255" s="170" t="str">
        <f t="shared" si="515"/>
        <v>0-0,15 MW, Bonusregeln M1, b</v>
      </c>
      <c r="AV1255" s="169" t="str">
        <f t="shared" si="516"/>
        <v/>
      </c>
      <c r="AW1255" s="170" t="str">
        <f t="shared" si="517"/>
        <v>Anteil Nicht-KWK</v>
      </c>
      <c r="AX1255" s="169" t="str">
        <f t="shared" si="518"/>
        <v/>
      </c>
      <c r="AY1255" t="str">
        <f t="shared" si="519"/>
        <v/>
      </c>
      <c r="AZ1255" t="str">
        <f t="shared" si="520"/>
        <v/>
      </c>
    </row>
    <row r="1256" spans="1:52" s="145" customFormat="1" x14ac:dyDescent="0.35">
      <c r="A1256" s="497" t="s">
        <v>2750</v>
      </c>
      <c r="B1256" s="13" t="s">
        <v>5547</v>
      </c>
      <c r="C1256" s="13" t="s">
        <v>1296</v>
      </c>
      <c r="D1256" s="13" t="s">
        <v>6945</v>
      </c>
      <c r="E1256" s="13" t="s">
        <v>4811</v>
      </c>
      <c r="F1256" s="373">
        <f t="shared" si="497"/>
        <v>26.67</v>
      </c>
      <c r="G1256" s="430">
        <v>26.67</v>
      </c>
      <c r="H1256" s="399">
        <f t="shared" si="498"/>
        <v>21.34</v>
      </c>
      <c r="I1256" s="576"/>
      <c r="J1256" s="549" t="s">
        <v>5804</v>
      </c>
      <c r="K1256" s="11"/>
      <c r="L1256"/>
      <c r="M1256" s="37">
        <f t="shared" si="499"/>
        <v>26.67</v>
      </c>
      <c r="N1256" s="29">
        <v>11.67</v>
      </c>
      <c r="O1256" s="149" t="s">
        <v>1017</v>
      </c>
      <c r="P1256" s="144"/>
      <c r="S1256" s="145" t="s">
        <v>4179</v>
      </c>
      <c r="T1256" s="145" t="s">
        <v>4179</v>
      </c>
      <c r="U1256" s="146"/>
      <c r="W1256" s="147"/>
      <c r="X1256" s="147"/>
      <c r="Z1256" s="145" t="s">
        <v>1017</v>
      </c>
      <c r="AA1256" s="147"/>
      <c r="AD1256" s="147"/>
      <c r="AE1256" s="148" t="s">
        <v>1017</v>
      </c>
      <c r="AF1256" s="147"/>
      <c r="AG1256" s="147"/>
      <c r="AH1256" s="166" t="str">
        <f t="shared" si="526"/>
        <v/>
      </c>
      <c r="AI1256" s="168" t="str">
        <f t="shared" si="521"/>
        <v/>
      </c>
      <c r="AJ1256" s="168" t="str">
        <f t="shared" si="522"/>
        <v/>
      </c>
      <c r="AK1256" s="168" t="str">
        <f t="shared" si="523"/>
        <v/>
      </c>
      <c r="AL1256" s="168" t="str">
        <f t="shared" si="524"/>
        <v/>
      </c>
      <c r="AM1256" s="168" t="str">
        <f t="shared" si="525"/>
        <v/>
      </c>
      <c r="AN1256" s="167" t="str">
        <f t="shared" si="508"/>
        <v/>
      </c>
      <c r="AO1256" s="167" t="str">
        <f t="shared" si="509"/>
        <v/>
      </c>
      <c r="AP1256" s="167" t="str">
        <f t="shared" si="510"/>
        <v/>
      </c>
      <c r="AQ1256" s="169" t="str">
        <f t="shared" si="511"/>
        <v/>
      </c>
      <c r="AR1256" s="170" t="str">
        <f t="shared" si="512"/>
        <v>BiK81M1bKWK-06</v>
      </c>
      <c r="AS1256" s="169" t="str">
        <f t="shared" si="513"/>
        <v/>
      </c>
      <c r="AT1256">
        <f t="shared" si="514"/>
        <v>14</v>
      </c>
      <c r="AU1256" s="170" t="str">
        <f t="shared" si="515"/>
        <v>0-0,15 MW, Bonusregeln M1, b und KWK</v>
      </c>
      <c r="AV1256" s="169" t="str">
        <f t="shared" si="516"/>
        <v/>
      </c>
      <c r="AW1256" s="170" t="str">
        <f t="shared" si="517"/>
        <v>Anteil KWK</v>
      </c>
      <c r="AX1256" s="169" t="str">
        <f t="shared" si="518"/>
        <v/>
      </c>
      <c r="AY1256" t="str">
        <f t="shared" si="519"/>
        <v/>
      </c>
      <c r="AZ1256" t="str">
        <f t="shared" si="520"/>
        <v/>
      </c>
    </row>
    <row r="1257" spans="1:52" s="145" customFormat="1" x14ac:dyDescent="0.35">
      <c r="A1257" s="497" t="s">
        <v>2751</v>
      </c>
      <c r="B1257" s="13" t="s">
        <v>5547</v>
      </c>
      <c r="C1257" s="13" t="s">
        <v>1296</v>
      </c>
      <c r="D1257" s="13" t="s">
        <v>6946</v>
      </c>
      <c r="E1257" s="13" t="s">
        <v>4330</v>
      </c>
      <c r="F1257" s="373">
        <f t="shared" ref="F1257:F1320" si="527">M1257</f>
        <v>27.67</v>
      </c>
      <c r="G1257" s="430">
        <v>27.67</v>
      </c>
      <c r="H1257" s="399">
        <f t="shared" ref="H1257:H1320" si="528">IF(ISNUMBER(G1257),ROUND(0.8*G1257,2),"")</f>
        <v>22.14</v>
      </c>
      <c r="I1257" s="576"/>
      <c r="J1257" s="549" t="s">
        <v>5804</v>
      </c>
      <c r="K1257" s="11"/>
      <c r="L1257"/>
      <c r="M1257" s="37">
        <f t="shared" ref="M1257:M1320" si="529">N1257+SUMIF(O1257:AG1257,"x",O$1128:AG$1128)</f>
        <v>27.67</v>
      </c>
      <c r="N1257" s="29">
        <v>11.67</v>
      </c>
      <c r="O1257" s="149"/>
      <c r="P1257" s="145" t="s">
        <v>1017</v>
      </c>
      <c r="S1257" s="145" t="s">
        <v>4179</v>
      </c>
      <c r="T1257" s="145" t="s">
        <v>4179</v>
      </c>
      <c r="U1257" s="146"/>
      <c r="W1257" s="147"/>
      <c r="X1257" s="147"/>
      <c r="Z1257" s="145" t="s">
        <v>1017</v>
      </c>
      <c r="AA1257" s="147"/>
      <c r="AD1257" s="147"/>
      <c r="AE1257" s="148" t="s">
        <v>1017</v>
      </c>
      <c r="AF1257" s="147"/>
      <c r="AG1257" s="147"/>
      <c r="AH1257" s="166" t="str">
        <f t="shared" si="526"/>
        <v/>
      </c>
      <c r="AI1257" s="168" t="str">
        <f t="shared" si="521"/>
        <v/>
      </c>
      <c r="AJ1257" s="168" t="str">
        <f t="shared" si="522"/>
        <v/>
      </c>
      <c r="AK1257" s="168" t="str">
        <f t="shared" si="523"/>
        <v/>
      </c>
      <c r="AL1257" s="168" t="str">
        <f t="shared" si="524"/>
        <v/>
      </c>
      <c r="AM1257" s="168" t="str">
        <f t="shared" si="525"/>
        <v/>
      </c>
      <c r="AN1257" s="167" t="str">
        <f t="shared" si="508"/>
        <v/>
      </c>
      <c r="AO1257" s="167" t="str">
        <f t="shared" si="509"/>
        <v/>
      </c>
      <c r="AP1257" s="167" t="str">
        <f t="shared" si="510"/>
        <v/>
      </c>
      <c r="AQ1257" s="169" t="str">
        <f t="shared" si="511"/>
        <v/>
      </c>
      <c r="AR1257" s="170" t="str">
        <f t="shared" si="512"/>
        <v>BiK81M1bKA3-06</v>
      </c>
      <c r="AS1257" s="169" t="str">
        <f t="shared" si="513"/>
        <v/>
      </c>
      <c r="AT1257">
        <f t="shared" si="514"/>
        <v>14</v>
      </c>
      <c r="AU1257" s="170" t="str">
        <f t="shared" si="515"/>
        <v>0-0,15 MW, Bonusregeln M1, b und K wenn Anlage 3 erfüllt</v>
      </c>
      <c r="AV1257" s="169" t="str">
        <f t="shared" si="516"/>
        <v/>
      </c>
      <c r="AW1257" s="170" t="str">
        <f t="shared" si="517"/>
        <v>Anteil KWK gemäß Anlage 3</v>
      </c>
      <c r="AX1257" s="169" t="str">
        <f t="shared" si="518"/>
        <v/>
      </c>
      <c r="AY1257" t="str">
        <f t="shared" si="519"/>
        <v/>
      </c>
      <c r="AZ1257" t="str">
        <f t="shared" si="520"/>
        <v/>
      </c>
    </row>
    <row r="1258" spans="1:52" s="145" customFormat="1" x14ac:dyDescent="0.35">
      <c r="A1258" s="497" t="s">
        <v>2752</v>
      </c>
      <c r="B1258" s="13" t="s">
        <v>5547</v>
      </c>
      <c r="C1258" s="13" t="s">
        <v>1296</v>
      </c>
      <c r="D1258" s="13" t="s">
        <v>6947</v>
      </c>
      <c r="E1258" s="13" t="s">
        <v>674</v>
      </c>
      <c r="F1258" s="373">
        <f t="shared" si="527"/>
        <v>27.67</v>
      </c>
      <c r="G1258" s="430">
        <v>27.67</v>
      </c>
      <c r="H1258" s="399">
        <f t="shared" si="528"/>
        <v>22.14</v>
      </c>
      <c r="I1258" s="576"/>
      <c r="J1258" s="549" t="s">
        <v>5804</v>
      </c>
      <c r="K1258" s="11"/>
      <c r="L1258"/>
      <c r="M1258" s="37">
        <f t="shared" si="529"/>
        <v>27.67</v>
      </c>
      <c r="N1258" s="29">
        <v>11.67</v>
      </c>
      <c r="O1258" s="149"/>
      <c r="P1258" s="144"/>
      <c r="Q1258" s="145" t="s">
        <v>1017</v>
      </c>
      <c r="S1258" s="145" t="s">
        <v>4179</v>
      </c>
      <c r="T1258" s="145" t="s">
        <v>4179</v>
      </c>
      <c r="U1258" s="146"/>
      <c r="W1258" s="147"/>
      <c r="X1258" s="147"/>
      <c r="Z1258" s="145" t="s">
        <v>1017</v>
      </c>
      <c r="AA1258" s="147"/>
      <c r="AD1258" s="147"/>
      <c r="AE1258" s="148" t="s">
        <v>1017</v>
      </c>
      <c r="AF1258" s="147"/>
      <c r="AG1258" s="147"/>
      <c r="AH1258" s="166" t="str">
        <f t="shared" si="526"/>
        <v/>
      </c>
      <c r="AI1258" s="168" t="str">
        <f t="shared" si="521"/>
        <v/>
      </c>
      <c r="AJ1258" s="168" t="str">
        <f t="shared" si="522"/>
        <v/>
      </c>
      <c r="AK1258" s="168" t="str">
        <f t="shared" si="523"/>
        <v/>
      </c>
      <c r="AL1258" s="168" t="str">
        <f t="shared" si="524"/>
        <v/>
      </c>
      <c r="AM1258" s="168" t="str">
        <f t="shared" si="525"/>
        <v/>
      </c>
      <c r="AN1258" s="167" t="str">
        <f t="shared" si="508"/>
        <v/>
      </c>
      <c r="AO1258" s="167" t="str">
        <f t="shared" si="509"/>
        <v/>
      </c>
      <c r="AP1258" s="167" t="str">
        <f t="shared" si="510"/>
        <v/>
      </c>
      <c r="AQ1258" s="169" t="str">
        <f t="shared" si="511"/>
        <v/>
      </c>
      <c r="AR1258" s="170" t="str">
        <f t="shared" si="512"/>
        <v>BiK81M1bK09-06</v>
      </c>
      <c r="AS1258" s="169" t="str">
        <f t="shared" si="513"/>
        <v/>
      </c>
      <c r="AT1258">
        <f t="shared" si="514"/>
        <v>14</v>
      </c>
      <c r="AU1258" s="170" t="str">
        <f t="shared" si="515"/>
        <v>0-0,15 MW, Bonusregeln M1, b und K erstmals 2009</v>
      </c>
      <c r="AV1258" s="169" t="str">
        <f t="shared" si="516"/>
        <v/>
      </c>
      <c r="AW1258" s="170" t="str">
        <f t="shared" si="517"/>
        <v>Anteil KWK, erstmals 2009</v>
      </c>
      <c r="AX1258" s="169" t="str">
        <f t="shared" si="518"/>
        <v/>
      </c>
      <c r="AY1258" t="str">
        <f t="shared" si="519"/>
        <v/>
      </c>
      <c r="AZ1258" t="str">
        <f t="shared" si="520"/>
        <v/>
      </c>
    </row>
    <row r="1259" spans="1:52" s="145" customFormat="1" x14ac:dyDescent="0.35">
      <c r="A1259" s="497" t="s">
        <v>4902</v>
      </c>
      <c r="B1259" s="13" t="s">
        <v>5547</v>
      </c>
      <c r="C1259" s="13" t="s">
        <v>1296</v>
      </c>
      <c r="D1259" s="13" t="s">
        <v>6948</v>
      </c>
      <c r="E1259" s="13" t="s">
        <v>3566</v>
      </c>
      <c r="F1259" s="373">
        <f t="shared" si="527"/>
        <v>27.64</v>
      </c>
      <c r="G1259" s="430">
        <v>27.64</v>
      </c>
      <c r="H1259" s="399">
        <f t="shared" si="528"/>
        <v>22.11</v>
      </c>
      <c r="I1259" s="576"/>
      <c r="J1259" s="549" t="s">
        <v>5804</v>
      </c>
      <c r="K1259" s="11"/>
      <c r="L1259"/>
      <c r="M1259" s="37">
        <f t="shared" si="529"/>
        <v>27.64</v>
      </c>
      <c r="N1259" s="29">
        <v>11.67</v>
      </c>
      <c r="O1259" s="149"/>
      <c r="P1259" s="144"/>
      <c r="R1259" s="145" t="s">
        <v>1017</v>
      </c>
      <c r="S1259" s="145" t="s">
        <v>4179</v>
      </c>
      <c r="T1259" s="145" t="s">
        <v>4179</v>
      </c>
      <c r="U1259" s="146"/>
      <c r="W1259" s="147"/>
      <c r="X1259" s="147"/>
      <c r="Z1259" s="145" t="s">
        <v>1017</v>
      </c>
      <c r="AA1259" s="147"/>
      <c r="AD1259" s="147"/>
      <c r="AE1259" s="148" t="s">
        <v>1017</v>
      </c>
      <c r="AF1259" s="147"/>
      <c r="AG1259" s="147"/>
      <c r="AH1259" s="166" t="str">
        <f t="shared" si="526"/>
        <v>2010</v>
      </c>
      <c r="AI1259" s="168" t="str">
        <f t="shared" si="521"/>
        <v/>
      </c>
      <c r="AJ1259" s="168" t="str">
        <f t="shared" si="522"/>
        <v/>
      </c>
      <c r="AK1259" s="168" t="str">
        <f t="shared" si="523"/>
        <v/>
      </c>
      <c r="AL1259" s="168" t="str">
        <f t="shared" si="524"/>
        <v/>
      </c>
      <c r="AM1259" s="168" t="str">
        <f t="shared" si="525"/>
        <v/>
      </c>
      <c r="AN1259" s="167" t="str">
        <f t="shared" si="508"/>
        <v>2010</v>
      </c>
      <c r="AO1259" s="167" t="str">
        <f t="shared" si="509"/>
        <v>2010</v>
      </c>
      <c r="AP1259" s="167" t="str">
        <f t="shared" si="510"/>
        <v>2010</v>
      </c>
      <c r="AQ1259" s="169" t="str">
        <f t="shared" si="511"/>
        <v/>
      </c>
      <c r="AR1259" s="170" t="str">
        <f t="shared" si="512"/>
        <v>BiK81M1bK10-06</v>
      </c>
      <c r="AS1259" s="169" t="str">
        <f t="shared" si="513"/>
        <v/>
      </c>
      <c r="AT1259">
        <f t="shared" si="514"/>
        <v>14</v>
      </c>
      <c r="AU1259" s="170" t="str">
        <f t="shared" si="515"/>
        <v>0-0,15 MW, Bonusregeln M1, b und K erstmals 2010</v>
      </c>
      <c r="AV1259" s="169" t="str">
        <f t="shared" si="516"/>
        <v/>
      </c>
      <c r="AW1259" s="170" t="str">
        <f t="shared" si="517"/>
        <v>Anteil KWK, erstmals 2010</v>
      </c>
      <c r="AX1259" s="169" t="str">
        <f t="shared" si="518"/>
        <v/>
      </c>
      <c r="AY1259" t="str">
        <f t="shared" si="519"/>
        <v/>
      </c>
      <c r="AZ1259" t="str">
        <f t="shared" si="520"/>
        <v/>
      </c>
    </row>
    <row r="1260" spans="1:52" s="145" customFormat="1" x14ac:dyDescent="0.35">
      <c r="A1260" s="497" t="s">
        <v>5371</v>
      </c>
      <c r="B1260" s="13" t="s">
        <v>5547</v>
      </c>
      <c r="C1260" s="13" t="s">
        <v>1296</v>
      </c>
      <c r="D1260" s="13" t="s">
        <v>6949</v>
      </c>
      <c r="E1260" s="13" t="s">
        <v>3054</v>
      </c>
      <c r="F1260" s="373">
        <f t="shared" si="527"/>
        <v>27.61</v>
      </c>
      <c r="G1260" s="430">
        <v>27.61</v>
      </c>
      <c r="H1260" s="399">
        <f t="shared" si="528"/>
        <v>22.09</v>
      </c>
      <c r="I1260" s="576"/>
      <c r="J1260" s="549" t="s">
        <v>5804</v>
      </c>
      <c r="K1260" s="11"/>
      <c r="L1260"/>
      <c r="M1260" s="37">
        <f t="shared" si="529"/>
        <v>27.61</v>
      </c>
      <c r="N1260" s="29">
        <v>11.67</v>
      </c>
      <c r="O1260" s="149"/>
      <c r="P1260" s="144"/>
      <c r="S1260" s="145" t="s">
        <v>1017</v>
      </c>
      <c r="T1260" s="145" t="s">
        <v>4179</v>
      </c>
      <c r="U1260" s="146"/>
      <c r="W1260" s="147"/>
      <c r="X1260" s="147"/>
      <c r="Z1260" s="145" t="s">
        <v>1017</v>
      </c>
      <c r="AA1260" s="147"/>
      <c r="AD1260" s="147"/>
      <c r="AE1260" s="148" t="s">
        <v>1017</v>
      </c>
      <c r="AF1260" s="147"/>
      <c r="AG1260" s="147"/>
      <c r="AH1260" s="166" t="str">
        <f t="shared" si="526"/>
        <v>2011</v>
      </c>
      <c r="AI1260" s="168" t="str">
        <f t="shared" si="521"/>
        <v/>
      </c>
      <c r="AJ1260" s="168" t="str">
        <f t="shared" si="522"/>
        <v/>
      </c>
      <c r="AK1260" s="168" t="str">
        <f t="shared" si="523"/>
        <v/>
      </c>
      <c r="AL1260" s="168" t="str">
        <f t="shared" si="524"/>
        <v/>
      </c>
      <c r="AM1260" s="168" t="str">
        <f t="shared" si="525"/>
        <v/>
      </c>
      <c r="AN1260" s="167" t="str">
        <f t="shared" si="508"/>
        <v>2011</v>
      </c>
      <c r="AO1260" s="167" t="str">
        <f t="shared" si="509"/>
        <v>2011</v>
      </c>
      <c r="AP1260" s="167" t="str">
        <f t="shared" si="510"/>
        <v>2011</v>
      </c>
      <c r="AQ1260" s="169" t="str">
        <f t="shared" si="511"/>
        <v/>
      </c>
      <c r="AR1260" s="170" t="str">
        <f t="shared" si="512"/>
        <v>BiK81M1bK11-06</v>
      </c>
      <c r="AS1260" s="169" t="str">
        <f t="shared" si="513"/>
        <v/>
      </c>
      <c r="AT1260">
        <f t="shared" si="514"/>
        <v>14</v>
      </c>
      <c r="AU1260" s="170" t="str">
        <f t="shared" si="515"/>
        <v>0-0,15 MW, Bonusregeln M1, b und K erstmals 2011</v>
      </c>
      <c r="AV1260" s="169" t="str">
        <f t="shared" si="516"/>
        <v/>
      </c>
      <c r="AW1260" s="170" t="str">
        <f t="shared" si="517"/>
        <v>Anteil KWK, erstmals 2011</v>
      </c>
      <c r="AX1260" s="169" t="str">
        <f t="shared" si="518"/>
        <v/>
      </c>
      <c r="AY1260" t="str">
        <f t="shared" si="519"/>
        <v>x</v>
      </c>
      <c r="AZ1260" t="str">
        <f t="shared" si="520"/>
        <v/>
      </c>
    </row>
    <row r="1261" spans="1:52" s="145" customFormat="1" x14ac:dyDescent="0.35">
      <c r="A1261" s="511" t="s">
        <v>3649</v>
      </c>
      <c r="B1261" s="173" t="s">
        <v>5547</v>
      </c>
      <c r="C1261" s="173" t="s">
        <v>1296</v>
      </c>
      <c r="D1261" s="173" t="s">
        <v>6950</v>
      </c>
      <c r="E1261" s="173" t="s">
        <v>1980</v>
      </c>
      <c r="F1261" s="374">
        <f t="shared" si="527"/>
        <v>27.58</v>
      </c>
      <c r="G1261" s="431">
        <v>27.58</v>
      </c>
      <c r="H1261" s="400">
        <f t="shared" si="528"/>
        <v>22.06</v>
      </c>
      <c r="I1261" s="577"/>
      <c r="J1261" s="549" t="s">
        <v>5804</v>
      </c>
      <c r="K1261" s="11"/>
      <c r="L1261"/>
      <c r="M1261" s="37">
        <f t="shared" si="529"/>
        <v>27.58</v>
      </c>
      <c r="N1261" s="29">
        <v>11.67</v>
      </c>
      <c r="O1261" s="149"/>
      <c r="P1261" s="144"/>
      <c r="S1261" s="145" t="s">
        <v>4179</v>
      </c>
      <c r="T1261" s="145" t="s">
        <v>1017</v>
      </c>
      <c r="U1261" s="146"/>
      <c r="W1261" s="147"/>
      <c r="X1261" s="147"/>
      <c r="Z1261" s="145" t="s">
        <v>1017</v>
      </c>
      <c r="AA1261" s="147"/>
      <c r="AD1261" s="147"/>
      <c r="AE1261" s="148" t="s">
        <v>1017</v>
      </c>
      <c r="AF1261" s="147"/>
      <c r="AG1261" s="147"/>
      <c r="AH1261" s="171" t="s">
        <v>4178</v>
      </c>
      <c r="AI1261" s="168" t="str">
        <f t="shared" si="521"/>
        <v/>
      </c>
      <c r="AJ1261" s="168" t="str">
        <f t="shared" si="522"/>
        <v/>
      </c>
      <c r="AK1261" s="168" t="str">
        <f t="shared" si="523"/>
        <v/>
      </c>
      <c r="AL1261" s="168" t="str">
        <f t="shared" si="524"/>
        <v/>
      </c>
      <c r="AM1261" s="168" t="str">
        <f t="shared" si="525"/>
        <v/>
      </c>
      <c r="AN1261" s="167" t="str">
        <f t="shared" si="508"/>
        <v>2012</v>
      </c>
      <c r="AO1261" s="167" t="str">
        <f t="shared" si="509"/>
        <v>2012</v>
      </c>
      <c r="AP1261" s="167" t="str">
        <f t="shared" si="510"/>
        <v>2012</v>
      </c>
      <c r="AQ1261" s="169" t="str">
        <f t="shared" si="511"/>
        <v/>
      </c>
      <c r="AR1261" s="170" t="str">
        <f t="shared" si="512"/>
        <v>BiK81M1bK12-06</v>
      </c>
      <c r="AS1261" s="169" t="str">
        <f t="shared" si="513"/>
        <v/>
      </c>
      <c r="AT1261">
        <f t="shared" si="514"/>
        <v>14</v>
      </c>
      <c r="AU1261" s="170" t="str">
        <f t="shared" si="515"/>
        <v>0-0,15 MW, Bonusregeln M1, b und K erstmals 2012</v>
      </c>
      <c r="AV1261" s="169" t="str">
        <f t="shared" si="516"/>
        <v/>
      </c>
      <c r="AW1261" s="170" t="str">
        <f t="shared" si="517"/>
        <v>Anteil KWK, erstmals 2012</v>
      </c>
      <c r="AX1261" s="169" t="str">
        <f t="shared" si="518"/>
        <v/>
      </c>
      <c r="AY1261" t="str">
        <f t="shared" si="519"/>
        <v/>
      </c>
      <c r="AZ1261" t="str">
        <f t="shared" si="520"/>
        <v>x</v>
      </c>
    </row>
    <row r="1262" spans="1:52" s="145" customFormat="1" x14ac:dyDescent="0.35">
      <c r="A1262" s="497" t="s">
        <v>2753</v>
      </c>
      <c r="B1262" s="13" t="s">
        <v>5547</v>
      </c>
      <c r="C1262" s="13" t="s">
        <v>1296</v>
      </c>
      <c r="D1262" s="13" t="s">
        <v>6951</v>
      </c>
      <c r="E1262" s="13" t="s">
        <v>4809</v>
      </c>
      <c r="F1262" s="373">
        <f t="shared" si="527"/>
        <v>25.67</v>
      </c>
      <c r="G1262" s="430">
        <v>25.67</v>
      </c>
      <c r="H1262" s="399">
        <f t="shared" si="528"/>
        <v>20.54</v>
      </c>
      <c r="I1262" s="576"/>
      <c r="J1262" s="549" t="s">
        <v>5804</v>
      </c>
      <c r="K1262" s="11"/>
      <c r="L1262"/>
      <c r="M1262" s="37">
        <f t="shared" si="529"/>
        <v>25.67</v>
      </c>
      <c r="N1262" s="29">
        <v>11.67</v>
      </c>
      <c r="O1262" s="149"/>
      <c r="P1262" s="144"/>
      <c r="S1262" s="145" t="s">
        <v>4179</v>
      </c>
      <c r="T1262" s="145" t="s">
        <v>4179</v>
      </c>
      <c r="U1262" s="146" t="s">
        <v>1017</v>
      </c>
      <c r="W1262" s="147"/>
      <c r="X1262" s="147"/>
      <c r="Z1262" s="145" t="s">
        <v>1017</v>
      </c>
      <c r="AA1262" s="147"/>
      <c r="AD1262" s="147"/>
      <c r="AE1262" s="148" t="s">
        <v>1017</v>
      </c>
      <c r="AF1262" s="147"/>
      <c r="AG1262" s="147"/>
      <c r="AH1262" s="166" t="str">
        <f t="shared" ref="AH1262:AH1267" si="530">IF(ISERROR(SEARCH("K erstmals 201",D1262)),"",RIGHT(D1262,4))</f>
        <v/>
      </c>
      <c r="AI1262" s="168" t="str">
        <f t="shared" si="521"/>
        <v/>
      </c>
      <c r="AJ1262" s="168" t="str">
        <f t="shared" si="522"/>
        <v/>
      </c>
      <c r="AK1262" s="168" t="str">
        <f t="shared" si="523"/>
        <v/>
      </c>
      <c r="AL1262" s="168" t="str">
        <f t="shared" si="524"/>
        <v/>
      </c>
      <c r="AM1262" s="168" t="str">
        <f t="shared" si="525"/>
        <v/>
      </c>
      <c r="AN1262" s="167" t="str">
        <f t="shared" si="508"/>
        <v/>
      </c>
      <c r="AO1262" s="167" t="str">
        <f t="shared" si="509"/>
        <v/>
      </c>
      <c r="AP1262" s="167" t="str">
        <f t="shared" si="510"/>
        <v/>
      </c>
      <c r="AQ1262" s="169" t="str">
        <f t="shared" si="511"/>
        <v/>
      </c>
      <c r="AR1262" s="170" t="str">
        <f t="shared" si="512"/>
        <v>BiK81M1by---06</v>
      </c>
      <c r="AS1262" s="169" t="str">
        <f t="shared" si="513"/>
        <v/>
      </c>
      <c r="AT1262">
        <f t="shared" si="514"/>
        <v>14</v>
      </c>
      <c r="AU1262" s="170" t="str">
        <f t="shared" si="515"/>
        <v>0-0,15 MW, Bonusregeln M1, y, b</v>
      </c>
      <c r="AV1262" s="169" t="str">
        <f t="shared" si="516"/>
        <v/>
      </c>
      <c r="AW1262" s="170" t="str">
        <f t="shared" si="517"/>
        <v>Anteil Nicht-KWK</v>
      </c>
      <c r="AX1262" s="169" t="str">
        <f t="shared" si="518"/>
        <v/>
      </c>
      <c r="AY1262" t="str">
        <f t="shared" si="519"/>
        <v/>
      </c>
      <c r="AZ1262" t="str">
        <f t="shared" si="520"/>
        <v/>
      </c>
    </row>
    <row r="1263" spans="1:52" s="145" customFormat="1" x14ac:dyDescent="0.35">
      <c r="A1263" s="497" t="s">
        <v>2754</v>
      </c>
      <c r="B1263" s="13" t="s">
        <v>5547</v>
      </c>
      <c r="C1263" s="13" t="s">
        <v>1296</v>
      </c>
      <c r="D1263" s="13" t="s">
        <v>6952</v>
      </c>
      <c r="E1263" s="13" t="s">
        <v>4811</v>
      </c>
      <c r="F1263" s="373">
        <f t="shared" si="527"/>
        <v>27.67</v>
      </c>
      <c r="G1263" s="430">
        <v>27.67</v>
      </c>
      <c r="H1263" s="399">
        <f t="shared" si="528"/>
        <v>22.14</v>
      </c>
      <c r="I1263" s="576"/>
      <c r="J1263" s="549" t="s">
        <v>5804</v>
      </c>
      <c r="K1263" s="11"/>
      <c r="L1263"/>
      <c r="M1263" s="37">
        <f t="shared" si="529"/>
        <v>27.67</v>
      </c>
      <c r="N1263" s="29">
        <v>11.67</v>
      </c>
      <c r="O1263" s="149" t="s">
        <v>1017</v>
      </c>
      <c r="P1263" s="144"/>
      <c r="S1263" s="145" t="s">
        <v>4179</v>
      </c>
      <c r="T1263" s="145" t="s">
        <v>4179</v>
      </c>
      <c r="U1263" s="146" t="s">
        <v>1017</v>
      </c>
      <c r="W1263" s="147"/>
      <c r="X1263" s="147"/>
      <c r="Z1263" s="145" t="s">
        <v>1017</v>
      </c>
      <c r="AA1263" s="147"/>
      <c r="AD1263" s="147"/>
      <c r="AE1263" s="148" t="s">
        <v>1017</v>
      </c>
      <c r="AF1263" s="147"/>
      <c r="AG1263" s="147"/>
      <c r="AH1263" s="166" t="str">
        <f t="shared" si="530"/>
        <v/>
      </c>
      <c r="AI1263" s="168" t="str">
        <f t="shared" si="521"/>
        <v/>
      </c>
      <c r="AJ1263" s="168" t="str">
        <f t="shared" si="522"/>
        <v/>
      </c>
      <c r="AK1263" s="168" t="str">
        <f t="shared" si="523"/>
        <v/>
      </c>
      <c r="AL1263" s="168" t="str">
        <f t="shared" si="524"/>
        <v/>
      </c>
      <c r="AM1263" s="168" t="str">
        <f t="shared" si="525"/>
        <v/>
      </c>
      <c r="AN1263" s="167" t="str">
        <f t="shared" si="508"/>
        <v/>
      </c>
      <c r="AO1263" s="167" t="str">
        <f t="shared" si="509"/>
        <v/>
      </c>
      <c r="AP1263" s="167" t="str">
        <f t="shared" si="510"/>
        <v/>
      </c>
      <c r="AQ1263" s="169" t="str">
        <f t="shared" si="511"/>
        <v/>
      </c>
      <c r="AR1263" s="170" t="str">
        <f t="shared" si="512"/>
        <v>BiK81M1bKWKy06</v>
      </c>
      <c r="AS1263" s="169" t="str">
        <f t="shared" si="513"/>
        <v/>
      </c>
      <c r="AT1263">
        <f t="shared" si="514"/>
        <v>14</v>
      </c>
      <c r="AU1263" s="170" t="str">
        <f t="shared" si="515"/>
        <v>0-0,15 MW, Bonusregeln M1, y, b und KWK</v>
      </c>
      <c r="AV1263" s="169" t="str">
        <f t="shared" si="516"/>
        <v/>
      </c>
      <c r="AW1263" s="170" t="str">
        <f t="shared" si="517"/>
        <v>Anteil KWK</v>
      </c>
      <c r="AX1263" s="169" t="str">
        <f t="shared" si="518"/>
        <v/>
      </c>
      <c r="AY1263" t="str">
        <f t="shared" si="519"/>
        <v/>
      </c>
      <c r="AZ1263" t="str">
        <f t="shared" si="520"/>
        <v/>
      </c>
    </row>
    <row r="1264" spans="1:52" s="145" customFormat="1" x14ac:dyDescent="0.35">
      <c r="A1264" s="497" t="s">
        <v>2755</v>
      </c>
      <c r="B1264" s="13" t="s">
        <v>5547</v>
      </c>
      <c r="C1264" s="13" t="s">
        <v>1296</v>
      </c>
      <c r="D1264" s="88" t="s">
        <v>6953</v>
      </c>
      <c r="E1264" s="13" t="s">
        <v>4330</v>
      </c>
      <c r="F1264" s="373">
        <f t="shared" si="527"/>
        <v>28.67</v>
      </c>
      <c r="G1264" s="430">
        <v>28.67</v>
      </c>
      <c r="H1264" s="399">
        <f t="shared" si="528"/>
        <v>22.94</v>
      </c>
      <c r="I1264" s="576"/>
      <c r="J1264" s="549" t="s">
        <v>5804</v>
      </c>
      <c r="K1264" s="11"/>
      <c r="L1264"/>
      <c r="M1264" s="37">
        <f t="shared" si="529"/>
        <v>28.67</v>
      </c>
      <c r="N1264" s="29">
        <v>11.67</v>
      </c>
      <c r="O1264" s="149"/>
      <c r="P1264" s="145" t="s">
        <v>1017</v>
      </c>
      <c r="S1264" s="145" t="s">
        <v>4179</v>
      </c>
      <c r="T1264" s="145" t="s">
        <v>4179</v>
      </c>
      <c r="U1264" s="146" t="s">
        <v>1017</v>
      </c>
      <c r="W1264" s="147"/>
      <c r="X1264" s="147"/>
      <c r="Z1264" s="145" t="s">
        <v>1017</v>
      </c>
      <c r="AA1264" s="147"/>
      <c r="AD1264" s="147"/>
      <c r="AE1264" s="148" t="s">
        <v>1017</v>
      </c>
      <c r="AF1264" s="147"/>
      <c r="AG1264" s="147"/>
      <c r="AH1264" s="166" t="str">
        <f t="shared" si="530"/>
        <v/>
      </c>
      <c r="AI1264" s="168" t="str">
        <f t="shared" si="521"/>
        <v/>
      </c>
      <c r="AJ1264" s="168" t="str">
        <f t="shared" si="522"/>
        <v/>
      </c>
      <c r="AK1264" s="168" t="str">
        <f t="shared" si="523"/>
        <v/>
      </c>
      <c r="AL1264" s="168" t="str">
        <f t="shared" si="524"/>
        <v/>
      </c>
      <c r="AM1264" s="168" t="str">
        <f t="shared" si="525"/>
        <v/>
      </c>
      <c r="AN1264" s="167" t="str">
        <f t="shared" si="508"/>
        <v/>
      </c>
      <c r="AO1264" s="167" t="str">
        <f t="shared" si="509"/>
        <v/>
      </c>
      <c r="AP1264" s="167" t="str">
        <f t="shared" si="510"/>
        <v/>
      </c>
      <c r="AQ1264" s="169" t="str">
        <f t="shared" si="511"/>
        <v/>
      </c>
      <c r="AR1264" s="170" t="str">
        <f t="shared" si="512"/>
        <v>BiK81M1bKA3y06</v>
      </c>
      <c r="AS1264" s="169" t="str">
        <f t="shared" si="513"/>
        <v/>
      </c>
      <c r="AT1264">
        <f t="shared" si="514"/>
        <v>14</v>
      </c>
      <c r="AU1264" s="170" t="str">
        <f t="shared" si="515"/>
        <v>0-0,15 MW, Bonusregeln M1, y, b und K wenn Anlage 3 erfüllt</v>
      </c>
      <c r="AV1264" s="169" t="str">
        <f t="shared" si="516"/>
        <v/>
      </c>
      <c r="AW1264" s="170" t="str">
        <f t="shared" si="517"/>
        <v>Anteil KWK gemäß Anlage 3</v>
      </c>
      <c r="AX1264" s="169" t="str">
        <f t="shared" si="518"/>
        <v/>
      </c>
      <c r="AY1264" t="str">
        <f t="shared" si="519"/>
        <v/>
      </c>
      <c r="AZ1264" t="str">
        <f t="shared" si="520"/>
        <v/>
      </c>
    </row>
    <row r="1265" spans="1:52" s="145" customFormat="1" x14ac:dyDescent="0.35">
      <c r="A1265" s="497" t="s">
        <v>2756</v>
      </c>
      <c r="B1265" s="13" t="s">
        <v>5547</v>
      </c>
      <c r="C1265" s="13" t="s">
        <v>1296</v>
      </c>
      <c r="D1265" s="13" t="s">
        <v>6954</v>
      </c>
      <c r="E1265" s="13" t="s">
        <v>674</v>
      </c>
      <c r="F1265" s="373">
        <f t="shared" si="527"/>
        <v>28.67</v>
      </c>
      <c r="G1265" s="430">
        <v>28.67</v>
      </c>
      <c r="H1265" s="399">
        <f t="shared" si="528"/>
        <v>22.94</v>
      </c>
      <c r="I1265" s="576"/>
      <c r="J1265" s="549" t="s">
        <v>5804</v>
      </c>
      <c r="K1265" s="11"/>
      <c r="L1265"/>
      <c r="M1265" s="37">
        <f t="shared" si="529"/>
        <v>28.67</v>
      </c>
      <c r="N1265" s="29">
        <v>11.67</v>
      </c>
      <c r="O1265" s="149"/>
      <c r="P1265" s="144"/>
      <c r="Q1265" s="145" t="s">
        <v>1017</v>
      </c>
      <c r="S1265" s="145" t="s">
        <v>4179</v>
      </c>
      <c r="T1265" s="145" t="s">
        <v>4179</v>
      </c>
      <c r="U1265" s="146" t="s">
        <v>1017</v>
      </c>
      <c r="W1265" s="147"/>
      <c r="X1265" s="147"/>
      <c r="Z1265" s="145" t="s">
        <v>1017</v>
      </c>
      <c r="AA1265" s="147"/>
      <c r="AD1265" s="147"/>
      <c r="AE1265" s="148" t="s">
        <v>1017</v>
      </c>
      <c r="AF1265" s="147"/>
      <c r="AG1265" s="147"/>
      <c r="AH1265" s="166" t="str">
        <f t="shared" si="530"/>
        <v/>
      </c>
      <c r="AI1265" s="168" t="str">
        <f t="shared" si="521"/>
        <v/>
      </c>
      <c r="AJ1265" s="168" t="str">
        <f t="shared" si="522"/>
        <v/>
      </c>
      <c r="AK1265" s="168" t="str">
        <f t="shared" si="523"/>
        <v/>
      </c>
      <c r="AL1265" s="168" t="str">
        <f t="shared" si="524"/>
        <v/>
      </c>
      <c r="AM1265" s="168" t="str">
        <f t="shared" si="525"/>
        <v/>
      </c>
      <c r="AN1265" s="167" t="str">
        <f t="shared" si="508"/>
        <v/>
      </c>
      <c r="AO1265" s="167" t="str">
        <f t="shared" si="509"/>
        <v/>
      </c>
      <c r="AP1265" s="167" t="str">
        <f t="shared" si="510"/>
        <v/>
      </c>
      <c r="AQ1265" s="169" t="str">
        <f t="shared" si="511"/>
        <v/>
      </c>
      <c r="AR1265" s="170" t="str">
        <f t="shared" si="512"/>
        <v>BiK81M1bK09y06</v>
      </c>
      <c r="AS1265" s="169" t="str">
        <f t="shared" si="513"/>
        <v/>
      </c>
      <c r="AT1265">
        <f t="shared" si="514"/>
        <v>14</v>
      </c>
      <c r="AU1265" s="170" t="str">
        <f t="shared" si="515"/>
        <v>0-0,15 MW, Bonusregeln M1, y, b und K erstmals 2009</v>
      </c>
      <c r="AV1265" s="169" t="str">
        <f t="shared" si="516"/>
        <v/>
      </c>
      <c r="AW1265" s="170" t="str">
        <f t="shared" si="517"/>
        <v>Anteil KWK, erstmals 2009</v>
      </c>
      <c r="AX1265" s="169" t="str">
        <f t="shared" si="518"/>
        <v/>
      </c>
      <c r="AY1265" t="str">
        <f t="shared" si="519"/>
        <v/>
      </c>
      <c r="AZ1265" t="str">
        <f t="shared" si="520"/>
        <v/>
      </c>
    </row>
    <row r="1266" spans="1:52" s="145" customFormat="1" x14ac:dyDescent="0.35">
      <c r="A1266" s="497" t="s">
        <v>4903</v>
      </c>
      <c r="B1266" s="13" t="s">
        <v>5547</v>
      </c>
      <c r="C1266" s="13" t="s">
        <v>1296</v>
      </c>
      <c r="D1266" s="13" t="s">
        <v>6955</v>
      </c>
      <c r="E1266" s="13" t="s">
        <v>3566</v>
      </c>
      <c r="F1266" s="373">
        <f t="shared" si="527"/>
        <v>28.64</v>
      </c>
      <c r="G1266" s="430">
        <v>28.64</v>
      </c>
      <c r="H1266" s="399">
        <f t="shared" si="528"/>
        <v>22.91</v>
      </c>
      <c r="I1266" s="576"/>
      <c r="J1266" s="549" t="s">
        <v>5804</v>
      </c>
      <c r="K1266" s="11"/>
      <c r="L1266"/>
      <c r="M1266" s="37">
        <f t="shared" si="529"/>
        <v>28.64</v>
      </c>
      <c r="N1266" s="29">
        <v>11.67</v>
      </c>
      <c r="O1266" s="149"/>
      <c r="P1266" s="144"/>
      <c r="R1266" s="145" t="s">
        <v>1017</v>
      </c>
      <c r="S1266" s="145" t="s">
        <v>4179</v>
      </c>
      <c r="T1266" s="145" t="s">
        <v>4179</v>
      </c>
      <c r="U1266" s="146" t="s">
        <v>1017</v>
      </c>
      <c r="W1266" s="147"/>
      <c r="X1266" s="147"/>
      <c r="Z1266" s="145" t="s">
        <v>1017</v>
      </c>
      <c r="AA1266" s="147"/>
      <c r="AD1266" s="147"/>
      <c r="AE1266" s="148" t="s">
        <v>1017</v>
      </c>
      <c r="AF1266" s="147"/>
      <c r="AG1266" s="147"/>
      <c r="AH1266" s="166" t="str">
        <f t="shared" si="530"/>
        <v>2010</v>
      </c>
      <c r="AI1266" s="168" t="str">
        <f t="shared" si="521"/>
        <v/>
      </c>
      <c r="AJ1266" s="168" t="str">
        <f t="shared" si="522"/>
        <v/>
      </c>
      <c r="AK1266" s="168" t="str">
        <f t="shared" si="523"/>
        <v/>
      </c>
      <c r="AL1266" s="168" t="str">
        <f t="shared" si="524"/>
        <v/>
      </c>
      <c r="AM1266" s="168" t="str">
        <f t="shared" si="525"/>
        <v/>
      </c>
      <c r="AN1266" s="167" t="str">
        <f t="shared" si="508"/>
        <v>2010</v>
      </c>
      <c r="AO1266" s="167" t="str">
        <f t="shared" si="509"/>
        <v>2010</v>
      </c>
      <c r="AP1266" s="167" t="str">
        <f t="shared" si="510"/>
        <v>2010</v>
      </c>
      <c r="AQ1266" s="169" t="str">
        <f t="shared" si="511"/>
        <v/>
      </c>
      <c r="AR1266" s="170" t="str">
        <f t="shared" si="512"/>
        <v>BiK81M1bK10y06</v>
      </c>
      <c r="AS1266" s="169" t="str">
        <f t="shared" si="513"/>
        <v/>
      </c>
      <c r="AT1266">
        <f t="shared" si="514"/>
        <v>14</v>
      </c>
      <c r="AU1266" s="170" t="str">
        <f t="shared" si="515"/>
        <v>0-0,15 MW, Bonusregeln M1, y, b und K erstmals 2010</v>
      </c>
      <c r="AV1266" s="169" t="str">
        <f t="shared" si="516"/>
        <v/>
      </c>
      <c r="AW1266" s="170" t="str">
        <f t="shared" si="517"/>
        <v>Anteil KWK, erstmals 2010</v>
      </c>
      <c r="AX1266" s="169" t="str">
        <f t="shared" si="518"/>
        <v/>
      </c>
      <c r="AY1266" t="str">
        <f t="shared" si="519"/>
        <v/>
      </c>
      <c r="AZ1266" t="str">
        <f t="shared" si="520"/>
        <v/>
      </c>
    </row>
    <row r="1267" spans="1:52" s="145" customFormat="1" x14ac:dyDescent="0.35">
      <c r="A1267" s="497" t="s">
        <v>5372</v>
      </c>
      <c r="B1267" s="13" t="s">
        <v>5547</v>
      </c>
      <c r="C1267" s="13" t="s">
        <v>1296</v>
      </c>
      <c r="D1267" s="13" t="s">
        <v>6956</v>
      </c>
      <c r="E1267" s="13" t="s">
        <v>3054</v>
      </c>
      <c r="F1267" s="373">
        <f t="shared" si="527"/>
        <v>28.61</v>
      </c>
      <c r="G1267" s="430">
        <v>28.61</v>
      </c>
      <c r="H1267" s="399">
        <f t="shared" si="528"/>
        <v>22.89</v>
      </c>
      <c r="I1267" s="576"/>
      <c r="J1267" s="549" t="s">
        <v>5804</v>
      </c>
      <c r="K1267" s="11"/>
      <c r="L1267"/>
      <c r="M1267" s="37">
        <f t="shared" si="529"/>
        <v>28.61</v>
      </c>
      <c r="N1267" s="29">
        <v>11.67</v>
      </c>
      <c r="O1267" s="149"/>
      <c r="P1267" s="144"/>
      <c r="S1267" s="145" t="s">
        <v>1017</v>
      </c>
      <c r="T1267" s="145" t="s">
        <v>4179</v>
      </c>
      <c r="U1267" s="146" t="s">
        <v>1017</v>
      </c>
      <c r="W1267" s="147"/>
      <c r="X1267" s="147"/>
      <c r="Z1267" s="145" t="s">
        <v>1017</v>
      </c>
      <c r="AA1267" s="147"/>
      <c r="AD1267" s="147"/>
      <c r="AE1267" s="148" t="s">
        <v>1017</v>
      </c>
      <c r="AF1267" s="147"/>
      <c r="AG1267" s="147"/>
      <c r="AH1267" s="166" t="str">
        <f t="shared" si="530"/>
        <v>2011</v>
      </c>
      <c r="AI1267" s="168" t="str">
        <f t="shared" si="521"/>
        <v/>
      </c>
      <c r="AJ1267" s="168" t="str">
        <f t="shared" si="522"/>
        <v/>
      </c>
      <c r="AK1267" s="168" t="str">
        <f t="shared" si="523"/>
        <v/>
      </c>
      <c r="AL1267" s="168" t="str">
        <f t="shared" si="524"/>
        <v/>
      </c>
      <c r="AM1267" s="168" t="str">
        <f t="shared" si="525"/>
        <v/>
      </c>
      <c r="AN1267" s="167" t="str">
        <f t="shared" si="508"/>
        <v>2011</v>
      </c>
      <c r="AO1267" s="167" t="str">
        <f t="shared" si="509"/>
        <v>2011</v>
      </c>
      <c r="AP1267" s="167" t="str">
        <f t="shared" si="510"/>
        <v>2011</v>
      </c>
      <c r="AQ1267" s="169" t="str">
        <f t="shared" si="511"/>
        <v/>
      </c>
      <c r="AR1267" s="170" t="str">
        <f t="shared" si="512"/>
        <v>BiK81M1bK11y06</v>
      </c>
      <c r="AS1267" s="169" t="str">
        <f t="shared" si="513"/>
        <v/>
      </c>
      <c r="AT1267">
        <f t="shared" si="514"/>
        <v>14</v>
      </c>
      <c r="AU1267" s="170" t="str">
        <f t="shared" si="515"/>
        <v>0-0,15 MW, Bonusregeln M1, y, b und K erstmals 2011</v>
      </c>
      <c r="AV1267" s="169" t="str">
        <f t="shared" si="516"/>
        <v/>
      </c>
      <c r="AW1267" s="170" t="str">
        <f t="shared" si="517"/>
        <v>Anteil KWK, erstmals 2011</v>
      </c>
      <c r="AX1267" s="169" t="str">
        <f t="shared" si="518"/>
        <v/>
      </c>
      <c r="AY1267" t="str">
        <f t="shared" si="519"/>
        <v>x</v>
      </c>
      <c r="AZ1267" t="str">
        <f t="shared" si="520"/>
        <v/>
      </c>
    </row>
    <row r="1268" spans="1:52" s="145" customFormat="1" x14ac:dyDescent="0.35">
      <c r="A1268" s="511" t="s">
        <v>3650</v>
      </c>
      <c r="B1268" s="173" t="s">
        <v>5547</v>
      </c>
      <c r="C1268" s="173" t="s">
        <v>1296</v>
      </c>
      <c r="D1268" s="173" t="s">
        <v>6957</v>
      </c>
      <c r="E1268" s="173" t="s">
        <v>1980</v>
      </c>
      <c r="F1268" s="374">
        <f t="shared" si="527"/>
        <v>28.58</v>
      </c>
      <c r="G1268" s="431">
        <v>28.58</v>
      </c>
      <c r="H1268" s="400">
        <f t="shared" si="528"/>
        <v>22.86</v>
      </c>
      <c r="I1268" s="577"/>
      <c r="J1268" s="549" t="s">
        <v>5804</v>
      </c>
      <c r="K1268" s="11"/>
      <c r="L1268"/>
      <c r="M1268" s="37">
        <f t="shared" si="529"/>
        <v>28.58</v>
      </c>
      <c r="N1268" s="29">
        <v>11.67</v>
      </c>
      <c r="O1268" s="149"/>
      <c r="P1268" s="144"/>
      <c r="S1268" s="145" t="s">
        <v>4179</v>
      </c>
      <c r="T1268" s="145" t="s">
        <v>1017</v>
      </c>
      <c r="U1268" s="146" t="s">
        <v>1017</v>
      </c>
      <c r="W1268" s="147"/>
      <c r="X1268" s="147"/>
      <c r="Z1268" s="145" t="s">
        <v>1017</v>
      </c>
      <c r="AA1268" s="147"/>
      <c r="AD1268" s="147"/>
      <c r="AE1268" s="148" t="s">
        <v>1017</v>
      </c>
      <c r="AF1268" s="147"/>
      <c r="AG1268" s="147"/>
      <c r="AH1268" s="171" t="s">
        <v>4178</v>
      </c>
      <c r="AI1268" s="168" t="str">
        <f t="shared" si="521"/>
        <v/>
      </c>
      <c r="AJ1268" s="168" t="str">
        <f t="shared" si="522"/>
        <v/>
      </c>
      <c r="AK1268" s="168" t="str">
        <f t="shared" si="523"/>
        <v/>
      </c>
      <c r="AL1268" s="168" t="str">
        <f t="shared" si="524"/>
        <v/>
      </c>
      <c r="AM1268" s="168" t="str">
        <f t="shared" si="525"/>
        <v/>
      </c>
      <c r="AN1268" s="167" t="str">
        <f t="shared" si="508"/>
        <v>2012</v>
      </c>
      <c r="AO1268" s="167" t="str">
        <f t="shared" si="509"/>
        <v>2012</v>
      </c>
      <c r="AP1268" s="167" t="str">
        <f t="shared" si="510"/>
        <v>2012</v>
      </c>
      <c r="AQ1268" s="169" t="str">
        <f t="shared" si="511"/>
        <v/>
      </c>
      <c r="AR1268" s="170" t="str">
        <f t="shared" si="512"/>
        <v>BiK81M1bK12y06</v>
      </c>
      <c r="AS1268" s="169" t="str">
        <f t="shared" si="513"/>
        <v/>
      </c>
      <c r="AT1268">
        <f t="shared" si="514"/>
        <v>14</v>
      </c>
      <c r="AU1268" s="170" t="str">
        <f t="shared" si="515"/>
        <v>0-0,15 MW, Bonusregeln M1, y, b und K erstmals 2012</v>
      </c>
      <c r="AV1268" s="169" t="str">
        <f t="shared" si="516"/>
        <v/>
      </c>
      <c r="AW1268" s="170" t="str">
        <f t="shared" si="517"/>
        <v>Anteil KWK, erstmals 2012</v>
      </c>
      <c r="AX1268" s="169" t="str">
        <f t="shared" si="518"/>
        <v/>
      </c>
      <c r="AY1268" t="str">
        <f t="shared" si="519"/>
        <v/>
      </c>
      <c r="AZ1268" t="str">
        <f t="shared" si="520"/>
        <v>x</v>
      </c>
    </row>
    <row r="1269" spans="1:52" s="145" customFormat="1" x14ac:dyDescent="0.35">
      <c r="A1269" s="497" t="s">
        <v>2757</v>
      </c>
      <c r="B1269" s="13" t="s">
        <v>5547</v>
      </c>
      <c r="C1269" s="13" t="s">
        <v>1296</v>
      </c>
      <c r="D1269" s="13" t="s">
        <v>6958</v>
      </c>
      <c r="E1269" s="13" t="s">
        <v>4809</v>
      </c>
      <c r="F1269" s="373">
        <f t="shared" si="527"/>
        <v>22.67</v>
      </c>
      <c r="G1269" s="430">
        <v>22.67</v>
      </c>
      <c r="H1269" s="399">
        <f t="shared" si="528"/>
        <v>18.14</v>
      </c>
      <c r="I1269" s="576"/>
      <c r="J1269" s="549" t="s">
        <v>5804</v>
      </c>
      <c r="K1269" s="11"/>
      <c r="L1269"/>
      <c r="M1269" s="37">
        <f t="shared" si="529"/>
        <v>22.67</v>
      </c>
      <c r="N1269" s="29">
        <v>11.67</v>
      </c>
      <c r="O1269" s="149"/>
      <c r="P1269" s="144"/>
      <c r="S1269" s="145" t="s">
        <v>4179</v>
      </c>
      <c r="T1269" s="145" t="s">
        <v>4179</v>
      </c>
      <c r="U1269" s="146"/>
      <c r="W1269" s="147"/>
      <c r="X1269" s="147"/>
      <c r="AA1269" s="147"/>
      <c r="AB1269" s="145" t="s">
        <v>1017</v>
      </c>
      <c r="AD1269" s="147"/>
      <c r="AE1269" s="148" t="s">
        <v>1017</v>
      </c>
      <c r="AF1269" s="147"/>
      <c r="AG1269" s="147"/>
      <c r="AH1269" s="166" t="str">
        <f t="shared" ref="AH1269:AH1274" si="531">IF(ISERROR(SEARCH("K erstmals 201",D1269)),"",RIGHT(D1269,4))</f>
        <v/>
      </c>
      <c r="AI1269" s="168" t="str">
        <f t="shared" si="521"/>
        <v/>
      </c>
      <c r="AJ1269" s="168" t="str">
        <f t="shared" si="522"/>
        <v/>
      </c>
      <c r="AK1269" s="168" t="str">
        <f t="shared" si="523"/>
        <v/>
      </c>
      <c r="AL1269" s="168" t="str">
        <f t="shared" si="524"/>
        <v/>
      </c>
      <c r="AM1269" s="168" t="str">
        <f t="shared" si="525"/>
        <v/>
      </c>
      <c r="AN1269" s="167" t="str">
        <f t="shared" si="508"/>
        <v/>
      </c>
      <c r="AO1269" s="167" t="str">
        <f t="shared" si="509"/>
        <v/>
      </c>
      <c r="AP1269" s="167" t="str">
        <f t="shared" si="510"/>
        <v/>
      </c>
      <c r="AQ1269" s="169" t="str">
        <f t="shared" si="511"/>
        <v/>
      </c>
      <c r="AR1269" s="170" t="str">
        <f t="shared" si="512"/>
        <v>BiK81Lb-----06</v>
      </c>
      <c r="AS1269" s="169" t="str">
        <f t="shared" si="513"/>
        <v/>
      </c>
      <c r="AT1269">
        <f t="shared" si="514"/>
        <v>14</v>
      </c>
      <c r="AU1269" s="170" t="str">
        <f t="shared" si="515"/>
        <v>0-0,15 MW, Bonusregeln L, b</v>
      </c>
      <c r="AV1269" s="169" t="str">
        <f t="shared" si="516"/>
        <v/>
      </c>
      <c r="AW1269" s="170" t="str">
        <f t="shared" si="517"/>
        <v>Anteil Nicht-KWK</v>
      </c>
      <c r="AX1269" s="169" t="str">
        <f t="shared" si="518"/>
        <v/>
      </c>
      <c r="AY1269" t="str">
        <f t="shared" si="519"/>
        <v/>
      </c>
      <c r="AZ1269" t="str">
        <f t="shared" si="520"/>
        <v/>
      </c>
    </row>
    <row r="1270" spans="1:52" s="145" customFormat="1" x14ac:dyDescent="0.35">
      <c r="A1270" s="497" t="s">
        <v>2758</v>
      </c>
      <c r="B1270" s="13" t="s">
        <v>5547</v>
      </c>
      <c r="C1270" s="13" t="s">
        <v>1296</v>
      </c>
      <c r="D1270" s="13" t="s">
        <v>6959</v>
      </c>
      <c r="E1270" s="13" t="s">
        <v>4811</v>
      </c>
      <c r="F1270" s="373">
        <f t="shared" si="527"/>
        <v>24.67</v>
      </c>
      <c r="G1270" s="430">
        <v>24.67</v>
      </c>
      <c r="H1270" s="399">
        <f t="shared" si="528"/>
        <v>19.739999999999998</v>
      </c>
      <c r="I1270" s="576"/>
      <c r="J1270" s="549" t="s">
        <v>5804</v>
      </c>
      <c r="K1270" s="11"/>
      <c r="L1270"/>
      <c r="M1270" s="37">
        <f t="shared" si="529"/>
        <v>24.67</v>
      </c>
      <c r="N1270" s="29">
        <v>11.67</v>
      </c>
      <c r="O1270" s="149" t="s">
        <v>1017</v>
      </c>
      <c r="P1270" s="144"/>
      <c r="S1270" s="145" t="s">
        <v>4179</v>
      </c>
      <c r="T1270" s="145" t="s">
        <v>4179</v>
      </c>
      <c r="U1270" s="146"/>
      <c r="W1270" s="147"/>
      <c r="X1270" s="147"/>
      <c r="AA1270" s="147"/>
      <c r="AB1270" s="145" t="s">
        <v>1017</v>
      </c>
      <c r="AD1270" s="147"/>
      <c r="AE1270" s="148" t="s">
        <v>1017</v>
      </c>
      <c r="AF1270" s="147"/>
      <c r="AG1270" s="147"/>
      <c r="AH1270" s="166" t="str">
        <f t="shared" si="531"/>
        <v/>
      </c>
      <c r="AI1270" s="168" t="str">
        <f t="shared" si="521"/>
        <v/>
      </c>
      <c r="AJ1270" s="168" t="str">
        <f t="shared" si="522"/>
        <v/>
      </c>
      <c r="AK1270" s="168" t="str">
        <f t="shared" si="523"/>
        <v/>
      </c>
      <c r="AL1270" s="168" t="str">
        <f t="shared" si="524"/>
        <v/>
      </c>
      <c r="AM1270" s="168" t="str">
        <f t="shared" si="525"/>
        <v/>
      </c>
      <c r="AN1270" s="167" t="str">
        <f t="shared" si="508"/>
        <v/>
      </c>
      <c r="AO1270" s="167" t="str">
        <f t="shared" si="509"/>
        <v/>
      </c>
      <c r="AP1270" s="167" t="str">
        <f t="shared" si="510"/>
        <v/>
      </c>
      <c r="AQ1270" s="169" t="str">
        <f t="shared" si="511"/>
        <v/>
      </c>
      <c r="AR1270" s="170" t="str">
        <f t="shared" si="512"/>
        <v>BiK81LbKWK--06</v>
      </c>
      <c r="AS1270" s="169" t="str">
        <f t="shared" si="513"/>
        <v/>
      </c>
      <c r="AT1270">
        <f t="shared" si="514"/>
        <v>14</v>
      </c>
      <c r="AU1270" s="170" t="str">
        <f t="shared" si="515"/>
        <v>0-0,15 MW, Bonusregeln L, b und KWK</v>
      </c>
      <c r="AV1270" s="169" t="str">
        <f t="shared" si="516"/>
        <v/>
      </c>
      <c r="AW1270" s="170" t="str">
        <f t="shared" si="517"/>
        <v>Anteil KWK</v>
      </c>
      <c r="AX1270" s="169" t="str">
        <f t="shared" si="518"/>
        <v/>
      </c>
      <c r="AY1270" t="str">
        <f t="shared" si="519"/>
        <v/>
      </c>
      <c r="AZ1270" t="str">
        <f t="shared" si="520"/>
        <v/>
      </c>
    </row>
    <row r="1271" spans="1:52" s="145" customFormat="1" x14ac:dyDescent="0.35">
      <c r="A1271" s="497" t="s">
        <v>2759</v>
      </c>
      <c r="B1271" s="13" t="s">
        <v>5547</v>
      </c>
      <c r="C1271" s="13" t="s">
        <v>1296</v>
      </c>
      <c r="D1271" s="13" t="s">
        <v>6960</v>
      </c>
      <c r="E1271" s="13" t="s">
        <v>4330</v>
      </c>
      <c r="F1271" s="373">
        <f t="shared" si="527"/>
        <v>25.67</v>
      </c>
      <c r="G1271" s="430">
        <v>25.67</v>
      </c>
      <c r="H1271" s="399">
        <f t="shared" si="528"/>
        <v>20.54</v>
      </c>
      <c r="I1271" s="576"/>
      <c r="J1271" s="549" t="s">
        <v>5804</v>
      </c>
      <c r="K1271" s="11"/>
      <c r="L1271"/>
      <c r="M1271" s="37">
        <f t="shared" si="529"/>
        <v>25.67</v>
      </c>
      <c r="N1271" s="29">
        <v>11.67</v>
      </c>
      <c r="O1271" s="149"/>
      <c r="P1271" s="145" t="s">
        <v>1017</v>
      </c>
      <c r="S1271" s="145" t="s">
        <v>4179</v>
      </c>
      <c r="T1271" s="145" t="s">
        <v>4179</v>
      </c>
      <c r="U1271" s="146"/>
      <c r="W1271" s="147"/>
      <c r="X1271" s="147"/>
      <c r="AA1271" s="147"/>
      <c r="AB1271" s="145" t="s">
        <v>1017</v>
      </c>
      <c r="AD1271" s="147"/>
      <c r="AE1271" s="148" t="s">
        <v>1017</v>
      </c>
      <c r="AF1271" s="147"/>
      <c r="AG1271" s="147"/>
      <c r="AH1271" s="166" t="str">
        <f t="shared" si="531"/>
        <v/>
      </c>
      <c r="AI1271" s="168" t="str">
        <f t="shared" si="521"/>
        <v/>
      </c>
      <c r="AJ1271" s="168" t="str">
        <f t="shared" si="522"/>
        <v/>
      </c>
      <c r="AK1271" s="168" t="str">
        <f t="shared" si="523"/>
        <v/>
      </c>
      <c r="AL1271" s="168" t="str">
        <f t="shared" si="524"/>
        <v/>
      </c>
      <c r="AM1271" s="168" t="str">
        <f t="shared" si="525"/>
        <v/>
      </c>
      <c r="AN1271" s="167" t="str">
        <f t="shared" si="508"/>
        <v/>
      </c>
      <c r="AO1271" s="167" t="str">
        <f t="shared" si="509"/>
        <v/>
      </c>
      <c r="AP1271" s="167" t="str">
        <f t="shared" si="510"/>
        <v/>
      </c>
      <c r="AQ1271" s="169" t="str">
        <f t="shared" si="511"/>
        <v/>
      </c>
      <c r="AR1271" s="170" t="str">
        <f t="shared" si="512"/>
        <v>BiK81LbKA3--06</v>
      </c>
      <c r="AS1271" s="169" t="str">
        <f t="shared" si="513"/>
        <v/>
      </c>
      <c r="AT1271">
        <f t="shared" si="514"/>
        <v>14</v>
      </c>
      <c r="AU1271" s="170" t="str">
        <f t="shared" si="515"/>
        <v>0-0,15 MW, Bonusregeln L, b und K wenn Anlage 3 erfüllt</v>
      </c>
      <c r="AV1271" s="169" t="str">
        <f t="shared" si="516"/>
        <v/>
      </c>
      <c r="AW1271" s="170" t="str">
        <f t="shared" si="517"/>
        <v>Anteil KWK gemäß Anlage 3</v>
      </c>
      <c r="AX1271" s="169" t="str">
        <f t="shared" si="518"/>
        <v/>
      </c>
      <c r="AY1271" t="str">
        <f t="shared" si="519"/>
        <v/>
      </c>
      <c r="AZ1271" t="str">
        <f t="shared" si="520"/>
        <v/>
      </c>
    </row>
    <row r="1272" spans="1:52" s="145" customFormat="1" x14ac:dyDescent="0.35">
      <c r="A1272" s="497" t="s">
        <v>2760</v>
      </c>
      <c r="B1272" s="13" t="s">
        <v>5547</v>
      </c>
      <c r="C1272" s="13" t="s">
        <v>1296</v>
      </c>
      <c r="D1272" s="13" t="s">
        <v>6961</v>
      </c>
      <c r="E1272" s="13" t="s">
        <v>674</v>
      </c>
      <c r="F1272" s="373">
        <f t="shared" si="527"/>
        <v>25.67</v>
      </c>
      <c r="G1272" s="430">
        <v>25.67</v>
      </c>
      <c r="H1272" s="399">
        <f t="shared" si="528"/>
        <v>20.54</v>
      </c>
      <c r="I1272" s="576"/>
      <c r="J1272" s="549" t="s">
        <v>5804</v>
      </c>
      <c r="K1272" s="11"/>
      <c r="L1272"/>
      <c r="M1272" s="37">
        <f t="shared" si="529"/>
        <v>25.67</v>
      </c>
      <c r="N1272" s="29">
        <v>11.67</v>
      </c>
      <c r="O1272" s="149"/>
      <c r="P1272" s="144"/>
      <c r="Q1272" s="145" t="s">
        <v>1017</v>
      </c>
      <c r="S1272" s="145" t="s">
        <v>4179</v>
      </c>
      <c r="T1272" s="145" t="s">
        <v>4179</v>
      </c>
      <c r="U1272" s="146"/>
      <c r="W1272" s="147"/>
      <c r="X1272" s="147"/>
      <c r="AA1272" s="147"/>
      <c r="AB1272" s="145" t="s">
        <v>1017</v>
      </c>
      <c r="AD1272" s="147"/>
      <c r="AE1272" s="148" t="s">
        <v>1017</v>
      </c>
      <c r="AF1272" s="147"/>
      <c r="AG1272" s="147"/>
      <c r="AH1272" s="166" t="str">
        <f t="shared" si="531"/>
        <v/>
      </c>
      <c r="AI1272" s="168" t="str">
        <f t="shared" si="521"/>
        <v/>
      </c>
      <c r="AJ1272" s="168" t="str">
        <f t="shared" si="522"/>
        <v/>
      </c>
      <c r="AK1272" s="168" t="str">
        <f t="shared" si="523"/>
        <v/>
      </c>
      <c r="AL1272" s="168" t="str">
        <f t="shared" si="524"/>
        <v/>
      </c>
      <c r="AM1272" s="168" t="str">
        <f t="shared" si="525"/>
        <v/>
      </c>
      <c r="AN1272" s="167" t="str">
        <f t="shared" si="508"/>
        <v/>
      </c>
      <c r="AO1272" s="167" t="str">
        <f t="shared" si="509"/>
        <v/>
      </c>
      <c r="AP1272" s="167" t="str">
        <f t="shared" si="510"/>
        <v/>
      </c>
      <c r="AQ1272" s="169" t="str">
        <f t="shared" si="511"/>
        <v/>
      </c>
      <c r="AR1272" s="170" t="str">
        <f t="shared" si="512"/>
        <v>BiK81LbK09--06</v>
      </c>
      <c r="AS1272" s="169" t="str">
        <f t="shared" si="513"/>
        <v/>
      </c>
      <c r="AT1272">
        <f t="shared" si="514"/>
        <v>14</v>
      </c>
      <c r="AU1272" s="170" t="str">
        <f t="shared" si="515"/>
        <v>0-0,15 MW, Bonusregeln L, b und K erstmals 2009</v>
      </c>
      <c r="AV1272" s="169" t="str">
        <f t="shared" si="516"/>
        <v/>
      </c>
      <c r="AW1272" s="170" t="str">
        <f t="shared" si="517"/>
        <v>Anteil KWK, erstmals 2009</v>
      </c>
      <c r="AX1272" s="169" t="str">
        <f t="shared" si="518"/>
        <v/>
      </c>
      <c r="AY1272" t="str">
        <f t="shared" si="519"/>
        <v/>
      </c>
      <c r="AZ1272" t="str">
        <f t="shared" si="520"/>
        <v/>
      </c>
    </row>
    <row r="1273" spans="1:52" s="145" customFormat="1" x14ac:dyDescent="0.35">
      <c r="A1273" s="497" t="s">
        <v>4904</v>
      </c>
      <c r="B1273" s="13" t="s">
        <v>5547</v>
      </c>
      <c r="C1273" s="13" t="s">
        <v>1296</v>
      </c>
      <c r="D1273" s="13" t="s">
        <v>6962</v>
      </c>
      <c r="E1273" s="13" t="s">
        <v>3566</v>
      </c>
      <c r="F1273" s="373">
        <f t="shared" si="527"/>
        <v>25.64</v>
      </c>
      <c r="G1273" s="430">
        <v>25.64</v>
      </c>
      <c r="H1273" s="399">
        <f t="shared" si="528"/>
        <v>20.51</v>
      </c>
      <c r="I1273" s="576"/>
      <c r="J1273" s="549" t="s">
        <v>5804</v>
      </c>
      <c r="K1273" s="11"/>
      <c r="L1273"/>
      <c r="M1273" s="37">
        <f t="shared" si="529"/>
        <v>25.64</v>
      </c>
      <c r="N1273" s="29">
        <v>11.67</v>
      </c>
      <c r="O1273" s="149"/>
      <c r="P1273" s="144"/>
      <c r="R1273" s="145" t="s">
        <v>1017</v>
      </c>
      <c r="S1273" s="145" t="s">
        <v>4179</v>
      </c>
      <c r="T1273" s="145" t="s">
        <v>4179</v>
      </c>
      <c r="U1273" s="146"/>
      <c r="W1273" s="147"/>
      <c r="X1273" s="147"/>
      <c r="AA1273" s="147"/>
      <c r="AB1273" s="145" t="s">
        <v>1017</v>
      </c>
      <c r="AD1273" s="147"/>
      <c r="AE1273" s="148" t="s">
        <v>1017</v>
      </c>
      <c r="AF1273" s="147"/>
      <c r="AG1273" s="147"/>
      <c r="AH1273" s="166" t="str">
        <f t="shared" si="531"/>
        <v>2010</v>
      </c>
      <c r="AI1273" s="168" t="str">
        <f t="shared" si="521"/>
        <v/>
      </c>
      <c r="AJ1273" s="168" t="str">
        <f t="shared" si="522"/>
        <v/>
      </c>
      <c r="AK1273" s="168" t="str">
        <f t="shared" si="523"/>
        <v/>
      </c>
      <c r="AL1273" s="168" t="str">
        <f t="shared" si="524"/>
        <v/>
      </c>
      <c r="AM1273" s="168" t="str">
        <f t="shared" si="525"/>
        <v/>
      </c>
      <c r="AN1273" s="167" t="str">
        <f t="shared" si="508"/>
        <v>2010</v>
      </c>
      <c r="AO1273" s="167" t="str">
        <f t="shared" si="509"/>
        <v>2010</v>
      </c>
      <c r="AP1273" s="167" t="str">
        <f t="shared" si="510"/>
        <v>2010</v>
      </c>
      <c r="AQ1273" s="169" t="str">
        <f t="shared" si="511"/>
        <v/>
      </c>
      <c r="AR1273" s="170" t="str">
        <f t="shared" si="512"/>
        <v>BiK81LbK10--06</v>
      </c>
      <c r="AS1273" s="169" t="str">
        <f t="shared" si="513"/>
        <v/>
      </c>
      <c r="AT1273">
        <f t="shared" si="514"/>
        <v>14</v>
      </c>
      <c r="AU1273" s="170" t="str">
        <f t="shared" si="515"/>
        <v>0-0,15 MW, Bonusregeln L, b und K erstmals 2010</v>
      </c>
      <c r="AV1273" s="169" t="str">
        <f t="shared" si="516"/>
        <v/>
      </c>
      <c r="AW1273" s="170" t="str">
        <f t="shared" si="517"/>
        <v>Anteil KWK, erstmals 2010</v>
      </c>
      <c r="AX1273" s="169" t="str">
        <f t="shared" si="518"/>
        <v/>
      </c>
      <c r="AY1273" t="str">
        <f t="shared" si="519"/>
        <v/>
      </c>
      <c r="AZ1273" t="str">
        <f t="shared" si="520"/>
        <v/>
      </c>
    </row>
    <row r="1274" spans="1:52" s="145" customFormat="1" x14ac:dyDescent="0.35">
      <c r="A1274" s="497" t="s">
        <v>3951</v>
      </c>
      <c r="B1274" s="13" t="s">
        <v>5547</v>
      </c>
      <c r="C1274" s="13" t="s">
        <v>1296</v>
      </c>
      <c r="D1274" s="13" t="s">
        <v>6963</v>
      </c>
      <c r="E1274" s="13" t="s">
        <v>3054</v>
      </c>
      <c r="F1274" s="373">
        <f t="shared" si="527"/>
        <v>25.61</v>
      </c>
      <c r="G1274" s="430">
        <v>25.61</v>
      </c>
      <c r="H1274" s="399">
        <f t="shared" si="528"/>
        <v>20.49</v>
      </c>
      <c r="I1274" s="576"/>
      <c r="J1274" s="549" t="s">
        <v>5804</v>
      </c>
      <c r="K1274" s="11"/>
      <c r="L1274"/>
      <c r="M1274" s="37">
        <f t="shared" si="529"/>
        <v>25.61</v>
      </c>
      <c r="N1274" s="29">
        <v>11.67</v>
      </c>
      <c r="O1274" s="149"/>
      <c r="P1274" s="144"/>
      <c r="S1274" s="145" t="s">
        <v>1017</v>
      </c>
      <c r="T1274" s="145" t="s">
        <v>4179</v>
      </c>
      <c r="U1274" s="146"/>
      <c r="W1274" s="147"/>
      <c r="X1274" s="147"/>
      <c r="AA1274" s="147"/>
      <c r="AB1274" s="145" t="s">
        <v>1017</v>
      </c>
      <c r="AD1274" s="147"/>
      <c r="AE1274" s="148" t="s">
        <v>1017</v>
      </c>
      <c r="AF1274" s="147"/>
      <c r="AG1274" s="147"/>
      <c r="AH1274" s="166" t="str">
        <f t="shared" si="531"/>
        <v>2011</v>
      </c>
      <c r="AI1274" s="168" t="str">
        <f t="shared" si="521"/>
        <v/>
      </c>
      <c r="AJ1274" s="168" t="str">
        <f t="shared" si="522"/>
        <v/>
      </c>
      <c r="AK1274" s="168" t="str">
        <f t="shared" si="523"/>
        <v/>
      </c>
      <c r="AL1274" s="168" t="str">
        <f t="shared" si="524"/>
        <v/>
      </c>
      <c r="AM1274" s="168" t="str">
        <f t="shared" si="525"/>
        <v/>
      </c>
      <c r="AN1274" s="167" t="str">
        <f t="shared" si="508"/>
        <v>2011</v>
      </c>
      <c r="AO1274" s="167" t="str">
        <f t="shared" si="509"/>
        <v>2011</v>
      </c>
      <c r="AP1274" s="167" t="str">
        <f t="shared" si="510"/>
        <v>2011</v>
      </c>
      <c r="AQ1274" s="169" t="str">
        <f t="shared" si="511"/>
        <v/>
      </c>
      <c r="AR1274" s="170" t="str">
        <f t="shared" si="512"/>
        <v>BiK81LbK11--06</v>
      </c>
      <c r="AS1274" s="169" t="str">
        <f t="shared" si="513"/>
        <v/>
      </c>
      <c r="AT1274">
        <f t="shared" si="514"/>
        <v>14</v>
      </c>
      <c r="AU1274" s="170" t="str">
        <f t="shared" si="515"/>
        <v>0-0,15 MW, Bonusregeln L, b und K erstmals 2011</v>
      </c>
      <c r="AV1274" s="169" t="str">
        <f t="shared" si="516"/>
        <v/>
      </c>
      <c r="AW1274" s="170" t="str">
        <f t="shared" si="517"/>
        <v>Anteil KWK, erstmals 2011</v>
      </c>
      <c r="AX1274" s="169" t="str">
        <f t="shared" si="518"/>
        <v/>
      </c>
      <c r="AY1274" t="str">
        <f t="shared" si="519"/>
        <v>x</v>
      </c>
      <c r="AZ1274" t="str">
        <f t="shared" si="520"/>
        <v/>
      </c>
    </row>
    <row r="1275" spans="1:52" s="145" customFormat="1" x14ac:dyDescent="0.35">
      <c r="A1275" s="511" t="s">
        <v>3651</v>
      </c>
      <c r="B1275" s="173" t="s">
        <v>5547</v>
      </c>
      <c r="C1275" s="173" t="s">
        <v>1296</v>
      </c>
      <c r="D1275" s="173" t="s">
        <v>6964</v>
      </c>
      <c r="E1275" s="173" t="s">
        <v>1980</v>
      </c>
      <c r="F1275" s="374">
        <f t="shared" si="527"/>
        <v>25.58</v>
      </c>
      <c r="G1275" s="431">
        <v>25.58</v>
      </c>
      <c r="H1275" s="400">
        <f t="shared" si="528"/>
        <v>20.46</v>
      </c>
      <c r="I1275" s="577"/>
      <c r="J1275" s="549" t="s">
        <v>5804</v>
      </c>
      <c r="K1275" s="11"/>
      <c r="L1275"/>
      <c r="M1275" s="37">
        <f t="shared" si="529"/>
        <v>25.58</v>
      </c>
      <c r="N1275" s="29">
        <v>11.67</v>
      </c>
      <c r="O1275" s="149"/>
      <c r="P1275" s="144"/>
      <c r="S1275" s="145" t="s">
        <v>4179</v>
      </c>
      <c r="T1275" s="145" t="s">
        <v>1017</v>
      </c>
      <c r="U1275" s="146"/>
      <c r="W1275" s="147"/>
      <c r="X1275" s="147"/>
      <c r="AA1275" s="147"/>
      <c r="AB1275" s="145" t="s">
        <v>1017</v>
      </c>
      <c r="AD1275" s="147"/>
      <c r="AE1275" s="148" t="s">
        <v>1017</v>
      </c>
      <c r="AF1275" s="147"/>
      <c r="AG1275" s="147"/>
      <c r="AH1275" s="171" t="s">
        <v>4178</v>
      </c>
      <c r="AI1275" s="168" t="str">
        <f t="shared" si="521"/>
        <v/>
      </c>
      <c r="AJ1275" s="168" t="str">
        <f t="shared" si="522"/>
        <v/>
      </c>
      <c r="AK1275" s="168" t="str">
        <f t="shared" si="523"/>
        <v/>
      </c>
      <c r="AL1275" s="168" t="str">
        <f t="shared" si="524"/>
        <v/>
      </c>
      <c r="AM1275" s="168" t="str">
        <f t="shared" si="525"/>
        <v/>
      </c>
      <c r="AN1275" s="167" t="str">
        <f t="shared" si="508"/>
        <v>2012</v>
      </c>
      <c r="AO1275" s="167" t="str">
        <f t="shared" si="509"/>
        <v>2012</v>
      </c>
      <c r="AP1275" s="167" t="str">
        <f t="shared" si="510"/>
        <v>2012</v>
      </c>
      <c r="AQ1275" s="169" t="str">
        <f t="shared" si="511"/>
        <v/>
      </c>
      <c r="AR1275" s="170" t="str">
        <f t="shared" si="512"/>
        <v>BiK81LbK12--06</v>
      </c>
      <c r="AS1275" s="169" t="str">
        <f t="shared" si="513"/>
        <v/>
      </c>
      <c r="AT1275">
        <f t="shared" si="514"/>
        <v>14</v>
      </c>
      <c r="AU1275" s="170" t="str">
        <f t="shared" si="515"/>
        <v>0-0,15 MW, Bonusregeln L, b und K erstmals 2012</v>
      </c>
      <c r="AV1275" s="169" t="str">
        <f t="shared" si="516"/>
        <v/>
      </c>
      <c r="AW1275" s="170" t="str">
        <f t="shared" si="517"/>
        <v>Anteil KWK, erstmals 2012</v>
      </c>
      <c r="AX1275" s="169" t="str">
        <f t="shared" si="518"/>
        <v/>
      </c>
      <c r="AY1275" t="str">
        <f t="shared" si="519"/>
        <v/>
      </c>
      <c r="AZ1275" t="str">
        <f t="shared" si="520"/>
        <v>x</v>
      </c>
    </row>
    <row r="1276" spans="1:52" s="145" customFormat="1" x14ac:dyDescent="0.35">
      <c r="A1276" s="497" t="s">
        <v>2761</v>
      </c>
      <c r="B1276" s="13" t="s">
        <v>5547</v>
      </c>
      <c r="C1276" s="13" t="s">
        <v>1296</v>
      </c>
      <c r="D1276" s="13" t="s">
        <v>6965</v>
      </c>
      <c r="E1276" s="13" t="s">
        <v>4809</v>
      </c>
      <c r="F1276" s="373">
        <f t="shared" si="527"/>
        <v>23.67</v>
      </c>
      <c r="G1276" s="430">
        <v>23.67</v>
      </c>
      <c r="H1276" s="399">
        <f t="shared" si="528"/>
        <v>18.940000000000001</v>
      </c>
      <c r="I1276" s="576"/>
      <c r="J1276" s="549" t="s">
        <v>5804</v>
      </c>
      <c r="K1276" s="11"/>
      <c r="L1276"/>
      <c r="M1276" s="37">
        <f t="shared" si="529"/>
        <v>23.67</v>
      </c>
      <c r="N1276" s="29">
        <v>11.67</v>
      </c>
      <c r="O1276" s="149"/>
      <c r="P1276" s="144"/>
      <c r="S1276" s="145" t="s">
        <v>4179</v>
      </c>
      <c r="T1276" s="145" t="s">
        <v>4179</v>
      </c>
      <c r="U1276" s="146" t="s">
        <v>1017</v>
      </c>
      <c r="W1276" s="147"/>
      <c r="X1276" s="147"/>
      <c r="AA1276" s="147"/>
      <c r="AB1276" s="145" t="s">
        <v>1017</v>
      </c>
      <c r="AD1276" s="147"/>
      <c r="AE1276" s="148" t="s">
        <v>1017</v>
      </c>
      <c r="AF1276" s="147"/>
      <c r="AG1276" s="147"/>
      <c r="AH1276" s="166" t="str">
        <f t="shared" ref="AH1276:AH1281" si="532">IF(ISERROR(SEARCH("K erstmals 201",D1276)),"",RIGHT(D1276,4))</f>
        <v/>
      </c>
      <c r="AI1276" s="168" t="str">
        <f t="shared" si="521"/>
        <v/>
      </c>
      <c r="AJ1276" s="168" t="str">
        <f t="shared" si="522"/>
        <v/>
      </c>
      <c r="AK1276" s="168" t="str">
        <f t="shared" si="523"/>
        <v/>
      </c>
      <c r="AL1276" s="168" t="str">
        <f t="shared" si="524"/>
        <v/>
      </c>
      <c r="AM1276" s="168" t="str">
        <f t="shared" si="525"/>
        <v/>
      </c>
      <c r="AN1276" s="167" t="str">
        <f t="shared" si="508"/>
        <v/>
      </c>
      <c r="AO1276" s="167" t="str">
        <f t="shared" si="509"/>
        <v/>
      </c>
      <c r="AP1276" s="167" t="str">
        <f t="shared" si="510"/>
        <v/>
      </c>
      <c r="AQ1276" s="169" t="str">
        <f t="shared" si="511"/>
        <v/>
      </c>
      <c r="AR1276" s="170" t="str">
        <f t="shared" si="512"/>
        <v>BiK81Lby----06</v>
      </c>
      <c r="AS1276" s="169" t="str">
        <f t="shared" si="513"/>
        <v/>
      </c>
      <c r="AT1276">
        <f t="shared" si="514"/>
        <v>14</v>
      </c>
      <c r="AU1276" s="170" t="str">
        <f t="shared" si="515"/>
        <v>0-0,15 MW, Bonusregeln L, y, b</v>
      </c>
      <c r="AV1276" s="169" t="str">
        <f t="shared" si="516"/>
        <v/>
      </c>
      <c r="AW1276" s="170" t="str">
        <f t="shared" si="517"/>
        <v>Anteil Nicht-KWK</v>
      </c>
      <c r="AX1276" s="169" t="str">
        <f t="shared" si="518"/>
        <v/>
      </c>
      <c r="AY1276" t="str">
        <f t="shared" si="519"/>
        <v/>
      </c>
      <c r="AZ1276" t="str">
        <f t="shared" si="520"/>
        <v/>
      </c>
    </row>
    <row r="1277" spans="1:52" s="145" customFormat="1" x14ac:dyDescent="0.35">
      <c r="A1277" s="497" t="s">
        <v>2762</v>
      </c>
      <c r="B1277" s="13" t="s">
        <v>5547</v>
      </c>
      <c r="C1277" s="13" t="s">
        <v>1296</v>
      </c>
      <c r="D1277" s="13" t="s">
        <v>6966</v>
      </c>
      <c r="E1277" s="13" t="s">
        <v>4811</v>
      </c>
      <c r="F1277" s="373">
        <f t="shared" si="527"/>
        <v>25.67</v>
      </c>
      <c r="G1277" s="430">
        <v>25.67</v>
      </c>
      <c r="H1277" s="399">
        <f t="shared" si="528"/>
        <v>20.54</v>
      </c>
      <c r="I1277" s="576"/>
      <c r="J1277" s="549" t="s">
        <v>5804</v>
      </c>
      <c r="K1277" s="11"/>
      <c r="L1277"/>
      <c r="M1277" s="37">
        <f t="shared" si="529"/>
        <v>25.67</v>
      </c>
      <c r="N1277" s="29">
        <v>11.67</v>
      </c>
      <c r="O1277" s="149" t="s">
        <v>1017</v>
      </c>
      <c r="P1277" s="144"/>
      <c r="S1277" s="145" t="s">
        <v>4179</v>
      </c>
      <c r="T1277" s="145" t="s">
        <v>4179</v>
      </c>
      <c r="U1277" s="146" t="s">
        <v>1017</v>
      </c>
      <c r="W1277" s="147"/>
      <c r="X1277" s="147"/>
      <c r="AA1277" s="147"/>
      <c r="AB1277" s="145" t="s">
        <v>1017</v>
      </c>
      <c r="AD1277" s="147"/>
      <c r="AE1277" s="148" t="s">
        <v>1017</v>
      </c>
      <c r="AF1277" s="147"/>
      <c r="AG1277" s="147"/>
      <c r="AH1277" s="166" t="str">
        <f t="shared" si="532"/>
        <v/>
      </c>
      <c r="AI1277" s="168" t="str">
        <f t="shared" si="521"/>
        <v/>
      </c>
      <c r="AJ1277" s="168" t="str">
        <f t="shared" si="522"/>
        <v/>
      </c>
      <c r="AK1277" s="168" t="str">
        <f t="shared" si="523"/>
        <v/>
      </c>
      <c r="AL1277" s="168" t="str">
        <f t="shared" si="524"/>
        <v/>
      </c>
      <c r="AM1277" s="168" t="str">
        <f t="shared" si="525"/>
        <v/>
      </c>
      <c r="AN1277" s="167" t="str">
        <f t="shared" si="508"/>
        <v/>
      </c>
      <c r="AO1277" s="167" t="str">
        <f t="shared" si="509"/>
        <v/>
      </c>
      <c r="AP1277" s="167" t="str">
        <f t="shared" si="510"/>
        <v/>
      </c>
      <c r="AQ1277" s="169" t="str">
        <f t="shared" si="511"/>
        <v/>
      </c>
      <c r="AR1277" s="170" t="str">
        <f t="shared" si="512"/>
        <v>BiK81LbKWKy-06</v>
      </c>
      <c r="AS1277" s="169" t="str">
        <f t="shared" si="513"/>
        <v/>
      </c>
      <c r="AT1277">
        <f t="shared" si="514"/>
        <v>14</v>
      </c>
      <c r="AU1277" s="170" t="str">
        <f t="shared" si="515"/>
        <v>0-0,15 MW, Bonusregeln L, y, b und KWK</v>
      </c>
      <c r="AV1277" s="169" t="str">
        <f t="shared" si="516"/>
        <v/>
      </c>
      <c r="AW1277" s="170" t="str">
        <f t="shared" si="517"/>
        <v>Anteil KWK</v>
      </c>
      <c r="AX1277" s="169" t="str">
        <f t="shared" si="518"/>
        <v/>
      </c>
      <c r="AY1277" t="str">
        <f t="shared" si="519"/>
        <v/>
      </c>
      <c r="AZ1277" t="str">
        <f t="shared" si="520"/>
        <v/>
      </c>
    </row>
    <row r="1278" spans="1:52" s="145" customFormat="1" x14ac:dyDescent="0.35">
      <c r="A1278" s="497" t="s">
        <v>2763</v>
      </c>
      <c r="B1278" s="13" t="s">
        <v>5547</v>
      </c>
      <c r="C1278" s="13" t="s">
        <v>1296</v>
      </c>
      <c r="D1278" s="88" t="s">
        <v>6967</v>
      </c>
      <c r="E1278" s="13" t="s">
        <v>4330</v>
      </c>
      <c r="F1278" s="373">
        <f t="shared" si="527"/>
        <v>26.67</v>
      </c>
      <c r="G1278" s="430">
        <v>26.67</v>
      </c>
      <c r="H1278" s="399">
        <f t="shared" si="528"/>
        <v>21.34</v>
      </c>
      <c r="I1278" s="576"/>
      <c r="J1278" s="549" t="s">
        <v>5804</v>
      </c>
      <c r="K1278" s="11"/>
      <c r="L1278"/>
      <c r="M1278" s="37">
        <f t="shared" si="529"/>
        <v>26.67</v>
      </c>
      <c r="N1278" s="29">
        <v>11.67</v>
      </c>
      <c r="O1278" s="149"/>
      <c r="P1278" s="145" t="s">
        <v>1017</v>
      </c>
      <c r="S1278" s="145" t="s">
        <v>4179</v>
      </c>
      <c r="T1278" s="145" t="s">
        <v>4179</v>
      </c>
      <c r="U1278" s="146" t="s">
        <v>1017</v>
      </c>
      <c r="W1278" s="147"/>
      <c r="X1278" s="147"/>
      <c r="AA1278" s="147"/>
      <c r="AB1278" s="145" t="s">
        <v>1017</v>
      </c>
      <c r="AD1278" s="147"/>
      <c r="AE1278" s="148" t="s">
        <v>1017</v>
      </c>
      <c r="AF1278" s="147"/>
      <c r="AG1278" s="147"/>
      <c r="AH1278" s="166" t="str">
        <f t="shared" si="532"/>
        <v/>
      </c>
      <c r="AI1278" s="168" t="str">
        <f t="shared" si="521"/>
        <v/>
      </c>
      <c r="AJ1278" s="168" t="str">
        <f t="shared" si="522"/>
        <v/>
      </c>
      <c r="AK1278" s="168" t="str">
        <f t="shared" si="523"/>
        <v/>
      </c>
      <c r="AL1278" s="168" t="str">
        <f t="shared" si="524"/>
        <v/>
      </c>
      <c r="AM1278" s="168" t="str">
        <f t="shared" si="525"/>
        <v/>
      </c>
      <c r="AN1278" s="167" t="str">
        <f t="shared" si="508"/>
        <v/>
      </c>
      <c r="AO1278" s="167" t="str">
        <f t="shared" si="509"/>
        <v/>
      </c>
      <c r="AP1278" s="167" t="str">
        <f t="shared" si="510"/>
        <v/>
      </c>
      <c r="AQ1278" s="169" t="str">
        <f t="shared" si="511"/>
        <v/>
      </c>
      <c r="AR1278" s="170" t="str">
        <f t="shared" si="512"/>
        <v>BiK81LbKA3y-06</v>
      </c>
      <c r="AS1278" s="169" t="str">
        <f t="shared" si="513"/>
        <v/>
      </c>
      <c r="AT1278">
        <f t="shared" si="514"/>
        <v>14</v>
      </c>
      <c r="AU1278" s="170" t="str">
        <f t="shared" si="515"/>
        <v>0-0,15 MW, Bonusregeln L, y, b und K wenn Anlage 3 erfüllt</v>
      </c>
      <c r="AV1278" s="169" t="str">
        <f t="shared" si="516"/>
        <v/>
      </c>
      <c r="AW1278" s="170" t="str">
        <f t="shared" si="517"/>
        <v>Anteil KWK gemäß Anlage 3</v>
      </c>
      <c r="AX1278" s="169" t="str">
        <f t="shared" si="518"/>
        <v/>
      </c>
      <c r="AY1278" t="str">
        <f t="shared" si="519"/>
        <v/>
      </c>
      <c r="AZ1278" t="str">
        <f t="shared" si="520"/>
        <v/>
      </c>
    </row>
    <row r="1279" spans="1:52" s="145" customFormat="1" x14ac:dyDescent="0.35">
      <c r="A1279" s="497" t="s">
        <v>2764</v>
      </c>
      <c r="B1279" s="13" t="s">
        <v>5547</v>
      </c>
      <c r="C1279" s="13" t="s">
        <v>1296</v>
      </c>
      <c r="D1279" s="13" t="s">
        <v>6968</v>
      </c>
      <c r="E1279" s="13" t="s">
        <v>674</v>
      </c>
      <c r="F1279" s="373">
        <f t="shared" si="527"/>
        <v>26.67</v>
      </c>
      <c r="G1279" s="430">
        <v>26.67</v>
      </c>
      <c r="H1279" s="399">
        <f t="shared" si="528"/>
        <v>21.34</v>
      </c>
      <c r="I1279" s="576"/>
      <c r="J1279" s="549" t="s">
        <v>5804</v>
      </c>
      <c r="K1279" s="11"/>
      <c r="L1279"/>
      <c r="M1279" s="37">
        <f t="shared" si="529"/>
        <v>26.67</v>
      </c>
      <c r="N1279" s="29">
        <v>11.67</v>
      </c>
      <c r="O1279" s="149"/>
      <c r="P1279" s="144"/>
      <c r="Q1279" s="145" t="s">
        <v>1017</v>
      </c>
      <c r="S1279" s="145" t="s">
        <v>4179</v>
      </c>
      <c r="T1279" s="145" t="s">
        <v>4179</v>
      </c>
      <c r="U1279" s="146" t="s">
        <v>1017</v>
      </c>
      <c r="W1279" s="147"/>
      <c r="X1279" s="147"/>
      <c r="AA1279" s="147"/>
      <c r="AB1279" s="145" t="s">
        <v>1017</v>
      </c>
      <c r="AD1279" s="147"/>
      <c r="AE1279" s="148" t="s">
        <v>1017</v>
      </c>
      <c r="AF1279" s="147"/>
      <c r="AG1279" s="147"/>
      <c r="AH1279" s="166" t="str">
        <f t="shared" si="532"/>
        <v/>
      </c>
      <c r="AI1279" s="168" t="str">
        <f t="shared" si="521"/>
        <v/>
      </c>
      <c r="AJ1279" s="168" t="str">
        <f t="shared" si="522"/>
        <v/>
      </c>
      <c r="AK1279" s="168" t="str">
        <f t="shared" si="523"/>
        <v/>
      </c>
      <c r="AL1279" s="168" t="str">
        <f t="shared" si="524"/>
        <v/>
      </c>
      <c r="AM1279" s="168" t="str">
        <f t="shared" si="525"/>
        <v/>
      </c>
      <c r="AN1279" s="167" t="str">
        <f t="shared" si="508"/>
        <v/>
      </c>
      <c r="AO1279" s="167" t="str">
        <f t="shared" si="509"/>
        <v/>
      </c>
      <c r="AP1279" s="167" t="str">
        <f t="shared" si="510"/>
        <v/>
      </c>
      <c r="AQ1279" s="169" t="str">
        <f t="shared" si="511"/>
        <v/>
      </c>
      <c r="AR1279" s="170" t="str">
        <f t="shared" si="512"/>
        <v>BiK81LbK09y-06</v>
      </c>
      <c r="AS1279" s="169" t="str">
        <f t="shared" si="513"/>
        <v/>
      </c>
      <c r="AT1279">
        <f t="shared" si="514"/>
        <v>14</v>
      </c>
      <c r="AU1279" s="170" t="str">
        <f t="shared" si="515"/>
        <v>0-0,15 MW, Bonusregeln L, y, b und K erstmals 2009</v>
      </c>
      <c r="AV1279" s="169" t="str">
        <f t="shared" si="516"/>
        <v/>
      </c>
      <c r="AW1279" s="170" t="str">
        <f t="shared" si="517"/>
        <v>Anteil KWK, erstmals 2009</v>
      </c>
      <c r="AX1279" s="169" t="str">
        <f t="shared" si="518"/>
        <v/>
      </c>
      <c r="AY1279" t="str">
        <f t="shared" si="519"/>
        <v/>
      </c>
      <c r="AZ1279" t="str">
        <f t="shared" si="520"/>
        <v/>
      </c>
    </row>
    <row r="1280" spans="1:52" s="145" customFormat="1" x14ac:dyDescent="0.35">
      <c r="A1280" s="497" t="s">
        <v>4905</v>
      </c>
      <c r="B1280" s="13" t="s">
        <v>5547</v>
      </c>
      <c r="C1280" s="13" t="s">
        <v>1296</v>
      </c>
      <c r="D1280" s="13" t="s">
        <v>6969</v>
      </c>
      <c r="E1280" s="13" t="s">
        <v>3566</v>
      </c>
      <c r="F1280" s="373">
        <f t="shared" si="527"/>
        <v>26.64</v>
      </c>
      <c r="G1280" s="430">
        <v>26.64</v>
      </c>
      <c r="H1280" s="399">
        <f t="shared" si="528"/>
        <v>21.31</v>
      </c>
      <c r="I1280" s="576"/>
      <c r="J1280" s="549" t="s">
        <v>5804</v>
      </c>
      <c r="K1280" s="11"/>
      <c r="L1280"/>
      <c r="M1280" s="37">
        <f t="shared" si="529"/>
        <v>26.64</v>
      </c>
      <c r="N1280" s="29">
        <v>11.67</v>
      </c>
      <c r="O1280" s="149"/>
      <c r="P1280" s="144"/>
      <c r="R1280" s="145" t="s">
        <v>1017</v>
      </c>
      <c r="S1280" s="145" t="s">
        <v>4179</v>
      </c>
      <c r="T1280" s="145" t="s">
        <v>4179</v>
      </c>
      <c r="U1280" s="146" t="s">
        <v>1017</v>
      </c>
      <c r="W1280" s="147"/>
      <c r="X1280" s="147"/>
      <c r="AA1280" s="147"/>
      <c r="AB1280" s="145" t="s">
        <v>1017</v>
      </c>
      <c r="AD1280" s="147"/>
      <c r="AE1280" s="148" t="s">
        <v>1017</v>
      </c>
      <c r="AF1280" s="147"/>
      <c r="AG1280" s="147"/>
      <c r="AH1280" s="166" t="str">
        <f t="shared" si="532"/>
        <v>2010</v>
      </c>
      <c r="AI1280" s="168" t="str">
        <f t="shared" si="521"/>
        <v/>
      </c>
      <c r="AJ1280" s="168" t="str">
        <f t="shared" si="522"/>
        <v/>
      </c>
      <c r="AK1280" s="168" t="str">
        <f t="shared" si="523"/>
        <v/>
      </c>
      <c r="AL1280" s="168" t="str">
        <f t="shared" si="524"/>
        <v/>
      </c>
      <c r="AM1280" s="168" t="str">
        <f t="shared" si="525"/>
        <v/>
      </c>
      <c r="AN1280" s="167" t="str">
        <f t="shared" si="508"/>
        <v>2010</v>
      </c>
      <c r="AO1280" s="167" t="str">
        <f t="shared" si="509"/>
        <v>2010</v>
      </c>
      <c r="AP1280" s="167" t="str">
        <f t="shared" si="510"/>
        <v>2010</v>
      </c>
      <c r="AQ1280" s="169" t="str">
        <f t="shared" si="511"/>
        <v/>
      </c>
      <c r="AR1280" s="170" t="str">
        <f t="shared" si="512"/>
        <v>BiK81LbK10y-06</v>
      </c>
      <c r="AS1280" s="169" t="str">
        <f t="shared" si="513"/>
        <v/>
      </c>
      <c r="AT1280">
        <f t="shared" si="514"/>
        <v>14</v>
      </c>
      <c r="AU1280" s="170" t="str">
        <f t="shared" si="515"/>
        <v>0-0,15 MW, Bonusregeln L, y, b und K erstmals 2010</v>
      </c>
      <c r="AV1280" s="169" t="str">
        <f t="shared" si="516"/>
        <v/>
      </c>
      <c r="AW1280" s="170" t="str">
        <f t="shared" si="517"/>
        <v>Anteil KWK, erstmals 2010</v>
      </c>
      <c r="AX1280" s="169" t="str">
        <f t="shared" si="518"/>
        <v/>
      </c>
      <c r="AY1280" t="str">
        <f t="shared" si="519"/>
        <v/>
      </c>
      <c r="AZ1280" t="str">
        <f t="shared" si="520"/>
        <v/>
      </c>
    </row>
    <row r="1281" spans="1:52" s="145" customFormat="1" x14ac:dyDescent="0.35">
      <c r="A1281" s="497" t="s">
        <v>3952</v>
      </c>
      <c r="B1281" s="13" t="s">
        <v>5547</v>
      </c>
      <c r="C1281" s="13" t="s">
        <v>1296</v>
      </c>
      <c r="D1281" s="13" t="s">
        <v>6970</v>
      </c>
      <c r="E1281" s="13" t="s">
        <v>3054</v>
      </c>
      <c r="F1281" s="373">
        <f t="shared" si="527"/>
        <v>26.61</v>
      </c>
      <c r="G1281" s="430">
        <v>26.61</v>
      </c>
      <c r="H1281" s="399">
        <f t="shared" si="528"/>
        <v>21.29</v>
      </c>
      <c r="I1281" s="576"/>
      <c r="J1281" s="549" t="s">
        <v>5804</v>
      </c>
      <c r="K1281" s="11"/>
      <c r="L1281"/>
      <c r="M1281" s="37">
        <f t="shared" si="529"/>
        <v>26.61</v>
      </c>
      <c r="N1281" s="29">
        <v>11.67</v>
      </c>
      <c r="O1281" s="149"/>
      <c r="P1281" s="144"/>
      <c r="S1281" s="145" t="s">
        <v>1017</v>
      </c>
      <c r="T1281" s="145" t="s">
        <v>4179</v>
      </c>
      <c r="U1281" s="146" t="s">
        <v>1017</v>
      </c>
      <c r="W1281" s="147"/>
      <c r="X1281" s="147"/>
      <c r="AA1281" s="147"/>
      <c r="AB1281" s="145" t="s">
        <v>1017</v>
      </c>
      <c r="AD1281" s="147"/>
      <c r="AE1281" s="148" t="s">
        <v>1017</v>
      </c>
      <c r="AF1281" s="147"/>
      <c r="AG1281" s="147"/>
      <c r="AH1281" s="166" t="str">
        <f t="shared" si="532"/>
        <v>2011</v>
      </c>
      <c r="AI1281" s="168" t="str">
        <f t="shared" si="521"/>
        <v/>
      </c>
      <c r="AJ1281" s="168" t="str">
        <f t="shared" si="522"/>
        <v/>
      </c>
      <c r="AK1281" s="168" t="str">
        <f t="shared" si="523"/>
        <v/>
      </c>
      <c r="AL1281" s="168" t="str">
        <f t="shared" si="524"/>
        <v/>
      </c>
      <c r="AM1281" s="168" t="str">
        <f t="shared" si="525"/>
        <v/>
      </c>
      <c r="AN1281" s="167" t="str">
        <f t="shared" si="508"/>
        <v>2011</v>
      </c>
      <c r="AO1281" s="167" t="str">
        <f t="shared" si="509"/>
        <v>2011</v>
      </c>
      <c r="AP1281" s="167" t="str">
        <f t="shared" si="510"/>
        <v>2011</v>
      </c>
      <c r="AQ1281" s="169" t="str">
        <f t="shared" si="511"/>
        <v/>
      </c>
      <c r="AR1281" s="170" t="str">
        <f t="shared" si="512"/>
        <v>BiK81LbK11y-06</v>
      </c>
      <c r="AS1281" s="169" t="str">
        <f t="shared" si="513"/>
        <v/>
      </c>
      <c r="AT1281">
        <f t="shared" si="514"/>
        <v>14</v>
      </c>
      <c r="AU1281" s="170" t="str">
        <f t="shared" si="515"/>
        <v>0-0,15 MW, Bonusregeln L, y, b und K erstmals 2011</v>
      </c>
      <c r="AV1281" s="169" t="str">
        <f t="shared" si="516"/>
        <v/>
      </c>
      <c r="AW1281" s="170" t="str">
        <f t="shared" si="517"/>
        <v>Anteil KWK, erstmals 2011</v>
      </c>
      <c r="AX1281" s="169" t="str">
        <f t="shared" si="518"/>
        <v/>
      </c>
      <c r="AY1281" t="str">
        <f t="shared" si="519"/>
        <v>x</v>
      </c>
      <c r="AZ1281" t="str">
        <f t="shared" si="520"/>
        <v/>
      </c>
    </row>
    <row r="1282" spans="1:52" s="145" customFormat="1" x14ac:dyDescent="0.35">
      <c r="A1282" s="511" t="s">
        <v>3652</v>
      </c>
      <c r="B1282" s="173" t="s">
        <v>5547</v>
      </c>
      <c r="C1282" s="173" t="s">
        <v>1296</v>
      </c>
      <c r="D1282" s="173" t="s">
        <v>6971</v>
      </c>
      <c r="E1282" s="173" t="s">
        <v>1980</v>
      </c>
      <c r="F1282" s="374">
        <f t="shared" si="527"/>
        <v>26.58</v>
      </c>
      <c r="G1282" s="431">
        <v>26.58</v>
      </c>
      <c r="H1282" s="400">
        <f t="shared" si="528"/>
        <v>21.26</v>
      </c>
      <c r="I1282" s="577"/>
      <c r="J1282" s="549" t="s">
        <v>5804</v>
      </c>
      <c r="K1282" s="11"/>
      <c r="L1282"/>
      <c r="M1282" s="37">
        <f t="shared" si="529"/>
        <v>26.58</v>
      </c>
      <c r="N1282" s="29">
        <v>11.67</v>
      </c>
      <c r="O1282" s="149"/>
      <c r="P1282" s="144"/>
      <c r="S1282" s="145" t="s">
        <v>4179</v>
      </c>
      <c r="T1282" s="145" t="s">
        <v>1017</v>
      </c>
      <c r="U1282" s="146" t="s">
        <v>1017</v>
      </c>
      <c r="W1282" s="147"/>
      <c r="X1282" s="147"/>
      <c r="AA1282" s="147"/>
      <c r="AB1282" s="145" t="s">
        <v>1017</v>
      </c>
      <c r="AD1282" s="147"/>
      <c r="AE1282" s="148" t="s">
        <v>1017</v>
      </c>
      <c r="AF1282" s="147"/>
      <c r="AG1282" s="147"/>
      <c r="AH1282" s="171" t="s">
        <v>4178</v>
      </c>
      <c r="AI1282" s="168" t="str">
        <f t="shared" si="521"/>
        <v/>
      </c>
      <c r="AJ1282" s="168" t="str">
        <f t="shared" si="522"/>
        <v/>
      </c>
      <c r="AK1282" s="168" t="str">
        <f t="shared" si="523"/>
        <v/>
      </c>
      <c r="AL1282" s="168" t="str">
        <f t="shared" si="524"/>
        <v/>
      </c>
      <c r="AM1282" s="168" t="str">
        <f t="shared" si="525"/>
        <v/>
      </c>
      <c r="AN1282" s="167" t="str">
        <f t="shared" si="508"/>
        <v>2012</v>
      </c>
      <c r="AO1282" s="167" t="str">
        <f t="shared" si="509"/>
        <v>2012</v>
      </c>
      <c r="AP1282" s="167" t="str">
        <f t="shared" si="510"/>
        <v>2012</v>
      </c>
      <c r="AQ1282" s="169" t="str">
        <f t="shared" si="511"/>
        <v/>
      </c>
      <c r="AR1282" s="170" t="str">
        <f t="shared" si="512"/>
        <v>BiK81LbK12y-06</v>
      </c>
      <c r="AS1282" s="169" t="str">
        <f t="shared" si="513"/>
        <v/>
      </c>
      <c r="AT1282">
        <f t="shared" si="514"/>
        <v>14</v>
      </c>
      <c r="AU1282" s="170" t="str">
        <f t="shared" si="515"/>
        <v>0-0,15 MW, Bonusregeln L, y, b und K erstmals 2012</v>
      </c>
      <c r="AV1282" s="169" t="str">
        <f t="shared" si="516"/>
        <v/>
      </c>
      <c r="AW1282" s="170" t="str">
        <f t="shared" si="517"/>
        <v>Anteil KWK, erstmals 2012</v>
      </c>
      <c r="AX1282" s="169" t="str">
        <f t="shared" si="518"/>
        <v/>
      </c>
      <c r="AY1282" t="str">
        <f t="shared" si="519"/>
        <v/>
      </c>
      <c r="AZ1282" t="str">
        <f t="shared" si="520"/>
        <v>x</v>
      </c>
    </row>
    <row r="1283" spans="1:52" s="145" customFormat="1" x14ac:dyDescent="0.35">
      <c r="A1283" s="497" t="s">
        <v>2765</v>
      </c>
      <c r="B1283" s="13" t="s">
        <v>5547</v>
      </c>
      <c r="C1283" s="13" t="s">
        <v>1296</v>
      </c>
      <c r="D1283" s="13" t="s">
        <v>6972</v>
      </c>
      <c r="E1283" s="13" t="s">
        <v>4809</v>
      </c>
      <c r="F1283" s="373">
        <f t="shared" si="527"/>
        <v>26.67</v>
      </c>
      <c r="G1283" s="430">
        <v>26.67</v>
      </c>
      <c r="H1283" s="399">
        <f t="shared" si="528"/>
        <v>21.34</v>
      </c>
      <c r="I1283" s="576"/>
      <c r="J1283" s="549" t="s">
        <v>5804</v>
      </c>
      <c r="K1283" s="11"/>
      <c r="L1283"/>
      <c r="M1283" s="37">
        <f t="shared" si="529"/>
        <v>26.67</v>
      </c>
      <c r="N1283" s="29">
        <v>11.67</v>
      </c>
      <c r="O1283" s="149"/>
      <c r="P1283" s="144"/>
      <c r="S1283" s="145" t="s">
        <v>4179</v>
      </c>
      <c r="T1283" s="145" t="s">
        <v>4179</v>
      </c>
      <c r="U1283" s="146"/>
      <c r="W1283" s="147"/>
      <c r="X1283" s="147"/>
      <c r="AA1283" s="147"/>
      <c r="AC1283" s="145" t="s">
        <v>1017</v>
      </c>
      <c r="AD1283" s="147"/>
      <c r="AE1283" s="148" t="s">
        <v>1017</v>
      </c>
      <c r="AF1283" s="147"/>
      <c r="AG1283" s="147"/>
      <c r="AH1283" s="166" t="str">
        <f t="shared" ref="AH1283:AH1288" si="533">IF(ISERROR(SEARCH("K erstmals 201",D1283)),"",RIGHT(D1283,4))</f>
        <v/>
      </c>
      <c r="AI1283" s="168" t="str">
        <f t="shared" si="521"/>
        <v/>
      </c>
      <c r="AJ1283" s="168" t="str">
        <f t="shared" si="522"/>
        <v/>
      </c>
      <c r="AK1283" s="168" t="str">
        <f t="shared" si="523"/>
        <v/>
      </c>
      <c r="AL1283" s="168" t="str">
        <f t="shared" si="524"/>
        <v/>
      </c>
      <c r="AM1283" s="168" t="str">
        <f t="shared" si="525"/>
        <v/>
      </c>
      <c r="AN1283" s="167" t="str">
        <f t="shared" si="508"/>
        <v/>
      </c>
      <c r="AO1283" s="167" t="str">
        <f t="shared" si="509"/>
        <v/>
      </c>
      <c r="AP1283" s="167" t="str">
        <f t="shared" si="510"/>
        <v/>
      </c>
      <c r="AQ1283" s="169" t="str">
        <f t="shared" si="511"/>
        <v/>
      </c>
      <c r="AR1283" s="170" t="str">
        <f t="shared" si="512"/>
        <v>BiK81X1b----06</v>
      </c>
      <c r="AS1283" s="169" t="str">
        <f t="shared" si="513"/>
        <v/>
      </c>
      <c r="AT1283">
        <f t="shared" si="514"/>
        <v>14</v>
      </c>
      <c r="AU1283" s="170" t="str">
        <f t="shared" si="515"/>
        <v>0-0,15 MW, Bonusregeln X1, b</v>
      </c>
      <c r="AV1283" s="169" t="str">
        <f t="shared" si="516"/>
        <v/>
      </c>
      <c r="AW1283" s="170" t="str">
        <f t="shared" si="517"/>
        <v>Anteil Nicht-KWK</v>
      </c>
      <c r="AX1283" s="169" t="str">
        <f t="shared" si="518"/>
        <v/>
      </c>
      <c r="AY1283" t="str">
        <f t="shared" si="519"/>
        <v/>
      </c>
      <c r="AZ1283" t="str">
        <f t="shared" si="520"/>
        <v/>
      </c>
    </row>
    <row r="1284" spans="1:52" s="145" customFormat="1" x14ac:dyDescent="0.35">
      <c r="A1284" s="497" t="s">
        <v>2766</v>
      </c>
      <c r="B1284" s="13" t="s">
        <v>5547</v>
      </c>
      <c r="C1284" s="13" t="s">
        <v>1296</v>
      </c>
      <c r="D1284" s="13" t="s">
        <v>6973</v>
      </c>
      <c r="E1284" s="13" t="s">
        <v>4811</v>
      </c>
      <c r="F1284" s="373">
        <f t="shared" si="527"/>
        <v>28.67</v>
      </c>
      <c r="G1284" s="430">
        <v>28.67</v>
      </c>
      <c r="H1284" s="399">
        <f t="shared" si="528"/>
        <v>22.94</v>
      </c>
      <c r="I1284" s="576"/>
      <c r="J1284" s="549" t="s">
        <v>5804</v>
      </c>
      <c r="K1284" s="11"/>
      <c r="L1284"/>
      <c r="M1284" s="37">
        <f t="shared" si="529"/>
        <v>28.67</v>
      </c>
      <c r="N1284" s="29">
        <v>11.67</v>
      </c>
      <c r="O1284" s="149" t="s">
        <v>1017</v>
      </c>
      <c r="P1284" s="144"/>
      <c r="S1284" s="145" t="s">
        <v>4179</v>
      </c>
      <c r="T1284" s="145" t="s">
        <v>4179</v>
      </c>
      <c r="U1284" s="146"/>
      <c r="W1284" s="147"/>
      <c r="X1284" s="147"/>
      <c r="AA1284" s="147"/>
      <c r="AC1284" s="145" t="s">
        <v>1017</v>
      </c>
      <c r="AD1284" s="147"/>
      <c r="AE1284" s="148" t="s">
        <v>1017</v>
      </c>
      <c r="AF1284" s="147"/>
      <c r="AG1284" s="147"/>
      <c r="AH1284" s="166" t="str">
        <f t="shared" si="533"/>
        <v/>
      </c>
      <c r="AI1284" s="168" t="str">
        <f t="shared" si="521"/>
        <v/>
      </c>
      <c r="AJ1284" s="168" t="str">
        <f t="shared" si="522"/>
        <v/>
      </c>
      <c r="AK1284" s="168" t="str">
        <f t="shared" si="523"/>
        <v/>
      </c>
      <c r="AL1284" s="168" t="str">
        <f t="shared" si="524"/>
        <v/>
      </c>
      <c r="AM1284" s="168" t="str">
        <f t="shared" si="525"/>
        <v/>
      </c>
      <c r="AN1284" s="167" t="str">
        <f t="shared" si="508"/>
        <v/>
      </c>
      <c r="AO1284" s="167" t="str">
        <f t="shared" si="509"/>
        <v/>
      </c>
      <c r="AP1284" s="167" t="str">
        <f t="shared" si="510"/>
        <v/>
      </c>
      <c r="AQ1284" s="169" t="str">
        <f t="shared" si="511"/>
        <v/>
      </c>
      <c r="AR1284" s="170" t="str">
        <f t="shared" si="512"/>
        <v>BiK81X1bKWK-06</v>
      </c>
      <c r="AS1284" s="169" t="str">
        <f t="shared" si="513"/>
        <v/>
      </c>
      <c r="AT1284">
        <f t="shared" si="514"/>
        <v>14</v>
      </c>
      <c r="AU1284" s="170" t="str">
        <f t="shared" si="515"/>
        <v>0-0,15 MW, Bonusregeln X1, b und KWK</v>
      </c>
      <c r="AV1284" s="169" t="str">
        <f t="shared" si="516"/>
        <v/>
      </c>
      <c r="AW1284" s="170" t="str">
        <f t="shared" si="517"/>
        <v>Anteil KWK</v>
      </c>
      <c r="AX1284" s="169" t="str">
        <f t="shared" si="518"/>
        <v/>
      </c>
      <c r="AY1284" t="str">
        <f t="shared" si="519"/>
        <v/>
      </c>
      <c r="AZ1284" t="str">
        <f t="shared" si="520"/>
        <v/>
      </c>
    </row>
    <row r="1285" spans="1:52" s="145" customFormat="1" x14ac:dyDescent="0.35">
      <c r="A1285" s="497" t="s">
        <v>2767</v>
      </c>
      <c r="B1285" s="13" t="s">
        <v>5547</v>
      </c>
      <c r="C1285" s="13" t="s">
        <v>1296</v>
      </c>
      <c r="D1285" s="13" t="s">
        <v>6974</v>
      </c>
      <c r="E1285" s="13" t="s">
        <v>4330</v>
      </c>
      <c r="F1285" s="373">
        <f t="shared" si="527"/>
        <v>29.67</v>
      </c>
      <c r="G1285" s="430">
        <v>29.67</v>
      </c>
      <c r="H1285" s="399">
        <f t="shared" si="528"/>
        <v>23.74</v>
      </c>
      <c r="I1285" s="576"/>
      <c r="J1285" s="549" t="s">
        <v>5804</v>
      </c>
      <c r="K1285" s="11"/>
      <c r="L1285"/>
      <c r="M1285" s="37">
        <f t="shared" si="529"/>
        <v>29.67</v>
      </c>
      <c r="N1285" s="29">
        <v>11.67</v>
      </c>
      <c r="O1285" s="149"/>
      <c r="P1285" s="145" t="s">
        <v>1017</v>
      </c>
      <c r="S1285" s="145" t="s">
        <v>4179</v>
      </c>
      <c r="T1285" s="145" t="s">
        <v>4179</v>
      </c>
      <c r="U1285" s="146"/>
      <c r="W1285" s="147"/>
      <c r="X1285" s="147"/>
      <c r="AA1285" s="147"/>
      <c r="AC1285" s="145" t="s">
        <v>1017</v>
      </c>
      <c r="AD1285" s="147"/>
      <c r="AE1285" s="148" t="s">
        <v>1017</v>
      </c>
      <c r="AF1285" s="147"/>
      <c r="AG1285" s="147"/>
      <c r="AH1285" s="166" t="str">
        <f t="shared" si="533"/>
        <v/>
      </c>
      <c r="AI1285" s="168" t="str">
        <f t="shared" si="521"/>
        <v/>
      </c>
      <c r="AJ1285" s="168" t="str">
        <f t="shared" si="522"/>
        <v/>
      </c>
      <c r="AK1285" s="168" t="str">
        <f t="shared" si="523"/>
        <v/>
      </c>
      <c r="AL1285" s="168" t="str">
        <f t="shared" si="524"/>
        <v/>
      </c>
      <c r="AM1285" s="168" t="str">
        <f t="shared" si="525"/>
        <v/>
      </c>
      <c r="AN1285" s="167" t="str">
        <f t="shared" si="508"/>
        <v/>
      </c>
      <c r="AO1285" s="167" t="str">
        <f t="shared" si="509"/>
        <v/>
      </c>
      <c r="AP1285" s="167" t="str">
        <f t="shared" si="510"/>
        <v/>
      </c>
      <c r="AQ1285" s="169" t="str">
        <f t="shared" si="511"/>
        <v/>
      </c>
      <c r="AR1285" s="170" t="str">
        <f t="shared" si="512"/>
        <v>BiK81X1bKA3-06</v>
      </c>
      <c r="AS1285" s="169" t="str">
        <f t="shared" si="513"/>
        <v/>
      </c>
      <c r="AT1285">
        <f t="shared" si="514"/>
        <v>14</v>
      </c>
      <c r="AU1285" s="170" t="str">
        <f t="shared" si="515"/>
        <v>0-0,15 MW, Bonusregeln X1, b und K wenn Anlage 3 erfüllt</v>
      </c>
      <c r="AV1285" s="169" t="str">
        <f t="shared" si="516"/>
        <v/>
      </c>
      <c r="AW1285" s="170" t="str">
        <f t="shared" si="517"/>
        <v>Anteil KWK gemäß Anlage 3</v>
      </c>
      <c r="AX1285" s="169" t="str">
        <f t="shared" si="518"/>
        <v/>
      </c>
      <c r="AY1285" t="str">
        <f t="shared" si="519"/>
        <v/>
      </c>
      <c r="AZ1285" t="str">
        <f t="shared" si="520"/>
        <v/>
      </c>
    </row>
    <row r="1286" spans="1:52" s="145" customFormat="1" x14ac:dyDescent="0.35">
      <c r="A1286" s="497" t="s">
        <v>2768</v>
      </c>
      <c r="B1286" s="13" t="s">
        <v>5547</v>
      </c>
      <c r="C1286" s="13" t="s">
        <v>1296</v>
      </c>
      <c r="D1286" s="13" t="s">
        <v>6975</v>
      </c>
      <c r="E1286" s="13" t="s">
        <v>674</v>
      </c>
      <c r="F1286" s="373">
        <f t="shared" si="527"/>
        <v>29.67</v>
      </c>
      <c r="G1286" s="430">
        <v>29.67</v>
      </c>
      <c r="H1286" s="399">
        <f t="shared" si="528"/>
        <v>23.74</v>
      </c>
      <c r="I1286" s="576"/>
      <c r="J1286" s="549" t="s">
        <v>5804</v>
      </c>
      <c r="K1286" s="11"/>
      <c r="L1286"/>
      <c r="M1286" s="37">
        <f t="shared" si="529"/>
        <v>29.67</v>
      </c>
      <c r="N1286" s="29">
        <v>11.67</v>
      </c>
      <c r="O1286" s="149"/>
      <c r="P1286" s="144"/>
      <c r="Q1286" s="145" t="s">
        <v>1017</v>
      </c>
      <c r="S1286" s="145" t="s">
        <v>4179</v>
      </c>
      <c r="T1286" s="145" t="s">
        <v>4179</v>
      </c>
      <c r="U1286" s="146"/>
      <c r="W1286" s="147"/>
      <c r="X1286" s="147"/>
      <c r="AA1286" s="147"/>
      <c r="AC1286" s="145" t="s">
        <v>1017</v>
      </c>
      <c r="AD1286" s="147"/>
      <c r="AE1286" s="148" t="s">
        <v>1017</v>
      </c>
      <c r="AF1286" s="147"/>
      <c r="AG1286" s="147"/>
      <c r="AH1286" s="166" t="str">
        <f t="shared" si="533"/>
        <v/>
      </c>
      <c r="AI1286" s="168" t="str">
        <f t="shared" si="521"/>
        <v/>
      </c>
      <c r="AJ1286" s="168" t="str">
        <f t="shared" si="522"/>
        <v/>
      </c>
      <c r="AK1286" s="168" t="str">
        <f t="shared" si="523"/>
        <v/>
      </c>
      <c r="AL1286" s="168" t="str">
        <f t="shared" si="524"/>
        <v/>
      </c>
      <c r="AM1286" s="168" t="str">
        <f t="shared" si="525"/>
        <v/>
      </c>
      <c r="AN1286" s="167" t="str">
        <f t="shared" si="508"/>
        <v/>
      </c>
      <c r="AO1286" s="167" t="str">
        <f t="shared" si="509"/>
        <v/>
      </c>
      <c r="AP1286" s="167" t="str">
        <f t="shared" si="510"/>
        <v/>
      </c>
      <c r="AQ1286" s="169" t="str">
        <f t="shared" si="511"/>
        <v/>
      </c>
      <c r="AR1286" s="170" t="str">
        <f t="shared" si="512"/>
        <v>BiK81X1bK09-06</v>
      </c>
      <c r="AS1286" s="169" t="str">
        <f t="shared" si="513"/>
        <v/>
      </c>
      <c r="AT1286">
        <f t="shared" si="514"/>
        <v>14</v>
      </c>
      <c r="AU1286" s="170" t="str">
        <f t="shared" si="515"/>
        <v>0-0,15 MW, Bonusregeln X1, b und K erstmals 2009</v>
      </c>
      <c r="AV1286" s="169" t="str">
        <f t="shared" si="516"/>
        <v/>
      </c>
      <c r="AW1286" s="170" t="str">
        <f t="shared" si="517"/>
        <v>Anteil KWK, erstmals 2009</v>
      </c>
      <c r="AX1286" s="169" t="str">
        <f t="shared" si="518"/>
        <v/>
      </c>
      <c r="AY1286" t="str">
        <f t="shared" si="519"/>
        <v/>
      </c>
      <c r="AZ1286" t="str">
        <f t="shared" si="520"/>
        <v/>
      </c>
    </row>
    <row r="1287" spans="1:52" s="145" customFormat="1" x14ac:dyDescent="0.35">
      <c r="A1287" s="497" t="s">
        <v>4906</v>
      </c>
      <c r="B1287" s="13" t="s">
        <v>5547</v>
      </c>
      <c r="C1287" s="13" t="s">
        <v>1296</v>
      </c>
      <c r="D1287" s="13" t="s">
        <v>6976</v>
      </c>
      <c r="E1287" s="13" t="s">
        <v>3566</v>
      </c>
      <c r="F1287" s="373">
        <f t="shared" si="527"/>
        <v>29.64</v>
      </c>
      <c r="G1287" s="430">
        <v>29.64</v>
      </c>
      <c r="H1287" s="399">
        <f t="shared" si="528"/>
        <v>23.71</v>
      </c>
      <c r="I1287" s="576"/>
      <c r="J1287" s="549" t="s">
        <v>5804</v>
      </c>
      <c r="K1287" s="11"/>
      <c r="L1287"/>
      <c r="M1287" s="37">
        <f t="shared" si="529"/>
        <v>29.64</v>
      </c>
      <c r="N1287" s="29">
        <v>11.67</v>
      </c>
      <c r="O1287" s="149"/>
      <c r="P1287" s="144"/>
      <c r="R1287" s="145" t="s">
        <v>1017</v>
      </c>
      <c r="S1287" s="145" t="s">
        <v>4179</v>
      </c>
      <c r="T1287" s="145" t="s">
        <v>4179</v>
      </c>
      <c r="U1287" s="146"/>
      <c r="W1287" s="147"/>
      <c r="X1287" s="147"/>
      <c r="AA1287" s="147"/>
      <c r="AC1287" s="145" t="s">
        <v>1017</v>
      </c>
      <c r="AD1287" s="147"/>
      <c r="AE1287" s="148" t="s">
        <v>1017</v>
      </c>
      <c r="AF1287" s="147"/>
      <c r="AG1287" s="147"/>
      <c r="AH1287" s="166" t="str">
        <f t="shared" si="533"/>
        <v>2010</v>
      </c>
      <c r="AI1287" s="168" t="str">
        <f t="shared" si="521"/>
        <v/>
      </c>
      <c r="AJ1287" s="168" t="str">
        <f t="shared" si="522"/>
        <v/>
      </c>
      <c r="AK1287" s="168" t="str">
        <f t="shared" si="523"/>
        <v/>
      </c>
      <c r="AL1287" s="168" t="str">
        <f t="shared" si="524"/>
        <v/>
      </c>
      <c r="AM1287" s="168" t="str">
        <f t="shared" si="525"/>
        <v/>
      </c>
      <c r="AN1287" s="167" t="str">
        <f t="shared" si="508"/>
        <v>2010</v>
      </c>
      <c r="AO1287" s="167" t="str">
        <f t="shared" si="509"/>
        <v>2010</v>
      </c>
      <c r="AP1287" s="167" t="str">
        <f t="shared" si="510"/>
        <v>2010</v>
      </c>
      <c r="AQ1287" s="169" t="str">
        <f t="shared" si="511"/>
        <v/>
      </c>
      <c r="AR1287" s="170" t="str">
        <f t="shared" si="512"/>
        <v>BiK81X1bK10-06</v>
      </c>
      <c r="AS1287" s="169" t="str">
        <f t="shared" si="513"/>
        <v/>
      </c>
      <c r="AT1287">
        <f t="shared" si="514"/>
        <v>14</v>
      </c>
      <c r="AU1287" s="170" t="str">
        <f t="shared" si="515"/>
        <v>0-0,15 MW, Bonusregeln X1, b und K erstmals 2010</v>
      </c>
      <c r="AV1287" s="169" t="str">
        <f t="shared" si="516"/>
        <v/>
      </c>
      <c r="AW1287" s="170" t="str">
        <f t="shared" si="517"/>
        <v>Anteil KWK, erstmals 2010</v>
      </c>
      <c r="AX1287" s="169" t="str">
        <f t="shared" si="518"/>
        <v/>
      </c>
      <c r="AY1287" t="str">
        <f t="shared" si="519"/>
        <v/>
      </c>
      <c r="AZ1287" t="str">
        <f t="shared" si="520"/>
        <v/>
      </c>
    </row>
    <row r="1288" spans="1:52" s="145" customFormat="1" x14ac:dyDescent="0.35">
      <c r="A1288" s="497" t="s">
        <v>3953</v>
      </c>
      <c r="B1288" s="13" t="s">
        <v>5547</v>
      </c>
      <c r="C1288" s="13" t="s">
        <v>1296</v>
      </c>
      <c r="D1288" s="13" t="s">
        <v>6977</v>
      </c>
      <c r="E1288" s="13" t="s">
        <v>3054</v>
      </c>
      <c r="F1288" s="373">
        <f t="shared" si="527"/>
        <v>29.61</v>
      </c>
      <c r="G1288" s="430">
        <v>29.61</v>
      </c>
      <c r="H1288" s="399">
        <f t="shared" si="528"/>
        <v>23.69</v>
      </c>
      <c r="I1288" s="576"/>
      <c r="J1288" s="549" t="s">
        <v>5804</v>
      </c>
      <c r="K1288" s="11"/>
      <c r="L1288"/>
      <c r="M1288" s="37">
        <f t="shared" si="529"/>
        <v>29.61</v>
      </c>
      <c r="N1288" s="29">
        <v>11.67</v>
      </c>
      <c r="O1288" s="149"/>
      <c r="P1288" s="144"/>
      <c r="S1288" s="145" t="s">
        <v>1017</v>
      </c>
      <c r="T1288" s="145" t="s">
        <v>4179</v>
      </c>
      <c r="U1288" s="146"/>
      <c r="W1288" s="147"/>
      <c r="X1288" s="147"/>
      <c r="AA1288" s="147"/>
      <c r="AC1288" s="145" t="s">
        <v>1017</v>
      </c>
      <c r="AD1288" s="147"/>
      <c r="AE1288" s="148" t="s">
        <v>1017</v>
      </c>
      <c r="AF1288" s="147"/>
      <c r="AG1288" s="147"/>
      <c r="AH1288" s="166" t="str">
        <f t="shared" si="533"/>
        <v>2011</v>
      </c>
      <c r="AI1288" s="168" t="str">
        <f t="shared" si="521"/>
        <v/>
      </c>
      <c r="AJ1288" s="168" t="str">
        <f t="shared" si="522"/>
        <v/>
      </c>
      <c r="AK1288" s="168" t="str">
        <f t="shared" si="523"/>
        <v/>
      </c>
      <c r="AL1288" s="168" t="str">
        <f t="shared" si="524"/>
        <v/>
      </c>
      <c r="AM1288" s="168" t="str">
        <f t="shared" si="525"/>
        <v/>
      </c>
      <c r="AN1288" s="167" t="str">
        <f t="shared" si="508"/>
        <v>2011</v>
      </c>
      <c r="AO1288" s="167" t="str">
        <f t="shared" si="509"/>
        <v>2011</v>
      </c>
      <c r="AP1288" s="167" t="str">
        <f t="shared" si="510"/>
        <v>2011</v>
      </c>
      <c r="AQ1288" s="169" t="str">
        <f t="shared" si="511"/>
        <v/>
      </c>
      <c r="AR1288" s="170" t="str">
        <f t="shared" si="512"/>
        <v>BiK81X1bK11-06</v>
      </c>
      <c r="AS1288" s="169" t="str">
        <f t="shared" si="513"/>
        <v/>
      </c>
      <c r="AT1288">
        <f t="shared" si="514"/>
        <v>14</v>
      </c>
      <c r="AU1288" s="170" t="str">
        <f t="shared" si="515"/>
        <v>0-0,15 MW, Bonusregeln X1, b und K erstmals 2011</v>
      </c>
      <c r="AV1288" s="169" t="str">
        <f t="shared" si="516"/>
        <v/>
      </c>
      <c r="AW1288" s="170" t="str">
        <f t="shared" si="517"/>
        <v>Anteil KWK, erstmals 2011</v>
      </c>
      <c r="AX1288" s="169" t="str">
        <f t="shared" si="518"/>
        <v/>
      </c>
      <c r="AY1288" t="str">
        <f t="shared" si="519"/>
        <v>x</v>
      </c>
      <c r="AZ1288" t="str">
        <f t="shared" si="520"/>
        <v/>
      </c>
    </row>
    <row r="1289" spans="1:52" s="145" customFormat="1" x14ac:dyDescent="0.35">
      <c r="A1289" s="511" t="s">
        <v>3653</v>
      </c>
      <c r="B1289" s="173" t="s">
        <v>5547</v>
      </c>
      <c r="C1289" s="173" t="s">
        <v>1296</v>
      </c>
      <c r="D1289" s="173" t="s">
        <v>6978</v>
      </c>
      <c r="E1289" s="173" t="s">
        <v>1980</v>
      </c>
      <c r="F1289" s="374">
        <f t="shared" si="527"/>
        <v>29.58</v>
      </c>
      <c r="G1289" s="431">
        <v>29.58</v>
      </c>
      <c r="H1289" s="400">
        <f t="shared" si="528"/>
        <v>23.66</v>
      </c>
      <c r="I1289" s="577"/>
      <c r="J1289" s="549" t="s">
        <v>5804</v>
      </c>
      <c r="K1289" s="11"/>
      <c r="L1289"/>
      <c r="M1289" s="37">
        <f t="shared" si="529"/>
        <v>29.58</v>
      </c>
      <c r="N1289" s="29">
        <v>11.67</v>
      </c>
      <c r="O1289" s="149"/>
      <c r="P1289" s="144"/>
      <c r="S1289" s="145" t="s">
        <v>4179</v>
      </c>
      <c r="T1289" s="145" t="s">
        <v>1017</v>
      </c>
      <c r="U1289" s="146"/>
      <c r="W1289" s="147"/>
      <c r="X1289" s="147"/>
      <c r="AA1289" s="147"/>
      <c r="AC1289" s="145" t="s">
        <v>1017</v>
      </c>
      <c r="AD1289" s="147"/>
      <c r="AE1289" s="148" t="s">
        <v>1017</v>
      </c>
      <c r="AF1289" s="147"/>
      <c r="AG1289" s="147"/>
      <c r="AH1289" s="171" t="s">
        <v>4178</v>
      </c>
      <c r="AI1289" s="168" t="str">
        <f t="shared" si="521"/>
        <v/>
      </c>
      <c r="AJ1289" s="168" t="str">
        <f t="shared" si="522"/>
        <v/>
      </c>
      <c r="AK1289" s="168" t="str">
        <f t="shared" si="523"/>
        <v/>
      </c>
      <c r="AL1289" s="168" t="str">
        <f t="shared" si="524"/>
        <v/>
      </c>
      <c r="AM1289" s="168" t="str">
        <f t="shared" si="525"/>
        <v/>
      </c>
      <c r="AN1289" s="167" t="str">
        <f t="shared" si="508"/>
        <v>2012</v>
      </c>
      <c r="AO1289" s="167" t="str">
        <f t="shared" si="509"/>
        <v>2012</v>
      </c>
      <c r="AP1289" s="167" t="str">
        <f t="shared" si="510"/>
        <v>2012</v>
      </c>
      <c r="AQ1289" s="169" t="str">
        <f t="shared" si="511"/>
        <v/>
      </c>
      <c r="AR1289" s="170" t="str">
        <f t="shared" si="512"/>
        <v>BiK81X1bK12-06</v>
      </c>
      <c r="AS1289" s="169" t="str">
        <f t="shared" si="513"/>
        <v/>
      </c>
      <c r="AT1289">
        <f t="shared" si="514"/>
        <v>14</v>
      </c>
      <c r="AU1289" s="170" t="str">
        <f t="shared" si="515"/>
        <v>0-0,15 MW, Bonusregeln X1, b und K erstmals 2012</v>
      </c>
      <c r="AV1289" s="169" t="str">
        <f t="shared" si="516"/>
        <v/>
      </c>
      <c r="AW1289" s="170" t="str">
        <f t="shared" si="517"/>
        <v>Anteil KWK, erstmals 2012</v>
      </c>
      <c r="AX1289" s="169" t="str">
        <f t="shared" si="518"/>
        <v/>
      </c>
      <c r="AY1289" t="str">
        <f t="shared" si="519"/>
        <v/>
      </c>
      <c r="AZ1289" t="str">
        <f t="shared" si="520"/>
        <v>x</v>
      </c>
    </row>
    <row r="1290" spans="1:52" s="145" customFormat="1" x14ac:dyDescent="0.35">
      <c r="A1290" s="497" t="s">
        <v>2093</v>
      </c>
      <c r="B1290" s="13" t="s">
        <v>5547</v>
      </c>
      <c r="C1290" s="13" t="s">
        <v>1296</v>
      </c>
      <c r="D1290" s="13" t="s">
        <v>6979</v>
      </c>
      <c r="E1290" s="13" t="s">
        <v>4809</v>
      </c>
      <c r="F1290" s="373">
        <f t="shared" si="527"/>
        <v>27.67</v>
      </c>
      <c r="G1290" s="430">
        <v>27.67</v>
      </c>
      <c r="H1290" s="399">
        <f t="shared" si="528"/>
        <v>22.14</v>
      </c>
      <c r="I1290" s="576"/>
      <c r="J1290" s="549" t="s">
        <v>5804</v>
      </c>
      <c r="K1290" s="11"/>
      <c r="L1290"/>
      <c r="M1290" s="37">
        <f t="shared" si="529"/>
        <v>27.67</v>
      </c>
      <c r="N1290" s="29">
        <v>11.67</v>
      </c>
      <c r="O1290" s="149"/>
      <c r="P1290" s="144"/>
      <c r="S1290" s="145" t="s">
        <v>4179</v>
      </c>
      <c r="T1290" s="145" t="s">
        <v>4179</v>
      </c>
      <c r="U1290" s="146" t="s">
        <v>1017</v>
      </c>
      <c r="W1290" s="147"/>
      <c r="X1290" s="147"/>
      <c r="AA1290" s="147"/>
      <c r="AC1290" s="145" t="s">
        <v>1017</v>
      </c>
      <c r="AD1290" s="147"/>
      <c r="AE1290" s="148" t="s">
        <v>1017</v>
      </c>
      <c r="AF1290" s="147"/>
      <c r="AG1290" s="147"/>
      <c r="AH1290" s="166" t="str">
        <f t="shared" ref="AH1290:AH1295" si="534">IF(ISERROR(SEARCH("K erstmals 201",D1290)),"",RIGHT(D1290,4))</f>
        <v/>
      </c>
      <c r="AI1290" s="168" t="str">
        <f t="shared" si="521"/>
        <v/>
      </c>
      <c r="AJ1290" s="168" t="str">
        <f t="shared" si="522"/>
        <v/>
      </c>
      <c r="AK1290" s="168" t="str">
        <f t="shared" si="523"/>
        <v/>
      </c>
      <c r="AL1290" s="168" t="str">
        <f t="shared" si="524"/>
        <v/>
      </c>
      <c r="AM1290" s="168" t="str">
        <f t="shared" si="525"/>
        <v/>
      </c>
      <c r="AN1290" s="167" t="str">
        <f t="shared" si="508"/>
        <v/>
      </c>
      <c r="AO1290" s="167" t="str">
        <f t="shared" si="509"/>
        <v/>
      </c>
      <c r="AP1290" s="167" t="str">
        <f t="shared" si="510"/>
        <v/>
      </c>
      <c r="AQ1290" s="169" t="str">
        <f t="shared" si="511"/>
        <v/>
      </c>
      <c r="AR1290" s="170" t="str">
        <f t="shared" si="512"/>
        <v>BiK81X1by---06</v>
      </c>
      <c r="AS1290" s="169" t="str">
        <f t="shared" si="513"/>
        <v/>
      </c>
      <c r="AT1290">
        <f t="shared" si="514"/>
        <v>14</v>
      </c>
      <c r="AU1290" s="170" t="str">
        <f t="shared" si="515"/>
        <v>0-0,15 MW, Bonusregeln X1, y, b</v>
      </c>
      <c r="AV1290" s="169" t="str">
        <f t="shared" si="516"/>
        <v/>
      </c>
      <c r="AW1290" s="170" t="str">
        <f t="shared" si="517"/>
        <v>Anteil Nicht-KWK</v>
      </c>
      <c r="AX1290" s="169" t="str">
        <f t="shared" si="518"/>
        <v/>
      </c>
      <c r="AY1290" t="str">
        <f t="shared" si="519"/>
        <v/>
      </c>
      <c r="AZ1290" t="str">
        <f t="shared" si="520"/>
        <v/>
      </c>
    </row>
    <row r="1291" spans="1:52" s="145" customFormat="1" x14ac:dyDescent="0.35">
      <c r="A1291" s="497" t="s">
        <v>2094</v>
      </c>
      <c r="B1291" s="13" t="s">
        <v>5547</v>
      </c>
      <c r="C1291" s="13" t="s">
        <v>1296</v>
      </c>
      <c r="D1291" s="13" t="s">
        <v>6980</v>
      </c>
      <c r="E1291" s="13" t="s">
        <v>4811</v>
      </c>
      <c r="F1291" s="373">
        <f t="shared" si="527"/>
        <v>29.67</v>
      </c>
      <c r="G1291" s="430">
        <v>29.67</v>
      </c>
      <c r="H1291" s="399">
        <f t="shared" si="528"/>
        <v>23.74</v>
      </c>
      <c r="I1291" s="576"/>
      <c r="J1291" s="549" t="s">
        <v>5804</v>
      </c>
      <c r="K1291" s="11"/>
      <c r="L1291"/>
      <c r="M1291" s="37">
        <f t="shared" si="529"/>
        <v>29.67</v>
      </c>
      <c r="N1291" s="29">
        <v>11.67</v>
      </c>
      <c r="O1291" s="149" t="s">
        <v>1017</v>
      </c>
      <c r="P1291" s="144"/>
      <c r="S1291" s="145" t="s">
        <v>4179</v>
      </c>
      <c r="T1291" s="145" t="s">
        <v>4179</v>
      </c>
      <c r="U1291" s="146" t="s">
        <v>1017</v>
      </c>
      <c r="W1291" s="147"/>
      <c r="X1291" s="147"/>
      <c r="AA1291" s="147"/>
      <c r="AC1291" s="145" t="s">
        <v>1017</v>
      </c>
      <c r="AD1291" s="147"/>
      <c r="AE1291" s="148" t="s">
        <v>1017</v>
      </c>
      <c r="AF1291" s="147"/>
      <c r="AG1291" s="147"/>
      <c r="AH1291" s="166" t="str">
        <f t="shared" si="534"/>
        <v/>
      </c>
      <c r="AI1291" s="168" t="str">
        <f t="shared" si="521"/>
        <v/>
      </c>
      <c r="AJ1291" s="168" t="str">
        <f t="shared" si="522"/>
        <v/>
      </c>
      <c r="AK1291" s="168" t="str">
        <f t="shared" si="523"/>
        <v/>
      </c>
      <c r="AL1291" s="168" t="str">
        <f t="shared" si="524"/>
        <v/>
      </c>
      <c r="AM1291" s="168" t="str">
        <f t="shared" si="525"/>
        <v/>
      </c>
      <c r="AN1291" s="167" t="str">
        <f t="shared" si="508"/>
        <v/>
      </c>
      <c r="AO1291" s="167" t="str">
        <f t="shared" si="509"/>
        <v/>
      </c>
      <c r="AP1291" s="167" t="str">
        <f t="shared" si="510"/>
        <v/>
      </c>
      <c r="AQ1291" s="169" t="str">
        <f t="shared" si="511"/>
        <v/>
      </c>
      <c r="AR1291" s="170" t="str">
        <f t="shared" si="512"/>
        <v>BiK81X1bKWKy06</v>
      </c>
      <c r="AS1291" s="169" t="str">
        <f t="shared" si="513"/>
        <v/>
      </c>
      <c r="AT1291">
        <f t="shared" si="514"/>
        <v>14</v>
      </c>
      <c r="AU1291" s="170" t="str">
        <f t="shared" si="515"/>
        <v>0-0,15 MW, Bonusregeln X1, y, b und KWK</v>
      </c>
      <c r="AV1291" s="169" t="str">
        <f t="shared" si="516"/>
        <v/>
      </c>
      <c r="AW1291" s="170" t="str">
        <f t="shared" si="517"/>
        <v>Anteil KWK</v>
      </c>
      <c r="AX1291" s="169" t="str">
        <f t="shared" si="518"/>
        <v/>
      </c>
      <c r="AY1291" t="str">
        <f t="shared" si="519"/>
        <v/>
      </c>
      <c r="AZ1291" t="str">
        <f t="shared" si="520"/>
        <v/>
      </c>
    </row>
    <row r="1292" spans="1:52" s="145" customFormat="1" x14ac:dyDescent="0.35">
      <c r="A1292" s="497" t="s">
        <v>2095</v>
      </c>
      <c r="B1292" s="13" t="s">
        <v>5547</v>
      </c>
      <c r="C1292" s="13" t="s">
        <v>1296</v>
      </c>
      <c r="D1292" s="88" t="s">
        <v>6981</v>
      </c>
      <c r="E1292" s="13" t="s">
        <v>4330</v>
      </c>
      <c r="F1292" s="373">
        <f t="shared" si="527"/>
        <v>30.67</v>
      </c>
      <c r="G1292" s="430">
        <v>30.67</v>
      </c>
      <c r="H1292" s="399">
        <f t="shared" si="528"/>
        <v>24.54</v>
      </c>
      <c r="I1292" s="576"/>
      <c r="J1292" s="549" t="s">
        <v>5804</v>
      </c>
      <c r="K1292" s="11"/>
      <c r="L1292"/>
      <c r="M1292" s="37">
        <f t="shared" si="529"/>
        <v>30.67</v>
      </c>
      <c r="N1292" s="29">
        <v>11.67</v>
      </c>
      <c r="O1292" s="149"/>
      <c r="P1292" s="145" t="s">
        <v>1017</v>
      </c>
      <c r="S1292" s="145" t="s">
        <v>4179</v>
      </c>
      <c r="T1292" s="145" t="s">
        <v>4179</v>
      </c>
      <c r="U1292" s="146" t="s">
        <v>1017</v>
      </c>
      <c r="W1292" s="147"/>
      <c r="X1292" s="147"/>
      <c r="AA1292" s="147"/>
      <c r="AC1292" s="145" t="s">
        <v>1017</v>
      </c>
      <c r="AD1292" s="147"/>
      <c r="AE1292" s="148" t="s">
        <v>1017</v>
      </c>
      <c r="AF1292" s="147"/>
      <c r="AG1292" s="147"/>
      <c r="AH1292" s="166" t="str">
        <f t="shared" si="534"/>
        <v/>
      </c>
      <c r="AI1292" s="168" t="str">
        <f t="shared" si="521"/>
        <v/>
      </c>
      <c r="AJ1292" s="168" t="str">
        <f t="shared" si="522"/>
        <v/>
      </c>
      <c r="AK1292" s="168" t="str">
        <f t="shared" si="523"/>
        <v/>
      </c>
      <c r="AL1292" s="168" t="str">
        <f t="shared" si="524"/>
        <v/>
      </c>
      <c r="AM1292" s="168" t="str">
        <f t="shared" si="525"/>
        <v/>
      </c>
      <c r="AN1292" s="167" t="str">
        <f t="shared" si="508"/>
        <v/>
      </c>
      <c r="AO1292" s="167" t="str">
        <f t="shared" si="509"/>
        <v/>
      </c>
      <c r="AP1292" s="167" t="str">
        <f t="shared" si="510"/>
        <v/>
      </c>
      <c r="AQ1292" s="169" t="str">
        <f t="shared" si="511"/>
        <v/>
      </c>
      <c r="AR1292" s="170" t="str">
        <f t="shared" si="512"/>
        <v>BiK81X1bKA3y06</v>
      </c>
      <c r="AS1292" s="169" t="str">
        <f t="shared" si="513"/>
        <v/>
      </c>
      <c r="AT1292">
        <f t="shared" si="514"/>
        <v>14</v>
      </c>
      <c r="AU1292" s="170" t="str">
        <f t="shared" si="515"/>
        <v>0-0,15 MW, Bonusregeln X1, y, b und K wenn Anlage 3 erfüllt</v>
      </c>
      <c r="AV1292" s="169" t="str">
        <f t="shared" si="516"/>
        <v/>
      </c>
      <c r="AW1292" s="170" t="str">
        <f t="shared" si="517"/>
        <v>Anteil KWK gemäß Anlage 3</v>
      </c>
      <c r="AX1292" s="169" t="str">
        <f t="shared" si="518"/>
        <v/>
      </c>
      <c r="AY1292" t="str">
        <f t="shared" si="519"/>
        <v/>
      </c>
      <c r="AZ1292" t="str">
        <f t="shared" si="520"/>
        <v/>
      </c>
    </row>
    <row r="1293" spans="1:52" s="145" customFormat="1" x14ac:dyDescent="0.35">
      <c r="A1293" s="497" t="s">
        <v>2096</v>
      </c>
      <c r="B1293" s="13" t="s">
        <v>5547</v>
      </c>
      <c r="C1293" s="13" t="s">
        <v>1296</v>
      </c>
      <c r="D1293" s="13" t="s">
        <v>6982</v>
      </c>
      <c r="E1293" s="13" t="s">
        <v>674</v>
      </c>
      <c r="F1293" s="373">
        <f t="shared" si="527"/>
        <v>30.67</v>
      </c>
      <c r="G1293" s="430">
        <v>30.67</v>
      </c>
      <c r="H1293" s="399">
        <f t="shared" si="528"/>
        <v>24.54</v>
      </c>
      <c r="I1293" s="576"/>
      <c r="J1293" s="549" t="s">
        <v>5804</v>
      </c>
      <c r="K1293" s="11"/>
      <c r="L1293"/>
      <c r="M1293" s="37">
        <f t="shared" si="529"/>
        <v>30.67</v>
      </c>
      <c r="N1293" s="29">
        <v>11.67</v>
      </c>
      <c r="O1293" s="149"/>
      <c r="P1293" s="144"/>
      <c r="Q1293" s="145" t="s">
        <v>1017</v>
      </c>
      <c r="S1293" s="145" t="s">
        <v>4179</v>
      </c>
      <c r="T1293" s="145" t="s">
        <v>4179</v>
      </c>
      <c r="U1293" s="146" t="s">
        <v>1017</v>
      </c>
      <c r="W1293" s="147"/>
      <c r="X1293" s="147"/>
      <c r="AA1293" s="147"/>
      <c r="AC1293" s="145" t="s">
        <v>1017</v>
      </c>
      <c r="AD1293" s="147"/>
      <c r="AE1293" s="148" t="s">
        <v>1017</v>
      </c>
      <c r="AF1293" s="147"/>
      <c r="AG1293" s="147"/>
      <c r="AH1293" s="166" t="str">
        <f t="shared" si="534"/>
        <v/>
      </c>
      <c r="AI1293" s="168" t="str">
        <f t="shared" si="521"/>
        <v/>
      </c>
      <c r="AJ1293" s="168" t="str">
        <f t="shared" si="522"/>
        <v/>
      </c>
      <c r="AK1293" s="168" t="str">
        <f t="shared" si="523"/>
        <v/>
      </c>
      <c r="AL1293" s="168" t="str">
        <f t="shared" si="524"/>
        <v/>
      </c>
      <c r="AM1293" s="168" t="str">
        <f t="shared" si="525"/>
        <v/>
      </c>
      <c r="AN1293" s="167" t="str">
        <f t="shared" si="508"/>
        <v/>
      </c>
      <c r="AO1293" s="167" t="str">
        <f t="shared" si="509"/>
        <v/>
      </c>
      <c r="AP1293" s="167" t="str">
        <f t="shared" si="510"/>
        <v/>
      </c>
      <c r="AQ1293" s="169" t="str">
        <f t="shared" si="511"/>
        <v/>
      </c>
      <c r="AR1293" s="170" t="str">
        <f t="shared" si="512"/>
        <v>BiK81X1bK09y06</v>
      </c>
      <c r="AS1293" s="169" t="str">
        <f t="shared" si="513"/>
        <v/>
      </c>
      <c r="AT1293">
        <f t="shared" si="514"/>
        <v>14</v>
      </c>
      <c r="AU1293" s="170" t="str">
        <f t="shared" si="515"/>
        <v>0-0,15 MW, Bonusregeln X1, y, b und K erstmals 2009</v>
      </c>
      <c r="AV1293" s="169" t="str">
        <f t="shared" si="516"/>
        <v/>
      </c>
      <c r="AW1293" s="170" t="str">
        <f t="shared" si="517"/>
        <v>Anteil KWK, erstmals 2009</v>
      </c>
      <c r="AX1293" s="169" t="str">
        <f t="shared" si="518"/>
        <v/>
      </c>
      <c r="AY1293" t="str">
        <f t="shared" si="519"/>
        <v/>
      </c>
      <c r="AZ1293" t="str">
        <f t="shared" si="520"/>
        <v/>
      </c>
    </row>
    <row r="1294" spans="1:52" s="145" customFormat="1" x14ac:dyDescent="0.35">
      <c r="A1294" s="497" t="s">
        <v>4907</v>
      </c>
      <c r="B1294" s="13" t="s">
        <v>5547</v>
      </c>
      <c r="C1294" s="13" t="s">
        <v>1296</v>
      </c>
      <c r="D1294" s="13" t="s">
        <v>6983</v>
      </c>
      <c r="E1294" s="13" t="s">
        <v>3566</v>
      </c>
      <c r="F1294" s="373">
        <f t="shared" si="527"/>
        <v>30.64</v>
      </c>
      <c r="G1294" s="430">
        <v>30.64</v>
      </c>
      <c r="H1294" s="399">
        <f t="shared" si="528"/>
        <v>24.51</v>
      </c>
      <c r="I1294" s="576"/>
      <c r="J1294" s="549" t="s">
        <v>5804</v>
      </c>
      <c r="K1294" s="11"/>
      <c r="L1294"/>
      <c r="M1294" s="37">
        <f t="shared" si="529"/>
        <v>30.64</v>
      </c>
      <c r="N1294" s="29">
        <v>11.67</v>
      </c>
      <c r="O1294" s="149"/>
      <c r="P1294" s="144"/>
      <c r="R1294" s="145" t="s">
        <v>1017</v>
      </c>
      <c r="S1294" s="145" t="s">
        <v>4179</v>
      </c>
      <c r="T1294" s="145" t="s">
        <v>4179</v>
      </c>
      <c r="U1294" s="146" t="s">
        <v>1017</v>
      </c>
      <c r="W1294" s="147"/>
      <c r="X1294" s="147"/>
      <c r="AA1294" s="147"/>
      <c r="AC1294" s="145" t="s">
        <v>1017</v>
      </c>
      <c r="AD1294" s="147"/>
      <c r="AE1294" s="148" t="s">
        <v>1017</v>
      </c>
      <c r="AF1294" s="147"/>
      <c r="AG1294" s="147"/>
      <c r="AH1294" s="166" t="str">
        <f t="shared" si="534"/>
        <v>2010</v>
      </c>
      <c r="AI1294" s="168" t="str">
        <f t="shared" si="521"/>
        <v/>
      </c>
      <c r="AJ1294" s="168" t="str">
        <f t="shared" si="522"/>
        <v/>
      </c>
      <c r="AK1294" s="168" t="str">
        <f t="shared" si="523"/>
        <v/>
      </c>
      <c r="AL1294" s="168" t="str">
        <f t="shared" si="524"/>
        <v/>
      </c>
      <c r="AM1294" s="168" t="str">
        <f t="shared" si="525"/>
        <v/>
      </c>
      <c r="AN1294" s="167" t="str">
        <f t="shared" si="508"/>
        <v>2010</v>
      </c>
      <c r="AO1294" s="167" t="str">
        <f t="shared" si="509"/>
        <v>2010</v>
      </c>
      <c r="AP1294" s="167" t="str">
        <f t="shared" si="510"/>
        <v>2010</v>
      </c>
      <c r="AQ1294" s="169" t="str">
        <f t="shared" si="511"/>
        <v/>
      </c>
      <c r="AR1294" s="170" t="str">
        <f t="shared" si="512"/>
        <v>BiK81X1bK10y06</v>
      </c>
      <c r="AS1294" s="169" t="str">
        <f t="shared" si="513"/>
        <v/>
      </c>
      <c r="AT1294">
        <f t="shared" si="514"/>
        <v>14</v>
      </c>
      <c r="AU1294" s="170" t="str">
        <f t="shared" si="515"/>
        <v>0-0,15 MW, Bonusregeln X1, y, b und K erstmals 2010</v>
      </c>
      <c r="AV1294" s="169" t="str">
        <f t="shared" si="516"/>
        <v/>
      </c>
      <c r="AW1294" s="170" t="str">
        <f t="shared" si="517"/>
        <v>Anteil KWK, erstmals 2010</v>
      </c>
      <c r="AX1294" s="169" t="str">
        <f t="shared" si="518"/>
        <v/>
      </c>
      <c r="AY1294" t="str">
        <f t="shared" si="519"/>
        <v/>
      </c>
      <c r="AZ1294" t="str">
        <f t="shared" si="520"/>
        <v/>
      </c>
    </row>
    <row r="1295" spans="1:52" s="145" customFormat="1" x14ac:dyDescent="0.35">
      <c r="A1295" s="497" t="s">
        <v>3954</v>
      </c>
      <c r="B1295" s="13" t="s">
        <v>5547</v>
      </c>
      <c r="C1295" s="13" t="s">
        <v>1296</v>
      </c>
      <c r="D1295" s="13" t="s">
        <v>6984</v>
      </c>
      <c r="E1295" s="13" t="s">
        <v>3054</v>
      </c>
      <c r="F1295" s="373">
        <f t="shared" si="527"/>
        <v>30.61</v>
      </c>
      <c r="G1295" s="430">
        <v>30.61</v>
      </c>
      <c r="H1295" s="399">
        <f t="shared" si="528"/>
        <v>24.49</v>
      </c>
      <c r="I1295" s="576"/>
      <c r="J1295" s="549" t="s">
        <v>5804</v>
      </c>
      <c r="K1295" s="11"/>
      <c r="L1295"/>
      <c r="M1295" s="37">
        <f t="shared" si="529"/>
        <v>30.61</v>
      </c>
      <c r="N1295" s="29">
        <v>11.67</v>
      </c>
      <c r="O1295" s="149"/>
      <c r="P1295" s="144"/>
      <c r="S1295" s="145" t="s">
        <v>1017</v>
      </c>
      <c r="T1295" s="145" t="s">
        <v>4179</v>
      </c>
      <c r="U1295" s="146" t="s">
        <v>1017</v>
      </c>
      <c r="W1295" s="147"/>
      <c r="X1295" s="147"/>
      <c r="AA1295" s="147"/>
      <c r="AC1295" s="145" t="s">
        <v>1017</v>
      </c>
      <c r="AD1295" s="147"/>
      <c r="AE1295" s="148" t="s">
        <v>1017</v>
      </c>
      <c r="AF1295" s="147"/>
      <c r="AG1295" s="147"/>
      <c r="AH1295" s="166" t="str">
        <f t="shared" si="534"/>
        <v>2011</v>
      </c>
      <c r="AI1295" s="168" t="str">
        <f t="shared" si="521"/>
        <v/>
      </c>
      <c r="AJ1295" s="168" t="str">
        <f t="shared" si="522"/>
        <v/>
      </c>
      <c r="AK1295" s="168" t="str">
        <f t="shared" si="523"/>
        <v/>
      </c>
      <c r="AL1295" s="168" t="str">
        <f t="shared" si="524"/>
        <v/>
      </c>
      <c r="AM1295" s="168" t="str">
        <f t="shared" si="525"/>
        <v/>
      </c>
      <c r="AN1295" s="167" t="str">
        <f t="shared" si="508"/>
        <v>2011</v>
      </c>
      <c r="AO1295" s="167" t="str">
        <f t="shared" si="509"/>
        <v>2011</v>
      </c>
      <c r="AP1295" s="167" t="str">
        <f t="shared" si="510"/>
        <v>2011</v>
      </c>
      <c r="AQ1295" s="169" t="str">
        <f t="shared" si="511"/>
        <v/>
      </c>
      <c r="AR1295" s="170" t="str">
        <f t="shared" si="512"/>
        <v>BiK81X1bK11y06</v>
      </c>
      <c r="AS1295" s="169" t="str">
        <f t="shared" si="513"/>
        <v/>
      </c>
      <c r="AT1295">
        <f t="shared" si="514"/>
        <v>14</v>
      </c>
      <c r="AU1295" s="170" t="str">
        <f t="shared" si="515"/>
        <v>0-0,15 MW, Bonusregeln X1, y, b und K erstmals 2011</v>
      </c>
      <c r="AV1295" s="169" t="str">
        <f t="shared" si="516"/>
        <v/>
      </c>
      <c r="AW1295" s="170" t="str">
        <f t="shared" si="517"/>
        <v>Anteil KWK, erstmals 2011</v>
      </c>
      <c r="AX1295" s="169" t="str">
        <f t="shared" si="518"/>
        <v/>
      </c>
      <c r="AY1295" t="str">
        <f t="shared" si="519"/>
        <v>x</v>
      </c>
      <c r="AZ1295" t="str">
        <f t="shared" si="520"/>
        <v/>
      </c>
    </row>
    <row r="1296" spans="1:52" s="145" customFormat="1" x14ac:dyDescent="0.35">
      <c r="A1296" s="511" t="s">
        <v>3654</v>
      </c>
      <c r="B1296" s="173" t="s">
        <v>5547</v>
      </c>
      <c r="C1296" s="173" t="s">
        <v>1296</v>
      </c>
      <c r="D1296" s="173" t="s">
        <v>6985</v>
      </c>
      <c r="E1296" s="173" t="s">
        <v>1980</v>
      </c>
      <c r="F1296" s="374">
        <f t="shared" si="527"/>
        <v>30.58</v>
      </c>
      <c r="G1296" s="431">
        <v>30.58</v>
      </c>
      <c r="H1296" s="400">
        <f t="shared" si="528"/>
        <v>24.46</v>
      </c>
      <c r="I1296" s="577"/>
      <c r="J1296" s="549" t="s">
        <v>5804</v>
      </c>
      <c r="K1296" s="11"/>
      <c r="L1296"/>
      <c r="M1296" s="37">
        <f t="shared" si="529"/>
        <v>30.58</v>
      </c>
      <c r="N1296" s="29">
        <v>11.67</v>
      </c>
      <c r="O1296" s="149"/>
      <c r="P1296" s="144"/>
      <c r="S1296" s="145" t="s">
        <v>4179</v>
      </c>
      <c r="T1296" s="145" t="s">
        <v>1017</v>
      </c>
      <c r="U1296" s="146" t="s">
        <v>1017</v>
      </c>
      <c r="W1296" s="147"/>
      <c r="X1296" s="147"/>
      <c r="AA1296" s="147"/>
      <c r="AC1296" s="145" t="s">
        <v>1017</v>
      </c>
      <c r="AD1296" s="147"/>
      <c r="AE1296" s="148" t="s">
        <v>1017</v>
      </c>
      <c r="AF1296" s="147"/>
      <c r="AG1296" s="147"/>
      <c r="AH1296" s="171" t="s">
        <v>4178</v>
      </c>
      <c r="AI1296" s="168" t="str">
        <f t="shared" si="521"/>
        <v/>
      </c>
      <c r="AJ1296" s="168" t="str">
        <f t="shared" si="522"/>
        <v/>
      </c>
      <c r="AK1296" s="168" t="str">
        <f t="shared" si="523"/>
        <v/>
      </c>
      <c r="AL1296" s="168" t="str">
        <f t="shared" si="524"/>
        <v/>
      </c>
      <c r="AM1296" s="168" t="str">
        <f t="shared" si="525"/>
        <v/>
      </c>
      <c r="AN1296" s="167" t="str">
        <f t="shared" si="508"/>
        <v>2012</v>
      </c>
      <c r="AO1296" s="167" t="str">
        <f t="shared" si="509"/>
        <v>2012</v>
      </c>
      <c r="AP1296" s="167" t="str">
        <f t="shared" si="510"/>
        <v>2012</v>
      </c>
      <c r="AQ1296" s="169" t="str">
        <f t="shared" si="511"/>
        <v/>
      </c>
      <c r="AR1296" s="170" t="str">
        <f t="shared" si="512"/>
        <v>BiK81X1bK12y06</v>
      </c>
      <c r="AS1296" s="169" t="str">
        <f t="shared" si="513"/>
        <v/>
      </c>
      <c r="AT1296">
        <f t="shared" si="514"/>
        <v>14</v>
      </c>
      <c r="AU1296" s="170" t="str">
        <f t="shared" si="515"/>
        <v>0-0,15 MW, Bonusregeln X1, y, b und K erstmals 2012</v>
      </c>
      <c r="AV1296" s="169" t="str">
        <f t="shared" si="516"/>
        <v/>
      </c>
      <c r="AW1296" s="170" t="str">
        <f t="shared" si="517"/>
        <v>Anteil KWK, erstmals 2012</v>
      </c>
      <c r="AX1296" s="169" t="str">
        <f t="shared" si="518"/>
        <v/>
      </c>
      <c r="AY1296" t="str">
        <f t="shared" si="519"/>
        <v/>
      </c>
      <c r="AZ1296" t="str">
        <f t="shared" si="520"/>
        <v>x</v>
      </c>
    </row>
    <row r="1297" spans="1:52" s="145" customFormat="1" x14ac:dyDescent="0.35">
      <c r="A1297" s="496" t="s">
        <v>882</v>
      </c>
      <c r="B1297" s="1" t="s">
        <v>5547</v>
      </c>
      <c r="C1297" s="1" t="s">
        <v>1296</v>
      </c>
      <c r="D1297" s="1" t="s">
        <v>1779</v>
      </c>
      <c r="E1297" s="1" t="s">
        <v>4809</v>
      </c>
      <c r="F1297" s="375">
        <f t="shared" si="527"/>
        <v>9.6</v>
      </c>
      <c r="G1297" s="432">
        <v>9.6</v>
      </c>
      <c r="H1297" s="401">
        <f t="shared" si="528"/>
        <v>7.68</v>
      </c>
      <c r="I1297" s="578"/>
      <c r="J1297" s="549" t="s">
        <v>5804</v>
      </c>
      <c r="K1297" s="11"/>
      <c r="L1297"/>
      <c r="M1297" s="37">
        <f t="shared" si="529"/>
        <v>9.6</v>
      </c>
      <c r="N1297" s="29">
        <v>9.6</v>
      </c>
      <c r="O1297" s="41"/>
      <c r="P1297" s="11"/>
      <c r="Q1297"/>
      <c r="R1297"/>
      <c r="S1297" t="s">
        <v>4179</v>
      </c>
      <c r="T1297" s="145" t="s">
        <v>4179</v>
      </c>
      <c r="U1297" s="42"/>
      <c r="V1297"/>
      <c r="W1297" s="50"/>
      <c r="X1297" s="50"/>
      <c r="Y1297"/>
      <c r="Z1297" s="50"/>
      <c r="AA1297"/>
      <c r="AB1297"/>
      <c r="AC1297" s="50"/>
      <c r="AD1297"/>
      <c r="AE1297" s="75"/>
      <c r="AF1297" s="50"/>
      <c r="AG1297" s="50"/>
      <c r="AH1297" s="166" t="str">
        <f t="shared" ref="AH1297:AH1302" si="535">IF(ISERROR(SEARCH("K erstmals 201",D1297)),"",RIGHT(D1297,4))</f>
        <v/>
      </c>
      <c r="AI1297" s="168" t="str">
        <f t="shared" si="521"/>
        <v/>
      </c>
      <c r="AJ1297" s="168" t="str">
        <f t="shared" si="522"/>
        <v/>
      </c>
      <c r="AK1297" s="168" t="str">
        <f t="shared" si="523"/>
        <v/>
      </c>
      <c r="AL1297" s="168" t="str">
        <f t="shared" si="524"/>
        <v/>
      </c>
      <c r="AM1297" s="168" t="str">
        <f t="shared" si="525"/>
        <v/>
      </c>
      <c r="AN1297" s="167" t="str">
        <f t="shared" si="508"/>
        <v/>
      </c>
      <c r="AO1297" s="167" t="str">
        <f t="shared" si="509"/>
        <v/>
      </c>
      <c r="AP1297" s="167" t="str">
        <f t="shared" si="510"/>
        <v/>
      </c>
      <c r="AQ1297" s="169" t="str">
        <f t="shared" si="511"/>
        <v/>
      </c>
      <c r="AR1297" s="170" t="str">
        <f t="shared" si="512"/>
        <v>BiK82-------06</v>
      </c>
      <c r="AS1297" s="169" t="str">
        <f t="shared" si="513"/>
        <v/>
      </c>
      <c r="AT1297">
        <f t="shared" si="514"/>
        <v>14</v>
      </c>
      <c r="AU1297" s="170" t="str">
        <f t="shared" si="515"/>
        <v>0,15-0,5 MW</v>
      </c>
      <c r="AV1297" s="169" t="str">
        <f t="shared" si="516"/>
        <v/>
      </c>
      <c r="AW1297" s="170" t="str">
        <f t="shared" si="517"/>
        <v>Anteil Nicht-KWK</v>
      </c>
      <c r="AX1297" s="169" t="str">
        <f t="shared" si="518"/>
        <v/>
      </c>
      <c r="AY1297" t="str">
        <f t="shared" si="519"/>
        <v/>
      </c>
      <c r="AZ1297" t="str">
        <f t="shared" si="520"/>
        <v/>
      </c>
    </row>
    <row r="1298" spans="1:52" s="145" customFormat="1" x14ac:dyDescent="0.35">
      <c r="A1298" s="496" t="s">
        <v>883</v>
      </c>
      <c r="B1298" s="1" t="s">
        <v>5547</v>
      </c>
      <c r="C1298" s="1" t="s">
        <v>1296</v>
      </c>
      <c r="D1298" s="1" t="s">
        <v>7086</v>
      </c>
      <c r="E1298" s="1" t="s">
        <v>4811</v>
      </c>
      <c r="F1298" s="375">
        <f t="shared" si="527"/>
        <v>11.6</v>
      </c>
      <c r="G1298" s="432">
        <v>11.6</v>
      </c>
      <c r="H1298" s="401">
        <f t="shared" si="528"/>
        <v>9.2799999999999994</v>
      </c>
      <c r="I1298" s="578"/>
      <c r="J1298" s="549" t="s">
        <v>5804</v>
      </c>
      <c r="K1298" s="11"/>
      <c r="L1298"/>
      <c r="M1298" s="37">
        <f t="shared" si="529"/>
        <v>11.6</v>
      </c>
      <c r="N1298" s="29">
        <v>9.6</v>
      </c>
      <c r="O1298" s="41" t="s">
        <v>1017</v>
      </c>
      <c r="P1298" s="11"/>
      <c r="Q1298"/>
      <c r="R1298"/>
      <c r="S1298" t="s">
        <v>4179</v>
      </c>
      <c r="T1298" s="145" t="s">
        <v>4179</v>
      </c>
      <c r="U1298" s="42"/>
      <c r="V1298"/>
      <c r="W1298" s="50"/>
      <c r="X1298" s="50"/>
      <c r="Y1298"/>
      <c r="Z1298" s="50"/>
      <c r="AA1298"/>
      <c r="AB1298"/>
      <c r="AC1298" s="50"/>
      <c r="AD1298"/>
      <c r="AE1298" s="75"/>
      <c r="AF1298" s="50"/>
      <c r="AG1298" s="50"/>
      <c r="AH1298" s="166" t="str">
        <f t="shared" si="535"/>
        <v/>
      </c>
      <c r="AI1298" s="168" t="str">
        <f t="shared" si="521"/>
        <v/>
      </c>
      <c r="AJ1298" s="168" t="str">
        <f t="shared" si="522"/>
        <v/>
      </c>
      <c r="AK1298" s="168" t="str">
        <f t="shared" si="523"/>
        <v/>
      </c>
      <c r="AL1298" s="168" t="str">
        <f t="shared" si="524"/>
        <v/>
      </c>
      <c r="AM1298" s="168" t="str">
        <f t="shared" si="525"/>
        <v/>
      </c>
      <c r="AN1298" s="167" t="str">
        <f t="shared" si="508"/>
        <v/>
      </c>
      <c r="AO1298" s="167" t="str">
        <f t="shared" si="509"/>
        <v/>
      </c>
      <c r="AP1298" s="167" t="str">
        <f t="shared" si="510"/>
        <v/>
      </c>
      <c r="AQ1298" s="169" t="str">
        <f t="shared" si="511"/>
        <v/>
      </c>
      <c r="AR1298" s="170" t="str">
        <f t="shared" si="512"/>
        <v>BiK82KWK----06</v>
      </c>
      <c r="AS1298" s="169" t="str">
        <f t="shared" si="513"/>
        <v/>
      </c>
      <c r="AT1298">
        <f t="shared" si="514"/>
        <v>14</v>
      </c>
      <c r="AU1298" s="170" t="str">
        <f t="shared" si="515"/>
        <v>0,15-0,5 MW, Bonusregel KWK</v>
      </c>
      <c r="AV1298" s="169" t="str">
        <f t="shared" si="516"/>
        <v/>
      </c>
      <c r="AW1298" s="170" t="str">
        <f t="shared" si="517"/>
        <v>Anteil KWK</v>
      </c>
      <c r="AX1298" s="169" t="str">
        <f t="shared" si="518"/>
        <v/>
      </c>
      <c r="AY1298" t="str">
        <f t="shared" si="519"/>
        <v/>
      </c>
      <c r="AZ1298" t="str">
        <f t="shared" si="520"/>
        <v/>
      </c>
    </row>
    <row r="1299" spans="1:52" x14ac:dyDescent="0.35">
      <c r="A1299" s="497" t="s">
        <v>4353</v>
      </c>
      <c r="B1299" s="13" t="s">
        <v>5547</v>
      </c>
      <c r="C1299" s="13" t="s">
        <v>1296</v>
      </c>
      <c r="D1299" s="13" t="s">
        <v>7087</v>
      </c>
      <c r="E1299" s="13" t="s">
        <v>4330</v>
      </c>
      <c r="F1299" s="373">
        <f t="shared" si="527"/>
        <v>12.6</v>
      </c>
      <c r="G1299" s="430">
        <v>12.6</v>
      </c>
      <c r="H1299" s="399">
        <f t="shared" si="528"/>
        <v>10.08</v>
      </c>
      <c r="I1299" s="576"/>
      <c r="J1299" s="549" t="s">
        <v>5804</v>
      </c>
      <c r="K1299" s="11"/>
      <c r="M1299" s="37">
        <f t="shared" si="529"/>
        <v>12.6</v>
      </c>
      <c r="N1299" s="29">
        <v>9.6</v>
      </c>
      <c r="O1299" s="41"/>
      <c r="P1299" t="s">
        <v>1017</v>
      </c>
      <c r="S1299" t="s">
        <v>4179</v>
      </c>
      <c r="T1299" t="s">
        <v>4179</v>
      </c>
      <c r="U1299" s="42"/>
      <c r="W1299" s="50"/>
      <c r="X1299" s="50"/>
      <c r="Z1299" s="50"/>
      <c r="AC1299" s="50"/>
      <c r="AE1299" s="75"/>
      <c r="AF1299" s="50"/>
      <c r="AG1299" s="50"/>
      <c r="AH1299" s="166" t="str">
        <f t="shared" si="535"/>
        <v/>
      </c>
      <c r="AI1299" s="168" t="str">
        <f t="shared" si="521"/>
        <v/>
      </c>
      <c r="AJ1299" s="168" t="str">
        <f t="shared" si="522"/>
        <v/>
      </c>
      <c r="AK1299" s="168" t="str">
        <f t="shared" si="523"/>
        <v/>
      </c>
      <c r="AL1299" s="168" t="str">
        <f t="shared" si="524"/>
        <v/>
      </c>
      <c r="AM1299" s="168" t="str">
        <f t="shared" si="525"/>
        <v/>
      </c>
      <c r="AN1299" s="167" t="str">
        <f t="shared" si="508"/>
        <v/>
      </c>
      <c r="AO1299" s="167" t="str">
        <f t="shared" si="509"/>
        <v/>
      </c>
      <c r="AP1299" s="167" t="str">
        <f t="shared" si="510"/>
        <v/>
      </c>
      <c r="AQ1299" s="169" t="str">
        <f t="shared" si="511"/>
        <v/>
      </c>
      <c r="AR1299" s="170" t="str">
        <f t="shared" si="512"/>
        <v>BiK82KA3----06</v>
      </c>
      <c r="AS1299" s="169" t="str">
        <f t="shared" si="513"/>
        <v/>
      </c>
      <c r="AT1299">
        <f t="shared" si="514"/>
        <v>14</v>
      </c>
      <c r="AU1299" s="170" t="str">
        <f t="shared" si="515"/>
        <v>0,15-0,5 MW, Bonusregel K wenn Anlage 3 erfüllt</v>
      </c>
      <c r="AV1299" s="169" t="str">
        <f t="shared" si="516"/>
        <v/>
      </c>
      <c r="AW1299" s="170" t="str">
        <f t="shared" si="517"/>
        <v>Anteil KWK gemäß Anlage 3</v>
      </c>
      <c r="AX1299" s="169" t="str">
        <f t="shared" si="518"/>
        <v/>
      </c>
      <c r="AY1299" t="str">
        <f t="shared" si="519"/>
        <v/>
      </c>
      <c r="AZ1299" t="str">
        <f t="shared" si="520"/>
        <v/>
      </c>
    </row>
    <row r="1300" spans="1:52" x14ac:dyDescent="0.35">
      <c r="A1300" s="497" t="s">
        <v>5552</v>
      </c>
      <c r="B1300" s="13" t="s">
        <v>5547</v>
      </c>
      <c r="C1300" s="13" t="s">
        <v>1296</v>
      </c>
      <c r="D1300" s="13" t="s">
        <v>7088</v>
      </c>
      <c r="E1300" s="13" t="s">
        <v>674</v>
      </c>
      <c r="F1300" s="373">
        <f t="shared" si="527"/>
        <v>12.6</v>
      </c>
      <c r="G1300" s="430">
        <v>12.6</v>
      </c>
      <c r="H1300" s="399">
        <f t="shared" si="528"/>
        <v>10.08</v>
      </c>
      <c r="I1300" s="576"/>
      <c r="J1300" s="549" t="s">
        <v>5804</v>
      </c>
      <c r="K1300" s="11"/>
      <c r="M1300" s="37">
        <f t="shared" si="529"/>
        <v>12.6</v>
      </c>
      <c r="N1300" s="29">
        <v>9.6</v>
      </c>
      <c r="O1300" s="41"/>
      <c r="P1300" s="11"/>
      <c r="Q1300" t="s">
        <v>1017</v>
      </c>
      <c r="S1300" t="s">
        <v>4179</v>
      </c>
      <c r="T1300" t="s">
        <v>4179</v>
      </c>
      <c r="U1300" s="42"/>
      <c r="W1300" s="50"/>
      <c r="X1300" s="50"/>
      <c r="Z1300" s="50"/>
      <c r="AC1300" s="50"/>
      <c r="AE1300" s="75"/>
      <c r="AF1300" s="50"/>
      <c r="AG1300" s="50"/>
      <c r="AH1300" s="166" t="str">
        <f t="shared" si="535"/>
        <v/>
      </c>
      <c r="AI1300" s="168" t="str">
        <f t="shared" si="521"/>
        <v/>
      </c>
      <c r="AJ1300" s="168" t="str">
        <f t="shared" si="522"/>
        <v/>
      </c>
      <c r="AK1300" s="168" t="str">
        <f t="shared" si="523"/>
        <v/>
      </c>
      <c r="AL1300" s="168" t="str">
        <f t="shared" si="524"/>
        <v/>
      </c>
      <c r="AM1300" s="168" t="str">
        <f t="shared" si="525"/>
        <v/>
      </c>
      <c r="AN1300" s="167" t="str">
        <f t="shared" si="508"/>
        <v/>
      </c>
      <c r="AO1300" s="167" t="str">
        <f t="shared" si="509"/>
        <v/>
      </c>
      <c r="AP1300" s="167" t="str">
        <f t="shared" si="510"/>
        <v/>
      </c>
      <c r="AQ1300" s="169" t="str">
        <f t="shared" si="511"/>
        <v/>
      </c>
      <c r="AR1300" s="170" t="str">
        <f t="shared" si="512"/>
        <v>BiK82K09----06</v>
      </c>
      <c r="AS1300" s="169" t="str">
        <f t="shared" si="513"/>
        <v/>
      </c>
      <c r="AT1300">
        <f t="shared" si="514"/>
        <v>14</v>
      </c>
      <c r="AU1300" s="170" t="str">
        <f t="shared" si="515"/>
        <v>0,15-0,5 MW, Bonusregel K erstmals 2009</v>
      </c>
      <c r="AV1300" s="169" t="str">
        <f t="shared" si="516"/>
        <v/>
      </c>
      <c r="AW1300" s="170" t="str">
        <f t="shared" si="517"/>
        <v>Anteil KWK, erstmals 2009</v>
      </c>
      <c r="AX1300" s="169" t="str">
        <f t="shared" si="518"/>
        <v/>
      </c>
      <c r="AY1300" t="str">
        <f t="shared" si="519"/>
        <v/>
      </c>
      <c r="AZ1300" t="str">
        <f t="shared" si="520"/>
        <v/>
      </c>
    </row>
    <row r="1301" spans="1:52" x14ac:dyDescent="0.35">
      <c r="A1301" s="497" t="s">
        <v>4908</v>
      </c>
      <c r="B1301" s="13" t="s">
        <v>5547</v>
      </c>
      <c r="C1301" s="13" t="s">
        <v>1296</v>
      </c>
      <c r="D1301" s="13" t="s">
        <v>7089</v>
      </c>
      <c r="E1301" s="13" t="s">
        <v>3566</v>
      </c>
      <c r="F1301" s="373">
        <f t="shared" si="527"/>
        <v>12.57</v>
      </c>
      <c r="G1301" s="430">
        <v>12.57</v>
      </c>
      <c r="H1301" s="399">
        <f t="shared" si="528"/>
        <v>10.06</v>
      </c>
      <c r="I1301" s="576"/>
      <c r="J1301" s="549" t="s">
        <v>5804</v>
      </c>
      <c r="K1301" s="11"/>
      <c r="M1301" s="37">
        <f t="shared" si="529"/>
        <v>12.57</v>
      </c>
      <c r="N1301" s="29">
        <v>9.6</v>
      </c>
      <c r="O1301" s="41"/>
      <c r="P1301" s="11"/>
      <c r="R1301" t="s">
        <v>1017</v>
      </c>
      <c r="S1301" t="s">
        <v>4179</v>
      </c>
      <c r="T1301" t="s">
        <v>4179</v>
      </c>
      <c r="U1301" s="42"/>
      <c r="W1301" s="50"/>
      <c r="X1301" s="50"/>
      <c r="Z1301" s="50"/>
      <c r="AC1301" s="50"/>
      <c r="AE1301" s="75"/>
      <c r="AF1301" s="50"/>
      <c r="AG1301" s="50"/>
      <c r="AH1301" s="166" t="str">
        <f t="shared" si="535"/>
        <v>2010</v>
      </c>
      <c r="AI1301" s="168" t="str">
        <f t="shared" si="521"/>
        <v/>
      </c>
      <c r="AJ1301" s="168" t="str">
        <f t="shared" si="522"/>
        <v/>
      </c>
      <c r="AK1301" s="168" t="str">
        <f t="shared" si="523"/>
        <v/>
      </c>
      <c r="AL1301" s="168" t="str">
        <f t="shared" si="524"/>
        <v/>
      </c>
      <c r="AM1301" s="168" t="str">
        <f t="shared" si="525"/>
        <v/>
      </c>
      <c r="AN1301" s="167" t="str">
        <f t="shared" si="508"/>
        <v>2010</v>
      </c>
      <c r="AO1301" s="167" t="str">
        <f t="shared" si="509"/>
        <v>2010</v>
      </c>
      <c r="AP1301" s="167" t="str">
        <f t="shared" si="510"/>
        <v>2010</v>
      </c>
      <c r="AQ1301" s="169" t="str">
        <f t="shared" si="511"/>
        <v/>
      </c>
      <c r="AR1301" s="170" t="str">
        <f t="shared" si="512"/>
        <v>BiK82K10----06</v>
      </c>
      <c r="AS1301" s="169" t="str">
        <f t="shared" si="513"/>
        <v/>
      </c>
      <c r="AT1301">
        <f t="shared" si="514"/>
        <v>14</v>
      </c>
      <c r="AU1301" s="170" t="str">
        <f t="shared" si="515"/>
        <v>0,15-0,5 MW, Bonusregel K erstmals 2010</v>
      </c>
      <c r="AV1301" s="169" t="str">
        <f t="shared" si="516"/>
        <v/>
      </c>
      <c r="AW1301" s="170" t="str">
        <f t="shared" si="517"/>
        <v>Anteil KWK, erstmals 2010</v>
      </c>
      <c r="AX1301" s="169" t="str">
        <f t="shared" si="518"/>
        <v/>
      </c>
      <c r="AY1301" t="str">
        <f t="shared" si="519"/>
        <v/>
      </c>
      <c r="AZ1301" t="str">
        <f t="shared" si="520"/>
        <v/>
      </c>
    </row>
    <row r="1302" spans="1:52" x14ac:dyDescent="0.35">
      <c r="A1302" s="497" t="s">
        <v>3955</v>
      </c>
      <c r="B1302" s="13" t="s">
        <v>5547</v>
      </c>
      <c r="C1302" s="13" t="s">
        <v>1296</v>
      </c>
      <c r="D1302" s="13" t="s">
        <v>7090</v>
      </c>
      <c r="E1302" s="13" t="s">
        <v>3054</v>
      </c>
      <c r="F1302" s="373">
        <f t="shared" si="527"/>
        <v>12.54</v>
      </c>
      <c r="G1302" s="430">
        <v>12.54</v>
      </c>
      <c r="H1302" s="399">
        <f t="shared" si="528"/>
        <v>10.029999999999999</v>
      </c>
      <c r="I1302" s="576"/>
      <c r="J1302" s="549" t="s">
        <v>5804</v>
      </c>
      <c r="K1302" s="11"/>
      <c r="M1302" s="37">
        <f t="shared" si="529"/>
        <v>12.54</v>
      </c>
      <c r="N1302" s="29">
        <v>9.6</v>
      </c>
      <c r="O1302" s="41"/>
      <c r="P1302" s="11"/>
      <c r="S1302" t="s">
        <v>1017</v>
      </c>
      <c r="T1302" t="s">
        <v>4179</v>
      </c>
      <c r="U1302" s="42"/>
      <c r="W1302" s="50"/>
      <c r="X1302" s="50"/>
      <c r="Z1302" s="50"/>
      <c r="AC1302" s="50"/>
      <c r="AE1302" s="75"/>
      <c r="AF1302" s="50"/>
      <c r="AG1302" s="50"/>
      <c r="AH1302" s="166" t="str">
        <f t="shared" si="535"/>
        <v>2011</v>
      </c>
      <c r="AI1302" s="168" t="str">
        <f t="shared" si="521"/>
        <v/>
      </c>
      <c r="AJ1302" s="168" t="str">
        <f t="shared" si="522"/>
        <v/>
      </c>
      <c r="AK1302" s="168" t="str">
        <f t="shared" si="523"/>
        <v/>
      </c>
      <c r="AL1302" s="168" t="str">
        <f t="shared" si="524"/>
        <v/>
      </c>
      <c r="AM1302" s="168" t="str">
        <f t="shared" si="525"/>
        <v/>
      </c>
      <c r="AN1302" s="167" t="str">
        <f t="shared" si="508"/>
        <v>2011</v>
      </c>
      <c r="AO1302" s="167" t="str">
        <f t="shared" si="509"/>
        <v>2011</v>
      </c>
      <c r="AP1302" s="167" t="str">
        <f t="shared" si="510"/>
        <v>2011</v>
      </c>
      <c r="AQ1302" s="169" t="str">
        <f t="shared" si="511"/>
        <v/>
      </c>
      <c r="AR1302" s="170" t="str">
        <f t="shared" si="512"/>
        <v>BiK82K11----06</v>
      </c>
      <c r="AS1302" s="169" t="str">
        <f t="shared" si="513"/>
        <v/>
      </c>
      <c r="AT1302">
        <f t="shared" si="514"/>
        <v>14</v>
      </c>
      <c r="AU1302" s="170" t="str">
        <f t="shared" si="515"/>
        <v>0,15-0,5 MW, Bonusregel K erstmals 2011</v>
      </c>
      <c r="AV1302" s="169" t="str">
        <f t="shared" si="516"/>
        <v/>
      </c>
      <c r="AW1302" s="170" t="str">
        <f t="shared" si="517"/>
        <v>Anteil KWK, erstmals 2011</v>
      </c>
      <c r="AX1302" s="169" t="str">
        <f t="shared" si="518"/>
        <v/>
      </c>
      <c r="AY1302" t="str">
        <f t="shared" si="519"/>
        <v>x</v>
      </c>
      <c r="AZ1302" t="str">
        <f t="shared" si="520"/>
        <v/>
      </c>
    </row>
    <row r="1303" spans="1:52" x14ac:dyDescent="0.35">
      <c r="A1303" s="511" t="s">
        <v>3655</v>
      </c>
      <c r="B1303" s="173" t="s">
        <v>5547</v>
      </c>
      <c r="C1303" s="173" t="s">
        <v>1296</v>
      </c>
      <c r="D1303" s="173" t="s">
        <v>7091</v>
      </c>
      <c r="E1303" s="173" t="s">
        <v>1980</v>
      </c>
      <c r="F1303" s="374">
        <f t="shared" si="527"/>
        <v>12.51</v>
      </c>
      <c r="G1303" s="431">
        <v>12.51</v>
      </c>
      <c r="H1303" s="400">
        <f t="shared" si="528"/>
        <v>10.01</v>
      </c>
      <c r="I1303" s="577"/>
      <c r="J1303" s="549" t="s">
        <v>5804</v>
      </c>
      <c r="K1303" s="11"/>
      <c r="M1303" s="37">
        <f t="shared" si="529"/>
        <v>12.51</v>
      </c>
      <c r="N1303" s="29">
        <v>9.6</v>
      </c>
      <c r="O1303" s="41"/>
      <c r="P1303" s="11"/>
      <c r="S1303" t="s">
        <v>4179</v>
      </c>
      <c r="T1303" t="s">
        <v>1017</v>
      </c>
      <c r="U1303" s="42"/>
      <c r="W1303" s="50"/>
      <c r="X1303" s="50"/>
      <c r="Z1303" s="50"/>
      <c r="AC1303" s="50"/>
      <c r="AE1303" s="75"/>
      <c r="AF1303" s="50"/>
      <c r="AG1303" s="50"/>
      <c r="AH1303" s="171" t="s">
        <v>4178</v>
      </c>
      <c r="AI1303" s="168" t="str">
        <f t="shared" si="521"/>
        <v/>
      </c>
      <c r="AJ1303" s="168" t="str">
        <f t="shared" si="522"/>
        <v/>
      </c>
      <c r="AK1303" s="168" t="str">
        <f t="shared" si="523"/>
        <v/>
      </c>
      <c r="AL1303" s="168" t="str">
        <f t="shared" si="524"/>
        <v/>
      </c>
      <c r="AM1303" s="168" t="str">
        <f t="shared" si="525"/>
        <v/>
      </c>
      <c r="AN1303" s="167" t="str">
        <f t="shared" si="508"/>
        <v>2012</v>
      </c>
      <c r="AO1303" s="167" t="str">
        <f t="shared" si="509"/>
        <v>2012</v>
      </c>
      <c r="AP1303" s="167" t="str">
        <f t="shared" si="510"/>
        <v>2012</v>
      </c>
      <c r="AQ1303" s="169" t="str">
        <f t="shared" si="511"/>
        <v/>
      </c>
      <c r="AR1303" s="170" t="str">
        <f t="shared" si="512"/>
        <v>BiK82K12----06</v>
      </c>
      <c r="AS1303" s="169" t="str">
        <f t="shared" si="513"/>
        <v/>
      </c>
      <c r="AT1303">
        <f t="shared" si="514"/>
        <v>14</v>
      </c>
      <c r="AU1303" s="170" t="str">
        <f t="shared" si="515"/>
        <v>0,15-0,5 MW, Bonusregel K erstmals 2012</v>
      </c>
      <c r="AV1303" s="169" t="str">
        <f t="shared" si="516"/>
        <v/>
      </c>
      <c r="AW1303" s="170" t="str">
        <f t="shared" si="517"/>
        <v>Anteil KWK, erstmals 2012</v>
      </c>
      <c r="AX1303" s="169" t="str">
        <f t="shared" si="518"/>
        <v/>
      </c>
      <c r="AY1303" t="str">
        <f t="shared" si="519"/>
        <v/>
      </c>
      <c r="AZ1303" t="str">
        <f t="shared" si="520"/>
        <v>x</v>
      </c>
    </row>
    <row r="1304" spans="1:52" x14ac:dyDescent="0.35">
      <c r="A1304" s="497" t="s">
        <v>980</v>
      </c>
      <c r="B1304" s="13" t="s">
        <v>5547</v>
      </c>
      <c r="C1304" s="13" t="s">
        <v>1296</v>
      </c>
      <c r="D1304" s="13" t="s">
        <v>7092</v>
      </c>
      <c r="E1304" s="13" t="s">
        <v>4809</v>
      </c>
      <c r="F1304" s="373">
        <f t="shared" si="527"/>
        <v>10.6</v>
      </c>
      <c r="G1304" s="430">
        <v>10.6</v>
      </c>
      <c r="H1304" s="399">
        <f t="shared" si="528"/>
        <v>8.48</v>
      </c>
      <c r="I1304" s="576"/>
      <c r="J1304" s="549" t="s">
        <v>5804</v>
      </c>
      <c r="K1304" s="11"/>
      <c r="M1304" s="37">
        <f t="shared" si="529"/>
        <v>10.6</v>
      </c>
      <c r="N1304" s="29">
        <v>9.6</v>
      </c>
      <c r="O1304" s="41"/>
      <c r="P1304" s="11"/>
      <c r="S1304" t="s">
        <v>4179</v>
      </c>
      <c r="T1304" t="s">
        <v>4179</v>
      </c>
      <c r="U1304" s="42" t="s">
        <v>1017</v>
      </c>
      <c r="W1304" s="50"/>
      <c r="X1304" s="50"/>
      <c r="Z1304" s="50"/>
      <c r="AC1304" s="50"/>
      <c r="AE1304" s="75"/>
      <c r="AF1304" s="50"/>
      <c r="AG1304" s="50"/>
      <c r="AH1304" s="166" t="str">
        <f t="shared" ref="AH1304:AH1309" si="536">IF(ISERROR(SEARCH("K erstmals 201",D1304)),"",RIGHT(D1304,4))</f>
        <v/>
      </c>
      <c r="AI1304" s="168" t="str">
        <f t="shared" si="521"/>
        <v/>
      </c>
      <c r="AJ1304" s="168" t="str">
        <f t="shared" si="522"/>
        <v/>
      </c>
      <c r="AK1304" s="168" t="str">
        <f t="shared" si="523"/>
        <v/>
      </c>
      <c r="AL1304" s="168" t="str">
        <f t="shared" si="524"/>
        <v/>
      </c>
      <c r="AM1304" s="168" t="str">
        <f t="shared" si="525"/>
        <v/>
      </c>
      <c r="AN1304" s="167" t="str">
        <f t="shared" si="508"/>
        <v/>
      </c>
      <c r="AO1304" s="167" t="str">
        <f t="shared" si="509"/>
        <v/>
      </c>
      <c r="AP1304" s="167" t="str">
        <f t="shared" si="510"/>
        <v/>
      </c>
      <c r="AQ1304" s="169" t="str">
        <f t="shared" si="511"/>
        <v/>
      </c>
      <c r="AR1304" s="170" t="str">
        <f t="shared" si="512"/>
        <v>BiK82y------06</v>
      </c>
      <c r="AS1304" s="169" t="str">
        <f t="shared" si="513"/>
        <v/>
      </c>
      <c r="AT1304">
        <f t="shared" si="514"/>
        <v>14</v>
      </c>
      <c r="AU1304" s="170" t="str">
        <f t="shared" si="515"/>
        <v>0,15-0,5 MW, Bonusregel y</v>
      </c>
      <c r="AV1304" s="169" t="str">
        <f t="shared" si="516"/>
        <v/>
      </c>
      <c r="AW1304" s="170" t="str">
        <f t="shared" si="517"/>
        <v>Anteil Nicht-KWK</v>
      </c>
      <c r="AX1304" s="169" t="str">
        <f t="shared" si="518"/>
        <v/>
      </c>
      <c r="AY1304" t="str">
        <f t="shared" si="519"/>
        <v/>
      </c>
      <c r="AZ1304" t="str">
        <f t="shared" si="520"/>
        <v/>
      </c>
    </row>
    <row r="1305" spans="1:52" x14ac:dyDescent="0.35">
      <c r="A1305" s="497" t="s">
        <v>981</v>
      </c>
      <c r="B1305" s="13" t="s">
        <v>5547</v>
      </c>
      <c r="C1305" s="13" t="s">
        <v>1296</v>
      </c>
      <c r="D1305" s="13" t="s">
        <v>7093</v>
      </c>
      <c r="E1305" s="13" t="s">
        <v>4811</v>
      </c>
      <c r="F1305" s="373">
        <f t="shared" si="527"/>
        <v>12.6</v>
      </c>
      <c r="G1305" s="430">
        <v>12.6</v>
      </c>
      <c r="H1305" s="399">
        <f t="shared" si="528"/>
        <v>10.08</v>
      </c>
      <c r="I1305" s="576"/>
      <c r="J1305" s="549" t="s">
        <v>5804</v>
      </c>
      <c r="K1305" s="11"/>
      <c r="M1305" s="37">
        <f t="shared" si="529"/>
        <v>12.6</v>
      </c>
      <c r="N1305" s="29">
        <v>9.6</v>
      </c>
      <c r="O1305" s="41" t="s">
        <v>1017</v>
      </c>
      <c r="P1305" s="11"/>
      <c r="S1305" t="s">
        <v>4179</v>
      </c>
      <c r="T1305" t="s">
        <v>4179</v>
      </c>
      <c r="U1305" s="42" t="s">
        <v>1017</v>
      </c>
      <c r="W1305" s="50"/>
      <c r="X1305" s="50"/>
      <c r="Z1305" s="50"/>
      <c r="AC1305" s="50"/>
      <c r="AE1305" s="75"/>
      <c r="AF1305" s="50"/>
      <c r="AG1305" s="50"/>
      <c r="AH1305" s="166" t="str">
        <f t="shared" si="536"/>
        <v/>
      </c>
      <c r="AI1305" s="168" t="str">
        <f t="shared" si="521"/>
        <v/>
      </c>
      <c r="AJ1305" s="168" t="str">
        <f t="shared" si="522"/>
        <v/>
      </c>
      <c r="AK1305" s="168" t="str">
        <f t="shared" si="523"/>
        <v/>
      </c>
      <c r="AL1305" s="168" t="str">
        <f t="shared" si="524"/>
        <v/>
      </c>
      <c r="AM1305" s="168" t="str">
        <f t="shared" si="525"/>
        <v/>
      </c>
      <c r="AN1305" s="167" t="str">
        <f t="shared" si="508"/>
        <v/>
      </c>
      <c r="AO1305" s="167" t="str">
        <f t="shared" si="509"/>
        <v/>
      </c>
      <c r="AP1305" s="167" t="str">
        <f t="shared" si="510"/>
        <v/>
      </c>
      <c r="AQ1305" s="169" t="str">
        <f t="shared" si="511"/>
        <v/>
      </c>
      <c r="AR1305" s="170" t="str">
        <f t="shared" si="512"/>
        <v>BiK82KWKy---06</v>
      </c>
      <c r="AS1305" s="169" t="str">
        <f t="shared" si="513"/>
        <v/>
      </c>
      <c r="AT1305">
        <f t="shared" si="514"/>
        <v>14</v>
      </c>
      <c r="AU1305" s="170" t="str">
        <f t="shared" si="515"/>
        <v>0,15-0,5 MW, Bonusregeln y und KWK</v>
      </c>
      <c r="AV1305" s="169" t="str">
        <f t="shared" si="516"/>
        <v/>
      </c>
      <c r="AW1305" s="170" t="str">
        <f t="shared" si="517"/>
        <v>Anteil KWK</v>
      </c>
      <c r="AX1305" s="169" t="str">
        <f t="shared" si="518"/>
        <v/>
      </c>
      <c r="AY1305" t="str">
        <f t="shared" si="519"/>
        <v/>
      </c>
      <c r="AZ1305" t="str">
        <f t="shared" si="520"/>
        <v/>
      </c>
    </row>
    <row r="1306" spans="1:52" x14ac:dyDescent="0.35">
      <c r="A1306" s="497" t="s">
        <v>982</v>
      </c>
      <c r="B1306" s="13" t="s">
        <v>5547</v>
      </c>
      <c r="C1306" s="13" t="s">
        <v>1296</v>
      </c>
      <c r="D1306" s="13" t="s">
        <v>7094</v>
      </c>
      <c r="E1306" s="13" t="s">
        <v>4330</v>
      </c>
      <c r="F1306" s="373">
        <f t="shared" si="527"/>
        <v>13.6</v>
      </c>
      <c r="G1306" s="430">
        <v>13.6</v>
      </c>
      <c r="H1306" s="399">
        <f t="shared" si="528"/>
        <v>10.88</v>
      </c>
      <c r="I1306" s="576"/>
      <c r="J1306" s="549" t="s">
        <v>5804</v>
      </c>
      <c r="K1306" s="11"/>
      <c r="M1306" s="37">
        <f t="shared" si="529"/>
        <v>13.6</v>
      </c>
      <c r="N1306" s="29">
        <v>9.6</v>
      </c>
      <c r="O1306" s="41"/>
      <c r="P1306" t="s">
        <v>1017</v>
      </c>
      <c r="S1306" t="s">
        <v>4179</v>
      </c>
      <c r="T1306" t="s">
        <v>4179</v>
      </c>
      <c r="U1306" s="42" t="s">
        <v>1017</v>
      </c>
      <c r="W1306" s="50"/>
      <c r="X1306" s="50"/>
      <c r="Z1306" s="50"/>
      <c r="AC1306" s="50"/>
      <c r="AE1306" s="75"/>
      <c r="AF1306" s="50"/>
      <c r="AG1306" s="50"/>
      <c r="AH1306" s="166" t="str">
        <f t="shared" si="536"/>
        <v/>
      </c>
      <c r="AI1306" s="168" t="str">
        <f t="shared" si="521"/>
        <v/>
      </c>
      <c r="AJ1306" s="168" t="str">
        <f t="shared" si="522"/>
        <v/>
      </c>
      <c r="AK1306" s="168" t="str">
        <f t="shared" si="523"/>
        <v/>
      </c>
      <c r="AL1306" s="168" t="str">
        <f t="shared" si="524"/>
        <v/>
      </c>
      <c r="AM1306" s="168" t="str">
        <f t="shared" si="525"/>
        <v/>
      </c>
      <c r="AN1306" s="167" t="str">
        <f t="shared" si="508"/>
        <v/>
      </c>
      <c r="AO1306" s="167" t="str">
        <f t="shared" si="509"/>
        <v/>
      </c>
      <c r="AP1306" s="167" t="str">
        <f t="shared" si="510"/>
        <v/>
      </c>
      <c r="AQ1306" s="169" t="str">
        <f t="shared" si="511"/>
        <v/>
      </c>
      <c r="AR1306" s="170" t="str">
        <f t="shared" si="512"/>
        <v>BiK82KA3y---06</v>
      </c>
      <c r="AS1306" s="169" t="str">
        <f t="shared" si="513"/>
        <v/>
      </c>
      <c r="AT1306">
        <f t="shared" si="514"/>
        <v>14</v>
      </c>
      <c r="AU1306" s="170" t="str">
        <f t="shared" si="515"/>
        <v>0,15-0,5 MW, Bonusregeln y und K wenn Anlage 3 erfüllt</v>
      </c>
      <c r="AV1306" s="169" t="str">
        <f t="shared" si="516"/>
        <v/>
      </c>
      <c r="AW1306" s="170" t="str">
        <f t="shared" si="517"/>
        <v>Anteil KWK gemäß Anlage 3</v>
      </c>
      <c r="AX1306" s="169" t="str">
        <f t="shared" si="518"/>
        <v/>
      </c>
      <c r="AY1306" t="str">
        <f t="shared" si="519"/>
        <v/>
      </c>
      <c r="AZ1306" t="str">
        <f t="shared" si="520"/>
        <v/>
      </c>
    </row>
    <row r="1307" spans="1:52" x14ac:dyDescent="0.35">
      <c r="A1307" s="497" t="s">
        <v>983</v>
      </c>
      <c r="B1307" s="13" t="s">
        <v>5547</v>
      </c>
      <c r="C1307" s="13" t="s">
        <v>1296</v>
      </c>
      <c r="D1307" s="13" t="s">
        <v>7095</v>
      </c>
      <c r="E1307" s="13" t="s">
        <v>674</v>
      </c>
      <c r="F1307" s="373">
        <f t="shared" si="527"/>
        <v>13.6</v>
      </c>
      <c r="G1307" s="430">
        <v>13.6</v>
      </c>
      <c r="H1307" s="399">
        <f t="shared" si="528"/>
        <v>10.88</v>
      </c>
      <c r="I1307" s="576"/>
      <c r="J1307" s="549" t="s">
        <v>5804</v>
      </c>
      <c r="K1307" s="11"/>
      <c r="M1307" s="37">
        <f t="shared" si="529"/>
        <v>13.6</v>
      </c>
      <c r="N1307" s="29">
        <v>9.6</v>
      </c>
      <c r="O1307" s="41"/>
      <c r="P1307" s="11"/>
      <c r="Q1307" t="s">
        <v>1017</v>
      </c>
      <c r="S1307" t="s">
        <v>4179</v>
      </c>
      <c r="T1307" t="s">
        <v>4179</v>
      </c>
      <c r="U1307" s="42" t="s">
        <v>1017</v>
      </c>
      <c r="W1307" s="50"/>
      <c r="X1307" s="50"/>
      <c r="Z1307" s="50"/>
      <c r="AC1307" s="50"/>
      <c r="AE1307" s="75"/>
      <c r="AF1307" s="50"/>
      <c r="AG1307" s="50"/>
      <c r="AH1307" s="166" t="str">
        <f t="shared" si="536"/>
        <v/>
      </c>
      <c r="AI1307" s="168" t="str">
        <f t="shared" si="521"/>
        <v/>
      </c>
      <c r="AJ1307" s="168" t="str">
        <f t="shared" si="522"/>
        <v/>
      </c>
      <c r="AK1307" s="168" t="str">
        <f t="shared" si="523"/>
        <v/>
      </c>
      <c r="AL1307" s="168" t="str">
        <f t="shared" si="524"/>
        <v/>
      </c>
      <c r="AM1307" s="168" t="str">
        <f t="shared" si="525"/>
        <v/>
      </c>
      <c r="AN1307" s="167" t="str">
        <f t="shared" si="508"/>
        <v/>
      </c>
      <c r="AO1307" s="167" t="str">
        <f t="shared" si="509"/>
        <v/>
      </c>
      <c r="AP1307" s="167" t="str">
        <f t="shared" si="510"/>
        <v/>
      </c>
      <c r="AQ1307" s="169" t="str">
        <f t="shared" si="511"/>
        <v/>
      </c>
      <c r="AR1307" s="170" t="str">
        <f t="shared" si="512"/>
        <v>BiK82K09y---06</v>
      </c>
      <c r="AS1307" s="169" t="str">
        <f t="shared" si="513"/>
        <v/>
      </c>
      <c r="AT1307">
        <f t="shared" si="514"/>
        <v>14</v>
      </c>
      <c r="AU1307" s="170" t="str">
        <f t="shared" si="515"/>
        <v>0,15-0,5 MW, Bonusregeln y und K erstmals 2009</v>
      </c>
      <c r="AV1307" s="169" t="str">
        <f t="shared" si="516"/>
        <v/>
      </c>
      <c r="AW1307" s="170" t="str">
        <f t="shared" si="517"/>
        <v>Anteil KWK, erstmals 2009</v>
      </c>
      <c r="AX1307" s="169" t="str">
        <f t="shared" si="518"/>
        <v/>
      </c>
      <c r="AY1307" t="str">
        <f t="shared" si="519"/>
        <v/>
      </c>
      <c r="AZ1307" t="str">
        <f t="shared" si="520"/>
        <v/>
      </c>
    </row>
    <row r="1308" spans="1:52" x14ac:dyDescent="0.35">
      <c r="A1308" s="497" t="s">
        <v>4909</v>
      </c>
      <c r="B1308" s="13" t="s">
        <v>5547</v>
      </c>
      <c r="C1308" s="13" t="s">
        <v>1296</v>
      </c>
      <c r="D1308" s="13" t="s">
        <v>7096</v>
      </c>
      <c r="E1308" s="13" t="s">
        <v>3566</v>
      </c>
      <c r="F1308" s="373">
        <f t="shared" si="527"/>
        <v>13.57</v>
      </c>
      <c r="G1308" s="430">
        <v>13.57</v>
      </c>
      <c r="H1308" s="399">
        <f t="shared" si="528"/>
        <v>10.86</v>
      </c>
      <c r="I1308" s="576"/>
      <c r="J1308" s="549" t="s">
        <v>5804</v>
      </c>
      <c r="K1308" s="11"/>
      <c r="M1308" s="37">
        <f t="shared" si="529"/>
        <v>13.57</v>
      </c>
      <c r="N1308" s="29">
        <v>9.6</v>
      </c>
      <c r="O1308" s="41"/>
      <c r="P1308" s="11"/>
      <c r="R1308" t="s">
        <v>1017</v>
      </c>
      <c r="S1308" t="s">
        <v>4179</v>
      </c>
      <c r="T1308" t="s">
        <v>4179</v>
      </c>
      <c r="U1308" s="42" t="s">
        <v>1017</v>
      </c>
      <c r="W1308" s="50"/>
      <c r="X1308" s="50"/>
      <c r="Z1308" s="50"/>
      <c r="AC1308" s="50"/>
      <c r="AE1308" s="75"/>
      <c r="AF1308" s="50"/>
      <c r="AG1308" s="50"/>
      <c r="AH1308" s="166" t="str">
        <f t="shared" si="536"/>
        <v>2010</v>
      </c>
      <c r="AI1308" s="168" t="str">
        <f t="shared" si="521"/>
        <v/>
      </c>
      <c r="AJ1308" s="168" t="str">
        <f t="shared" si="522"/>
        <v/>
      </c>
      <c r="AK1308" s="168" t="str">
        <f t="shared" si="523"/>
        <v/>
      </c>
      <c r="AL1308" s="168" t="str">
        <f t="shared" si="524"/>
        <v/>
      </c>
      <c r="AM1308" s="168" t="str">
        <f t="shared" si="525"/>
        <v/>
      </c>
      <c r="AN1308" s="167" t="str">
        <f t="shared" si="508"/>
        <v>2010</v>
      </c>
      <c r="AO1308" s="167" t="str">
        <f t="shared" si="509"/>
        <v>2010</v>
      </c>
      <c r="AP1308" s="167" t="str">
        <f t="shared" si="510"/>
        <v>2010</v>
      </c>
      <c r="AQ1308" s="169" t="str">
        <f t="shared" si="511"/>
        <v/>
      </c>
      <c r="AR1308" s="170" t="str">
        <f t="shared" si="512"/>
        <v>BiK82K10y---06</v>
      </c>
      <c r="AS1308" s="169" t="str">
        <f t="shared" si="513"/>
        <v/>
      </c>
      <c r="AT1308">
        <f t="shared" si="514"/>
        <v>14</v>
      </c>
      <c r="AU1308" s="170" t="str">
        <f t="shared" si="515"/>
        <v>0,15-0,5 MW, Bonusregeln y und K erstmals 2010</v>
      </c>
      <c r="AV1308" s="169" t="str">
        <f t="shared" si="516"/>
        <v/>
      </c>
      <c r="AW1308" s="170" t="str">
        <f t="shared" si="517"/>
        <v>Anteil KWK, erstmals 2010</v>
      </c>
      <c r="AX1308" s="169" t="str">
        <f t="shared" si="518"/>
        <v/>
      </c>
      <c r="AY1308" t="str">
        <f t="shared" si="519"/>
        <v/>
      </c>
      <c r="AZ1308" t="str">
        <f t="shared" si="520"/>
        <v/>
      </c>
    </row>
    <row r="1309" spans="1:52" x14ac:dyDescent="0.35">
      <c r="A1309" s="497" t="s">
        <v>3956</v>
      </c>
      <c r="B1309" s="13" t="s">
        <v>5547</v>
      </c>
      <c r="C1309" s="13" t="s">
        <v>1296</v>
      </c>
      <c r="D1309" s="13" t="s">
        <v>7097</v>
      </c>
      <c r="E1309" s="13" t="s">
        <v>3054</v>
      </c>
      <c r="F1309" s="373">
        <f t="shared" si="527"/>
        <v>13.54</v>
      </c>
      <c r="G1309" s="430">
        <v>13.54</v>
      </c>
      <c r="H1309" s="399">
        <f t="shared" si="528"/>
        <v>10.83</v>
      </c>
      <c r="I1309" s="576"/>
      <c r="J1309" s="549" t="s">
        <v>5804</v>
      </c>
      <c r="K1309" s="11"/>
      <c r="M1309" s="37">
        <f t="shared" si="529"/>
        <v>13.54</v>
      </c>
      <c r="N1309" s="29">
        <v>9.6</v>
      </c>
      <c r="O1309" s="41"/>
      <c r="P1309" s="11"/>
      <c r="S1309" t="s">
        <v>1017</v>
      </c>
      <c r="T1309" t="s">
        <v>4179</v>
      </c>
      <c r="U1309" s="42" t="s">
        <v>1017</v>
      </c>
      <c r="W1309" s="50"/>
      <c r="X1309" s="50"/>
      <c r="Z1309" s="50"/>
      <c r="AC1309" s="50"/>
      <c r="AE1309" s="75"/>
      <c r="AF1309" s="50"/>
      <c r="AG1309" s="50"/>
      <c r="AH1309" s="166" t="str">
        <f t="shared" si="536"/>
        <v>2011</v>
      </c>
      <c r="AI1309" s="168" t="str">
        <f t="shared" si="521"/>
        <v/>
      </c>
      <c r="AJ1309" s="168" t="str">
        <f t="shared" si="522"/>
        <v/>
      </c>
      <c r="AK1309" s="168" t="str">
        <f t="shared" si="523"/>
        <v/>
      </c>
      <c r="AL1309" s="168" t="str">
        <f t="shared" si="524"/>
        <v/>
      </c>
      <c r="AM1309" s="168" t="str">
        <f t="shared" si="525"/>
        <v/>
      </c>
      <c r="AN1309" s="167" t="str">
        <f t="shared" si="508"/>
        <v>2011</v>
      </c>
      <c r="AO1309" s="167" t="str">
        <f t="shared" si="509"/>
        <v>2011</v>
      </c>
      <c r="AP1309" s="167" t="str">
        <f t="shared" si="510"/>
        <v>2011</v>
      </c>
      <c r="AQ1309" s="169" t="str">
        <f t="shared" si="511"/>
        <v/>
      </c>
      <c r="AR1309" s="170" t="str">
        <f t="shared" si="512"/>
        <v>BiK82K11y---06</v>
      </c>
      <c r="AS1309" s="169" t="str">
        <f t="shared" si="513"/>
        <v/>
      </c>
      <c r="AT1309">
        <f t="shared" si="514"/>
        <v>14</v>
      </c>
      <c r="AU1309" s="170" t="str">
        <f t="shared" si="515"/>
        <v>0,15-0,5 MW, Bonusregeln y und K erstmals 2011</v>
      </c>
      <c r="AV1309" s="169" t="str">
        <f t="shared" si="516"/>
        <v/>
      </c>
      <c r="AW1309" s="170" t="str">
        <f t="shared" si="517"/>
        <v>Anteil KWK, erstmals 2011</v>
      </c>
      <c r="AX1309" s="169" t="str">
        <f t="shared" si="518"/>
        <v/>
      </c>
      <c r="AY1309" t="str">
        <f t="shared" si="519"/>
        <v>x</v>
      </c>
      <c r="AZ1309" t="str">
        <f t="shared" si="520"/>
        <v/>
      </c>
    </row>
    <row r="1310" spans="1:52" x14ac:dyDescent="0.35">
      <c r="A1310" s="511" t="s">
        <v>3656</v>
      </c>
      <c r="B1310" s="173" t="s">
        <v>5547</v>
      </c>
      <c r="C1310" s="173" t="s">
        <v>1296</v>
      </c>
      <c r="D1310" s="173" t="s">
        <v>7098</v>
      </c>
      <c r="E1310" s="173" t="s">
        <v>1980</v>
      </c>
      <c r="F1310" s="374">
        <f t="shared" si="527"/>
        <v>13.51</v>
      </c>
      <c r="G1310" s="431">
        <v>13.51</v>
      </c>
      <c r="H1310" s="400">
        <f t="shared" si="528"/>
        <v>10.81</v>
      </c>
      <c r="I1310" s="577"/>
      <c r="J1310" s="549" t="s">
        <v>5804</v>
      </c>
      <c r="K1310" s="11"/>
      <c r="M1310" s="37">
        <f t="shared" si="529"/>
        <v>13.51</v>
      </c>
      <c r="N1310" s="29">
        <v>9.6</v>
      </c>
      <c r="O1310" s="41"/>
      <c r="P1310" s="11"/>
      <c r="S1310" t="s">
        <v>4179</v>
      </c>
      <c r="T1310" t="s">
        <v>1017</v>
      </c>
      <c r="U1310" s="42" t="s">
        <v>1017</v>
      </c>
      <c r="W1310" s="50"/>
      <c r="X1310" s="50"/>
      <c r="Z1310" s="50"/>
      <c r="AC1310" s="50"/>
      <c r="AE1310" s="75"/>
      <c r="AF1310" s="50"/>
      <c r="AG1310" s="50"/>
      <c r="AH1310" s="171" t="s">
        <v>4178</v>
      </c>
      <c r="AI1310" s="168" t="str">
        <f t="shared" si="521"/>
        <v/>
      </c>
      <c r="AJ1310" s="168" t="str">
        <f t="shared" si="522"/>
        <v/>
      </c>
      <c r="AK1310" s="168" t="str">
        <f t="shared" si="523"/>
        <v/>
      </c>
      <c r="AL1310" s="168" t="str">
        <f t="shared" si="524"/>
        <v/>
      </c>
      <c r="AM1310" s="168" t="str">
        <f t="shared" si="525"/>
        <v/>
      </c>
      <c r="AN1310" s="167" t="str">
        <f t="shared" si="508"/>
        <v>2012</v>
      </c>
      <c r="AO1310" s="167" t="str">
        <f t="shared" si="509"/>
        <v>2012</v>
      </c>
      <c r="AP1310" s="167" t="str">
        <f t="shared" si="510"/>
        <v>2012</v>
      </c>
      <c r="AQ1310" s="169" t="str">
        <f t="shared" si="511"/>
        <v/>
      </c>
      <c r="AR1310" s="170" t="str">
        <f t="shared" si="512"/>
        <v>BiK82K12y---06</v>
      </c>
      <c r="AS1310" s="169" t="str">
        <f t="shared" si="513"/>
        <v/>
      </c>
      <c r="AT1310">
        <f t="shared" si="514"/>
        <v>14</v>
      </c>
      <c r="AU1310" s="170" t="str">
        <f t="shared" si="515"/>
        <v>0,15-0,5 MW, Bonusregeln y und K erstmals 2012</v>
      </c>
      <c r="AV1310" s="169" t="str">
        <f t="shared" si="516"/>
        <v/>
      </c>
      <c r="AW1310" s="170" t="str">
        <f t="shared" si="517"/>
        <v>Anteil KWK, erstmals 2012</v>
      </c>
      <c r="AX1310" s="169" t="str">
        <f t="shared" si="518"/>
        <v/>
      </c>
      <c r="AY1310" t="str">
        <f t="shared" si="519"/>
        <v/>
      </c>
      <c r="AZ1310" t="str">
        <f t="shared" si="520"/>
        <v>x</v>
      </c>
    </row>
    <row r="1311" spans="1:52" x14ac:dyDescent="0.35">
      <c r="A1311" s="496" t="s">
        <v>884</v>
      </c>
      <c r="B1311" s="1" t="s">
        <v>5547</v>
      </c>
      <c r="C1311" s="1" t="s">
        <v>1296</v>
      </c>
      <c r="D1311" s="1" t="s">
        <v>7099</v>
      </c>
      <c r="E1311" s="1" t="s">
        <v>4809</v>
      </c>
      <c r="F1311" s="375">
        <f t="shared" si="527"/>
        <v>15.6</v>
      </c>
      <c r="G1311" s="432">
        <v>15.6</v>
      </c>
      <c r="H1311" s="401">
        <f t="shared" si="528"/>
        <v>12.48</v>
      </c>
      <c r="I1311" s="578"/>
      <c r="J1311" s="549" t="s">
        <v>5804</v>
      </c>
      <c r="K1311" s="11"/>
      <c r="M1311" s="37">
        <f t="shared" si="529"/>
        <v>15.6</v>
      </c>
      <c r="N1311" s="29">
        <v>9.6</v>
      </c>
      <c r="O1311" s="41"/>
      <c r="P1311" s="11"/>
      <c r="S1311" t="s">
        <v>4179</v>
      </c>
      <c r="T1311" t="s">
        <v>4179</v>
      </c>
      <c r="U1311" s="42"/>
      <c r="V1311" t="s">
        <v>1017</v>
      </c>
      <c r="W1311" s="50"/>
      <c r="X1311" s="50"/>
      <c r="Z1311" s="50"/>
      <c r="AC1311" s="50"/>
      <c r="AE1311" s="75"/>
      <c r="AF1311" s="50"/>
      <c r="AG1311" s="50"/>
      <c r="AH1311" s="166" t="str">
        <f t="shared" ref="AH1311:AH1316" si="537">IF(ISERROR(SEARCH("K erstmals 201",D1311)),"",RIGHT(D1311,4))</f>
        <v/>
      </c>
      <c r="AI1311" s="168" t="str">
        <f t="shared" si="521"/>
        <v/>
      </c>
      <c r="AJ1311" s="168" t="str">
        <f t="shared" si="522"/>
        <v/>
      </c>
      <c r="AK1311" s="168" t="str">
        <f t="shared" si="523"/>
        <v/>
      </c>
      <c r="AL1311" s="168" t="str">
        <f t="shared" si="524"/>
        <v/>
      </c>
      <c r="AM1311" s="168" t="str">
        <f t="shared" si="525"/>
        <v/>
      </c>
      <c r="AN1311" s="167" t="str">
        <f t="shared" si="508"/>
        <v/>
      </c>
      <c r="AO1311" s="167" t="str">
        <f t="shared" si="509"/>
        <v/>
      </c>
      <c r="AP1311" s="167" t="str">
        <f t="shared" si="510"/>
        <v/>
      </c>
      <c r="AQ1311" s="169" t="str">
        <f t="shared" si="511"/>
        <v/>
      </c>
      <c r="AR1311" s="170" t="str">
        <f t="shared" si="512"/>
        <v>BiK82a1-----06</v>
      </c>
      <c r="AS1311" s="169" t="str">
        <f t="shared" si="513"/>
        <v/>
      </c>
      <c r="AT1311">
        <f t="shared" si="514"/>
        <v>14</v>
      </c>
      <c r="AU1311" s="170" t="str">
        <f t="shared" si="515"/>
        <v>0,15-0,5 MW, Bonusregel a1</v>
      </c>
      <c r="AV1311" s="169" t="str">
        <f t="shared" si="516"/>
        <v/>
      </c>
      <c r="AW1311" s="170" t="str">
        <f t="shared" si="517"/>
        <v>Anteil Nicht-KWK</v>
      </c>
      <c r="AX1311" s="169" t="str">
        <f t="shared" si="518"/>
        <v/>
      </c>
      <c r="AY1311" t="str">
        <f t="shared" si="519"/>
        <v/>
      </c>
      <c r="AZ1311" t="str">
        <f t="shared" si="520"/>
        <v/>
      </c>
    </row>
    <row r="1312" spans="1:52" x14ac:dyDescent="0.35">
      <c r="A1312" s="496" t="s">
        <v>885</v>
      </c>
      <c r="B1312" s="1" t="s">
        <v>5547</v>
      </c>
      <c r="C1312" s="1" t="s">
        <v>1296</v>
      </c>
      <c r="D1312" s="1" t="s">
        <v>7100</v>
      </c>
      <c r="E1312" s="1" t="s">
        <v>4811</v>
      </c>
      <c r="F1312" s="375">
        <f t="shared" si="527"/>
        <v>17.600000000000001</v>
      </c>
      <c r="G1312" s="432">
        <v>17.600000000000001</v>
      </c>
      <c r="H1312" s="401">
        <f t="shared" si="528"/>
        <v>14.08</v>
      </c>
      <c r="I1312" s="578"/>
      <c r="J1312" s="549" t="s">
        <v>5804</v>
      </c>
      <c r="K1312" s="11"/>
      <c r="M1312" s="37">
        <f t="shared" si="529"/>
        <v>17.600000000000001</v>
      </c>
      <c r="N1312" s="29">
        <v>9.6</v>
      </c>
      <c r="O1312" s="41" t="s">
        <v>1017</v>
      </c>
      <c r="P1312" s="11"/>
      <c r="S1312" t="s">
        <v>4179</v>
      </c>
      <c r="T1312" t="s">
        <v>4179</v>
      </c>
      <c r="U1312" s="42"/>
      <c r="V1312" t="s">
        <v>1017</v>
      </c>
      <c r="W1312" s="50"/>
      <c r="X1312" s="50"/>
      <c r="Z1312" s="50"/>
      <c r="AC1312" s="50"/>
      <c r="AE1312" s="75"/>
      <c r="AF1312" s="50"/>
      <c r="AG1312" s="50"/>
      <c r="AH1312" s="166" t="str">
        <f t="shared" si="537"/>
        <v/>
      </c>
      <c r="AI1312" s="168" t="str">
        <f t="shared" si="521"/>
        <v/>
      </c>
      <c r="AJ1312" s="168" t="str">
        <f t="shared" si="522"/>
        <v/>
      </c>
      <c r="AK1312" s="168" t="str">
        <f t="shared" si="523"/>
        <v/>
      </c>
      <c r="AL1312" s="168" t="str">
        <f t="shared" si="524"/>
        <v/>
      </c>
      <c r="AM1312" s="168" t="str">
        <f t="shared" si="525"/>
        <v/>
      </c>
      <c r="AN1312" s="167" t="str">
        <f t="shared" si="508"/>
        <v/>
      </c>
      <c r="AO1312" s="167" t="str">
        <f t="shared" si="509"/>
        <v/>
      </c>
      <c r="AP1312" s="167" t="str">
        <f t="shared" si="510"/>
        <v/>
      </c>
      <c r="AQ1312" s="169" t="str">
        <f t="shared" si="511"/>
        <v/>
      </c>
      <c r="AR1312" s="170" t="str">
        <f t="shared" si="512"/>
        <v>BiK82a1KWK--06</v>
      </c>
      <c r="AS1312" s="169" t="str">
        <f t="shared" si="513"/>
        <v/>
      </c>
      <c r="AT1312">
        <f t="shared" si="514"/>
        <v>14</v>
      </c>
      <c r="AU1312" s="170" t="str">
        <f t="shared" si="515"/>
        <v>0,15-0,5 MW, Bonusregel a1 und KWK</v>
      </c>
      <c r="AV1312" s="169" t="str">
        <f t="shared" si="516"/>
        <v/>
      </c>
      <c r="AW1312" s="170" t="str">
        <f t="shared" si="517"/>
        <v>Anteil KWK</v>
      </c>
      <c r="AX1312" s="169" t="str">
        <f t="shared" si="518"/>
        <v/>
      </c>
      <c r="AY1312" t="str">
        <f t="shared" si="519"/>
        <v/>
      </c>
      <c r="AZ1312" t="str">
        <f t="shared" si="520"/>
        <v/>
      </c>
    </row>
    <row r="1313" spans="1:52" x14ac:dyDescent="0.35">
      <c r="A1313" s="497" t="s">
        <v>4354</v>
      </c>
      <c r="B1313" s="13" t="s">
        <v>5547</v>
      </c>
      <c r="C1313" s="13" t="s">
        <v>1296</v>
      </c>
      <c r="D1313" s="13" t="s">
        <v>7101</v>
      </c>
      <c r="E1313" s="13" t="s">
        <v>4330</v>
      </c>
      <c r="F1313" s="373">
        <f t="shared" si="527"/>
        <v>18.600000000000001</v>
      </c>
      <c r="G1313" s="430">
        <v>18.600000000000001</v>
      </c>
      <c r="H1313" s="399">
        <f t="shared" si="528"/>
        <v>14.88</v>
      </c>
      <c r="I1313" s="576"/>
      <c r="J1313" s="549" t="s">
        <v>5804</v>
      </c>
      <c r="K1313" s="11"/>
      <c r="M1313" s="37">
        <f t="shared" si="529"/>
        <v>18.600000000000001</v>
      </c>
      <c r="N1313" s="29">
        <v>9.6</v>
      </c>
      <c r="O1313" s="41"/>
      <c r="P1313" t="s">
        <v>1017</v>
      </c>
      <c r="S1313" t="s">
        <v>4179</v>
      </c>
      <c r="T1313" t="s">
        <v>4179</v>
      </c>
      <c r="U1313" s="42"/>
      <c r="V1313" t="s">
        <v>1017</v>
      </c>
      <c r="W1313" s="50"/>
      <c r="X1313" s="50"/>
      <c r="Z1313" s="50"/>
      <c r="AC1313" s="50"/>
      <c r="AE1313" s="75"/>
      <c r="AF1313" s="50"/>
      <c r="AG1313" s="50"/>
      <c r="AH1313" s="166" t="str">
        <f t="shared" si="537"/>
        <v/>
      </c>
      <c r="AI1313" s="168" t="str">
        <f t="shared" si="521"/>
        <v/>
      </c>
      <c r="AJ1313" s="168" t="str">
        <f t="shared" si="522"/>
        <v/>
      </c>
      <c r="AK1313" s="168" t="str">
        <f t="shared" si="523"/>
        <v/>
      </c>
      <c r="AL1313" s="168" t="str">
        <f t="shared" si="524"/>
        <v/>
      </c>
      <c r="AM1313" s="168" t="str">
        <f t="shared" si="525"/>
        <v/>
      </c>
      <c r="AN1313" s="167" t="str">
        <f t="shared" si="508"/>
        <v/>
      </c>
      <c r="AO1313" s="167" t="str">
        <f t="shared" si="509"/>
        <v/>
      </c>
      <c r="AP1313" s="167" t="str">
        <f t="shared" si="510"/>
        <v/>
      </c>
      <c r="AQ1313" s="169" t="str">
        <f t="shared" si="511"/>
        <v/>
      </c>
      <c r="AR1313" s="170" t="str">
        <f t="shared" si="512"/>
        <v>BiK82a1KA3--06</v>
      </c>
      <c r="AS1313" s="169" t="str">
        <f t="shared" si="513"/>
        <v/>
      </c>
      <c r="AT1313">
        <f t="shared" si="514"/>
        <v>14</v>
      </c>
      <c r="AU1313" s="170" t="str">
        <f t="shared" si="515"/>
        <v>0,15-0,5 MW, Bonusregeln a1 und K wenn Anlage 3 erfüllt</v>
      </c>
      <c r="AV1313" s="169" t="str">
        <f t="shared" si="516"/>
        <v/>
      </c>
      <c r="AW1313" s="170" t="str">
        <f t="shared" si="517"/>
        <v>Anteil KWK gemäß Anlage 3</v>
      </c>
      <c r="AX1313" s="169" t="str">
        <f t="shared" si="518"/>
        <v/>
      </c>
      <c r="AY1313" t="str">
        <f t="shared" si="519"/>
        <v/>
      </c>
      <c r="AZ1313" t="str">
        <f t="shared" si="520"/>
        <v/>
      </c>
    </row>
    <row r="1314" spans="1:52" x14ac:dyDescent="0.35">
      <c r="A1314" s="497" t="s">
        <v>4590</v>
      </c>
      <c r="B1314" s="13" t="s">
        <v>5547</v>
      </c>
      <c r="C1314" s="13" t="s">
        <v>1296</v>
      </c>
      <c r="D1314" s="13" t="s">
        <v>7102</v>
      </c>
      <c r="E1314" s="13" t="s">
        <v>674</v>
      </c>
      <c r="F1314" s="373">
        <f t="shared" si="527"/>
        <v>18.600000000000001</v>
      </c>
      <c r="G1314" s="430">
        <v>18.600000000000001</v>
      </c>
      <c r="H1314" s="399">
        <f t="shared" si="528"/>
        <v>14.88</v>
      </c>
      <c r="I1314" s="576"/>
      <c r="J1314" s="549" t="s">
        <v>5804</v>
      </c>
      <c r="K1314" s="11"/>
      <c r="M1314" s="37">
        <f t="shared" si="529"/>
        <v>18.600000000000001</v>
      </c>
      <c r="N1314" s="29">
        <v>9.6</v>
      </c>
      <c r="O1314" s="41"/>
      <c r="P1314" s="11"/>
      <c r="Q1314" t="s">
        <v>1017</v>
      </c>
      <c r="S1314" t="s">
        <v>4179</v>
      </c>
      <c r="T1314" t="s">
        <v>4179</v>
      </c>
      <c r="U1314" s="42"/>
      <c r="V1314" t="s">
        <v>1017</v>
      </c>
      <c r="W1314" s="50"/>
      <c r="X1314" s="50"/>
      <c r="Z1314" s="50"/>
      <c r="AC1314" s="50"/>
      <c r="AE1314" s="75"/>
      <c r="AF1314" s="50"/>
      <c r="AG1314" s="50"/>
      <c r="AH1314" s="166" t="str">
        <f t="shared" si="537"/>
        <v/>
      </c>
      <c r="AI1314" s="168" t="str">
        <f t="shared" si="521"/>
        <v/>
      </c>
      <c r="AJ1314" s="168" t="str">
        <f t="shared" si="522"/>
        <v/>
      </c>
      <c r="AK1314" s="168" t="str">
        <f t="shared" si="523"/>
        <v/>
      </c>
      <c r="AL1314" s="168" t="str">
        <f t="shared" si="524"/>
        <v/>
      </c>
      <c r="AM1314" s="168" t="str">
        <f t="shared" si="525"/>
        <v/>
      </c>
      <c r="AN1314" s="167" t="str">
        <f t="shared" si="508"/>
        <v/>
      </c>
      <c r="AO1314" s="167" t="str">
        <f t="shared" si="509"/>
        <v/>
      </c>
      <c r="AP1314" s="167" t="str">
        <f t="shared" si="510"/>
        <v/>
      </c>
      <c r="AQ1314" s="169" t="str">
        <f t="shared" si="511"/>
        <v/>
      </c>
      <c r="AR1314" s="170" t="str">
        <f t="shared" si="512"/>
        <v>BiK82a1K09--06</v>
      </c>
      <c r="AS1314" s="169" t="str">
        <f t="shared" si="513"/>
        <v/>
      </c>
      <c r="AT1314">
        <f t="shared" si="514"/>
        <v>14</v>
      </c>
      <c r="AU1314" s="170" t="str">
        <f t="shared" si="515"/>
        <v>0,15-0,5 MW, Bonusregeln a1 und K erstmals 2009</v>
      </c>
      <c r="AV1314" s="169" t="str">
        <f t="shared" si="516"/>
        <v/>
      </c>
      <c r="AW1314" s="170" t="str">
        <f t="shared" si="517"/>
        <v>Anteil KWK, erstmals 2009</v>
      </c>
      <c r="AX1314" s="169" t="str">
        <f t="shared" si="518"/>
        <v/>
      </c>
      <c r="AY1314" t="str">
        <f t="shared" si="519"/>
        <v/>
      </c>
      <c r="AZ1314" t="str">
        <f t="shared" si="520"/>
        <v/>
      </c>
    </row>
    <row r="1315" spans="1:52" x14ac:dyDescent="0.35">
      <c r="A1315" s="497" t="s">
        <v>4910</v>
      </c>
      <c r="B1315" s="13" t="s">
        <v>5547</v>
      </c>
      <c r="C1315" s="13" t="s">
        <v>1296</v>
      </c>
      <c r="D1315" s="13" t="s">
        <v>7103</v>
      </c>
      <c r="E1315" s="13" t="s">
        <v>3566</v>
      </c>
      <c r="F1315" s="373">
        <f t="shared" si="527"/>
        <v>18.57</v>
      </c>
      <c r="G1315" s="430">
        <v>18.57</v>
      </c>
      <c r="H1315" s="399">
        <f t="shared" si="528"/>
        <v>14.86</v>
      </c>
      <c r="I1315" s="576"/>
      <c r="J1315" s="549" t="s">
        <v>5804</v>
      </c>
      <c r="K1315" s="11"/>
      <c r="M1315" s="37">
        <f t="shared" si="529"/>
        <v>18.57</v>
      </c>
      <c r="N1315" s="29">
        <v>9.6</v>
      </c>
      <c r="O1315" s="41"/>
      <c r="P1315" s="11"/>
      <c r="R1315" t="s">
        <v>1017</v>
      </c>
      <c r="S1315" t="s">
        <v>4179</v>
      </c>
      <c r="T1315" t="s">
        <v>4179</v>
      </c>
      <c r="U1315" s="42"/>
      <c r="V1315" t="s">
        <v>1017</v>
      </c>
      <c r="W1315" s="50"/>
      <c r="X1315" s="50"/>
      <c r="Z1315" s="50"/>
      <c r="AC1315" s="50"/>
      <c r="AE1315" s="75"/>
      <c r="AF1315" s="50"/>
      <c r="AG1315" s="50"/>
      <c r="AH1315" s="166" t="str">
        <f t="shared" si="537"/>
        <v>2010</v>
      </c>
      <c r="AI1315" s="168" t="str">
        <f t="shared" si="521"/>
        <v/>
      </c>
      <c r="AJ1315" s="168" t="str">
        <f t="shared" si="522"/>
        <v/>
      </c>
      <c r="AK1315" s="168" t="str">
        <f t="shared" si="523"/>
        <v/>
      </c>
      <c r="AL1315" s="168" t="str">
        <f t="shared" si="524"/>
        <v/>
      </c>
      <c r="AM1315" s="168" t="str">
        <f t="shared" si="525"/>
        <v/>
      </c>
      <c r="AN1315" s="167" t="str">
        <f t="shared" ref="AN1315:AN1378" si="538">IF(ISERROR(SEARCH("K1",A1315)),"","20"&amp;MID(A1315,SEARCH("K1",A1315)+1,2))</f>
        <v>2010</v>
      </c>
      <c r="AO1315" s="167" t="str">
        <f t="shared" ref="AO1315:AO1378" si="539">IF(ISERROR(SEARCH("erstmals 201",E1315)),"",MID(E1315,SEARCH("erstmals ",E1315)+9,4))</f>
        <v>2010</v>
      </c>
      <c r="AP1315" s="167" t="str">
        <f t="shared" ref="AP1315:AP1378" si="540">IF(R1315="x","2010",IF(S1315="x","2011",IF(T1315="x","2012","")))</f>
        <v>2010</v>
      </c>
      <c r="AQ1315" s="169" t="str">
        <f t="shared" ref="AQ1315:AQ1378" si="541">IF(OR(AH1315&lt;&gt;AN1315,AH1315&lt;&gt;AO1315,AH1315&lt;&gt;AP1315),"DIFF","")</f>
        <v/>
      </c>
      <c r="AR1315" s="170" t="str">
        <f t="shared" ref="AR1315:AR1378" si="542">IF(A1315="","",IF(ISERROR(SEARCH("K1",A1315)),A1315,LEFT(A1315,SEARCH("K1",A1315)+1)&amp;RIGHT(AH1315,1)&amp;MID(A1315,SEARCH("K1",A1315)+3,14)))</f>
        <v>BiK82a1K10--06</v>
      </c>
      <c r="AS1315" s="169" t="str">
        <f t="shared" ref="AS1315:AS1378" si="543">IF(OR(A1315&lt;&gt;AR1315),"DIFF","")</f>
        <v/>
      </c>
      <c r="AT1315">
        <f t="shared" ref="AT1315:AT1378" si="544">LEN(AR1315)</f>
        <v>14</v>
      </c>
      <c r="AU1315" s="170" t="str">
        <f t="shared" ref="AU1315:AU1378" si="545">IF(D1315="","",IF(OR(A1315="",ISERROR(SEARCH("erstmals 201",D1315))),D1315,LEFT(D1315,SEARCH("erstmals 201",D1315)+8) &amp; AH1315 &amp; MID(D1315,SEARCH("erstmals 201",D1315)+13,255)))</f>
        <v>0,15-0,5 MW, Bonusregeln a1 und K erstmals 2010</v>
      </c>
      <c r="AV1315" s="169" t="str">
        <f t="shared" ref="AV1315:AV1378" si="546">IF(OR(D1315&lt;&gt;AU1315),"DIFF","")</f>
        <v/>
      </c>
      <c r="AW1315" s="170" t="str">
        <f t="shared" ref="AW1315:AW1378" si="547">IF(E1315="","",IF(OR(E1315="",ISERROR(SEARCH("erstmals 201",E1315))),E1315,LEFT(E1315,SEARCH("erstmals 201",E1315)+8) &amp; AH1315 &amp; MID(E1315,SEARCH("erstmals 201",E1315)+13,255)))</f>
        <v>Anteil KWK, erstmals 2010</v>
      </c>
      <c r="AX1315" s="169" t="str">
        <f t="shared" ref="AX1315:AX1378" si="548">IF(OR(E1315&lt;&gt;AW1315),"DIFF","")</f>
        <v/>
      </c>
      <c r="AY1315" t="str">
        <f t="shared" ref="AY1315:AY1378" si="549">IF(AH1315="2011","x",IF(AH1315="2012","","" &amp; S1315))</f>
        <v/>
      </c>
      <c r="AZ1315" t="str">
        <f t="shared" ref="AZ1315:AZ1378" si="550">IF(AH1315="2012","x",IF(AH1315="2011","","" &amp; T1315))</f>
        <v/>
      </c>
    </row>
    <row r="1316" spans="1:52" x14ac:dyDescent="0.35">
      <c r="A1316" s="497" t="s">
        <v>3957</v>
      </c>
      <c r="B1316" s="13" t="s">
        <v>5547</v>
      </c>
      <c r="C1316" s="13" t="s">
        <v>1296</v>
      </c>
      <c r="D1316" s="13" t="s">
        <v>7104</v>
      </c>
      <c r="E1316" s="13" t="s">
        <v>3054</v>
      </c>
      <c r="F1316" s="373">
        <f t="shared" si="527"/>
        <v>18.54</v>
      </c>
      <c r="G1316" s="430">
        <v>18.54</v>
      </c>
      <c r="H1316" s="399">
        <f t="shared" si="528"/>
        <v>14.83</v>
      </c>
      <c r="I1316" s="576"/>
      <c r="J1316" s="549" t="s">
        <v>5804</v>
      </c>
      <c r="K1316" s="11"/>
      <c r="M1316" s="37">
        <f t="shared" si="529"/>
        <v>18.54</v>
      </c>
      <c r="N1316" s="29">
        <v>9.6</v>
      </c>
      <c r="O1316" s="41"/>
      <c r="P1316" s="11"/>
      <c r="S1316" t="s">
        <v>1017</v>
      </c>
      <c r="T1316" t="s">
        <v>4179</v>
      </c>
      <c r="U1316" s="42"/>
      <c r="V1316" t="s">
        <v>1017</v>
      </c>
      <c r="W1316" s="50"/>
      <c r="X1316" s="50"/>
      <c r="Z1316" s="50"/>
      <c r="AC1316" s="50"/>
      <c r="AE1316" s="75"/>
      <c r="AF1316" s="50"/>
      <c r="AG1316" s="50"/>
      <c r="AH1316" s="166" t="str">
        <f t="shared" si="537"/>
        <v>2011</v>
      </c>
      <c r="AI1316" s="168" t="str">
        <f t="shared" si="521"/>
        <v/>
      </c>
      <c r="AJ1316" s="168" t="str">
        <f t="shared" si="522"/>
        <v/>
      </c>
      <c r="AK1316" s="168" t="str">
        <f t="shared" si="523"/>
        <v/>
      </c>
      <c r="AL1316" s="168" t="str">
        <f t="shared" si="524"/>
        <v/>
      </c>
      <c r="AM1316" s="168" t="str">
        <f t="shared" si="525"/>
        <v/>
      </c>
      <c r="AN1316" s="167" t="str">
        <f t="shared" si="538"/>
        <v>2011</v>
      </c>
      <c r="AO1316" s="167" t="str">
        <f t="shared" si="539"/>
        <v>2011</v>
      </c>
      <c r="AP1316" s="167" t="str">
        <f t="shared" si="540"/>
        <v>2011</v>
      </c>
      <c r="AQ1316" s="169" t="str">
        <f t="shared" si="541"/>
        <v/>
      </c>
      <c r="AR1316" s="170" t="str">
        <f t="shared" si="542"/>
        <v>BiK82a1K11--06</v>
      </c>
      <c r="AS1316" s="169" t="str">
        <f t="shared" si="543"/>
        <v/>
      </c>
      <c r="AT1316">
        <f t="shared" si="544"/>
        <v>14</v>
      </c>
      <c r="AU1316" s="170" t="str">
        <f t="shared" si="545"/>
        <v>0,15-0,5 MW, Bonusregeln a1 und K erstmals 2011</v>
      </c>
      <c r="AV1316" s="169" t="str">
        <f t="shared" si="546"/>
        <v/>
      </c>
      <c r="AW1316" s="170" t="str">
        <f t="shared" si="547"/>
        <v>Anteil KWK, erstmals 2011</v>
      </c>
      <c r="AX1316" s="169" t="str">
        <f t="shared" si="548"/>
        <v/>
      </c>
      <c r="AY1316" t="str">
        <f t="shared" si="549"/>
        <v>x</v>
      </c>
      <c r="AZ1316" t="str">
        <f t="shared" si="550"/>
        <v/>
      </c>
    </row>
    <row r="1317" spans="1:52" x14ac:dyDescent="0.35">
      <c r="A1317" s="511" t="s">
        <v>3657</v>
      </c>
      <c r="B1317" s="173" t="s">
        <v>5547</v>
      </c>
      <c r="C1317" s="173" t="s">
        <v>1296</v>
      </c>
      <c r="D1317" s="173" t="s">
        <v>7105</v>
      </c>
      <c r="E1317" s="173" t="s">
        <v>1980</v>
      </c>
      <c r="F1317" s="374">
        <f t="shared" si="527"/>
        <v>18.509999999999998</v>
      </c>
      <c r="G1317" s="431">
        <v>18.509999999999998</v>
      </c>
      <c r="H1317" s="400">
        <f t="shared" si="528"/>
        <v>14.81</v>
      </c>
      <c r="I1317" s="577"/>
      <c r="J1317" s="549" t="s">
        <v>5804</v>
      </c>
      <c r="K1317" s="11"/>
      <c r="M1317" s="37">
        <f t="shared" si="529"/>
        <v>18.509999999999998</v>
      </c>
      <c r="N1317" s="29">
        <v>9.6</v>
      </c>
      <c r="O1317" s="41"/>
      <c r="P1317" s="11"/>
      <c r="S1317" t="s">
        <v>4179</v>
      </c>
      <c r="T1317" t="s">
        <v>1017</v>
      </c>
      <c r="U1317" s="42"/>
      <c r="V1317" t="s">
        <v>1017</v>
      </c>
      <c r="W1317" s="50"/>
      <c r="X1317" s="50"/>
      <c r="Z1317" s="50"/>
      <c r="AC1317" s="50"/>
      <c r="AE1317" s="75"/>
      <c r="AF1317" s="50"/>
      <c r="AG1317" s="50"/>
      <c r="AH1317" s="171" t="s">
        <v>4178</v>
      </c>
      <c r="AI1317" s="168" t="str">
        <f t="shared" ref="AI1317:AI1380" si="551">IF(AND($AH1317&lt;&gt;"",AH1317 =AH1316),"Gleich","")</f>
        <v/>
      </c>
      <c r="AJ1317" s="168" t="str">
        <f t="shared" ref="AJ1317:AJ1380" si="552">IF(AND($AH1317&lt;&gt;"",A1317 =A1316),"Gleich","")</f>
        <v/>
      </c>
      <c r="AK1317" s="168" t="str">
        <f t="shared" ref="AK1317:AK1380" si="553">IF(AND($AH1317&lt;&gt;"",D1317 =D1316),"Gleich","")</f>
        <v/>
      </c>
      <c r="AL1317" s="168" t="str">
        <f t="shared" ref="AL1317:AL1380" si="554">IF(AND($AH1317&lt;&gt;"",E1317 =E1316),"Gleich","")</f>
        <v/>
      </c>
      <c r="AM1317" s="168" t="str">
        <f t="shared" ref="AM1317:AM1380" si="555">IF(AND($AH1317&lt;&gt;"",F1317 =F1316),"Gleich","")</f>
        <v/>
      </c>
      <c r="AN1317" s="167" t="str">
        <f t="shared" si="538"/>
        <v>2012</v>
      </c>
      <c r="AO1317" s="167" t="str">
        <f t="shared" si="539"/>
        <v>2012</v>
      </c>
      <c r="AP1317" s="167" t="str">
        <f t="shared" si="540"/>
        <v>2012</v>
      </c>
      <c r="AQ1317" s="169" t="str">
        <f t="shared" si="541"/>
        <v/>
      </c>
      <c r="AR1317" s="170" t="str">
        <f t="shared" si="542"/>
        <v>BiK82a1K12--06</v>
      </c>
      <c r="AS1317" s="169" t="str">
        <f t="shared" si="543"/>
        <v/>
      </c>
      <c r="AT1317">
        <f t="shared" si="544"/>
        <v>14</v>
      </c>
      <c r="AU1317" s="170" t="str">
        <f t="shared" si="545"/>
        <v>0,15-0,5 MW, Bonusregeln a1 und K erstmals 2012</v>
      </c>
      <c r="AV1317" s="169" t="str">
        <f t="shared" si="546"/>
        <v/>
      </c>
      <c r="AW1317" s="170" t="str">
        <f t="shared" si="547"/>
        <v>Anteil KWK, erstmals 2012</v>
      </c>
      <c r="AX1317" s="169" t="str">
        <f t="shared" si="548"/>
        <v/>
      </c>
      <c r="AY1317" t="str">
        <f t="shared" si="549"/>
        <v/>
      </c>
      <c r="AZ1317" t="str">
        <f t="shared" si="550"/>
        <v>x</v>
      </c>
    </row>
    <row r="1318" spans="1:52" x14ac:dyDescent="0.35">
      <c r="A1318" s="497" t="s">
        <v>984</v>
      </c>
      <c r="B1318" s="13" t="s">
        <v>5547</v>
      </c>
      <c r="C1318" s="13" t="s">
        <v>1296</v>
      </c>
      <c r="D1318" s="13" t="s">
        <v>7106</v>
      </c>
      <c r="E1318" s="13" t="s">
        <v>4809</v>
      </c>
      <c r="F1318" s="373">
        <f t="shared" si="527"/>
        <v>16.600000000000001</v>
      </c>
      <c r="G1318" s="430">
        <v>16.600000000000001</v>
      </c>
      <c r="H1318" s="399">
        <f t="shared" si="528"/>
        <v>13.28</v>
      </c>
      <c r="I1318" s="576"/>
      <c r="J1318" s="549" t="s">
        <v>5804</v>
      </c>
      <c r="K1318" s="11"/>
      <c r="M1318" s="37">
        <f t="shared" si="529"/>
        <v>16.600000000000001</v>
      </c>
      <c r="N1318" s="29">
        <v>9.6</v>
      </c>
      <c r="O1318" s="41"/>
      <c r="P1318" s="11"/>
      <c r="S1318" t="s">
        <v>4179</v>
      </c>
      <c r="T1318" t="s">
        <v>4179</v>
      </c>
      <c r="U1318" s="42" t="s">
        <v>1017</v>
      </c>
      <c r="V1318" t="s">
        <v>1017</v>
      </c>
      <c r="W1318" s="50"/>
      <c r="X1318" s="50"/>
      <c r="Z1318" s="50"/>
      <c r="AC1318" s="50"/>
      <c r="AE1318" s="75"/>
      <c r="AF1318" s="50"/>
      <c r="AG1318" s="50"/>
      <c r="AH1318" s="166" t="str">
        <f t="shared" ref="AH1318:AH1323" si="556">IF(ISERROR(SEARCH("K erstmals 201",D1318)),"",RIGHT(D1318,4))</f>
        <v/>
      </c>
      <c r="AI1318" s="168" t="str">
        <f t="shared" si="551"/>
        <v/>
      </c>
      <c r="AJ1318" s="168" t="str">
        <f t="shared" si="552"/>
        <v/>
      </c>
      <c r="AK1318" s="168" t="str">
        <f t="shared" si="553"/>
        <v/>
      </c>
      <c r="AL1318" s="168" t="str">
        <f t="shared" si="554"/>
        <v/>
      </c>
      <c r="AM1318" s="168" t="str">
        <f t="shared" si="555"/>
        <v/>
      </c>
      <c r="AN1318" s="167" t="str">
        <f t="shared" si="538"/>
        <v/>
      </c>
      <c r="AO1318" s="167" t="str">
        <f t="shared" si="539"/>
        <v/>
      </c>
      <c r="AP1318" s="167" t="str">
        <f t="shared" si="540"/>
        <v/>
      </c>
      <c r="AQ1318" s="169" t="str">
        <f t="shared" si="541"/>
        <v/>
      </c>
      <c r="AR1318" s="170" t="str">
        <f t="shared" si="542"/>
        <v>BiK82a1y----06</v>
      </c>
      <c r="AS1318" s="169" t="str">
        <f t="shared" si="543"/>
        <v/>
      </c>
      <c r="AT1318">
        <f t="shared" si="544"/>
        <v>14</v>
      </c>
      <c r="AU1318" s="170" t="str">
        <f t="shared" si="545"/>
        <v>0,15-0,5 MW, Bonusregeln a1, y</v>
      </c>
      <c r="AV1318" s="169" t="str">
        <f t="shared" si="546"/>
        <v/>
      </c>
      <c r="AW1318" s="170" t="str">
        <f t="shared" si="547"/>
        <v>Anteil Nicht-KWK</v>
      </c>
      <c r="AX1318" s="169" t="str">
        <f t="shared" si="548"/>
        <v/>
      </c>
      <c r="AY1318" t="str">
        <f t="shared" si="549"/>
        <v/>
      </c>
      <c r="AZ1318" t="str">
        <f t="shared" si="550"/>
        <v/>
      </c>
    </row>
    <row r="1319" spans="1:52" x14ac:dyDescent="0.35">
      <c r="A1319" s="497" t="s">
        <v>985</v>
      </c>
      <c r="B1319" s="13" t="s">
        <v>5547</v>
      </c>
      <c r="C1319" s="13" t="s">
        <v>1296</v>
      </c>
      <c r="D1319" s="13" t="s">
        <v>7107</v>
      </c>
      <c r="E1319" s="13" t="s">
        <v>4811</v>
      </c>
      <c r="F1319" s="373">
        <f t="shared" si="527"/>
        <v>18.600000000000001</v>
      </c>
      <c r="G1319" s="430">
        <v>18.600000000000001</v>
      </c>
      <c r="H1319" s="399">
        <f t="shared" si="528"/>
        <v>14.88</v>
      </c>
      <c r="I1319" s="576"/>
      <c r="J1319" s="549" t="s">
        <v>5804</v>
      </c>
      <c r="K1319" s="11"/>
      <c r="M1319" s="37">
        <f t="shared" si="529"/>
        <v>18.600000000000001</v>
      </c>
      <c r="N1319" s="29">
        <v>9.6</v>
      </c>
      <c r="O1319" s="41" t="s">
        <v>1017</v>
      </c>
      <c r="P1319" s="11"/>
      <c r="S1319" t="s">
        <v>4179</v>
      </c>
      <c r="T1319" t="s">
        <v>4179</v>
      </c>
      <c r="U1319" s="42" t="s">
        <v>1017</v>
      </c>
      <c r="V1319" t="s">
        <v>1017</v>
      </c>
      <c r="W1319" s="50"/>
      <c r="X1319" s="50"/>
      <c r="Z1319" s="50"/>
      <c r="AC1319" s="50"/>
      <c r="AE1319" s="75"/>
      <c r="AF1319" s="50"/>
      <c r="AG1319" s="50"/>
      <c r="AH1319" s="166" t="str">
        <f t="shared" si="556"/>
        <v/>
      </c>
      <c r="AI1319" s="168" t="str">
        <f t="shared" si="551"/>
        <v/>
      </c>
      <c r="AJ1319" s="168" t="str">
        <f t="shared" si="552"/>
        <v/>
      </c>
      <c r="AK1319" s="168" t="str">
        <f t="shared" si="553"/>
        <v/>
      </c>
      <c r="AL1319" s="168" t="str">
        <f t="shared" si="554"/>
        <v/>
      </c>
      <c r="AM1319" s="168" t="str">
        <f t="shared" si="555"/>
        <v/>
      </c>
      <c r="AN1319" s="167" t="str">
        <f t="shared" si="538"/>
        <v/>
      </c>
      <c r="AO1319" s="167" t="str">
        <f t="shared" si="539"/>
        <v/>
      </c>
      <c r="AP1319" s="167" t="str">
        <f t="shared" si="540"/>
        <v/>
      </c>
      <c r="AQ1319" s="169" t="str">
        <f t="shared" si="541"/>
        <v/>
      </c>
      <c r="AR1319" s="170" t="str">
        <f t="shared" si="542"/>
        <v>BiK82a1KWKy-06</v>
      </c>
      <c r="AS1319" s="169" t="str">
        <f t="shared" si="543"/>
        <v/>
      </c>
      <c r="AT1319">
        <f t="shared" si="544"/>
        <v>14</v>
      </c>
      <c r="AU1319" s="170" t="str">
        <f t="shared" si="545"/>
        <v>0,15-0,5 MW, Bonusregeln a1, y und KWK</v>
      </c>
      <c r="AV1319" s="169" t="str">
        <f t="shared" si="546"/>
        <v/>
      </c>
      <c r="AW1319" s="170" t="str">
        <f t="shared" si="547"/>
        <v>Anteil KWK</v>
      </c>
      <c r="AX1319" s="169" t="str">
        <f t="shared" si="548"/>
        <v/>
      </c>
      <c r="AY1319" t="str">
        <f t="shared" si="549"/>
        <v/>
      </c>
      <c r="AZ1319" t="str">
        <f t="shared" si="550"/>
        <v/>
      </c>
    </row>
    <row r="1320" spans="1:52" x14ac:dyDescent="0.35">
      <c r="A1320" s="497" t="s">
        <v>986</v>
      </c>
      <c r="B1320" s="13" t="s">
        <v>5547</v>
      </c>
      <c r="C1320" s="13" t="s">
        <v>1296</v>
      </c>
      <c r="D1320" s="13" t="s">
        <v>7108</v>
      </c>
      <c r="E1320" s="13" t="s">
        <v>4330</v>
      </c>
      <c r="F1320" s="373">
        <f t="shared" si="527"/>
        <v>19.600000000000001</v>
      </c>
      <c r="G1320" s="430">
        <v>19.600000000000001</v>
      </c>
      <c r="H1320" s="399">
        <f t="shared" si="528"/>
        <v>15.68</v>
      </c>
      <c r="I1320" s="576"/>
      <c r="J1320" s="549" t="s">
        <v>5804</v>
      </c>
      <c r="K1320" s="11"/>
      <c r="M1320" s="37">
        <f t="shared" si="529"/>
        <v>19.600000000000001</v>
      </c>
      <c r="N1320" s="29">
        <v>9.6</v>
      </c>
      <c r="O1320" s="41"/>
      <c r="P1320" t="s">
        <v>1017</v>
      </c>
      <c r="S1320" t="s">
        <v>4179</v>
      </c>
      <c r="T1320" t="s">
        <v>4179</v>
      </c>
      <c r="U1320" s="42" t="s">
        <v>1017</v>
      </c>
      <c r="V1320" t="s">
        <v>1017</v>
      </c>
      <c r="W1320" s="50"/>
      <c r="X1320" s="50"/>
      <c r="Z1320" s="50"/>
      <c r="AC1320" s="50"/>
      <c r="AE1320" s="75"/>
      <c r="AF1320" s="50"/>
      <c r="AG1320" s="50"/>
      <c r="AH1320" s="166" t="str">
        <f t="shared" si="556"/>
        <v/>
      </c>
      <c r="AI1320" s="168" t="str">
        <f t="shared" si="551"/>
        <v/>
      </c>
      <c r="AJ1320" s="168" t="str">
        <f t="shared" si="552"/>
        <v/>
      </c>
      <c r="AK1320" s="168" t="str">
        <f t="shared" si="553"/>
        <v/>
      </c>
      <c r="AL1320" s="168" t="str">
        <f t="shared" si="554"/>
        <v/>
      </c>
      <c r="AM1320" s="168" t="str">
        <f t="shared" si="555"/>
        <v/>
      </c>
      <c r="AN1320" s="167" t="str">
        <f t="shared" si="538"/>
        <v/>
      </c>
      <c r="AO1320" s="167" t="str">
        <f t="shared" si="539"/>
        <v/>
      </c>
      <c r="AP1320" s="167" t="str">
        <f t="shared" si="540"/>
        <v/>
      </c>
      <c r="AQ1320" s="169" t="str">
        <f t="shared" si="541"/>
        <v/>
      </c>
      <c r="AR1320" s="170" t="str">
        <f t="shared" si="542"/>
        <v>BiK82a1KA3y-06</v>
      </c>
      <c r="AS1320" s="169" t="str">
        <f t="shared" si="543"/>
        <v/>
      </c>
      <c r="AT1320">
        <f t="shared" si="544"/>
        <v>14</v>
      </c>
      <c r="AU1320" s="170" t="str">
        <f t="shared" si="545"/>
        <v>0,15-0,5 MW, Bonusregeln a1, y und K wenn Anlage 3 erfüllt</v>
      </c>
      <c r="AV1320" s="169" t="str">
        <f t="shared" si="546"/>
        <v/>
      </c>
      <c r="AW1320" s="170" t="str">
        <f t="shared" si="547"/>
        <v>Anteil KWK gemäß Anlage 3</v>
      </c>
      <c r="AX1320" s="169" t="str">
        <f t="shared" si="548"/>
        <v/>
      </c>
      <c r="AY1320" t="str">
        <f t="shared" si="549"/>
        <v/>
      </c>
      <c r="AZ1320" t="str">
        <f t="shared" si="550"/>
        <v/>
      </c>
    </row>
    <row r="1321" spans="1:52" x14ac:dyDescent="0.35">
      <c r="A1321" s="497" t="s">
        <v>987</v>
      </c>
      <c r="B1321" s="13" t="s">
        <v>5547</v>
      </c>
      <c r="C1321" s="13" t="s">
        <v>1296</v>
      </c>
      <c r="D1321" s="13" t="s">
        <v>7109</v>
      </c>
      <c r="E1321" s="13" t="s">
        <v>674</v>
      </c>
      <c r="F1321" s="373">
        <f t="shared" ref="F1321:F1384" si="557">M1321</f>
        <v>19.600000000000001</v>
      </c>
      <c r="G1321" s="430">
        <v>19.600000000000001</v>
      </c>
      <c r="H1321" s="399">
        <f t="shared" ref="H1321:H1384" si="558">IF(ISNUMBER(G1321),ROUND(0.8*G1321,2),"")</f>
        <v>15.68</v>
      </c>
      <c r="I1321" s="576"/>
      <c r="J1321" s="549" t="s">
        <v>5804</v>
      </c>
      <c r="K1321" s="11"/>
      <c r="M1321" s="37">
        <f t="shared" ref="M1321:M1384" si="559">N1321+SUMIF(O1321:AG1321,"x",O$1128:AG$1128)</f>
        <v>19.600000000000001</v>
      </c>
      <c r="N1321" s="29">
        <v>9.6</v>
      </c>
      <c r="O1321" s="41"/>
      <c r="P1321" s="11"/>
      <c r="Q1321" t="s">
        <v>1017</v>
      </c>
      <c r="S1321" t="s">
        <v>4179</v>
      </c>
      <c r="T1321" t="s">
        <v>4179</v>
      </c>
      <c r="U1321" s="42" t="s">
        <v>1017</v>
      </c>
      <c r="V1321" t="s">
        <v>1017</v>
      </c>
      <c r="W1321" s="50"/>
      <c r="X1321" s="50"/>
      <c r="Z1321" s="50"/>
      <c r="AC1321" s="50"/>
      <c r="AE1321" s="75"/>
      <c r="AF1321" s="50"/>
      <c r="AG1321" s="50"/>
      <c r="AH1321" s="166" t="str">
        <f t="shared" si="556"/>
        <v/>
      </c>
      <c r="AI1321" s="168" t="str">
        <f t="shared" si="551"/>
        <v/>
      </c>
      <c r="AJ1321" s="168" t="str">
        <f t="shared" si="552"/>
        <v/>
      </c>
      <c r="AK1321" s="168" t="str">
        <f t="shared" si="553"/>
        <v/>
      </c>
      <c r="AL1321" s="168" t="str">
        <f t="shared" si="554"/>
        <v/>
      </c>
      <c r="AM1321" s="168" t="str">
        <f t="shared" si="555"/>
        <v/>
      </c>
      <c r="AN1321" s="167" t="str">
        <f t="shared" si="538"/>
        <v/>
      </c>
      <c r="AO1321" s="167" t="str">
        <f t="shared" si="539"/>
        <v/>
      </c>
      <c r="AP1321" s="167" t="str">
        <f t="shared" si="540"/>
        <v/>
      </c>
      <c r="AQ1321" s="169" t="str">
        <f t="shared" si="541"/>
        <v/>
      </c>
      <c r="AR1321" s="170" t="str">
        <f t="shared" si="542"/>
        <v>BiK82a1K09y-06</v>
      </c>
      <c r="AS1321" s="169" t="str">
        <f t="shared" si="543"/>
        <v/>
      </c>
      <c r="AT1321">
        <f t="shared" si="544"/>
        <v>14</v>
      </c>
      <c r="AU1321" s="170" t="str">
        <f t="shared" si="545"/>
        <v>0,15-0,5 MW, Bonusregeln a1, y und K erstmals 2009</v>
      </c>
      <c r="AV1321" s="169" t="str">
        <f t="shared" si="546"/>
        <v/>
      </c>
      <c r="AW1321" s="170" t="str">
        <f t="shared" si="547"/>
        <v>Anteil KWK, erstmals 2009</v>
      </c>
      <c r="AX1321" s="169" t="str">
        <f t="shared" si="548"/>
        <v/>
      </c>
      <c r="AY1321" t="str">
        <f t="shared" si="549"/>
        <v/>
      </c>
      <c r="AZ1321" t="str">
        <f t="shared" si="550"/>
        <v/>
      </c>
    </row>
    <row r="1322" spans="1:52" s="145" customFormat="1" x14ac:dyDescent="0.35">
      <c r="A1322" s="497" t="s">
        <v>4911</v>
      </c>
      <c r="B1322" s="13" t="s">
        <v>5547</v>
      </c>
      <c r="C1322" s="13" t="s">
        <v>1296</v>
      </c>
      <c r="D1322" s="13" t="s">
        <v>7110</v>
      </c>
      <c r="E1322" s="13" t="s">
        <v>3566</v>
      </c>
      <c r="F1322" s="373">
        <f t="shared" si="557"/>
        <v>19.57</v>
      </c>
      <c r="G1322" s="430">
        <v>19.57</v>
      </c>
      <c r="H1322" s="399">
        <f t="shared" si="558"/>
        <v>15.66</v>
      </c>
      <c r="I1322" s="576"/>
      <c r="J1322" s="549" t="s">
        <v>5804</v>
      </c>
      <c r="K1322" s="11"/>
      <c r="L1322"/>
      <c r="M1322" s="37">
        <f t="shared" si="559"/>
        <v>19.57</v>
      </c>
      <c r="N1322" s="29">
        <v>9.6</v>
      </c>
      <c r="O1322" s="41"/>
      <c r="P1322" s="11"/>
      <c r="Q1322"/>
      <c r="R1322" t="s">
        <v>1017</v>
      </c>
      <c r="S1322" t="s">
        <v>4179</v>
      </c>
      <c r="T1322" s="145" t="s">
        <v>4179</v>
      </c>
      <c r="U1322" s="42" t="s">
        <v>1017</v>
      </c>
      <c r="V1322" t="s">
        <v>1017</v>
      </c>
      <c r="W1322" s="50"/>
      <c r="X1322" s="50"/>
      <c r="Y1322"/>
      <c r="Z1322" s="50"/>
      <c r="AA1322"/>
      <c r="AB1322"/>
      <c r="AC1322" s="50"/>
      <c r="AD1322"/>
      <c r="AE1322" s="75"/>
      <c r="AF1322" s="50"/>
      <c r="AG1322" s="50"/>
      <c r="AH1322" s="166" t="str">
        <f t="shared" si="556"/>
        <v>2010</v>
      </c>
      <c r="AI1322" s="168" t="str">
        <f t="shared" si="551"/>
        <v/>
      </c>
      <c r="AJ1322" s="168" t="str">
        <f t="shared" si="552"/>
        <v/>
      </c>
      <c r="AK1322" s="168" t="str">
        <f t="shared" si="553"/>
        <v/>
      </c>
      <c r="AL1322" s="168" t="str">
        <f t="shared" si="554"/>
        <v/>
      </c>
      <c r="AM1322" s="168" t="str">
        <f t="shared" si="555"/>
        <v/>
      </c>
      <c r="AN1322" s="167" t="str">
        <f t="shared" si="538"/>
        <v>2010</v>
      </c>
      <c r="AO1322" s="167" t="str">
        <f t="shared" si="539"/>
        <v>2010</v>
      </c>
      <c r="AP1322" s="167" t="str">
        <f t="shared" si="540"/>
        <v>2010</v>
      </c>
      <c r="AQ1322" s="169" t="str">
        <f t="shared" si="541"/>
        <v/>
      </c>
      <c r="AR1322" s="170" t="str">
        <f t="shared" si="542"/>
        <v>BiK82a1K10y-06</v>
      </c>
      <c r="AS1322" s="169" t="str">
        <f t="shared" si="543"/>
        <v/>
      </c>
      <c r="AT1322">
        <f t="shared" si="544"/>
        <v>14</v>
      </c>
      <c r="AU1322" s="170" t="str">
        <f t="shared" si="545"/>
        <v>0,15-0,5 MW, Bonusregeln a1, y und K erstmals 2010</v>
      </c>
      <c r="AV1322" s="169" t="str">
        <f t="shared" si="546"/>
        <v/>
      </c>
      <c r="AW1322" s="170" t="str">
        <f t="shared" si="547"/>
        <v>Anteil KWK, erstmals 2010</v>
      </c>
      <c r="AX1322" s="169" t="str">
        <f t="shared" si="548"/>
        <v/>
      </c>
      <c r="AY1322" t="str">
        <f t="shared" si="549"/>
        <v/>
      </c>
      <c r="AZ1322" t="str">
        <f t="shared" si="550"/>
        <v/>
      </c>
    </row>
    <row r="1323" spans="1:52" s="145" customFormat="1" x14ac:dyDescent="0.35">
      <c r="A1323" s="497" t="s">
        <v>3958</v>
      </c>
      <c r="B1323" s="13" t="s">
        <v>5547</v>
      </c>
      <c r="C1323" s="13" t="s">
        <v>1296</v>
      </c>
      <c r="D1323" s="13" t="s">
        <v>7111</v>
      </c>
      <c r="E1323" s="13" t="s">
        <v>3054</v>
      </c>
      <c r="F1323" s="373">
        <f t="shared" si="557"/>
        <v>19.54</v>
      </c>
      <c r="G1323" s="430">
        <v>19.54</v>
      </c>
      <c r="H1323" s="399">
        <f t="shared" si="558"/>
        <v>15.63</v>
      </c>
      <c r="I1323" s="576"/>
      <c r="J1323" s="549" t="s">
        <v>5804</v>
      </c>
      <c r="K1323" s="11"/>
      <c r="L1323"/>
      <c r="M1323" s="37">
        <f t="shared" si="559"/>
        <v>19.54</v>
      </c>
      <c r="N1323" s="29">
        <v>9.6</v>
      </c>
      <c r="O1323" s="41"/>
      <c r="P1323" s="11"/>
      <c r="Q1323"/>
      <c r="R1323"/>
      <c r="S1323" t="s">
        <v>1017</v>
      </c>
      <c r="T1323" s="145" t="s">
        <v>4179</v>
      </c>
      <c r="U1323" s="42" t="s">
        <v>1017</v>
      </c>
      <c r="V1323" t="s">
        <v>1017</v>
      </c>
      <c r="W1323" s="50"/>
      <c r="X1323" s="50"/>
      <c r="Y1323"/>
      <c r="Z1323" s="50"/>
      <c r="AA1323"/>
      <c r="AB1323"/>
      <c r="AC1323" s="50"/>
      <c r="AD1323"/>
      <c r="AE1323" s="75"/>
      <c r="AF1323" s="50"/>
      <c r="AG1323" s="50"/>
      <c r="AH1323" s="166" t="str">
        <f t="shared" si="556"/>
        <v>2011</v>
      </c>
      <c r="AI1323" s="168" t="str">
        <f t="shared" si="551"/>
        <v/>
      </c>
      <c r="AJ1323" s="168" t="str">
        <f t="shared" si="552"/>
        <v/>
      </c>
      <c r="AK1323" s="168" t="str">
        <f t="shared" si="553"/>
        <v/>
      </c>
      <c r="AL1323" s="168" t="str">
        <f t="shared" si="554"/>
        <v/>
      </c>
      <c r="AM1323" s="168" t="str">
        <f t="shared" si="555"/>
        <v/>
      </c>
      <c r="AN1323" s="167" t="str">
        <f t="shared" si="538"/>
        <v>2011</v>
      </c>
      <c r="AO1323" s="167" t="str">
        <f t="shared" si="539"/>
        <v>2011</v>
      </c>
      <c r="AP1323" s="167" t="str">
        <f t="shared" si="540"/>
        <v>2011</v>
      </c>
      <c r="AQ1323" s="169" t="str">
        <f t="shared" si="541"/>
        <v/>
      </c>
      <c r="AR1323" s="170" t="str">
        <f t="shared" si="542"/>
        <v>BiK82a1K11y-06</v>
      </c>
      <c r="AS1323" s="169" t="str">
        <f t="shared" si="543"/>
        <v/>
      </c>
      <c r="AT1323">
        <f t="shared" si="544"/>
        <v>14</v>
      </c>
      <c r="AU1323" s="170" t="str">
        <f t="shared" si="545"/>
        <v>0,15-0,5 MW, Bonusregeln a1, y und K erstmals 2011</v>
      </c>
      <c r="AV1323" s="169" t="str">
        <f t="shared" si="546"/>
        <v/>
      </c>
      <c r="AW1323" s="170" t="str">
        <f t="shared" si="547"/>
        <v>Anteil KWK, erstmals 2011</v>
      </c>
      <c r="AX1323" s="169" t="str">
        <f t="shared" si="548"/>
        <v/>
      </c>
      <c r="AY1323" t="str">
        <f t="shared" si="549"/>
        <v>x</v>
      </c>
      <c r="AZ1323" t="str">
        <f t="shared" si="550"/>
        <v/>
      </c>
    </row>
    <row r="1324" spans="1:52" s="145" customFormat="1" x14ac:dyDescent="0.35">
      <c r="A1324" s="511" t="s">
        <v>3658</v>
      </c>
      <c r="B1324" s="173" t="s">
        <v>5547</v>
      </c>
      <c r="C1324" s="173" t="s">
        <v>1296</v>
      </c>
      <c r="D1324" s="173" t="s">
        <v>7112</v>
      </c>
      <c r="E1324" s="173" t="s">
        <v>1980</v>
      </c>
      <c r="F1324" s="374">
        <f t="shared" si="557"/>
        <v>19.509999999999998</v>
      </c>
      <c r="G1324" s="431">
        <v>19.509999999999998</v>
      </c>
      <c r="H1324" s="400">
        <f t="shared" si="558"/>
        <v>15.61</v>
      </c>
      <c r="I1324" s="577"/>
      <c r="J1324" s="549" t="s">
        <v>5804</v>
      </c>
      <c r="K1324" s="11"/>
      <c r="L1324"/>
      <c r="M1324" s="37">
        <f t="shared" si="559"/>
        <v>19.509999999999998</v>
      </c>
      <c r="N1324" s="29">
        <v>9.6</v>
      </c>
      <c r="O1324" s="41"/>
      <c r="P1324" s="11"/>
      <c r="Q1324"/>
      <c r="R1324"/>
      <c r="S1324" t="s">
        <v>4179</v>
      </c>
      <c r="T1324" s="145" t="s">
        <v>1017</v>
      </c>
      <c r="U1324" s="42" t="s">
        <v>1017</v>
      </c>
      <c r="V1324" t="s">
        <v>1017</v>
      </c>
      <c r="W1324" s="50"/>
      <c r="X1324" s="50"/>
      <c r="Y1324"/>
      <c r="Z1324" s="50"/>
      <c r="AA1324"/>
      <c r="AB1324"/>
      <c r="AC1324" s="50"/>
      <c r="AD1324"/>
      <c r="AE1324" s="75"/>
      <c r="AF1324" s="50"/>
      <c r="AG1324" s="50"/>
      <c r="AH1324" s="171" t="s">
        <v>4178</v>
      </c>
      <c r="AI1324" s="168" t="str">
        <f t="shared" si="551"/>
        <v/>
      </c>
      <c r="AJ1324" s="168" t="str">
        <f t="shared" si="552"/>
        <v/>
      </c>
      <c r="AK1324" s="168" t="str">
        <f t="shared" si="553"/>
        <v/>
      </c>
      <c r="AL1324" s="168" t="str">
        <f t="shared" si="554"/>
        <v/>
      </c>
      <c r="AM1324" s="168" t="str">
        <f t="shared" si="555"/>
        <v/>
      </c>
      <c r="AN1324" s="167" t="str">
        <f t="shared" si="538"/>
        <v>2012</v>
      </c>
      <c r="AO1324" s="167" t="str">
        <f t="shared" si="539"/>
        <v>2012</v>
      </c>
      <c r="AP1324" s="167" t="str">
        <f t="shared" si="540"/>
        <v>2012</v>
      </c>
      <c r="AQ1324" s="169" t="str">
        <f t="shared" si="541"/>
        <v/>
      </c>
      <c r="AR1324" s="170" t="str">
        <f t="shared" si="542"/>
        <v>BiK82a1K12y-06</v>
      </c>
      <c r="AS1324" s="169" t="str">
        <f t="shared" si="543"/>
        <v/>
      </c>
      <c r="AT1324">
        <f t="shared" si="544"/>
        <v>14</v>
      </c>
      <c r="AU1324" s="170" t="str">
        <f t="shared" si="545"/>
        <v>0,15-0,5 MW, Bonusregeln a1, y und K erstmals 2012</v>
      </c>
      <c r="AV1324" s="169" t="str">
        <f t="shared" si="546"/>
        <v/>
      </c>
      <c r="AW1324" s="170" t="str">
        <f t="shared" si="547"/>
        <v>Anteil KWK, erstmals 2012</v>
      </c>
      <c r="AX1324" s="169" t="str">
        <f t="shared" si="548"/>
        <v/>
      </c>
      <c r="AY1324" t="str">
        <f t="shared" si="549"/>
        <v/>
      </c>
      <c r="AZ1324" t="str">
        <f t="shared" si="550"/>
        <v>x</v>
      </c>
    </row>
    <row r="1325" spans="1:52" s="145" customFormat="1" x14ac:dyDescent="0.35">
      <c r="A1325" s="497" t="s">
        <v>2769</v>
      </c>
      <c r="B1325" s="13" t="s">
        <v>5547</v>
      </c>
      <c r="C1325" s="13" t="s">
        <v>1296</v>
      </c>
      <c r="D1325" s="13" t="s">
        <v>7029</v>
      </c>
      <c r="E1325" s="13" t="s">
        <v>4809</v>
      </c>
      <c r="F1325" s="373">
        <f t="shared" si="557"/>
        <v>16.600000000000001</v>
      </c>
      <c r="G1325" s="430">
        <v>16.600000000000001</v>
      </c>
      <c r="H1325" s="399">
        <f t="shared" si="558"/>
        <v>13.28</v>
      </c>
      <c r="I1325" s="576"/>
      <c r="J1325" s="549" t="s">
        <v>5804</v>
      </c>
      <c r="K1325" s="11"/>
      <c r="L1325"/>
      <c r="M1325" s="37">
        <f t="shared" si="559"/>
        <v>16.600000000000001</v>
      </c>
      <c r="N1325" s="29">
        <v>9.6</v>
      </c>
      <c r="O1325" s="149"/>
      <c r="P1325" s="144"/>
      <c r="S1325" s="145" t="s">
        <v>4179</v>
      </c>
      <c r="T1325" s="145" t="s">
        <v>4179</v>
      </c>
      <c r="U1325" s="146"/>
      <c r="W1325" s="147"/>
      <c r="X1325" s="147"/>
      <c r="Y1325" s="145" t="s">
        <v>1017</v>
      </c>
      <c r="Z1325" s="147"/>
      <c r="AC1325" s="147"/>
      <c r="AE1325" s="148"/>
      <c r="AF1325" s="147"/>
      <c r="AG1325" s="147"/>
      <c r="AH1325" s="166" t="str">
        <f t="shared" ref="AH1325:AH1330" si="560">IF(ISERROR(SEARCH("K erstmals 201",D1325)),"",RIGHT(D1325,4))</f>
        <v/>
      </c>
      <c r="AI1325" s="168" t="str">
        <f t="shared" si="551"/>
        <v/>
      </c>
      <c r="AJ1325" s="168" t="str">
        <f t="shared" si="552"/>
        <v/>
      </c>
      <c r="AK1325" s="168" t="str">
        <f t="shared" si="553"/>
        <v/>
      </c>
      <c r="AL1325" s="168" t="str">
        <f t="shared" si="554"/>
        <v/>
      </c>
      <c r="AM1325" s="168" t="str">
        <f t="shared" si="555"/>
        <v/>
      </c>
      <c r="AN1325" s="167" t="str">
        <f t="shared" si="538"/>
        <v/>
      </c>
      <c r="AO1325" s="167" t="str">
        <f t="shared" si="539"/>
        <v/>
      </c>
      <c r="AP1325" s="167" t="str">
        <f t="shared" si="540"/>
        <v/>
      </c>
      <c r="AQ1325" s="169" t="str">
        <f t="shared" si="541"/>
        <v/>
      </c>
      <c r="AR1325" s="170" t="str">
        <f t="shared" si="542"/>
        <v>BiK82G------06</v>
      </c>
      <c r="AS1325" s="169" t="str">
        <f t="shared" si="543"/>
        <v/>
      </c>
      <c r="AT1325">
        <f t="shared" si="544"/>
        <v>14</v>
      </c>
      <c r="AU1325" s="170" t="str">
        <f t="shared" si="545"/>
        <v>0,15-0,5 MW, Bonusregel G</v>
      </c>
      <c r="AV1325" s="169" t="str">
        <f t="shared" si="546"/>
        <v/>
      </c>
      <c r="AW1325" s="170" t="str">
        <f t="shared" si="547"/>
        <v>Anteil Nicht-KWK</v>
      </c>
      <c r="AX1325" s="169" t="str">
        <f t="shared" si="548"/>
        <v/>
      </c>
      <c r="AY1325" t="str">
        <f t="shared" si="549"/>
        <v/>
      </c>
      <c r="AZ1325" t="str">
        <f t="shared" si="550"/>
        <v/>
      </c>
    </row>
    <row r="1326" spans="1:52" s="145" customFormat="1" x14ac:dyDescent="0.35">
      <c r="A1326" s="497" t="s">
        <v>2770</v>
      </c>
      <c r="B1326" s="13" t="s">
        <v>5547</v>
      </c>
      <c r="C1326" s="13" t="s">
        <v>1296</v>
      </c>
      <c r="D1326" s="13" t="s">
        <v>7113</v>
      </c>
      <c r="E1326" s="13" t="s">
        <v>4811</v>
      </c>
      <c r="F1326" s="373">
        <f t="shared" si="557"/>
        <v>18.600000000000001</v>
      </c>
      <c r="G1326" s="430">
        <v>18.600000000000001</v>
      </c>
      <c r="H1326" s="399">
        <f t="shared" si="558"/>
        <v>14.88</v>
      </c>
      <c r="I1326" s="576"/>
      <c r="J1326" s="549" t="s">
        <v>5804</v>
      </c>
      <c r="K1326" s="11"/>
      <c r="L1326"/>
      <c r="M1326" s="37">
        <f t="shared" si="559"/>
        <v>18.600000000000001</v>
      </c>
      <c r="N1326" s="29">
        <v>9.6</v>
      </c>
      <c r="O1326" s="149" t="s">
        <v>1017</v>
      </c>
      <c r="P1326" s="144"/>
      <c r="S1326" s="145" t="s">
        <v>4179</v>
      </c>
      <c r="T1326" s="145" t="s">
        <v>4179</v>
      </c>
      <c r="U1326" s="146"/>
      <c r="W1326" s="147"/>
      <c r="X1326" s="147"/>
      <c r="Y1326" s="145" t="s">
        <v>1017</v>
      </c>
      <c r="Z1326" s="147"/>
      <c r="AC1326" s="147"/>
      <c r="AE1326" s="148"/>
      <c r="AF1326" s="147"/>
      <c r="AG1326" s="147"/>
      <c r="AH1326" s="166" t="str">
        <f t="shared" si="560"/>
        <v/>
      </c>
      <c r="AI1326" s="168" t="str">
        <f t="shared" si="551"/>
        <v/>
      </c>
      <c r="AJ1326" s="168" t="str">
        <f t="shared" si="552"/>
        <v/>
      </c>
      <c r="AK1326" s="168" t="str">
        <f t="shared" si="553"/>
        <v/>
      </c>
      <c r="AL1326" s="168" t="str">
        <f t="shared" si="554"/>
        <v/>
      </c>
      <c r="AM1326" s="168" t="str">
        <f t="shared" si="555"/>
        <v/>
      </c>
      <c r="AN1326" s="167" t="str">
        <f t="shared" si="538"/>
        <v/>
      </c>
      <c r="AO1326" s="167" t="str">
        <f t="shared" si="539"/>
        <v/>
      </c>
      <c r="AP1326" s="167" t="str">
        <f t="shared" si="540"/>
        <v/>
      </c>
      <c r="AQ1326" s="169" t="str">
        <f t="shared" si="541"/>
        <v/>
      </c>
      <c r="AR1326" s="170" t="str">
        <f t="shared" si="542"/>
        <v>BiK82GKWK---06</v>
      </c>
      <c r="AS1326" s="169" t="str">
        <f t="shared" si="543"/>
        <v/>
      </c>
      <c r="AT1326">
        <f t="shared" si="544"/>
        <v>14</v>
      </c>
      <c r="AU1326" s="170" t="str">
        <f t="shared" si="545"/>
        <v>0,15-0,5 MW, Bonusregeln G und KWK</v>
      </c>
      <c r="AV1326" s="169" t="str">
        <f t="shared" si="546"/>
        <v/>
      </c>
      <c r="AW1326" s="170" t="str">
        <f t="shared" si="547"/>
        <v>Anteil KWK</v>
      </c>
      <c r="AX1326" s="169" t="str">
        <f t="shared" si="548"/>
        <v/>
      </c>
      <c r="AY1326" t="str">
        <f t="shared" si="549"/>
        <v/>
      </c>
      <c r="AZ1326" t="str">
        <f t="shared" si="550"/>
        <v/>
      </c>
    </row>
    <row r="1327" spans="1:52" s="145" customFormat="1" x14ac:dyDescent="0.35">
      <c r="A1327" s="497" t="s">
        <v>2771</v>
      </c>
      <c r="B1327" s="13" t="s">
        <v>5547</v>
      </c>
      <c r="C1327" s="13" t="s">
        <v>1296</v>
      </c>
      <c r="D1327" s="13" t="s">
        <v>7030</v>
      </c>
      <c r="E1327" s="13" t="s">
        <v>4330</v>
      </c>
      <c r="F1327" s="373">
        <f t="shared" si="557"/>
        <v>19.600000000000001</v>
      </c>
      <c r="G1327" s="430">
        <v>19.600000000000001</v>
      </c>
      <c r="H1327" s="399">
        <f t="shared" si="558"/>
        <v>15.68</v>
      </c>
      <c r="I1327" s="576"/>
      <c r="J1327" s="549" t="s">
        <v>5804</v>
      </c>
      <c r="K1327" s="11"/>
      <c r="L1327"/>
      <c r="M1327" s="37">
        <f t="shared" si="559"/>
        <v>19.600000000000001</v>
      </c>
      <c r="N1327" s="29">
        <v>9.6</v>
      </c>
      <c r="O1327" s="149"/>
      <c r="P1327" s="145" t="s">
        <v>1017</v>
      </c>
      <c r="S1327" s="145" t="s">
        <v>4179</v>
      </c>
      <c r="T1327" s="145" t="s">
        <v>4179</v>
      </c>
      <c r="U1327" s="146"/>
      <c r="W1327" s="147"/>
      <c r="X1327" s="147"/>
      <c r="Y1327" s="145" t="s">
        <v>1017</v>
      </c>
      <c r="Z1327" s="147"/>
      <c r="AC1327" s="147"/>
      <c r="AE1327" s="148"/>
      <c r="AF1327" s="147"/>
      <c r="AG1327" s="147"/>
      <c r="AH1327" s="166" t="str">
        <f t="shared" si="560"/>
        <v/>
      </c>
      <c r="AI1327" s="168" t="str">
        <f t="shared" si="551"/>
        <v/>
      </c>
      <c r="AJ1327" s="168" t="str">
        <f t="shared" si="552"/>
        <v/>
      </c>
      <c r="AK1327" s="168" t="str">
        <f t="shared" si="553"/>
        <v/>
      </c>
      <c r="AL1327" s="168" t="str">
        <f t="shared" si="554"/>
        <v/>
      </c>
      <c r="AM1327" s="168" t="str">
        <f t="shared" si="555"/>
        <v/>
      </c>
      <c r="AN1327" s="167" t="str">
        <f t="shared" si="538"/>
        <v/>
      </c>
      <c r="AO1327" s="167" t="str">
        <f t="shared" si="539"/>
        <v/>
      </c>
      <c r="AP1327" s="167" t="str">
        <f t="shared" si="540"/>
        <v/>
      </c>
      <c r="AQ1327" s="169" t="str">
        <f t="shared" si="541"/>
        <v/>
      </c>
      <c r="AR1327" s="170" t="str">
        <f t="shared" si="542"/>
        <v>BiK82GKA3---06</v>
      </c>
      <c r="AS1327" s="169" t="str">
        <f t="shared" si="543"/>
        <v/>
      </c>
      <c r="AT1327">
        <f t="shared" si="544"/>
        <v>14</v>
      </c>
      <c r="AU1327" s="170" t="str">
        <f t="shared" si="545"/>
        <v>0,15-0,5 MW, Bonusregeln G und K wenn Anlage 3 erfüllt</v>
      </c>
      <c r="AV1327" s="169" t="str">
        <f t="shared" si="546"/>
        <v/>
      </c>
      <c r="AW1327" s="170" t="str">
        <f t="shared" si="547"/>
        <v>Anteil KWK gemäß Anlage 3</v>
      </c>
      <c r="AX1327" s="169" t="str">
        <f t="shared" si="548"/>
        <v/>
      </c>
      <c r="AY1327" t="str">
        <f t="shared" si="549"/>
        <v/>
      </c>
      <c r="AZ1327" t="str">
        <f t="shared" si="550"/>
        <v/>
      </c>
    </row>
    <row r="1328" spans="1:52" s="145" customFormat="1" x14ac:dyDescent="0.35">
      <c r="A1328" s="497" t="s">
        <v>2772</v>
      </c>
      <c r="B1328" s="13" t="s">
        <v>5547</v>
      </c>
      <c r="C1328" s="13" t="s">
        <v>1296</v>
      </c>
      <c r="D1328" s="13" t="s">
        <v>7031</v>
      </c>
      <c r="E1328" s="13" t="s">
        <v>674</v>
      </c>
      <c r="F1328" s="373">
        <f t="shared" si="557"/>
        <v>19.600000000000001</v>
      </c>
      <c r="G1328" s="430">
        <v>19.600000000000001</v>
      </c>
      <c r="H1328" s="399">
        <f t="shared" si="558"/>
        <v>15.68</v>
      </c>
      <c r="I1328" s="576"/>
      <c r="J1328" s="549" t="s">
        <v>5804</v>
      </c>
      <c r="K1328" s="11"/>
      <c r="L1328"/>
      <c r="M1328" s="37">
        <f t="shared" si="559"/>
        <v>19.600000000000001</v>
      </c>
      <c r="N1328" s="29">
        <v>9.6</v>
      </c>
      <c r="O1328" s="149"/>
      <c r="P1328" s="144"/>
      <c r="Q1328" s="145" t="s">
        <v>1017</v>
      </c>
      <c r="S1328" s="145" t="s">
        <v>4179</v>
      </c>
      <c r="T1328" s="145" t="s">
        <v>4179</v>
      </c>
      <c r="U1328" s="146"/>
      <c r="W1328" s="147"/>
      <c r="X1328" s="147"/>
      <c r="Y1328" s="145" t="s">
        <v>1017</v>
      </c>
      <c r="Z1328" s="147"/>
      <c r="AC1328" s="147"/>
      <c r="AE1328" s="148"/>
      <c r="AF1328" s="147"/>
      <c r="AG1328" s="147"/>
      <c r="AH1328" s="166" t="str">
        <f t="shared" si="560"/>
        <v/>
      </c>
      <c r="AI1328" s="168" t="str">
        <f t="shared" si="551"/>
        <v/>
      </c>
      <c r="AJ1328" s="168" t="str">
        <f t="shared" si="552"/>
        <v/>
      </c>
      <c r="AK1328" s="168" t="str">
        <f t="shared" si="553"/>
        <v/>
      </c>
      <c r="AL1328" s="168" t="str">
        <f t="shared" si="554"/>
        <v/>
      </c>
      <c r="AM1328" s="168" t="str">
        <f t="shared" si="555"/>
        <v/>
      </c>
      <c r="AN1328" s="167" t="str">
        <f t="shared" si="538"/>
        <v/>
      </c>
      <c r="AO1328" s="167" t="str">
        <f t="shared" si="539"/>
        <v/>
      </c>
      <c r="AP1328" s="167" t="str">
        <f t="shared" si="540"/>
        <v/>
      </c>
      <c r="AQ1328" s="169" t="str">
        <f t="shared" si="541"/>
        <v/>
      </c>
      <c r="AR1328" s="170" t="str">
        <f t="shared" si="542"/>
        <v>BiK82GK09---06</v>
      </c>
      <c r="AS1328" s="169" t="str">
        <f t="shared" si="543"/>
        <v/>
      </c>
      <c r="AT1328">
        <f t="shared" si="544"/>
        <v>14</v>
      </c>
      <c r="AU1328" s="170" t="str">
        <f t="shared" si="545"/>
        <v>0,15-0,5 MW, Bonusregeln G und K erstmals 2009</v>
      </c>
      <c r="AV1328" s="169" t="str">
        <f t="shared" si="546"/>
        <v/>
      </c>
      <c r="AW1328" s="170" t="str">
        <f t="shared" si="547"/>
        <v>Anteil KWK, erstmals 2009</v>
      </c>
      <c r="AX1328" s="169" t="str">
        <f t="shared" si="548"/>
        <v/>
      </c>
      <c r="AY1328" t="str">
        <f t="shared" si="549"/>
        <v/>
      </c>
      <c r="AZ1328" t="str">
        <f t="shared" si="550"/>
        <v/>
      </c>
    </row>
    <row r="1329" spans="1:52" s="145" customFormat="1" x14ac:dyDescent="0.35">
      <c r="A1329" s="497" t="s">
        <v>4912</v>
      </c>
      <c r="B1329" s="13" t="s">
        <v>5547</v>
      </c>
      <c r="C1329" s="13" t="s">
        <v>1296</v>
      </c>
      <c r="D1329" s="13" t="s">
        <v>7032</v>
      </c>
      <c r="E1329" s="13" t="s">
        <v>3566</v>
      </c>
      <c r="F1329" s="373">
        <f t="shared" si="557"/>
        <v>19.57</v>
      </c>
      <c r="G1329" s="430">
        <v>19.57</v>
      </c>
      <c r="H1329" s="399">
        <f t="shared" si="558"/>
        <v>15.66</v>
      </c>
      <c r="I1329" s="576"/>
      <c r="J1329" s="549" t="s">
        <v>5804</v>
      </c>
      <c r="K1329" s="11"/>
      <c r="L1329"/>
      <c r="M1329" s="37">
        <f t="shared" si="559"/>
        <v>19.57</v>
      </c>
      <c r="N1329" s="29">
        <v>9.6</v>
      </c>
      <c r="O1329" s="149"/>
      <c r="P1329" s="144"/>
      <c r="R1329" s="145" t="s">
        <v>1017</v>
      </c>
      <c r="S1329" s="145" t="s">
        <v>4179</v>
      </c>
      <c r="T1329" s="145" t="s">
        <v>4179</v>
      </c>
      <c r="U1329" s="146"/>
      <c r="W1329" s="147"/>
      <c r="X1329" s="147"/>
      <c r="Y1329" s="145" t="s">
        <v>1017</v>
      </c>
      <c r="Z1329" s="147"/>
      <c r="AC1329" s="147"/>
      <c r="AE1329" s="148"/>
      <c r="AF1329" s="147"/>
      <c r="AG1329" s="147"/>
      <c r="AH1329" s="166" t="str">
        <f t="shared" si="560"/>
        <v>2010</v>
      </c>
      <c r="AI1329" s="168" t="str">
        <f t="shared" si="551"/>
        <v/>
      </c>
      <c r="AJ1329" s="168" t="str">
        <f t="shared" si="552"/>
        <v/>
      </c>
      <c r="AK1329" s="168" t="str">
        <f t="shared" si="553"/>
        <v/>
      </c>
      <c r="AL1329" s="168" t="str">
        <f t="shared" si="554"/>
        <v/>
      </c>
      <c r="AM1329" s="168" t="str">
        <f t="shared" si="555"/>
        <v/>
      </c>
      <c r="AN1329" s="167" t="str">
        <f t="shared" si="538"/>
        <v>2010</v>
      </c>
      <c r="AO1329" s="167" t="str">
        <f t="shared" si="539"/>
        <v>2010</v>
      </c>
      <c r="AP1329" s="167" t="str">
        <f t="shared" si="540"/>
        <v>2010</v>
      </c>
      <c r="AQ1329" s="169" t="str">
        <f t="shared" si="541"/>
        <v/>
      </c>
      <c r="AR1329" s="170" t="str">
        <f t="shared" si="542"/>
        <v>BiK82GK10---06</v>
      </c>
      <c r="AS1329" s="169" t="str">
        <f t="shared" si="543"/>
        <v/>
      </c>
      <c r="AT1329">
        <f t="shared" si="544"/>
        <v>14</v>
      </c>
      <c r="AU1329" s="170" t="str">
        <f t="shared" si="545"/>
        <v>0,15-0,5 MW, Bonusregeln G und K erstmals 2010</v>
      </c>
      <c r="AV1329" s="169" t="str">
        <f t="shared" si="546"/>
        <v/>
      </c>
      <c r="AW1329" s="170" t="str">
        <f t="shared" si="547"/>
        <v>Anteil KWK, erstmals 2010</v>
      </c>
      <c r="AX1329" s="169" t="str">
        <f t="shared" si="548"/>
        <v/>
      </c>
      <c r="AY1329" t="str">
        <f t="shared" si="549"/>
        <v/>
      </c>
      <c r="AZ1329" t="str">
        <f t="shared" si="550"/>
        <v/>
      </c>
    </row>
    <row r="1330" spans="1:52" s="145" customFormat="1" x14ac:dyDescent="0.35">
      <c r="A1330" s="497" t="s">
        <v>3959</v>
      </c>
      <c r="B1330" s="13" t="s">
        <v>5547</v>
      </c>
      <c r="C1330" s="13" t="s">
        <v>1296</v>
      </c>
      <c r="D1330" s="13" t="s">
        <v>7033</v>
      </c>
      <c r="E1330" s="13" t="s">
        <v>3054</v>
      </c>
      <c r="F1330" s="373">
        <f t="shared" si="557"/>
        <v>19.54</v>
      </c>
      <c r="G1330" s="430">
        <v>19.54</v>
      </c>
      <c r="H1330" s="399">
        <f t="shared" si="558"/>
        <v>15.63</v>
      </c>
      <c r="I1330" s="576"/>
      <c r="J1330" s="549" t="s">
        <v>5804</v>
      </c>
      <c r="K1330" s="11"/>
      <c r="L1330"/>
      <c r="M1330" s="37">
        <f t="shared" si="559"/>
        <v>19.54</v>
      </c>
      <c r="N1330" s="29">
        <v>9.6</v>
      </c>
      <c r="O1330" s="149"/>
      <c r="P1330" s="144"/>
      <c r="S1330" s="145" t="s">
        <v>1017</v>
      </c>
      <c r="T1330" s="145" t="s">
        <v>4179</v>
      </c>
      <c r="U1330" s="146"/>
      <c r="W1330" s="147"/>
      <c r="X1330" s="147"/>
      <c r="Y1330" s="145" t="s">
        <v>1017</v>
      </c>
      <c r="Z1330" s="147"/>
      <c r="AC1330" s="147"/>
      <c r="AE1330" s="148"/>
      <c r="AF1330" s="147"/>
      <c r="AG1330" s="147"/>
      <c r="AH1330" s="166" t="str">
        <f t="shared" si="560"/>
        <v>2011</v>
      </c>
      <c r="AI1330" s="168" t="str">
        <f t="shared" si="551"/>
        <v/>
      </c>
      <c r="AJ1330" s="168" t="str">
        <f t="shared" si="552"/>
        <v/>
      </c>
      <c r="AK1330" s="168" t="str">
        <f t="shared" si="553"/>
        <v/>
      </c>
      <c r="AL1330" s="168" t="str">
        <f t="shared" si="554"/>
        <v/>
      </c>
      <c r="AM1330" s="168" t="str">
        <f t="shared" si="555"/>
        <v/>
      </c>
      <c r="AN1330" s="167" t="str">
        <f t="shared" si="538"/>
        <v>2011</v>
      </c>
      <c r="AO1330" s="167" t="str">
        <f t="shared" si="539"/>
        <v>2011</v>
      </c>
      <c r="AP1330" s="167" t="str">
        <f t="shared" si="540"/>
        <v>2011</v>
      </c>
      <c r="AQ1330" s="169" t="str">
        <f t="shared" si="541"/>
        <v/>
      </c>
      <c r="AR1330" s="170" t="str">
        <f t="shared" si="542"/>
        <v>BiK82GK11---06</v>
      </c>
      <c r="AS1330" s="169" t="str">
        <f t="shared" si="543"/>
        <v/>
      </c>
      <c r="AT1330">
        <f t="shared" si="544"/>
        <v>14</v>
      </c>
      <c r="AU1330" s="170" t="str">
        <f t="shared" si="545"/>
        <v>0,15-0,5 MW, Bonusregeln G und K erstmals 2011</v>
      </c>
      <c r="AV1330" s="169" t="str">
        <f t="shared" si="546"/>
        <v/>
      </c>
      <c r="AW1330" s="170" t="str">
        <f t="shared" si="547"/>
        <v>Anteil KWK, erstmals 2011</v>
      </c>
      <c r="AX1330" s="169" t="str">
        <f t="shared" si="548"/>
        <v/>
      </c>
      <c r="AY1330" t="str">
        <f t="shared" si="549"/>
        <v>x</v>
      </c>
      <c r="AZ1330" t="str">
        <f t="shared" si="550"/>
        <v/>
      </c>
    </row>
    <row r="1331" spans="1:52" s="145" customFormat="1" x14ac:dyDescent="0.35">
      <c r="A1331" s="511" t="s">
        <v>1782</v>
      </c>
      <c r="B1331" s="173" t="s">
        <v>5547</v>
      </c>
      <c r="C1331" s="173" t="s">
        <v>1296</v>
      </c>
      <c r="D1331" s="173" t="s">
        <v>7034</v>
      </c>
      <c r="E1331" s="173" t="s">
        <v>1980</v>
      </c>
      <c r="F1331" s="374">
        <f t="shared" si="557"/>
        <v>19.509999999999998</v>
      </c>
      <c r="G1331" s="431">
        <v>19.509999999999998</v>
      </c>
      <c r="H1331" s="400">
        <f t="shared" si="558"/>
        <v>15.61</v>
      </c>
      <c r="I1331" s="577"/>
      <c r="J1331" s="549" t="s">
        <v>5804</v>
      </c>
      <c r="K1331" s="11"/>
      <c r="L1331"/>
      <c r="M1331" s="37">
        <f t="shared" si="559"/>
        <v>19.509999999999998</v>
      </c>
      <c r="N1331" s="29">
        <v>9.6</v>
      </c>
      <c r="O1331" s="149"/>
      <c r="P1331" s="144"/>
      <c r="S1331" s="145" t="s">
        <v>4179</v>
      </c>
      <c r="T1331" s="145" t="s">
        <v>1017</v>
      </c>
      <c r="U1331" s="146"/>
      <c r="W1331" s="147"/>
      <c r="X1331" s="147"/>
      <c r="Y1331" s="145" t="s">
        <v>1017</v>
      </c>
      <c r="Z1331" s="147"/>
      <c r="AC1331" s="147"/>
      <c r="AE1331" s="148"/>
      <c r="AF1331" s="147"/>
      <c r="AG1331" s="147"/>
      <c r="AH1331" s="171" t="s">
        <v>4178</v>
      </c>
      <c r="AI1331" s="168" t="str">
        <f t="shared" si="551"/>
        <v/>
      </c>
      <c r="AJ1331" s="168" t="str">
        <f t="shared" si="552"/>
        <v/>
      </c>
      <c r="AK1331" s="168" t="str">
        <f t="shared" si="553"/>
        <v/>
      </c>
      <c r="AL1331" s="168" t="str">
        <f t="shared" si="554"/>
        <v/>
      </c>
      <c r="AM1331" s="168" t="str">
        <f t="shared" si="555"/>
        <v/>
      </c>
      <c r="AN1331" s="167" t="str">
        <f t="shared" si="538"/>
        <v>2012</v>
      </c>
      <c r="AO1331" s="167" t="str">
        <f t="shared" si="539"/>
        <v>2012</v>
      </c>
      <c r="AP1331" s="167" t="str">
        <f t="shared" si="540"/>
        <v>2012</v>
      </c>
      <c r="AQ1331" s="169" t="str">
        <f t="shared" si="541"/>
        <v/>
      </c>
      <c r="AR1331" s="170" t="str">
        <f t="shared" si="542"/>
        <v>BiK82GK12---06</v>
      </c>
      <c r="AS1331" s="169" t="str">
        <f t="shared" si="543"/>
        <v/>
      </c>
      <c r="AT1331">
        <f t="shared" si="544"/>
        <v>14</v>
      </c>
      <c r="AU1331" s="170" t="str">
        <f t="shared" si="545"/>
        <v>0,15-0,5 MW, Bonusregeln G und K erstmals 2012</v>
      </c>
      <c r="AV1331" s="169" t="str">
        <f t="shared" si="546"/>
        <v/>
      </c>
      <c r="AW1331" s="170" t="str">
        <f t="shared" si="547"/>
        <v>Anteil KWK, erstmals 2012</v>
      </c>
      <c r="AX1331" s="169" t="str">
        <f t="shared" si="548"/>
        <v/>
      </c>
      <c r="AY1331" t="str">
        <f t="shared" si="549"/>
        <v/>
      </c>
      <c r="AZ1331" t="str">
        <f t="shared" si="550"/>
        <v>x</v>
      </c>
    </row>
    <row r="1332" spans="1:52" s="145" customFormat="1" x14ac:dyDescent="0.35">
      <c r="A1332" s="497" t="s">
        <v>2773</v>
      </c>
      <c r="B1332" s="13" t="s">
        <v>5547</v>
      </c>
      <c r="C1332" s="13" t="s">
        <v>1296</v>
      </c>
      <c r="D1332" s="13" t="s">
        <v>7035</v>
      </c>
      <c r="E1332" s="13" t="s">
        <v>4809</v>
      </c>
      <c r="F1332" s="373">
        <f t="shared" si="557"/>
        <v>17.600000000000001</v>
      </c>
      <c r="G1332" s="430">
        <v>17.600000000000001</v>
      </c>
      <c r="H1332" s="399">
        <f t="shared" si="558"/>
        <v>14.08</v>
      </c>
      <c r="I1332" s="576"/>
      <c r="J1332" s="549" t="s">
        <v>5804</v>
      </c>
      <c r="K1332" s="11"/>
      <c r="L1332"/>
      <c r="M1332" s="37">
        <f t="shared" si="559"/>
        <v>17.600000000000001</v>
      </c>
      <c r="N1332" s="29">
        <v>9.6</v>
      </c>
      <c r="O1332" s="149"/>
      <c r="P1332" s="144"/>
      <c r="S1332" s="145" t="s">
        <v>4179</v>
      </c>
      <c r="T1332" s="145" t="s">
        <v>4179</v>
      </c>
      <c r="U1332" s="146" t="s">
        <v>1017</v>
      </c>
      <c r="W1332" s="147"/>
      <c r="X1332" s="147"/>
      <c r="Y1332" s="145" t="s">
        <v>1017</v>
      </c>
      <c r="Z1332" s="147"/>
      <c r="AC1332" s="147"/>
      <c r="AE1332" s="148"/>
      <c r="AF1332" s="147"/>
      <c r="AG1332" s="147"/>
      <c r="AH1332" s="166" t="str">
        <f t="shared" ref="AH1332:AH1337" si="561">IF(ISERROR(SEARCH("K erstmals 201",D1332)),"",RIGHT(D1332,4))</f>
        <v/>
      </c>
      <c r="AI1332" s="168" t="str">
        <f t="shared" si="551"/>
        <v/>
      </c>
      <c r="AJ1332" s="168" t="str">
        <f t="shared" si="552"/>
        <v/>
      </c>
      <c r="AK1332" s="168" t="str">
        <f t="shared" si="553"/>
        <v/>
      </c>
      <c r="AL1332" s="168" t="str">
        <f t="shared" si="554"/>
        <v/>
      </c>
      <c r="AM1332" s="168" t="str">
        <f t="shared" si="555"/>
        <v/>
      </c>
      <c r="AN1332" s="167" t="str">
        <f t="shared" si="538"/>
        <v/>
      </c>
      <c r="AO1332" s="167" t="str">
        <f t="shared" si="539"/>
        <v/>
      </c>
      <c r="AP1332" s="167" t="str">
        <f t="shared" si="540"/>
        <v/>
      </c>
      <c r="AQ1332" s="169" t="str">
        <f t="shared" si="541"/>
        <v/>
      </c>
      <c r="AR1332" s="170" t="str">
        <f t="shared" si="542"/>
        <v>BiK82Gy-----06</v>
      </c>
      <c r="AS1332" s="169" t="str">
        <f t="shared" si="543"/>
        <v/>
      </c>
      <c r="AT1332">
        <f t="shared" si="544"/>
        <v>14</v>
      </c>
      <c r="AU1332" s="170" t="str">
        <f t="shared" si="545"/>
        <v>0,15-0,5 MW, Bonusregel G, y</v>
      </c>
      <c r="AV1332" s="169" t="str">
        <f t="shared" si="546"/>
        <v/>
      </c>
      <c r="AW1332" s="170" t="str">
        <f t="shared" si="547"/>
        <v>Anteil Nicht-KWK</v>
      </c>
      <c r="AX1332" s="169" t="str">
        <f t="shared" si="548"/>
        <v/>
      </c>
      <c r="AY1332" t="str">
        <f t="shared" si="549"/>
        <v/>
      </c>
      <c r="AZ1332" t="str">
        <f t="shared" si="550"/>
        <v/>
      </c>
    </row>
    <row r="1333" spans="1:52" s="145" customFormat="1" x14ac:dyDescent="0.35">
      <c r="A1333" s="497" t="s">
        <v>2774</v>
      </c>
      <c r="B1333" s="13" t="s">
        <v>5547</v>
      </c>
      <c r="C1333" s="13" t="s">
        <v>1296</v>
      </c>
      <c r="D1333" s="13" t="s">
        <v>7114</v>
      </c>
      <c r="E1333" s="13" t="s">
        <v>4811</v>
      </c>
      <c r="F1333" s="373">
        <f t="shared" si="557"/>
        <v>19.600000000000001</v>
      </c>
      <c r="G1333" s="430">
        <v>19.600000000000001</v>
      </c>
      <c r="H1333" s="399">
        <f t="shared" si="558"/>
        <v>15.68</v>
      </c>
      <c r="I1333" s="576"/>
      <c r="J1333" s="549" t="s">
        <v>5804</v>
      </c>
      <c r="K1333" s="11"/>
      <c r="L1333"/>
      <c r="M1333" s="37">
        <f t="shared" si="559"/>
        <v>19.600000000000001</v>
      </c>
      <c r="N1333" s="29">
        <v>9.6</v>
      </c>
      <c r="O1333" s="149" t="s">
        <v>1017</v>
      </c>
      <c r="P1333" s="144"/>
      <c r="S1333" s="145" t="s">
        <v>4179</v>
      </c>
      <c r="T1333" s="145" t="s">
        <v>4179</v>
      </c>
      <c r="U1333" s="146" t="s">
        <v>1017</v>
      </c>
      <c r="W1333" s="147"/>
      <c r="X1333" s="147"/>
      <c r="Y1333" s="145" t="s">
        <v>1017</v>
      </c>
      <c r="Z1333" s="147"/>
      <c r="AC1333" s="147"/>
      <c r="AE1333" s="148"/>
      <c r="AF1333" s="147"/>
      <c r="AG1333" s="147"/>
      <c r="AH1333" s="166" t="str">
        <f t="shared" si="561"/>
        <v/>
      </c>
      <c r="AI1333" s="168" t="str">
        <f t="shared" si="551"/>
        <v/>
      </c>
      <c r="AJ1333" s="168" t="str">
        <f t="shared" si="552"/>
        <v/>
      </c>
      <c r="AK1333" s="168" t="str">
        <f t="shared" si="553"/>
        <v/>
      </c>
      <c r="AL1333" s="168" t="str">
        <f t="shared" si="554"/>
        <v/>
      </c>
      <c r="AM1333" s="168" t="str">
        <f t="shared" si="555"/>
        <v/>
      </c>
      <c r="AN1333" s="167" t="str">
        <f t="shared" si="538"/>
        <v/>
      </c>
      <c r="AO1333" s="167" t="str">
        <f t="shared" si="539"/>
        <v/>
      </c>
      <c r="AP1333" s="167" t="str">
        <f t="shared" si="540"/>
        <v/>
      </c>
      <c r="AQ1333" s="169" t="str">
        <f t="shared" si="541"/>
        <v/>
      </c>
      <c r="AR1333" s="170" t="str">
        <f t="shared" si="542"/>
        <v>BiK82GKWKy--06</v>
      </c>
      <c r="AS1333" s="169" t="str">
        <f t="shared" si="543"/>
        <v/>
      </c>
      <c r="AT1333">
        <f t="shared" si="544"/>
        <v>14</v>
      </c>
      <c r="AU1333" s="170" t="str">
        <f t="shared" si="545"/>
        <v>0,15-0,5 MW, Bonusregeln G, y und KWK</v>
      </c>
      <c r="AV1333" s="169" t="str">
        <f t="shared" si="546"/>
        <v/>
      </c>
      <c r="AW1333" s="170" t="str">
        <f t="shared" si="547"/>
        <v>Anteil KWK</v>
      </c>
      <c r="AX1333" s="169" t="str">
        <f t="shared" si="548"/>
        <v/>
      </c>
      <c r="AY1333" t="str">
        <f t="shared" si="549"/>
        <v/>
      </c>
      <c r="AZ1333" t="str">
        <f t="shared" si="550"/>
        <v/>
      </c>
    </row>
    <row r="1334" spans="1:52" s="145" customFormat="1" x14ac:dyDescent="0.35">
      <c r="A1334" s="497" t="s">
        <v>2775</v>
      </c>
      <c r="B1334" s="13" t="s">
        <v>5547</v>
      </c>
      <c r="C1334" s="13" t="s">
        <v>1296</v>
      </c>
      <c r="D1334" s="88" t="s">
        <v>7036</v>
      </c>
      <c r="E1334" s="13" t="s">
        <v>4330</v>
      </c>
      <c r="F1334" s="373">
        <f t="shared" si="557"/>
        <v>20.6</v>
      </c>
      <c r="G1334" s="430">
        <v>20.6</v>
      </c>
      <c r="H1334" s="399">
        <f t="shared" si="558"/>
        <v>16.48</v>
      </c>
      <c r="I1334" s="576"/>
      <c r="J1334" s="549" t="s">
        <v>5804</v>
      </c>
      <c r="K1334" s="11"/>
      <c r="L1334"/>
      <c r="M1334" s="37">
        <f t="shared" si="559"/>
        <v>20.6</v>
      </c>
      <c r="N1334" s="29">
        <v>9.6</v>
      </c>
      <c r="O1334" s="149"/>
      <c r="P1334" s="145" t="s">
        <v>1017</v>
      </c>
      <c r="S1334" s="145" t="s">
        <v>4179</v>
      </c>
      <c r="T1334" s="145" t="s">
        <v>4179</v>
      </c>
      <c r="U1334" s="146" t="s">
        <v>1017</v>
      </c>
      <c r="W1334" s="147"/>
      <c r="X1334" s="147"/>
      <c r="Y1334" s="145" t="s">
        <v>1017</v>
      </c>
      <c r="Z1334" s="147"/>
      <c r="AC1334" s="147"/>
      <c r="AE1334" s="148"/>
      <c r="AF1334" s="147"/>
      <c r="AG1334" s="147"/>
      <c r="AH1334" s="166" t="str">
        <f t="shared" si="561"/>
        <v/>
      </c>
      <c r="AI1334" s="168" t="str">
        <f t="shared" si="551"/>
        <v/>
      </c>
      <c r="AJ1334" s="168" t="str">
        <f t="shared" si="552"/>
        <v/>
      </c>
      <c r="AK1334" s="168" t="str">
        <f t="shared" si="553"/>
        <v/>
      </c>
      <c r="AL1334" s="168" t="str">
        <f t="shared" si="554"/>
        <v/>
      </c>
      <c r="AM1334" s="168" t="str">
        <f t="shared" si="555"/>
        <v/>
      </c>
      <c r="AN1334" s="167" t="str">
        <f t="shared" si="538"/>
        <v/>
      </c>
      <c r="AO1334" s="167" t="str">
        <f t="shared" si="539"/>
        <v/>
      </c>
      <c r="AP1334" s="167" t="str">
        <f t="shared" si="540"/>
        <v/>
      </c>
      <c r="AQ1334" s="169" t="str">
        <f t="shared" si="541"/>
        <v/>
      </c>
      <c r="AR1334" s="170" t="str">
        <f t="shared" si="542"/>
        <v>BiK82GKA3y--06</v>
      </c>
      <c r="AS1334" s="169" t="str">
        <f t="shared" si="543"/>
        <v/>
      </c>
      <c r="AT1334">
        <f t="shared" si="544"/>
        <v>14</v>
      </c>
      <c r="AU1334" s="170" t="str">
        <f t="shared" si="545"/>
        <v>0,15-0,5 MW, Bonusregeln G, y und K wenn Anlage 3 erfüllt</v>
      </c>
      <c r="AV1334" s="169" t="str">
        <f t="shared" si="546"/>
        <v/>
      </c>
      <c r="AW1334" s="170" t="str">
        <f t="shared" si="547"/>
        <v>Anteil KWK gemäß Anlage 3</v>
      </c>
      <c r="AX1334" s="169" t="str">
        <f t="shared" si="548"/>
        <v/>
      </c>
      <c r="AY1334" t="str">
        <f t="shared" si="549"/>
        <v/>
      </c>
      <c r="AZ1334" t="str">
        <f t="shared" si="550"/>
        <v/>
      </c>
    </row>
    <row r="1335" spans="1:52" s="145" customFormat="1" x14ac:dyDescent="0.35">
      <c r="A1335" s="497" t="s">
        <v>2776</v>
      </c>
      <c r="B1335" s="13" t="s">
        <v>5547</v>
      </c>
      <c r="C1335" s="13" t="s">
        <v>1296</v>
      </c>
      <c r="D1335" s="13" t="s">
        <v>7037</v>
      </c>
      <c r="E1335" s="13" t="s">
        <v>674</v>
      </c>
      <c r="F1335" s="373">
        <f t="shared" si="557"/>
        <v>20.6</v>
      </c>
      <c r="G1335" s="430">
        <v>20.6</v>
      </c>
      <c r="H1335" s="399">
        <f t="shared" si="558"/>
        <v>16.48</v>
      </c>
      <c r="I1335" s="576"/>
      <c r="J1335" s="549" t="s">
        <v>5804</v>
      </c>
      <c r="K1335" s="11"/>
      <c r="L1335"/>
      <c r="M1335" s="37">
        <f t="shared" si="559"/>
        <v>20.6</v>
      </c>
      <c r="N1335" s="29">
        <v>9.6</v>
      </c>
      <c r="O1335" s="149"/>
      <c r="P1335" s="144"/>
      <c r="Q1335" s="145" t="s">
        <v>1017</v>
      </c>
      <c r="S1335" s="145" t="s">
        <v>4179</v>
      </c>
      <c r="T1335" s="145" t="s">
        <v>4179</v>
      </c>
      <c r="U1335" s="146" t="s">
        <v>1017</v>
      </c>
      <c r="W1335" s="147"/>
      <c r="X1335" s="147"/>
      <c r="Y1335" s="145" t="s">
        <v>1017</v>
      </c>
      <c r="Z1335" s="147"/>
      <c r="AC1335" s="147"/>
      <c r="AE1335" s="148"/>
      <c r="AF1335" s="147"/>
      <c r="AG1335" s="147"/>
      <c r="AH1335" s="166" t="str">
        <f t="shared" si="561"/>
        <v/>
      </c>
      <c r="AI1335" s="168" t="str">
        <f t="shared" si="551"/>
        <v/>
      </c>
      <c r="AJ1335" s="168" t="str">
        <f t="shared" si="552"/>
        <v/>
      </c>
      <c r="AK1335" s="168" t="str">
        <f t="shared" si="553"/>
        <v/>
      </c>
      <c r="AL1335" s="168" t="str">
        <f t="shared" si="554"/>
        <v/>
      </c>
      <c r="AM1335" s="168" t="str">
        <f t="shared" si="555"/>
        <v/>
      </c>
      <c r="AN1335" s="167" t="str">
        <f t="shared" si="538"/>
        <v/>
      </c>
      <c r="AO1335" s="167" t="str">
        <f t="shared" si="539"/>
        <v/>
      </c>
      <c r="AP1335" s="167" t="str">
        <f t="shared" si="540"/>
        <v/>
      </c>
      <c r="AQ1335" s="169" t="str">
        <f t="shared" si="541"/>
        <v/>
      </c>
      <c r="AR1335" s="170" t="str">
        <f t="shared" si="542"/>
        <v>BiK82GK09y--06</v>
      </c>
      <c r="AS1335" s="169" t="str">
        <f t="shared" si="543"/>
        <v/>
      </c>
      <c r="AT1335">
        <f t="shared" si="544"/>
        <v>14</v>
      </c>
      <c r="AU1335" s="170" t="str">
        <f t="shared" si="545"/>
        <v>0,15-0,5 MW, Bonusregeln G, y und K erstmals 2009</v>
      </c>
      <c r="AV1335" s="169" t="str">
        <f t="shared" si="546"/>
        <v/>
      </c>
      <c r="AW1335" s="170" t="str">
        <f t="shared" si="547"/>
        <v>Anteil KWK, erstmals 2009</v>
      </c>
      <c r="AX1335" s="169" t="str">
        <f t="shared" si="548"/>
        <v/>
      </c>
      <c r="AY1335" t="str">
        <f t="shared" si="549"/>
        <v/>
      </c>
      <c r="AZ1335" t="str">
        <f t="shared" si="550"/>
        <v/>
      </c>
    </row>
    <row r="1336" spans="1:52" s="145" customFormat="1" x14ac:dyDescent="0.35">
      <c r="A1336" s="497" t="s">
        <v>4913</v>
      </c>
      <c r="B1336" s="13" t="s">
        <v>5547</v>
      </c>
      <c r="C1336" s="13" t="s">
        <v>1296</v>
      </c>
      <c r="D1336" s="13" t="s">
        <v>7038</v>
      </c>
      <c r="E1336" s="13" t="s">
        <v>3566</v>
      </c>
      <c r="F1336" s="373">
        <f t="shared" si="557"/>
        <v>20.57</v>
      </c>
      <c r="G1336" s="430">
        <v>20.57</v>
      </c>
      <c r="H1336" s="399">
        <f t="shared" si="558"/>
        <v>16.46</v>
      </c>
      <c r="I1336" s="576"/>
      <c r="J1336" s="549" t="s">
        <v>5804</v>
      </c>
      <c r="K1336" s="11"/>
      <c r="L1336"/>
      <c r="M1336" s="37">
        <f t="shared" si="559"/>
        <v>20.57</v>
      </c>
      <c r="N1336" s="29">
        <v>9.6</v>
      </c>
      <c r="O1336" s="149"/>
      <c r="P1336" s="144"/>
      <c r="R1336" s="145" t="s">
        <v>1017</v>
      </c>
      <c r="S1336" s="145" t="s">
        <v>4179</v>
      </c>
      <c r="T1336" s="145" t="s">
        <v>4179</v>
      </c>
      <c r="U1336" s="146" t="s">
        <v>1017</v>
      </c>
      <c r="W1336" s="147"/>
      <c r="X1336" s="147"/>
      <c r="Y1336" s="145" t="s">
        <v>1017</v>
      </c>
      <c r="Z1336" s="147"/>
      <c r="AC1336" s="147"/>
      <c r="AE1336" s="148"/>
      <c r="AF1336" s="147"/>
      <c r="AG1336" s="147"/>
      <c r="AH1336" s="166" t="str">
        <f t="shared" si="561"/>
        <v>2010</v>
      </c>
      <c r="AI1336" s="168" t="str">
        <f t="shared" si="551"/>
        <v/>
      </c>
      <c r="AJ1336" s="168" t="str">
        <f t="shared" si="552"/>
        <v/>
      </c>
      <c r="AK1336" s="168" t="str">
        <f t="shared" si="553"/>
        <v/>
      </c>
      <c r="AL1336" s="168" t="str">
        <f t="shared" si="554"/>
        <v/>
      </c>
      <c r="AM1336" s="168" t="str">
        <f t="shared" si="555"/>
        <v/>
      </c>
      <c r="AN1336" s="167" t="str">
        <f t="shared" si="538"/>
        <v>2010</v>
      </c>
      <c r="AO1336" s="167" t="str">
        <f t="shared" si="539"/>
        <v>2010</v>
      </c>
      <c r="AP1336" s="167" t="str">
        <f t="shared" si="540"/>
        <v>2010</v>
      </c>
      <c r="AQ1336" s="169" t="str">
        <f t="shared" si="541"/>
        <v/>
      </c>
      <c r="AR1336" s="170" t="str">
        <f t="shared" si="542"/>
        <v>BiK82GK10y--06</v>
      </c>
      <c r="AS1336" s="169" t="str">
        <f t="shared" si="543"/>
        <v/>
      </c>
      <c r="AT1336">
        <f t="shared" si="544"/>
        <v>14</v>
      </c>
      <c r="AU1336" s="170" t="str">
        <f t="shared" si="545"/>
        <v>0,15-0,5 MW, Bonusregeln G, y und K erstmals 2010</v>
      </c>
      <c r="AV1336" s="169" t="str">
        <f t="shared" si="546"/>
        <v/>
      </c>
      <c r="AW1336" s="170" t="str">
        <f t="shared" si="547"/>
        <v>Anteil KWK, erstmals 2010</v>
      </c>
      <c r="AX1336" s="169" t="str">
        <f t="shared" si="548"/>
        <v/>
      </c>
      <c r="AY1336" t="str">
        <f t="shared" si="549"/>
        <v/>
      </c>
      <c r="AZ1336" t="str">
        <f t="shared" si="550"/>
        <v/>
      </c>
    </row>
    <row r="1337" spans="1:52" s="145" customFormat="1" x14ac:dyDescent="0.35">
      <c r="A1337" s="497" t="s">
        <v>3960</v>
      </c>
      <c r="B1337" s="13" t="s">
        <v>5547</v>
      </c>
      <c r="C1337" s="13" t="s">
        <v>1296</v>
      </c>
      <c r="D1337" s="13" t="s">
        <v>7039</v>
      </c>
      <c r="E1337" s="13" t="s">
        <v>3054</v>
      </c>
      <c r="F1337" s="373">
        <f t="shared" si="557"/>
        <v>20.54</v>
      </c>
      <c r="G1337" s="430">
        <v>20.54</v>
      </c>
      <c r="H1337" s="399">
        <f t="shared" si="558"/>
        <v>16.43</v>
      </c>
      <c r="I1337" s="576"/>
      <c r="J1337" s="549" t="s">
        <v>5804</v>
      </c>
      <c r="K1337" s="11"/>
      <c r="L1337"/>
      <c r="M1337" s="37">
        <f t="shared" si="559"/>
        <v>20.54</v>
      </c>
      <c r="N1337" s="29">
        <v>9.6</v>
      </c>
      <c r="O1337" s="149"/>
      <c r="P1337" s="144"/>
      <c r="S1337" s="145" t="s">
        <v>1017</v>
      </c>
      <c r="T1337" s="145" t="s">
        <v>4179</v>
      </c>
      <c r="U1337" s="146" t="s">
        <v>1017</v>
      </c>
      <c r="W1337" s="147"/>
      <c r="X1337" s="147"/>
      <c r="Y1337" s="145" t="s">
        <v>1017</v>
      </c>
      <c r="Z1337" s="147"/>
      <c r="AC1337" s="147"/>
      <c r="AE1337" s="148"/>
      <c r="AF1337" s="147"/>
      <c r="AG1337" s="147"/>
      <c r="AH1337" s="166" t="str">
        <f t="shared" si="561"/>
        <v>2011</v>
      </c>
      <c r="AI1337" s="168" t="str">
        <f t="shared" si="551"/>
        <v/>
      </c>
      <c r="AJ1337" s="168" t="str">
        <f t="shared" si="552"/>
        <v/>
      </c>
      <c r="AK1337" s="168" t="str">
        <f t="shared" si="553"/>
        <v/>
      </c>
      <c r="AL1337" s="168" t="str">
        <f t="shared" si="554"/>
        <v/>
      </c>
      <c r="AM1337" s="168" t="str">
        <f t="shared" si="555"/>
        <v/>
      </c>
      <c r="AN1337" s="167" t="str">
        <f t="shared" si="538"/>
        <v>2011</v>
      </c>
      <c r="AO1337" s="167" t="str">
        <f t="shared" si="539"/>
        <v>2011</v>
      </c>
      <c r="AP1337" s="167" t="str">
        <f t="shared" si="540"/>
        <v>2011</v>
      </c>
      <c r="AQ1337" s="169" t="str">
        <f t="shared" si="541"/>
        <v/>
      </c>
      <c r="AR1337" s="170" t="str">
        <f t="shared" si="542"/>
        <v>BiK82GK11y--06</v>
      </c>
      <c r="AS1337" s="169" t="str">
        <f t="shared" si="543"/>
        <v/>
      </c>
      <c r="AT1337">
        <f t="shared" si="544"/>
        <v>14</v>
      </c>
      <c r="AU1337" s="170" t="str">
        <f t="shared" si="545"/>
        <v>0,15-0,5 MW, Bonusregeln G, y und K erstmals 2011</v>
      </c>
      <c r="AV1337" s="169" t="str">
        <f t="shared" si="546"/>
        <v/>
      </c>
      <c r="AW1337" s="170" t="str">
        <f t="shared" si="547"/>
        <v>Anteil KWK, erstmals 2011</v>
      </c>
      <c r="AX1337" s="169" t="str">
        <f t="shared" si="548"/>
        <v/>
      </c>
      <c r="AY1337" t="str">
        <f t="shared" si="549"/>
        <v>x</v>
      </c>
      <c r="AZ1337" t="str">
        <f t="shared" si="550"/>
        <v/>
      </c>
    </row>
    <row r="1338" spans="1:52" s="145" customFormat="1" x14ac:dyDescent="0.35">
      <c r="A1338" s="511" t="s">
        <v>1783</v>
      </c>
      <c r="B1338" s="173" t="s">
        <v>5547</v>
      </c>
      <c r="C1338" s="173" t="s">
        <v>1296</v>
      </c>
      <c r="D1338" s="173" t="s">
        <v>7040</v>
      </c>
      <c r="E1338" s="173" t="s">
        <v>1980</v>
      </c>
      <c r="F1338" s="374">
        <f t="shared" si="557"/>
        <v>20.509999999999998</v>
      </c>
      <c r="G1338" s="431">
        <v>20.509999999999998</v>
      </c>
      <c r="H1338" s="400">
        <f t="shared" si="558"/>
        <v>16.41</v>
      </c>
      <c r="I1338" s="577"/>
      <c r="J1338" s="549" t="s">
        <v>5804</v>
      </c>
      <c r="K1338" s="11"/>
      <c r="L1338"/>
      <c r="M1338" s="37">
        <f t="shared" si="559"/>
        <v>20.509999999999998</v>
      </c>
      <c r="N1338" s="29">
        <v>9.6</v>
      </c>
      <c r="O1338" s="149"/>
      <c r="P1338" s="144"/>
      <c r="S1338" s="145" t="s">
        <v>4179</v>
      </c>
      <c r="T1338" s="145" t="s">
        <v>1017</v>
      </c>
      <c r="U1338" s="146" t="s">
        <v>1017</v>
      </c>
      <c r="W1338" s="147"/>
      <c r="X1338" s="147"/>
      <c r="Y1338" s="145" t="s">
        <v>1017</v>
      </c>
      <c r="Z1338" s="147"/>
      <c r="AC1338" s="147"/>
      <c r="AE1338" s="148"/>
      <c r="AF1338" s="147"/>
      <c r="AG1338" s="147"/>
      <c r="AH1338" s="171" t="s">
        <v>4178</v>
      </c>
      <c r="AI1338" s="168" t="str">
        <f t="shared" si="551"/>
        <v/>
      </c>
      <c r="AJ1338" s="168" t="str">
        <f t="shared" si="552"/>
        <v/>
      </c>
      <c r="AK1338" s="168" t="str">
        <f t="shared" si="553"/>
        <v/>
      </c>
      <c r="AL1338" s="168" t="str">
        <f t="shared" si="554"/>
        <v/>
      </c>
      <c r="AM1338" s="168" t="str">
        <f t="shared" si="555"/>
        <v/>
      </c>
      <c r="AN1338" s="167" t="str">
        <f t="shared" si="538"/>
        <v>2012</v>
      </c>
      <c r="AO1338" s="167" t="str">
        <f t="shared" si="539"/>
        <v>2012</v>
      </c>
      <c r="AP1338" s="167" t="str">
        <f t="shared" si="540"/>
        <v>2012</v>
      </c>
      <c r="AQ1338" s="169" t="str">
        <f t="shared" si="541"/>
        <v/>
      </c>
      <c r="AR1338" s="170" t="str">
        <f t="shared" si="542"/>
        <v>BiK82GK12y--06</v>
      </c>
      <c r="AS1338" s="169" t="str">
        <f t="shared" si="543"/>
        <v/>
      </c>
      <c r="AT1338">
        <f t="shared" si="544"/>
        <v>14</v>
      </c>
      <c r="AU1338" s="170" t="str">
        <f t="shared" si="545"/>
        <v>0,15-0,5 MW, Bonusregeln G, y und K erstmals 2012</v>
      </c>
      <c r="AV1338" s="169" t="str">
        <f t="shared" si="546"/>
        <v/>
      </c>
      <c r="AW1338" s="170" t="str">
        <f t="shared" si="547"/>
        <v>Anteil KWK, erstmals 2012</v>
      </c>
      <c r="AX1338" s="169" t="str">
        <f t="shared" si="548"/>
        <v/>
      </c>
      <c r="AY1338" t="str">
        <f t="shared" si="549"/>
        <v/>
      </c>
      <c r="AZ1338" t="str">
        <f t="shared" si="550"/>
        <v>x</v>
      </c>
    </row>
    <row r="1339" spans="1:52" s="145" customFormat="1" x14ac:dyDescent="0.35">
      <c r="A1339" s="497" t="s">
        <v>2777</v>
      </c>
      <c r="B1339" s="13" t="s">
        <v>5547</v>
      </c>
      <c r="C1339" s="13" t="s">
        <v>1296</v>
      </c>
      <c r="D1339" s="13" t="s">
        <v>7041</v>
      </c>
      <c r="E1339" s="13" t="s">
        <v>4809</v>
      </c>
      <c r="F1339" s="373">
        <f t="shared" si="557"/>
        <v>17.600000000000001</v>
      </c>
      <c r="G1339" s="430">
        <v>17.600000000000001</v>
      </c>
      <c r="H1339" s="399">
        <f t="shared" si="558"/>
        <v>14.08</v>
      </c>
      <c r="I1339" s="576"/>
      <c r="J1339" s="549" t="s">
        <v>5804</v>
      </c>
      <c r="K1339" s="11"/>
      <c r="L1339"/>
      <c r="M1339" s="37">
        <f t="shared" si="559"/>
        <v>17.600000000000001</v>
      </c>
      <c r="N1339" s="29">
        <v>9.6</v>
      </c>
      <c r="O1339" s="149"/>
      <c r="P1339" s="144"/>
      <c r="S1339" s="145" t="s">
        <v>4179</v>
      </c>
      <c r="T1339" s="145" t="s">
        <v>4179</v>
      </c>
      <c r="U1339" s="146"/>
      <c r="W1339" s="147"/>
      <c r="X1339" s="147"/>
      <c r="Z1339" s="147"/>
      <c r="AA1339" s="145" t="s">
        <v>1017</v>
      </c>
      <c r="AC1339" s="147"/>
      <c r="AE1339" s="148"/>
      <c r="AF1339" s="147"/>
      <c r="AG1339" s="147"/>
      <c r="AH1339" s="166" t="str">
        <f t="shared" ref="AH1339:AH1344" si="562">IF(ISERROR(SEARCH("K erstmals 201",D1339)),"",RIGHT(D1339,4))</f>
        <v/>
      </c>
      <c r="AI1339" s="168" t="str">
        <f t="shared" si="551"/>
        <v/>
      </c>
      <c r="AJ1339" s="168" t="str">
        <f t="shared" si="552"/>
        <v/>
      </c>
      <c r="AK1339" s="168" t="str">
        <f t="shared" si="553"/>
        <v/>
      </c>
      <c r="AL1339" s="168" t="str">
        <f t="shared" si="554"/>
        <v/>
      </c>
      <c r="AM1339" s="168" t="str">
        <f t="shared" si="555"/>
        <v/>
      </c>
      <c r="AN1339" s="167" t="str">
        <f t="shared" si="538"/>
        <v/>
      </c>
      <c r="AO1339" s="167" t="str">
        <f t="shared" si="539"/>
        <v/>
      </c>
      <c r="AP1339" s="167" t="str">
        <f t="shared" si="540"/>
        <v/>
      </c>
      <c r="AQ1339" s="169" t="str">
        <f t="shared" si="541"/>
        <v/>
      </c>
      <c r="AR1339" s="170" t="str">
        <f t="shared" si="542"/>
        <v>BiK82M2-----06</v>
      </c>
      <c r="AS1339" s="169" t="str">
        <f t="shared" si="543"/>
        <v/>
      </c>
      <c r="AT1339">
        <f t="shared" si="544"/>
        <v>14</v>
      </c>
      <c r="AU1339" s="170" t="str">
        <f t="shared" si="545"/>
        <v>0,15-0,5 MW, Bonusregel M2</v>
      </c>
      <c r="AV1339" s="169" t="str">
        <f t="shared" si="546"/>
        <v/>
      </c>
      <c r="AW1339" s="170" t="str">
        <f t="shared" si="547"/>
        <v>Anteil Nicht-KWK</v>
      </c>
      <c r="AX1339" s="169" t="str">
        <f t="shared" si="548"/>
        <v/>
      </c>
      <c r="AY1339" t="str">
        <f t="shared" si="549"/>
        <v/>
      </c>
      <c r="AZ1339" t="str">
        <f t="shared" si="550"/>
        <v/>
      </c>
    </row>
    <row r="1340" spans="1:52" s="145" customFormat="1" x14ac:dyDescent="0.35">
      <c r="A1340" s="497" t="s">
        <v>2778</v>
      </c>
      <c r="B1340" s="13" t="s">
        <v>5547</v>
      </c>
      <c r="C1340" s="13" t="s">
        <v>1296</v>
      </c>
      <c r="D1340" s="13" t="s">
        <v>7115</v>
      </c>
      <c r="E1340" s="13" t="s">
        <v>4811</v>
      </c>
      <c r="F1340" s="373">
        <f t="shared" si="557"/>
        <v>19.600000000000001</v>
      </c>
      <c r="G1340" s="430">
        <v>19.600000000000001</v>
      </c>
      <c r="H1340" s="399">
        <f t="shared" si="558"/>
        <v>15.68</v>
      </c>
      <c r="I1340" s="576"/>
      <c r="J1340" s="549" t="s">
        <v>5804</v>
      </c>
      <c r="K1340" s="11"/>
      <c r="L1340"/>
      <c r="M1340" s="37">
        <f t="shared" si="559"/>
        <v>19.600000000000001</v>
      </c>
      <c r="N1340" s="29">
        <v>9.6</v>
      </c>
      <c r="O1340" s="149" t="s">
        <v>1017</v>
      </c>
      <c r="P1340" s="144"/>
      <c r="S1340" s="145" t="s">
        <v>4179</v>
      </c>
      <c r="T1340" s="145" t="s">
        <v>4179</v>
      </c>
      <c r="U1340" s="146"/>
      <c r="W1340" s="147"/>
      <c r="X1340" s="147"/>
      <c r="Z1340" s="147"/>
      <c r="AA1340" s="145" t="s">
        <v>1017</v>
      </c>
      <c r="AC1340" s="147"/>
      <c r="AE1340" s="148"/>
      <c r="AF1340" s="147"/>
      <c r="AG1340" s="147"/>
      <c r="AH1340" s="166" t="str">
        <f t="shared" si="562"/>
        <v/>
      </c>
      <c r="AI1340" s="168" t="str">
        <f t="shared" si="551"/>
        <v/>
      </c>
      <c r="AJ1340" s="168" t="str">
        <f t="shared" si="552"/>
        <v/>
      </c>
      <c r="AK1340" s="168" t="str">
        <f t="shared" si="553"/>
        <v/>
      </c>
      <c r="AL1340" s="168" t="str">
        <f t="shared" si="554"/>
        <v/>
      </c>
      <c r="AM1340" s="168" t="str">
        <f t="shared" si="555"/>
        <v/>
      </c>
      <c r="AN1340" s="167" t="str">
        <f t="shared" si="538"/>
        <v/>
      </c>
      <c r="AO1340" s="167" t="str">
        <f t="shared" si="539"/>
        <v/>
      </c>
      <c r="AP1340" s="167" t="str">
        <f t="shared" si="540"/>
        <v/>
      </c>
      <c r="AQ1340" s="169" t="str">
        <f t="shared" si="541"/>
        <v/>
      </c>
      <c r="AR1340" s="170" t="str">
        <f t="shared" si="542"/>
        <v>BiK82M2KWK--06</v>
      </c>
      <c r="AS1340" s="169" t="str">
        <f t="shared" si="543"/>
        <v/>
      </c>
      <c r="AT1340">
        <f t="shared" si="544"/>
        <v>14</v>
      </c>
      <c r="AU1340" s="170" t="str">
        <f t="shared" si="545"/>
        <v>0,15-0,5 MW, Bonusregeln M2 und KWK</v>
      </c>
      <c r="AV1340" s="169" t="str">
        <f t="shared" si="546"/>
        <v/>
      </c>
      <c r="AW1340" s="170" t="str">
        <f t="shared" si="547"/>
        <v>Anteil KWK</v>
      </c>
      <c r="AX1340" s="169" t="str">
        <f t="shared" si="548"/>
        <v/>
      </c>
      <c r="AY1340" t="str">
        <f t="shared" si="549"/>
        <v/>
      </c>
      <c r="AZ1340" t="str">
        <f t="shared" si="550"/>
        <v/>
      </c>
    </row>
    <row r="1341" spans="1:52" s="145" customFormat="1" x14ac:dyDescent="0.35">
      <c r="A1341" s="497" t="s">
        <v>2779</v>
      </c>
      <c r="B1341" s="13" t="s">
        <v>5547</v>
      </c>
      <c r="C1341" s="13" t="s">
        <v>1296</v>
      </c>
      <c r="D1341" s="13" t="s">
        <v>7042</v>
      </c>
      <c r="E1341" s="13" t="s">
        <v>4330</v>
      </c>
      <c r="F1341" s="373">
        <f t="shared" si="557"/>
        <v>20.6</v>
      </c>
      <c r="G1341" s="430">
        <v>20.6</v>
      </c>
      <c r="H1341" s="399">
        <f t="shared" si="558"/>
        <v>16.48</v>
      </c>
      <c r="I1341" s="576"/>
      <c r="J1341" s="549" t="s">
        <v>5804</v>
      </c>
      <c r="K1341" s="11"/>
      <c r="L1341"/>
      <c r="M1341" s="37">
        <f t="shared" si="559"/>
        <v>20.6</v>
      </c>
      <c r="N1341" s="29">
        <v>9.6</v>
      </c>
      <c r="O1341" s="149"/>
      <c r="P1341" s="145" t="s">
        <v>1017</v>
      </c>
      <c r="S1341" s="145" t="s">
        <v>4179</v>
      </c>
      <c r="T1341" s="145" t="s">
        <v>4179</v>
      </c>
      <c r="U1341" s="146"/>
      <c r="W1341" s="147"/>
      <c r="X1341" s="147"/>
      <c r="Z1341" s="147"/>
      <c r="AA1341" s="145" t="s">
        <v>1017</v>
      </c>
      <c r="AC1341" s="147"/>
      <c r="AE1341" s="148"/>
      <c r="AF1341" s="147"/>
      <c r="AG1341" s="147"/>
      <c r="AH1341" s="166" t="str">
        <f t="shared" si="562"/>
        <v/>
      </c>
      <c r="AI1341" s="168" t="str">
        <f t="shared" si="551"/>
        <v/>
      </c>
      <c r="AJ1341" s="168" t="str">
        <f t="shared" si="552"/>
        <v/>
      </c>
      <c r="AK1341" s="168" t="str">
        <f t="shared" si="553"/>
        <v/>
      </c>
      <c r="AL1341" s="168" t="str">
        <f t="shared" si="554"/>
        <v/>
      </c>
      <c r="AM1341" s="168" t="str">
        <f t="shared" si="555"/>
        <v/>
      </c>
      <c r="AN1341" s="167" t="str">
        <f t="shared" si="538"/>
        <v/>
      </c>
      <c r="AO1341" s="167" t="str">
        <f t="shared" si="539"/>
        <v/>
      </c>
      <c r="AP1341" s="167" t="str">
        <f t="shared" si="540"/>
        <v/>
      </c>
      <c r="AQ1341" s="169" t="str">
        <f t="shared" si="541"/>
        <v/>
      </c>
      <c r="AR1341" s="170" t="str">
        <f t="shared" si="542"/>
        <v>BiK82M2KA3--06</v>
      </c>
      <c r="AS1341" s="169" t="str">
        <f t="shared" si="543"/>
        <v/>
      </c>
      <c r="AT1341">
        <f t="shared" si="544"/>
        <v>14</v>
      </c>
      <c r="AU1341" s="170" t="str">
        <f t="shared" si="545"/>
        <v>0,15-0,5 MW, Bonusregeln M2 und K wenn Anlage 3 erfüllt</v>
      </c>
      <c r="AV1341" s="169" t="str">
        <f t="shared" si="546"/>
        <v/>
      </c>
      <c r="AW1341" s="170" t="str">
        <f t="shared" si="547"/>
        <v>Anteil KWK gemäß Anlage 3</v>
      </c>
      <c r="AX1341" s="169" t="str">
        <f t="shared" si="548"/>
        <v/>
      </c>
      <c r="AY1341" t="str">
        <f t="shared" si="549"/>
        <v/>
      </c>
      <c r="AZ1341" t="str">
        <f t="shared" si="550"/>
        <v/>
      </c>
    </row>
    <row r="1342" spans="1:52" s="145" customFormat="1" x14ac:dyDescent="0.35">
      <c r="A1342" s="497" t="s">
        <v>2780</v>
      </c>
      <c r="B1342" s="13" t="s">
        <v>5547</v>
      </c>
      <c r="C1342" s="13" t="s">
        <v>1296</v>
      </c>
      <c r="D1342" s="13" t="s">
        <v>7116</v>
      </c>
      <c r="E1342" s="13" t="s">
        <v>674</v>
      </c>
      <c r="F1342" s="373">
        <f t="shared" si="557"/>
        <v>20.6</v>
      </c>
      <c r="G1342" s="430">
        <v>20.6</v>
      </c>
      <c r="H1342" s="399">
        <f t="shared" si="558"/>
        <v>16.48</v>
      </c>
      <c r="I1342" s="576"/>
      <c r="J1342" s="549" t="s">
        <v>5804</v>
      </c>
      <c r="K1342" s="11"/>
      <c r="L1342"/>
      <c r="M1342" s="37">
        <f t="shared" si="559"/>
        <v>20.6</v>
      </c>
      <c r="N1342" s="29">
        <v>9.6</v>
      </c>
      <c r="O1342" s="149"/>
      <c r="P1342" s="144"/>
      <c r="Q1342" s="145" t="s">
        <v>1017</v>
      </c>
      <c r="S1342" s="145" t="s">
        <v>4179</v>
      </c>
      <c r="T1342" s="145" t="s">
        <v>4179</v>
      </c>
      <c r="U1342" s="146"/>
      <c r="W1342" s="147"/>
      <c r="X1342" s="147"/>
      <c r="Z1342" s="147"/>
      <c r="AA1342" s="145" t="s">
        <v>1017</v>
      </c>
      <c r="AC1342" s="147"/>
      <c r="AE1342" s="148"/>
      <c r="AF1342" s="147"/>
      <c r="AG1342" s="147"/>
      <c r="AH1342" s="166" t="str">
        <f t="shared" si="562"/>
        <v/>
      </c>
      <c r="AI1342" s="168" t="str">
        <f t="shared" si="551"/>
        <v/>
      </c>
      <c r="AJ1342" s="168" t="str">
        <f t="shared" si="552"/>
        <v/>
      </c>
      <c r="AK1342" s="168" t="str">
        <f t="shared" si="553"/>
        <v/>
      </c>
      <c r="AL1342" s="168" t="str">
        <f t="shared" si="554"/>
        <v/>
      </c>
      <c r="AM1342" s="168" t="str">
        <f t="shared" si="555"/>
        <v/>
      </c>
      <c r="AN1342" s="167" t="str">
        <f t="shared" si="538"/>
        <v/>
      </c>
      <c r="AO1342" s="167" t="str">
        <f t="shared" si="539"/>
        <v/>
      </c>
      <c r="AP1342" s="167" t="str">
        <f t="shared" si="540"/>
        <v/>
      </c>
      <c r="AQ1342" s="169" t="str">
        <f t="shared" si="541"/>
        <v/>
      </c>
      <c r="AR1342" s="170" t="str">
        <f t="shared" si="542"/>
        <v>BiK82M2K09--06</v>
      </c>
      <c r="AS1342" s="169" t="str">
        <f t="shared" si="543"/>
        <v/>
      </c>
      <c r="AT1342">
        <f t="shared" si="544"/>
        <v>14</v>
      </c>
      <c r="AU1342" s="170" t="str">
        <f t="shared" si="545"/>
        <v>0,15-0,5 MW, Bonusregeln M2, K erstmals 2009</v>
      </c>
      <c r="AV1342" s="169" t="str">
        <f t="shared" si="546"/>
        <v/>
      </c>
      <c r="AW1342" s="170" t="str">
        <f t="shared" si="547"/>
        <v>Anteil KWK, erstmals 2009</v>
      </c>
      <c r="AX1342" s="169" t="str">
        <f t="shared" si="548"/>
        <v/>
      </c>
      <c r="AY1342" t="str">
        <f t="shared" si="549"/>
        <v/>
      </c>
      <c r="AZ1342" t="str">
        <f t="shared" si="550"/>
        <v/>
      </c>
    </row>
    <row r="1343" spans="1:52" s="145" customFormat="1" x14ac:dyDescent="0.35">
      <c r="A1343" s="497" t="s">
        <v>4914</v>
      </c>
      <c r="B1343" s="13" t="s">
        <v>5547</v>
      </c>
      <c r="C1343" s="13" t="s">
        <v>1296</v>
      </c>
      <c r="D1343" s="13" t="s">
        <v>7117</v>
      </c>
      <c r="E1343" s="13" t="s">
        <v>3566</v>
      </c>
      <c r="F1343" s="373">
        <f t="shared" si="557"/>
        <v>20.57</v>
      </c>
      <c r="G1343" s="430">
        <v>20.57</v>
      </c>
      <c r="H1343" s="399">
        <f t="shared" si="558"/>
        <v>16.46</v>
      </c>
      <c r="I1343" s="576"/>
      <c r="J1343" s="549" t="s">
        <v>5804</v>
      </c>
      <c r="K1343" s="11"/>
      <c r="L1343"/>
      <c r="M1343" s="37">
        <f t="shared" si="559"/>
        <v>20.57</v>
      </c>
      <c r="N1343" s="29">
        <v>9.6</v>
      </c>
      <c r="O1343" s="149"/>
      <c r="P1343" s="144"/>
      <c r="R1343" s="145" t="s">
        <v>1017</v>
      </c>
      <c r="S1343" s="145" t="s">
        <v>4179</v>
      </c>
      <c r="T1343" s="145" t="s">
        <v>4179</v>
      </c>
      <c r="U1343" s="146"/>
      <c r="W1343" s="147"/>
      <c r="X1343" s="147"/>
      <c r="Z1343" s="147"/>
      <c r="AA1343" s="145" t="s">
        <v>1017</v>
      </c>
      <c r="AC1343" s="147"/>
      <c r="AE1343" s="148"/>
      <c r="AF1343" s="147"/>
      <c r="AG1343" s="147"/>
      <c r="AH1343" s="166" t="str">
        <f t="shared" si="562"/>
        <v>2010</v>
      </c>
      <c r="AI1343" s="168" t="str">
        <f t="shared" si="551"/>
        <v/>
      </c>
      <c r="AJ1343" s="168" t="str">
        <f t="shared" si="552"/>
        <v/>
      </c>
      <c r="AK1343" s="168" t="str">
        <f t="shared" si="553"/>
        <v/>
      </c>
      <c r="AL1343" s="168" t="str">
        <f t="shared" si="554"/>
        <v/>
      </c>
      <c r="AM1343" s="168" t="str">
        <f t="shared" si="555"/>
        <v/>
      </c>
      <c r="AN1343" s="167" t="str">
        <f t="shared" si="538"/>
        <v>2010</v>
      </c>
      <c r="AO1343" s="167" t="str">
        <f t="shared" si="539"/>
        <v>2010</v>
      </c>
      <c r="AP1343" s="167" t="str">
        <f t="shared" si="540"/>
        <v>2010</v>
      </c>
      <c r="AQ1343" s="169" t="str">
        <f t="shared" si="541"/>
        <v/>
      </c>
      <c r="AR1343" s="170" t="str">
        <f t="shared" si="542"/>
        <v>BiK82M2K10--06</v>
      </c>
      <c r="AS1343" s="169" t="str">
        <f t="shared" si="543"/>
        <v/>
      </c>
      <c r="AT1343">
        <f t="shared" si="544"/>
        <v>14</v>
      </c>
      <c r="AU1343" s="170" t="str">
        <f t="shared" si="545"/>
        <v>0,15-0,5 MW, Bonusregeln M2, K erstmals 2010</v>
      </c>
      <c r="AV1343" s="169" t="str">
        <f t="shared" si="546"/>
        <v/>
      </c>
      <c r="AW1343" s="170" t="str">
        <f t="shared" si="547"/>
        <v>Anteil KWK, erstmals 2010</v>
      </c>
      <c r="AX1343" s="169" t="str">
        <f t="shared" si="548"/>
        <v/>
      </c>
      <c r="AY1343" t="str">
        <f t="shared" si="549"/>
        <v/>
      </c>
      <c r="AZ1343" t="str">
        <f t="shared" si="550"/>
        <v/>
      </c>
    </row>
    <row r="1344" spans="1:52" s="145" customFormat="1" x14ac:dyDescent="0.35">
      <c r="A1344" s="497" t="s">
        <v>3961</v>
      </c>
      <c r="B1344" s="13" t="s">
        <v>5547</v>
      </c>
      <c r="C1344" s="13" t="s">
        <v>1296</v>
      </c>
      <c r="D1344" s="13" t="s">
        <v>7118</v>
      </c>
      <c r="E1344" s="13" t="s">
        <v>3054</v>
      </c>
      <c r="F1344" s="373">
        <f t="shared" si="557"/>
        <v>20.54</v>
      </c>
      <c r="G1344" s="430">
        <v>20.54</v>
      </c>
      <c r="H1344" s="399">
        <f t="shared" si="558"/>
        <v>16.43</v>
      </c>
      <c r="I1344" s="576"/>
      <c r="J1344" s="549" t="s">
        <v>5804</v>
      </c>
      <c r="K1344" s="11"/>
      <c r="L1344"/>
      <c r="M1344" s="37">
        <f t="shared" si="559"/>
        <v>20.54</v>
      </c>
      <c r="N1344" s="29">
        <v>9.6</v>
      </c>
      <c r="O1344" s="149"/>
      <c r="P1344" s="144"/>
      <c r="S1344" s="145" t="s">
        <v>1017</v>
      </c>
      <c r="T1344" s="145" t="s">
        <v>4179</v>
      </c>
      <c r="U1344" s="146"/>
      <c r="W1344" s="147"/>
      <c r="X1344" s="147"/>
      <c r="Z1344" s="147"/>
      <c r="AA1344" s="145" t="s">
        <v>1017</v>
      </c>
      <c r="AC1344" s="147"/>
      <c r="AE1344" s="148"/>
      <c r="AF1344" s="147"/>
      <c r="AG1344" s="147"/>
      <c r="AH1344" s="166" t="str">
        <f t="shared" si="562"/>
        <v>2011</v>
      </c>
      <c r="AI1344" s="168" t="str">
        <f t="shared" si="551"/>
        <v/>
      </c>
      <c r="AJ1344" s="168" t="str">
        <f t="shared" si="552"/>
        <v/>
      </c>
      <c r="AK1344" s="168" t="str">
        <f t="shared" si="553"/>
        <v/>
      </c>
      <c r="AL1344" s="168" t="str">
        <f t="shared" si="554"/>
        <v/>
      </c>
      <c r="AM1344" s="168" t="str">
        <f t="shared" si="555"/>
        <v/>
      </c>
      <c r="AN1344" s="167" t="str">
        <f t="shared" si="538"/>
        <v>2011</v>
      </c>
      <c r="AO1344" s="167" t="str">
        <f t="shared" si="539"/>
        <v>2011</v>
      </c>
      <c r="AP1344" s="167" t="str">
        <f t="shared" si="540"/>
        <v>2011</v>
      </c>
      <c r="AQ1344" s="169" t="str">
        <f t="shared" si="541"/>
        <v/>
      </c>
      <c r="AR1344" s="170" t="str">
        <f t="shared" si="542"/>
        <v>BiK82M2K11--06</v>
      </c>
      <c r="AS1344" s="169" t="str">
        <f t="shared" si="543"/>
        <v/>
      </c>
      <c r="AT1344">
        <f t="shared" si="544"/>
        <v>14</v>
      </c>
      <c r="AU1344" s="170" t="str">
        <f t="shared" si="545"/>
        <v>0,15-0,5 MW, Bonusregeln M2, K erstmals 2011</v>
      </c>
      <c r="AV1344" s="169" t="str">
        <f t="shared" si="546"/>
        <v/>
      </c>
      <c r="AW1344" s="170" t="str">
        <f t="shared" si="547"/>
        <v>Anteil KWK, erstmals 2011</v>
      </c>
      <c r="AX1344" s="169" t="str">
        <f t="shared" si="548"/>
        <v/>
      </c>
      <c r="AY1344" t="str">
        <f t="shared" si="549"/>
        <v>x</v>
      </c>
      <c r="AZ1344" t="str">
        <f t="shared" si="550"/>
        <v/>
      </c>
    </row>
    <row r="1345" spans="1:52" s="145" customFormat="1" x14ac:dyDescent="0.35">
      <c r="A1345" s="511" t="s">
        <v>1784</v>
      </c>
      <c r="B1345" s="173" t="s">
        <v>5547</v>
      </c>
      <c r="C1345" s="173" t="s">
        <v>1296</v>
      </c>
      <c r="D1345" s="173" t="s">
        <v>7119</v>
      </c>
      <c r="E1345" s="173" t="s">
        <v>1980</v>
      </c>
      <c r="F1345" s="374">
        <f t="shared" si="557"/>
        <v>20.509999999999998</v>
      </c>
      <c r="G1345" s="431">
        <v>20.509999999999998</v>
      </c>
      <c r="H1345" s="400">
        <f t="shared" si="558"/>
        <v>16.41</v>
      </c>
      <c r="I1345" s="577"/>
      <c r="J1345" s="549" t="s">
        <v>5804</v>
      </c>
      <c r="K1345" s="11"/>
      <c r="L1345"/>
      <c r="M1345" s="37">
        <f t="shared" si="559"/>
        <v>20.509999999999998</v>
      </c>
      <c r="N1345" s="29">
        <v>9.6</v>
      </c>
      <c r="O1345" s="149"/>
      <c r="P1345" s="144"/>
      <c r="S1345" s="145" t="s">
        <v>4179</v>
      </c>
      <c r="T1345" s="145" t="s">
        <v>1017</v>
      </c>
      <c r="U1345" s="146"/>
      <c r="W1345" s="147"/>
      <c r="X1345" s="147"/>
      <c r="Z1345" s="147"/>
      <c r="AA1345" s="145" t="s">
        <v>1017</v>
      </c>
      <c r="AC1345" s="147"/>
      <c r="AE1345" s="148"/>
      <c r="AF1345" s="147"/>
      <c r="AG1345" s="147"/>
      <c r="AH1345" s="171" t="s">
        <v>4178</v>
      </c>
      <c r="AI1345" s="168" t="str">
        <f t="shared" si="551"/>
        <v/>
      </c>
      <c r="AJ1345" s="168" t="str">
        <f t="shared" si="552"/>
        <v/>
      </c>
      <c r="AK1345" s="168" t="str">
        <f t="shared" si="553"/>
        <v/>
      </c>
      <c r="AL1345" s="168" t="str">
        <f t="shared" si="554"/>
        <v/>
      </c>
      <c r="AM1345" s="168" t="str">
        <f t="shared" si="555"/>
        <v/>
      </c>
      <c r="AN1345" s="167" t="str">
        <f t="shared" si="538"/>
        <v>2012</v>
      </c>
      <c r="AO1345" s="167" t="str">
        <f t="shared" si="539"/>
        <v>2012</v>
      </c>
      <c r="AP1345" s="167" t="str">
        <f t="shared" si="540"/>
        <v>2012</v>
      </c>
      <c r="AQ1345" s="169" t="str">
        <f t="shared" si="541"/>
        <v/>
      </c>
      <c r="AR1345" s="170" t="str">
        <f t="shared" si="542"/>
        <v>BiK82M2K12--06</v>
      </c>
      <c r="AS1345" s="169" t="str">
        <f t="shared" si="543"/>
        <v/>
      </c>
      <c r="AT1345">
        <f t="shared" si="544"/>
        <v>14</v>
      </c>
      <c r="AU1345" s="170" t="str">
        <f t="shared" si="545"/>
        <v>0,15-0,5 MW, Bonusregeln M2, K erstmals 2012</v>
      </c>
      <c r="AV1345" s="169" t="str">
        <f t="shared" si="546"/>
        <v/>
      </c>
      <c r="AW1345" s="170" t="str">
        <f t="shared" si="547"/>
        <v>Anteil KWK, erstmals 2012</v>
      </c>
      <c r="AX1345" s="169" t="str">
        <f t="shared" si="548"/>
        <v/>
      </c>
      <c r="AY1345" t="str">
        <f t="shared" si="549"/>
        <v/>
      </c>
      <c r="AZ1345" t="str">
        <f t="shared" si="550"/>
        <v>x</v>
      </c>
    </row>
    <row r="1346" spans="1:52" s="145" customFormat="1" x14ac:dyDescent="0.35">
      <c r="A1346" s="497" t="s">
        <v>2781</v>
      </c>
      <c r="B1346" s="13" t="s">
        <v>5547</v>
      </c>
      <c r="C1346" s="13" t="s">
        <v>1296</v>
      </c>
      <c r="D1346" s="13" t="s">
        <v>7047</v>
      </c>
      <c r="E1346" s="13" t="s">
        <v>4809</v>
      </c>
      <c r="F1346" s="373">
        <f t="shared" si="557"/>
        <v>18.600000000000001</v>
      </c>
      <c r="G1346" s="430">
        <v>18.600000000000001</v>
      </c>
      <c r="H1346" s="399">
        <f t="shared" si="558"/>
        <v>14.88</v>
      </c>
      <c r="I1346" s="576"/>
      <c r="J1346" s="549" t="s">
        <v>5804</v>
      </c>
      <c r="K1346" s="11"/>
      <c r="L1346"/>
      <c r="M1346" s="37">
        <f t="shared" si="559"/>
        <v>18.600000000000001</v>
      </c>
      <c r="N1346" s="29">
        <v>9.6</v>
      </c>
      <c r="O1346" s="149"/>
      <c r="P1346" s="144"/>
      <c r="S1346" s="145" t="s">
        <v>4179</v>
      </c>
      <c r="T1346" s="145" t="s">
        <v>4179</v>
      </c>
      <c r="U1346" s="146" t="s">
        <v>1017</v>
      </c>
      <c r="W1346" s="147"/>
      <c r="X1346" s="147"/>
      <c r="Z1346" s="147"/>
      <c r="AA1346" s="145" t="s">
        <v>1017</v>
      </c>
      <c r="AC1346" s="147"/>
      <c r="AE1346" s="148"/>
      <c r="AF1346" s="147"/>
      <c r="AG1346" s="147"/>
      <c r="AH1346" s="166" t="str">
        <f t="shared" ref="AH1346:AH1351" si="563">IF(ISERROR(SEARCH("K erstmals 201",D1346)),"",RIGHT(D1346,4))</f>
        <v/>
      </c>
      <c r="AI1346" s="168" t="str">
        <f t="shared" si="551"/>
        <v/>
      </c>
      <c r="AJ1346" s="168" t="str">
        <f t="shared" si="552"/>
        <v/>
      </c>
      <c r="AK1346" s="168" t="str">
        <f t="shared" si="553"/>
        <v/>
      </c>
      <c r="AL1346" s="168" t="str">
        <f t="shared" si="554"/>
        <v/>
      </c>
      <c r="AM1346" s="168" t="str">
        <f t="shared" si="555"/>
        <v/>
      </c>
      <c r="AN1346" s="167" t="str">
        <f t="shared" si="538"/>
        <v/>
      </c>
      <c r="AO1346" s="167" t="str">
        <f t="shared" si="539"/>
        <v/>
      </c>
      <c r="AP1346" s="167" t="str">
        <f t="shared" si="540"/>
        <v/>
      </c>
      <c r="AQ1346" s="169" t="str">
        <f t="shared" si="541"/>
        <v/>
      </c>
      <c r="AR1346" s="170" t="str">
        <f t="shared" si="542"/>
        <v>BiK82M2y----06</v>
      </c>
      <c r="AS1346" s="169" t="str">
        <f t="shared" si="543"/>
        <v/>
      </c>
      <c r="AT1346">
        <f t="shared" si="544"/>
        <v>14</v>
      </c>
      <c r="AU1346" s="170" t="str">
        <f t="shared" si="545"/>
        <v>0,15-0,5 MW, Bonusregeln M2, y</v>
      </c>
      <c r="AV1346" s="169" t="str">
        <f t="shared" si="546"/>
        <v/>
      </c>
      <c r="AW1346" s="170" t="str">
        <f t="shared" si="547"/>
        <v>Anteil Nicht-KWK</v>
      </c>
      <c r="AX1346" s="169" t="str">
        <f t="shared" si="548"/>
        <v/>
      </c>
      <c r="AY1346" t="str">
        <f t="shared" si="549"/>
        <v/>
      </c>
      <c r="AZ1346" t="str">
        <f t="shared" si="550"/>
        <v/>
      </c>
    </row>
    <row r="1347" spans="1:52" s="145" customFormat="1" x14ac:dyDescent="0.35">
      <c r="A1347" s="497" t="s">
        <v>2782</v>
      </c>
      <c r="B1347" s="13" t="s">
        <v>5547</v>
      </c>
      <c r="C1347" s="13" t="s">
        <v>1296</v>
      </c>
      <c r="D1347" s="13" t="s">
        <v>7120</v>
      </c>
      <c r="E1347" s="13" t="s">
        <v>4811</v>
      </c>
      <c r="F1347" s="373">
        <f t="shared" si="557"/>
        <v>20.6</v>
      </c>
      <c r="G1347" s="430">
        <v>20.6</v>
      </c>
      <c r="H1347" s="399">
        <f t="shared" si="558"/>
        <v>16.48</v>
      </c>
      <c r="I1347" s="576"/>
      <c r="J1347" s="549" t="s">
        <v>5804</v>
      </c>
      <c r="K1347" s="11"/>
      <c r="L1347"/>
      <c r="M1347" s="37">
        <f t="shared" si="559"/>
        <v>20.6</v>
      </c>
      <c r="N1347" s="29">
        <v>9.6</v>
      </c>
      <c r="O1347" s="149" t="s">
        <v>1017</v>
      </c>
      <c r="P1347" s="144"/>
      <c r="S1347" s="145" t="s">
        <v>4179</v>
      </c>
      <c r="T1347" s="145" t="s">
        <v>4179</v>
      </c>
      <c r="U1347" s="146" t="s">
        <v>1017</v>
      </c>
      <c r="W1347" s="147"/>
      <c r="X1347" s="147"/>
      <c r="Z1347" s="147"/>
      <c r="AA1347" s="145" t="s">
        <v>1017</v>
      </c>
      <c r="AC1347" s="147"/>
      <c r="AE1347" s="148"/>
      <c r="AF1347" s="147"/>
      <c r="AG1347" s="147"/>
      <c r="AH1347" s="166" t="str">
        <f t="shared" si="563"/>
        <v/>
      </c>
      <c r="AI1347" s="168" t="str">
        <f t="shared" si="551"/>
        <v/>
      </c>
      <c r="AJ1347" s="168" t="str">
        <f t="shared" si="552"/>
        <v/>
      </c>
      <c r="AK1347" s="168" t="str">
        <f t="shared" si="553"/>
        <v/>
      </c>
      <c r="AL1347" s="168" t="str">
        <f t="shared" si="554"/>
        <v/>
      </c>
      <c r="AM1347" s="168" t="str">
        <f t="shared" si="555"/>
        <v/>
      </c>
      <c r="AN1347" s="167" t="str">
        <f t="shared" si="538"/>
        <v/>
      </c>
      <c r="AO1347" s="167" t="str">
        <f t="shared" si="539"/>
        <v/>
      </c>
      <c r="AP1347" s="167" t="str">
        <f t="shared" si="540"/>
        <v/>
      </c>
      <c r="AQ1347" s="169" t="str">
        <f t="shared" si="541"/>
        <v/>
      </c>
      <c r="AR1347" s="170" t="str">
        <f t="shared" si="542"/>
        <v>BiK82M2KWKy-06</v>
      </c>
      <c r="AS1347" s="169" t="str">
        <f t="shared" si="543"/>
        <v/>
      </c>
      <c r="AT1347">
        <f t="shared" si="544"/>
        <v>14</v>
      </c>
      <c r="AU1347" s="170" t="str">
        <f t="shared" si="545"/>
        <v>0,15-0,5 MW, Bonusregeln M2, y und KWK</v>
      </c>
      <c r="AV1347" s="169" t="str">
        <f t="shared" si="546"/>
        <v/>
      </c>
      <c r="AW1347" s="170" t="str">
        <f t="shared" si="547"/>
        <v>Anteil KWK</v>
      </c>
      <c r="AX1347" s="169" t="str">
        <f t="shared" si="548"/>
        <v/>
      </c>
      <c r="AY1347" t="str">
        <f t="shared" si="549"/>
        <v/>
      </c>
      <c r="AZ1347" t="str">
        <f t="shared" si="550"/>
        <v/>
      </c>
    </row>
    <row r="1348" spans="1:52" s="145" customFormat="1" x14ac:dyDescent="0.35">
      <c r="A1348" s="497" t="s">
        <v>2783</v>
      </c>
      <c r="B1348" s="13" t="s">
        <v>5547</v>
      </c>
      <c r="C1348" s="13" t="s">
        <v>1296</v>
      </c>
      <c r="D1348" s="88" t="s">
        <v>7048</v>
      </c>
      <c r="E1348" s="13" t="s">
        <v>4330</v>
      </c>
      <c r="F1348" s="373">
        <f t="shared" si="557"/>
        <v>21.6</v>
      </c>
      <c r="G1348" s="430">
        <v>21.6</v>
      </c>
      <c r="H1348" s="399">
        <f t="shared" si="558"/>
        <v>17.28</v>
      </c>
      <c r="I1348" s="576"/>
      <c r="J1348" s="549" t="s">
        <v>5804</v>
      </c>
      <c r="K1348" s="11"/>
      <c r="L1348"/>
      <c r="M1348" s="37">
        <f t="shared" si="559"/>
        <v>21.6</v>
      </c>
      <c r="N1348" s="29">
        <v>9.6</v>
      </c>
      <c r="O1348" s="149"/>
      <c r="P1348" s="145" t="s">
        <v>1017</v>
      </c>
      <c r="S1348" s="145" t="s">
        <v>4179</v>
      </c>
      <c r="T1348" s="145" t="s">
        <v>4179</v>
      </c>
      <c r="U1348" s="146" t="s">
        <v>1017</v>
      </c>
      <c r="W1348" s="147"/>
      <c r="X1348" s="147"/>
      <c r="Z1348" s="147"/>
      <c r="AA1348" s="145" t="s">
        <v>1017</v>
      </c>
      <c r="AC1348" s="147"/>
      <c r="AE1348" s="148"/>
      <c r="AF1348" s="147"/>
      <c r="AG1348" s="147"/>
      <c r="AH1348" s="166" t="str">
        <f t="shared" si="563"/>
        <v/>
      </c>
      <c r="AI1348" s="168" t="str">
        <f t="shared" si="551"/>
        <v/>
      </c>
      <c r="AJ1348" s="168" t="str">
        <f t="shared" si="552"/>
        <v/>
      </c>
      <c r="AK1348" s="168" t="str">
        <f t="shared" si="553"/>
        <v/>
      </c>
      <c r="AL1348" s="168" t="str">
        <f t="shared" si="554"/>
        <v/>
      </c>
      <c r="AM1348" s="168" t="str">
        <f t="shared" si="555"/>
        <v/>
      </c>
      <c r="AN1348" s="167" t="str">
        <f t="shared" si="538"/>
        <v/>
      </c>
      <c r="AO1348" s="167" t="str">
        <f t="shared" si="539"/>
        <v/>
      </c>
      <c r="AP1348" s="167" t="str">
        <f t="shared" si="540"/>
        <v/>
      </c>
      <c r="AQ1348" s="169" t="str">
        <f t="shared" si="541"/>
        <v/>
      </c>
      <c r="AR1348" s="170" t="str">
        <f t="shared" si="542"/>
        <v>BiK82M2KA3y-06</v>
      </c>
      <c r="AS1348" s="169" t="str">
        <f t="shared" si="543"/>
        <v/>
      </c>
      <c r="AT1348">
        <f t="shared" si="544"/>
        <v>14</v>
      </c>
      <c r="AU1348" s="170" t="str">
        <f t="shared" si="545"/>
        <v>0,15-0,5 MW, Bonusregeln M2, y und K wenn Anlage 3 erfüllt</v>
      </c>
      <c r="AV1348" s="169" t="str">
        <f t="shared" si="546"/>
        <v/>
      </c>
      <c r="AW1348" s="170" t="str">
        <f t="shared" si="547"/>
        <v>Anteil KWK gemäß Anlage 3</v>
      </c>
      <c r="AX1348" s="169" t="str">
        <f t="shared" si="548"/>
        <v/>
      </c>
      <c r="AY1348" t="str">
        <f t="shared" si="549"/>
        <v/>
      </c>
      <c r="AZ1348" t="str">
        <f t="shared" si="550"/>
        <v/>
      </c>
    </row>
    <row r="1349" spans="1:52" s="145" customFormat="1" x14ac:dyDescent="0.35">
      <c r="A1349" s="497" t="s">
        <v>2784</v>
      </c>
      <c r="B1349" s="13" t="s">
        <v>5547</v>
      </c>
      <c r="C1349" s="13" t="s">
        <v>1296</v>
      </c>
      <c r="D1349" s="13" t="s">
        <v>7049</v>
      </c>
      <c r="E1349" s="13" t="s">
        <v>674</v>
      </c>
      <c r="F1349" s="373">
        <f t="shared" si="557"/>
        <v>21.6</v>
      </c>
      <c r="G1349" s="430">
        <v>21.6</v>
      </c>
      <c r="H1349" s="399">
        <f t="shared" si="558"/>
        <v>17.28</v>
      </c>
      <c r="I1349" s="576"/>
      <c r="J1349" s="549" t="s">
        <v>5804</v>
      </c>
      <c r="K1349" s="11"/>
      <c r="L1349"/>
      <c r="M1349" s="37">
        <f t="shared" si="559"/>
        <v>21.6</v>
      </c>
      <c r="N1349" s="29">
        <v>9.6</v>
      </c>
      <c r="O1349" s="149"/>
      <c r="P1349" s="144"/>
      <c r="Q1349" s="145" t="s">
        <v>1017</v>
      </c>
      <c r="S1349" s="145" t="s">
        <v>4179</v>
      </c>
      <c r="T1349" s="145" t="s">
        <v>4179</v>
      </c>
      <c r="U1349" s="146" t="s">
        <v>1017</v>
      </c>
      <c r="W1349" s="147"/>
      <c r="X1349" s="147"/>
      <c r="Z1349" s="147"/>
      <c r="AA1349" s="145" t="s">
        <v>1017</v>
      </c>
      <c r="AC1349" s="147"/>
      <c r="AE1349" s="148"/>
      <c r="AF1349" s="147"/>
      <c r="AG1349" s="147"/>
      <c r="AH1349" s="166" t="str">
        <f t="shared" si="563"/>
        <v/>
      </c>
      <c r="AI1349" s="168" t="str">
        <f t="shared" si="551"/>
        <v/>
      </c>
      <c r="AJ1349" s="168" t="str">
        <f t="shared" si="552"/>
        <v/>
      </c>
      <c r="AK1349" s="168" t="str">
        <f t="shared" si="553"/>
        <v/>
      </c>
      <c r="AL1349" s="168" t="str">
        <f t="shared" si="554"/>
        <v/>
      </c>
      <c r="AM1349" s="168" t="str">
        <f t="shared" si="555"/>
        <v/>
      </c>
      <c r="AN1349" s="167" t="str">
        <f t="shared" si="538"/>
        <v/>
      </c>
      <c r="AO1349" s="167" t="str">
        <f t="shared" si="539"/>
        <v/>
      </c>
      <c r="AP1349" s="167" t="str">
        <f t="shared" si="540"/>
        <v/>
      </c>
      <c r="AQ1349" s="169" t="str">
        <f t="shared" si="541"/>
        <v/>
      </c>
      <c r="AR1349" s="170" t="str">
        <f t="shared" si="542"/>
        <v>BiK82M2K09y-06</v>
      </c>
      <c r="AS1349" s="169" t="str">
        <f t="shared" si="543"/>
        <v/>
      </c>
      <c r="AT1349">
        <f t="shared" si="544"/>
        <v>14</v>
      </c>
      <c r="AU1349" s="170" t="str">
        <f t="shared" si="545"/>
        <v>0,15-0,5 MW, Bonusregeln M2, y und K erstmals 2009</v>
      </c>
      <c r="AV1349" s="169" t="str">
        <f t="shared" si="546"/>
        <v/>
      </c>
      <c r="AW1349" s="170" t="str">
        <f t="shared" si="547"/>
        <v>Anteil KWK, erstmals 2009</v>
      </c>
      <c r="AX1349" s="169" t="str">
        <f t="shared" si="548"/>
        <v/>
      </c>
      <c r="AY1349" t="str">
        <f t="shared" si="549"/>
        <v/>
      </c>
      <c r="AZ1349" t="str">
        <f t="shared" si="550"/>
        <v/>
      </c>
    </row>
    <row r="1350" spans="1:52" s="145" customFormat="1" x14ac:dyDescent="0.35">
      <c r="A1350" s="497" t="s">
        <v>4915</v>
      </c>
      <c r="B1350" s="13" t="s">
        <v>5547</v>
      </c>
      <c r="C1350" s="13" t="s">
        <v>1296</v>
      </c>
      <c r="D1350" s="13" t="s">
        <v>7050</v>
      </c>
      <c r="E1350" s="13" t="s">
        <v>3566</v>
      </c>
      <c r="F1350" s="373">
        <f t="shared" si="557"/>
        <v>21.57</v>
      </c>
      <c r="G1350" s="430">
        <v>21.57</v>
      </c>
      <c r="H1350" s="399">
        <f t="shared" si="558"/>
        <v>17.260000000000002</v>
      </c>
      <c r="I1350" s="576"/>
      <c r="J1350" s="549" t="s">
        <v>5804</v>
      </c>
      <c r="K1350" s="11"/>
      <c r="L1350"/>
      <c r="M1350" s="37">
        <f t="shared" si="559"/>
        <v>21.57</v>
      </c>
      <c r="N1350" s="29">
        <v>9.6</v>
      </c>
      <c r="O1350" s="149"/>
      <c r="P1350" s="144"/>
      <c r="R1350" s="145" t="s">
        <v>1017</v>
      </c>
      <c r="S1350" s="145" t="s">
        <v>4179</v>
      </c>
      <c r="T1350" s="145" t="s">
        <v>4179</v>
      </c>
      <c r="U1350" s="146" t="s">
        <v>1017</v>
      </c>
      <c r="W1350" s="147"/>
      <c r="X1350" s="147"/>
      <c r="Z1350" s="147"/>
      <c r="AA1350" s="145" t="s">
        <v>1017</v>
      </c>
      <c r="AC1350" s="147"/>
      <c r="AE1350" s="148"/>
      <c r="AF1350" s="147"/>
      <c r="AG1350" s="147"/>
      <c r="AH1350" s="166" t="str">
        <f t="shared" si="563"/>
        <v>2010</v>
      </c>
      <c r="AI1350" s="168" t="str">
        <f t="shared" si="551"/>
        <v/>
      </c>
      <c r="AJ1350" s="168" t="str">
        <f t="shared" si="552"/>
        <v/>
      </c>
      <c r="AK1350" s="168" t="str">
        <f t="shared" si="553"/>
        <v/>
      </c>
      <c r="AL1350" s="168" t="str">
        <f t="shared" si="554"/>
        <v/>
      </c>
      <c r="AM1350" s="168" t="str">
        <f t="shared" si="555"/>
        <v/>
      </c>
      <c r="AN1350" s="167" t="str">
        <f t="shared" si="538"/>
        <v>2010</v>
      </c>
      <c r="AO1350" s="167" t="str">
        <f t="shared" si="539"/>
        <v>2010</v>
      </c>
      <c r="AP1350" s="167" t="str">
        <f t="shared" si="540"/>
        <v>2010</v>
      </c>
      <c r="AQ1350" s="169" t="str">
        <f t="shared" si="541"/>
        <v/>
      </c>
      <c r="AR1350" s="170" t="str">
        <f t="shared" si="542"/>
        <v>BiK82M2K10y-06</v>
      </c>
      <c r="AS1350" s="169" t="str">
        <f t="shared" si="543"/>
        <v/>
      </c>
      <c r="AT1350">
        <f t="shared" si="544"/>
        <v>14</v>
      </c>
      <c r="AU1350" s="170" t="str">
        <f t="shared" si="545"/>
        <v>0,15-0,5 MW, Bonusregeln M2, y und K erstmals 2010</v>
      </c>
      <c r="AV1350" s="169" t="str">
        <f t="shared" si="546"/>
        <v/>
      </c>
      <c r="AW1350" s="170" t="str">
        <f t="shared" si="547"/>
        <v>Anteil KWK, erstmals 2010</v>
      </c>
      <c r="AX1350" s="169" t="str">
        <f t="shared" si="548"/>
        <v/>
      </c>
      <c r="AY1350" t="str">
        <f t="shared" si="549"/>
        <v/>
      </c>
      <c r="AZ1350" t="str">
        <f t="shared" si="550"/>
        <v/>
      </c>
    </row>
    <row r="1351" spans="1:52" s="145" customFormat="1" x14ac:dyDescent="0.35">
      <c r="A1351" s="497" t="s">
        <v>3962</v>
      </c>
      <c r="B1351" s="13" t="s">
        <v>5547</v>
      </c>
      <c r="C1351" s="13" t="s">
        <v>1296</v>
      </c>
      <c r="D1351" s="13" t="s">
        <v>7051</v>
      </c>
      <c r="E1351" s="13" t="s">
        <v>3054</v>
      </c>
      <c r="F1351" s="373">
        <f t="shared" si="557"/>
        <v>21.54</v>
      </c>
      <c r="G1351" s="430">
        <v>21.54</v>
      </c>
      <c r="H1351" s="399">
        <f t="shared" si="558"/>
        <v>17.23</v>
      </c>
      <c r="I1351" s="576"/>
      <c r="J1351" s="549" t="s">
        <v>5804</v>
      </c>
      <c r="K1351" s="11"/>
      <c r="L1351"/>
      <c r="M1351" s="37">
        <f t="shared" si="559"/>
        <v>21.54</v>
      </c>
      <c r="N1351" s="29">
        <v>9.6</v>
      </c>
      <c r="O1351" s="149"/>
      <c r="P1351" s="144"/>
      <c r="S1351" s="145" t="s">
        <v>1017</v>
      </c>
      <c r="T1351" s="145" t="s">
        <v>4179</v>
      </c>
      <c r="U1351" s="146" t="s">
        <v>1017</v>
      </c>
      <c r="W1351" s="147"/>
      <c r="X1351" s="147"/>
      <c r="Z1351" s="147"/>
      <c r="AA1351" s="145" t="s">
        <v>1017</v>
      </c>
      <c r="AC1351" s="147"/>
      <c r="AE1351" s="148"/>
      <c r="AF1351" s="147"/>
      <c r="AG1351" s="147"/>
      <c r="AH1351" s="166" t="str">
        <f t="shared" si="563"/>
        <v>2011</v>
      </c>
      <c r="AI1351" s="168" t="str">
        <f t="shared" si="551"/>
        <v/>
      </c>
      <c r="AJ1351" s="168" t="str">
        <f t="shared" si="552"/>
        <v/>
      </c>
      <c r="AK1351" s="168" t="str">
        <f t="shared" si="553"/>
        <v/>
      </c>
      <c r="AL1351" s="168" t="str">
        <f t="shared" si="554"/>
        <v/>
      </c>
      <c r="AM1351" s="168" t="str">
        <f t="shared" si="555"/>
        <v/>
      </c>
      <c r="AN1351" s="167" t="str">
        <f t="shared" si="538"/>
        <v>2011</v>
      </c>
      <c r="AO1351" s="167" t="str">
        <f t="shared" si="539"/>
        <v>2011</v>
      </c>
      <c r="AP1351" s="167" t="str">
        <f t="shared" si="540"/>
        <v>2011</v>
      </c>
      <c r="AQ1351" s="169" t="str">
        <f t="shared" si="541"/>
        <v/>
      </c>
      <c r="AR1351" s="170" t="str">
        <f t="shared" si="542"/>
        <v>BiK82M2K11y-06</v>
      </c>
      <c r="AS1351" s="169" t="str">
        <f t="shared" si="543"/>
        <v/>
      </c>
      <c r="AT1351">
        <f t="shared" si="544"/>
        <v>14</v>
      </c>
      <c r="AU1351" s="170" t="str">
        <f t="shared" si="545"/>
        <v>0,15-0,5 MW, Bonusregeln M2, y und K erstmals 2011</v>
      </c>
      <c r="AV1351" s="169" t="str">
        <f t="shared" si="546"/>
        <v/>
      </c>
      <c r="AW1351" s="170" t="str">
        <f t="shared" si="547"/>
        <v>Anteil KWK, erstmals 2011</v>
      </c>
      <c r="AX1351" s="169" t="str">
        <f t="shared" si="548"/>
        <v/>
      </c>
      <c r="AY1351" t="str">
        <f t="shared" si="549"/>
        <v>x</v>
      </c>
      <c r="AZ1351" t="str">
        <f t="shared" si="550"/>
        <v/>
      </c>
    </row>
    <row r="1352" spans="1:52" s="145" customFormat="1" x14ac:dyDescent="0.35">
      <c r="A1352" s="511" t="s">
        <v>1785</v>
      </c>
      <c r="B1352" s="173" t="s">
        <v>5547</v>
      </c>
      <c r="C1352" s="173" t="s">
        <v>1296</v>
      </c>
      <c r="D1352" s="173" t="s">
        <v>7052</v>
      </c>
      <c r="E1352" s="173" t="s">
        <v>1980</v>
      </c>
      <c r="F1352" s="374">
        <f t="shared" si="557"/>
        <v>21.509999999999998</v>
      </c>
      <c r="G1352" s="431">
        <v>21.509999999999998</v>
      </c>
      <c r="H1352" s="400">
        <f t="shared" si="558"/>
        <v>17.21</v>
      </c>
      <c r="I1352" s="577"/>
      <c r="J1352" s="549" t="s">
        <v>5804</v>
      </c>
      <c r="K1352" s="11"/>
      <c r="L1352"/>
      <c r="M1352" s="37">
        <f t="shared" si="559"/>
        <v>21.509999999999998</v>
      </c>
      <c r="N1352" s="29">
        <v>9.6</v>
      </c>
      <c r="O1352" s="149"/>
      <c r="P1352" s="144"/>
      <c r="S1352" s="145" t="s">
        <v>4179</v>
      </c>
      <c r="T1352" s="145" t="s">
        <v>1017</v>
      </c>
      <c r="U1352" s="146" t="s">
        <v>1017</v>
      </c>
      <c r="W1352" s="147"/>
      <c r="X1352" s="147"/>
      <c r="Z1352" s="147"/>
      <c r="AA1352" s="145" t="s">
        <v>1017</v>
      </c>
      <c r="AC1352" s="147"/>
      <c r="AE1352" s="148"/>
      <c r="AF1352" s="147"/>
      <c r="AG1352" s="147"/>
      <c r="AH1352" s="171" t="s">
        <v>4178</v>
      </c>
      <c r="AI1352" s="168" t="str">
        <f t="shared" si="551"/>
        <v/>
      </c>
      <c r="AJ1352" s="168" t="str">
        <f t="shared" si="552"/>
        <v/>
      </c>
      <c r="AK1352" s="168" t="str">
        <f t="shared" si="553"/>
        <v/>
      </c>
      <c r="AL1352" s="168" t="str">
        <f t="shared" si="554"/>
        <v/>
      </c>
      <c r="AM1352" s="168" t="str">
        <f t="shared" si="555"/>
        <v/>
      </c>
      <c r="AN1352" s="167" t="str">
        <f t="shared" si="538"/>
        <v>2012</v>
      </c>
      <c r="AO1352" s="167" t="str">
        <f t="shared" si="539"/>
        <v>2012</v>
      </c>
      <c r="AP1352" s="167" t="str">
        <f t="shared" si="540"/>
        <v>2012</v>
      </c>
      <c r="AQ1352" s="169" t="str">
        <f t="shared" si="541"/>
        <v/>
      </c>
      <c r="AR1352" s="170" t="str">
        <f t="shared" si="542"/>
        <v>BiK82M2K12y-06</v>
      </c>
      <c r="AS1352" s="169" t="str">
        <f t="shared" si="543"/>
        <v/>
      </c>
      <c r="AT1352">
        <f t="shared" si="544"/>
        <v>14</v>
      </c>
      <c r="AU1352" s="170" t="str">
        <f t="shared" si="545"/>
        <v>0,15-0,5 MW, Bonusregeln M2, y und K erstmals 2012</v>
      </c>
      <c r="AV1352" s="169" t="str">
        <f t="shared" si="546"/>
        <v/>
      </c>
      <c r="AW1352" s="170" t="str">
        <f t="shared" si="547"/>
        <v>Anteil KWK, erstmals 2012</v>
      </c>
      <c r="AX1352" s="169" t="str">
        <f t="shared" si="548"/>
        <v/>
      </c>
      <c r="AY1352" t="str">
        <f t="shared" si="549"/>
        <v/>
      </c>
      <c r="AZ1352" t="str">
        <f t="shared" si="550"/>
        <v>x</v>
      </c>
    </row>
    <row r="1353" spans="1:52" s="145" customFormat="1" x14ac:dyDescent="0.35">
      <c r="A1353" s="497" t="s">
        <v>2785</v>
      </c>
      <c r="B1353" s="13" t="s">
        <v>5547</v>
      </c>
      <c r="C1353" s="13" t="s">
        <v>1296</v>
      </c>
      <c r="D1353" s="13" t="s">
        <v>7053</v>
      </c>
      <c r="E1353" s="13" t="s">
        <v>4809</v>
      </c>
      <c r="F1353" s="373">
        <f t="shared" si="557"/>
        <v>18.600000000000001</v>
      </c>
      <c r="G1353" s="430">
        <v>18.600000000000001</v>
      </c>
      <c r="H1353" s="399">
        <f t="shared" si="558"/>
        <v>14.88</v>
      </c>
      <c r="I1353" s="576"/>
      <c r="J1353" s="549" t="s">
        <v>5804</v>
      </c>
      <c r="K1353" s="11"/>
      <c r="L1353"/>
      <c r="M1353" s="37">
        <f t="shared" si="559"/>
        <v>18.600000000000001</v>
      </c>
      <c r="N1353" s="29">
        <v>9.6</v>
      </c>
      <c r="O1353" s="149"/>
      <c r="P1353" s="144"/>
      <c r="S1353" s="145" t="s">
        <v>4179</v>
      </c>
      <c r="T1353" s="145" t="s">
        <v>4179</v>
      </c>
      <c r="U1353" s="146"/>
      <c r="W1353" s="147"/>
      <c r="X1353" s="147"/>
      <c r="Z1353" s="147"/>
      <c r="AB1353" s="145" t="s">
        <v>1017</v>
      </c>
      <c r="AC1353" s="147"/>
      <c r="AE1353" s="148"/>
      <c r="AF1353" s="147"/>
      <c r="AG1353" s="147"/>
      <c r="AH1353" s="166" t="str">
        <f t="shared" ref="AH1353:AH1358" si="564">IF(ISERROR(SEARCH("K erstmals 201",D1353)),"",RIGHT(D1353,4))</f>
        <v/>
      </c>
      <c r="AI1353" s="168" t="str">
        <f t="shared" si="551"/>
        <v/>
      </c>
      <c r="AJ1353" s="168" t="str">
        <f t="shared" si="552"/>
        <v/>
      </c>
      <c r="AK1353" s="168" t="str">
        <f t="shared" si="553"/>
        <v/>
      </c>
      <c r="AL1353" s="168" t="str">
        <f t="shared" si="554"/>
        <v/>
      </c>
      <c r="AM1353" s="168" t="str">
        <f t="shared" si="555"/>
        <v/>
      </c>
      <c r="AN1353" s="167" t="str">
        <f t="shared" si="538"/>
        <v/>
      </c>
      <c r="AO1353" s="167" t="str">
        <f t="shared" si="539"/>
        <v/>
      </c>
      <c r="AP1353" s="167" t="str">
        <f t="shared" si="540"/>
        <v/>
      </c>
      <c r="AQ1353" s="169" t="str">
        <f t="shared" si="541"/>
        <v/>
      </c>
      <c r="AR1353" s="170" t="str">
        <f t="shared" si="542"/>
        <v>BiK82L------06</v>
      </c>
      <c r="AS1353" s="169" t="str">
        <f t="shared" si="543"/>
        <v/>
      </c>
      <c r="AT1353">
        <f t="shared" si="544"/>
        <v>14</v>
      </c>
      <c r="AU1353" s="170" t="str">
        <f t="shared" si="545"/>
        <v>0,15-0,5 MW, Bonusregel L</v>
      </c>
      <c r="AV1353" s="169" t="str">
        <f t="shared" si="546"/>
        <v/>
      </c>
      <c r="AW1353" s="170" t="str">
        <f t="shared" si="547"/>
        <v>Anteil Nicht-KWK</v>
      </c>
      <c r="AX1353" s="169" t="str">
        <f t="shared" si="548"/>
        <v/>
      </c>
      <c r="AY1353" t="str">
        <f t="shared" si="549"/>
        <v/>
      </c>
      <c r="AZ1353" t="str">
        <f t="shared" si="550"/>
        <v/>
      </c>
    </row>
    <row r="1354" spans="1:52" s="145" customFormat="1" x14ac:dyDescent="0.35">
      <c r="A1354" s="497" t="s">
        <v>2786</v>
      </c>
      <c r="B1354" s="13" t="s">
        <v>5547</v>
      </c>
      <c r="C1354" s="13" t="s">
        <v>1296</v>
      </c>
      <c r="D1354" s="13" t="s">
        <v>7121</v>
      </c>
      <c r="E1354" s="13" t="s">
        <v>4811</v>
      </c>
      <c r="F1354" s="373">
        <f t="shared" si="557"/>
        <v>20.6</v>
      </c>
      <c r="G1354" s="430">
        <v>20.6</v>
      </c>
      <c r="H1354" s="399">
        <f t="shared" si="558"/>
        <v>16.48</v>
      </c>
      <c r="I1354" s="576"/>
      <c r="J1354" s="549" t="s">
        <v>5804</v>
      </c>
      <c r="K1354" s="11"/>
      <c r="L1354"/>
      <c r="M1354" s="37">
        <f t="shared" si="559"/>
        <v>20.6</v>
      </c>
      <c r="N1354" s="29">
        <v>9.6</v>
      </c>
      <c r="O1354" s="149" t="s">
        <v>1017</v>
      </c>
      <c r="P1354" s="144"/>
      <c r="S1354" s="145" t="s">
        <v>4179</v>
      </c>
      <c r="T1354" s="145" t="s">
        <v>4179</v>
      </c>
      <c r="U1354" s="146"/>
      <c r="W1354" s="147"/>
      <c r="X1354" s="147"/>
      <c r="Z1354" s="147"/>
      <c r="AB1354" s="145" t="s">
        <v>1017</v>
      </c>
      <c r="AC1354" s="147"/>
      <c r="AE1354" s="148"/>
      <c r="AF1354" s="147"/>
      <c r="AG1354" s="147"/>
      <c r="AH1354" s="166" t="str">
        <f t="shared" si="564"/>
        <v/>
      </c>
      <c r="AI1354" s="168" t="str">
        <f t="shared" si="551"/>
        <v/>
      </c>
      <c r="AJ1354" s="168" t="str">
        <f t="shared" si="552"/>
        <v/>
      </c>
      <c r="AK1354" s="168" t="str">
        <f t="shared" si="553"/>
        <v/>
      </c>
      <c r="AL1354" s="168" t="str">
        <f t="shared" si="554"/>
        <v/>
      </c>
      <c r="AM1354" s="168" t="str">
        <f t="shared" si="555"/>
        <v/>
      </c>
      <c r="AN1354" s="167" t="str">
        <f t="shared" si="538"/>
        <v/>
      </c>
      <c r="AO1354" s="167" t="str">
        <f t="shared" si="539"/>
        <v/>
      </c>
      <c r="AP1354" s="167" t="str">
        <f t="shared" si="540"/>
        <v/>
      </c>
      <c r="AQ1354" s="169" t="str">
        <f t="shared" si="541"/>
        <v/>
      </c>
      <c r="AR1354" s="170" t="str">
        <f t="shared" si="542"/>
        <v>BiK82LKWK---06</v>
      </c>
      <c r="AS1354" s="169" t="str">
        <f t="shared" si="543"/>
        <v/>
      </c>
      <c r="AT1354">
        <f t="shared" si="544"/>
        <v>14</v>
      </c>
      <c r="AU1354" s="170" t="str">
        <f t="shared" si="545"/>
        <v>0,15-0,5 MW, Bonusregeln L und KWK</v>
      </c>
      <c r="AV1354" s="169" t="str">
        <f t="shared" si="546"/>
        <v/>
      </c>
      <c r="AW1354" s="170" t="str">
        <f t="shared" si="547"/>
        <v>Anteil KWK</v>
      </c>
      <c r="AX1354" s="169" t="str">
        <f t="shared" si="548"/>
        <v/>
      </c>
      <c r="AY1354" t="str">
        <f t="shared" si="549"/>
        <v/>
      </c>
      <c r="AZ1354" t="str">
        <f t="shared" si="550"/>
        <v/>
      </c>
    </row>
    <row r="1355" spans="1:52" s="145" customFormat="1" x14ac:dyDescent="0.35">
      <c r="A1355" s="497" t="s">
        <v>2787</v>
      </c>
      <c r="B1355" s="13" t="s">
        <v>5547</v>
      </c>
      <c r="C1355" s="13" t="s">
        <v>1296</v>
      </c>
      <c r="D1355" s="13" t="s">
        <v>7054</v>
      </c>
      <c r="E1355" s="13" t="s">
        <v>4330</v>
      </c>
      <c r="F1355" s="373">
        <f t="shared" si="557"/>
        <v>21.6</v>
      </c>
      <c r="G1355" s="430">
        <v>21.6</v>
      </c>
      <c r="H1355" s="399">
        <f t="shared" si="558"/>
        <v>17.28</v>
      </c>
      <c r="I1355" s="576"/>
      <c r="J1355" s="549" t="s">
        <v>5804</v>
      </c>
      <c r="K1355" s="11"/>
      <c r="L1355"/>
      <c r="M1355" s="37">
        <f t="shared" si="559"/>
        <v>21.6</v>
      </c>
      <c r="N1355" s="29">
        <v>9.6</v>
      </c>
      <c r="O1355" s="149"/>
      <c r="P1355" s="145" t="s">
        <v>1017</v>
      </c>
      <c r="S1355" s="145" t="s">
        <v>4179</v>
      </c>
      <c r="T1355" s="145" t="s">
        <v>4179</v>
      </c>
      <c r="U1355" s="146"/>
      <c r="W1355" s="147"/>
      <c r="X1355" s="147"/>
      <c r="Z1355" s="147"/>
      <c r="AB1355" s="145" t="s">
        <v>1017</v>
      </c>
      <c r="AC1355" s="147"/>
      <c r="AE1355" s="148"/>
      <c r="AF1355" s="147"/>
      <c r="AG1355" s="147"/>
      <c r="AH1355" s="166" t="str">
        <f t="shared" si="564"/>
        <v/>
      </c>
      <c r="AI1355" s="168" t="str">
        <f t="shared" si="551"/>
        <v/>
      </c>
      <c r="AJ1355" s="168" t="str">
        <f t="shared" si="552"/>
        <v/>
      </c>
      <c r="AK1355" s="168" t="str">
        <f t="shared" si="553"/>
        <v/>
      </c>
      <c r="AL1355" s="168" t="str">
        <f t="shared" si="554"/>
        <v/>
      </c>
      <c r="AM1355" s="168" t="str">
        <f t="shared" si="555"/>
        <v/>
      </c>
      <c r="AN1355" s="167" t="str">
        <f t="shared" si="538"/>
        <v/>
      </c>
      <c r="AO1355" s="167" t="str">
        <f t="shared" si="539"/>
        <v/>
      </c>
      <c r="AP1355" s="167" t="str">
        <f t="shared" si="540"/>
        <v/>
      </c>
      <c r="AQ1355" s="169" t="str">
        <f t="shared" si="541"/>
        <v/>
      </c>
      <c r="AR1355" s="170" t="str">
        <f t="shared" si="542"/>
        <v>BiK82LKA3---06</v>
      </c>
      <c r="AS1355" s="169" t="str">
        <f t="shared" si="543"/>
        <v/>
      </c>
      <c r="AT1355">
        <f t="shared" si="544"/>
        <v>14</v>
      </c>
      <c r="AU1355" s="170" t="str">
        <f t="shared" si="545"/>
        <v>0,15-0,5 MW, Bonusregeln L und K wenn Anlage 3 erfüllt</v>
      </c>
      <c r="AV1355" s="169" t="str">
        <f t="shared" si="546"/>
        <v/>
      </c>
      <c r="AW1355" s="170" t="str">
        <f t="shared" si="547"/>
        <v>Anteil KWK gemäß Anlage 3</v>
      </c>
      <c r="AX1355" s="169" t="str">
        <f t="shared" si="548"/>
        <v/>
      </c>
      <c r="AY1355" t="str">
        <f t="shared" si="549"/>
        <v/>
      </c>
      <c r="AZ1355" t="str">
        <f t="shared" si="550"/>
        <v/>
      </c>
    </row>
    <row r="1356" spans="1:52" s="145" customFormat="1" x14ac:dyDescent="0.35">
      <c r="A1356" s="497" t="s">
        <v>2788</v>
      </c>
      <c r="B1356" s="13" t="s">
        <v>5547</v>
      </c>
      <c r="C1356" s="13" t="s">
        <v>1296</v>
      </c>
      <c r="D1356" s="13" t="s">
        <v>7055</v>
      </c>
      <c r="E1356" s="13" t="s">
        <v>674</v>
      </c>
      <c r="F1356" s="373">
        <f t="shared" si="557"/>
        <v>21.6</v>
      </c>
      <c r="G1356" s="430">
        <v>21.6</v>
      </c>
      <c r="H1356" s="399">
        <f t="shared" si="558"/>
        <v>17.28</v>
      </c>
      <c r="I1356" s="576"/>
      <c r="J1356" s="549" t="s">
        <v>5804</v>
      </c>
      <c r="K1356" s="11"/>
      <c r="L1356"/>
      <c r="M1356" s="37">
        <f t="shared" si="559"/>
        <v>21.6</v>
      </c>
      <c r="N1356" s="29">
        <v>9.6</v>
      </c>
      <c r="O1356" s="149"/>
      <c r="P1356" s="144"/>
      <c r="Q1356" s="145" t="s">
        <v>1017</v>
      </c>
      <c r="S1356" s="145" t="s">
        <v>4179</v>
      </c>
      <c r="T1356" s="145" t="s">
        <v>4179</v>
      </c>
      <c r="U1356" s="146"/>
      <c r="W1356" s="147"/>
      <c r="X1356" s="147"/>
      <c r="Z1356" s="147"/>
      <c r="AB1356" s="145" t="s">
        <v>1017</v>
      </c>
      <c r="AC1356" s="147"/>
      <c r="AE1356" s="148"/>
      <c r="AF1356" s="147"/>
      <c r="AG1356" s="147"/>
      <c r="AH1356" s="166" t="str">
        <f t="shared" si="564"/>
        <v/>
      </c>
      <c r="AI1356" s="168" t="str">
        <f t="shared" si="551"/>
        <v/>
      </c>
      <c r="AJ1356" s="168" t="str">
        <f t="shared" si="552"/>
        <v/>
      </c>
      <c r="AK1356" s="168" t="str">
        <f t="shared" si="553"/>
        <v/>
      </c>
      <c r="AL1356" s="168" t="str">
        <f t="shared" si="554"/>
        <v/>
      </c>
      <c r="AM1356" s="168" t="str">
        <f t="shared" si="555"/>
        <v/>
      </c>
      <c r="AN1356" s="167" t="str">
        <f t="shared" si="538"/>
        <v/>
      </c>
      <c r="AO1356" s="167" t="str">
        <f t="shared" si="539"/>
        <v/>
      </c>
      <c r="AP1356" s="167" t="str">
        <f t="shared" si="540"/>
        <v/>
      </c>
      <c r="AQ1356" s="169" t="str">
        <f t="shared" si="541"/>
        <v/>
      </c>
      <c r="AR1356" s="170" t="str">
        <f t="shared" si="542"/>
        <v>BiK82LK09---06</v>
      </c>
      <c r="AS1356" s="169" t="str">
        <f t="shared" si="543"/>
        <v/>
      </c>
      <c r="AT1356">
        <f t="shared" si="544"/>
        <v>14</v>
      </c>
      <c r="AU1356" s="170" t="str">
        <f t="shared" si="545"/>
        <v>0,15-0,5 MW, Bonusregeln L und K erstmals 2009</v>
      </c>
      <c r="AV1356" s="169" t="str">
        <f t="shared" si="546"/>
        <v/>
      </c>
      <c r="AW1356" s="170" t="str">
        <f t="shared" si="547"/>
        <v>Anteil KWK, erstmals 2009</v>
      </c>
      <c r="AX1356" s="169" t="str">
        <f t="shared" si="548"/>
        <v/>
      </c>
      <c r="AY1356" t="str">
        <f t="shared" si="549"/>
        <v/>
      </c>
      <c r="AZ1356" t="str">
        <f t="shared" si="550"/>
        <v/>
      </c>
    </row>
    <row r="1357" spans="1:52" s="145" customFormat="1" x14ac:dyDescent="0.35">
      <c r="A1357" s="497" t="s">
        <v>4916</v>
      </c>
      <c r="B1357" s="13" t="s">
        <v>5547</v>
      </c>
      <c r="C1357" s="13" t="s">
        <v>1296</v>
      </c>
      <c r="D1357" s="13" t="s">
        <v>7056</v>
      </c>
      <c r="E1357" s="13" t="s">
        <v>3566</v>
      </c>
      <c r="F1357" s="373">
        <f t="shared" si="557"/>
        <v>21.57</v>
      </c>
      <c r="G1357" s="430">
        <v>21.57</v>
      </c>
      <c r="H1357" s="399">
        <f t="shared" si="558"/>
        <v>17.260000000000002</v>
      </c>
      <c r="I1357" s="576"/>
      <c r="J1357" s="549" t="s">
        <v>5804</v>
      </c>
      <c r="K1357" s="11"/>
      <c r="L1357"/>
      <c r="M1357" s="37">
        <f t="shared" si="559"/>
        <v>21.57</v>
      </c>
      <c r="N1357" s="29">
        <v>9.6</v>
      </c>
      <c r="O1357" s="149"/>
      <c r="P1357" s="144"/>
      <c r="R1357" s="145" t="s">
        <v>1017</v>
      </c>
      <c r="S1357" s="145" t="s">
        <v>4179</v>
      </c>
      <c r="T1357" s="145" t="s">
        <v>4179</v>
      </c>
      <c r="U1357" s="146"/>
      <c r="W1357" s="147"/>
      <c r="X1357" s="147"/>
      <c r="Z1357" s="147"/>
      <c r="AB1357" s="145" t="s">
        <v>1017</v>
      </c>
      <c r="AC1357" s="147"/>
      <c r="AE1357" s="148"/>
      <c r="AF1357" s="147"/>
      <c r="AG1357" s="147"/>
      <c r="AH1357" s="166" t="str">
        <f t="shared" si="564"/>
        <v>2010</v>
      </c>
      <c r="AI1357" s="168" t="str">
        <f t="shared" si="551"/>
        <v/>
      </c>
      <c r="AJ1357" s="168" t="str">
        <f t="shared" si="552"/>
        <v/>
      </c>
      <c r="AK1357" s="168" t="str">
        <f t="shared" si="553"/>
        <v/>
      </c>
      <c r="AL1357" s="168" t="str">
        <f t="shared" si="554"/>
        <v/>
      </c>
      <c r="AM1357" s="168" t="str">
        <f t="shared" si="555"/>
        <v/>
      </c>
      <c r="AN1357" s="167" t="str">
        <f t="shared" si="538"/>
        <v>2010</v>
      </c>
      <c r="AO1357" s="167" t="str">
        <f t="shared" si="539"/>
        <v>2010</v>
      </c>
      <c r="AP1357" s="167" t="str">
        <f t="shared" si="540"/>
        <v>2010</v>
      </c>
      <c r="AQ1357" s="169" t="str">
        <f t="shared" si="541"/>
        <v/>
      </c>
      <c r="AR1357" s="170" t="str">
        <f t="shared" si="542"/>
        <v>BiK82LK10---06</v>
      </c>
      <c r="AS1357" s="169" t="str">
        <f t="shared" si="543"/>
        <v/>
      </c>
      <c r="AT1357">
        <f t="shared" si="544"/>
        <v>14</v>
      </c>
      <c r="AU1357" s="170" t="str">
        <f t="shared" si="545"/>
        <v>0,15-0,5 MW, Bonusregeln L und K erstmals 2010</v>
      </c>
      <c r="AV1357" s="169" t="str">
        <f t="shared" si="546"/>
        <v/>
      </c>
      <c r="AW1357" s="170" t="str">
        <f t="shared" si="547"/>
        <v>Anteil KWK, erstmals 2010</v>
      </c>
      <c r="AX1357" s="169" t="str">
        <f t="shared" si="548"/>
        <v/>
      </c>
      <c r="AY1357" t="str">
        <f t="shared" si="549"/>
        <v/>
      </c>
      <c r="AZ1357" t="str">
        <f t="shared" si="550"/>
        <v/>
      </c>
    </row>
    <row r="1358" spans="1:52" s="145" customFormat="1" x14ac:dyDescent="0.35">
      <c r="A1358" s="497" t="s">
        <v>3963</v>
      </c>
      <c r="B1358" s="13" t="s">
        <v>5547</v>
      </c>
      <c r="C1358" s="13" t="s">
        <v>1296</v>
      </c>
      <c r="D1358" s="13" t="s">
        <v>7057</v>
      </c>
      <c r="E1358" s="13" t="s">
        <v>3054</v>
      </c>
      <c r="F1358" s="373">
        <f t="shared" si="557"/>
        <v>21.54</v>
      </c>
      <c r="G1358" s="430">
        <v>21.54</v>
      </c>
      <c r="H1358" s="399">
        <f t="shared" si="558"/>
        <v>17.23</v>
      </c>
      <c r="I1358" s="576"/>
      <c r="J1358" s="549" t="s">
        <v>5804</v>
      </c>
      <c r="K1358" s="11"/>
      <c r="L1358"/>
      <c r="M1358" s="37">
        <f t="shared" si="559"/>
        <v>21.54</v>
      </c>
      <c r="N1358" s="29">
        <v>9.6</v>
      </c>
      <c r="O1358" s="149"/>
      <c r="P1358" s="144"/>
      <c r="S1358" s="145" t="s">
        <v>1017</v>
      </c>
      <c r="T1358" s="145" t="s">
        <v>4179</v>
      </c>
      <c r="U1358" s="146"/>
      <c r="W1358" s="147"/>
      <c r="X1358" s="147"/>
      <c r="Z1358" s="147"/>
      <c r="AB1358" s="145" t="s">
        <v>1017</v>
      </c>
      <c r="AC1358" s="147"/>
      <c r="AE1358" s="148"/>
      <c r="AF1358" s="147"/>
      <c r="AG1358" s="147"/>
      <c r="AH1358" s="166" t="str">
        <f t="shared" si="564"/>
        <v>2011</v>
      </c>
      <c r="AI1358" s="168" t="str">
        <f t="shared" si="551"/>
        <v/>
      </c>
      <c r="AJ1358" s="168" t="str">
        <f t="shared" si="552"/>
        <v/>
      </c>
      <c r="AK1358" s="168" t="str">
        <f t="shared" si="553"/>
        <v/>
      </c>
      <c r="AL1358" s="168" t="str">
        <f t="shared" si="554"/>
        <v/>
      </c>
      <c r="AM1358" s="168" t="str">
        <f t="shared" si="555"/>
        <v/>
      </c>
      <c r="AN1358" s="167" t="str">
        <f t="shared" si="538"/>
        <v>2011</v>
      </c>
      <c r="AO1358" s="167" t="str">
        <f t="shared" si="539"/>
        <v>2011</v>
      </c>
      <c r="AP1358" s="167" t="str">
        <f t="shared" si="540"/>
        <v>2011</v>
      </c>
      <c r="AQ1358" s="169" t="str">
        <f t="shared" si="541"/>
        <v/>
      </c>
      <c r="AR1358" s="170" t="str">
        <f t="shared" si="542"/>
        <v>BiK82LK11---06</v>
      </c>
      <c r="AS1358" s="169" t="str">
        <f t="shared" si="543"/>
        <v/>
      </c>
      <c r="AT1358">
        <f t="shared" si="544"/>
        <v>14</v>
      </c>
      <c r="AU1358" s="170" t="str">
        <f t="shared" si="545"/>
        <v>0,15-0,5 MW, Bonusregeln L und K erstmals 2011</v>
      </c>
      <c r="AV1358" s="169" t="str">
        <f t="shared" si="546"/>
        <v/>
      </c>
      <c r="AW1358" s="170" t="str">
        <f t="shared" si="547"/>
        <v>Anteil KWK, erstmals 2011</v>
      </c>
      <c r="AX1358" s="169" t="str">
        <f t="shared" si="548"/>
        <v/>
      </c>
      <c r="AY1358" t="str">
        <f t="shared" si="549"/>
        <v>x</v>
      </c>
      <c r="AZ1358" t="str">
        <f t="shared" si="550"/>
        <v/>
      </c>
    </row>
    <row r="1359" spans="1:52" s="145" customFormat="1" x14ac:dyDescent="0.35">
      <c r="A1359" s="511" t="s">
        <v>1786</v>
      </c>
      <c r="B1359" s="173" t="s">
        <v>5547</v>
      </c>
      <c r="C1359" s="173" t="s">
        <v>1296</v>
      </c>
      <c r="D1359" s="173" t="s">
        <v>7058</v>
      </c>
      <c r="E1359" s="173" t="s">
        <v>1980</v>
      </c>
      <c r="F1359" s="374">
        <f t="shared" si="557"/>
        <v>21.509999999999998</v>
      </c>
      <c r="G1359" s="431">
        <v>21.509999999999998</v>
      </c>
      <c r="H1359" s="400">
        <f t="shared" si="558"/>
        <v>17.21</v>
      </c>
      <c r="I1359" s="577"/>
      <c r="J1359" s="549" t="s">
        <v>5804</v>
      </c>
      <c r="K1359" s="11"/>
      <c r="L1359"/>
      <c r="M1359" s="37">
        <f t="shared" si="559"/>
        <v>21.509999999999998</v>
      </c>
      <c r="N1359" s="29">
        <v>9.6</v>
      </c>
      <c r="O1359" s="149"/>
      <c r="P1359" s="144"/>
      <c r="S1359" s="145" t="s">
        <v>4179</v>
      </c>
      <c r="T1359" s="145" t="s">
        <v>1017</v>
      </c>
      <c r="U1359" s="146"/>
      <c r="W1359" s="147"/>
      <c r="X1359" s="147"/>
      <c r="Z1359" s="147"/>
      <c r="AB1359" s="145" t="s">
        <v>1017</v>
      </c>
      <c r="AC1359" s="147"/>
      <c r="AE1359" s="148"/>
      <c r="AF1359" s="147"/>
      <c r="AG1359" s="147"/>
      <c r="AH1359" s="171" t="s">
        <v>4178</v>
      </c>
      <c r="AI1359" s="168" t="str">
        <f t="shared" si="551"/>
        <v/>
      </c>
      <c r="AJ1359" s="168" t="str">
        <f t="shared" si="552"/>
        <v/>
      </c>
      <c r="AK1359" s="168" t="str">
        <f t="shared" si="553"/>
        <v/>
      </c>
      <c r="AL1359" s="168" t="str">
        <f t="shared" si="554"/>
        <v/>
      </c>
      <c r="AM1359" s="168" t="str">
        <f t="shared" si="555"/>
        <v/>
      </c>
      <c r="AN1359" s="167" t="str">
        <f t="shared" si="538"/>
        <v>2012</v>
      </c>
      <c r="AO1359" s="167" t="str">
        <f t="shared" si="539"/>
        <v>2012</v>
      </c>
      <c r="AP1359" s="167" t="str">
        <f t="shared" si="540"/>
        <v>2012</v>
      </c>
      <c r="AQ1359" s="169" t="str">
        <f t="shared" si="541"/>
        <v/>
      </c>
      <c r="AR1359" s="170" t="str">
        <f t="shared" si="542"/>
        <v>BiK82LK12---06</v>
      </c>
      <c r="AS1359" s="169" t="str">
        <f t="shared" si="543"/>
        <v/>
      </c>
      <c r="AT1359">
        <f t="shared" si="544"/>
        <v>14</v>
      </c>
      <c r="AU1359" s="170" t="str">
        <f t="shared" si="545"/>
        <v>0,15-0,5 MW, Bonusregeln L und K erstmals 2012</v>
      </c>
      <c r="AV1359" s="169" t="str">
        <f t="shared" si="546"/>
        <v/>
      </c>
      <c r="AW1359" s="170" t="str">
        <f t="shared" si="547"/>
        <v>Anteil KWK, erstmals 2012</v>
      </c>
      <c r="AX1359" s="169" t="str">
        <f t="shared" si="548"/>
        <v/>
      </c>
      <c r="AY1359" t="str">
        <f t="shared" si="549"/>
        <v/>
      </c>
      <c r="AZ1359" t="str">
        <f t="shared" si="550"/>
        <v>x</v>
      </c>
    </row>
    <row r="1360" spans="1:52" s="145" customFormat="1" x14ac:dyDescent="0.35">
      <c r="A1360" s="497" t="s">
        <v>2789</v>
      </c>
      <c r="B1360" s="13" t="s">
        <v>5547</v>
      </c>
      <c r="C1360" s="13" t="s">
        <v>1296</v>
      </c>
      <c r="D1360" s="13" t="s">
        <v>7059</v>
      </c>
      <c r="E1360" s="13" t="s">
        <v>4809</v>
      </c>
      <c r="F1360" s="373">
        <f t="shared" si="557"/>
        <v>19.600000000000001</v>
      </c>
      <c r="G1360" s="430">
        <v>19.600000000000001</v>
      </c>
      <c r="H1360" s="399">
        <f t="shared" si="558"/>
        <v>15.68</v>
      </c>
      <c r="I1360" s="576"/>
      <c r="J1360" s="549" t="s">
        <v>5804</v>
      </c>
      <c r="K1360" s="11"/>
      <c r="L1360"/>
      <c r="M1360" s="37">
        <f t="shared" si="559"/>
        <v>19.600000000000001</v>
      </c>
      <c r="N1360" s="29">
        <v>9.6</v>
      </c>
      <c r="O1360" s="149"/>
      <c r="P1360" s="144"/>
      <c r="S1360" s="145" t="s">
        <v>4179</v>
      </c>
      <c r="T1360" s="145" t="s">
        <v>4179</v>
      </c>
      <c r="U1360" s="146" t="s">
        <v>1017</v>
      </c>
      <c r="W1360" s="147"/>
      <c r="X1360" s="147"/>
      <c r="Z1360" s="147"/>
      <c r="AB1360" s="145" t="s">
        <v>1017</v>
      </c>
      <c r="AC1360" s="147"/>
      <c r="AE1360" s="148"/>
      <c r="AF1360" s="147"/>
      <c r="AG1360" s="147"/>
      <c r="AH1360" s="166" t="str">
        <f t="shared" ref="AH1360:AH1365" si="565">IF(ISERROR(SEARCH("K erstmals 201",D1360)),"",RIGHT(D1360,4))</f>
        <v/>
      </c>
      <c r="AI1360" s="168" t="str">
        <f t="shared" si="551"/>
        <v/>
      </c>
      <c r="AJ1360" s="168" t="str">
        <f t="shared" si="552"/>
        <v/>
      </c>
      <c r="AK1360" s="168" t="str">
        <f t="shared" si="553"/>
        <v/>
      </c>
      <c r="AL1360" s="168" t="str">
        <f t="shared" si="554"/>
        <v/>
      </c>
      <c r="AM1360" s="168" t="str">
        <f t="shared" si="555"/>
        <v/>
      </c>
      <c r="AN1360" s="167" t="str">
        <f t="shared" si="538"/>
        <v/>
      </c>
      <c r="AO1360" s="167" t="str">
        <f t="shared" si="539"/>
        <v/>
      </c>
      <c r="AP1360" s="167" t="str">
        <f t="shared" si="540"/>
        <v/>
      </c>
      <c r="AQ1360" s="169" t="str">
        <f t="shared" si="541"/>
        <v/>
      </c>
      <c r="AR1360" s="170" t="str">
        <f t="shared" si="542"/>
        <v>BiK82Ly-----06</v>
      </c>
      <c r="AS1360" s="169" t="str">
        <f t="shared" si="543"/>
        <v/>
      </c>
      <c r="AT1360">
        <f t="shared" si="544"/>
        <v>14</v>
      </c>
      <c r="AU1360" s="170" t="str">
        <f t="shared" si="545"/>
        <v>0,15-0,5 MW, Bonusregeln L, y</v>
      </c>
      <c r="AV1360" s="169" t="str">
        <f t="shared" si="546"/>
        <v/>
      </c>
      <c r="AW1360" s="170" t="str">
        <f t="shared" si="547"/>
        <v>Anteil Nicht-KWK</v>
      </c>
      <c r="AX1360" s="169" t="str">
        <f t="shared" si="548"/>
        <v/>
      </c>
      <c r="AY1360" t="str">
        <f t="shared" si="549"/>
        <v/>
      </c>
      <c r="AZ1360" t="str">
        <f t="shared" si="550"/>
        <v/>
      </c>
    </row>
    <row r="1361" spans="1:52" s="145" customFormat="1" x14ac:dyDescent="0.35">
      <c r="A1361" s="497" t="s">
        <v>2790</v>
      </c>
      <c r="B1361" s="13" t="s">
        <v>5547</v>
      </c>
      <c r="C1361" s="13" t="s">
        <v>1296</v>
      </c>
      <c r="D1361" s="13" t="s">
        <v>7122</v>
      </c>
      <c r="E1361" s="13" t="s">
        <v>4811</v>
      </c>
      <c r="F1361" s="373">
        <f t="shared" si="557"/>
        <v>21.6</v>
      </c>
      <c r="G1361" s="430">
        <v>21.6</v>
      </c>
      <c r="H1361" s="399">
        <f t="shared" si="558"/>
        <v>17.28</v>
      </c>
      <c r="I1361" s="576"/>
      <c r="J1361" s="549" t="s">
        <v>5804</v>
      </c>
      <c r="K1361" s="11"/>
      <c r="L1361"/>
      <c r="M1361" s="37">
        <f t="shared" si="559"/>
        <v>21.6</v>
      </c>
      <c r="N1361" s="29">
        <v>9.6</v>
      </c>
      <c r="O1361" s="149" t="s">
        <v>1017</v>
      </c>
      <c r="P1361" s="144"/>
      <c r="S1361" s="145" t="s">
        <v>4179</v>
      </c>
      <c r="T1361" s="145" t="s">
        <v>4179</v>
      </c>
      <c r="U1361" s="146" t="s">
        <v>1017</v>
      </c>
      <c r="W1361" s="147"/>
      <c r="X1361" s="147"/>
      <c r="Z1361" s="147"/>
      <c r="AB1361" s="145" t="s">
        <v>1017</v>
      </c>
      <c r="AC1361" s="147"/>
      <c r="AE1361" s="148"/>
      <c r="AF1361" s="147"/>
      <c r="AG1361" s="147"/>
      <c r="AH1361" s="166" t="str">
        <f t="shared" si="565"/>
        <v/>
      </c>
      <c r="AI1361" s="168" t="str">
        <f t="shared" si="551"/>
        <v/>
      </c>
      <c r="AJ1361" s="168" t="str">
        <f t="shared" si="552"/>
        <v/>
      </c>
      <c r="AK1361" s="168" t="str">
        <f t="shared" si="553"/>
        <v/>
      </c>
      <c r="AL1361" s="168" t="str">
        <f t="shared" si="554"/>
        <v/>
      </c>
      <c r="AM1361" s="168" t="str">
        <f t="shared" si="555"/>
        <v/>
      </c>
      <c r="AN1361" s="167" t="str">
        <f t="shared" si="538"/>
        <v/>
      </c>
      <c r="AO1361" s="167" t="str">
        <f t="shared" si="539"/>
        <v/>
      </c>
      <c r="AP1361" s="167" t="str">
        <f t="shared" si="540"/>
        <v/>
      </c>
      <c r="AQ1361" s="169" t="str">
        <f t="shared" si="541"/>
        <v/>
      </c>
      <c r="AR1361" s="170" t="str">
        <f t="shared" si="542"/>
        <v>BiK82LKWKy--06</v>
      </c>
      <c r="AS1361" s="169" t="str">
        <f t="shared" si="543"/>
        <v/>
      </c>
      <c r="AT1361">
        <f t="shared" si="544"/>
        <v>14</v>
      </c>
      <c r="AU1361" s="170" t="str">
        <f t="shared" si="545"/>
        <v>0,15-0,5 MW, Bonusregeln L, y und KWK</v>
      </c>
      <c r="AV1361" s="169" t="str">
        <f t="shared" si="546"/>
        <v/>
      </c>
      <c r="AW1361" s="170" t="str">
        <f t="shared" si="547"/>
        <v>Anteil KWK</v>
      </c>
      <c r="AX1361" s="169" t="str">
        <f t="shared" si="548"/>
        <v/>
      </c>
      <c r="AY1361" t="str">
        <f t="shared" si="549"/>
        <v/>
      </c>
      <c r="AZ1361" t="str">
        <f t="shared" si="550"/>
        <v/>
      </c>
    </row>
    <row r="1362" spans="1:52" s="145" customFormat="1" x14ac:dyDescent="0.35">
      <c r="A1362" s="497" t="s">
        <v>2791</v>
      </c>
      <c r="B1362" s="13" t="s">
        <v>5547</v>
      </c>
      <c r="C1362" s="13" t="s">
        <v>1296</v>
      </c>
      <c r="D1362" s="88" t="s">
        <v>7060</v>
      </c>
      <c r="E1362" s="13" t="s">
        <v>4330</v>
      </c>
      <c r="F1362" s="373">
        <f t="shared" si="557"/>
        <v>22.6</v>
      </c>
      <c r="G1362" s="430">
        <v>22.6</v>
      </c>
      <c r="H1362" s="399">
        <f t="shared" si="558"/>
        <v>18.079999999999998</v>
      </c>
      <c r="I1362" s="576"/>
      <c r="J1362" s="549" t="s">
        <v>5804</v>
      </c>
      <c r="K1362" s="11"/>
      <c r="L1362"/>
      <c r="M1362" s="37">
        <f t="shared" si="559"/>
        <v>22.6</v>
      </c>
      <c r="N1362" s="29">
        <v>9.6</v>
      </c>
      <c r="O1362" s="149"/>
      <c r="P1362" s="145" t="s">
        <v>1017</v>
      </c>
      <c r="S1362" s="145" t="s">
        <v>4179</v>
      </c>
      <c r="T1362" s="145" t="s">
        <v>4179</v>
      </c>
      <c r="U1362" s="146" t="s">
        <v>1017</v>
      </c>
      <c r="W1362" s="147"/>
      <c r="X1362" s="147"/>
      <c r="Z1362" s="147"/>
      <c r="AB1362" s="145" t="s">
        <v>1017</v>
      </c>
      <c r="AC1362" s="147"/>
      <c r="AE1362" s="148"/>
      <c r="AF1362" s="147"/>
      <c r="AG1362" s="147"/>
      <c r="AH1362" s="166" t="str">
        <f t="shared" si="565"/>
        <v/>
      </c>
      <c r="AI1362" s="168" t="str">
        <f t="shared" si="551"/>
        <v/>
      </c>
      <c r="AJ1362" s="168" t="str">
        <f t="shared" si="552"/>
        <v/>
      </c>
      <c r="AK1362" s="168" t="str">
        <f t="shared" si="553"/>
        <v/>
      </c>
      <c r="AL1362" s="168" t="str">
        <f t="shared" si="554"/>
        <v/>
      </c>
      <c r="AM1362" s="168" t="str">
        <f t="shared" si="555"/>
        <v/>
      </c>
      <c r="AN1362" s="167" t="str">
        <f t="shared" si="538"/>
        <v/>
      </c>
      <c r="AO1362" s="167" t="str">
        <f t="shared" si="539"/>
        <v/>
      </c>
      <c r="AP1362" s="167" t="str">
        <f t="shared" si="540"/>
        <v/>
      </c>
      <c r="AQ1362" s="169" t="str">
        <f t="shared" si="541"/>
        <v/>
      </c>
      <c r="AR1362" s="170" t="str">
        <f t="shared" si="542"/>
        <v>BiK82LKA3y--06</v>
      </c>
      <c r="AS1362" s="169" t="str">
        <f t="shared" si="543"/>
        <v/>
      </c>
      <c r="AT1362">
        <f t="shared" si="544"/>
        <v>14</v>
      </c>
      <c r="AU1362" s="170" t="str">
        <f t="shared" si="545"/>
        <v>0,15-0,5 MW, Bonusregeln L, y und K wenn Anlage 3 erfüllt</v>
      </c>
      <c r="AV1362" s="169" t="str">
        <f t="shared" si="546"/>
        <v/>
      </c>
      <c r="AW1362" s="170" t="str">
        <f t="shared" si="547"/>
        <v>Anteil KWK gemäß Anlage 3</v>
      </c>
      <c r="AX1362" s="169" t="str">
        <f t="shared" si="548"/>
        <v/>
      </c>
      <c r="AY1362" t="str">
        <f t="shared" si="549"/>
        <v/>
      </c>
      <c r="AZ1362" t="str">
        <f t="shared" si="550"/>
        <v/>
      </c>
    </row>
    <row r="1363" spans="1:52" s="145" customFormat="1" x14ac:dyDescent="0.35">
      <c r="A1363" s="497" t="s">
        <v>2792</v>
      </c>
      <c r="B1363" s="13" t="s">
        <v>5547</v>
      </c>
      <c r="C1363" s="13" t="s">
        <v>1296</v>
      </c>
      <c r="D1363" s="13" t="s">
        <v>7061</v>
      </c>
      <c r="E1363" s="13" t="s">
        <v>674</v>
      </c>
      <c r="F1363" s="373">
        <f t="shared" si="557"/>
        <v>22.6</v>
      </c>
      <c r="G1363" s="430">
        <v>22.6</v>
      </c>
      <c r="H1363" s="399">
        <f t="shared" si="558"/>
        <v>18.079999999999998</v>
      </c>
      <c r="I1363" s="576"/>
      <c r="J1363" s="549" t="s">
        <v>5804</v>
      </c>
      <c r="K1363" s="11"/>
      <c r="L1363"/>
      <c r="M1363" s="37">
        <f t="shared" si="559"/>
        <v>22.6</v>
      </c>
      <c r="N1363" s="29">
        <v>9.6</v>
      </c>
      <c r="O1363" s="149"/>
      <c r="P1363" s="144"/>
      <c r="Q1363" s="145" t="s">
        <v>1017</v>
      </c>
      <c r="S1363" s="145" t="s">
        <v>4179</v>
      </c>
      <c r="T1363" s="145" t="s">
        <v>4179</v>
      </c>
      <c r="U1363" s="146" t="s">
        <v>1017</v>
      </c>
      <c r="W1363" s="147"/>
      <c r="X1363" s="147"/>
      <c r="Z1363" s="147"/>
      <c r="AB1363" s="145" t="s">
        <v>1017</v>
      </c>
      <c r="AC1363" s="147"/>
      <c r="AE1363" s="148"/>
      <c r="AF1363" s="147"/>
      <c r="AG1363" s="147"/>
      <c r="AH1363" s="166" t="str">
        <f t="shared" si="565"/>
        <v/>
      </c>
      <c r="AI1363" s="168" t="str">
        <f t="shared" si="551"/>
        <v/>
      </c>
      <c r="AJ1363" s="168" t="str">
        <f t="shared" si="552"/>
        <v/>
      </c>
      <c r="AK1363" s="168" t="str">
        <f t="shared" si="553"/>
        <v/>
      </c>
      <c r="AL1363" s="168" t="str">
        <f t="shared" si="554"/>
        <v/>
      </c>
      <c r="AM1363" s="168" t="str">
        <f t="shared" si="555"/>
        <v/>
      </c>
      <c r="AN1363" s="167" t="str">
        <f t="shared" si="538"/>
        <v/>
      </c>
      <c r="AO1363" s="167" t="str">
        <f t="shared" si="539"/>
        <v/>
      </c>
      <c r="AP1363" s="167" t="str">
        <f t="shared" si="540"/>
        <v/>
      </c>
      <c r="AQ1363" s="169" t="str">
        <f t="shared" si="541"/>
        <v/>
      </c>
      <c r="AR1363" s="170" t="str">
        <f t="shared" si="542"/>
        <v>BiK82LK09y--06</v>
      </c>
      <c r="AS1363" s="169" t="str">
        <f t="shared" si="543"/>
        <v/>
      </c>
      <c r="AT1363">
        <f t="shared" si="544"/>
        <v>14</v>
      </c>
      <c r="AU1363" s="170" t="str">
        <f t="shared" si="545"/>
        <v>0,15-0,5 MW, Bonusregeln L, y und K erstmals 2009</v>
      </c>
      <c r="AV1363" s="169" t="str">
        <f t="shared" si="546"/>
        <v/>
      </c>
      <c r="AW1363" s="170" t="str">
        <f t="shared" si="547"/>
        <v>Anteil KWK, erstmals 2009</v>
      </c>
      <c r="AX1363" s="169" t="str">
        <f t="shared" si="548"/>
        <v/>
      </c>
      <c r="AY1363" t="str">
        <f t="shared" si="549"/>
        <v/>
      </c>
      <c r="AZ1363" t="str">
        <f t="shared" si="550"/>
        <v/>
      </c>
    </row>
    <row r="1364" spans="1:52" s="145" customFormat="1" x14ac:dyDescent="0.35">
      <c r="A1364" s="497" t="s">
        <v>4917</v>
      </c>
      <c r="B1364" s="13" t="s">
        <v>5547</v>
      </c>
      <c r="C1364" s="13" t="s">
        <v>1296</v>
      </c>
      <c r="D1364" s="13" t="s">
        <v>7062</v>
      </c>
      <c r="E1364" s="13" t="s">
        <v>3566</v>
      </c>
      <c r="F1364" s="373">
        <f t="shared" si="557"/>
        <v>22.57</v>
      </c>
      <c r="G1364" s="430">
        <v>22.57</v>
      </c>
      <c r="H1364" s="399">
        <f t="shared" si="558"/>
        <v>18.059999999999999</v>
      </c>
      <c r="I1364" s="576"/>
      <c r="J1364" s="549" t="s">
        <v>5804</v>
      </c>
      <c r="K1364" s="11"/>
      <c r="L1364"/>
      <c r="M1364" s="37">
        <f t="shared" si="559"/>
        <v>22.57</v>
      </c>
      <c r="N1364" s="29">
        <v>9.6</v>
      </c>
      <c r="O1364" s="149"/>
      <c r="P1364" s="144"/>
      <c r="R1364" s="145" t="s">
        <v>1017</v>
      </c>
      <c r="S1364" s="145" t="s">
        <v>4179</v>
      </c>
      <c r="T1364" s="145" t="s">
        <v>4179</v>
      </c>
      <c r="U1364" s="146" t="s">
        <v>1017</v>
      </c>
      <c r="W1364" s="147"/>
      <c r="X1364" s="147"/>
      <c r="Z1364" s="147"/>
      <c r="AB1364" s="145" t="s">
        <v>1017</v>
      </c>
      <c r="AC1364" s="147"/>
      <c r="AE1364" s="148"/>
      <c r="AF1364" s="147"/>
      <c r="AG1364" s="147"/>
      <c r="AH1364" s="166" t="str">
        <f t="shared" si="565"/>
        <v>2010</v>
      </c>
      <c r="AI1364" s="168" t="str">
        <f t="shared" si="551"/>
        <v/>
      </c>
      <c r="AJ1364" s="168" t="str">
        <f t="shared" si="552"/>
        <v/>
      </c>
      <c r="AK1364" s="168" t="str">
        <f t="shared" si="553"/>
        <v/>
      </c>
      <c r="AL1364" s="168" t="str">
        <f t="shared" si="554"/>
        <v/>
      </c>
      <c r="AM1364" s="168" t="str">
        <f t="shared" si="555"/>
        <v/>
      </c>
      <c r="AN1364" s="167" t="str">
        <f t="shared" si="538"/>
        <v>2010</v>
      </c>
      <c r="AO1364" s="167" t="str">
        <f t="shared" si="539"/>
        <v>2010</v>
      </c>
      <c r="AP1364" s="167" t="str">
        <f t="shared" si="540"/>
        <v>2010</v>
      </c>
      <c r="AQ1364" s="169" t="str">
        <f t="shared" si="541"/>
        <v/>
      </c>
      <c r="AR1364" s="170" t="str">
        <f t="shared" si="542"/>
        <v>BiK82LK10y--06</v>
      </c>
      <c r="AS1364" s="169" t="str">
        <f t="shared" si="543"/>
        <v/>
      </c>
      <c r="AT1364">
        <f t="shared" si="544"/>
        <v>14</v>
      </c>
      <c r="AU1364" s="170" t="str">
        <f t="shared" si="545"/>
        <v>0,15-0,5 MW, Bonusregeln L, y und K erstmals 2010</v>
      </c>
      <c r="AV1364" s="169" t="str">
        <f t="shared" si="546"/>
        <v/>
      </c>
      <c r="AW1364" s="170" t="str">
        <f t="shared" si="547"/>
        <v>Anteil KWK, erstmals 2010</v>
      </c>
      <c r="AX1364" s="169" t="str">
        <f t="shared" si="548"/>
        <v/>
      </c>
      <c r="AY1364" t="str">
        <f t="shared" si="549"/>
        <v/>
      </c>
      <c r="AZ1364" t="str">
        <f t="shared" si="550"/>
        <v/>
      </c>
    </row>
    <row r="1365" spans="1:52" s="145" customFormat="1" x14ac:dyDescent="0.35">
      <c r="A1365" s="497" t="s">
        <v>3964</v>
      </c>
      <c r="B1365" s="13" t="s">
        <v>5547</v>
      </c>
      <c r="C1365" s="13" t="s">
        <v>1296</v>
      </c>
      <c r="D1365" s="13" t="s">
        <v>7063</v>
      </c>
      <c r="E1365" s="13" t="s">
        <v>3054</v>
      </c>
      <c r="F1365" s="373">
        <f t="shared" si="557"/>
        <v>22.54</v>
      </c>
      <c r="G1365" s="430">
        <v>22.54</v>
      </c>
      <c r="H1365" s="399">
        <f t="shared" si="558"/>
        <v>18.03</v>
      </c>
      <c r="I1365" s="576"/>
      <c r="J1365" s="549" t="s">
        <v>5804</v>
      </c>
      <c r="K1365" s="11"/>
      <c r="L1365"/>
      <c r="M1365" s="37">
        <f t="shared" si="559"/>
        <v>22.54</v>
      </c>
      <c r="N1365" s="29">
        <v>9.6</v>
      </c>
      <c r="O1365" s="149"/>
      <c r="P1365" s="144"/>
      <c r="S1365" s="145" t="s">
        <v>1017</v>
      </c>
      <c r="T1365" s="145" t="s">
        <v>4179</v>
      </c>
      <c r="U1365" s="146" t="s">
        <v>1017</v>
      </c>
      <c r="W1365" s="147"/>
      <c r="X1365" s="147"/>
      <c r="Z1365" s="147"/>
      <c r="AB1365" s="145" t="s">
        <v>1017</v>
      </c>
      <c r="AC1365" s="147"/>
      <c r="AE1365" s="148"/>
      <c r="AF1365" s="147"/>
      <c r="AG1365" s="147"/>
      <c r="AH1365" s="166" t="str">
        <f t="shared" si="565"/>
        <v>2011</v>
      </c>
      <c r="AI1365" s="168" t="str">
        <f t="shared" si="551"/>
        <v/>
      </c>
      <c r="AJ1365" s="168" t="str">
        <f t="shared" si="552"/>
        <v/>
      </c>
      <c r="AK1365" s="168" t="str">
        <f t="shared" si="553"/>
        <v/>
      </c>
      <c r="AL1365" s="168" t="str">
        <f t="shared" si="554"/>
        <v/>
      </c>
      <c r="AM1365" s="168" t="str">
        <f t="shared" si="555"/>
        <v/>
      </c>
      <c r="AN1365" s="167" t="str">
        <f t="shared" si="538"/>
        <v>2011</v>
      </c>
      <c r="AO1365" s="167" t="str">
        <f t="shared" si="539"/>
        <v>2011</v>
      </c>
      <c r="AP1365" s="167" t="str">
        <f t="shared" si="540"/>
        <v>2011</v>
      </c>
      <c r="AQ1365" s="169" t="str">
        <f t="shared" si="541"/>
        <v/>
      </c>
      <c r="AR1365" s="170" t="str">
        <f t="shared" si="542"/>
        <v>BiK82LK11y--06</v>
      </c>
      <c r="AS1365" s="169" t="str">
        <f t="shared" si="543"/>
        <v/>
      </c>
      <c r="AT1365">
        <f t="shared" si="544"/>
        <v>14</v>
      </c>
      <c r="AU1365" s="170" t="str">
        <f t="shared" si="545"/>
        <v>0,15-0,5 MW, Bonusregeln L, y und K erstmals 2011</v>
      </c>
      <c r="AV1365" s="169" t="str">
        <f t="shared" si="546"/>
        <v/>
      </c>
      <c r="AW1365" s="170" t="str">
        <f t="shared" si="547"/>
        <v>Anteil KWK, erstmals 2011</v>
      </c>
      <c r="AX1365" s="169" t="str">
        <f t="shared" si="548"/>
        <v/>
      </c>
      <c r="AY1365" t="str">
        <f t="shared" si="549"/>
        <v>x</v>
      </c>
      <c r="AZ1365" t="str">
        <f t="shared" si="550"/>
        <v/>
      </c>
    </row>
    <row r="1366" spans="1:52" s="145" customFormat="1" x14ac:dyDescent="0.35">
      <c r="A1366" s="511" t="s">
        <v>1787</v>
      </c>
      <c r="B1366" s="173" t="s">
        <v>5547</v>
      </c>
      <c r="C1366" s="173" t="s">
        <v>1296</v>
      </c>
      <c r="D1366" s="173" t="s">
        <v>7064</v>
      </c>
      <c r="E1366" s="173" t="s">
        <v>1980</v>
      </c>
      <c r="F1366" s="374">
        <f t="shared" si="557"/>
        <v>22.509999999999998</v>
      </c>
      <c r="G1366" s="431">
        <v>22.509999999999998</v>
      </c>
      <c r="H1366" s="400">
        <f t="shared" si="558"/>
        <v>18.010000000000002</v>
      </c>
      <c r="I1366" s="577"/>
      <c r="J1366" s="549" t="s">
        <v>5804</v>
      </c>
      <c r="K1366" s="11"/>
      <c r="L1366"/>
      <c r="M1366" s="37">
        <f t="shared" si="559"/>
        <v>22.509999999999998</v>
      </c>
      <c r="N1366" s="29">
        <v>9.6</v>
      </c>
      <c r="O1366" s="149"/>
      <c r="P1366" s="144"/>
      <c r="S1366" s="145" t="s">
        <v>4179</v>
      </c>
      <c r="T1366" s="145" t="s">
        <v>1017</v>
      </c>
      <c r="U1366" s="146" t="s">
        <v>1017</v>
      </c>
      <c r="W1366" s="147"/>
      <c r="X1366" s="147"/>
      <c r="Z1366" s="147"/>
      <c r="AB1366" s="145" t="s">
        <v>1017</v>
      </c>
      <c r="AC1366" s="147"/>
      <c r="AE1366" s="148"/>
      <c r="AF1366" s="147"/>
      <c r="AG1366" s="147"/>
      <c r="AH1366" s="171" t="s">
        <v>4178</v>
      </c>
      <c r="AI1366" s="168" t="str">
        <f t="shared" si="551"/>
        <v/>
      </c>
      <c r="AJ1366" s="168" t="str">
        <f t="shared" si="552"/>
        <v/>
      </c>
      <c r="AK1366" s="168" t="str">
        <f t="shared" si="553"/>
        <v/>
      </c>
      <c r="AL1366" s="168" t="str">
        <f t="shared" si="554"/>
        <v/>
      </c>
      <c r="AM1366" s="168" t="str">
        <f t="shared" si="555"/>
        <v/>
      </c>
      <c r="AN1366" s="167" t="str">
        <f t="shared" si="538"/>
        <v>2012</v>
      </c>
      <c r="AO1366" s="167" t="str">
        <f t="shared" si="539"/>
        <v>2012</v>
      </c>
      <c r="AP1366" s="167" t="str">
        <f t="shared" si="540"/>
        <v>2012</v>
      </c>
      <c r="AQ1366" s="169" t="str">
        <f t="shared" si="541"/>
        <v/>
      </c>
      <c r="AR1366" s="170" t="str">
        <f t="shared" si="542"/>
        <v>BiK82LK12y--06</v>
      </c>
      <c r="AS1366" s="169" t="str">
        <f t="shared" si="543"/>
        <v/>
      </c>
      <c r="AT1366">
        <f t="shared" si="544"/>
        <v>14</v>
      </c>
      <c r="AU1366" s="170" t="str">
        <f t="shared" si="545"/>
        <v>0,15-0,5 MW, Bonusregeln L, y und K erstmals 2012</v>
      </c>
      <c r="AV1366" s="169" t="str">
        <f t="shared" si="546"/>
        <v/>
      </c>
      <c r="AW1366" s="170" t="str">
        <f t="shared" si="547"/>
        <v>Anteil KWK, erstmals 2012</v>
      </c>
      <c r="AX1366" s="169" t="str">
        <f t="shared" si="548"/>
        <v/>
      </c>
      <c r="AY1366" t="str">
        <f t="shared" si="549"/>
        <v/>
      </c>
      <c r="AZ1366" t="str">
        <f t="shared" si="550"/>
        <v>x</v>
      </c>
    </row>
    <row r="1367" spans="1:52" s="145" customFormat="1" x14ac:dyDescent="0.35">
      <c r="A1367" s="497" t="s">
        <v>2793</v>
      </c>
      <c r="B1367" s="13" t="s">
        <v>5547</v>
      </c>
      <c r="C1367" s="13" t="s">
        <v>1296</v>
      </c>
      <c r="D1367" s="13" t="s">
        <v>7065</v>
      </c>
      <c r="E1367" s="13" t="s">
        <v>4809</v>
      </c>
      <c r="F1367" s="373">
        <f t="shared" si="557"/>
        <v>19.600000000000001</v>
      </c>
      <c r="G1367" s="430">
        <v>19.600000000000001</v>
      </c>
      <c r="H1367" s="399">
        <f t="shared" si="558"/>
        <v>15.68</v>
      </c>
      <c r="I1367" s="576"/>
      <c r="J1367" s="549" t="s">
        <v>5804</v>
      </c>
      <c r="K1367" s="11"/>
      <c r="L1367"/>
      <c r="M1367" s="37">
        <f t="shared" si="559"/>
        <v>19.600000000000001</v>
      </c>
      <c r="N1367" s="29">
        <v>9.6</v>
      </c>
      <c r="O1367" s="149"/>
      <c r="P1367" s="144"/>
      <c r="S1367" s="145" t="s">
        <v>4179</v>
      </c>
      <c r="T1367" s="145" t="s">
        <v>4179</v>
      </c>
      <c r="U1367" s="146"/>
      <c r="W1367" s="147"/>
      <c r="X1367" s="147"/>
      <c r="Z1367" s="147"/>
      <c r="AC1367" s="147"/>
      <c r="AD1367" s="145" t="s">
        <v>1017</v>
      </c>
      <c r="AE1367" s="148"/>
      <c r="AF1367" s="147"/>
      <c r="AG1367" s="147"/>
      <c r="AH1367" s="166" t="str">
        <f t="shared" ref="AH1367:AH1372" si="566">IF(ISERROR(SEARCH("K erstmals 201",D1367)),"",RIGHT(D1367,4))</f>
        <v/>
      </c>
      <c r="AI1367" s="168" t="str">
        <f t="shared" si="551"/>
        <v/>
      </c>
      <c r="AJ1367" s="168" t="str">
        <f t="shared" si="552"/>
        <v/>
      </c>
      <c r="AK1367" s="168" t="str">
        <f t="shared" si="553"/>
        <v/>
      </c>
      <c r="AL1367" s="168" t="str">
        <f t="shared" si="554"/>
        <v/>
      </c>
      <c r="AM1367" s="168" t="str">
        <f t="shared" si="555"/>
        <v/>
      </c>
      <c r="AN1367" s="167" t="str">
        <f t="shared" si="538"/>
        <v/>
      </c>
      <c r="AO1367" s="167" t="str">
        <f t="shared" si="539"/>
        <v/>
      </c>
      <c r="AP1367" s="167" t="str">
        <f t="shared" si="540"/>
        <v/>
      </c>
      <c r="AQ1367" s="169" t="str">
        <f t="shared" si="541"/>
        <v/>
      </c>
      <c r="AR1367" s="170" t="str">
        <f t="shared" si="542"/>
        <v>BiK82X2-----06</v>
      </c>
      <c r="AS1367" s="169" t="str">
        <f t="shared" si="543"/>
        <v/>
      </c>
      <c r="AT1367">
        <f t="shared" si="544"/>
        <v>14</v>
      </c>
      <c r="AU1367" s="170" t="str">
        <f t="shared" si="545"/>
        <v>0,15-0,5 MW, Bonusregel X2</v>
      </c>
      <c r="AV1367" s="169" t="str">
        <f t="shared" si="546"/>
        <v/>
      </c>
      <c r="AW1367" s="170" t="str">
        <f t="shared" si="547"/>
        <v>Anteil Nicht-KWK</v>
      </c>
      <c r="AX1367" s="169" t="str">
        <f t="shared" si="548"/>
        <v/>
      </c>
      <c r="AY1367" t="str">
        <f t="shared" si="549"/>
        <v/>
      </c>
      <c r="AZ1367" t="str">
        <f t="shared" si="550"/>
        <v/>
      </c>
    </row>
    <row r="1368" spans="1:52" s="145" customFormat="1" x14ac:dyDescent="0.35">
      <c r="A1368" s="497" t="s">
        <v>2794</v>
      </c>
      <c r="B1368" s="13" t="s">
        <v>5547</v>
      </c>
      <c r="C1368" s="13" t="s">
        <v>1296</v>
      </c>
      <c r="D1368" s="13" t="s">
        <v>7123</v>
      </c>
      <c r="E1368" s="13" t="s">
        <v>4811</v>
      </c>
      <c r="F1368" s="373">
        <f t="shared" si="557"/>
        <v>21.6</v>
      </c>
      <c r="G1368" s="430">
        <v>21.6</v>
      </c>
      <c r="H1368" s="399">
        <f t="shared" si="558"/>
        <v>17.28</v>
      </c>
      <c r="I1368" s="576"/>
      <c r="J1368" s="549" t="s">
        <v>5804</v>
      </c>
      <c r="K1368" s="11"/>
      <c r="L1368"/>
      <c r="M1368" s="37">
        <f t="shared" si="559"/>
        <v>21.6</v>
      </c>
      <c r="N1368" s="29">
        <v>9.6</v>
      </c>
      <c r="O1368" s="149" t="s">
        <v>1017</v>
      </c>
      <c r="P1368" s="144"/>
      <c r="S1368" s="145" t="s">
        <v>4179</v>
      </c>
      <c r="T1368" s="145" t="s">
        <v>4179</v>
      </c>
      <c r="U1368" s="146"/>
      <c r="W1368" s="147"/>
      <c r="X1368" s="147"/>
      <c r="Z1368" s="147"/>
      <c r="AC1368" s="147"/>
      <c r="AD1368" s="145" t="s">
        <v>1017</v>
      </c>
      <c r="AE1368" s="148"/>
      <c r="AF1368" s="147"/>
      <c r="AG1368" s="147"/>
      <c r="AH1368" s="166" t="str">
        <f t="shared" si="566"/>
        <v/>
      </c>
      <c r="AI1368" s="168" t="str">
        <f t="shared" si="551"/>
        <v/>
      </c>
      <c r="AJ1368" s="168" t="str">
        <f t="shared" si="552"/>
        <v/>
      </c>
      <c r="AK1368" s="168" t="str">
        <f t="shared" si="553"/>
        <v/>
      </c>
      <c r="AL1368" s="168" t="str">
        <f t="shared" si="554"/>
        <v/>
      </c>
      <c r="AM1368" s="168" t="str">
        <f t="shared" si="555"/>
        <v/>
      </c>
      <c r="AN1368" s="167" t="str">
        <f t="shared" si="538"/>
        <v/>
      </c>
      <c r="AO1368" s="167" t="str">
        <f t="shared" si="539"/>
        <v/>
      </c>
      <c r="AP1368" s="167" t="str">
        <f t="shared" si="540"/>
        <v/>
      </c>
      <c r="AQ1368" s="169" t="str">
        <f t="shared" si="541"/>
        <v/>
      </c>
      <c r="AR1368" s="170" t="str">
        <f t="shared" si="542"/>
        <v>BiK82X2KWK--06</v>
      </c>
      <c r="AS1368" s="169" t="str">
        <f t="shared" si="543"/>
        <v/>
      </c>
      <c r="AT1368">
        <f t="shared" si="544"/>
        <v>14</v>
      </c>
      <c r="AU1368" s="170" t="str">
        <f t="shared" si="545"/>
        <v>0,15-0,5 MW, Bonusregeln X2 und KWK</v>
      </c>
      <c r="AV1368" s="169" t="str">
        <f t="shared" si="546"/>
        <v/>
      </c>
      <c r="AW1368" s="170" t="str">
        <f t="shared" si="547"/>
        <v>Anteil KWK</v>
      </c>
      <c r="AX1368" s="169" t="str">
        <f t="shared" si="548"/>
        <v/>
      </c>
      <c r="AY1368" t="str">
        <f t="shared" si="549"/>
        <v/>
      </c>
      <c r="AZ1368" t="str">
        <f t="shared" si="550"/>
        <v/>
      </c>
    </row>
    <row r="1369" spans="1:52" x14ac:dyDescent="0.35">
      <c r="A1369" s="497" t="s">
        <v>2795</v>
      </c>
      <c r="B1369" s="13" t="s">
        <v>5547</v>
      </c>
      <c r="C1369" s="13" t="s">
        <v>1296</v>
      </c>
      <c r="D1369" s="13" t="s">
        <v>7066</v>
      </c>
      <c r="E1369" s="13" t="s">
        <v>4330</v>
      </c>
      <c r="F1369" s="373">
        <f t="shared" si="557"/>
        <v>22.6</v>
      </c>
      <c r="G1369" s="430">
        <v>22.6</v>
      </c>
      <c r="H1369" s="399">
        <f t="shared" si="558"/>
        <v>18.079999999999998</v>
      </c>
      <c r="I1369" s="576"/>
      <c r="J1369" s="549" t="s">
        <v>5804</v>
      </c>
      <c r="K1369" s="11"/>
      <c r="M1369" s="37">
        <f t="shared" si="559"/>
        <v>22.6</v>
      </c>
      <c r="N1369" s="29">
        <v>9.6</v>
      </c>
      <c r="O1369" s="149"/>
      <c r="P1369" s="145" t="s">
        <v>1017</v>
      </c>
      <c r="Q1369" s="145"/>
      <c r="R1369" s="145"/>
      <c r="S1369" s="145" t="s">
        <v>4179</v>
      </c>
      <c r="T1369" t="s">
        <v>4179</v>
      </c>
      <c r="U1369" s="146"/>
      <c r="V1369" s="145"/>
      <c r="W1369" s="147"/>
      <c r="X1369" s="147"/>
      <c r="Y1369" s="145"/>
      <c r="Z1369" s="147"/>
      <c r="AA1369" s="145"/>
      <c r="AB1369" s="145"/>
      <c r="AC1369" s="147"/>
      <c r="AD1369" s="145" t="s">
        <v>1017</v>
      </c>
      <c r="AE1369" s="148"/>
      <c r="AF1369" s="147"/>
      <c r="AG1369" s="147"/>
      <c r="AH1369" s="166" t="str">
        <f t="shared" si="566"/>
        <v/>
      </c>
      <c r="AI1369" s="168" t="str">
        <f t="shared" si="551"/>
        <v/>
      </c>
      <c r="AJ1369" s="168" t="str">
        <f t="shared" si="552"/>
        <v/>
      </c>
      <c r="AK1369" s="168" t="str">
        <f t="shared" si="553"/>
        <v/>
      </c>
      <c r="AL1369" s="168" t="str">
        <f t="shared" si="554"/>
        <v/>
      </c>
      <c r="AM1369" s="168" t="str">
        <f t="shared" si="555"/>
        <v/>
      </c>
      <c r="AN1369" s="167" t="str">
        <f t="shared" si="538"/>
        <v/>
      </c>
      <c r="AO1369" s="167" t="str">
        <f t="shared" si="539"/>
        <v/>
      </c>
      <c r="AP1369" s="167" t="str">
        <f t="shared" si="540"/>
        <v/>
      </c>
      <c r="AQ1369" s="169" t="str">
        <f t="shared" si="541"/>
        <v/>
      </c>
      <c r="AR1369" s="170" t="str">
        <f t="shared" si="542"/>
        <v>BiK82X2KA3--06</v>
      </c>
      <c r="AS1369" s="169" t="str">
        <f t="shared" si="543"/>
        <v/>
      </c>
      <c r="AT1369">
        <f t="shared" si="544"/>
        <v>14</v>
      </c>
      <c r="AU1369" s="170" t="str">
        <f t="shared" si="545"/>
        <v>0,15-0,5 MW, Bonusregeln X2 und K wenn Anlage 3 erfüllt</v>
      </c>
      <c r="AV1369" s="169" t="str">
        <f t="shared" si="546"/>
        <v/>
      </c>
      <c r="AW1369" s="170" t="str">
        <f t="shared" si="547"/>
        <v>Anteil KWK gemäß Anlage 3</v>
      </c>
      <c r="AX1369" s="169" t="str">
        <f t="shared" si="548"/>
        <v/>
      </c>
      <c r="AY1369" t="str">
        <f t="shared" si="549"/>
        <v/>
      </c>
      <c r="AZ1369" t="str">
        <f t="shared" si="550"/>
        <v/>
      </c>
    </row>
    <row r="1370" spans="1:52" x14ac:dyDescent="0.35">
      <c r="A1370" s="497" t="s">
        <v>2796</v>
      </c>
      <c r="B1370" s="13" t="s">
        <v>5547</v>
      </c>
      <c r="C1370" s="13" t="s">
        <v>1296</v>
      </c>
      <c r="D1370" s="13" t="s">
        <v>7067</v>
      </c>
      <c r="E1370" s="13" t="s">
        <v>674</v>
      </c>
      <c r="F1370" s="373">
        <f t="shared" si="557"/>
        <v>22.6</v>
      </c>
      <c r="G1370" s="430">
        <v>22.6</v>
      </c>
      <c r="H1370" s="399">
        <f t="shared" si="558"/>
        <v>18.079999999999998</v>
      </c>
      <c r="I1370" s="576"/>
      <c r="J1370" s="549" t="s">
        <v>5804</v>
      </c>
      <c r="K1370" s="11"/>
      <c r="M1370" s="37">
        <f t="shared" si="559"/>
        <v>22.6</v>
      </c>
      <c r="N1370" s="29">
        <v>9.6</v>
      </c>
      <c r="O1370" s="149"/>
      <c r="P1370" s="144"/>
      <c r="Q1370" s="145" t="s">
        <v>1017</v>
      </c>
      <c r="R1370" s="145"/>
      <c r="S1370" s="145" t="s">
        <v>4179</v>
      </c>
      <c r="T1370" t="s">
        <v>4179</v>
      </c>
      <c r="U1370" s="146"/>
      <c r="V1370" s="145"/>
      <c r="W1370" s="147"/>
      <c r="X1370" s="147"/>
      <c r="Y1370" s="145"/>
      <c r="Z1370" s="147"/>
      <c r="AA1370" s="145"/>
      <c r="AB1370" s="145"/>
      <c r="AC1370" s="147"/>
      <c r="AD1370" s="145" t="s">
        <v>1017</v>
      </c>
      <c r="AE1370" s="148"/>
      <c r="AF1370" s="147"/>
      <c r="AG1370" s="147"/>
      <c r="AH1370" s="166" t="str">
        <f t="shared" si="566"/>
        <v/>
      </c>
      <c r="AI1370" s="168" t="str">
        <f t="shared" si="551"/>
        <v/>
      </c>
      <c r="AJ1370" s="168" t="str">
        <f t="shared" si="552"/>
        <v/>
      </c>
      <c r="AK1370" s="168" t="str">
        <f t="shared" si="553"/>
        <v/>
      </c>
      <c r="AL1370" s="168" t="str">
        <f t="shared" si="554"/>
        <v/>
      </c>
      <c r="AM1370" s="168" t="str">
        <f t="shared" si="555"/>
        <v/>
      </c>
      <c r="AN1370" s="167" t="str">
        <f t="shared" si="538"/>
        <v/>
      </c>
      <c r="AO1370" s="167" t="str">
        <f t="shared" si="539"/>
        <v/>
      </c>
      <c r="AP1370" s="167" t="str">
        <f t="shared" si="540"/>
        <v/>
      </c>
      <c r="AQ1370" s="169" t="str">
        <f t="shared" si="541"/>
        <v/>
      </c>
      <c r="AR1370" s="170" t="str">
        <f t="shared" si="542"/>
        <v>BiK82X2K09--06</v>
      </c>
      <c r="AS1370" s="169" t="str">
        <f t="shared" si="543"/>
        <v/>
      </c>
      <c r="AT1370">
        <f t="shared" si="544"/>
        <v>14</v>
      </c>
      <c r="AU1370" s="170" t="str">
        <f t="shared" si="545"/>
        <v>0,15-0,5 MW, Bonusregeln X2 und K erstmals 2009</v>
      </c>
      <c r="AV1370" s="169" t="str">
        <f t="shared" si="546"/>
        <v/>
      </c>
      <c r="AW1370" s="170" t="str">
        <f t="shared" si="547"/>
        <v>Anteil KWK, erstmals 2009</v>
      </c>
      <c r="AX1370" s="169" t="str">
        <f t="shared" si="548"/>
        <v/>
      </c>
      <c r="AY1370" t="str">
        <f t="shared" si="549"/>
        <v/>
      </c>
      <c r="AZ1370" t="str">
        <f t="shared" si="550"/>
        <v/>
      </c>
    </row>
    <row r="1371" spans="1:52" x14ac:dyDescent="0.35">
      <c r="A1371" s="497" t="s">
        <v>4918</v>
      </c>
      <c r="B1371" s="13" t="s">
        <v>5547</v>
      </c>
      <c r="C1371" s="13" t="s">
        <v>1296</v>
      </c>
      <c r="D1371" s="13" t="s">
        <v>7068</v>
      </c>
      <c r="E1371" s="13" t="s">
        <v>3566</v>
      </c>
      <c r="F1371" s="373">
        <f t="shared" si="557"/>
        <v>22.57</v>
      </c>
      <c r="G1371" s="430">
        <v>22.57</v>
      </c>
      <c r="H1371" s="399">
        <f t="shared" si="558"/>
        <v>18.059999999999999</v>
      </c>
      <c r="I1371" s="576"/>
      <c r="J1371" s="549" t="s">
        <v>5804</v>
      </c>
      <c r="K1371" s="11"/>
      <c r="M1371" s="37">
        <f t="shared" si="559"/>
        <v>22.57</v>
      </c>
      <c r="N1371" s="29">
        <v>9.6</v>
      </c>
      <c r="O1371" s="149"/>
      <c r="P1371" s="144"/>
      <c r="Q1371" s="145"/>
      <c r="R1371" s="145" t="s">
        <v>1017</v>
      </c>
      <c r="S1371" s="145" t="s">
        <v>4179</v>
      </c>
      <c r="T1371" t="s">
        <v>4179</v>
      </c>
      <c r="U1371" s="146"/>
      <c r="V1371" s="145"/>
      <c r="W1371" s="147"/>
      <c r="X1371" s="147"/>
      <c r="Y1371" s="145"/>
      <c r="Z1371" s="147"/>
      <c r="AA1371" s="145"/>
      <c r="AB1371" s="145"/>
      <c r="AC1371" s="147"/>
      <c r="AD1371" s="145" t="s">
        <v>1017</v>
      </c>
      <c r="AE1371" s="148"/>
      <c r="AF1371" s="147"/>
      <c r="AG1371" s="147"/>
      <c r="AH1371" s="166" t="str">
        <f t="shared" si="566"/>
        <v>2010</v>
      </c>
      <c r="AI1371" s="168" t="str">
        <f t="shared" si="551"/>
        <v/>
      </c>
      <c r="AJ1371" s="168" t="str">
        <f t="shared" si="552"/>
        <v/>
      </c>
      <c r="AK1371" s="168" t="str">
        <f t="shared" si="553"/>
        <v/>
      </c>
      <c r="AL1371" s="168" t="str">
        <f t="shared" si="554"/>
        <v/>
      </c>
      <c r="AM1371" s="168" t="str">
        <f t="shared" si="555"/>
        <v/>
      </c>
      <c r="AN1371" s="167" t="str">
        <f t="shared" si="538"/>
        <v>2010</v>
      </c>
      <c r="AO1371" s="167" t="str">
        <f t="shared" si="539"/>
        <v>2010</v>
      </c>
      <c r="AP1371" s="167" t="str">
        <f t="shared" si="540"/>
        <v>2010</v>
      </c>
      <c r="AQ1371" s="169" t="str">
        <f t="shared" si="541"/>
        <v/>
      </c>
      <c r="AR1371" s="170" t="str">
        <f t="shared" si="542"/>
        <v>BiK82X2K10--06</v>
      </c>
      <c r="AS1371" s="169" t="str">
        <f t="shared" si="543"/>
        <v/>
      </c>
      <c r="AT1371">
        <f t="shared" si="544"/>
        <v>14</v>
      </c>
      <c r="AU1371" s="170" t="str">
        <f t="shared" si="545"/>
        <v>0,15-0,5 MW, Bonusregeln X2 und K erstmals 2010</v>
      </c>
      <c r="AV1371" s="169" t="str">
        <f t="shared" si="546"/>
        <v/>
      </c>
      <c r="AW1371" s="170" t="str">
        <f t="shared" si="547"/>
        <v>Anteil KWK, erstmals 2010</v>
      </c>
      <c r="AX1371" s="169" t="str">
        <f t="shared" si="548"/>
        <v/>
      </c>
      <c r="AY1371" t="str">
        <f t="shared" si="549"/>
        <v/>
      </c>
      <c r="AZ1371" t="str">
        <f t="shared" si="550"/>
        <v/>
      </c>
    </row>
    <row r="1372" spans="1:52" x14ac:dyDescent="0.35">
      <c r="A1372" s="497" t="s">
        <v>3965</v>
      </c>
      <c r="B1372" s="13" t="s">
        <v>5547</v>
      </c>
      <c r="C1372" s="13" t="s">
        <v>1296</v>
      </c>
      <c r="D1372" s="13" t="s">
        <v>7069</v>
      </c>
      <c r="E1372" s="13" t="s">
        <v>3054</v>
      </c>
      <c r="F1372" s="373">
        <f t="shared" si="557"/>
        <v>22.54</v>
      </c>
      <c r="G1372" s="430">
        <v>22.54</v>
      </c>
      <c r="H1372" s="399">
        <f t="shared" si="558"/>
        <v>18.03</v>
      </c>
      <c r="I1372" s="576"/>
      <c r="J1372" s="549" t="s">
        <v>5804</v>
      </c>
      <c r="K1372" s="11"/>
      <c r="M1372" s="37">
        <f t="shared" si="559"/>
        <v>22.54</v>
      </c>
      <c r="N1372" s="29">
        <v>9.6</v>
      </c>
      <c r="O1372" s="149"/>
      <c r="P1372" s="144"/>
      <c r="Q1372" s="145"/>
      <c r="R1372" s="145"/>
      <c r="S1372" s="145" t="s">
        <v>1017</v>
      </c>
      <c r="T1372" t="s">
        <v>4179</v>
      </c>
      <c r="U1372" s="146"/>
      <c r="V1372" s="145"/>
      <c r="W1372" s="147"/>
      <c r="X1372" s="147"/>
      <c r="Y1372" s="145"/>
      <c r="Z1372" s="147"/>
      <c r="AA1372" s="145"/>
      <c r="AB1372" s="145"/>
      <c r="AC1372" s="147"/>
      <c r="AD1372" s="145" t="s">
        <v>1017</v>
      </c>
      <c r="AE1372" s="148"/>
      <c r="AF1372" s="147"/>
      <c r="AG1372" s="147"/>
      <c r="AH1372" s="166" t="str">
        <f t="shared" si="566"/>
        <v>2011</v>
      </c>
      <c r="AI1372" s="168" t="str">
        <f t="shared" si="551"/>
        <v/>
      </c>
      <c r="AJ1372" s="168" t="str">
        <f t="shared" si="552"/>
        <v/>
      </c>
      <c r="AK1372" s="168" t="str">
        <f t="shared" si="553"/>
        <v/>
      </c>
      <c r="AL1372" s="168" t="str">
        <f t="shared" si="554"/>
        <v/>
      </c>
      <c r="AM1372" s="168" t="str">
        <f t="shared" si="555"/>
        <v/>
      </c>
      <c r="AN1372" s="167" t="str">
        <f t="shared" si="538"/>
        <v>2011</v>
      </c>
      <c r="AO1372" s="167" t="str">
        <f t="shared" si="539"/>
        <v>2011</v>
      </c>
      <c r="AP1372" s="167" t="str">
        <f t="shared" si="540"/>
        <v>2011</v>
      </c>
      <c r="AQ1372" s="169" t="str">
        <f t="shared" si="541"/>
        <v/>
      </c>
      <c r="AR1372" s="170" t="str">
        <f t="shared" si="542"/>
        <v>BiK82X2K11--06</v>
      </c>
      <c r="AS1372" s="169" t="str">
        <f t="shared" si="543"/>
        <v/>
      </c>
      <c r="AT1372">
        <f t="shared" si="544"/>
        <v>14</v>
      </c>
      <c r="AU1372" s="170" t="str">
        <f t="shared" si="545"/>
        <v>0,15-0,5 MW, Bonusregeln X2 und K erstmals 2011</v>
      </c>
      <c r="AV1372" s="169" t="str">
        <f t="shared" si="546"/>
        <v/>
      </c>
      <c r="AW1372" s="170" t="str">
        <f t="shared" si="547"/>
        <v>Anteil KWK, erstmals 2011</v>
      </c>
      <c r="AX1372" s="169" t="str">
        <f t="shared" si="548"/>
        <v/>
      </c>
      <c r="AY1372" t="str">
        <f t="shared" si="549"/>
        <v>x</v>
      </c>
      <c r="AZ1372" t="str">
        <f t="shared" si="550"/>
        <v/>
      </c>
    </row>
    <row r="1373" spans="1:52" x14ac:dyDescent="0.35">
      <c r="A1373" s="511" t="s">
        <v>1788</v>
      </c>
      <c r="B1373" s="173" t="s">
        <v>5547</v>
      </c>
      <c r="C1373" s="173" t="s">
        <v>1296</v>
      </c>
      <c r="D1373" s="173" t="s">
        <v>7070</v>
      </c>
      <c r="E1373" s="173" t="s">
        <v>1980</v>
      </c>
      <c r="F1373" s="374">
        <f t="shared" si="557"/>
        <v>22.509999999999998</v>
      </c>
      <c r="G1373" s="431">
        <v>22.509999999999998</v>
      </c>
      <c r="H1373" s="400">
        <f t="shared" si="558"/>
        <v>18.010000000000002</v>
      </c>
      <c r="I1373" s="577"/>
      <c r="J1373" s="549" t="s">
        <v>5804</v>
      </c>
      <c r="K1373" s="11"/>
      <c r="M1373" s="37">
        <f t="shared" si="559"/>
        <v>22.509999999999998</v>
      </c>
      <c r="N1373" s="29">
        <v>9.6</v>
      </c>
      <c r="O1373" s="149"/>
      <c r="P1373" s="144"/>
      <c r="Q1373" s="145"/>
      <c r="R1373" s="145"/>
      <c r="S1373" s="145" t="s">
        <v>4179</v>
      </c>
      <c r="T1373" t="s">
        <v>1017</v>
      </c>
      <c r="U1373" s="146"/>
      <c r="V1373" s="145"/>
      <c r="W1373" s="147"/>
      <c r="X1373" s="147"/>
      <c r="Y1373" s="145"/>
      <c r="Z1373" s="147"/>
      <c r="AA1373" s="145"/>
      <c r="AB1373" s="145"/>
      <c r="AC1373" s="147"/>
      <c r="AD1373" s="145" t="s">
        <v>1017</v>
      </c>
      <c r="AE1373" s="148"/>
      <c r="AF1373" s="147"/>
      <c r="AG1373" s="147"/>
      <c r="AH1373" s="171" t="s">
        <v>4178</v>
      </c>
      <c r="AI1373" s="168" t="str">
        <f t="shared" si="551"/>
        <v/>
      </c>
      <c r="AJ1373" s="168" t="str">
        <f t="shared" si="552"/>
        <v/>
      </c>
      <c r="AK1373" s="168" t="str">
        <f t="shared" si="553"/>
        <v/>
      </c>
      <c r="AL1373" s="168" t="str">
        <f t="shared" si="554"/>
        <v/>
      </c>
      <c r="AM1373" s="168" t="str">
        <f t="shared" si="555"/>
        <v/>
      </c>
      <c r="AN1373" s="167" t="str">
        <f t="shared" si="538"/>
        <v>2012</v>
      </c>
      <c r="AO1373" s="167" t="str">
        <f t="shared" si="539"/>
        <v>2012</v>
      </c>
      <c r="AP1373" s="167" t="str">
        <f t="shared" si="540"/>
        <v>2012</v>
      </c>
      <c r="AQ1373" s="169" t="str">
        <f t="shared" si="541"/>
        <v/>
      </c>
      <c r="AR1373" s="170" t="str">
        <f t="shared" si="542"/>
        <v>BiK82X2K12--06</v>
      </c>
      <c r="AS1373" s="169" t="str">
        <f t="shared" si="543"/>
        <v/>
      </c>
      <c r="AT1373">
        <f t="shared" si="544"/>
        <v>14</v>
      </c>
      <c r="AU1373" s="170" t="str">
        <f t="shared" si="545"/>
        <v>0,15-0,5 MW, Bonusregeln X2 und K erstmals 2012</v>
      </c>
      <c r="AV1373" s="169" t="str">
        <f t="shared" si="546"/>
        <v/>
      </c>
      <c r="AW1373" s="170" t="str">
        <f t="shared" si="547"/>
        <v>Anteil KWK, erstmals 2012</v>
      </c>
      <c r="AX1373" s="169" t="str">
        <f t="shared" si="548"/>
        <v/>
      </c>
      <c r="AY1373" t="str">
        <f t="shared" si="549"/>
        <v/>
      </c>
      <c r="AZ1373" t="str">
        <f t="shared" si="550"/>
        <v>x</v>
      </c>
    </row>
    <row r="1374" spans="1:52" x14ac:dyDescent="0.35">
      <c r="A1374" s="497" t="s">
        <v>2797</v>
      </c>
      <c r="B1374" s="13" t="s">
        <v>5547</v>
      </c>
      <c r="C1374" s="13" t="s">
        <v>1296</v>
      </c>
      <c r="D1374" s="13" t="s">
        <v>7071</v>
      </c>
      <c r="E1374" s="13" t="s">
        <v>4809</v>
      </c>
      <c r="F1374" s="373">
        <f t="shared" si="557"/>
        <v>20.6</v>
      </c>
      <c r="G1374" s="430">
        <v>20.6</v>
      </c>
      <c r="H1374" s="399">
        <f t="shared" si="558"/>
        <v>16.48</v>
      </c>
      <c r="I1374" s="576"/>
      <c r="J1374" s="549" t="s">
        <v>5804</v>
      </c>
      <c r="K1374" s="11"/>
      <c r="M1374" s="37">
        <f t="shared" si="559"/>
        <v>20.6</v>
      </c>
      <c r="N1374" s="29">
        <v>9.6</v>
      </c>
      <c r="O1374" s="149"/>
      <c r="P1374" s="144"/>
      <c r="Q1374" s="145"/>
      <c r="R1374" s="145"/>
      <c r="S1374" s="145" t="s">
        <v>4179</v>
      </c>
      <c r="T1374" t="s">
        <v>4179</v>
      </c>
      <c r="U1374" s="146" t="s">
        <v>1017</v>
      </c>
      <c r="V1374" s="145"/>
      <c r="W1374" s="147"/>
      <c r="X1374" s="147"/>
      <c r="Y1374" s="145"/>
      <c r="Z1374" s="147"/>
      <c r="AA1374" s="145"/>
      <c r="AB1374" s="145"/>
      <c r="AC1374" s="147"/>
      <c r="AD1374" s="145" t="s">
        <v>1017</v>
      </c>
      <c r="AE1374" s="148"/>
      <c r="AF1374" s="147"/>
      <c r="AG1374" s="147"/>
      <c r="AH1374" s="166" t="str">
        <f t="shared" ref="AH1374:AH1379" si="567">IF(ISERROR(SEARCH("K erstmals 201",D1374)),"",RIGHT(D1374,4))</f>
        <v/>
      </c>
      <c r="AI1374" s="168" t="str">
        <f t="shared" si="551"/>
        <v/>
      </c>
      <c r="AJ1374" s="168" t="str">
        <f t="shared" si="552"/>
        <v/>
      </c>
      <c r="AK1374" s="168" t="str">
        <f t="shared" si="553"/>
        <v/>
      </c>
      <c r="AL1374" s="168" t="str">
        <f t="shared" si="554"/>
        <v/>
      </c>
      <c r="AM1374" s="168" t="str">
        <f t="shared" si="555"/>
        <v/>
      </c>
      <c r="AN1374" s="167" t="str">
        <f t="shared" si="538"/>
        <v/>
      </c>
      <c r="AO1374" s="167" t="str">
        <f t="shared" si="539"/>
        <v/>
      </c>
      <c r="AP1374" s="167" t="str">
        <f t="shared" si="540"/>
        <v/>
      </c>
      <c r="AQ1374" s="169" t="str">
        <f t="shared" si="541"/>
        <v/>
      </c>
      <c r="AR1374" s="170" t="str">
        <f t="shared" si="542"/>
        <v>BiK82X2y----06</v>
      </c>
      <c r="AS1374" s="169" t="str">
        <f t="shared" si="543"/>
        <v/>
      </c>
      <c r="AT1374">
        <f t="shared" si="544"/>
        <v>14</v>
      </c>
      <c r="AU1374" s="170" t="str">
        <f t="shared" si="545"/>
        <v>0,15-0,5 MW, Bonusregeln X2, y</v>
      </c>
      <c r="AV1374" s="169" t="str">
        <f t="shared" si="546"/>
        <v/>
      </c>
      <c r="AW1374" s="170" t="str">
        <f t="shared" si="547"/>
        <v>Anteil Nicht-KWK</v>
      </c>
      <c r="AX1374" s="169" t="str">
        <f t="shared" si="548"/>
        <v/>
      </c>
      <c r="AY1374" t="str">
        <f t="shared" si="549"/>
        <v/>
      </c>
      <c r="AZ1374" t="str">
        <f t="shared" si="550"/>
        <v/>
      </c>
    </row>
    <row r="1375" spans="1:52" x14ac:dyDescent="0.35">
      <c r="A1375" s="497" t="s">
        <v>2798</v>
      </c>
      <c r="B1375" s="13" t="s">
        <v>5547</v>
      </c>
      <c r="C1375" s="13" t="s">
        <v>1296</v>
      </c>
      <c r="D1375" s="13" t="s">
        <v>7124</v>
      </c>
      <c r="E1375" s="13" t="s">
        <v>4811</v>
      </c>
      <c r="F1375" s="373">
        <f t="shared" si="557"/>
        <v>22.6</v>
      </c>
      <c r="G1375" s="430">
        <v>22.6</v>
      </c>
      <c r="H1375" s="399">
        <f t="shared" si="558"/>
        <v>18.079999999999998</v>
      </c>
      <c r="I1375" s="576"/>
      <c r="J1375" s="549" t="s">
        <v>5804</v>
      </c>
      <c r="K1375" s="11"/>
      <c r="M1375" s="37">
        <f t="shared" si="559"/>
        <v>22.6</v>
      </c>
      <c r="N1375" s="29">
        <v>9.6</v>
      </c>
      <c r="O1375" s="149" t="s">
        <v>1017</v>
      </c>
      <c r="P1375" s="144"/>
      <c r="Q1375" s="145"/>
      <c r="R1375" s="145"/>
      <c r="S1375" s="145" t="s">
        <v>4179</v>
      </c>
      <c r="T1375" t="s">
        <v>4179</v>
      </c>
      <c r="U1375" s="146" t="s">
        <v>1017</v>
      </c>
      <c r="V1375" s="145"/>
      <c r="W1375" s="147"/>
      <c r="X1375" s="147"/>
      <c r="Y1375" s="145"/>
      <c r="Z1375" s="147"/>
      <c r="AA1375" s="145"/>
      <c r="AB1375" s="145"/>
      <c r="AC1375" s="147"/>
      <c r="AD1375" s="145" t="s">
        <v>1017</v>
      </c>
      <c r="AE1375" s="148"/>
      <c r="AF1375" s="147"/>
      <c r="AG1375" s="147"/>
      <c r="AH1375" s="166" t="str">
        <f t="shared" si="567"/>
        <v/>
      </c>
      <c r="AI1375" s="168" t="str">
        <f t="shared" si="551"/>
        <v/>
      </c>
      <c r="AJ1375" s="168" t="str">
        <f t="shared" si="552"/>
        <v/>
      </c>
      <c r="AK1375" s="168" t="str">
        <f t="shared" si="553"/>
        <v/>
      </c>
      <c r="AL1375" s="168" t="str">
        <f t="shared" si="554"/>
        <v/>
      </c>
      <c r="AM1375" s="168" t="str">
        <f t="shared" si="555"/>
        <v/>
      </c>
      <c r="AN1375" s="167" t="str">
        <f t="shared" si="538"/>
        <v/>
      </c>
      <c r="AO1375" s="167" t="str">
        <f t="shared" si="539"/>
        <v/>
      </c>
      <c r="AP1375" s="167" t="str">
        <f t="shared" si="540"/>
        <v/>
      </c>
      <c r="AQ1375" s="169" t="str">
        <f t="shared" si="541"/>
        <v/>
      </c>
      <c r="AR1375" s="170" t="str">
        <f t="shared" si="542"/>
        <v>BiK82X2KWKy-06</v>
      </c>
      <c r="AS1375" s="169" t="str">
        <f t="shared" si="543"/>
        <v/>
      </c>
      <c r="AT1375">
        <f t="shared" si="544"/>
        <v>14</v>
      </c>
      <c r="AU1375" s="170" t="str">
        <f t="shared" si="545"/>
        <v>0,15-0,5 MW, Bonusregeln X2, y und KWK</v>
      </c>
      <c r="AV1375" s="169" t="str">
        <f t="shared" si="546"/>
        <v/>
      </c>
      <c r="AW1375" s="170" t="str">
        <f t="shared" si="547"/>
        <v>Anteil KWK</v>
      </c>
      <c r="AX1375" s="169" t="str">
        <f t="shared" si="548"/>
        <v/>
      </c>
      <c r="AY1375" t="str">
        <f t="shared" si="549"/>
        <v/>
      </c>
      <c r="AZ1375" t="str">
        <f t="shared" si="550"/>
        <v/>
      </c>
    </row>
    <row r="1376" spans="1:52" x14ac:dyDescent="0.35">
      <c r="A1376" s="497" t="s">
        <v>3203</v>
      </c>
      <c r="B1376" s="13" t="s">
        <v>5547</v>
      </c>
      <c r="C1376" s="13" t="s">
        <v>1296</v>
      </c>
      <c r="D1376" s="88" t="s">
        <v>7072</v>
      </c>
      <c r="E1376" s="13" t="s">
        <v>4330</v>
      </c>
      <c r="F1376" s="373">
        <f t="shared" si="557"/>
        <v>23.6</v>
      </c>
      <c r="G1376" s="430">
        <v>23.6</v>
      </c>
      <c r="H1376" s="399">
        <f t="shared" si="558"/>
        <v>18.88</v>
      </c>
      <c r="I1376" s="576"/>
      <c r="J1376" s="549" t="s">
        <v>5804</v>
      </c>
      <c r="K1376" s="11"/>
      <c r="M1376" s="37">
        <f t="shared" si="559"/>
        <v>23.6</v>
      </c>
      <c r="N1376" s="29">
        <v>9.6</v>
      </c>
      <c r="O1376" s="149"/>
      <c r="P1376" s="145" t="s">
        <v>1017</v>
      </c>
      <c r="Q1376" s="145"/>
      <c r="R1376" s="145"/>
      <c r="S1376" s="145" t="s">
        <v>4179</v>
      </c>
      <c r="T1376" t="s">
        <v>4179</v>
      </c>
      <c r="U1376" s="146" t="s">
        <v>1017</v>
      </c>
      <c r="V1376" s="145"/>
      <c r="W1376" s="147"/>
      <c r="X1376" s="147"/>
      <c r="Y1376" s="145"/>
      <c r="Z1376" s="147"/>
      <c r="AA1376" s="145"/>
      <c r="AB1376" s="145"/>
      <c r="AC1376" s="147"/>
      <c r="AD1376" s="145" t="s">
        <v>1017</v>
      </c>
      <c r="AE1376" s="148"/>
      <c r="AF1376" s="147"/>
      <c r="AG1376" s="147"/>
      <c r="AH1376" s="166" t="str">
        <f t="shared" si="567"/>
        <v/>
      </c>
      <c r="AI1376" s="168" t="str">
        <f t="shared" si="551"/>
        <v/>
      </c>
      <c r="AJ1376" s="168" t="str">
        <f t="shared" si="552"/>
        <v/>
      </c>
      <c r="AK1376" s="168" t="str">
        <f t="shared" si="553"/>
        <v/>
      </c>
      <c r="AL1376" s="168" t="str">
        <f t="shared" si="554"/>
        <v/>
      </c>
      <c r="AM1376" s="168" t="str">
        <f t="shared" si="555"/>
        <v/>
      </c>
      <c r="AN1376" s="167" t="str">
        <f t="shared" si="538"/>
        <v/>
      </c>
      <c r="AO1376" s="167" t="str">
        <f t="shared" si="539"/>
        <v/>
      </c>
      <c r="AP1376" s="167" t="str">
        <f t="shared" si="540"/>
        <v/>
      </c>
      <c r="AQ1376" s="169" t="str">
        <f t="shared" si="541"/>
        <v/>
      </c>
      <c r="AR1376" s="170" t="str">
        <f t="shared" si="542"/>
        <v>BiK82X2KA3y-06</v>
      </c>
      <c r="AS1376" s="169" t="str">
        <f t="shared" si="543"/>
        <v/>
      </c>
      <c r="AT1376">
        <f t="shared" si="544"/>
        <v>14</v>
      </c>
      <c r="AU1376" s="170" t="str">
        <f t="shared" si="545"/>
        <v>0,15-0,5 MW, Bonusregeln X2, y und K wenn Anlage 3 erfüllt</v>
      </c>
      <c r="AV1376" s="169" t="str">
        <f t="shared" si="546"/>
        <v/>
      </c>
      <c r="AW1376" s="170" t="str">
        <f t="shared" si="547"/>
        <v>Anteil KWK gemäß Anlage 3</v>
      </c>
      <c r="AX1376" s="169" t="str">
        <f t="shared" si="548"/>
        <v/>
      </c>
      <c r="AY1376" t="str">
        <f t="shared" si="549"/>
        <v/>
      </c>
      <c r="AZ1376" t="str">
        <f t="shared" si="550"/>
        <v/>
      </c>
    </row>
    <row r="1377" spans="1:52" x14ac:dyDescent="0.35">
      <c r="A1377" s="497" t="s">
        <v>3204</v>
      </c>
      <c r="B1377" s="13" t="s">
        <v>5547</v>
      </c>
      <c r="C1377" s="13" t="s">
        <v>1296</v>
      </c>
      <c r="D1377" s="13" t="s">
        <v>7073</v>
      </c>
      <c r="E1377" s="13" t="s">
        <v>674</v>
      </c>
      <c r="F1377" s="373">
        <f t="shared" si="557"/>
        <v>23.6</v>
      </c>
      <c r="G1377" s="430">
        <v>23.6</v>
      </c>
      <c r="H1377" s="399">
        <f t="shared" si="558"/>
        <v>18.88</v>
      </c>
      <c r="I1377" s="576"/>
      <c r="J1377" s="549" t="s">
        <v>5804</v>
      </c>
      <c r="K1377" s="11"/>
      <c r="M1377" s="37">
        <f t="shared" si="559"/>
        <v>23.6</v>
      </c>
      <c r="N1377" s="29">
        <v>9.6</v>
      </c>
      <c r="O1377" s="149"/>
      <c r="P1377" s="144"/>
      <c r="Q1377" s="145" t="s">
        <v>1017</v>
      </c>
      <c r="R1377" s="145"/>
      <c r="S1377" s="145" t="s">
        <v>4179</v>
      </c>
      <c r="T1377" t="s">
        <v>4179</v>
      </c>
      <c r="U1377" s="146" t="s">
        <v>1017</v>
      </c>
      <c r="V1377" s="145"/>
      <c r="W1377" s="147"/>
      <c r="X1377" s="147"/>
      <c r="Y1377" s="145"/>
      <c r="Z1377" s="147"/>
      <c r="AA1377" s="145"/>
      <c r="AB1377" s="145"/>
      <c r="AC1377" s="147"/>
      <c r="AD1377" s="145" t="s">
        <v>1017</v>
      </c>
      <c r="AE1377" s="148"/>
      <c r="AF1377" s="147"/>
      <c r="AG1377" s="147"/>
      <c r="AH1377" s="166" t="str">
        <f t="shared" si="567"/>
        <v/>
      </c>
      <c r="AI1377" s="168" t="str">
        <f t="shared" si="551"/>
        <v/>
      </c>
      <c r="AJ1377" s="168" t="str">
        <f t="shared" si="552"/>
        <v/>
      </c>
      <c r="AK1377" s="168" t="str">
        <f t="shared" si="553"/>
        <v/>
      </c>
      <c r="AL1377" s="168" t="str">
        <f t="shared" si="554"/>
        <v/>
      </c>
      <c r="AM1377" s="168" t="str">
        <f t="shared" si="555"/>
        <v/>
      </c>
      <c r="AN1377" s="167" t="str">
        <f t="shared" si="538"/>
        <v/>
      </c>
      <c r="AO1377" s="167" t="str">
        <f t="shared" si="539"/>
        <v/>
      </c>
      <c r="AP1377" s="167" t="str">
        <f t="shared" si="540"/>
        <v/>
      </c>
      <c r="AQ1377" s="169" t="str">
        <f t="shared" si="541"/>
        <v/>
      </c>
      <c r="AR1377" s="170" t="str">
        <f t="shared" si="542"/>
        <v>BiK82X2K09y-06</v>
      </c>
      <c r="AS1377" s="169" t="str">
        <f t="shared" si="543"/>
        <v/>
      </c>
      <c r="AT1377">
        <f t="shared" si="544"/>
        <v>14</v>
      </c>
      <c r="AU1377" s="170" t="str">
        <f t="shared" si="545"/>
        <v>0,15-0,5 MW, Bonusregeln X2, y und K erstmals 2009</v>
      </c>
      <c r="AV1377" s="169" t="str">
        <f t="shared" si="546"/>
        <v/>
      </c>
      <c r="AW1377" s="170" t="str">
        <f t="shared" si="547"/>
        <v>Anteil KWK, erstmals 2009</v>
      </c>
      <c r="AX1377" s="169" t="str">
        <f t="shared" si="548"/>
        <v/>
      </c>
      <c r="AY1377" t="str">
        <f t="shared" si="549"/>
        <v/>
      </c>
      <c r="AZ1377" t="str">
        <f t="shared" si="550"/>
        <v/>
      </c>
    </row>
    <row r="1378" spans="1:52" x14ac:dyDescent="0.35">
      <c r="A1378" s="497" t="s">
        <v>4919</v>
      </c>
      <c r="B1378" s="13" t="s">
        <v>5547</v>
      </c>
      <c r="C1378" s="13" t="s">
        <v>1296</v>
      </c>
      <c r="D1378" s="13" t="s">
        <v>7074</v>
      </c>
      <c r="E1378" s="13" t="s">
        <v>3566</v>
      </c>
      <c r="F1378" s="373">
        <f t="shared" si="557"/>
        <v>23.57</v>
      </c>
      <c r="G1378" s="430">
        <v>23.57</v>
      </c>
      <c r="H1378" s="399">
        <f t="shared" si="558"/>
        <v>18.86</v>
      </c>
      <c r="I1378" s="576"/>
      <c r="J1378" s="549" t="s">
        <v>5804</v>
      </c>
      <c r="K1378" s="11"/>
      <c r="M1378" s="37">
        <f t="shared" si="559"/>
        <v>23.57</v>
      </c>
      <c r="N1378" s="29">
        <v>9.6</v>
      </c>
      <c r="O1378" s="149"/>
      <c r="P1378" s="144"/>
      <c r="Q1378" s="145"/>
      <c r="R1378" s="145" t="s">
        <v>1017</v>
      </c>
      <c r="S1378" s="145" t="s">
        <v>4179</v>
      </c>
      <c r="T1378" t="s">
        <v>4179</v>
      </c>
      <c r="U1378" s="146" t="s">
        <v>1017</v>
      </c>
      <c r="V1378" s="145"/>
      <c r="W1378" s="147"/>
      <c r="X1378" s="147"/>
      <c r="Y1378" s="145"/>
      <c r="Z1378" s="147"/>
      <c r="AA1378" s="145"/>
      <c r="AB1378" s="145"/>
      <c r="AC1378" s="147"/>
      <c r="AD1378" s="145" t="s">
        <v>1017</v>
      </c>
      <c r="AE1378" s="148"/>
      <c r="AF1378" s="147"/>
      <c r="AG1378" s="147"/>
      <c r="AH1378" s="166" t="str">
        <f t="shared" si="567"/>
        <v>2010</v>
      </c>
      <c r="AI1378" s="168" t="str">
        <f t="shared" si="551"/>
        <v/>
      </c>
      <c r="AJ1378" s="168" t="str">
        <f t="shared" si="552"/>
        <v/>
      </c>
      <c r="AK1378" s="168" t="str">
        <f t="shared" si="553"/>
        <v/>
      </c>
      <c r="AL1378" s="168" t="str">
        <f t="shared" si="554"/>
        <v/>
      </c>
      <c r="AM1378" s="168" t="str">
        <f t="shared" si="555"/>
        <v/>
      </c>
      <c r="AN1378" s="167" t="str">
        <f t="shared" si="538"/>
        <v>2010</v>
      </c>
      <c r="AO1378" s="167" t="str">
        <f t="shared" si="539"/>
        <v>2010</v>
      </c>
      <c r="AP1378" s="167" t="str">
        <f t="shared" si="540"/>
        <v>2010</v>
      </c>
      <c r="AQ1378" s="169" t="str">
        <f t="shared" si="541"/>
        <v/>
      </c>
      <c r="AR1378" s="170" t="str">
        <f t="shared" si="542"/>
        <v>BiK82X2K10y-06</v>
      </c>
      <c r="AS1378" s="169" t="str">
        <f t="shared" si="543"/>
        <v/>
      </c>
      <c r="AT1378">
        <f t="shared" si="544"/>
        <v>14</v>
      </c>
      <c r="AU1378" s="170" t="str">
        <f t="shared" si="545"/>
        <v>0,15-0,5 MW, Bonusregeln X2, y und K erstmals 2010</v>
      </c>
      <c r="AV1378" s="169" t="str">
        <f t="shared" si="546"/>
        <v/>
      </c>
      <c r="AW1378" s="170" t="str">
        <f t="shared" si="547"/>
        <v>Anteil KWK, erstmals 2010</v>
      </c>
      <c r="AX1378" s="169" t="str">
        <f t="shared" si="548"/>
        <v/>
      </c>
      <c r="AY1378" t="str">
        <f t="shared" si="549"/>
        <v/>
      </c>
      <c r="AZ1378" t="str">
        <f t="shared" si="550"/>
        <v/>
      </c>
    </row>
    <row r="1379" spans="1:52" x14ac:dyDescent="0.35">
      <c r="A1379" s="497" t="s">
        <v>3966</v>
      </c>
      <c r="B1379" s="13" t="s">
        <v>5547</v>
      </c>
      <c r="C1379" s="13" t="s">
        <v>1296</v>
      </c>
      <c r="D1379" s="13" t="s">
        <v>7075</v>
      </c>
      <c r="E1379" s="13" t="s">
        <v>3054</v>
      </c>
      <c r="F1379" s="373">
        <f t="shared" si="557"/>
        <v>23.54</v>
      </c>
      <c r="G1379" s="430">
        <v>23.54</v>
      </c>
      <c r="H1379" s="399">
        <f t="shared" si="558"/>
        <v>18.829999999999998</v>
      </c>
      <c r="I1379" s="576"/>
      <c r="J1379" s="549" t="s">
        <v>5804</v>
      </c>
      <c r="K1379" s="11"/>
      <c r="M1379" s="37">
        <f t="shared" si="559"/>
        <v>23.54</v>
      </c>
      <c r="N1379" s="29">
        <v>9.6</v>
      </c>
      <c r="O1379" s="149"/>
      <c r="P1379" s="144"/>
      <c r="Q1379" s="145"/>
      <c r="R1379" s="145"/>
      <c r="S1379" s="145" t="s">
        <v>1017</v>
      </c>
      <c r="T1379" t="s">
        <v>4179</v>
      </c>
      <c r="U1379" s="146" t="s">
        <v>1017</v>
      </c>
      <c r="V1379" s="145"/>
      <c r="W1379" s="147"/>
      <c r="X1379" s="147"/>
      <c r="Y1379" s="145"/>
      <c r="Z1379" s="147"/>
      <c r="AA1379" s="145"/>
      <c r="AB1379" s="145"/>
      <c r="AC1379" s="147"/>
      <c r="AD1379" s="145" t="s">
        <v>1017</v>
      </c>
      <c r="AE1379" s="148"/>
      <c r="AF1379" s="147"/>
      <c r="AG1379" s="147"/>
      <c r="AH1379" s="166" t="str">
        <f t="shared" si="567"/>
        <v>2011</v>
      </c>
      <c r="AI1379" s="168" t="str">
        <f t="shared" si="551"/>
        <v/>
      </c>
      <c r="AJ1379" s="168" t="str">
        <f t="shared" si="552"/>
        <v/>
      </c>
      <c r="AK1379" s="168" t="str">
        <f t="shared" si="553"/>
        <v/>
      </c>
      <c r="AL1379" s="168" t="str">
        <f t="shared" si="554"/>
        <v/>
      </c>
      <c r="AM1379" s="168" t="str">
        <f t="shared" si="555"/>
        <v/>
      </c>
      <c r="AN1379" s="167" t="str">
        <f t="shared" ref="AN1379:AN1442" si="568">IF(ISERROR(SEARCH("K1",A1379)),"","20"&amp;MID(A1379,SEARCH("K1",A1379)+1,2))</f>
        <v>2011</v>
      </c>
      <c r="AO1379" s="167" t="str">
        <f t="shared" ref="AO1379:AO1442" si="569">IF(ISERROR(SEARCH("erstmals 201",E1379)),"",MID(E1379,SEARCH("erstmals ",E1379)+9,4))</f>
        <v>2011</v>
      </c>
      <c r="AP1379" s="167" t="str">
        <f t="shared" ref="AP1379:AP1442" si="570">IF(R1379="x","2010",IF(S1379="x","2011",IF(T1379="x","2012","")))</f>
        <v>2011</v>
      </c>
      <c r="AQ1379" s="169" t="str">
        <f t="shared" ref="AQ1379:AQ1442" si="571">IF(OR(AH1379&lt;&gt;AN1379,AH1379&lt;&gt;AO1379,AH1379&lt;&gt;AP1379),"DIFF","")</f>
        <v/>
      </c>
      <c r="AR1379" s="170" t="str">
        <f t="shared" ref="AR1379:AR1442" si="572">IF(A1379="","",IF(ISERROR(SEARCH("K1",A1379)),A1379,LEFT(A1379,SEARCH("K1",A1379)+1)&amp;RIGHT(AH1379,1)&amp;MID(A1379,SEARCH("K1",A1379)+3,14)))</f>
        <v>BiK82X2K11y-06</v>
      </c>
      <c r="AS1379" s="169" t="str">
        <f t="shared" ref="AS1379:AS1442" si="573">IF(OR(A1379&lt;&gt;AR1379),"DIFF","")</f>
        <v/>
      </c>
      <c r="AT1379">
        <f t="shared" ref="AT1379:AT1442" si="574">LEN(AR1379)</f>
        <v>14</v>
      </c>
      <c r="AU1379" s="170" t="str">
        <f t="shared" ref="AU1379:AU1442" si="575">IF(D1379="","",IF(OR(A1379="",ISERROR(SEARCH("erstmals 201",D1379))),D1379,LEFT(D1379,SEARCH("erstmals 201",D1379)+8) &amp; AH1379 &amp; MID(D1379,SEARCH("erstmals 201",D1379)+13,255)))</f>
        <v>0,15-0,5 MW, Bonusregeln X2, y und K erstmals 2011</v>
      </c>
      <c r="AV1379" s="169" t="str">
        <f t="shared" ref="AV1379:AV1442" si="576">IF(OR(D1379&lt;&gt;AU1379),"DIFF","")</f>
        <v/>
      </c>
      <c r="AW1379" s="170" t="str">
        <f t="shared" ref="AW1379:AW1442" si="577">IF(E1379="","",IF(OR(E1379="",ISERROR(SEARCH("erstmals 201",E1379))),E1379,LEFT(E1379,SEARCH("erstmals 201",E1379)+8) &amp; AH1379 &amp; MID(E1379,SEARCH("erstmals 201",E1379)+13,255)))</f>
        <v>Anteil KWK, erstmals 2011</v>
      </c>
      <c r="AX1379" s="169" t="str">
        <f t="shared" ref="AX1379:AX1442" si="578">IF(OR(E1379&lt;&gt;AW1379),"DIFF","")</f>
        <v/>
      </c>
      <c r="AY1379" t="str">
        <f t="shared" ref="AY1379:AY1442" si="579">IF(AH1379="2011","x",IF(AH1379="2012","","" &amp; S1379))</f>
        <v>x</v>
      </c>
      <c r="AZ1379" t="str">
        <f t="shared" ref="AZ1379:AZ1442" si="580">IF(AH1379="2012","x",IF(AH1379="2011","","" &amp; T1379))</f>
        <v/>
      </c>
    </row>
    <row r="1380" spans="1:52" x14ac:dyDescent="0.35">
      <c r="A1380" s="511" t="s">
        <v>1789</v>
      </c>
      <c r="B1380" s="173" t="s">
        <v>5547</v>
      </c>
      <c r="C1380" s="173" t="s">
        <v>1296</v>
      </c>
      <c r="D1380" s="173" t="s">
        <v>7076</v>
      </c>
      <c r="E1380" s="173" t="s">
        <v>1980</v>
      </c>
      <c r="F1380" s="374">
        <f t="shared" si="557"/>
        <v>23.509999999999998</v>
      </c>
      <c r="G1380" s="431">
        <v>23.509999999999998</v>
      </c>
      <c r="H1380" s="400">
        <f t="shared" si="558"/>
        <v>18.809999999999999</v>
      </c>
      <c r="I1380" s="577"/>
      <c r="J1380" s="549" t="s">
        <v>5804</v>
      </c>
      <c r="K1380" s="11"/>
      <c r="M1380" s="37">
        <f t="shared" si="559"/>
        <v>23.509999999999998</v>
      </c>
      <c r="N1380" s="29">
        <v>9.6</v>
      </c>
      <c r="O1380" s="149"/>
      <c r="P1380" s="144"/>
      <c r="Q1380" s="145"/>
      <c r="R1380" s="145"/>
      <c r="S1380" s="145" t="s">
        <v>4179</v>
      </c>
      <c r="T1380" t="s">
        <v>1017</v>
      </c>
      <c r="U1380" s="146" t="s">
        <v>1017</v>
      </c>
      <c r="V1380" s="145"/>
      <c r="W1380" s="147"/>
      <c r="X1380" s="147"/>
      <c r="Y1380" s="145"/>
      <c r="Z1380" s="147"/>
      <c r="AA1380" s="145"/>
      <c r="AB1380" s="145"/>
      <c r="AC1380" s="147"/>
      <c r="AD1380" s="145" t="s">
        <v>1017</v>
      </c>
      <c r="AE1380" s="148"/>
      <c r="AF1380" s="147"/>
      <c r="AG1380" s="147"/>
      <c r="AH1380" s="171" t="s">
        <v>4178</v>
      </c>
      <c r="AI1380" s="168" t="str">
        <f t="shared" si="551"/>
        <v/>
      </c>
      <c r="AJ1380" s="168" t="str">
        <f t="shared" si="552"/>
        <v/>
      </c>
      <c r="AK1380" s="168" t="str">
        <f t="shared" si="553"/>
        <v/>
      </c>
      <c r="AL1380" s="168" t="str">
        <f t="shared" si="554"/>
        <v/>
      </c>
      <c r="AM1380" s="168" t="str">
        <f t="shared" si="555"/>
        <v/>
      </c>
      <c r="AN1380" s="167" t="str">
        <f t="shared" si="568"/>
        <v>2012</v>
      </c>
      <c r="AO1380" s="167" t="str">
        <f t="shared" si="569"/>
        <v>2012</v>
      </c>
      <c r="AP1380" s="167" t="str">
        <f t="shared" si="570"/>
        <v>2012</v>
      </c>
      <c r="AQ1380" s="169" t="str">
        <f t="shared" si="571"/>
        <v/>
      </c>
      <c r="AR1380" s="170" t="str">
        <f t="shared" si="572"/>
        <v>BiK82X2K12y-06</v>
      </c>
      <c r="AS1380" s="169" t="str">
        <f t="shared" si="573"/>
        <v/>
      </c>
      <c r="AT1380">
        <f t="shared" si="574"/>
        <v>14</v>
      </c>
      <c r="AU1380" s="170" t="str">
        <f t="shared" si="575"/>
        <v>0,15-0,5 MW, Bonusregeln X2, y und K erstmals 2012</v>
      </c>
      <c r="AV1380" s="169" t="str">
        <f t="shared" si="576"/>
        <v/>
      </c>
      <c r="AW1380" s="170" t="str">
        <f t="shared" si="577"/>
        <v>Anteil KWK, erstmals 2012</v>
      </c>
      <c r="AX1380" s="169" t="str">
        <f t="shared" si="578"/>
        <v/>
      </c>
      <c r="AY1380" t="str">
        <f t="shared" si="579"/>
        <v/>
      </c>
      <c r="AZ1380" t="str">
        <f t="shared" si="580"/>
        <v>x</v>
      </c>
    </row>
    <row r="1381" spans="1:52" x14ac:dyDescent="0.35">
      <c r="A1381" s="496" t="s">
        <v>886</v>
      </c>
      <c r="B1381" s="1" t="s">
        <v>5547</v>
      </c>
      <c r="C1381" s="1" t="s">
        <v>1296</v>
      </c>
      <c r="D1381" s="1" t="s">
        <v>7125</v>
      </c>
      <c r="E1381" s="1" t="s">
        <v>4809</v>
      </c>
      <c r="F1381" s="375">
        <f t="shared" si="557"/>
        <v>11.6</v>
      </c>
      <c r="G1381" s="432">
        <v>11.6</v>
      </c>
      <c r="H1381" s="401">
        <f t="shared" si="558"/>
        <v>9.2799999999999994</v>
      </c>
      <c r="I1381" s="578"/>
      <c r="J1381" s="549" t="s">
        <v>5804</v>
      </c>
      <c r="K1381" s="11"/>
      <c r="M1381" s="37">
        <f t="shared" si="559"/>
        <v>11.6</v>
      </c>
      <c r="N1381" s="29">
        <v>9.6</v>
      </c>
      <c r="O1381" s="41"/>
      <c r="P1381" s="11"/>
      <c r="S1381" t="s">
        <v>4179</v>
      </c>
      <c r="T1381" t="s">
        <v>4179</v>
      </c>
      <c r="U1381" s="42"/>
      <c r="W1381" s="50"/>
      <c r="X1381" s="50"/>
      <c r="Z1381" s="50"/>
      <c r="AC1381" s="50"/>
      <c r="AE1381" s="75" t="s">
        <v>1017</v>
      </c>
      <c r="AF1381" s="50"/>
      <c r="AG1381" s="50"/>
      <c r="AH1381" s="166" t="str">
        <f t="shared" ref="AH1381:AH1386" si="581">IF(ISERROR(SEARCH("K erstmals 201",D1381)),"",RIGHT(D1381,4))</f>
        <v/>
      </c>
      <c r="AI1381" s="168" t="str">
        <f t="shared" ref="AI1381:AI1444" si="582">IF(AND($AH1381&lt;&gt;"",AH1381 =AH1380),"Gleich","")</f>
        <v/>
      </c>
      <c r="AJ1381" s="168" t="str">
        <f t="shared" ref="AJ1381:AJ1444" si="583">IF(AND($AH1381&lt;&gt;"",A1381 =A1380),"Gleich","")</f>
        <v/>
      </c>
      <c r="AK1381" s="168" t="str">
        <f t="shared" ref="AK1381:AK1444" si="584">IF(AND($AH1381&lt;&gt;"",D1381 =D1380),"Gleich","")</f>
        <v/>
      </c>
      <c r="AL1381" s="168" t="str">
        <f t="shared" ref="AL1381:AL1444" si="585">IF(AND($AH1381&lt;&gt;"",E1381 =E1380),"Gleich","")</f>
        <v/>
      </c>
      <c r="AM1381" s="168" t="str">
        <f t="shared" ref="AM1381:AM1444" si="586">IF(AND($AH1381&lt;&gt;"",F1381 =F1380),"Gleich","")</f>
        <v/>
      </c>
      <c r="AN1381" s="167" t="str">
        <f t="shared" si="568"/>
        <v/>
      </c>
      <c r="AO1381" s="167" t="str">
        <f t="shared" si="569"/>
        <v/>
      </c>
      <c r="AP1381" s="167" t="str">
        <f t="shared" si="570"/>
        <v/>
      </c>
      <c r="AQ1381" s="169" t="str">
        <f t="shared" si="571"/>
        <v/>
      </c>
      <c r="AR1381" s="170" t="str">
        <f t="shared" si="572"/>
        <v>BiK82b------06</v>
      </c>
      <c r="AS1381" s="169" t="str">
        <f t="shared" si="573"/>
        <v/>
      </c>
      <c r="AT1381">
        <f t="shared" si="574"/>
        <v>14</v>
      </c>
      <c r="AU1381" s="170" t="str">
        <f t="shared" si="575"/>
        <v>0,15-0,5 MW, Bonusregel b</v>
      </c>
      <c r="AV1381" s="169" t="str">
        <f t="shared" si="576"/>
        <v/>
      </c>
      <c r="AW1381" s="170" t="str">
        <f t="shared" si="577"/>
        <v>Anteil Nicht-KWK</v>
      </c>
      <c r="AX1381" s="169" t="str">
        <f t="shared" si="578"/>
        <v/>
      </c>
      <c r="AY1381" t="str">
        <f t="shared" si="579"/>
        <v/>
      </c>
      <c r="AZ1381" t="str">
        <f t="shared" si="580"/>
        <v/>
      </c>
    </row>
    <row r="1382" spans="1:52" x14ac:dyDescent="0.35">
      <c r="A1382" s="496" t="s">
        <v>887</v>
      </c>
      <c r="B1382" s="1" t="s">
        <v>5547</v>
      </c>
      <c r="C1382" s="1" t="s">
        <v>1296</v>
      </c>
      <c r="D1382" s="1" t="s">
        <v>7126</v>
      </c>
      <c r="E1382" s="1" t="s">
        <v>4811</v>
      </c>
      <c r="F1382" s="375">
        <f t="shared" si="557"/>
        <v>13.6</v>
      </c>
      <c r="G1382" s="432">
        <v>13.6</v>
      </c>
      <c r="H1382" s="401">
        <f t="shared" si="558"/>
        <v>10.88</v>
      </c>
      <c r="I1382" s="578"/>
      <c r="J1382" s="549" t="s">
        <v>5804</v>
      </c>
      <c r="K1382" s="11"/>
      <c r="M1382" s="37">
        <f t="shared" si="559"/>
        <v>13.6</v>
      </c>
      <c r="N1382" s="29">
        <v>9.6</v>
      </c>
      <c r="O1382" s="41" t="s">
        <v>1017</v>
      </c>
      <c r="P1382" s="11"/>
      <c r="S1382" t="s">
        <v>4179</v>
      </c>
      <c r="T1382" t="s">
        <v>4179</v>
      </c>
      <c r="U1382" s="42"/>
      <c r="W1382" s="50"/>
      <c r="X1382" s="50"/>
      <c r="Z1382" s="50"/>
      <c r="AC1382" s="50"/>
      <c r="AE1382" s="75" t="s">
        <v>1017</v>
      </c>
      <c r="AF1382" s="50"/>
      <c r="AG1382" s="50"/>
      <c r="AH1382" s="166" t="str">
        <f t="shared" si="581"/>
        <v/>
      </c>
      <c r="AI1382" s="168" t="str">
        <f t="shared" si="582"/>
        <v/>
      </c>
      <c r="AJ1382" s="168" t="str">
        <f t="shared" si="583"/>
        <v/>
      </c>
      <c r="AK1382" s="168" t="str">
        <f t="shared" si="584"/>
        <v/>
      </c>
      <c r="AL1382" s="168" t="str">
        <f t="shared" si="585"/>
        <v/>
      </c>
      <c r="AM1382" s="168" t="str">
        <f t="shared" si="586"/>
        <v/>
      </c>
      <c r="AN1382" s="167" t="str">
        <f t="shared" si="568"/>
        <v/>
      </c>
      <c r="AO1382" s="167" t="str">
        <f t="shared" si="569"/>
        <v/>
      </c>
      <c r="AP1382" s="167" t="str">
        <f t="shared" si="570"/>
        <v/>
      </c>
      <c r="AQ1382" s="169" t="str">
        <f t="shared" si="571"/>
        <v/>
      </c>
      <c r="AR1382" s="170" t="str">
        <f t="shared" si="572"/>
        <v>BiK82bKWK---06</v>
      </c>
      <c r="AS1382" s="169" t="str">
        <f t="shared" si="573"/>
        <v/>
      </c>
      <c r="AT1382">
        <f t="shared" si="574"/>
        <v>14</v>
      </c>
      <c r="AU1382" s="170" t="str">
        <f t="shared" si="575"/>
        <v>0,15-0,5 MW, Bonusregeln b und KWK</v>
      </c>
      <c r="AV1382" s="169" t="str">
        <f t="shared" si="576"/>
        <v/>
      </c>
      <c r="AW1382" s="170" t="str">
        <f t="shared" si="577"/>
        <v>Anteil KWK</v>
      </c>
      <c r="AX1382" s="169" t="str">
        <f t="shared" si="578"/>
        <v/>
      </c>
      <c r="AY1382" t="str">
        <f t="shared" si="579"/>
        <v/>
      </c>
      <c r="AZ1382" t="str">
        <f t="shared" si="580"/>
        <v/>
      </c>
    </row>
    <row r="1383" spans="1:52" x14ac:dyDescent="0.35">
      <c r="A1383" s="497" t="s">
        <v>4355</v>
      </c>
      <c r="B1383" s="13" t="s">
        <v>5547</v>
      </c>
      <c r="C1383" s="13" t="s">
        <v>1296</v>
      </c>
      <c r="D1383" s="13" t="s">
        <v>7127</v>
      </c>
      <c r="E1383" s="13" t="s">
        <v>4330</v>
      </c>
      <c r="F1383" s="373">
        <f t="shared" si="557"/>
        <v>14.6</v>
      </c>
      <c r="G1383" s="430">
        <v>14.6</v>
      </c>
      <c r="H1383" s="399">
        <f t="shared" si="558"/>
        <v>11.68</v>
      </c>
      <c r="I1383" s="576"/>
      <c r="J1383" s="549" t="s">
        <v>5804</v>
      </c>
      <c r="K1383" s="11"/>
      <c r="M1383" s="37">
        <f t="shared" si="559"/>
        <v>14.6</v>
      </c>
      <c r="N1383" s="29">
        <v>9.6</v>
      </c>
      <c r="O1383" s="41"/>
      <c r="P1383" t="s">
        <v>1017</v>
      </c>
      <c r="S1383" t="s">
        <v>4179</v>
      </c>
      <c r="T1383" t="s">
        <v>4179</v>
      </c>
      <c r="U1383" s="42"/>
      <c r="W1383" s="50"/>
      <c r="X1383" s="50"/>
      <c r="Z1383" s="50"/>
      <c r="AC1383" s="50"/>
      <c r="AE1383" s="75" t="s">
        <v>1017</v>
      </c>
      <c r="AF1383" s="50"/>
      <c r="AG1383" s="50"/>
      <c r="AH1383" s="166" t="str">
        <f t="shared" si="581"/>
        <v/>
      </c>
      <c r="AI1383" s="168" t="str">
        <f t="shared" si="582"/>
        <v/>
      </c>
      <c r="AJ1383" s="168" t="str">
        <f t="shared" si="583"/>
        <v/>
      </c>
      <c r="AK1383" s="168" t="str">
        <f t="shared" si="584"/>
        <v/>
      </c>
      <c r="AL1383" s="168" t="str">
        <f t="shared" si="585"/>
        <v/>
      </c>
      <c r="AM1383" s="168" t="str">
        <f t="shared" si="586"/>
        <v/>
      </c>
      <c r="AN1383" s="167" t="str">
        <f t="shared" si="568"/>
        <v/>
      </c>
      <c r="AO1383" s="167" t="str">
        <f t="shared" si="569"/>
        <v/>
      </c>
      <c r="AP1383" s="167" t="str">
        <f t="shared" si="570"/>
        <v/>
      </c>
      <c r="AQ1383" s="169" t="str">
        <f t="shared" si="571"/>
        <v/>
      </c>
      <c r="AR1383" s="170" t="str">
        <f t="shared" si="572"/>
        <v>BiK82bKA3---06</v>
      </c>
      <c r="AS1383" s="169" t="str">
        <f t="shared" si="573"/>
        <v/>
      </c>
      <c r="AT1383">
        <f t="shared" si="574"/>
        <v>14</v>
      </c>
      <c r="AU1383" s="170" t="str">
        <f t="shared" si="575"/>
        <v>0,15-0,5 MW, Bonusregeln b und K wenn Anlage 3 erfüllt</v>
      </c>
      <c r="AV1383" s="169" t="str">
        <f t="shared" si="576"/>
        <v/>
      </c>
      <c r="AW1383" s="170" t="str">
        <f t="shared" si="577"/>
        <v>Anteil KWK gemäß Anlage 3</v>
      </c>
      <c r="AX1383" s="169" t="str">
        <f t="shared" si="578"/>
        <v/>
      </c>
      <c r="AY1383" t="str">
        <f t="shared" si="579"/>
        <v/>
      </c>
      <c r="AZ1383" t="str">
        <f t="shared" si="580"/>
        <v/>
      </c>
    </row>
    <row r="1384" spans="1:52" x14ac:dyDescent="0.35">
      <c r="A1384" s="497" t="s">
        <v>4591</v>
      </c>
      <c r="B1384" s="13" t="s">
        <v>5547</v>
      </c>
      <c r="C1384" s="13" t="s">
        <v>1296</v>
      </c>
      <c r="D1384" s="13" t="s">
        <v>7128</v>
      </c>
      <c r="E1384" s="13" t="s">
        <v>674</v>
      </c>
      <c r="F1384" s="373">
        <f t="shared" si="557"/>
        <v>14.6</v>
      </c>
      <c r="G1384" s="430">
        <v>14.6</v>
      </c>
      <c r="H1384" s="399">
        <f t="shared" si="558"/>
        <v>11.68</v>
      </c>
      <c r="I1384" s="576"/>
      <c r="J1384" s="549" t="s">
        <v>5804</v>
      </c>
      <c r="K1384" s="11"/>
      <c r="M1384" s="37">
        <f t="shared" si="559"/>
        <v>14.6</v>
      </c>
      <c r="N1384" s="29">
        <v>9.6</v>
      </c>
      <c r="O1384" s="41"/>
      <c r="P1384" s="11"/>
      <c r="Q1384" t="s">
        <v>1017</v>
      </c>
      <c r="S1384" t="s">
        <v>4179</v>
      </c>
      <c r="T1384" t="s">
        <v>4179</v>
      </c>
      <c r="U1384" s="42"/>
      <c r="W1384" s="50"/>
      <c r="X1384" s="50"/>
      <c r="Z1384" s="50"/>
      <c r="AC1384" s="50"/>
      <c r="AE1384" s="75" t="s">
        <v>1017</v>
      </c>
      <c r="AF1384" s="50"/>
      <c r="AG1384" s="50"/>
      <c r="AH1384" s="166" t="str">
        <f t="shared" si="581"/>
        <v/>
      </c>
      <c r="AI1384" s="168" t="str">
        <f t="shared" si="582"/>
        <v/>
      </c>
      <c r="AJ1384" s="168" t="str">
        <f t="shared" si="583"/>
        <v/>
      </c>
      <c r="AK1384" s="168" t="str">
        <f t="shared" si="584"/>
        <v/>
      </c>
      <c r="AL1384" s="168" t="str">
        <f t="shared" si="585"/>
        <v/>
      </c>
      <c r="AM1384" s="168" t="str">
        <f t="shared" si="586"/>
        <v/>
      </c>
      <c r="AN1384" s="167" t="str">
        <f t="shared" si="568"/>
        <v/>
      </c>
      <c r="AO1384" s="167" t="str">
        <f t="shared" si="569"/>
        <v/>
      </c>
      <c r="AP1384" s="167" t="str">
        <f t="shared" si="570"/>
        <v/>
      </c>
      <c r="AQ1384" s="169" t="str">
        <f t="shared" si="571"/>
        <v/>
      </c>
      <c r="AR1384" s="170" t="str">
        <f t="shared" si="572"/>
        <v>BiK82bK09---06</v>
      </c>
      <c r="AS1384" s="169" t="str">
        <f t="shared" si="573"/>
        <v/>
      </c>
      <c r="AT1384">
        <f t="shared" si="574"/>
        <v>14</v>
      </c>
      <c r="AU1384" s="170" t="str">
        <f t="shared" si="575"/>
        <v>0,15-0,5 MW, Bonusregeln b und K erstmals 2009</v>
      </c>
      <c r="AV1384" s="169" t="str">
        <f t="shared" si="576"/>
        <v/>
      </c>
      <c r="AW1384" s="170" t="str">
        <f t="shared" si="577"/>
        <v>Anteil KWK, erstmals 2009</v>
      </c>
      <c r="AX1384" s="169" t="str">
        <f t="shared" si="578"/>
        <v/>
      </c>
      <c r="AY1384" t="str">
        <f t="shared" si="579"/>
        <v/>
      </c>
      <c r="AZ1384" t="str">
        <f t="shared" si="580"/>
        <v/>
      </c>
    </row>
    <row r="1385" spans="1:52" x14ac:dyDescent="0.35">
      <c r="A1385" s="497" t="s">
        <v>4920</v>
      </c>
      <c r="B1385" s="13" t="s">
        <v>5547</v>
      </c>
      <c r="C1385" s="13" t="s">
        <v>1296</v>
      </c>
      <c r="D1385" s="13" t="s">
        <v>7129</v>
      </c>
      <c r="E1385" s="13" t="s">
        <v>3566</v>
      </c>
      <c r="F1385" s="373">
        <f t="shared" ref="F1385:F1448" si="587">M1385</f>
        <v>14.57</v>
      </c>
      <c r="G1385" s="430">
        <v>14.57</v>
      </c>
      <c r="H1385" s="399">
        <f t="shared" ref="H1385:H1448" si="588">IF(ISNUMBER(G1385),ROUND(0.8*G1385,2),"")</f>
        <v>11.66</v>
      </c>
      <c r="I1385" s="576"/>
      <c r="J1385" s="549" t="s">
        <v>5804</v>
      </c>
      <c r="K1385" s="11"/>
      <c r="M1385" s="37">
        <f t="shared" ref="M1385:M1448" si="589">N1385+SUMIF(O1385:AG1385,"x",O$1128:AG$1128)</f>
        <v>14.57</v>
      </c>
      <c r="N1385" s="29">
        <v>9.6</v>
      </c>
      <c r="O1385" s="41"/>
      <c r="P1385" s="11"/>
      <c r="R1385" t="s">
        <v>1017</v>
      </c>
      <c r="S1385" t="s">
        <v>4179</v>
      </c>
      <c r="T1385" t="s">
        <v>4179</v>
      </c>
      <c r="U1385" s="42"/>
      <c r="W1385" s="50"/>
      <c r="X1385" s="50"/>
      <c r="Z1385" s="50"/>
      <c r="AC1385" s="50"/>
      <c r="AE1385" s="75" t="s">
        <v>1017</v>
      </c>
      <c r="AF1385" s="50"/>
      <c r="AG1385" s="50"/>
      <c r="AH1385" s="166" t="str">
        <f t="shared" si="581"/>
        <v>2010</v>
      </c>
      <c r="AI1385" s="168" t="str">
        <f t="shared" si="582"/>
        <v/>
      </c>
      <c r="AJ1385" s="168" t="str">
        <f t="shared" si="583"/>
        <v/>
      </c>
      <c r="AK1385" s="168" t="str">
        <f t="shared" si="584"/>
        <v/>
      </c>
      <c r="AL1385" s="168" t="str">
        <f t="shared" si="585"/>
        <v/>
      </c>
      <c r="AM1385" s="168" t="str">
        <f t="shared" si="586"/>
        <v/>
      </c>
      <c r="AN1385" s="167" t="str">
        <f t="shared" si="568"/>
        <v>2010</v>
      </c>
      <c r="AO1385" s="167" t="str">
        <f t="shared" si="569"/>
        <v>2010</v>
      </c>
      <c r="AP1385" s="167" t="str">
        <f t="shared" si="570"/>
        <v>2010</v>
      </c>
      <c r="AQ1385" s="169" t="str">
        <f t="shared" si="571"/>
        <v/>
      </c>
      <c r="AR1385" s="170" t="str">
        <f t="shared" si="572"/>
        <v>BiK82bK10---06</v>
      </c>
      <c r="AS1385" s="169" t="str">
        <f t="shared" si="573"/>
        <v/>
      </c>
      <c r="AT1385">
        <f t="shared" si="574"/>
        <v>14</v>
      </c>
      <c r="AU1385" s="170" t="str">
        <f t="shared" si="575"/>
        <v>0,15-0,5 MW, Bonusregeln b und K erstmals 2010</v>
      </c>
      <c r="AV1385" s="169" t="str">
        <f t="shared" si="576"/>
        <v/>
      </c>
      <c r="AW1385" s="170" t="str">
        <f t="shared" si="577"/>
        <v>Anteil KWK, erstmals 2010</v>
      </c>
      <c r="AX1385" s="169" t="str">
        <f t="shared" si="578"/>
        <v/>
      </c>
      <c r="AY1385" t="str">
        <f t="shared" si="579"/>
        <v/>
      </c>
      <c r="AZ1385" t="str">
        <f t="shared" si="580"/>
        <v/>
      </c>
    </row>
    <row r="1386" spans="1:52" x14ac:dyDescent="0.35">
      <c r="A1386" s="497" t="s">
        <v>3967</v>
      </c>
      <c r="B1386" s="13" t="s">
        <v>5547</v>
      </c>
      <c r="C1386" s="13" t="s">
        <v>1296</v>
      </c>
      <c r="D1386" s="13" t="s">
        <v>7130</v>
      </c>
      <c r="E1386" s="13" t="s">
        <v>3054</v>
      </c>
      <c r="F1386" s="373">
        <f t="shared" si="587"/>
        <v>14.54</v>
      </c>
      <c r="G1386" s="430">
        <v>14.54</v>
      </c>
      <c r="H1386" s="399">
        <f t="shared" si="588"/>
        <v>11.63</v>
      </c>
      <c r="I1386" s="576"/>
      <c r="J1386" s="549" t="s">
        <v>5804</v>
      </c>
      <c r="K1386" s="11"/>
      <c r="M1386" s="37">
        <f t="shared" si="589"/>
        <v>14.54</v>
      </c>
      <c r="N1386" s="29">
        <v>9.6</v>
      </c>
      <c r="O1386" s="41"/>
      <c r="P1386" s="11"/>
      <c r="S1386" t="s">
        <v>1017</v>
      </c>
      <c r="T1386" t="s">
        <v>4179</v>
      </c>
      <c r="U1386" s="42"/>
      <c r="W1386" s="50"/>
      <c r="X1386" s="50"/>
      <c r="Z1386" s="50"/>
      <c r="AC1386" s="50"/>
      <c r="AE1386" s="75" t="s">
        <v>1017</v>
      </c>
      <c r="AF1386" s="50"/>
      <c r="AG1386" s="50"/>
      <c r="AH1386" s="166" t="str">
        <f t="shared" si="581"/>
        <v>2011</v>
      </c>
      <c r="AI1386" s="168" t="str">
        <f t="shared" si="582"/>
        <v/>
      </c>
      <c r="AJ1386" s="168" t="str">
        <f t="shared" si="583"/>
        <v/>
      </c>
      <c r="AK1386" s="168" t="str">
        <f t="shared" si="584"/>
        <v/>
      </c>
      <c r="AL1386" s="168" t="str">
        <f t="shared" si="585"/>
        <v/>
      </c>
      <c r="AM1386" s="168" t="str">
        <f t="shared" si="586"/>
        <v/>
      </c>
      <c r="AN1386" s="167" t="str">
        <f t="shared" si="568"/>
        <v>2011</v>
      </c>
      <c r="AO1386" s="167" t="str">
        <f t="shared" si="569"/>
        <v>2011</v>
      </c>
      <c r="AP1386" s="167" t="str">
        <f t="shared" si="570"/>
        <v>2011</v>
      </c>
      <c r="AQ1386" s="169" t="str">
        <f t="shared" si="571"/>
        <v/>
      </c>
      <c r="AR1386" s="170" t="str">
        <f t="shared" si="572"/>
        <v>BiK82bK11---06</v>
      </c>
      <c r="AS1386" s="169" t="str">
        <f t="shared" si="573"/>
        <v/>
      </c>
      <c r="AT1386">
        <f t="shared" si="574"/>
        <v>14</v>
      </c>
      <c r="AU1386" s="170" t="str">
        <f t="shared" si="575"/>
        <v>0,15-0,5 MW, Bonusregeln b und K erstmals 2011</v>
      </c>
      <c r="AV1386" s="169" t="str">
        <f t="shared" si="576"/>
        <v/>
      </c>
      <c r="AW1386" s="170" t="str">
        <f t="shared" si="577"/>
        <v>Anteil KWK, erstmals 2011</v>
      </c>
      <c r="AX1386" s="169" t="str">
        <f t="shared" si="578"/>
        <v/>
      </c>
      <c r="AY1386" t="str">
        <f t="shared" si="579"/>
        <v>x</v>
      </c>
      <c r="AZ1386" t="str">
        <f t="shared" si="580"/>
        <v/>
      </c>
    </row>
    <row r="1387" spans="1:52" x14ac:dyDescent="0.35">
      <c r="A1387" s="511" t="s">
        <v>1790</v>
      </c>
      <c r="B1387" s="173" t="s">
        <v>5547</v>
      </c>
      <c r="C1387" s="173" t="s">
        <v>1296</v>
      </c>
      <c r="D1387" s="173" t="s">
        <v>7131</v>
      </c>
      <c r="E1387" s="173" t="s">
        <v>1980</v>
      </c>
      <c r="F1387" s="374">
        <f t="shared" si="587"/>
        <v>14.51</v>
      </c>
      <c r="G1387" s="431">
        <v>14.51</v>
      </c>
      <c r="H1387" s="400">
        <f t="shared" si="588"/>
        <v>11.61</v>
      </c>
      <c r="I1387" s="577"/>
      <c r="J1387" s="549" t="s">
        <v>5804</v>
      </c>
      <c r="K1387" s="11"/>
      <c r="M1387" s="37">
        <f t="shared" si="589"/>
        <v>14.51</v>
      </c>
      <c r="N1387" s="29">
        <v>9.6</v>
      </c>
      <c r="O1387" s="41"/>
      <c r="P1387" s="11"/>
      <c r="S1387" t="s">
        <v>4179</v>
      </c>
      <c r="T1387" t="s">
        <v>1017</v>
      </c>
      <c r="U1387" s="42"/>
      <c r="W1387" s="50"/>
      <c r="X1387" s="50"/>
      <c r="Z1387" s="50"/>
      <c r="AC1387" s="50"/>
      <c r="AE1387" s="75" t="s">
        <v>1017</v>
      </c>
      <c r="AF1387" s="50"/>
      <c r="AG1387" s="50"/>
      <c r="AH1387" s="171" t="s">
        <v>4178</v>
      </c>
      <c r="AI1387" s="168" t="str">
        <f t="shared" si="582"/>
        <v/>
      </c>
      <c r="AJ1387" s="168" t="str">
        <f t="shared" si="583"/>
        <v/>
      </c>
      <c r="AK1387" s="168" t="str">
        <f t="shared" si="584"/>
        <v/>
      </c>
      <c r="AL1387" s="168" t="str">
        <f t="shared" si="585"/>
        <v/>
      </c>
      <c r="AM1387" s="168" t="str">
        <f t="shared" si="586"/>
        <v/>
      </c>
      <c r="AN1387" s="167" t="str">
        <f t="shared" si="568"/>
        <v>2012</v>
      </c>
      <c r="AO1387" s="167" t="str">
        <f t="shared" si="569"/>
        <v>2012</v>
      </c>
      <c r="AP1387" s="167" t="str">
        <f t="shared" si="570"/>
        <v>2012</v>
      </c>
      <c r="AQ1387" s="169" t="str">
        <f t="shared" si="571"/>
        <v/>
      </c>
      <c r="AR1387" s="170" t="str">
        <f t="shared" si="572"/>
        <v>BiK82bK12---06</v>
      </c>
      <c r="AS1387" s="169" t="str">
        <f t="shared" si="573"/>
        <v/>
      </c>
      <c r="AT1387">
        <f t="shared" si="574"/>
        <v>14</v>
      </c>
      <c r="AU1387" s="170" t="str">
        <f t="shared" si="575"/>
        <v>0,15-0,5 MW, Bonusregeln b und K erstmals 2012</v>
      </c>
      <c r="AV1387" s="169" t="str">
        <f t="shared" si="576"/>
        <v/>
      </c>
      <c r="AW1387" s="170" t="str">
        <f t="shared" si="577"/>
        <v>Anteil KWK, erstmals 2012</v>
      </c>
      <c r="AX1387" s="169" t="str">
        <f t="shared" si="578"/>
        <v/>
      </c>
      <c r="AY1387" t="str">
        <f t="shared" si="579"/>
        <v/>
      </c>
      <c r="AZ1387" t="str">
        <f t="shared" si="580"/>
        <v>x</v>
      </c>
    </row>
    <row r="1388" spans="1:52" x14ac:dyDescent="0.35">
      <c r="A1388" s="497" t="s">
        <v>988</v>
      </c>
      <c r="B1388" s="13" t="s">
        <v>5547</v>
      </c>
      <c r="C1388" s="13" t="s">
        <v>1296</v>
      </c>
      <c r="D1388" s="13" t="s">
        <v>7132</v>
      </c>
      <c r="E1388" s="13" t="s">
        <v>4809</v>
      </c>
      <c r="F1388" s="373">
        <f t="shared" si="587"/>
        <v>12.6</v>
      </c>
      <c r="G1388" s="430">
        <v>12.6</v>
      </c>
      <c r="H1388" s="399">
        <f t="shared" si="588"/>
        <v>10.08</v>
      </c>
      <c r="I1388" s="576"/>
      <c r="J1388" s="549" t="s">
        <v>5804</v>
      </c>
      <c r="K1388" s="11"/>
      <c r="M1388" s="37">
        <f t="shared" si="589"/>
        <v>12.6</v>
      </c>
      <c r="N1388" s="29">
        <v>9.6</v>
      </c>
      <c r="O1388" s="41"/>
      <c r="P1388" s="11"/>
      <c r="S1388" t="s">
        <v>4179</v>
      </c>
      <c r="T1388" t="s">
        <v>4179</v>
      </c>
      <c r="U1388" s="42" t="s">
        <v>1017</v>
      </c>
      <c r="W1388" s="50"/>
      <c r="X1388" s="50"/>
      <c r="Z1388" s="50"/>
      <c r="AC1388" s="50"/>
      <c r="AE1388" s="75" t="s">
        <v>1017</v>
      </c>
      <c r="AF1388" s="50"/>
      <c r="AG1388" s="50"/>
      <c r="AH1388" s="166" t="str">
        <f t="shared" ref="AH1388:AH1393" si="590">IF(ISERROR(SEARCH("K erstmals 201",D1388)),"",RIGHT(D1388,4))</f>
        <v/>
      </c>
      <c r="AI1388" s="168" t="str">
        <f t="shared" si="582"/>
        <v/>
      </c>
      <c r="AJ1388" s="168" t="str">
        <f t="shared" si="583"/>
        <v/>
      </c>
      <c r="AK1388" s="168" t="str">
        <f t="shared" si="584"/>
        <v/>
      </c>
      <c r="AL1388" s="168" t="str">
        <f t="shared" si="585"/>
        <v/>
      </c>
      <c r="AM1388" s="168" t="str">
        <f t="shared" si="586"/>
        <v/>
      </c>
      <c r="AN1388" s="167" t="str">
        <f t="shared" si="568"/>
        <v/>
      </c>
      <c r="AO1388" s="167" t="str">
        <f t="shared" si="569"/>
        <v/>
      </c>
      <c r="AP1388" s="167" t="str">
        <f t="shared" si="570"/>
        <v/>
      </c>
      <c r="AQ1388" s="169" t="str">
        <f t="shared" si="571"/>
        <v/>
      </c>
      <c r="AR1388" s="170" t="str">
        <f t="shared" si="572"/>
        <v>BiK82by-----06</v>
      </c>
      <c r="AS1388" s="169" t="str">
        <f t="shared" si="573"/>
        <v/>
      </c>
      <c r="AT1388">
        <f t="shared" si="574"/>
        <v>14</v>
      </c>
      <c r="AU1388" s="170" t="str">
        <f t="shared" si="575"/>
        <v>0,15-0,5 MW, Bonusregeln b, y</v>
      </c>
      <c r="AV1388" s="169" t="str">
        <f t="shared" si="576"/>
        <v/>
      </c>
      <c r="AW1388" s="170" t="str">
        <f t="shared" si="577"/>
        <v>Anteil Nicht-KWK</v>
      </c>
      <c r="AX1388" s="169" t="str">
        <f t="shared" si="578"/>
        <v/>
      </c>
      <c r="AY1388" t="str">
        <f t="shared" si="579"/>
        <v/>
      </c>
      <c r="AZ1388" t="str">
        <f t="shared" si="580"/>
        <v/>
      </c>
    </row>
    <row r="1389" spans="1:52" x14ac:dyDescent="0.35">
      <c r="A1389" s="497" t="s">
        <v>989</v>
      </c>
      <c r="B1389" s="13" t="s">
        <v>5547</v>
      </c>
      <c r="C1389" s="13" t="s">
        <v>1296</v>
      </c>
      <c r="D1389" s="13" t="s">
        <v>7133</v>
      </c>
      <c r="E1389" s="13" t="s">
        <v>4811</v>
      </c>
      <c r="F1389" s="373">
        <f t="shared" si="587"/>
        <v>14.6</v>
      </c>
      <c r="G1389" s="430">
        <v>14.6</v>
      </c>
      <c r="H1389" s="399">
        <f t="shared" si="588"/>
        <v>11.68</v>
      </c>
      <c r="I1389" s="576"/>
      <c r="J1389" s="549" t="s">
        <v>5804</v>
      </c>
      <c r="K1389" s="11"/>
      <c r="M1389" s="37">
        <f t="shared" si="589"/>
        <v>14.6</v>
      </c>
      <c r="N1389" s="29">
        <v>9.6</v>
      </c>
      <c r="O1389" s="41" t="s">
        <v>1017</v>
      </c>
      <c r="P1389" s="11"/>
      <c r="S1389" t="s">
        <v>4179</v>
      </c>
      <c r="T1389" t="s">
        <v>4179</v>
      </c>
      <c r="U1389" s="42" t="s">
        <v>1017</v>
      </c>
      <c r="W1389" s="50"/>
      <c r="X1389" s="50"/>
      <c r="Z1389" s="50"/>
      <c r="AC1389" s="50"/>
      <c r="AE1389" s="75" t="s">
        <v>1017</v>
      </c>
      <c r="AF1389" s="50"/>
      <c r="AG1389" s="50"/>
      <c r="AH1389" s="166" t="str">
        <f t="shared" si="590"/>
        <v/>
      </c>
      <c r="AI1389" s="168" t="str">
        <f t="shared" si="582"/>
        <v/>
      </c>
      <c r="AJ1389" s="168" t="str">
        <f t="shared" si="583"/>
        <v/>
      </c>
      <c r="AK1389" s="168" t="str">
        <f t="shared" si="584"/>
        <v/>
      </c>
      <c r="AL1389" s="168" t="str">
        <f t="shared" si="585"/>
        <v/>
      </c>
      <c r="AM1389" s="168" t="str">
        <f t="shared" si="586"/>
        <v/>
      </c>
      <c r="AN1389" s="167" t="str">
        <f t="shared" si="568"/>
        <v/>
      </c>
      <c r="AO1389" s="167" t="str">
        <f t="shared" si="569"/>
        <v/>
      </c>
      <c r="AP1389" s="167" t="str">
        <f t="shared" si="570"/>
        <v/>
      </c>
      <c r="AQ1389" s="169" t="str">
        <f t="shared" si="571"/>
        <v/>
      </c>
      <c r="AR1389" s="170" t="str">
        <f t="shared" si="572"/>
        <v>BiK82bKWKy--06</v>
      </c>
      <c r="AS1389" s="169" t="str">
        <f t="shared" si="573"/>
        <v/>
      </c>
      <c r="AT1389">
        <f t="shared" si="574"/>
        <v>14</v>
      </c>
      <c r="AU1389" s="170" t="str">
        <f t="shared" si="575"/>
        <v>0,15-0,5 MW, Bonusregeln b, y und KWK</v>
      </c>
      <c r="AV1389" s="169" t="str">
        <f t="shared" si="576"/>
        <v/>
      </c>
      <c r="AW1389" s="170" t="str">
        <f t="shared" si="577"/>
        <v>Anteil KWK</v>
      </c>
      <c r="AX1389" s="169" t="str">
        <f t="shared" si="578"/>
        <v/>
      </c>
      <c r="AY1389" t="str">
        <f t="shared" si="579"/>
        <v/>
      </c>
      <c r="AZ1389" t="str">
        <f t="shared" si="580"/>
        <v/>
      </c>
    </row>
    <row r="1390" spans="1:52" x14ac:dyDescent="0.35">
      <c r="A1390" s="497" t="s">
        <v>990</v>
      </c>
      <c r="B1390" s="13" t="s">
        <v>5547</v>
      </c>
      <c r="C1390" s="13" t="s">
        <v>1296</v>
      </c>
      <c r="D1390" s="13" t="s">
        <v>7134</v>
      </c>
      <c r="E1390" s="13" t="s">
        <v>4330</v>
      </c>
      <c r="F1390" s="373">
        <f t="shared" si="587"/>
        <v>15.6</v>
      </c>
      <c r="G1390" s="430">
        <v>15.6</v>
      </c>
      <c r="H1390" s="399">
        <f t="shared" si="588"/>
        <v>12.48</v>
      </c>
      <c r="I1390" s="576"/>
      <c r="J1390" s="549" t="s">
        <v>5804</v>
      </c>
      <c r="K1390" s="11"/>
      <c r="M1390" s="37">
        <f t="shared" si="589"/>
        <v>15.6</v>
      </c>
      <c r="N1390" s="29">
        <v>9.6</v>
      </c>
      <c r="O1390" s="41"/>
      <c r="P1390" t="s">
        <v>1017</v>
      </c>
      <c r="S1390" t="s">
        <v>4179</v>
      </c>
      <c r="T1390" t="s">
        <v>4179</v>
      </c>
      <c r="U1390" s="42" t="s">
        <v>1017</v>
      </c>
      <c r="W1390" s="50"/>
      <c r="X1390" s="50"/>
      <c r="Z1390" s="50"/>
      <c r="AC1390" s="50"/>
      <c r="AE1390" s="75" t="s">
        <v>1017</v>
      </c>
      <c r="AF1390" s="50"/>
      <c r="AG1390" s="50"/>
      <c r="AH1390" s="166" t="str">
        <f t="shared" si="590"/>
        <v/>
      </c>
      <c r="AI1390" s="168" t="str">
        <f t="shared" si="582"/>
        <v/>
      </c>
      <c r="AJ1390" s="168" t="str">
        <f t="shared" si="583"/>
        <v/>
      </c>
      <c r="AK1390" s="168" t="str">
        <f t="shared" si="584"/>
        <v/>
      </c>
      <c r="AL1390" s="168" t="str">
        <f t="shared" si="585"/>
        <v/>
      </c>
      <c r="AM1390" s="168" t="str">
        <f t="shared" si="586"/>
        <v/>
      </c>
      <c r="AN1390" s="167" t="str">
        <f t="shared" si="568"/>
        <v/>
      </c>
      <c r="AO1390" s="167" t="str">
        <f t="shared" si="569"/>
        <v/>
      </c>
      <c r="AP1390" s="167" t="str">
        <f t="shared" si="570"/>
        <v/>
      </c>
      <c r="AQ1390" s="169" t="str">
        <f t="shared" si="571"/>
        <v/>
      </c>
      <c r="AR1390" s="170" t="str">
        <f t="shared" si="572"/>
        <v>BiK82bKA3y--06</v>
      </c>
      <c r="AS1390" s="169" t="str">
        <f t="shared" si="573"/>
        <v/>
      </c>
      <c r="AT1390">
        <f t="shared" si="574"/>
        <v>14</v>
      </c>
      <c r="AU1390" s="170" t="str">
        <f t="shared" si="575"/>
        <v>0,15-0,5 MW, Bonusregeln b, y und K wenn Anlage 3 erfüllt</v>
      </c>
      <c r="AV1390" s="169" t="str">
        <f t="shared" si="576"/>
        <v/>
      </c>
      <c r="AW1390" s="170" t="str">
        <f t="shared" si="577"/>
        <v>Anteil KWK gemäß Anlage 3</v>
      </c>
      <c r="AX1390" s="169" t="str">
        <f t="shared" si="578"/>
        <v/>
      </c>
      <c r="AY1390" t="str">
        <f t="shared" si="579"/>
        <v/>
      </c>
      <c r="AZ1390" t="str">
        <f t="shared" si="580"/>
        <v/>
      </c>
    </row>
    <row r="1391" spans="1:52" x14ac:dyDescent="0.35">
      <c r="A1391" s="497" t="s">
        <v>991</v>
      </c>
      <c r="B1391" s="13" t="s">
        <v>5547</v>
      </c>
      <c r="C1391" s="13" t="s">
        <v>1296</v>
      </c>
      <c r="D1391" s="13" t="s">
        <v>7135</v>
      </c>
      <c r="E1391" s="13" t="s">
        <v>674</v>
      </c>
      <c r="F1391" s="373">
        <f t="shared" si="587"/>
        <v>15.6</v>
      </c>
      <c r="G1391" s="430">
        <v>15.6</v>
      </c>
      <c r="H1391" s="399">
        <f t="shared" si="588"/>
        <v>12.48</v>
      </c>
      <c r="I1391" s="576"/>
      <c r="J1391" s="549" t="s">
        <v>5804</v>
      </c>
      <c r="K1391" s="11"/>
      <c r="M1391" s="37">
        <f t="shared" si="589"/>
        <v>15.6</v>
      </c>
      <c r="N1391" s="29">
        <v>9.6</v>
      </c>
      <c r="O1391" s="41"/>
      <c r="P1391" s="11"/>
      <c r="Q1391" t="s">
        <v>1017</v>
      </c>
      <c r="S1391" t="s">
        <v>4179</v>
      </c>
      <c r="T1391" t="s">
        <v>4179</v>
      </c>
      <c r="U1391" s="42" t="s">
        <v>1017</v>
      </c>
      <c r="W1391" s="50"/>
      <c r="X1391" s="50"/>
      <c r="Z1391" s="50"/>
      <c r="AC1391" s="50"/>
      <c r="AE1391" s="75" t="s">
        <v>1017</v>
      </c>
      <c r="AF1391" s="50"/>
      <c r="AG1391" s="50"/>
      <c r="AH1391" s="166" t="str">
        <f t="shared" si="590"/>
        <v/>
      </c>
      <c r="AI1391" s="168" t="str">
        <f t="shared" si="582"/>
        <v/>
      </c>
      <c r="AJ1391" s="168" t="str">
        <f t="shared" si="583"/>
        <v/>
      </c>
      <c r="AK1391" s="168" t="str">
        <f t="shared" si="584"/>
        <v/>
      </c>
      <c r="AL1391" s="168" t="str">
        <f t="shared" si="585"/>
        <v/>
      </c>
      <c r="AM1391" s="168" t="str">
        <f t="shared" si="586"/>
        <v/>
      </c>
      <c r="AN1391" s="167" t="str">
        <f t="shared" si="568"/>
        <v/>
      </c>
      <c r="AO1391" s="167" t="str">
        <f t="shared" si="569"/>
        <v/>
      </c>
      <c r="AP1391" s="167" t="str">
        <f t="shared" si="570"/>
        <v/>
      </c>
      <c r="AQ1391" s="169" t="str">
        <f t="shared" si="571"/>
        <v/>
      </c>
      <c r="AR1391" s="170" t="str">
        <f t="shared" si="572"/>
        <v>BiK82bK09y--06</v>
      </c>
      <c r="AS1391" s="169" t="str">
        <f t="shared" si="573"/>
        <v/>
      </c>
      <c r="AT1391">
        <f t="shared" si="574"/>
        <v>14</v>
      </c>
      <c r="AU1391" s="170" t="str">
        <f t="shared" si="575"/>
        <v>0,15-0,5 MW, Bonusregeln b, y und K erstmals 2009</v>
      </c>
      <c r="AV1391" s="169" t="str">
        <f t="shared" si="576"/>
        <v/>
      </c>
      <c r="AW1391" s="170" t="str">
        <f t="shared" si="577"/>
        <v>Anteil KWK, erstmals 2009</v>
      </c>
      <c r="AX1391" s="169" t="str">
        <f t="shared" si="578"/>
        <v/>
      </c>
      <c r="AY1391" t="str">
        <f t="shared" si="579"/>
        <v/>
      </c>
      <c r="AZ1391" t="str">
        <f t="shared" si="580"/>
        <v/>
      </c>
    </row>
    <row r="1392" spans="1:52" s="145" customFormat="1" x14ac:dyDescent="0.35">
      <c r="A1392" s="497" t="s">
        <v>4921</v>
      </c>
      <c r="B1392" s="13" t="s">
        <v>5547</v>
      </c>
      <c r="C1392" s="13" t="s">
        <v>1296</v>
      </c>
      <c r="D1392" s="13" t="s">
        <v>7136</v>
      </c>
      <c r="E1392" s="13" t="s">
        <v>3566</v>
      </c>
      <c r="F1392" s="373">
        <f t="shared" si="587"/>
        <v>15.57</v>
      </c>
      <c r="G1392" s="430">
        <v>15.57</v>
      </c>
      <c r="H1392" s="399">
        <f t="shared" si="588"/>
        <v>12.46</v>
      </c>
      <c r="I1392" s="576"/>
      <c r="J1392" s="549" t="s">
        <v>5804</v>
      </c>
      <c r="K1392" s="11"/>
      <c r="L1392"/>
      <c r="M1392" s="37">
        <f t="shared" si="589"/>
        <v>15.57</v>
      </c>
      <c r="N1392" s="29">
        <v>9.6</v>
      </c>
      <c r="O1392" s="41"/>
      <c r="P1392" s="11"/>
      <c r="Q1392"/>
      <c r="R1392" t="s">
        <v>1017</v>
      </c>
      <c r="S1392" t="s">
        <v>4179</v>
      </c>
      <c r="T1392" s="145" t="s">
        <v>4179</v>
      </c>
      <c r="U1392" s="42" t="s">
        <v>1017</v>
      </c>
      <c r="V1392"/>
      <c r="W1392" s="50"/>
      <c r="X1392" s="50"/>
      <c r="Y1392"/>
      <c r="Z1392" s="50"/>
      <c r="AA1392"/>
      <c r="AB1392"/>
      <c r="AC1392" s="50"/>
      <c r="AD1392"/>
      <c r="AE1392" s="75" t="s">
        <v>1017</v>
      </c>
      <c r="AF1392" s="50"/>
      <c r="AG1392" s="50"/>
      <c r="AH1392" s="166" t="str">
        <f t="shared" si="590"/>
        <v>2010</v>
      </c>
      <c r="AI1392" s="168" t="str">
        <f t="shared" si="582"/>
        <v/>
      </c>
      <c r="AJ1392" s="168" t="str">
        <f t="shared" si="583"/>
        <v/>
      </c>
      <c r="AK1392" s="168" t="str">
        <f t="shared" si="584"/>
        <v/>
      </c>
      <c r="AL1392" s="168" t="str">
        <f t="shared" si="585"/>
        <v/>
      </c>
      <c r="AM1392" s="168" t="str">
        <f t="shared" si="586"/>
        <v/>
      </c>
      <c r="AN1392" s="167" t="str">
        <f t="shared" si="568"/>
        <v>2010</v>
      </c>
      <c r="AO1392" s="167" t="str">
        <f t="shared" si="569"/>
        <v>2010</v>
      </c>
      <c r="AP1392" s="167" t="str">
        <f t="shared" si="570"/>
        <v>2010</v>
      </c>
      <c r="AQ1392" s="169" t="str">
        <f t="shared" si="571"/>
        <v/>
      </c>
      <c r="AR1392" s="170" t="str">
        <f t="shared" si="572"/>
        <v>BiK82bK10y--06</v>
      </c>
      <c r="AS1392" s="169" t="str">
        <f t="shared" si="573"/>
        <v/>
      </c>
      <c r="AT1392">
        <f t="shared" si="574"/>
        <v>14</v>
      </c>
      <c r="AU1392" s="170" t="str">
        <f t="shared" si="575"/>
        <v>0,15-0,5 MW, Bonusregeln b, y und K erstmals 2010</v>
      </c>
      <c r="AV1392" s="169" t="str">
        <f t="shared" si="576"/>
        <v/>
      </c>
      <c r="AW1392" s="170" t="str">
        <f t="shared" si="577"/>
        <v>Anteil KWK, erstmals 2010</v>
      </c>
      <c r="AX1392" s="169" t="str">
        <f t="shared" si="578"/>
        <v/>
      </c>
      <c r="AY1392" t="str">
        <f t="shared" si="579"/>
        <v/>
      </c>
      <c r="AZ1392" t="str">
        <f t="shared" si="580"/>
        <v/>
      </c>
    </row>
    <row r="1393" spans="1:52" s="145" customFormat="1" x14ac:dyDescent="0.35">
      <c r="A1393" s="497" t="s">
        <v>3968</v>
      </c>
      <c r="B1393" s="13" t="s">
        <v>5547</v>
      </c>
      <c r="C1393" s="13" t="s">
        <v>1296</v>
      </c>
      <c r="D1393" s="13" t="s">
        <v>7137</v>
      </c>
      <c r="E1393" s="13" t="s">
        <v>3054</v>
      </c>
      <c r="F1393" s="373">
        <f t="shared" si="587"/>
        <v>15.54</v>
      </c>
      <c r="G1393" s="430">
        <v>15.54</v>
      </c>
      <c r="H1393" s="399">
        <f t="shared" si="588"/>
        <v>12.43</v>
      </c>
      <c r="I1393" s="576"/>
      <c r="J1393" s="549" t="s">
        <v>5804</v>
      </c>
      <c r="K1393" s="11"/>
      <c r="L1393"/>
      <c r="M1393" s="37">
        <f t="shared" si="589"/>
        <v>15.54</v>
      </c>
      <c r="N1393" s="29">
        <v>9.6</v>
      </c>
      <c r="O1393" s="41"/>
      <c r="P1393" s="11"/>
      <c r="Q1393"/>
      <c r="R1393"/>
      <c r="S1393" t="s">
        <v>1017</v>
      </c>
      <c r="T1393" s="145" t="s">
        <v>4179</v>
      </c>
      <c r="U1393" s="42" t="s">
        <v>1017</v>
      </c>
      <c r="V1393"/>
      <c r="W1393" s="50"/>
      <c r="X1393" s="50"/>
      <c r="Y1393"/>
      <c r="Z1393" s="50"/>
      <c r="AA1393"/>
      <c r="AB1393"/>
      <c r="AC1393" s="50"/>
      <c r="AD1393"/>
      <c r="AE1393" s="75" t="s">
        <v>1017</v>
      </c>
      <c r="AF1393" s="50"/>
      <c r="AG1393" s="50"/>
      <c r="AH1393" s="166" t="str">
        <f t="shared" si="590"/>
        <v>2011</v>
      </c>
      <c r="AI1393" s="168" t="str">
        <f t="shared" si="582"/>
        <v/>
      </c>
      <c r="AJ1393" s="168" t="str">
        <f t="shared" si="583"/>
        <v/>
      </c>
      <c r="AK1393" s="168" t="str">
        <f t="shared" si="584"/>
        <v/>
      </c>
      <c r="AL1393" s="168" t="str">
        <f t="shared" si="585"/>
        <v/>
      </c>
      <c r="AM1393" s="168" t="str">
        <f t="shared" si="586"/>
        <v/>
      </c>
      <c r="AN1393" s="167" t="str">
        <f t="shared" si="568"/>
        <v>2011</v>
      </c>
      <c r="AO1393" s="167" t="str">
        <f t="shared" si="569"/>
        <v>2011</v>
      </c>
      <c r="AP1393" s="167" t="str">
        <f t="shared" si="570"/>
        <v>2011</v>
      </c>
      <c r="AQ1393" s="169" t="str">
        <f t="shared" si="571"/>
        <v/>
      </c>
      <c r="AR1393" s="170" t="str">
        <f t="shared" si="572"/>
        <v>BiK82bK11y--06</v>
      </c>
      <c r="AS1393" s="169" t="str">
        <f t="shared" si="573"/>
        <v/>
      </c>
      <c r="AT1393">
        <f t="shared" si="574"/>
        <v>14</v>
      </c>
      <c r="AU1393" s="170" t="str">
        <f t="shared" si="575"/>
        <v>0,15-0,5 MW, Bonusregeln b, y und K erstmals 2011</v>
      </c>
      <c r="AV1393" s="169" t="str">
        <f t="shared" si="576"/>
        <v/>
      </c>
      <c r="AW1393" s="170" t="str">
        <f t="shared" si="577"/>
        <v>Anteil KWK, erstmals 2011</v>
      </c>
      <c r="AX1393" s="169" t="str">
        <f t="shared" si="578"/>
        <v/>
      </c>
      <c r="AY1393" t="str">
        <f t="shared" si="579"/>
        <v>x</v>
      </c>
      <c r="AZ1393" t="str">
        <f t="shared" si="580"/>
        <v/>
      </c>
    </row>
    <row r="1394" spans="1:52" s="145" customFormat="1" x14ac:dyDescent="0.35">
      <c r="A1394" s="511" t="s">
        <v>1791</v>
      </c>
      <c r="B1394" s="173" t="s">
        <v>5547</v>
      </c>
      <c r="C1394" s="173" t="s">
        <v>1296</v>
      </c>
      <c r="D1394" s="173" t="s">
        <v>7138</v>
      </c>
      <c r="E1394" s="173" t="s">
        <v>1980</v>
      </c>
      <c r="F1394" s="374">
        <f t="shared" si="587"/>
        <v>15.51</v>
      </c>
      <c r="G1394" s="431">
        <v>15.51</v>
      </c>
      <c r="H1394" s="400">
        <f t="shared" si="588"/>
        <v>12.41</v>
      </c>
      <c r="I1394" s="577"/>
      <c r="J1394" s="549" t="s">
        <v>5804</v>
      </c>
      <c r="K1394" s="11"/>
      <c r="L1394"/>
      <c r="M1394" s="37">
        <f t="shared" si="589"/>
        <v>15.51</v>
      </c>
      <c r="N1394" s="29">
        <v>9.6</v>
      </c>
      <c r="O1394" s="41"/>
      <c r="P1394" s="11"/>
      <c r="Q1394"/>
      <c r="R1394"/>
      <c r="S1394" t="s">
        <v>4179</v>
      </c>
      <c r="T1394" s="145" t="s">
        <v>1017</v>
      </c>
      <c r="U1394" s="42" t="s">
        <v>1017</v>
      </c>
      <c r="V1394"/>
      <c r="W1394" s="50"/>
      <c r="X1394" s="50"/>
      <c r="Y1394"/>
      <c r="Z1394" s="50"/>
      <c r="AA1394"/>
      <c r="AB1394"/>
      <c r="AC1394" s="50"/>
      <c r="AD1394"/>
      <c r="AE1394" s="75" t="s">
        <v>1017</v>
      </c>
      <c r="AF1394" s="50"/>
      <c r="AG1394" s="50"/>
      <c r="AH1394" s="171" t="s">
        <v>4178</v>
      </c>
      <c r="AI1394" s="168" t="str">
        <f t="shared" si="582"/>
        <v/>
      </c>
      <c r="AJ1394" s="168" t="str">
        <f t="shared" si="583"/>
        <v/>
      </c>
      <c r="AK1394" s="168" t="str">
        <f t="shared" si="584"/>
        <v/>
      </c>
      <c r="AL1394" s="168" t="str">
        <f t="shared" si="585"/>
        <v/>
      </c>
      <c r="AM1394" s="168" t="str">
        <f t="shared" si="586"/>
        <v/>
      </c>
      <c r="AN1394" s="167" t="str">
        <f t="shared" si="568"/>
        <v>2012</v>
      </c>
      <c r="AO1394" s="167" t="str">
        <f t="shared" si="569"/>
        <v>2012</v>
      </c>
      <c r="AP1394" s="167" t="str">
        <f t="shared" si="570"/>
        <v>2012</v>
      </c>
      <c r="AQ1394" s="169" t="str">
        <f t="shared" si="571"/>
        <v/>
      </c>
      <c r="AR1394" s="170" t="str">
        <f t="shared" si="572"/>
        <v>BiK82bK12y--06</v>
      </c>
      <c r="AS1394" s="169" t="str">
        <f t="shared" si="573"/>
        <v/>
      </c>
      <c r="AT1394">
        <f t="shared" si="574"/>
        <v>14</v>
      </c>
      <c r="AU1394" s="170" t="str">
        <f t="shared" si="575"/>
        <v>0,15-0,5 MW, Bonusregeln b, y und K erstmals 2012</v>
      </c>
      <c r="AV1394" s="169" t="str">
        <f t="shared" si="576"/>
        <v/>
      </c>
      <c r="AW1394" s="170" t="str">
        <f t="shared" si="577"/>
        <v>Anteil KWK, erstmals 2012</v>
      </c>
      <c r="AX1394" s="169" t="str">
        <f t="shared" si="578"/>
        <v/>
      </c>
      <c r="AY1394" t="str">
        <f t="shared" si="579"/>
        <v/>
      </c>
      <c r="AZ1394" t="str">
        <f t="shared" si="580"/>
        <v>x</v>
      </c>
    </row>
    <row r="1395" spans="1:52" s="145" customFormat="1" x14ac:dyDescent="0.35">
      <c r="A1395" s="496" t="s">
        <v>516</v>
      </c>
      <c r="B1395" s="1" t="s">
        <v>5547</v>
      </c>
      <c r="C1395" s="1" t="s">
        <v>1296</v>
      </c>
      <c r="D1395" s="1" t="s">
        <v>7139</v>
      </c>
      <c r="E1395" s="1" t="s">
        <v>4809</v>
      </c>
      <c r="F1395" s="375">
        <f t="shared" si="587"/>
        <v>17.600000000000001</v>
      </c>
      <c r="G1395" s="432">
        <v>17.600000000000001</v>
      </c>
      <c r="H1395" s="401">
        <f t="shared" si="588"/>
        <v>14.08</v>
      </c>
      <c r="I1395" s="578"/>
      <c r="J1395" s="549" t="s">
        <v>5804</v>
      </c>
      <c r="K1395" s="11"/>
      <c r="L1395"/>
      <c r="M1395" s="37">
        <f t="shared" si="589"/>
        <v>17.600000000000001</v>
      </c>
      <c r="N1395" s="29">
        <v>9.6</v>
      </c>
      <c r="O1395" s="41"/>
      <c r="P1395" s="11"/>
      <c r="Q1395"/>
      <c r="R1395"/>
      <c r="S1395" t="s">
        <v>4179</v>
      </c>
      <c r="T1395" s="145" t="s">
        <v>4179</v>
      </c>
      <c r="U1395" s="42"/>
      <c r="V1395" t="s">
        <v>1017</v>
      </c>
      <c r="W1395" s="50"/>
      <c r="X1395" s="50"/>
      <c r="Y1395"/>
      <c r="Z1395" s="50"/>
      <c r="AA1395"/>
      <c r="AB1395"/>
      <c r="AC1395" s="50"/>
      <c r="AD1395"/>
      <c r="AE1395" s="75" t="s">
        <v>1017</v>
      </c>
      <c r="AF1395" s="50"/>
      <c r="AG1395" s="50"/>
      <c r="AH1395" s="166" t="str">
        <f t="shared" ref="AH1395:AH1400" si="591">IF(ISERROR(SEARCH("K erstmals 201",D1395)),"",RIGHT(D1395,4))</f>
        <v/>
      </c>
      <c r="AI1395" s="168" t="str">
        <f t="shared" si="582"/>
        <v/>
      </c>
      <c r="AJ1395" s="168" t="str">
        <f t="shared" si="583"/>
        <v/>
      </c>
      <c r="AK1395" s="168" t="str">
        <f t="shared" si="584"/>
        <v/>
      </c>
      <c r="AL1395" s="168" t="str">
        <f t="shared" si="585"/>
        <v/>
      </c>
      <c r="AM1395" s="168" t="str">
        <f t="shared" si="586"/>
        <v/>
      </c>
      <c r="AN1395" s="167" t="str">
        <f t="shared" si="568"/>
        <v/>
      </c>
      <c r="AO1395" s="167" t="str">
        <f t="shared" si="569"/>
        <v/>
      </c>
      <c r="AP1395" s="167" t="str">
        <f t="shared" si="570"/>
        <v/>
      </c>
      <c r="AQ1395" s="169" t="str">
        <f t="shared" si="571"/>
        <v/>
      </c>
      <c r="AR1395" s="170" t="str">
        <f t="shared" si="572"/>
        <v>BiK82a1b----06</v>
      </c>
      <c r="AS1395" s="169" t="str">
        <f t="shared" si="573"/>
        <v/>
      </c>
      <c r="AT1395">
        <f t="shared" si="574"/>
        <v>14</v>
      </c>
      <c r="AU1395" s="170" t="str">
        <f t="shared" si="575"/>
        <v>0,15-0,5 MW, Bonusregeln a1 und b</v>
      </c>
      <c r="AV1395" s="169" t="str">
        <f t="shared" si="576"/>
        <v/>
      </c>
      <c r="AW1395" s="170" t="str">
        <f t="shared" si="577"/>
        <v>Anteil Nicht-KWK</v>
      </c>
      <c r="AX1395" s="169" t="str">
        <f t="shared" si="578"/>
        <v/>
      </c>
      <c r="AY1395" t="str">
        <f t="shared" si="579"/>
        <v/>
      </c>
      <c r="AZ1395" t="str">
        <f t="shared" si="580"/>
        <v/>
      </c>
    </row>
    <row r="1396" spans="1:52" s="145" customFormat="1" x14ac:dyDescent="0.35">
      <c r="A1396" s="496" t="s">
        <v>517</v>
      </c>
      <c r="B1396" s="1" t="s">
        <v>5547</v>
      </c>
      <c r="C1396" s="1" t="s">
        <v>1296</v>
      </c>
      <c r="D1396" s="1" t="s">
        <v>7140</v>
      </c>
      <c r="E1396" s="1" t="s">
        <v>4811</v>
      </c>
      <c r="F1396" s="375">
        <f t="shared" si="587"/>
        <v>19.600000000000001</v>
      </c>
      <c r="G1396" s="432">
        <v>19.600000000000001</v>
      </c>
      <c r="H1396" s="401">
        <f t="shared" si="588"/>
        <v>15.68</v>
      </c>
      <c r="I1396" s="578"/>
      <c r="J1396" s="549" t="s">
        <v>5804</v>
      </c>
      <c r="K1396" s="11"/>
      <c r="L1396"/>
      <c r="M1396" s="37">
        <f t="shared" si="589"/>
        <v>19.600000000000001</v>
      </c>
      <c r="N1396" s="29">
        <v>9.6</v>
      </c>
      <c r="O1396" s="41" t="s">
        <v>1017</v>
      </c>
      <c r="P1396" s="11"/>
      <c r="Q1396"/>
      <c r="R1396"/>
      <c r="S1396" t="s">
        <v>4179</v>
      </c>
      <c r="T1396" s="145" t="s">
        <v>4179</v>
      </c>
      <c r="U1396" s="42"/>
      <c r="V1396" t="s">
        <v>1017</v>
      </c>
      <c r="W1396" s="50"/>
      <c r="X1396" s="50"/>
      <c r="Y1396"/>
      <c r="Z1396" s="50"/>
      <c r="AA1396"/>
      <c r="AB1396"/>
      <c r="AC1396" s="50"/>
      <c r="AD1396"/>
      <c r="AE1396" s="75" t="s">
        <v>1017</v>
      </c>
      <c r="AF1396" s="50"/>
      <c r="AG1396" s="50"/>
      <c r="AH1396" s="166" t="str">
        <f t="shared" si="591"/>
        <v/>
      </c>
      <c r="AI1396" s="168" t="str">
        <f t="shared" si="582"/>
        <v/>
      </c>
      <c r="AJ1396" s="168" t="str">
        <f t="shared" si="583"/>
        <v/>
      </c>
      <c r="AK1396" s="168" t="str">
        <f t="shared" si="584"/>
        <v/>
      </c>
      <c r="AL1396" s="168" t="str">
        <f t="shared" si="585"/>
        <v/>
      </c>
      <c r="AM1396" s="168" t="str">
        <f t="shared" si="586"/>
        <v/>
      </c>
      <c r="AN1396" s="167" t="str">
        <f t="shared" si="568"/>
        <v/>
      </c>
      <c r="AO1396" s="167" t="str">
        <f t="shared" si="569"/>
        <v/>
      </c>
      <c r="AP1396" s="167" t="str">
        <f t="shared" si="570"/>
        <v/>
      </c>
      <c r="AQ1396" s="169" t="str">
        <f t="shared" si="571"/>
        <v/>
      </c>
      <c r="AR1396" s="170" t="str">
        <f t="shared" si="572"/>
        <v>BiK82a1bKWK-06</v>
      </c>
      <c r="AS1396" s="169" t="str">
        <f t="shared" si="573"/>
        <v/>
      </c>
      <c r="AT1396">
        <f t="shared" si="574"/>
        <v>14</v>
      </c>
      <c r="AU1396" s="170" t="str">
        <f t="shared" si="575"/>
        <v>0,15-0,5 MW, Bonusregeln a1, b und KWK</v>
      </c>
      <c r="AV1396" s="169" t="str">
        <f t="shared" si="576"/>
        <v/>
      </c>
      <c r="AW1396" s="170" t="str">
        <f t="shared" si="577"/>
        <v>Anteil KWK</v>
      </c>
      <c r="AX1396" s="169" t="str">
        <f t="shared" si="578"/>
        <v/>
      </c>
      <c r="AY1396" t="str">
        <f t="shared" si="579"/>
        <v/>
      </c>
      <c r="AZ1396" t="str">
        <f t="shared" si="580"/>
        <v/>
      </c>
    </row>
    <row r="1397" spans="1:52" s="145" customFormat="1" x14ac:dyDescent="0.35">
      <c r="A1397" s="497" t="s">
        <v>4356</v>
      </c>
      <c r="B1397" s="13" t="s">
        <v>5547</v>
      </c>
      <c r="C1397" s="13" t="s">
        <v>1296</v>
      </c>
      <c r="D1397" s="13" t="s">
        <v>7141</v>
      </c>
      <c r="E1397" s="13" t="s">
        <v>4330</v>
      </c>
      <c r="F1397" s="373">
        <f t="shared" si="587"/>
        <v>20.6</v>
      </c>
      <c r="G1397" s="430">
        <v>20.6</v>
      </c>
      <c r="H1397" s="399">
        <f t="shared" si="588"/>
        <v>16.48</v>
      </c>
      <c r="I1397" s="576"/>
      <c r="J1397" s="549" t="s">
        <v>5804</v>
      </c>
      <c r="K1397" s="11"/>
      <c r="L1397"/>
      <c r="M1397" s="37">
        <f t="shared" si="589"/>
        <v>20.6</v>
      </c>
      <c r="N1397" s="29">
        <v>9.6</v>
      </c>
      <c r="O1397" s="41"/>
      <c r="P1397" t="s">
        <v>1017</v>
      </c>
      <c r="Q1397"/>
      <c r="R1397"/>
      <c r="S1397" t="s">
        <v>4179</v>
      </c>
      <c r="T1397" s="145" t="s">
        <v>4179</v>
      </c>
      <c r="U1397" s="42"/>
      <c r="V1397" t="s">
        <v>1017</v>
      </c>
      <c r="W1397" s="50"/>
      <c r="X1397" s="50"/>
      <c r="Y1397"/>
      <c r="Z1397" s="50"/>
      <c r="AA1397"/>
      <c r="AB1397"/>
      <c r="AC1397" s="50"/>
      <c r="AD1397"/>
      <c r="AE1397" s="75" t="s">
        <v>1017</v>
      </c>
      <c r="AF1397" s="50"/>
      <c r="AG1397" s="50"/>
      <c r="AH1397" s="166" t="str">
        <f t="shared" si="591"/>
        <v/>
      </c>
      <c r="AI1397" s="168" t="str">
        <f t="shared" si="582"/>
        <v/>
      </c>
      <c r="AJ1397" s="168" t="str">
        <f t="shared" si="583"/>
        <v/>
      </c>
      <c r="AK1397" s="168" t="str">
        <f t="shared" si="584"/>
        <v/>
      </c>
      <c r="AL1397" s="168" t="str">
        <f t="shared" si="585"/>
        <v/>
      </c>
      <c r="AM1397" s="168" t="str">
        <f t="shared" si="586"/>
        <v/>
      </c>
      <c r="AN1397" s="167" t="str">
        <f t="shared" si="568"/>
        <v/>
      </c>
      <c r="AO1397" s="167" t="str">
        <f t="shared" si="569"/>
        <v/>
      </c>
      <c r="AP1397" s="167" t="str">
        <f t="shared" si="570"/>
        <v/>
      </c>
      <c r="AQ1397" s="169" t="str">
        <f t="shared" si="571"/>
        <v/>
      </c>
      <c r="AR1397" s="170" t="str">
        <f t="shared" si="572"/>
        <v>BiK82a1bKA3-06</v>
      </c>
      <c r="AS1397" s="169" t="str">
        <f t="shared" si="573"/>
        <v/>
      </c>
      <c r="AT1397">
        <f t="shared" si="574"/>
        <v>14</v>
      </c>
      <c r="AU1397" s="170" t="str">
        <f t="shared" si="575"/>
        <v>0,15-0,5 MW, Bonusregeln a1, b und K wenn Anlage 3 erfüllt</v>
      </c>
      <c r="AV1397" s="169" t="str">
        <f t="shared" si="576"/>
        <v/>
      </c>
      <c r="AW1397" s="170" t="str">
        <f t="shared" si="577"/>
        <v>Anteil KWK gemäß Anlage 3</v>
      </c>
      <c r="AX1397" s="169" t="str">
        <f t="shared" si="578"/>
        <v/>
      </c>
      <c r="AY1397" t="str">
        <f t="shared" si="579"/>
        <v/>
      </c>
      <c r="AZ1397" t="str">
        <f t="shared" si="580"/>
        <v/>
      </c>
    </row>
    <row r="1398" spans="1:52" s="145" customFormat="1" x14ac:dyDescent="0.35">
      <c r="A1398" s="497" t="s">
        <v>4592</v>
      </c>
      <c r="B1398" s="13" t="s">
        <v>5547</v>
      </c>
      <c r="C1398" s="13" t="s">
        <v>1296</v>
      </c>
      <c r="D1398" s="13" t="s">
        <v>7142</v>
      </c>
      <c r="E1398" s="13" t="s">
        <v>674</v>
      </c>
      <c r="F1398" s="373">
        <f t="shared" si="587"/>
        <v>20.6</v>
      </c>
      <c r="G1398" s="430">
        <v>20.6</v>
      </c>
      <c r="H1398" s="399">
        <f t="shared" si="588"/>
        <v>16.48</v>
      </c>
      <c r="I1398" s="576"/>
      <c r="J1398" s="549" t="s">
        <v>5804</v>
      </c>
      <c r="K1398" s="11"/>
      <c r="L1398"/>
      <c r="M1398" s="37">
        <f t="shared" si="589"/>
        <v>20.6</v>
      </c>
      <c r="N1398" s="29">
        <v>9.6</v>
      </c>
      <c r="O1398" s="41"/>
      <c r="P1398" s="11"/>
      <c r="Q1398" t="s">
        <v>1017</v>
      </c>
      <c r="R1398"/>
      <c r="S1398" t="s">
        <v>4179</v>
      </c>
      <c r="T1398" s="145" t="s">
        <v>4179</v>
      </c>
      <c r="U1398" s="42"/>
      <c r="V1398" t="s">
        <v>1017</v>
      </c>
      <c r="W1398" s="50"/>
      <c r="X1398" s="50"/>
      <c r="Y1398"/>
      <c r="Z1398" s="50"/>
      <c r="AA1398"/>
      <c r="AB1398"/>
      <c r="AC1398" s="50"/>
      <c r="AD1398"/>
      <c r="AE1398" s="75" t="s">
        <v>1017</v>
      </c>
      <c r="AF1398" s="50"/>
      <c r="AG1398" s="50"/>
      <c r="AH1398" s="166" t="str">
        <f t="shared" si="591"/>
        <v/>
      </c>
      <c r="AI1398" s="168" t="str">
        <f t="shared" si="582"/>
        <v/>
      </c>
      <c r="AJ1398" s="168" t="str">
        <f t="shared" si="583"/>
        <v/>
      </c>
      <c r="AK1398" s="168" t="str">
        <f t="shared" si="584"/>
        <v/>
      </c>
      <c r="AL1398" s="168" t="str">
        <f t="shared" si="585"/>
        <v/>
      </c>
      <c r="AM1398" s="168" t="str">
        <f t="shared" si="586"/>
        <v/>
      </c>
      <c r="AN1398" s="167" t="str">
        <f t="shared" si="568"/>
        <v/>
      </c>
      <c r="AO1398" s="167" t="str">
        <f t="shared" si="569"/>
        <v/>
      </c>
      <c r="AP1398" s="167" t="str">
        <f t="shared" si="570"/>
        <v/>
      </c>
      <c r="AQ1398" s="169" t="str">
        <f t="shared" si="571"/>
        <v/>
      </c>
      <c r="AR1398" s="170" t="str">
        <f t="shared" si="572"/>
        <v>BiK82a1bK09-06</v>
      </c>
      <c r="AS1398" s="169" t="str">
        <f t="shared" si="573"/>
        <v/>
      </c>
      <c r="AT1398">
        <f t="shared" si="574"/>
        <v>14</v>
      </c>
      <c r="AU1398" s="170" t="str">
        <f t="shared" si="575"/>
        <v>0,15-0,5 MW, Bonusregeln a1, b und K erstmals 2009</v>
      </c>
      <c r="AV1398" s="169" t="str">
        <f t="shared" si="576"/>
        <v/>
      </c>
      <c r="AW1398" s="170" t="str">
        <f t="shared" si="577"/>
        <v>Anteil KWK, erstmals 2009</v>
      </c>
      <c r="AX1398" s="169" t="str">
        <f t="shared" si="578"/>
        <v/>
      </c>
      <c r="AY1398" t="str">
        <f t="shared" si="579"/>
        <v/>
      </c>
      <c r="AZ1398" t="str">
        <f t="shared" si="580"/>
        <v/>
      </c>
    </row>
    <row r="1399" spans="1:52" s="145" customFormat="1" x14ac:dyDescent="0.35">
      <c r="A1399" s="497" t="s">
        <v>4922</v>
      </c>
      <c r="B1399" s="13" t="s">
        <v>5547</v>
      </c>
      <c r="C1399" s="13" t="s">
        <v>1296</v>
      </c>
      <c r="D1399" s="13" t="s">
        <v>7143</v>
      </c>
      <c r="E1399" s="13" t="s">
        <v>3566</v>
      </c>
      <c r="F1399" s="373">
        <f t="shared" si="587"/>
        <v>20.57</v>
      </c>
      <c r="G1399" s="430">
        <v>20.57</v>
      </c>
      <c r="H1399" s="399">
        <f t="shared" si="588"/>
        <v>16.46</v>
      </c>
      <c r="I1399" s="576"/>
      <c r="J1399" s="549" t="s">
        <v>5804</v>
      </c>
      <c r="K1399" s="11"/>
      <c r="L1399"/>
      <c r="M1399" s="37">
        <f t="shared" si="589"/>
        <v>20.57</v>
      </c>
      <c r="N1399" s="29">
        <v>9.6</v>
      </c>
      <c r="O1399" s="41"/>
      <c r="P1399" s="11"/>
      <c r="Q1399"/>
      <c r="R1399" t="s">
        <v>1017</v>
      </c>
      <c r="S1399" t="s">
        <v>4179</v>
      </c>
      <c r="T1399" s="145" t="s">
        <v>4179</v>
      </c>
      <c r="U1399" s="42"/>
      <c r="V1399" t="s">
        <v>1017</v>
      </c>
      <c r="W1399" s="50"/>
      <c r="X1399" s="50"/>
      <c r="Y1399"/>
      <c r="Z1399" s="50"/>
      <c r="AA1399"/>
      <c r="AB1399"/>
      <c r="AC1399" s="50"/>
      <c r="AD1399"/>
      <c r="AE1399" s="75" t="s">
        <v>1017</v>
      </c>
      <c r="AF1399" s="50"/>
      <c r="AG1399" s="50"/>
      <c r="AH1399" s="166" t="str">
        <f t="shared" si="591"/>
        <v>2010</v>
      </c>
      <c r="AI1399" s="168" t="str">
        <f t="shared" si="582"/>
        <v/>
      </c>
      <c r="AJ1399" s="168" t="str">
        <f t="shared" si="583"/>
        <v/>
      </c>
      <c r="AK1399" s="168" t="str">
        <f t="shared" si="584"/>
        <v/>
      </c>
      <c r="AL1399" s="168" t="str">
        <f t="shared" si="585"/>
        <v/>
      </c>
      <c r="AM1399" s="168" t="str">
        <f t="shared" si="586"/>
        <v/>
      </c>
      <c r="AN1399" s="167" t="str">
        <f t="shared" si="568"/>
        <v>2010</v>
      </c>
      <c r="AO1399" s="167" t="str">
        <f t="shared" si="569"/>
        <v>2010</v>
      </c>
      <c r="AP1399" s="167" t="str">
        <f t="shared" si="570"/>
        <v>2010</v>
      </c>
      <c r="AQ1399" s="169" t="str">
        <f t="shared" si="571"/>
        <v/>
      </c>
      <c r="AR1399" s="170" t="str">
        <f t="shared" si="572"/>
        <v>BiK82a1bK10-06</v>
      </c>
      <c r="AS1399" s="169" t="str">
        <f t="shared" si="573"/>
        <v/>
      </c>
      <c r="AT1399">
        <f t="shared" si="574"/>
        <v>14</v>
      </c>
      <c r="AU1399" s="170" t="str">
        <f t="shared" si="575"/>
        <v>0,15-0,5 MW, Bonusregeln a1, b und K erstmals 2010</v>
      </c>
      <c r="AV1399" s="169" t="str">
        <f t="shared" si="576"/>
        <v/>
      </c>
      <c r="AW1399" s="170" t="str">
        <f t="shared" si="577"/>
        <v>Anteil KWK, erstmals 2010</v>
      </c>
      <c r="AX1399" s="169" t="str">
        <f t="shared" si="578"/>
        <v/>
      </c>
      <c r="AY1399" t="str">
        <f t="shared" si="579"/>
        <v/>
      </c>
      <c r="AZ1399" t="str">
        <f t="shared" si="580"/>
        <v/>
      </c>
    </row>
    <row r="1400" spans="1:52" s="145" customFormat="1" x14ac:dyDescent="0.35">
      <c r="A1400" s="497" t="s">
        <v>3969</v>
      </c>
      <c r="B1400" s="13" t="s">
        <v>5547</v>
      </c>
      <c r="C1400" s="13" t="s">
        <v>1296</v>
      </c>
      <c r="D1400" s="13" t="s">
        <v>7144</v>
      </c>
      <c r="E1400" s="13" t="s">
        <v>3054</v>
      </c>
      <c r="F1400" s="373">
        <f t="shared" si="587"/>
        <v>20.54</v>
      </c>
      <c r="G1400" s="430">
        <v>20.54</v>
      </c>
      <c r="H1400" s="399">
        <f t="shared" si="588"/>
        <v>16.43</v>
      </c>
      <c r="I1400" s="576"/>
      <c r="J1400" s="549" t="s">
        <v>5804</v>
      </c>
      <c r="K1400" s="11"/>
      <c r="L1400"/>
      <c r="M1400" s="37">
        <f t="shared" si="589"/>
        <v>20.54</v>
      </c>
      <c r="N1400" s="29">
        <v>9.6</v>
      </c>
      <c r="O1400" s="41"/>
      <c r="P1400" s="11"/>
      <c r="Q1400"/>
      <c r="R1400"/>
      <c r="S1400" t="s">
        <v>1017</v>
      </c>
      <c r="T1400" s="145" t="s">
        <v>4179</v>
      </c>
      <c r="U1400" s="42"/>
      <c r="V1400" t="s">
        <v>1017</v>
      </c>
      <c r="W1400" s="50"/>
      <c r="X1400" s="50"/>
      <c r="Y1400"/>
      <c r="Z1400" s="50"/>
      <c r="AA1400"/>
      <c r="AB1400"/>
      <c r="AC1400" s="50"/>
      <c r="AD1400"/>
      <c r="AE1400" s="75" t="s">
        <v>1017</v>
      </c>
      <c r="AF1400" s="50"/>
      <c r="AG1400" s="50"/>
      <c r="AH1400" s="166" t="str">
        <f t="shared" si="591"/>
        <v>2011</v>
      </c>
      <c r="AI1400" s="168" t="str">
        <f t="shared" si="582"/>
        <v/>
      </c>
      <c r="AJ1400" s="168" t="str">
        <f t="shared" si="583"/>
        <v/>
      </c>
      <c r="AK1400" s="168" t="str">
        <f t="shared" si="584"/>
        <v/>
      </c>
      <c r="AL1400" s="168" t="str">
        <f t="shared" si="585"/>
        <v/>
      </c>
      <c r="AM1400" s="168" t="str">
        <f t="shared" si="586"/>
        <v/>
      </c>
      <c r="AN1400" s="167" t="str">
        <f t="shared" si="568"/>
        <v>2011</v>
      </c>
      <c r="AO1400" s="167" t="str">
        <f t="shared" si="569"/>
        <v>2011</v>
      </c>
      <c r="AP1400" s="167" t="str">
        <f t="shared" si="570"/>
        <v>2011</v>
      </c>
      <c r="AQ1400" s="169" t="str">
        <f t="shared" si="571"/>
        <v/>
      </c>
      <c r="AR1400" s="170" t="str">
        <f t="shared" si="572"/>
        <v>BiK82a1bK11-06</v>
      </c>
      <c r="AS1400" s="169" t="str">
        <f t="shared" si="573"/>
        <v/>
      </c>
      <c r="AT1400">
        <f t="shared" si="574"/>
        <v>14</v>
      </c>
      <c r="AU1400" s="170" t="str">
        <f t="shared" si="575"/>
        <v>0,15-0,5 MW, Bonusregeln a1, b und K erstmals 2011</v>
      </c>
      <c r="AV1400" s="169" t="str">
        <f t="shared" si="576"/>
        <v/>
      </c>
      <c r="AW1400" s="170" t="str">
        <f t="shared" si="577"/>
        <v>Anteil KWK, erstmals 2011</v>
      </c>
      <c r="AX1400" s="169" t="str">
        <f t="shared" si="578"/>
        <v/>
      </c>
      <c r="AY1400" t="str">
        <f t="shared" si="579"/>
        <v>x</v>
      </c>
      <c r="AZ1400" t="str">
        <f t="shared" si="580"/>
        <v/>
      </c>
    </row>
    <row r="1401" spans="1:52" s="145" customFormat="1" x14ac:dyDescent="0.35">
      <c r="A1401" s="511" t="s">
        <v>1792</v>
      </c>
      <c r="B1401" s="173" t="s">
        <v>5547</v>
      </c>
      <c r="C1401" s="173" t="s">
        <v>1296</v>
      </c>
      <c r="D1401" s="173" t="s">
        <v>7145</v>
      </c>
      <c r="E1401" s="173" t="s">
        <v>1980</v>
      </c>
      <c r="F1401" s="374">
        <f t="shared" si="587"/>
        <v>20.509999999999998</v>
      </c>
      <c r="G1401" s="431">
        <v>20.509999999999998</v>
      </c>
      <c r="H1401" s="400">
        <f t="shared" si="588"/>
        <v>16.41</v>
      </c>
      <c r="I1401" s="577"/>
      <c r="J1401" s="549" t="s">
        <v>5804</v>
      </c>
      <c r="K1401" s="11"/>
      <c r="L1401"/>
      <c r="M1401" s="37">
        <f t="shared" si="589"/>
        <v>20.509999999999998</v>
      </c>
      <c r="N1401" s="29">
        <v>9.6</v>
      </c>
      <c r="O1401" s="41"/>
      <c r="P1401" s="11"/>
      <c r="Q1401"/>
      <c r="R1401"/>
      <c r="S1401" t="s">
        <v>4179</v>
      </c>
      <c r="T1401" s="145" t="s">
        <v>1017</v>
      </c>
      <c r="U1401" s="42"/>
      <c r="V1401" t="s">
        <v>1017</v>
      </c>
      <c r="W1401" s="50"/>
      <c r="X1401" s="50"/>
      <c r="Y1401"/>
      <c r="Z1401" s="50"/>
      <c r="AA1401"/>
      <c r="AB1401"/>
      <c r="AC1401" s="50"/>
      <c r="AD1401"/>
      <c r="AE1401" s="75" t="s">
        <v>1017</v>
      </c>
      <c r="AF1401" s="50"/>
      <c r="AG1401" s="50"/>
      <c r="AH1401" s="171" t="s">
        <v>4178</v>
      </c>
      <c r="AI1401" s="168" t="str">
        <f t="shared" si="582"/>
        <v/>
      </c>
      <c r="AJ1401" s="168" t="str">
        <f t="shared" si="583"/>
        <v/>
      </c>
      <c r="AK1401" s="168" t="str">
        <f t="shared" si="584"/>
        <v/>
      </c>
      <c r="AL1401" s="168" t="str">
        <f t="shared" si="585"/>
        <v/>
      </c>
      <c r="AM1401" s="168" t="str">
        <f t="shared" si="586"/>
        <v/>
      </c>
      <c r="AN1401" s="167" t="str">
        <f t="shared" si="568"/>
        <v>2012</v>
      </c>
      <c r="AO1401" s="167" t="str">
        <f t="shared" si="569"/>
        <v>2012</v>
      </c>
      <c r="AP1401" s="167" t="str">
        <f t="shared" si="570"/>
        <v>2012</v>
      </c>
      <c r="AQ1401" s="169" t="str">
        <f t="shared" si="571"/>
        <v/>
      </c>
      <c r="AR1401" s="170" t="str">
        <f t="shared" si="572"/>
        <v>BiK82a1bK12-06</v>
      </c>
      <c r="AS1401" s="169" t="str">
        <f t="shared" si="573"/>
        <v/>
      </c>
      <c r="AT1401">
        <f t="shared" si="574"/>
        <v>14</v>
      </c>
      <c r="AU1401" s="170" t="str">
        <f t="shared" si="575"/>
        <v>0,15-0,5 MW, Bonusregeln a1, b und K erstmals 2012</v>
      </c>
      <c r="AV1401" s="169" t="str">
        <f t="shared" si="576"/>
        <v/>
      </c>
      <c r="AW1401" s="170" t="str">
        <f t="shared" si="577"/>
        <v>Anteil KWK, erstmals 2012</v>
      </c>
      <c r="AX1401" s="169" t="str">
        <f t="shared" si="578"/>
        <v/>
      </c>
      <c r="AY1401" t="str">
        <f t="shared" si="579"/>
        <v/>
      </c>
      <c r="AZ1401" t="str">
        <f t="shared" si="580"/>
        <v>x</v>
      </c>
    </row>
    <row r="1402" spans="1:52" s="145" customFormat="1" x14ac:dyDescent="0.35">
      <c r="A1402" s="497" t="s">
        <v>992</v>
      </c>
      <c r="B1402" s="13" t="s">
        <v>5547</v>
      </c>
      <c r="C1402" s="13" t="s">
        <v>1296</v>
      </c>
      <c r="D1402" s="13" t="s">
        <v>7146</v>
      </c>
      <c r="E1402" s="13" t="s">
        <v>4809</v>
      </c>
      <c r="F1402" s="373">
        <f t="shared" si="587"/>
        <v>18.600000000000001</v>
      </c>
      <c r="G1402" s="430">
        <v>18.600000000000001</v>
      </c>
      <c r="H1402" s="399">
        <f t="shared" si="588"/>
        <v>14.88</v>
      </c>
      <c r="I1402" s="576"/>
      <c r="J1402" s="549" t="s">
        <v>5804</v>
      </c>
      <c r="K1402" s="11"/>
      <c r="L1402"/>
      <c r="M1402" s="37">
        <f t="shared" si="589"/>
        <v>18.600000000000001</v>
      </c>
      <c r="N1402" s="29">
        <v>9.6</v>
      </c>
      <c r="O1402" s="41"/>
      <c r="P1402" s="11"/>
      <c r="Q1402"/>
      <c r="R1402"/>
      <c r="S1402" t="s">
        <v>4179</v>
      </c>
      <c r="T1402" s="145" t="s">
        <v>4179</v>
      </c>
      <c r="U1402" s="42" t="s">
        <v>1017</v>
      </c>
      <c r="V1402" t="s">
        <v>1017</v>
      </c>
      <c r="W1402" s="50"/>
      <c r="X1402" s="50"/>
      <c r="Y1402"/>
      <c r="Z1402" s="50"/>
      <c r="AA1402"/>
      <c r="AB1402"/>
      <c r="AC1402" s="50"/>
      <c r="AD1402"/>
      <c r="AE1402" s="75" t="s">
        <v>1017</v>
      </c>
      <c r="AF1402" s="50"/>
      <c r="AG1402" s="50"/>
      <c r="AH1402" s="166" t="str">
        <f t="shared" ref="AH1402:AH1407" si="592">IF(ISERROR(SEARCH("K erstmals 201",D1402)),"",RIGHT(D1402,4))</f>
        <v/>
      </c>
      <c r="AI1402" s="168" t="str">
        <f t="shared" si="582"/>
        <v/>
      </c>
      <c r="AJ1402" s="168" t="str">
        <f t="shared" si="583"/>
        <v/>
      </c>
      <c r="AK1402" s="168" t="str">
        <f t="shared" si="584"/>
        <v/>
      </c>
      <c r="AL1402" s="168" t="str">
        <f t="shared" si="585"/>
        <v/>
      </c>
      <c r="AM1402" s="168" t="str">
        <f t="shared" si="586"/>
        <v/>
      </c>
      <c r="AN1402" s="167" t="str">
        <f t="shared" si="568"/>
        <v/>
      </c>
      <c r="AO1402" s="167" t="str">
        <f t="shared" si="569"/>
        <v/>
      </c>
      <c r="AP1402" s="167" t="str">
        <f t="shared" si="570"/>
        <v/>
      </c>
      <c r="AQ1402" s="169" t="str">
        <f t="shared" si="571"/>
        <v/>
      </c>
      <c r="AR1402" s="170" t="str">
        <f t="shared" si="572"/>
        <v>BiK82a1by---06</v>
      </c>
      <c r="AS1402" s="169" t="str">
        <f t="shared" si="573"/>
        <v/>
      </c>
      <c r="AT1402">
        <f t="shared" si="574"/>
        <v>14</v>
      </c>
      <c r="AU1402" s="170" t="str">
        <f t="shared" si="575"/>
        <v>0,15-0,5 MW, Bonusregeln a1, b, y</v>
      </c>
      <c r="AV1402" s="169" t="str">
        <f t="shared" si="576"/>
        <v/>
      </c>
      <c r="AW1402" s="170" t="str">
        <f t="shared" si="577"/>
        <v>Anteil Nicht-KWK</v>
      </c>
      <c r="AX1402" s="169" t="str">
        <f t="shared" si="578"/>
        <v/>
      </c>
      <c r="AY1402" t="str">
        <f t="shared" si="579"/>
        <v/>
      </c>
      <c r="AZ1402" t="str">
        <f t="shared" si="580"/>
        <v/>
      </c>
    </row>
    <row r="1403" spans="1:52" s="145" customFormat="1" x14ac:dyDescent="0.35">
      <c r="A1403" s="497" t="s">
        <v>993</v>
      </c>
      <c r="B1403" s="13" t="s">
        <v>5547</v>
      </c>
      <c r="C1403" s="13" t="s">
        <v>1296</v>
      </c>
      <c r="D1403" s="13" t="s">
        <v>7147</v>
      </c>
      <c r="E1403" s="13" t="s">
        <v>4811</v>
      </c>
      <c r="F1403" s="373">
        <f t="shared" si="587"/>
        <v>20.6</v>
      </c>
      <c r="G1403" s="430">
        <v>20.6</v>
      </c>
      <c r="H1403" s="399">
        <f t="shared" si="588"/>
        <v>16.48</v>
      </c>
      <c r="I1403" s="576"/>
      <c r="J1403" s="549" t="s">
        <v>5804</v>
      </c>
      <c r="K1403" s="11"/>
      <c r="L1403"/>
      <c r="M1403" s="37">
        <f t="shared" si="589"/>
        <v>20.6</v>
      </c>
      <c r="N1403" s="29">
        <v>9.6</v>
      </c>
      <c r="O1403" s="41" t="s">
        <v>1017</v>
      </c>
      <c r="P1403" s="11"/>
      <c r="Q1403"/>
      <c r="R1403"/>
      <c r="S1403" t="s">
        <v>4179</v>
      </c>
      <c r="T1403" s="145" t="s">
        <v>4179</v>
      </c>
      <c r="U1403" s="42" t="s">
        <v>1017</v>
      </c>
      <c r="V1403" t="s">
        <v>1017</v>
      </c>
      <c r="W1403" s="50"/>
      <c r="X1403" s="50"/>
      <c r="Y1403"/>
      <c r="Z1403" s="50"/>
      <c r="AA1403"/>
      <c r="AB1403"/>
      <c r="AC1403" s="50"/>
      <c r="AD1403"/>
      <c r="AE1403" s="75" t="s">
        <v>1017</v>
      </c>
      <c r="AF1403" s="50"/>
      <c r="AG1403" s="50"/>
      <c r="AH1403" s="166" t="str">
        <f t="shared" si="592"/>
        <v/>
      </c>
      <c r="AI1403" s="168" t="str">
        <f t="shared" si="582"/>
        <v/>
      </c>
      <c r="AJ1403" s="168" t="str">
        <f t="shared" si="583"/>
        <v/>
      </c>
      <c r="AK1403" s="168" t="str">
        <f t="shared" si="584"/>
        <v/>
      </c>
      <c r="AL1403" s="168" t="str">
        <f t="shared" si="585"/>
        <v/>
      </c>
      <c r="AM1403" s="168" t="str">
        <f t="shared" si="586"/>
        <v/>
      </c>
      <c r="AN1403" s="167" t="str">
        <f t="shared" si="568"/>
        <v/>
      </c>
      <c r="AO1403" s="167" t="str">
        <f t="shared" si="569"/>
        <v/>
      </c>
      <c r="AP1403" s="167" t="str">
        <f t="shared" si="570"/>
        <v/>
      </c>
      <c r="AQ1403" s="169" t="str">
        <f t="shared" si="571"/>
        <v/>
      </c>
      <c r="AR1403" s="170" t="str">
        <f t="shared" si="572"/>
        <v>BiK82a1bKWKy06</v>
      </c>
      <c r="AS1403" s="169" t="str">
        <f t="shared" si="573"/>
        <v/>
      </c>
      <c r="AT1403">
        <f t="shared" si="574"/>
        <v>14</v>
      </c>
      <c r="AU1403" s="170" t="str">
        <f t="shared" si="575"/>
        <v>0,15-0,5 MW, Bonusregeln a1, b, y und KWK</v>
      </c>
      <c r="AV1403" s="169" t="str">
        <f t="shared" si="576"/>
        <v/>
      </c>
      <c r="AW1403" s="170" t="str">
        <f t="shared" si="577"/>
        <v>Anteil KWK</v>
      </c>
      <c r="AX1403" s="169" t="str">
        <f t="shared" si="578"/>
        <v/>
      </c>
      <c r="AY1403" t="str">
        <f t="shared" si="579"/>
        <v/>
      </c>
      <c r="AZ1403" t="str">
        <f t="shared" si="580"/>
        <v/>
      </c>
    </row>
    <row r="1404" spans="1:52" s="145" customFormat="1" x14ac:dyDescent="0.35">
      <c r="A1404" s="497" t="s">
        <v>2897</v>
      </c>
      <c r="B1404" s="13" t="s">
        <v>5547</v>
      </c>
      <c r="C1404" s="13" t="s">
        <v>1296</v>
      </c>
      <c r="D1404" s="13" t="s">
        <v>7148</v>
      </c>
      <c r="E1404" s="13" t="s">
        <v>4330</v>
      </c>
      <c r="F1404" s="373">
        <f t="shared" si="587"/>
        <v>21.6</v>
      </c>
      <c r="G1404" s="430">
        <v>21.6</v>
      </c>
      <c r="H1404" s="399">
        <f t="shared" si="588"/>
        <v>17.28</v>
      </c>
      <c r="I1404" s="576"/>
      <c r="J1404" s="549" t="s">
        <v>5804</v>
      </c>
      <c r="K1404" s="11"/>
      <c r="L1404"/>
      <c r="M1404" s="37">
        <f t="shared" si="589"/>
        <v>21.6</v>
      </c>
      <c r="N1404" s="29">
        <v>9.6</v>
      </c>
      <c r="O1404" s="41"/>
      <c r="P1404" t="s">
        <v>1017</v>
      </c>
      <c r="Q1404"/>
      <c r="R1404"/>
      <c r="S1404" t="s">
        <v>4179</v>
      </c>
      <c r="T1404" s="145" t="s">
        <v>4179</v>
      </c>
      <c r="U1404" s="42" t="s">
        <v>1017</v>
      </c>
      <c r="V1404" t="s">
        <v>1017</v>
      </c>
      <c r="W1404" s="50"/>
      <c r="X1404" s="50"/>
      <c r="Y1404"/>
      <c r="Z1404" s="50"/>
      <c r="AA1404"/>
      <c r="AB1404"/>
      <c r="AC1404" s="50"/>
      <c r="AD1404"/>
      <c r="AE1404" s="75" t="s">
        <v>1017</v>
      </c>
      <c r="AF1404" s="50"/>
      <c r="AG1404" s="50"/>
      <c r="AH1404" s="166" t="str">
        <f t="shared" si="592"/>
        <v/>
      </c>
      <c r="AI1404" s="168" t="str">
        <f t="shared" si="582"/>
        <v/>
      </c>
      <c r="AJ1404" s="168" t="str">
        <f t="shared" si="583"/>
        <v/>
      </c>
      <c r="AK1404" s="168" t="str">
        <f t="shared" si="584"/>
        <v/>
      </c>
      <c r="AL1404" s="168" t="str">
        <f t="shared" si="585"/>
        <v/>
      </c>
      <c r="AM1404" s="168" t="str">
        <f t="shared" si="586"/>
        <v/>
      </c>
      <c r="AN1404" s="167" t="str">
        <f t="shared" si="568"/>
        <v/>
      </c>
      <c r="AO1404" s="167" t="str">
        <f t="shared" si="569"/>
        <v/>
      </c>
      <c r="AP1404" s="167" t="str">
        <f t="shared" si="570"/>
        <v/>
      </c>
      <c r="AQ1404" s="169" t="str">
        <f t="shared" si="571"/>
        <v/>
      </c>
      <c r="AR1404" s="170" t="str">
        <f t="shared" si="572"/>
        <v>BiK82a1bKA3y06</v>
      </c>
      <c r="AS1404" s="169" t="str">
        <f t="shared" si="573"/>
        <v/>
      </c>
      <c r="AT1404">
        <f t="shared" si="574"/>
        <v>14</v>
      </c>
      <c r="AU1404" s="170" t="str">
        <f t="shared" si="575"/>
        <v>0,15-0,5 MW, Bonusregeln a1, b, y und K wenn Anlage 3 erfüllt</v>
      </c>
      <c r="AV1404" s="169" t="str">
        <f t="shared" si="576"/>
        <v/>
      </c>
      <c r="AW1404" s="170" t="str">
        <f t="shared" si="577"/>
        <v>Anteil KWK gemäß Anlage 3</v>
      </c>
      <c r="AX1404" s="169" t="str">
        <f t="shared" si="578"/>
        <v/>
      </c>
      <c r="AY1404" t="str">
        <f t="shared" si="579"/>
        <v/>
      </c>
      <c r="AZ1404" t="str">
        <f t="shared" si="580"/>
        <v/>
      </c>
    </row>
    <row r="1405" spans="1:52" s="145" customFormat="1" x14ac:dyDescent="0.35">
      <c r="A1405" s="497" t="s">
        <v>2898</v>
      </c>
      <c r="B1405" s="13" t="s">
        <v>5547</v>
      </c>
      <c r="C1405" s="13" t="s">
        <v>1296</v>
      </c>
      <c r="D1405" s="13" t="s">
        <v>7149</v>
      </c>
      <c r="E1405" s="13" t="s">
        <v>674</v>
      </c>
      <c r="F1405" s="373">
        <f t="shared" si="587"/>
        <v>21.6</v>
      </c>
      <c r="G1405" s="430">
        <v>21.6</v>
      </c>
      <c r="H1405" s="399">
        <f t="shared" si="588"/>
        <v>17.28</v>
      </c>
      <c r="I1405" s="576"/>
      <c r="J1405" s="549" t="s">
        <v>5804</v>
      </c>
      <c r="K1405" s="11"/>
      <c r="L1405"/>
      <c r="M1405" s="37">
        <f t="shared" si="589"/>
        <v>21.6</v>
      </c>
      <c r="N1405" s="29">
        <v>9.6</v>
      </c>
      <c r="O1405" s="41"/>
      <c r="P1405" s="11"/>
      <c r="Q1405" t="s">
        <v>1017</v>
      </c>
      <c r="R1405"/>
      <c r="S1405" t="s">
        <v>4179</v>
      </c>
      <c r="T1405" s="145" t="s">
        <v>4179</v>
      </c>
      <c r="U1405" s="42" t="s">
        <v>1017</v>
      </c>
      <c r="V1405" t="s">
        <v>1017</v>
      </c>
      <c r="W1405" s="50"/>
      <c r="X1405" s="50"/>
      <c r="Y1405"/>
      <c r="Z1405" s="50"/>
      <c r="AA1405"/>
      <c r="AB1405"/>
      <c r="AC1405" s="50"/>
      <c r="AD1405"/>
      <c r="AE1405" s="75" t="s">
        <v>1017</v>
      </c>
      <c r="AF1405" s="50"/>
      <c r="AG1405" s="50"/>
      <c r="AH1405" s="166" t="str">
        <f t="shared" si="592"/>
        <v/>
      </c>
      <c r="AI1405" s="168" t="str">
        <f t="shared" si="582"/>
        <v/>
      </c>
      <c r="AJ1405" s="168" t="str">
        <f t="shared" si="583"/>
        <v/>
      </c>
      <c r="AK1405" s="168" t="str">
        <f t="shared" si="584"/>
        <v/>
      </c>
      <c r="AL1405" s="168" t="str">
        <f t="shared" si="585"/>
        <v/>
      </c>
      <c r="AM1405" s="168" t="str">
        <f t="shared" si="586"/>
        <v/>
      </c>
      <c r="AN1405" s="167" t="str">
        <f t="shared" si="568"/>
        <v/>
      </c>
      <c r="AO1405" s="167" t="str">
        <f t="shared" si="569"/>
        <v/>
      </c>
      <c r="AP1405" s="167" t="str">
        <f t="shared" si="570"/>
        <v/>
      </c>
      <c r="AQ1405" s="169" t="str">
        <f t="shared" si="571"/>
        <v/>
      </c>
      <c r="AR1405" s="170" t="str">
        <f t="shared" si="572"/>
        <v>BiK82a1bK09y06</v>
      </c>
      <c r="AS1405" s="169" t="str">
        <f t="shared" si="573"/>
        <v/>
      </c>
      <c r="AT1405">
        <f t="shared" si="574"/>
        <v>14</v>
      </c>
      <c r="AU1405" s="170" t="str">
        <f t="shared" si="575"/>
        <v>0,15-0,5 MW, Bonusregeln a1, b, y und K erstmals 2009</v>
      </c>
      <c r="AV1405" s="169" t="str">
        <f t="shared" si="576"/>
        <v/>
      </c>
      <c r="AW1405" s="170" t="str">
        <f t="shared" si="577"/>
        <v>Anteil KWK, erstmals 2009</v>
      </c>
      <c r="AX1405" s="169" t="str">
        <f t="shared" si="578"/>
        <v/>
      </c>
      <c r="AY1405" t="str">
        <f t="shared" si="579"/>
        <v/>
      </c>
      <c r="AZ1405" t="str">
        <f t="shared" si="580"/>
        <v/>
      </c>
    </row>
    <row r="1406" spans="1:52" s="145" customFormat="1" x14ac:dyDescent="0.35">
      <c r="A1406" s="497" t="s">
        <v>4923</v>
      </c>
      <c r="B1406" s="13" t="s">
        <v>5547</v>
      </c>
      <c r="C1406" s="13" t="s">
        <v>1296</v>
      </c>
      <c r="D1406" s="13" t="s">
        <v>7150</v>
      </c>
      <c r="E1406" s="13" t="s">
        <v>3566</v>
      </c>
      <c r="F1406" s="373">
        <f t="shared" si="587"/>
        <v>21.57</v>
      </c>
      <c r="G1406" s="430">
        <v>21.57</v>
      </c>
      <c r="H1406" s="399">
        <f t="shared" si="588"/>
        <v>17.260000000000002</v>
      </c>
      <c r="I1406" s="576"/>
      <c r="J1406" s="549" t="s">
        <v>5804</v>
      </c>
      <c r="K1406" s="11"/>
      <c r="L1406"/>
      <c r="M1406" s="37">
        <f t="shared" si="589"/>
        <v>21.57</v>
      </c>
      <c r="N1406" s="29">
        <v>9.6</v>
      </c>
      <c r="O1406" s="41"/>
      <c r="P1406" s="11"/>
      <c r="Q1406"/>
      <c r="R1406" t="s">
        <v>1017</v>
      </c>
      <c r="S1406" t="s">
        <v>4179</v>
      </c>
      <c r="T1406" s="145" t="s">
        <v>4179</v>
      </c>
      <c r="U1406" s="42" t="s">
        <v>1017</v>
      </c>
      <c r="V1406" t="s">
        <v>1017</v>
      </c>
      <c r="W1406" s="50"/>
      <c r="X1406" s="50"/>
      <c r="Y1406"/>
      <c r="Z1406" s="50"/>
      <c r="AA1406"/>
      <c r="AB1406"/>
      <c r="AC1406" s="50"/>
      <c r="AD1406"/>
      <c r="AE1406" s="75" t="s">
        <v>1017</v>
      </c>
      <c r="AF1406" s="50"/>
      <c r="AG1406" s="50"/>
      <c r="AH1406" s="166" t="str">
        <f t="shared" si="592"/>
        <v>2010</v>
      </c>
      <c r="AI1406" s="168" t="str">
        <f t="shared" si="582"/>
        <v/>
      </c>
      <c r="AJ1406" s="168" t="str">
        <f t="shared" si="583"/>
        <v/>
      </c>
      <c r="AK1406" s="168" t="str">
        <f t="shared" si="584"/>
        <v/>
      </c>
      <c r="AL1406" s="168" t="str">
        <f t="shared" si="585"/>
        <v/>
      </c>
      <c r="AM1406" s="168" t="str">
        <f t="shared" si="586"/>
        <v/>
      </c>
      <c r="AN1406" s="167" t="str">
        <f t="shared" si="568"/>
        <v>2010</v>
      </c>
      <c r="AO1406" s="167" t="str">
        <f t="shared" si="569"/>
        <v>2010</v>
      </c>
      <c r="AP1406" s="167" t="str">
        <f t="shared" si="570"/>
        <v>2010</v>
      </c>
      <c r="AQ1406" s="169" t="str">
        <f t="shared" si="571"/>
        <v/>
      </c>
      <c r="AR1406" s="170" t="str">
        <f t="shared" si="572"/>
        <v>BiK82a1bK10y06</v>
      </c>
      <c r="AS1406" s="169" t="str">
        <f t="shared" si="573"/>
        <v/>
      </c>
      <c r="AT1406">
        <f t="shared" si="574"/>
        <v>14</v>
      </c>
      <c r="AU1406" s="170" t="str">
        <f t="shared" si="575"/>
        <v>0,15-0,5 MW, Bonusregeln a1, b, y und K erstmals 2010</v>
      </c>
      <c r="AV1406" s="169" t="str">
        <f t="shared" si="576"/>
        <v/>
      </c>
      <c r="AW1406" s="170" t="str">
        <f t="shared" si="577"/>
        <v>Anteil KWK, erstmals 2010</v>
      </c>
      <c r="AX1406" s="169" t="str">
        <f t="shared" si="578"/>
        <v/>
      </c>
      <c r="AY1406" t="str">
        <f t="shared" si="579"/>
        <v/>
      </c>
      <c r="AZ1406" t="str">
        <f t="shared" si="580"/>
        <v/>
      </c>
    </row>
    <row r="1407" spans="1:52" s="145" customFormat="1" x14ac:dyDescent="0.35">
      <c r="A1407" s="497" t="s">
        <v>3970</v>
      </c>
      <c r="B1407" s="13" t="s">
        <v>5547</v>
      </c>
      <c r="C1407" s="13" t="s">
        <v>1296</v>
      </c>
      <c r="D1407" s="13" t="s">
        <v>7151</v>
      </c>
      <c r="E1407" s="13" t="s">
        <v>3054</v>
      </c>
      <c r="F1407" s="373">
        <f t="shared" si="587"/>
        <v>21.54</v>
      </c>
      <c r="G1407" s="430">
        <v>21.54</v>
      </c>
      <c r="H1407" s="399">
        <f t="shared" si="588"/>
        <v>17.23</v>
      </c>
      <c r="I1407" s="576"/>
      <c r="J1407" s="549" t="s">
        <v>5804</v>
      </c>
      <c r="K1407" s="11"/>
      <c r="L1407"/>
      <c r="M1407" s="37">
        <f t="shared" si="589"/>
        <v>21.54</v>
      </c>
      <c r="N1407" s="29">
        <v>9.6</v>
      </c>
      <c r="O1407" s="41"/>
      <c r="P1407" s="11"/>
      <c r="Q1407"/>
      <c r="R1407"/>
      <c r="S1407" t="s">
        <v>1017</v>
      </c>
      <c r="T1407" s="145" t="s">
        <v>4179</v>
      </c>
      <c r="U1407" s="42" t="s">
        <v>1017</v>
      </c>
      <c r="V1407" t="s">
        <v>1017</v>
      </c>
      <c r="W1407" s="50"/>
      <c r="X1407" s="50"/>
      <c r="Y1407"/>
      <c r="Z1407" s="50"/>
      <c r="AA1407"/>
      <c r="AB1407"/>
      <c r="AC1407" s="50"/>
      <c r="AD1407"/>
      <c r="AE1407" s="75" t="s">
        <v>1017</v>
      </c>
      <c r="AF1407" s="50"/>
      <c r="AG1407" s="50"/>
      <c r="AH1407" s="166" t="str">
        <f t="shared" si="592"/>
        <v>2011</v>
      </c>
      <c r="AI1407" s="168" t="str">
        <f t="shared" si="582"/>
        <v/>
      </c>
      <c r="AJ1407" s="168" t="str">
        <f t="shared" si="583"/>
        <v/>
      </c>
      <c r="AK1407" s="168" t="str">
        <f t="shared" si="584"/>
        <v/>
      </c>
      <c r="AL1407" s="168" t="str">
        <f t="shared" si="585"/>
        <v/>
      </c>
      <c r="AM1407" s="168" t="str">
        <f t="shared" si="586"/>
        <v/>
      </c>
      <c r="AN1407" s="167" t="str">
        <f t="shared" si="568"/>
        <v>2011</v>
      </c>
      <c r="AO1407" s="167" t="str">
        <f t="shared" si="569"/>
        <v>2011</v>
      </c>
      <c r="AP1407" s="167" t="str">
        <f t="shared" si="570"/>
        <v>2011</v>
      </c>
      <c r="AQ1407" s="169" t="str">
        <f t="shared" si="571"/>
        <v/>
      </c>
      <c r="AR1407" s="170" t="str">
        <f t="shared" si="572"/>
        <v>BiK82a1bK11y06</v>
      </c>
      <c r="AS1407" s="169" t="str">
        <f t="shared" si="573"/>
        <v/>
      </c>
      <c r="AT1407">
        <f t="shared" si="574"/>
        <v>14</v>
      </c>
      <c r="AU1407" s="170" t="str">
        <f t="shared" si="575"/>
        <v>0,15-0,5 MW, Bonusregeln a1, b, y und K erstmals 2011</v>
      </c>
      <c r="AV1407" s="169" t="str">
        <f t="shared" si="576"/>
        <v/>
      </c>
      <c r="AW1407" s="170" t="str">
        <f t="shared" si="577"/>
        <v>Anteil KWK, erstmals 2011</v>
      </c>
      <c r="AX1407" s="169" t="str">
        <f t="shared" si="578"/>
        <v/>
      </c>
      <c r="AY1407" t="str">
        <f t="shared" si="579"/>
        <v>x</v>
      </c>
      <c r="AZ1407" t="str">
        <f t="shared" si="580"/>
        <v/>
      </c>
    </row>
    <row r="1408" spans="1:52" s="145" customFormat="1" x14ac:dyDescent="0.35">
      <c r="A1408" s="511" t="s">
        <v>1793</v>
      </c>
      <c r="B1408" s="173" t="s">
        <v>5547</v>
      </c>
      <c r="C1408" s="173" t="s">
        <v>1296</v>
      </c>
      <c r="D1408" s="173" t="s">
        <v>7152</v>
      </c>
      <c r="E1408" s="173" t="s">
        <v>1980</v>
      </c>
      <c r="F1408" s="374">
        <f t="shared" si="587"/>
        <v>21.509999999999998</v>
      </c>
      <c r="G1408" s="431">
        <v>21.509999999999998</v>
      </c>
      <c r="H1408" s="400">
        <f t="shared" si="588"/>
        <v>17.21</v>
      </c>
      <c r="I1408" s="577"/>
      <c r="J1408" s="549" t="s">
        <v>5804</v>
      </c>
      <c r="K1408" s="11"/>
      <c r="L1408"/>
      <c r="M1408" s="37">
        <f t="shared" si="589"/>
        <v>21.509999999999998</v>
      </c>
      <c r="N1408" s="29">
        <v>9.6</v>
      </c>
      <c r="O1408" s="41"/>
      <c r="P1408" s="11"/>
      <c r="Q1408"/>
      <c r="R1408"/>
      <c r="S1408" t="s">
        <v>4179</v>
      </c>
      <c r="T1408" s="145" t="s">
        <v>1017</v>
      </c>
      <c r="U1408" s="42" t="s">
        <v>1017</v>
      </c>
      <c r="V1408" t="s">
        <v>1017</v>
      </c>
      <c r="W1408" s="50"/>
      <c r="X1408" s="50"/>
      <c r="Y1408"/>
      <c r="Z1408" s="50"/>
      <c r="AA1408"/>
      <c r="AB1408"/>
      <c r="AC1408" s="50"/>
      <c r="AD1408"/>
      <c r="AE1408" s="75" t="s">
        <v>1017</v>
      </c>
      <c r="AF1408" s="50"/>
      <c r="AG1408" s="50"/>
      <c r="AH1408" s="171" t="s">
        <v>4178</v>
      </c>
      <c r="AI1408" s="168" t="str">
        <f t="shared" si="582"/>
        <v/>
      </c>
      <c r="AJ1408" s="168" t="str">
        <f t="shared" si="583"/>
        <v/>
      </c>
      <c r="AK1408" s="168" t="str">
        <f t="shared" si="584"/>
        <v/>
      </c>
      <c r="AL1408" s="168" t="str">
        <f t="shared" si="585"/>
        <v/>
      </c>
      <c r="AM1408" s="168" t="str">
        <f t="shared" si="586"/>
        <v/>
      </c>
      <c r="AN1408" s="167" t="str">
        <f t="shared" si="568"/>
        <v>2012</v>
      </c>
      <c r="AO1408" s="167" t="str">
        <f t="shared" si="569"/>
        <v>2012</v>
      </c>
      <c r="AP1408" s="167" t="str">
        <f t="shared" si="570"/>
        <v>2012</v>
      </c>
      <c r="AQ1408" s="169" t="str">
        <f t="shared" si="571"/>
        <v/>
      </c>
      <c r="AR1408" s="170" t="str">
        <f t="shared" si="572"/>
        <v>BiK82a1bK12y06</v>
      </c>
      <c r="AS1408" s="169" t="str">
        <f t="shared" si="573"/>
        <v/>
      </c>
      <c r="AT1408">
        <f t="shared" si="574"/>
        <v>14</v>
      </c>
      <c r="AU1408" s="170" t="str">
        <f t="shared" si="575"/>
        <v>0,15-0,5 MW, Bonusregeln a1, b, y und K erstmals 2012</v>
      </c>
      <c r="AV1408" s="169" t="str">
        <f t="shared" si="576"/>
        <v/>
      </c>
      <c r="AW1408" s="170" t="str">
        <f t="shared" si="577"/>
        <v>Anteil KWK, erstmals 2012</v>
      </c>
      <c r="AX1408" s="169" t="str">
        <f t="shared" si="578"/>
        <v/>
      </c>
      <c r="AY1408" t="str">
        <f t="shared" si="579"/>
        <v/>
      </c>
      <c r="AZ1408" t="str">
        <f t="shared" si="580"/>
        <v>x</v>
      </c>
    </row>
    <row r="1409" spans="1:52" s="145" customFormat="1" x14ac:dyDescent="0.35">
      <c r="A1409" s="497" t="s">
        <v>3205</v>
      </c>
      <c r="B1409" s="13" t="s">
        <v>5547</v>
      </c>
      <c r="C1409" s="13" t="s">
        <v>1296</v>
      </c>
      <c r="D1409" s="13" t="s">
        <v>7153</v>
      </c>
      <c r="E1409" s="13" t="s">
        <v>4809</v>
      </c>
      <c r="F1409" s="373">
        <f t="shared" si="587"/>
        <v>18.600000000000001</v>
      </c>
      <c r="G1409" s="430">
        <v>18.600000000000001</v>
      </c>
      <c r="H1409" s="399">
        <f t="shared" si="588"/>
        <v>14.88</v>
      </c>
      <c r="I1409" s="576"/>
      <c r="J1409" s="549" t="s">
        <v>5804</v>
      </c>
      <c r="K1409" s="11"/>
      <c r="L1409"/>
      <c r="M1409" s="37">
        <f t="shared" si="589"/>
        <v>18.600000000000001</v>
      </c>
      <c r="N1409" s="29">
        <v>9.6</v>
      </c>
      <c r="O1409" s="149"/>
      <c r="P1409" s="144"/>
      <c r="S1409" s="145" t="s">
        <v>4179</v>
      </c>
      <c r="T1409" s="145" t="s">
        <v>4179</v>
      </c>
      <c r="U1409" s="146"/>
      <c r="W1409" s="147"/>
      <c r="X1409" s="147"/>
      <c r="Y1409" s="145" t="s">
        <v>1017</v>
      </c>
      <c r="Z1409" s="147"/>
      <c r="AC1409" s="147"/>
      <c r="AE1409" s="148" t="s">
        <v>1017</v>
      </c>
      <c r="AF1409" s="147"/>
      <c r="AG1409" s="147"/>
      <c r="AH1409" s="166" t="str">
        <f t="shared" ref="AH1409:AH1414" si="593">IF(ISERROR(SEARCH("K erstmals 201",D1409)),"",RIGHT(D1409,4))</f>
        <v/>
      </c>
      <c r="AI1409" s="168" t="str">
        <f t="shared" si="582"/>
        <v/>
      </c>
      <c r="AJ1409" s="168" t="str">
        <f t="shared" si="583"/>
        <v/>
      </c>
      <c r="AK1409" s="168" t="str">
        <f t="shared" si="584"/>
        <v/>
      </c>
      <c r="AL1409" s="168" t="str">
        <f t="shared" si="585"/>
        <v/>
      </c>
      <c r="AM1409" s="168" t="str">
        <f t="shared" si="586"/>
        <v/>
      </c>
      <c r="AN1409" s="167" t="str">
        <f t="shared" si="568"/>
        <v/>
      </c>
      <c r="AO1409" s="167" t="str">
        <f t="shared" si="569"/>
        <v/>
      </c>
      <c r="AP1409" s="167" t="str">
        <f t="shared" si="570"/>
        <v/>
      </c>
      <c r="AQ1409" s="169" t="str">
        <f t="shared" si="571"/>
        <v/>
      </c>
      <c r="AR1409" s="170" t="str">
        <f t="shared" si="572"/>
        <v>BiK82Gb-----06</v>
      </c>
      <c r="AS1409" s="169" t="str">
        <f t="shared" si="573"/>
        <v/>
      </c>
      <c r="AT1409">
        <f t="shared" si="574"/>
        <v>14</v>
      </c>
      <c r="AU1409" s="170" t="str">
        <f t="shared" si="575"/>
        <v>0,15-0,5 MW, Bonusregeln G, b</v>
      </c>
      <c r="AV1409" s="169" t="str">
        <f t="shared" si="576"/>
        <v/>
      </c>
      <c r="AW1409" s="170" t="str">
        <f t="shared" si="577"/>
        <v>Anteil Nicht-KWK</v>
      </c>
      <c r="AX1409" s="169" t="str">
        <f t="shared" si="578"/>
        <v/>
      </c>
      <c r="AY1409" t="str">
        <f t="shared" si="579"/>
        <v/>
      </c>
      <c r="AZ1409" t="str">
        <f t="shared" si="580"/>
        <v/>
      </c>
    </row>
    <row r="1410" spans="1:52" s="145" customFormat="1" x14ac:dyDescent="0.35">
      <c r="A1410" s="497" t="s">
        <v>3206</v>
      </c>
      <c r="B1410" s="13" t="s">
        <v>5547</v>
      </c>
      <c r="C1410" s="13" t="s">
        <v>1296</v>
      </c>
      <c r="D1410" s="13" t="s">
        <v>7154</v>
      </c>
      <c r="E1410" s="13" t="s">
        <v>4811</v>
      </c>
      <c r="F1410" s="373">
        <f t="shared" si="587"/>
        <v>20.6</v>
      </c>
      <c r="G1410" s="430">
        <v>20.6</v>
      </c>
      <c r="H1410" s="399">
        <f t="shared" si="588"/>
        <v>16.48</v>
      </c>
      <c r="I1410" s="576"/>
      <c r="J1410" s="549" t="s">
        <v>5804</v>
      </c>
      <c r="K1410" s="11"/>
      <c r="L1410"/>
      <c r="M1410" s="37">
        <f t="shared" si="589"/>
        <v>20.6</v>
      </c>
      <c r="N1410" s="29">
        <v>9.6</v>
      </c>
      <c r="O1410" s="149" t="s">
        <v>1017</v>
      </c>
      <c r="P1410" s="144"/>
      <c r="S1410" s="145" t="s">
        <v>4179</v>
      </c>
      <c r="T1410" s="145" t="s">
        <v>4179</v>
      </c>
      <c r="U1410" s="146"/>
      <c r="W1410" s="147"/>
      <c r="X1410" s="147"/>
      <c r="Y1410" s="145" t="s">
        <v>1017</v>
      </c>
      <c r="Z1410" s="147"/>
      <c r="AC1410" s="147"/>
      <c r="AE1410" s="148" t="s">
        <v>1017</v>
      </c>
      <c r="AF1410" s="147"/>
      <c r="AG1410" s="147"/>
      <c r="AH1410" s="166" t="str">
        <f t="shared" si="593"/>
        <v/>
      </c>
      <c r="AI1410" s="168" t="str">
        <f t="shared" si="582"/>
        <v/>
      </c>
      <c r="AJ1410" s="168" t="str">
        <f t="shared" si="583"/>
        <v/>
      </c>
      <c r="AK1410" s="168" t="str">
        <f t="shared" si="584"/>
        <v/>
      </c>
      <c r="AL1410" s="168" t="str">
        <f t="shared" si="585"/>
        <v/>
      </c>
      <c r="AM1410" s="168" t="str">
        <f t="shared" si="586"/>
        <v/>
      </c>
      <c r="AN1410" s="167" t="str">
        <f t="shared" si="568"/>
        <v/>
      </c>
      <c r="AO1410" s="167" t="str">
        <f t="shared" si="569"/>
        <v/>
      </c>
      <c r="AP1410" s="167" t="str">
        <f t="shared" si="570"/>
        <v/>
      </c>
      <c r="AQ1410" s="169" t="str">
        <f t="shared" si="571"/>
        <v/>
      </c>
      <c r="AR1410" s="170" t="str">
        <f t="shared" si="572"/>
        <v>BiK82GbKWK--06</v>
      </c>
      <c r="AS1410" s="169" t="str">
        <f t="shared" si="573"/>
        <v/>
      </c>
      <c r="AT1410">
        <f t="shared" si="574"/>
        <v>14</v>
      </c>
      <c r="AU1410" s="170" t="str">
        <f t="shared" si="575"/>
        <v>0,15-0,5 MW, Bonusregeln G, b und KWK</v>
      </c>
      <c r="AV1410" s="169" t="str">
        <f t="shared" si="576"/>
        <v/>
      </c>
      <c r="AW1410" s="170" t="str">
        <f t="shared" si="577"/>
        <v>Anteil KWK</v>
      </c>
      <c r="AX1410" s="169" t="str">
        <f t="shared" si="578"/>
        <v/>
      </c>
      <c r="AY1410" t="str">
        <f t="shared" si="579"/>
        <v/>
      </c>
      <c r="AZ1410" t="str">
        <f t="shared" si="580"/>
        <v/>
      </c>
    </row>
    <row r="1411" spans="1:52" s="145" customFormat="1" x14ac:dyDescent="0.35">
      <c r="A1411" s="497" t="s">
        <v>3207</v>
      </c>
      <c r="B1411" s="13" t="s">
        <v>5547</v>
      </c>
      <c r="C1411" s="13" t="s">
        <v>1296</v>
      </c>
      <c r="D1411" s="13" t="s">
        <v>7155</v>
      </c>
      <c r="E1411" s="13" t="s">
        <v>4330</v>
      </c>
      <c r="F1411" s="373">
        <f t="shared" si="587"/>
        <v>21.6</v>
      </c>
      <c r="G1411" s="430">
        <v>21.6</v>
      </c>
      <c r="H1411" s="399">
        <f t="shared" si="588"/>
        <v>17.28</v>
      </c>
      <c r="I1411" s="576"/>
      <c r="J1411" s="549" t="s">
        <v>5804</v>
      </c>
      <c r="K1411" s="11"/>
      <c r="L1411"/>
      <c r="M1411" s="37">
        <f t="shared" si="589"/>
        <v>21.6</v>
      </c>
      <c r="N1411" s="29">
        <v>9.6</v>
      </c>
      <c r="O1411" s="149"/>
      <c r="P1411" s="145" t="s">
        <v>1017</v>
      </c>
      <c r="S1411" s="145" t="s">
        <v>4179</v>
      </c>
      <c r="T1411" s="145" t="s">
        <v>4179</v>
      </c>
      <c r="U1411" s="146"/>
      <c r="W1411" s="147"/>
      <c r="X1411" s="147"/>
      <c r="Y1411" s="145" t="s">
        <v>1017</v>
      </c>
      <c r="Z1411" s="147"/>
      <c r="AC1411" s="147"/>
      <c r="AE1411" s="148" t="s">
        <v>1017</v>
      </c>
      <c r="AF1411" s="147"/>
      <c r="AG1411" s="147"/>
      <c r="AH1411" s="166" t="str">
        <f t="shared" si="593"/>
        <v/>
      </c>
      <c r="AI1411" s="168" t="str">
        <f t="shared" si="582"/>
        <v/>
      </c>
      <c r="AJ1411" s="168" t="str">
        <f t="shared" si="583"/>
        <v/>
      </c>
      <c r="AK1411" s="168" t="str">
        <f t="shared" si="584"/>
        <v/>
      </c>
      <c r="AL1411" s="168" t="str">
        <f t="shared" si="585"/>
        <v/>
      </c>
      <c r="AM1411" s="168" t="str">
        <f t="shared" si="586"/>
        <v/>
      </c>
      <c r="AN1411" s="167" t="str">
        <f t="shared" si="568"/>
        <v/>
      </c>
      <c r="AO1411" s="167" t="str">
        <f t="shared" si="569"/>
        <v/>
      </c>
      <c r="AP1411" s="167" t="str">
        <f t="shared" si="570"/>
        <v/>
      </c>
      <c r="AQ1411" s="169" t="str">
        <f t="shared" si="571"/>
        <v/>
      </c>
      <c r="AR1411" s="170" t="str">
        <f t="shared" si="572"/>
        <v>BiK82GbKA3--06</v>
      </c>
      <c r="AS1411" s="169" t="str">
        <f t="shared" si="573"/>
        <v/>
      </c>
      <c r="AT1411">
        <f t="shared" si="574"/>
        <v>14</v>
      </c>
      <c r="AU1411" s="170" t="str">
        <f t="shared" si="575"/>
        <v>0,15-0,5 MW, Bonusregeln G, b und K wenn Anlage 3 erfüllt</v>
      </c>
      <c r="AV1411" s="169" t="str">
        <f t="shared" si="576"/>
        <v/>
      </c>
      <c r="AW1411" s="170" t="str">
        <f t="shared" si="577"/>
        <v>Anteil KWK gemäß Anlage 3</v>
      </c>
      <c r="AX1411" s="169" t="str">
        <f t="shared" si="578"/>
        <v/>
      </c>
      <c r="AY1411" t="str">
        <f t="shared" si="579"/>
        <v/>
      </c>
      <c r="AZ1411" t="str">
        <f t="shared" si="580"/>
        <v/>
      </c>
    </row>
    <row r="1412" spans="1:52" s="145" customFormat="1" x14ac:dyDescent="0.35">
      <c r="A1412" s="497" t="s">
        <v>3208</v>
      </c>
      <c r="B1412" s="13" t="s">
        <v>5547</v>
      </c>
      <c r="C1412" s="13" t="s">
        <v>1296</v>
      </c>
      <c r="D1412" s="13" t="s">
        <v>7156</v>
      </c>
      <c r="E1412" s="13" t="s">
        <v>674</v>
      </c>
      <c r="F1412" s="373">
        <f t="shared" si="587"/>
        <v>21.6</v>
      </c>
      <c r="G1412" s="430">
        <v>21.6</v>
      </c>
      <c r="H1412" s="399">
        <f t="shared" si="588"/>
        <v>17.28</v>
      </c>
      <c r="I1412" s="576"/>
      <c r="J1412" s="549" t="s">
        <v>5804</v>
      </c>
      <c r="K1412" s="11"/>
      <c r="L1412"/>
      <c r="M1412" s="37">
        <f t="shared" si="589"/>
        <v>21.6</v>
      </c>
      <c r="N1412" s="29">
        <v>9.6</v>
      </c>
      <c r="O1412" s="149"/>
      <c r="P1412" s="144"/>
      <c r="Q1412" s="145" t="s">
        <v>1017</v>
      </c>
      <c r="S1412" s="145" t="s">
        <v>4179</v>
      </c>
      <c r="T1412" s="145" t="s">
        <v>4179</v>
      </c>
      <c r="U1412" s="146"/>
      <c r="W1412" s="147"/>
      <c r="X1412" s="147"/>
      <c r="Y1412" s="145" t="s">
        <v>1017</v>
      </c>
      <c r="Z1412" s="147"/>
      <c r="AC1412" s="147"/>
      <c r="AE1412" s="148" t="s">
        <v>1017</v>
      </c>
      <c r="AF1412" s="147"/>
      <c r="AG1412" s="147"/>
      <c r="AH1412" s="166" t="str">
        <f t="shared" si="593"/>
        <v/>
      </c>
      <c r="AI1412" s="168" t="str">
        <f t="shared" si="582"/>
        <v/>
      </c>
      <c r="AJ1412" s="168" t="str">
        <f t="shared" si="583"/>
        <v/>
      </c>
      <c r="AK1412" s="168" t="str">
        <f t="shared" si="584"/>
        <v/>
      </c>
      <c r="AL1412" s="168" t="str">
        <f t="shared" si="585"/>
        <v/>
      </c>
      <c r="AM1412" s="168" t="str">
        <f t="shared" si="586"/>
        <v/>
      </c>
      <c r="AN1412" s="167" t="str">
        <f t="shared" si="568"/>
        <v/>
      </c>
      <c r="AO1412" s="167" t="str">
        <f t="shared" si="569"/>
        <v/>
      </c>
      <c r="AP1412" s="167" t="str">
        <f t="shared" si="570"/>
        <v/>
      </c>
      <c r="AQ1412" s="169" t="str">
        <f t="shared" si="571"/>
        <v/>
      </c>
      <c r="AR1412" s="170" t="str">
        <f t="shared" si="572"/>
        <v>BiK82GbK09--06</v>
      </c>
      <c r="AS1412" s="169" t="str">
        <f t="shared" si="573"/>
        <v/>
      </c>
      <c r="AT1412">
        <f t="shared" si="574"/>
        <v>14</v>
      </c>
      <c r="AU1412" s="170" t="str">
        <f t="shared" si="575"/>
        <v>0,15-0,5 MW, Bonusregeln G, b und K erstmals 2009</v>
      </c>
      <c r="AV1412" s="169" t="str">
        <f t="shared" si="576"/>
        <v/>
      </c>
      <c r="AW1412" s="170" t="str">
        <f t="shared" si="577"/>
        <v>Anteil KWK, erstmals 2009</v>
      </c>
      <c r="AX1412" s="169" t="str">
        <f t="shared" si="578"/>
        <v/>
      </c>
      <c r="AY1412" t="str">
        <f t="shared" si="579"/>
        <v/>
      </c>
      <c r="AZ1412" t="str">
        <f t="shared" si="580"/>
        <v/>
      </c>
    </row>
    <row r="1413" spans="1:52" s="145" customFormat="1" x14ac:dyDescent="0.35">
      <c r="A1413" s="497" t="s">
        <v>4924</v>
      </c>
      <c r="B1413" s="13" t="s">
        <v>5547</v>
      </c>
      <c r="C1413" s="13" t="s">
        <v>1296</v>
      </c>
      <c r="D1413" s="13" t="s">
        <v>7157</v>
      </c>
      <c r="E1413" s="13" t="s">
        <v>3566</v>
      </c>
      <c r="F1413" s="373">
        <f t="shared" si="587"/>
        <v>21.57</v>
      </c>
      <c r="G1413" s="430">
        <v>21.57</v>
      </c>
      <c r="H1413" s="399">
        <f t="shared" si="588"/>
        <v>17.260000000000002</v>
      </c>
      <c r="I1413" s="576"/>
      <c r="J1413" s="549" t="s">
        <v>5804</v>
      </c>
      <c r="K1413" s="11"/>
      <c r="L1413"/>
      <c r="M1413" s="37">
        <f t="shared" si="589"/>
        <v>21.57</v>
      </c>
      <c r="N1413" s="29">
        <v>9.6</v>
      </c>
      <c r="O1413" s="149"/>
      <c r="P1413" s="144"/>
      <c r="R1413" s="145" t="s">
        <v>1017</v>
      </c>
      <c r="S1413" s="145" t="s">
        <v>4179</v>
      </c>
      <c r="T1413" s="145" t="s">
        <v>4179</v>
      </c>
      <c r="U1413" s="146"/>
      <c r="W1413" s="147"/>
      <c r="X1413" s="147"/>
      <c r="Y1413" s="145" t="s">
        <v>1017</v>
      </c>
      <c r="Z1413" s="147"/>
      <c r="AC1413" s="147"/>
      <c r="AE1413" s="148" t="s">
        <v>1017</v>
      </c>
      <c r="AF1413" s="147"/>
      <c r="AG1413" s="147"/>
      <c r="AH1413" s="166" t="str">
        <f t="shared" si="593"/>
        <v>2010</v>
      </c>
      <c r="AI1413" s="168" t="str">
        <f t="shared" si="582"/>
        <v/>
      </c>
      <c r="AJ1413" s="168" t="str">
        <f t="shared" si="583"/>
        <v/>
      </c>
      <c r="AK1413" s="168" t="str">
        <f t="shared" si="584"/>
        <v/>
      </c>
      <c r="AL1413" s="168" t="str">
        <f t="shared" si="585"/>
        <v/>
      </c>
      <c r="AM1413" s="168" t="str">
        <f t="shared" si="586"/>
        <v/>
      </c>
      <c r="AN1413" s="167" t="str">
        <f t="shared" si="568"/>
        <v>2010</v>
      </c>
      <c r="AO1413" s="167" t="str">
        <f t="shared" si="569"/>
        <v>2010</v>
      </c>
      <c r="AP1413" s="167" t="str">
        <f t="shared" si="570"/>
        <v>2010</v>
      </c>
      <c r="AQ1413" s="169" t="str">
        <f t="shared" si="571"/>
        <v/>
      </c>
      <c r="AR1413" s="170" t="str">
        <f t="shared" si="572"/>
        <v>BiK82GbK10--06</v>
      </c>
      <c r="AS1413" s="169" t="str">
        <f t="shared" si="573"/>
        <v/>
      </c>
      <c r="AT1413">
        <f t="shared" si="574"/>
        <v>14</v>
      </c>
      <c r="AU1413" s="170" t="str">
        <f t="shared" si="575"/>
        <v>0,15-0,5 MW, Bonusregeln G, b und K erstmals 2010</v>
      </c>
      <c r="AV1413" s="169" t="str">
        <f t="shared" si="576"/>
        <v/>
      </c>
      <c r="AW1413" s="170" t="str">
        <f t="shared" si="577"/>
        <v>Anteil KWK, erstmals 2010</v>
      </c>
      <c r="AX1413" s="169" t="str">
        <f t="shared" si="578"/>
        <v/>
      </c>
      <c r="AY1413" t="str">
        <f t="shared" si="579"/>
        <v/>
      </c>
      <c r="AZ1413" t="str">
        <f t="shared" si="580"/>
        <v/>
      </c>
    </row>
    <row r="1414" spans="1:52" s="145" customFormat="1" x14ac:dyDescent="0.35">
      <c r="A1414" s="497" t="s">
        <v>3971</v>
      </c>
      <c r="B1414" s="13" t="s">
        <v>5547</v>
      </c>
      <c r="C1414" s="13" t="s">
        <v>1296</v>
      </c>
      <c r="D1414" s="13" t="s">
        <v>7158</v>
      </c>
      <c r="E1414" s="13" t="s">
        <v>3054</v>
      </c>
      <c r="F1414" s="373">
        <f t="shared" si="587"/>
        <v>21.54</v>
      </c>
      <c r="G1414" s="430">
        <v>21.54</v>
      </c>
      <c r="H1414" s="399">
        <f t="shared" si="588"/>
        <v>17.23</v>
      </c>
      <c r="I1414" s="576"/>
      <c r="J1414" s="549" t="s">
        <v>5804</v>
      </c>
      <c r="K1414" s="11"/>
      <c r="L1414"/>
      <c r="M1414" s="37">
        <f t="shared" si="589"/>
        <v>21.54</v>
      </c>
      <c r="N1414" s="29">
        <v>9.6</v>
      </c>
      <c r="O1414" s="149"/>
      <c r="P1414" s="144"/>
      <c r="S1414" s="145" t="s">
        <v>1017</v>
      </c>
      <c r="T1414" s="145" t="s">
        <v>4179</v>
      </c>
      <c r="U1414" s="146"/>
      <c r="W1414" s="147"/>
      <c r="X1414" s="147"/>
      <c r="Y1414" s="145" t="s">
        <v>1017</v>
      </c>
      <c r="Z1414" s="147"/>
      <c r="AC1414" s="147"/>
      <c r="AE1414" s="148" t="s">
        <v>1017</v>
      </c>
      <c r="AF1414" s="147"/>
      <c r="AG1414" s="147"/>
      <c r="AH1414" s="166" t="str">
        <f t="shared" si="593"/>
        <v>2011</v>
      </c>
      <c r="AI1414" s="168" t="str">
        <f t="shared" si="582"/>
        <v/>
      </c>
      <c r="AJ1414" s="168" t="str">
        <f t="shared" si="583"/>
        <v/>
      </c>
      <c r="AK1414" s="168" t="str">
        <f t="shared" si="584"/>
        <v/>
      </c>
      <c r="AL1414" s="168" t="str">
        <f t="shared" si="585"/>
        <v/>
      </c>
      <c r="AM1414" s="168" t="str">
        <f t="shared" si="586"/>
        <v/>
      </c>
      <c r="AN1414" s="167" t="str">
        <f t="shared" si="568"/>
        <v>2011</v>
      </c>
      <c r="AO1414" s="167" t="str">
        <f t="shared" si="569"/>
        <v>2011</v>
      </c>
      <c r="AP1414" s="167" t="str">
        <f t="shared" si="570"/>
        <v>2011</v>
      </c>
      <c r="AQ1414" s="169" t="str">
        <f t="shared" si="571"/>
        <v/>
      </c>
      <c r="AR1414" s="170" t="str">
        <f t="shared" si="572"/>
        <v>BiK82GbK11--06</v>
      </c>
      <c r="AS1414" s="169" t="str">
        <f t="shared" si="573"/>
        <v/>
      </c>
      <c r="AT1414">
        <f t="shared" si="574"/>
        <v>14</v>
      </c>
      <c r="AU1414" s="170" t="str">
        <f t="shared" si="575"/>
        <v>0,15-0,5 MW, Bonusregeln G, b und K erstmals 2011</v>
      </c>
      <c r="AV1414" s="169" t="str">
        <f t="shared" si="576"/>
        <v/>
      </c>
      <c r="AW1414" s="170" t="str">
        <f t="shared" si="577"/>
        <v>Anteil KWK, erstmals 2011</v>
      </c>
      <c r="AX1414" s="169" t="str">
        <f t="shared" si="578"/>
        <v/>
      </c>
      <c r="AY1414" t="str">
        <f t="shared" si="579"/>
        <v>x</v>
      </c>
      <c r="AZ1414" t="str">
        <f t="shared" si="580"/>
        <v/>
      </c>
    </row>
    <row r="1415" spans="1:52" s="145" customFormat="1" x14ac:dyDescent="0.35">
      <c r="A1415" s="511" t="s">
        <v>1794</v>
      </c>
      <c r="B1415" s="173" t="s">
        <v>5547</v>
      </c>
      <c r="C1415" s="173" t="s">
        <v>1296</v>
      </c>
      <c r="D1415" s="173" t="s">
        <v>7159</v>
      </c>
      <c r="E1415" s="173" t="s">
        <v>1980</v>
      </c>
      <c r="F1415" s="374">
        <f t="shared" si="587"/>
        <v>21.509999999999998</v>
      </c>
      <c r="G1415" s="431">
        <v>21.509999999999998</v>
      </c>
      <c r="H1415" s="400">
        <f t="shared" si="588"/>
        <v>17.21</v>
      </c>
      <c r="I1415" s="577"/>
      <c r="J1415" s="549" t="s">
        <v>5804</v>
      </c>
      <c r="K1415" s="11"/>
      <c r="L1415"/>
      <c r="M1415" s="37">
        <f t="shared" si="589"/>
        <v>21.509999999999998</v>
      </c>
      <c r="N1415" s="29">
        <v>9.6</v>
      </c>
      <c r="O1415" s="149"/>
      <c r="P1415" s="144"/>
      <c r="S1415" s="145" t="s">
        <v>4179</v>
      </c>
      <c r="T1415" s="145" t="s">
        <v>1017</v>
      </c>
      <c r="U1415" s="146"/>
      <c r="W1415" s="147"/>
      <c r="X1415" s="147"/>
      <c r="Y1415" s="145" t="s">
        <v>1017</v>
      </c>
      <c r="Z1415" s="147"/>
      <c r="AC1415" s="147"/>
      <c r="AE1415" s="148" t="s">
        <v>1017</v>
      </c>
      <c r="AF1415" s="147"/>
      <c r="AG1415" s="147"/>
      <c r="AH1415" s="171" t="s">
        <v>4178</v>
      </c>
      <c r="AI1415" s="168" t="str">
        <f t="shared" si="582"/>
        <v/>
      </c>
      <c r="AJ1415" s="168" t="str">
        <f t="shared" si="583"/>
        <v/>
      </c>
      <c r="AK1415" s="168" t="str">
        <f t="shared" si="584"/>
        <v/>
      </c>
      <c r="AL1415" s="168" t="str">
        <f t="shared" si="585"/>
        <v/>
      </c>
      <c r="AM1415" s="168" t="str">
        <f t="shared" si="586"/>
        <v/>
      </c>
      <c r="AN1415" s="167" t="str">
        <f t="shared" si="568"/>
        <v>2012</v>
      </c>
      <c r="AO1415" s="167" t="str">
        <f t="shared" si="569"/>
        <v>2012</v>
      </c>
      <c r="AP1415" s="167" t="str">
        <f t="shared" si="570"/>
        <v>2012</v>
      </c>
      <c r="AQ1415" s="169" t="str">
        <f t="shared" si="571"/>
        <v/>
      </c>
      <c r="AR1415" s="170" t="str">
        <f t="shared" si="572"/>
        <v>BiK82GbK12--06</v>
      </c>
      <c r="AS1415" s="169" t="str">
        <f t="shared" si="573"/>
        <v/>
      </c>
      <c r="AT1415">
        <f t="shared" si="574"/>
        <v>14</v>
      </c>
      <c r="AU1415" s="170" t="str">
        <f t="shared" si="575"/>
        <v>0,15-0,5 MW, Bonusregeln G, b und K erstmals 2012</v>
      </c>
      <c r="AV1415" s="169" t="str">
        <f t="shared" si="576"/>
        <v/>
      </c>
      <c r="AW1415" s="170" t="str">
        <f t="shared" si="577"/>
        <v>Anteil KWK, erstmals 2012</v>
      </c>
      <c r="AX1415" s="169" t="str">
        <f t="shared" si="578"/>
        <v/>
      </c>
      <c r="AY1415" t="str">
        <f t="shared" si="579"/>
        <v/>
      </c>
      <c r="AZ1415" t="str">
        <f t="shared" si="580"/>
        <v>x</v>
      </c>
    </row>
    <row r="1416" spans="1:52" s="145" customFormat="1" x14ac:dyDescent="0.35">
      <c r="A1416" s="497" t="s">
        <v>3209</v>
      </c>
      <c r="B1416" s="13" t="s">
        <v>5547</v>
      </c>
      <c r="C1416" s="13" t="s">
        <v>1296</v>
      </c>
      <c r="D1416" s="13" t="s">
        <v>7160</v>
      </c>
      <c r="E1416" s="13" t="s">
        <v>4809</v>
      </c>
      <c r="F1416" s="373">
        <f t="shared" si="587"/>
        <v>19.600000000000001</v>
      </c>
      <c r="G1416" s="430">
        <v>19.600000000000001</v>
      </c>
      <c r="H1416" s="399">
        <f t="shared" si="588"/>
        <v>15.68</v>
      </c>
      <c r="I1416" s="576"/>
      <c r="J1416" s="549" t="s">
        <v>5804</v>
      </c>
      <c r="K1416" s="11"/>
      <c r="L1416"/>
      <c r="M1416" s="37">
        <f t="shared" si="589"/>
        <v>19.600000000000001</v>
      </c>
      <c r="N1416" s="29">
        <v>9.6</v>
      </c>
      <c r="O1416" s="149"/>
      <c r="P1416" s="144"/>
      <c r="S1416" s="145" t="s">
        <v>4179</v>
      </c>
      <c r="T1416" s="145" t="s">
        <v>4179</v>
      </c>
      <c r="U1416" s="146" t="s">
        <v>1017</v>
      </c>
      <c r="W1416" s="147"/>
      <c r="X1416" s="147"/>
      <c r="Y1416" s="145" t="s">
        <v>1017</v>
      </c>
      <c r="Z1416" s="147"/>
      <c r="AC1416" s="147"/>
      <c r="AE1416" s="148" t="s">
        <v>1017</v>
      </c>
      <c r="AF1416" s="147"/>
      <c r="AG1416" s="147"/>
      <c r="AH1416" s="166" t="str">
        <f t="shared" ref="AH1416:AH1421" si="594">IF(ISERROR(SEARCH("K erstmals 201",D1416)),"",RIGHT(D1416,4))</f>
        <v/>
      </c>
      <c r="AI1416" s="168" t="str">
        <f t="shared" si="582"/>
        <v/>
      </c>
      <c r="AJ1416" s="168" t="str">
        <f t="shared" si="583"/>
        <v/>
      </c>
      <c r="AK1416" s="168" t="str">
        <f t="shared" si="584"/>
        <v/>
      </c>
      <c r="AL1416" s="168" t="str">
        <f t="shared" si="585"/>
        <v/>
      </c>
      <c r="AM1416" s="168" t="str">
        <f t="shared" si="586"/>
        <v/>
      </c>
      <c r="AN1416" s="167" t="str">
        <f t="shared" si="568"/>
        <v/>
      </c>
      <c r="AO1416" s="167" t="str">
        <f t="shared" si="569"/>
        <v/>
      </c>
      <c r="AP1416" s="167" t="str">
        <f t="shared" si="570"/>
        <v/>
      </c>
      <c r="AQ1416" s="169" t="str">
        <f t="shared" si="571"/>
        <v/>
      </c>
      <c r="AR1416" s="170" t="str">
        <f t="shared" si="572"/>
        <v>BiK82Gby----06</v>
      </c>
      <c r="AS1416" s="169" t="str">
        <f t="shared" si="573"/>
        <v/>
      </c>
      <c r="AT1416">
        <f t="shared" si="574"/>
        <v>14</v>
      </c>
      <c r="AU1416" s="170" t="str">
        <f t="shared" si="575"/>
        <v>0,15-0,5 MW, Bonusregeln G, y, b</v>
      </c>
      <c r="AV1416" s="169" t="str">
        <f t="shared" si="576"/>
        <v/>
      </c>
      <c r="AW1416" s="170" t="str">
        <f t="shared" si="577"/>
        <v>Anteil Nicht-KWK</v>
      </c>
      <c r="AX1416" s="169" t="str">
        <f t="shared" si="578"/>
        <v/>
      </c>
      <c r="AY1416" t="str">
        <f t="shared" si="579"/>
        <v/>
      </c>
      <c r="AZ1416" t="str">
        <f t="shared" si="580"/>
        <v/>
      </c>
    </row>
    <row r="1417" spans="1:52" s="145" customFormat="1" x14ac:dyDescent="0.35">
      <c r="A1417" s="497" t="s">
        <v>3210</v>
      </c>
      <c r="B1417" s="13" t="s">
        <v>5547</v>
      </c>
      <c r="C1417" s="13" t="s">
        <v>1296</v>
      </c>
      <c r="D1417" s="13" t="s">
        <v>7161</v>
      </c>
      <c r="E1417" s="13" t="s">
        <v>4811</v>
      </c>
      <c r="F1417" s="373">
        <f t="shared" si="587"/>
        <v>21.6</v>
      </c>
      <c r="G1417" s="430">
        <v>21.6</v>
      </c>
      <c r="H1417" s="399">
        <f t="shared" si="588"/>
        <v>17.28</v>
      </c>
      <c r="I1417" s="576"/>
      <c r="J1417" s="549" t="s">
        <v>5804</v>
      </c>
      <c r="K1417" s="11"/>
      <c r="L1417"/>
      <c r="M1417" s="37">
        <f t="shared" si="589"/>
        <v>21.6</v>
      </c>
      <c r="N1417" s="29">
        <v>9.6</v>
      </c>
      <c r="O1417" s="149" t="s">
        <v>1017</v>
      </c>
      <c r="P1417" s="144"/>
      <c r="S1417" s="145" t="s">
        <v>4179</v>
      </c>
      <c r="T1417" s="145" t="s">
        <v>4179</v>
      </c>
      <c r="U1417" s="146" t="s">
        <v>1017</v>
      </c>
      <c r="W1417" s="147"/>
      <c r="X1417" s="147"/>
      <c r="Y1417" s="145" t="s">
        <v>1017</v>
      </c>
      <c r="Z1417" s="147"/>
      <c r="AC1417" s="147"/>
      <c r="AE1417" s="148" t="s">
        <v>1017</v>
      </c>
      <c r="AF1417" s="147"/>
      <c r="AG1417" s="147"/>
      <c r="AH1417" s="166" t="str">
        <f t="shared" si="594"/>
        <v/>
      </c>
      <c r="AI1417" s="168" t="str">
        <f t="shared" si="582"/>
        <v/>
      </c>
      <c r="AJ1417" s="168" t="str">
        <f t="shared" si="583"/>
        <v/>
      </c>
      <c r="AK1417" s="168" t="str">
        <f t="shared" si="584"/>
        <v/>
      </c>
      <c r="AL1417" s="168" t="str">
        <f t="shared" si="585"/>
        <v/>
      </c>
      <c r="AM1417" s="168" t="str">
        <f t="shared" si="586"/>
        <v/>
      </c>
      <c r="AN1417" s="167" t="str">
        <f t="shared" si="568"/>
        <v/>
      </c>
      <c r="AO1417" s="167" t="str">
        <f t="shared" si="569"/>
        <v/>
      </c>
      <c r="AP1417" s="167" t="str">
        <f t="shared" si="570"/>
        <v/>
      </c>
      <c r="AQ1417" s="169" t="str">
        <f t="shared" si="571"/>
        <v/>
      </c>
      <c r="AR1417" s="170" t="str">
        <f t="shared" si="572"/>
        <v>BiK82GbKWKy-06</v>
      </c>
      <c r="AS1417" s="169" t="str">
        <f t="shared" si="573"/>
        <v/>
      </c>
      <c r="AT1417">
        <f t="shared" si="574"/>
        <v>14</v>
      </c>
      <c r="AU1417" s="170" t="str">
        <f t="shared" si="575"/>
        <v>0,15-0,5 MW, Bonusregeln G, y, b und KWK</v>
      </c>
      <c r="AV1417" s="169" t="str">
        <f t="shared" si="576"/>
        <v/>
      </c>
      <c r="AW1417" s="170" t="str">
        <f t="shared" si="577"/>
        <v>Anteil KWK</v>
      </c>
      <c r="AX1417" s="169" t="str">
        <f t="shared" si="578"/>
        <v/>
      </c>
      <c r="AY1417" t="str">
        <f t="shared" si="579"/>
        <v/>
      </c>
      <c r="AZ1417" t="str">
        <f t="shared" si="580"/>
        <v/>
      </c>
    </row>
    <row r="1418" spans="1:52" s="145" customFormat="1" x14ac:dyDescent="0.35">
      <c r="A1418" s="497" t="s">
        <v>3211</v>
      </c>
      <c r="B1418" s="13" t="s">
        <v>5547</v>
      </c>
      <c r="C1418" s="13" t="s">
        <v>1296</v>
      </c>
      <c r="D1418" s="88" t="s">
        <v>7162</v>
      </c>
      <c r="E1418" s="13" t="s">
        <v>4330</v>
      </c>
      <c r="F1418" s="373">
        <f t="shared" si="587"/>
        <v>22.6</v>
      </c>
      <c r="G1418" s="430">
        <v>22.6</v>
      </c>
      <c r="H1418" s="399">
        <f t="shared" si="588"/>
        <v>18.079999999999998</v>
      </c>
      <c r="I1418" s="576"/>
      <c r="J1418" s="549" t="s">
        <v>5804</v>
      </c>
      <c r="K1418" s="11"/>
      <c r="L1418"/>
      <c r="M1418" s="37">
        <f t="shared" si="589"/>
        <v>22.6</v>
      </c>
      <c r="N1418" s="29">
        <v>9.6</v>
      </c>
      <c r="O1418" s="149"/>
      <c r="P1418" s="145" t="s">
        <v>1017</v>
      </c>
      <c r="S1418" s="145" t="s">
        <v>4179</v>
      </c>
      <c r="T1418" s="145" t="s">
        <v>4179</v>
      </c>
      <c r="U1418" s="146" t="s">
        <v>1017</v>
      </c>
      <c r="W1418" s="147"/>
      <c r="X1418" s="147"/>
      <c r="Y1418" s="145" t="s">
        <v>1017</v>
      </c>
      <c r="Z1418" s="147"/>
      <c r="AC1418" s="147"/>
      <c r="AE1418" s="148" t="s">
        <v>1017</v>
      </c>
      <c r="AF1418" s="147"/>
      <c r="AG1418" s="147"/>
      <c r="AH1418" s="166" t="str">
        <f t="shared" si="594"/>
        <v/>
      </c>
      <c r="AI1418" s="168" t="str">
        <f t="shared" si="582"/>
        <v/>
      </c>
      <c r="AJ1418" s="168" t="str">
        <f t="shared" si="583"/>
        <v/>
      </c>
      <c r="AK1418" s="168" t="str">
        <f t="shared" si="584"/>
        <v/>
      </c>
      <c r="AL1418" s="168" t="str">
        <f t="shared" si="585"/>
        <v/>
      </c>
      <c r="AM1418" s="168" t="str">
        <f t="shared" si="586"/>
        <v/>
      </c>
      <c r="AN1418" s="167" t="str">
        <f t="shared" si="568"/>
        <v/>
      </c>
      <c r="AO1418" s="167" t="str">
        <f t="shared" si="569"/>
        <v/>
      </c>
      <c r="AP1418" s="167" t="str">
        <f t="shared" si="570"/>
        <v/>
      </c>
      <c r="AQ1418" s="169" t="str">
        <f t="shared" si="571"/>
        <v/>
      </c>
      <c r="AR1418" s="170" t="str">
        <f t="shared" si="572"/>
        <v>BiK82GbKA3y-06</v>
      </c>
      <c r="AS1418" s="169" t="str">
        <f t="shared" si="573"/>
        <v/>
      </c>
      <c r="AT1418">
        <f t="shared" si="574"/>
        <v>14</v>
      </c>
      <c r="AU1418" s="170" t="str">
        <f t="shared" si="575"/>
        <v>0,15-0,5 MW, Bonusregeln G, y, b und K wenn Anlage 3 erfüllt</v>
      </c>
      <c r="AV1418" s="169" t="str">
        <f t="shared" si="576"/>
        <v/>
      </c>
      <c r="AW1418" s="170" t="str">
        <f t="shared" si="577"/>
        <v>Anteil KWK gemäß Anlage 3</v>
      </c>
      <c r="AX1418" s="169" t="str">
        <f t="shared" si="578"/>
        <v/>
      </c>
      <c r="AY1418" t="str">
        <f t="shared" si="579"/>
        <v/>
      </c>
      <c r="AZ1418" t="str">
        <f t="shared" si="580"/>
        <v/>
      </c>
    </row>
    <row r="1419" spans="1:52" s="145" customFormat="1" x14ac:dyDescent="0.35">
      <c r="A1419" s="497" t="s">
        <v>3212</v>
      </c>
      <c r="B1419" s="13" t="s">
        <v>5547</v>
      </c>
      <c r="C1419" s="13" t="s">
        <v>1296</v>
      </c>
      <c r="D1419" s="13" t="s">
        <v>7163</v>
      </c>
      <c r="E1419" s="13" t="s">
        <v>674</v>
      </c>
      <c r="F1419" s="373">
        <f t="shared" si="587"/>
        <v>22.6</v>
      </c>
      <c r="G1419" s="430">
        <v>22.6</v>
      </c>
      <c r="H1419" s="399">
        <f t="shared" si="588"/>
        <v>18.079999999999998</v>
      </c>
      <c r="I1419" s="576"/>
      <c r="J1419" s="549" t="s">
        <v>5804</v>
      </c>
      <c r="K1419" s="11"/>
      <c r="L1419"/>
      <c r="M1419" s="37">
        <f t="shared" si="589"/>
        <v>22.6</v>
      </c>
      <c r="N1419" s="29">
        <v>9.6</v>
      </c>
      <c r="O1419" s="149"/>
      <c r="P1419" s="144"/>
      <c r="Q1419" s="145" t="s">
        <v>1017</v>
      </c>
      <c r="S1419" s="145" t="s">
        <v>4179</v>
      </c>
      <c r="T1419" s="145" t="s">
        <v>4179</v>
      </c>
      <c r="U1419" s="146" t="s">
        <v>1017</v>
      </c>
      <c r="W1419" s="147"/>
      <c r="X1419" s="147"/>
      <c r="Y1419" s="145" t="s">
        <v>1017</v>
      </c>
      <c r="Z1419" s="147"/>
      <c r="AC1419" s="147"/>
      <c r="AE1419" s="148" t="s">
        <v>1017</v>
      </c>
      <c r="AF1419" s="147"/>
      <c r="AG1419" s="147"/>
      <c r="AH1419" s="166" t="str">
        <f t="shared" si="594"/>
        <v/>
      </c>
      <c r="AI1419" s="168" t="str">
        <f t="shared" si="582"/>
        <v/>
      </c>
      <c r="AJ1419" s="168" t="str">
        <f t="shared" si="583"/>
        <v/>
      </c>
      <c r="AK1419" s="168" t="str">
        <f t="shared" si="584"/>
        <v/>
      </c>
      <c r="AL1419" s="168" t="str">
        <f t="shared" si="585"/>
        <v/>
      </c>
      <c r="AM1419" s="168" t="str">
        <f t="shared" si="586"/>
        <v/>
      </c>
      <c r="AN1419" s="167" t="str">
        <f t="shared" si="568"/>
        <v/>
      </c>
      <c r="AO1419" s="167" t="str">
        <f t="shared" si="569"/>
        <v/>
      </c>
      <c r="AP1419" s="167" t="str">
        <f t="shared" si="570"/>
        <v/>
      </c>
      <c r="AQ1419" s="169" t="str">
        <f t="shared" si="571"/>
        <v/>
      </c>
      <c r="AR1419" s="170" t="str">
        <f t="shared" si="572"/>
        <v>BiK82GbK09y-06</v>
      </c>
      <c r="AS1419" s="169" t="str">
        <f t="shared" si="573"/>
        <v/>
      </c>
      <c r="AT1419">
        <f t="shared" si="574"/>
        <v>14</v>
      </c>
      <c r="AU1419" s="170" t="str">
        <f t="shared" si="575"/>
        <v>0,15-0,5 MW, Bonusregeln G, y, b und K erstmals 2009</v>
      </c>
      <c r="AV1419" s="169" t="str">
        <f t="shared" si="576"/>
        <v/>
      </c>
      <c r="AW1419" s="170" t="str">
        <f t="shared" si="577"/>
        <v>Anteil KWK, erstmals 2009</v>
      </c>
      <c r="AX1419" s="169" t="str">
        <f t="shared" si="578"/>
        <v/>
      </c>
      <c r="AY1419" t="str">
        <f t="shared" si="579"/>
        <v/>
      </c>
      <c r="AZ1419" t="str">
        <f t="shared" si="580"/>
        <v/>
      </c>
    </row>
    <row r="1420" spans="1:52" s="145" customFormat="1" x14ac:dyDescent="0.35">
      <c r="A1420" s="497" t="s">
        <v>4925</v>
      </c>
      <c r="B1420" s="13" t="s">
        <v>5547</v>
      </c>
      <c r="C1420" s="13" t="s">
        <v>1296</v>
      </c>
      <c r="D1420" s="13" t="s">
        <v>7164</v>
      </c>
      <c r="E1420" s="13" t="s">
        <v>3566</v>
      </c>
      <c r="F1420" s="373">
        <f t="shared" si="587"/>
        <v>22.57</v>
      </c>
      <c r="G1420" s="430">
        <v>22.57</v>
      </c>
      <c r="H1420" s="399">
        <f t="shared" si="588"/>
        <v>18.059999999999999</v>
      </c>
      <c r="I1420" s="576"/>
      <c r="J1420" s="549" t="s">
        <v>5804</v>
      </c>
      <c r="K1420" s="11"/>
      <c r="L1420"/>
      <c r="M1420" s="37">
        <f t="shared" si="589"/>
        <v>22.57</v>
      </c>
      <c r="N1420" s="29">
        <v>9.6</v>
      </c>
      <c r="O1420" s="149"/>
      <c r="P1420" s="144"/>
      <c r="R1420" s="145" t="s">
        <v>1017</v>
      </c>
      <c r="S1420" s="145" t="s">
        <v>4179</v>
      </c>
      <c r="T1420" s="145" t="s">
        <v>4179</v>
      </c>
      <c r="U1420" s="146" t="s">
        <v>1017</v>
      </c>
      <c r="W1420" s="147"/>
      <c r="X1420" s="147"/>
      <c r="Y1420" s="145" t="s">
        <v>1017</v>
      </c>
      <c r="Z1420" s="147"/>
      <c r="AC1420" s="147"/>
      <c r="AE1420" s="148" t="s">
        <v>1017</v>
      </c>
      <c r="AF1420" s="147"/>
      <c r="AG1420" s="147"/>
      <c r="AH1420" s="166" t="str">
        <f t="shared" si="594"/>
        <v>2010</v>
      </c>
      <c r="AI1420" s="168" t="str">
        <f t="shared" si="582"/>
        <v/>
      </c>
      <c r="AJ1420" s="168" t="str">
        <f t="shared" si="583"/>
        <v/>
      </c>
      <c r="AK1420" s="168" t="str">
        <f t="shared" si="584"/>
        <v/>
      </c>
      <c r="AL1420" s="168" t="str">
        <f t="shared" si="585"/>
        <v/>
      </c>
      <c r="AM1420" s="168" t="str">
        <f t="shared" si="586"/>
        <v/>
      </c>
      <c r="AN1420" s="167" t="str">
        <f t="shared" si="568"/>
        <v>2010</v>
      </c>
      <c r="AO1420" s="167" t="str">
        <f t="shared" si="569"/>
        <v>2010</v>
      </c>
      <c r="AP1420" s="167" t="str">
        <f t="shared" si="570"/>
        <v>2010</v>
      </c>
      <c r="AQ1420" s="169" t="str">
        <f t="shared" si="571"/>
        <v/>
      </c>
      <c r="AR1420" s="170" t="str">
        <f t="shared" si="572"/>
        <v>BiK82GbK10y-06</v>
      </c>
      <c r="AS1420" s="169" t="str">
        <f t="shared" si="573"/>
        <v/>
      </c>
      <c r="AT1420">
        <f t="shared" si="574"/>
        <v>14</v>
      </c>
      <c r="AU1420" s="170" t="str">
        <f t="shared" si="575"/>
        <v>0,15-0,5 MW, Bonusregeln G, y, b und K erstmals 2010</v>
      </c>
      <c r="AV1420" s="169" t="str">
        <f t="shared" si="576"/>
        <v/>
      </c>
      <c r="AW1420" s="170" t="str">
        <f t="shared" si="577"/>
        <v>Anteil KWK, erstmals 2010</v>
      </c>
      <c r="AX1420" s="169" t="str">
        <f t="shared" si="578"/>
        <v/>
      </c>
      <c r="AY1420" t="str">
        <f t="shared" si="579"/>
        <v/>
      </c>
      <c r="AZ1420" t="str">
        <f t="shared" si="580"/>
        <v/>
      </c>
    </row>
    <row r="1421" spans="1:52" s="145" customFormat="1" x14ac:dyDescent="0.35">
      <c r="A1421" s="497" t="s">
        <v>3972</v>
      </c>
      <c r="B1421" s="13" t="s">
        <v>5547</v>
      </c>
      <c r="C1421" s="13" t="s">
        <v>1296</v>
      </c>
      <c r="D1421" s="13" t="s">
        <v>7165</v>
      </c>
      <c r="E1421" s="13" t="s">
        <v>3054</v>
      </c>
      <c r="F1421" s="373">
        <f t="shared" si="587"/>
        <v>22.54</v>
      </c>
      <c r="G1421" s="430">
        <v>22.54</v>
      </c>
      <c r="H1421" s="399">
        <f t="shared" si="588"/>
        <v>18.03</v>
      </c>
      <c r="I1421" s="576"/>
      <c r="J1421" s="549" t="s">
        <v>5804</v>
      </c>
      <c r="K1421" s="11"/>
      <c r="L1421"/>
      <c r="M1421" s="37">
        <f t="shared" si="589"/>
        <v>22.54</v>
      </c>
      <c r="N1421" s="29">
        <v>9.6</v>
      </c>
      <c r="O1421" s="149"/>
      <c r="P1421" s="144"/>
      <c r="S1421" s="145" t="s">
        <v>1017</v>
      </c>
      <c r="T1421" s="145" t="s">
        <v>4179</v>
      </c>
      <c r="U1421" s="146" t="s">
        <v>1017</v>
      </c>
      <c r="W1421" s="147"/>
      <c r="X1421" s="147"/>
      <c r="Y1421" s="145" t="s">
        <v>1017</v>
      </c>
      <c r="Z1421" s="147"/>
      <c r="AC1421" s="147"/>
      <c r="AE1421" s="148" t="s">
        <v>1017</v>
      </c>
      <c r="AF1421" s="147"/>
      <c r="AG1421" s="147"/>
      <c r="AH1421" s="166" t="str">
        <f t="shared" si="594"/>
        <v>2011</v>
      </c>
      <c r="AI1421" s="168" t="str">
        <f t="shared" si="582"/>
        <v/>
      </c>
      <c r="AJ1421" s="168" t="str">
        <f t="shared" si="583"/>
        <v/>
      </c>
      <c r="AK1421" s="168" t="str">
        <f t="shared" si="584"/>
        <v/>
      </c>
      <c r="AL1421" s="168" t="str">
        <f t="shared" si="585"/>
        <v/>
      </c>
      <c r="AM1421" s="168" t="str">
        <f t="shared" si="586"/>
        <v/>
      </c>
      <c r="AN1421" s="167" t="str">
        <f t="shared" si="568"/>
        <v>2011</v>
      </c>
      <c r="AO1421" s="167" t="str">
        <f t="shared" si="569"/>
        <v>2011</v>
      </c>
      <c r="AP1421" s="167" t="str">
        <f t="shared" si="570"/>
        <v>2011</v>
      </c>
      <c r="AQ1421" s="169" t="str">
        <f t="shared" si="571"/>
        <v/>
      </c>
      <c r="AR1421" s="170" t="str">
        <f t="shared" si="572"/>
        <v>BiK82GbK11y-06</v>
      </c>
      <c r="AS1421" s="169" t="str">
        <f t="shared" si="573"/>
        <v/>
      </c>
      <c r="AT1421">
        <f t="shared" si="574"/>
        <v>14</v>
      </c>
      <c r="AU1421" s="170" t="str">
        <f t="shared" si="575"/>
        <v>0,15-0,5 MW, Bonusregeln G, y, b und K erstmals 2011</v>
      </c>
      <c r="AV1421" s="169" t="str">
        <f t="shared" si="576"/>
        <v/>
      </c>
      <c r="AW1421" s="170" t="str">
        <f t="shared" si="577"/>
        <v>Anteil KWK, erstmals 2011</v>
      </c>
      <c r="AX1421" s="169" t="str">
        <f t="shared" si="578"/>
        <v/>
      </c>
      <c r="AY1421" t="str">
        <f t="shared" si="579"/>
        <v>x</v>
      </c>
      <c r="AZ1421" t="str">
        <f t="shared" si="580"/>
        <v/>
      </c>
    </row>
    <row r="1422" spans="1:52" s="145" customFormat="1" x14ac:dyDescent="0.35">
      <c r="A1422" s="511" t="s">
        <v>1795</v>
      </c>
      <c r="B1422" s="173" t="s">
        <v>5547</v>
      </c>
      <c r="C1422" s="173" t="s">
        <v>1296</v>
      </c>
      <c r="D1422" s="173" t="s">
        <v>7166</v>
      </c>
      <c r="E1422" s="173" t="s">
        <v>1980</v>
      </c>
      <c r="F1422" s="374">
        <f t="shared" si="587"/>
        <v>22.509999999999998</v>
      </c>
      <c r="G1422" s="431">
        <v>22.509999999999998</v>
      </c>
      <c r="H1422" s="400">
        <f t="shared" si="588"/>
        <v>18.010000000000002</v>
      </c>
      <c r="I1422" s="577"/>
      <c r="J1422" s="549" t="s">
        <v>5804</v>
      </c>
      <c r="K1422" s="11"/>
      <c r="L1422"/>
      <c r="M1422" s="37">
        <f t="shared" si="589"/>
        <v>22.509999999999998</v>
      </c>
      <c r="N1422" s="29">
        <v>9.6</v>
      </c>
      <c r="O1422" s="149"/>
      <c r="P1422" s="144"/>
      <c r="S1422" s="145" t="s">
        <v>4179</v>
      </c>
      <c r="T1422" s="145" t="s">
        <v>1017</v>
      </c>
      <c r="U1422" s="146" t="s">
        <v>1017</v>
      </c>
      <c r="W1422" s="147"/>
      <c r="X1422" s="147"/>
      <c r="Y1422" s="145" t="s">
        <v>1017</v>
      </c>
      <c r="Z1422" s="147"/>
      <c r="AC1422" s="147"/>
      <c r="AE1422" s="148" t="s">
        <v>1017</v>
      </c>
      <c r="AF1422" s="147"/>
      <c r="AG1422" s="147"/>
      <c r="AH1422" s="171" t="s">
        <v>4178</v>
      </c>
      <c r="AI1422" s="168" t="str">
        <f t="shared" si="582"/>
        <v/>
      </c>
      <c r="AJ1422" s="168" t="str">
        <f t="shared" si="583"/>
        <v/>
      </c>
      <c r="AK1422" s="168" t="str">
        <f t="shared" si="584"/>
        <v/>
      </c>
      <c r="AL1422" s="168" t="str">
        <f t="shared" si="585"/>
        <v/>
      </c>
      <c r="AM1422" s="168" t="str">
        <f t="shared" si="586"/>
        <v/>
      </c>
      <c r="AN1422" s="167" t="str">
        <f t="shared" si="568"/>
        <v>2012</v>
      </c>
      <c r="AO1422" s="167" t="str">
        <f t="shared" si="569"/>
        <v>2012</v>
      </c>
      <c r="AP1422" s="167" t="str">
        <f t="shared" si="570"/>
        <v>2012</v>
      </c>
      <c r="AQ1422" s="169" t="str">
        <f t="shared" si="571"/>
        <v/>
      </c>
      <c r="AR1422" s="170" t="str">
        <f t="shared" si="572"/>
        <v>BiK82GbK12y-06</v>
      </c>
      <c r="AS1422" s="169" t="str">
        <f t="shared" si="573"/>
        <v/>
      </c>
      <c r="AT1422">
        <f t="shared" si="574"/>
        <v>14</v>
      </c>
      <c r="AU1422" s="170" t="str">
        <f t="shared" si="575"/>
        <v>0,15-0,5 MW, Bonusregeln G, y, b und K erstmals 2012</v>
      </c>
      <c r="AV1422" s="169" t="str">
        <f t="shared" si="576"/>
        <v/>
      </c>
      <c r="AW1422" s="170" t="str">
        <f t="shared" si="577"/>
        <v>Anteil KWK, erstmals 2012</v>
      </c>
      <c r="AX1422" s="169" t="str">
        <f t="shared" si="578"/>
        <v/>
      </c>
      <c r="AY1422" t="str">
        <f t="shared" si="579"/>
        <v/>
      </c>
      <c r="AZ1422" t="str">
        <f t="shared" si="580"/>
        <v>x</v>
      </c>
    </row>
    <row r="1423" spans="1:52" s="145" customFormat="1" x14ac:dyDescent="0.35">
      <c r="A1423" s="497" t="s">
        <v>4712</v>
      </c>
      <c r="B1423" s="13" t="s">
        <v>5547</v>
      </c>
      <c r="C1423" s="13" t="s">
        <v>1296</v>
      </c>
      <c r="D1423" s="13" t="s">
        <v>7167</v>
      </c>
      <c r="E1423" s="13" t="s">
        <v>4809</v>
      </c>
      <c r="F1423" s="373">
        <f t="shared" si="587"/>
        <v>19.600000000000001</v>
      </c>
      <c r="G1423" s="430">
        <v>19.600000000000001</v>
      </c>
      <c r="H1423" s="399">
        <f t="shared" si="588"/>
        <v>15.68</v>
      </c>
      <c r="I1423" s="576"/>
      <c r="J1423" s="549" t="s">
        <v>5804</v>
      </c>
      <c r="K1423" s="11"/>
      <c r="L1423"/>
      <c r="M1423" s="37">
        <f t="shared" si="589"/>
        <v>19.600000000000001</v>
      </c>
      <c r="N1423" s="29">
        <v>9.6</v>
      </c>
      <c r="O1423" s="149"/>
      <c r="P1423" s="144"/>
      <c r="S1423" s="145" t="s">
        <v>4179</v>
      </c>
      <c r="T1423" s="145" t="s">
        <v>4179</v>
      </c>
      <c r="U1423" s="146"/>
      <c r="W1423" s="147"/>
      <c r="X1423" s="147"/>
      <c r="Z1423" s="147"/>
      <c r="AA1423" s="145" t="s">
        <v>1017</v>
      </c>
      <c r="AC1423" s="147"/>
      <c r="AE1423" s="148" t="s">
        <v>1017</v>
      </c>
      <c r="AF1423" s="147"/>
      <c r="AG1423" s="147"/>
      <c r="AH1423" s="166" t="str">
        <f t="shared" ref="AH1423:AH1428" si="595">IF(ISERROR(SEARCH("K erstmals 201",D1423)),"",RIGHT(D1423,4))</f>
        <v/>
      </c>
      <c r="AI1423" s="168" t="str">
        <f t="shared" si="582"/>
        <v/>
      </c>
      <c r="AJ1423" s="168" t="str">
        <f t="shared" si="583"/>
        <v/>
      </c>
      <c r="AK1423" s="168" t="str">
        <f t="shared" si="584"/>
        <v/>
      </c>
      <c r="AL1423" s="168" t="str">
        <f t="shared" si="585"/>
        <v/>
      </c>
      <c r="AM1423" s="168" t="str">
        <f t="shared" si="586"/>
        <v/>
      </c>
      <c r="AN1423" s="167" t="str">
        <f t="shared" si="568"/>
        <v/>
      </c>
      <c r="AO1423" s="167" t="str">
        <f t="shared" si="569"/>
        <v/>
      </c>
      <c r="AP1423" s="167" t="str">
        <f t="shared" si="570"/>
        <v/>
      </c>
      <c r="AQ1423" s="169" t="str">
        <f t="shared" si="571"/>
        <v/>
      </c>
      <c r="AR1423" s="170" t="str">
        <f t="shared" si="572"/>
        <v>BiK82M2b----06</v>
      </c>
      <c r="AS1423" s="169" t="str">
        <f t="shared" si="573"/>
        <v/>
      </c>
      <c r="AT1423">
        <f t="shared" si="574"/>
        <v>14</v>
      </c>
      <c r="AU1423" s="170" t="str">
        <f t="shared" si="575"/>
        <v>0,15-0,5 MW, Bonusregeln M2, b</v>
      </c>
      <c r="AV1423" s="169" t="str">
        <f t="shared" si="576"/>
        <v/>
      </c>
      <c r="AW1423" s="170" t="str">
        <f t="shared" si="577"/>
        <v>Anteil Nicht-KWK</v>
      </c>
      <c r="AX1423" s="169" t="str">
        <f t="shared" si="578"/>
        <v/>
      </c>
      <c r="AY1423" t="str">
        <f t="shared" si="579"/>
        <v/>
      </c>
      <c r="AZ1423" t="str">
        <f t="shared" si="580"/>
        <v/>
      </c>
    </row>
    <row r="1424" spans="1:52" s="145" customFormat="1" x14ac:dyDescent="0.35">
      <c r="A1424" s="497" t="s">
        <v>4713</v>
      </c>
      <c r="B1424" s="13" t="s">
        <v>5547</v>
      </c>
      <c r="C1424" s="13" t="s">
        <v>1296</v>
      </c>
      <c r="D1424" s="13" t="s">
        <v>7168</v>
      </c>
      <c r="E1424" s="13" t="s">
        <v>4811</v>
      </c>
      <c r="F1424" s="373">
        <f t="shared" si="587"/>
        <v>21.6</v>
      </c>
      <c r="G1424" s="430">
        <v>21.6</v>
      </c>
      <c r="H1424" s="399">
        <f t="shared" si="588"/>
        <v>17.28</v>
      </c>
      <c r="I1424" s="576"/>
      <c r="J1424" s="549" t="s">
        <v>5804</v>
      </c>
      <c r="K1424" s="11"/>
      <c r="L1424"/>
      <c r="M1424" s="37">
        <f t="shared" si="589"/>
        <v>21.6</v>
      </c>
      <c r="N1424" s="29">
        <v>9.6</v>
      </c>
      <c r="O1424" s="149" t="s">
        <v>1017</v>
      </c>
      <c r="P1424" s="144"/>
      <c r="S1424" s="145" t="s">
        <v>4179</v>
      </c>
      <c r="T1424" s="145" t="s">
        <v>4179</v>
      </c>
      <c r="U1424" s="146"/>
      <c r="W1424" s="147"/>
      <c r="X1424" s="147"/>
      <c r="Z1424" s="147"/>
      <c r="AA1424" s="145" t="s">
        <v>1017</v>
      </c>
      <c r="AC1424" s="147"/>
      <c r="AE1424" s="148" t="s">
        <v>1017</v>
      </c>
      <c r="AF1424" s="147"/>
      <c r="AG1424" s="147"/>
      <c r="AH1424" s="166" t="str">
        <f t="shared" si="595"/>
        <v/>
      </c>
      <c r="AI1424" s="168" t="str">
        <f t="shared" si="582"/>
        <v/>
      </c>
      <c r="AJ1424" s="168" t="str">
        <f t="shared" si="583"/>
        <v/>
      </c>
      <c r="AK1424" s="168" t="str">
        <f t="shared" si="584"/>
        <v/>
      </c>
      <c r="AL1424" s="168" t="str">
        <f t="shared" si="585"/>
        <v/>
      </c>
      <c r="AM1424" s="168" t="str">
        <f t="shared" si="586"/>
        <v/>
      </c>
      <c r="AN1424" s="167" t="str">
        <f t="shared" si="568"/>
        <v/>
      </c>
      <c r="AO1424" s="167" t="str">
        <f t="shared" si="569"/>
        <v/>
      </c>
      <c r="AP1424" s="167" t="str">
        <f t="shared" si="570"/>
        <v/>
      </c>
      <c r="AQ1424" s="169" t="str">
        <f t="shared" si="571"/>
        <v/>
      </c>
      <c r="AR1424" s="170" t="str">
        <f t="shared" si="572"/>
        <v>BiK82M2bKWK-06</v>
      </c>
      <c r="AS1424" s="169" t="str">
        <f t="shared" si="573"/>
        <v/>
      </c>
      <c r="AT1424">
        <f t="shared" si="574"/>
        <v>14</v>
      </c>
      <c r="AU1424" s="170" t="str">
        <f t="shared" si="575"/>
        <v>0,15-0,5 MW, Bonusregeln M2, b und KWK</v>
      </c>
      <c r="AV1424" s="169" t="str">
        <f t="shared" si="576"/>
        <v/>
      </c>
      <c r="AW1424" s="170" t="str">
        <f t="shared" si="577"/>
        <v>Anteil KWK</v>
      </c>
      <c r="AX1424" s="169" t="str">
        <f t="shared" si="578"/>
        <v/>
      </c>
      <c r="AY1424" t="str">
        <f t="shared" si="579"/>
        <v/>
      </c>
      <c r="AZ1424" t="str">
        <f t="shared" si="580"/>
        <v/>
      </c>
    </row>
    <row r="1425" spans="1:52" s="145" customFormat="1" x14ac:dyDescent="0.35">
      <c r="A1425" s="497" t="s">
        <v>4714</v>
      </c>
      <c r="B1425" s="13" t="s">
        <v>5547</v>
      </c>
      <c r="C1425" s="13" t="s">
        <v>1296</v>
      </c>
      <c r="D1425" s="13" t="s">
        <v>7169</v>
      </c>
      <c r="E1425" s="13" t="s">
        <v>4330</v>
      </c>
      <c r="F1425" s="373">
        <f t="shared" si="587"/>
        <v>22.6</v>
      </c>
      <c r="G1425" s="430">
        <v>22.6</v>
      </c>
      <c r="H1425" s="399">
        <f t="shared" si="588"/>
        <v>18.079999999999998</v>
      </c>
      <c r="I1425" s="576"/>
      <c r="J1425" s="549" t="s">
        <v>5804</v>
      </c>
      <c r="K1425" s="11"/>
      <c r="L1425"/>
      <c r="M1425" s="37">
        <f t="shared" si="589"/>
        <v>22.6</v>
      </c>
      <c r="N1425" s="29">
        <v>9.6</v>
      </c>
      <c r="O1425" s="149"/>
      <c r="P1425" s="145" t="s">
        <v>1017</v>
      </c>
      <c r="S1425" s="145" t="s">
        <v>4179</v>
      </c>
      <c r="T1425" s="145" t="s">
        <v>4179</v>
      </c>
      <c r="U1425" s="146"/>
      <c r="W1425" s="147"/>
      <c r="X1425" s="147"/>
      <c r="Z1425" s="147"/>
      <c r="AA1425" s="145" t="s">
        <v>1017</v>
      </c>
      <c r="AC1425" s="147"/>
      <c r="AE1425" s="148" t="s">
        <v>1017</v>
      </c>
      <c r="AF1425" s="147"/>
      <c r="AG1425" s="147"/>
      <c r="AH1425" s="166" t="str">
        <f t="shared" si="595"/>
        <v/>
      </c>
      <c r="AI1425" s="168" t="str">
        <f t="shared" si="582"/>
        <v/>
      </c>
      <c r="AJ1425" s="168" t="str">
        <f t="shared" si="583"/>
        <v/>
      </c>
      <c r="AK1425" s="168" t="str">
        <f t="shared" si="584"/>
        <v/>
      </c>
      <c r="AL1425" s="168" t="str">
        <f t="shared" si="585"/>
        <v/>
      </c>
      <c r="AM1425" s="168" t="str">
        <f t="shared" si="586"/>
        <v/>
      </c>
      <c r="AN1425" s="167" t="str">
        <f t="shared" si="568"/>
        <v/>
      </c>
      <c r="AO1425" s="167" t="str">
        <f t="shared" si="569"/>
        <v/>
      </c>
      <c r="AP1425" s="167" t="str">
        <f t="shared" si="570"/>
        <v/>
      </c>
      <c r="AQ1425" s="169" t="str">
        <f t="shared" si="571"/>
        <v/>
      </c>
      <c r="AR1425" s="170" t="str">
        <f t="shared" si="572"/>
        <v>BiK82M2bKA3-06</v>
      </c>
      <c r="AS1425" s="169" t="str">
        <f t="shared" si="573"/>
        <v/>
      </c>
      <c r="AT1425">
        <f t="shared" si="574"/>
        <v>14</v>
      </c>
      <c r="AU1425" s="170" t="str">
        <f t="shared" si="575"/>
        <v>0,15-0,5 MW, Bonusregeln M2, b und K wenn Anlage 3 erfüllt</v>
      </c>
      <c r="AV1425" s="169" t="str">
        <f t="shared" si="576"/>
        <v/>
      </c>
      <c r="AW1425" s="170" t="str">
        <f t="shared" si="577"/>
        <v>Anteil KWK gemäß Anlage 3</v>
      </c>
      <c r="AX1425" s="169" t="str">
        <f t="shared" si="578"/>
        <v/>
      </c>
      <c r="AY1425" t="str">
        <f t="shared" si="579"/>
        <v/>
      </c>
      <c r="AZ1425" t="str">
        <f t="shared" si="580"/>
        <v/>
      </c>
    </row>
    <row r="1426" spans="1:52" s="145" customFormat="1" x14ac:dyDescent="0.35">
      <c r="A1426" s="497" t="s">
        <v>4715</v>
      </c>
      <c r="B1426" s="13" t="s">
        <v>5547</v>
      </c>
      <c r="C1426" s="13" t="s">
        <v>1296</v>
      </c>
      <c r="D1426" s="13" t="s">
        <v>7170</v>
      </c>
      <c r="E1426" s="13" t="s">
        <v>674</v>
      </c>
      <c r="F1426" s="373">
        <f t="shared" si="587"/>
        <v>22.6</v>
      </c>
      <c r="G1426" s="430">
        <v>22.6</v>
      </c>
      <c r="H1426" s="399">
        <f t="shared" si="588"/>
        <v>18.079999999999998</v>
      </c>
      <c r="I1426" s="576"/>
      <c r="J1426" s="549" t="s">
        <v>5804</v>
      </c>
      <c r="K1426" s="11"/>
      <c r="L1426"/>
      <c r="M1426" s="37">
        <f t="shared" si="589"/>
        <v>22.6</v>
      </c>
      <c r="N1426" s="29">
        <v>9.6</v>
      </c>
      <c r="O1426" s="149"/>
      <c r="P1426" s="144"/>
      <c r="Q1426" s="145" t="s">
        <v>1017</v>
      </c>
      <c r="S1426" s="145" t="s">
        <v>4179</v>
      </c>
      <c r="T1426" s="145" t="s">
        <v>4179</v>
      </c>
      <c r="U1426" s="146"/>
      <c r="W1426" s="147"/>
      <c r="X1426" s="147"/>
      <c r="Z1426" s="147"/>
      <c r="AA1426" s="145" t="s">
        <v>1017</v>
      </c>
      <c r="AC1426" s="147"/>
      <c r="AE1426" s="148" t="s">
        <v>1017</v>
      </c>
      <c r="AF1426" s="147"/>
      <c r="AG1426" s="147"/>
      <c r="AH1426" s="166" t="str">
        <f t="shared" si="595"/>
        <v/>
      </c>
      <c r="AI1426" s="168" t="str">
        <f t="shared" si="582"/>
        <v/>
      </c>
      <c r="AJ1426" s="168" t="str">
        <f t="shared" si="583"/>
        <v/>
      </c>
      <c r="AK1426" s="168" t="str">
        <f t="shared" si="584"/>
        <v/>
      </c>
      <c r="AL1426" s="168" t="str">
        <f t="shared" si="585"/>
        <v/>
      </c>
      <c r="AM1426" s="168" t="str">
        <f t="shared" si="586"/>
        <v/>
      </c>
      <c r="AN1426" s="167" t="str">
        <f t="shared" si="568"/>
        <v/>
      </c>
      <c r="AO1426" s="167" t="str">
        <f t="shared" si="569"/>
        <v/>
      </c>
      <c r="AP1426" s="167" t="str">
        <f t="shared" si="570"/>
        <v/>
      </c>
      <c r="AQ1426" s="169" t="str">
        <f t="shared" si="571"/>
        <v/>
      </c>
      <c r="AR1426" s="170" t="str">
        <f t="shared" si="572"/>
        <v>BiK82M2bK09-06</v>
      </c>
      <c r="AS1426" s="169" t="str">
        <f t="shared" si="573"/>
        <v/>
      </c>
      <c r="AT1426">
        <f t="shared" si="574"/>
        <v>14</v>
      </c>
      <c r="AU1426" s="170" t="str">
        <f t="shared" si="575"/>
        <v>0,15-0,5 MW, Bonusregeln M2, b und K erstmals 2009</v>
      </c>
      <c r="AV1426" s="169" t="str">
        <f t="shared" si="576"/>
        <v/>
      </c>
      <c r="AW1426" s="170" t="str">
        <f t="shared" si="577"/>
        <v>Anteil KWK, erstmals 2009</v>
      </c>
      <c r="AX1426" s="169" t="str">
        <f t="shared" si="578"/>
        <v/>
      </c>
      <c r="AY1426" t="str">
        <f t="shared" si="579"/>
        <v/>
      </c>
      <c r="AZ1426" t="str">
        <f t="shared" si="580"/>
        <v/>
      </c>
    </row>
    <row r="1427" spans="1:52" s="145" customFormat="1" x14ac:dyDescent="0.35">
      <c r="A1427" s="497" t="s">
        <v>4926</v>
      </c>
      <c r="B1427" s="13" t="s">
        <v>5547</v>
      </c>
      <c r="C1427" s="13" t="s">
        <v>1296</v>
      </c>
      <c r="D1427" s="13" t="s">
        <v>7171</v>
      </c>
      <c r="E1427" s="13" t="s">
        <v>3566</v>
      </c>
      <c r="F1427" s="373">
        <f t="shared" si="587"/>
        <v>22.57</v>
      </c>
      <c r="G1427" s="430">
        <v>22.57</v>
      </c>
      <c r="H1427" s="399">
        <f t="shared" si="588"/>
        <v>18.059999999999999</v>
      </c>
      <c r="I1427" s="576"/>
      <c r="J1427" s="549" t="s">
        <v>5804</v>
      </c>
      <c r="K1427" s="11"/>
      <c r="L1427"/>
      <c r="M1427" s="37">
        <f t="shared" si="589"/>
        <v>22.57</v>
      </c>
      <c r="N1427" s="29">
        <v>9.6</v>
      </c>
      <c r="O1427" s="149"/>
      <c r="P1427" s="144"/>
      <c r="R1427" s="145" t="s">
        <v>1017</v>
      </c>
      <c r="S1427" s="145" t="s">
        <v>4179</v>
      </c>
      <c r="T1427" s="145" t="s">
        <v>4179</v>
      </c>
      <c r="U1427" s="146"/>
      <c r="W1427" s="147"/>
      <c r="X1427" s="147"/>
      <c r="Z1427" s="147"/>
      <c r="AA1427" s="145" t="s">
        <v>1017</v>
      </c>
      <c r="AC1427" s="147"/>
      <c r="AE1427" s="148" t="s">
        <v>1017</v>
      </c>
      <c r="AF1427" s="147"/>
      <c r="AG1427" s="147"/>
      <c r="AH1427" s="166" t="str">
        <f t="shared" si="595"/>
        <v>2010</v>
      </c>
      <c r="AI1427" s="168" t="str">
        <f t="shared" si="582"/>
        <v/>
      </c>
      <c r="AJ1427" s="168" t="str">
        <f t="shared" si="583"/>
        <v/>
      </c>
      <c r="AK1427" s="168" t="str">
        <f t="shared" si="584"/>
        <v/>
      </c>
      <c r="AL1427" s="168" t="str">
        <f t="shared" si="585"/>
        <v/>
      </c>
      <c r="AM1427" s="168" t="str">
        <f t="shared" si="586"/>
        <v/>
      </c>
      <c r="AN1427" s="167" t="str">
        <f t="shared" si="568"/>
        <v>2010</v>
      </c>
      <c r="AO1427" s="167" t="str">
        <f t="shared" si="569"/>
        <v>2010</v>
      </c>
      <c r="AP1427" s="167" t="str">
        <f t="shared" si="570"/>
        <v>2010</v>
      </c>
      <c r="AQ1427" s="169" t="str">
        <f t="shared" si="571"/>
        <v/>
      </c>
      <c r="AR1427" s="170" t="str">
        <f t="shared" si="572"/>
        <v>BiK82M2bK10-06</v>
      </c>
      <c r="AS1427" s="169" t="str">
        <f t="shared" si="573"/>
        <v/>
      </c>
      <c r="AT1427">
        <f t="shared" si="574"/>
        <v>14</v>
      </c>
      <c r="AU1427" s="170" t="str">
        <f t="shared" si="575"/>
        <v>0,15-0,5 MW, Bonusregeln M2, b und K erstmals 2010</v>
      </c>
      <c r="AV1427" s="169" t="str">
        <f t="shared" si="576"/>
        <v/>
      </c>
      <c r="AW1427" s="170" t="str">
        <f t="shared" si="577"/>
        <v>Anteil KWK, erstmals 2010</v>
      </c>
      <c r="AX1427" s="169" t="str">
        <f t="shared" si="578"/>
        <v/>
      </c>
      <c r="AY1427" t="str">
        <f t="shared" si="579"/>
        <v/>
      </c>
      <c r="AZ1427" t="str">
        <f t="shared" si="580"/>
        <v/>
      </c>
    </row>
    <row r="1428" spans="1:52" s="145" customFormat="1" x14ac:dyDescent="0.35">
      <c r="A1428" s="497" t="s">
        <v>3973</v>
      </c>
      <c r="B1428" s="13" t="s">
        <v>5547</v>
      </c>
      <c r="C1428" s="13" t="s">
        <v>1296</v>
      </c>
      <c r="D1428" s="13" t="s">
        <v>7172</v>
      </c>
      <c r="E1428" s="13" t="s">
        <v>3054</v>
      </c>
      <c r="F1428" s="373">
        <f t="shared" si="587"/>
        <v>22.54</v>
      </c>
      <c r="G1428" s="430">
        <v>22.54</v>
      </c>
      <c r="H1428" s="399">
        <f t="shared" si="588"/>
        <v>18.03</v>
      </c>
      <c r="I1428" s="576"/>
      <c r="J1428" s="549" t="s">
        <v>5804</v>
      </c>
      <c r="K1428" s="11"/>
      <c r="L1428"/>
      <c r="M1428" s="37">
        <f t="shared" si="589"/>
        <v>22.54</v>
      </c>
      <c r="N1428" s="29">
        <v>9.6</v>
      </c>
      <c r="O1428" s="149"/>
      <c r="P1428" s="144"/>
      <c r="S1428" s="145" t="s">
        <v>1017</v>
      </c>
      <c r="T1428" s="145" t="s">
        <v>4179</v>
      </c>
      <c r="U1428" s="146"/>
      <c r="W1428" s="147"/>
      <c r="X1428" s="147"/>
      <c r="Z1428" s="147"/>
      <c r="AA1428" s="145" t="s">
        <v>1017</v>
      </c>
      <c r="AC1428" s="147"/>
      <c r="AE1428" s="148" t="s">
        <v>1017</v>
      </c>
      <c r="AF1428" s="147"/>
      <c r="AG1428" s="147"/>
      <c r="AH1428" s="166" t="str">
        <f t="shared" si="595"/>
        <v>2011</v>
      </c>
      <c r="AI1428" s="168" t="str">
        <f t="shared" si="582"/>
        <v/>
      </c>
      <c r="AJ1428" s="168" t="str">
        <f t="shared" si="583"/>
        <v/>
      </c>
      <c r="AK1428" s="168" t="str">
        <f t="shared" si="584"/>
        <v/>
      </c>
      <c r="AL1428" s="168" t="str">
        <f t="shared" si="585"/>
        <v/>
      </c>
      <c r="AM1428" s="168" t="str">
        <f t="shared" si="586"/>
        <v/>
      </c>
      <c r="AN1428" s="167" t="str">
        <f t="shared" si="568"/>
        <v>2011</v>
      </c>
      <c r="AO1428" s="167" t="str">
        <f t="shared" si="569"/>
        <v>2011</v>
      </c>
      <c r="AP1428" s="167" t="str">
        <f t="shared" si="570"/>
        <v>2011</v>
      </c>
      <c r="AQ1428" s="169" t="str">
        <f t="shared" si="571"/>
        <v/>
      </c>
      <c r="AR1428" s="170" t="str">
        <f t="shared" si="572"/>
        <v>BiK82M2bK11-06</v>
      </c>
      <c r="AS1428" s="169" t="str">
        <f t="shared" si="573"/>
        <v/>
      </c>
      <c r="AT1428">
        <f t="shared" si="574"/>
        <v>14</v>
      </c>
      <c r="AU1428" s="170" t="str">
        <f t="shared" si="575"/>
        <v>0,15-0,5 MW, Bonusregeln M2, b und K erstmals 2011</v>
      </c>
      <c r="AV1428" s="169" t="str">
        <f t="shared" si="576"/>
        <v/>
      </c>
      <c r="AW1428" s="170" t="str">
        <f t="shared" si="577"/>
        <v>Anteil KWK, erstmals 2011</v>
      </c>
      <c r="AX1428" s="169" t="str">
        <f t="shared" si="578"/>
        <v/>
      </c>
      <c r="AY1428" t="str">
        <f t="shared" si="579"/>
        <v>x</v>
      </c>
      <c r="AZ1428" t="str">
        <f t="shared" si="580"/>
        <v/>
      </c>
    </row>
    <row r="1429" spans="1:52" s="145" customFormat="1" x14ac:dyDescent="0.35">
      <c r="A1429" s="511" t="s">
        <v>1796</v>
      </c>
      <c r="B1429" s="173" t="s">
        <v>5547</v>
      </c>
      <c r="C1429" s="173" t="s">
        <v>1296</v>
      </c>
      <c r="D1429" s="173" t="s">
        <v>7173</v>
      </c>
      <c r="E1429" s="173" t="s">
        <v>1980</v>
      </c>
      <c r="F1429" s="374">
        <f t="shared" si="587"/>
        <v>22.509999999999998</v>
      </c>
      <c r="G1429" s="431">
        <v>22.509999999999998</v>
      </c>
      <c r="H1429" s="400">
        <f t="shared" si="588"/>
        <v>18.010000000000002</v>
      </c>
      <c r="I1429" s="577"/>
      <c r="J1429" s="549" t="s">
        <v>5804</v>
      </c>
      <c r="K1429" s="11"/>
      <c r="L1429"/>
      <c r="M1429" s="37">
        <f t="shared" si="589"/>
        <v>22.509999999999998</v>
      </c>
      <c r="N1429" s="29">
        <v>9.6</v>
      </c>
      <c r="O1429" s="149"/>
      <c r="P1429" s="144"/>
      <c r="S1429" s="145" t="s">
        <v>4179</v>
      </c>
      <c r="T1429" s="145" t="s">
        <v>1017</v>
      </c>
      <c r="U1429" s="146"/>
      <c r="W1429" s="147"/>
      <c r="X1429" s="147"/>
      <c r="Z1429" s="147"/>
      <c r="AA1429" s="145" t="s">
        <v>1017</v>
      </c>
      <c r="AC1429" s="147"/>
      <c r="AE1429" s="148" t="s">
        <v>1017</v>
      </c>
      <c r="AF1429" s="147"/>
      <c r="AG1429" s="147"/>
      <c r="AH1429" s="171" t="s">
        <v>4178</v>
      </c>
      <c r="AI1429" s="168" t="str">
        <f t="shared" si="582"/>
        <v/>
      </c>
      <c r="AJ1429" s="168" t="str">
        <f t="shared" si="583"/>
        <v/>
      </c>
      <c r="AK1429" s="168" t="str">
        <f t="shared" si="584"/>
        <v/>
      </c>
      <c r="AL1429" s="168" t="str">
        <f t="shared" si="585"/>
        <v/>
      </c>
      <c r="AM1429" s="168" t="str">
        <f t="shared" si="586"/>
        <v/>
      </c>
      <c r="AN1429" s="167" t="str">
        <f t="shared" si="568"/>
        <v>2012</v>
      </c>
      <c r="AO1429" s="167" t="str">
        <f t="shared" si="569"/>
        <v>2012</v>
      </c>
      <c r="AP1429" s="167" t="str">
        <f t="shared" si="570"/>
        <v>2012</v>
      </c>
      <c r="AQ1429" s="169" t="str">
        <f t="shared" si="571"/>
        <v/>
      </c>
      <c r="AR1429" s="170" t="str">
        <f t="shared" si="572"/>
        <v>BiK82M2bK12-06</v>
      </c>
      <c r="AS1429" s="169" t="str">
        <f t="shared" si="573"/>
        <v/>
      </c>
      <c r="AT1429">
        <f t="shared" si="574"/>
        <v>14</v>
      </c>
      <c r="AU1429" s="170" t="str">
        <f t="shared" si="575"/>
        <v>0,15-0,5 MW, Bonusregeln M2, b und K erstmals 2012</v>
      </c>
      <c r="AV1429" s="169" t="str">
        <f t="shared" si="576"/>
        <v/>
      </c>
      <c r="AW1429" s="170" t="str">
        <f t="shared" si="577"/>
        <v>Anteil KWK, erstmals 2012</v>
      </c>
      <c r="AX1429" s="169" t="str">
        <f t="shared" si="578"/>
        <v/>
      </c>
      <c r="AY1429" t="str">
        <f t="shared" si="579"/>
        <v/>
      </c>
      <c r="AZ1429" t="str">
        <f t="shared" si="580"/>
        <v>x</v>
      </c>
    </row>
    <row r="1430" spans="1:52" s="145" customFormat="1" x14ac:dyDescent="0.35">
      <c r="A1430" s="497" t="s">
        <v>4716</v>
      </c>
      <c r="B1430" s="13" t="s">
        <v>5547</v>
      </c>
      <c r="C1430" s="13" t="s">
        <v>1296</v>
      </c>
      <c r="D1430" s="13" t="s">
        <v>7174</v>
      </c>
      <c r="E1430" s="13" t="s">
        <v>4809</v>
      </c>
      <c r="F1430" s="373">
        <f t="shared" si="587"/>
        <v>20.6</v>
      </c>
      <c r="G1430" s="430">
        <v>20.6</v>
      </c>
      <c r="H1430" s="399">
        <f t="shared" si="588"/>
        <v>16.48</v>
      </c>
      <c r="I1430" s="576"/>
      <c r="J1430" s="549" t="s">
        <v>5804</v>
      </c>
      <c r="K1430" s="11"/>
      <c r="L1430"/>
      <c r="M1430" s="37">
        <f t="shared" si="589"/>
        <v>20.6</v>
      </c>
      <c r="N1430" s="29">
        <v>9.6</v>
      </c>
      <c r="O1430" s="149"/>
      <c r="P1430" s="144"/>
      <c r="S1430" s="145" t="s">
        <v>4179</v>
      </c>
      <c r="T1430" s="145" t="s">
        <v>4179</v>
      </c>
      <c r="U1430" s="146" t="s">
        <v>1017</v>
      </c>
      <c r="W1430" s="147"/>
      <c r="X1430" s="147"/>
      <c r="Z1430" s="147"/>
      <c r="AA1430" s="145" t="s">
        <v>1017</v>
      </c>
      <c r="AC1430" s="147"/>
      <c r="AE1430" s="148" t="s">
        <v>1017</v>
      </c>
      <c r="AF1430" s="147"/>
      <c r="AG1430" s="147"/>
      <c r="AH1430" s="166" t="str">
        <f t="shared" ref="AH1430:AH1435" si="596">IF(ISERROR(SEARCH("K erstmals 201",D1430)),"",RIGHT(D1430,4))</f>
        <v/>
      </c>
      <c r="AI1430" s="168" t="str">
        <f t="shared" si="582"/>
        <v/>
      </c>
      <c r="AJ1430" s="168" t="str">
        <f t="shared" si="583"/>
        <v/>
      </c>
      <c r="AK1430" s="168" t="str">
        <f t="shared" si="584"/>
        <v/>
      </c>
      <c r="AL1430" s="168" t="str">
        <f t="shared" si="585"/>
        <v/>
      </c>
      <c r="AM1430" s="168" t="str">
        <f t="shared" si="586"/>
        <v/>
      </c>
      <c r="AN1430" s="167" t="str">
        <f t="shared" si="568"/>
        <v/>
      </c>
      <c r="AO1430" s="167" t="str">
        <f t="shared" si="569"/>
        <v/>
      </c>
      <c r="AP1430" s="167" t="str">
        <f t="shared" si="570"/>
        <v/>
      </c>
      <c r="AQ1430" s="169" t="str">
        <f t="shared" si="571"/>
        <v/>
      </c>
      <c r="AR1430" s="170" t="str">
        <f t="shared" si="572"/>
        <v>BiK82M2by---06</v>
      </c>
      <c r="AS1430" s="169" t="str">
        <f t="shared" si="573"/>
        <v/>
      </c>
      <c r="AT1430">
        <f t="shared" si="574"/>
        <v>14</v>
      </c>
      <c r="AU1430" s="170" t="str">
        <f t="shared" si="575"/>
        <v>0,15-0,5 MW, Bonusregeln M2, y, b</v>
      </c>
      <c r="AV1430" s="169" t="str">
        <f t="shared" si="576"/>
        <v/>
      </c>
      <c r="AW1430" s="170" t="str">
        <f t="shared" si="577"/>
        <v>Anteil Nicht-KWK</v>
      </c>
      <c r="AX1430" s="169" t="str">
        <f t="shared" si="578"/>
        <v/>
      </c>
      <c r="AY1430" t="str">
        <f t="shared" si="579"/>
        <v/>
      </c>
      <c r="AZ1430" t="str">
        <f t="shared" si="580"/>
        <v/>
      </c>
    </row>
    <row r="1431" spans="1:52" s="145" customFormat="1" x14ac:dyDescent="0.35">
      <c r="A1431" s="497" t="s">
        <v>4717</v>
      </c>
      <c r="B1431" s="13" t="s">
        <v>5547</v>
      </c>
      <c r="C1431" s="13" t="s">
        <v>1296</v>
      </c>
      <c r="D1431" s="13" t="s">
        <v>7175</v>
      </c>
      <c r="E1431" s="13" t="s">
        <v>4811</v>
      </c>
      <c r="F1431" s="373">
        <f t="shared" si="587"/>
        <v>22.6</v>
      </c>
      <c r="G1431" s="430">
        <v>22.6</v>
      </c>
      <c r="H1431" s="399">
        <f t="shared" si="588"/>
        <v>18.079999999999998</v>
      </c>
      <c r="I1431" s="576"/>
      <c r="J1431" s="549" t="s">
        <v>5804</v>
      </c>
      <c r="K1431" s="11"/>
      <c r="L1431"/>
      <c r="M1431" s="37">
        <f t="shared" si="589"/>
        <v>22.6</v>
      </c>
      <c r="N1431" s="29">
        <v>9.6</v>
      </c>
      <c r="O1431" s="149" t="s">
        <v>1017</v>
      </c>
      <c r="P1431" s="144"/>
      <c r="S1431" s="145" t="s">
        <v>4179</v>
      </c>
      <c r="T1431" s="145" t="s">
        <v>4179</v>
      </c>
      <c r="U1431" s="146" t="s">
        <v>1017</v>
      </c>
      <c r="W1431" s="147"/>
      <c r="X1431" s="147"/>
      <c r="Z1431" s="147"/>
      <c r="AA1431" s="145" t="s">
        <v>1017</v>
      </c>
      <c r="AC1431" s="147"/>
      <c r="AE1431" s="148" t="s">
        <v>1017</v>
      </c>
      <c r="AF1431" s="147"/>
      <c r="AG1431" s="147"/>
      <c r="AH1431" s="166" t="str">
        <f t="shared" si="596"/>
        <v/>
      </c>
      <c r="AI1431" s="168" t="str">
        <f t="shared" si="582"/>
        <v/>
      </c>
      <c r="AJ1431" s="168" t="str">
        <f t="shared" si="583"/>
        <v/>
      </c>
      <c r="AK1431" s="168" t="str">
        <f t="shared" si="584"/>
        <v/>
      </c>
      <c r="AL1431" s="168" t="str">
        <f t="shared" si="585"/>
        <v/>
      </c>
      <c r="AM1431" s="168" t="str">
        <f t="shared" si="586"/>
        <v/>
      </c>
      <c r="AN1431" s="167" t="str">
        <f t="shared" si="568"/>
        <v/>
      </c>
      <c r="AO1431" s="167" t="str">
        <f t="shared" si="569"/>
        <v/>
      </c>
      <c r="AP1431" s="167" t="str">
        <f t="shared" si="570"/>
        <v/>
      </c>
      <c r="AQ1431" s="169" t="str">
        <f t="shared" si="571"/>
        <v/>
      </c>
      <c r="AR1431" s="170" t="str">
        <f t="shared" si="572"/>
        <v>BiK82M2bKWKy06</v>
      </c>
      <c r="AS1431" s="169" t="str">
        <f t="shared" si="573"/>
        <v/>
      </c>
      <c r="AT1431">
        <f t="shared" si="574"/>
        <v>14</v>
      </c>
      <c r="AU1431" s="170" t="str">
        <f t="shared" si="575"/>
        <v>0,15-0,5 MW, Bonusregeln M2, y, b und KWK</v>
      </c>
      <c r="AV1431" s="169" t="str">
        <f t="shared" si="576"/>
        <v/>
      </c>
      <c r="AW1431" s="170" t="str">
        <f t="shared" si="577"/>
        <v>Anteil KWK</v>
      </c>
      <c r="AX1431" s="169" t="str">
        <f t="shared" si="578"/>
        <v/>
      </c>
      <c r="AY1431" t="str">
        <f t="shared" si="579"/>
        <v/>
      </c>
      <c r="AZ1431" t="str">
        <f t="shared" si="580"/>
        <v/>
      </c>
    </row>
    <row r="1432" spans="1:52" s="145" customFormat="1" x14ac:dyDescent="0.35">
      <c r="A1432" s="497" t="s">
        <v>4718</v>
      </c>
      <c r="B1432" s="13" t="s">
        <v>5547</v>
      </c>
      <c r="C1432" s="13" t="s">
        <v>1296</v>
      </c>
      <c r="D1432" s="88" t="s">
        <v>7176</v>
      </c>
      <c r="E1432" s="13" t="s">
        <v>4330</v>
      </c>
      <c r="F1432" s="373">
        <f t="shared" si="587"/>
        <v>23.6</v>
      </c>
      <c r="G1432" s="430">
        <v>23.6</v>
      </c>
      <c r="H1432" s="399">
        <f t="shared" si="588"/>
        <v>18.88</v>
      </c>
      <c r="I1432" s="576"/>
      <c r="J1432" s="549" t="s">
        <v>5804</v>
      </c>
      <c r="K1432" s="11"/>
      <c r="L1432"/>
      <c r="M1432" s="37">
        <f t="shared" si="589"/>
        <v>23.6</v>
      </c>
      <c r="N1432" s="29">
        <v>9.6</v>
      </c>
      <c r="O1432" s="149"/>
      <c r="P1432" s="145" t="s">
        <v>1017</v>
      </c>
      <c r="S1432" s="145" t="s">
        <v>4179</v>
      </c>
      <c r="T1432" s="145" t="s">
        <v>4179</v>
      </c>
      <c r="U1432" s="146" t="s">
        <v>1017</v>
      </c>
      <c r="W1432" s="147"/>
      <c r="X1432" s="147"/>
      <c r="Z1432" s="147"/>
      <c r="AA1432" s="145" t="s">
        <v>1017</v>
      </c>
      <c r="AC1432" s="147"/>
      <c r="AE1432" s="148" t="s">
        <v>1017</v>
      </c>
      <c r="AF1432" s="147"/>
      <c r="AG1432" s="147"/>
      <c r="AH1432" s="166" t="str">
        <f t="shared" si="596"/>
        <v/>
      </c>
      <c r="AI1432" s="168" t="str">
        <f t="shared" si="582"/>
        <v/>
      </c>
      <c r="AJ1432" s="168" t="str">
        <f t="shared" si="583"/>
        <v/>
      </c>
      <c r="AK1432" s="168" t="str">
        <f t="shared" si="584"/>
        <v/>
      </c>
      <c r="AL1432" s="168" t="str">
        <f t="shared" si="585"/>
        <v/>
      </c>
      <c r="AM1432" s="168" t="str">
        <f t="shared" si="586"/>
        <v/>
      </c>
      <c r="AN1432" s="167" t="str">
        <f t="shared" si="568"/>
        <v/>
      </c>
      <c r="AO1432" s="167" t="str">
        <f t="shared" si="569"/>
        <v/>
      </c>
      <c r="AP1432" s="167" t="str">
        <f t="shared" si="570"/>
        <v/>
      </c>
      <c r="AQ1432" s="169" t="str">
        <f t="shared" si="571"/>
        <v/>
      </c>
      <c r="AR1432" s="170" t="str">
        <f t="shared" si="572"/>
        <v>BiK82M2bKA3y06</v>
      </c>
      <c r="AS1432" s="169" t="str">
        <f t="shared" si="573"/>
        <v/>
      </c>
      <c r="AT1432">
        <f t="shared" si="574"/>
        <v>14</v>
      </c>
      <c r="AU1432" s="170" t="str">
        <f t="shared" si="575"/>
        <v>0,15-0,5 MW, Bonusregeln M2, y, b und K wenn Anlage 3 erfüllt</v>
      </c>
      <c r="AV1432" s="169" t="str">
        <f t="shared" si="576"/>
        <v/>
      </c>
      <c r="AW1432" s="170" t="str">
        <f t="shared" si="577"/>
        <v>Anteil KWK gemäß Anlage 3</v>
      </c>
      <c r="AX1432" s="169" t="str">
        <f t="shared" si="578"/>
        <v/>
      </c>
      <c r="AY1432" t="str">
        <f t="shared" si="579"/>
        <v/>
      </c>
      <c r="AZ1432" t="str">
        <f t="shared" si="580"/>
        <v/>
      </c>
    </row>
    <row r="1433" spans="1:52" s="145" customFormat="1" x14ac:dyDescent="0.35">
      <c r="A1433" s="497" t="s">
        <v>4719</v>
      </c>
      <c r="B1433" s="13" t="s">
        <v>5547</v>
      </c>
      <c r="C1433" s="13" t="s">
        <v>1296</v>
      </c>
      <c r="D1433" s="13" t="s">
        <v>7177</v>
      </c>
      <c r="E1433" s="13" t="s">
        <v>674</v>
      </c>
      <c r="F1433" s="373">
        <f t="shared" si="587"/>
        <v>23.6</v>
      </c>
      <c r="G1433" s="430">
        <v>23.6</v>
      </c>
      <c r="H1433" s="399">
        <f t="shared" si="588"/>
        <v>18.88</v>
      </c>
      <c r="I1433" s="576"/>
      <c r="J1433" s="549" t="s">
        <v>5804</v>
      </c>
      <c r="K1433" s="11"/>
      <c r="L1433"/>
      <c r="M1433" s="37">
        <f t="shared" si="589"/>
        <v>23.6</v>
      </c>
      <c r="N1433" s="29">
        <v>9.6</v>
      </c>
      <c r="O1433" s="149"/>
      <c r="P1433" s="144"/>
      <c r="Q1433" s="145" t="s">
        <v>1017</v>
      </c>
      <c r="S1433" s="145" t="s">
        <v>4179</v>
      </c>
      <c r="T1433" s="145" t="s">
        <v>4179</v>
      </c>
      <c r="U1433" s="146" t="s">
        <v>1017</v>
      </c>
      <c r="W1433" s="147"/>
      <c r="X1433" s="147"/>
      <c r="Z1433" s="147"/>
      <c r="AA1433" s="145" t="s">
        <v>1017</v>
      </c>
      <c r="AC1433" s="147"/>
      <c r="AE1433" s="148" t="s">
        <v>1017</v>
      </c>
      <c r="AF1433" s="147"/>
      <c r="AG1433" s="147"/>
      <c r="AH1433" s="166" t="str">
        <f t="shared" si="596"/>
        <v/>
      </c>
      <c r="AI1433" s="168" t="str">
        <f t="shared" si="582"/>
        <v/>
      </c>
      <c r="AJ1433" s="168" t="str">
        <f t="shared" si="583"/>
        <v/>
      </c>
      <c r="AK1433" s="168" t="str">
        <f t="shared" si="584"/>
        <v/>
      </c>
      <c r="AL1433" s="168" t="str">
        <f t="shared" si="585"/>
        <v/>
      </c>
      <c r="AM1433" s="168" t="str">
        <f t="shared" si="586"/>
        <v/>
      </c>
      <c r="AN1433" s="167" t="str">
        <f t="shared" si="568"/>
        <v/>
      </c>
      <c r="AO1433" s="167" t="str">
        <f t="shared" si="569"/>
        <v/>
      </c>
      <c r="AP1433" s="167" t="str">
        <f t="shared" si="570"/>
        <v/>
      </c>
      <c r="AQ1433" s="169" t="str">
        <f t="shared" si="571"/>
        <v/>
      </c>
      <c r="AR1433" s="170" t="str">
        <f t="shared" si="572"/>
        <v>BiK82M2bK09y06</v>
      </c>
      <c r="AS1433" s="169" t="str">
        <f t="shared" si="573"/>
        <v/>
      </c>
      <c r="AT1433">
        <f t="shared" si="574"/>
        <v>14</v>
      </c>
      <c r="AU1433" s="170" t="str">
        <f t="shared" si="575"/>
        <v>0,15-0,5 MW, Bonusregeln M2, y, b und K erstmals 2009</v>
      </c>
      <c r="AV1433" s="169" t="str">
        <f t="shared" si="576"/>
        <v/>
      </c>
      <c r="AW1433" s="170" t="str">
        <f t="shared" si="577"/>
        <v>Anteil KWK, erstmals 2009</v>
      </c>
      <c r="AX1433" s="169" t="str">
        <f t="shared" si="578"/>
        <v/>
      </c>
      <c r="AY1433" t="str">
        <f t="shared" si="579"/>
        <v/>
      </c>
      <c r="AZ1433" t="str">
        <f t="shared" si="580"/>
        <v/>
      </c>
    </row>
    <row r="1434" spans="1:52" s="145" customFormat="1" x14ac:dyDescent="0.35">
      <c r="A1434" s="497" t="s">
        <v>4927</v>
      </c>
      <c r="B1434" s="13" t="s">
        <v>5547</v>
      </c>
      <c r="C1434" s="13" t="s">
        <v>1296</v>
      </c>
      <c r="D1434" s="13" t="s">
        <v>7178</v>
      </c>
      <c r="E1434" s="13" t="s">
        <v>3566</v>
      </c>
      <c r="F1434" s="373">
        <f t="shared" si="587"/>
        <v>23.57</v>
      </c>
      <c r="G1434" s="430">
        <v>23.57</v>
      </c>
      <c r="H1434" s="399">
        <f t="shared" si="588"/>
        <v>18.86</v>
      </c>
      <c r="I1434" s="576"/>
      <c r="J1434" s="549" t="s">
        <v>5804</v>
      </c>
      <c r="K1434" s="11"/>
      <c r="L1434"/>
      <c r="M1434" s="37">
        <f t="shared" si="589"/>
        <v>23.57</v>
      </c>
      <c r="N1434" s="29">
        <v>9.6</v>
      </c>
      <c r="O1434" s="149"/>
      <c r="P1434" s="144"/>
      <c r="R1434" s="145" t="s">
        <v>1017</v>
      </c>
      <c r="S1434" s="145" t="s">
        <v>4179</v>
      </c>
      <c r="T1434" s="145" t="s">
        <v>4179</v>
      </c>
      <c r="U1434" s="146" t="s">
        <v>1017</v>
      </c>
      <c r="W1434" s="147"/>
      <c r="X1434" s="147"/>
      <c r="Z1434" s="147"/>
      <c r="AA1434" s="145" t="s">
        <v>1017</v>
      </c>
      <c r="AC1434" s="147"/>
      <c r="AE1434" s="148" t="s">
        <v>1017</v>
      </c>
      <c r="AF1434" s="147"/>
      <c r="AG1434" s="147"/>
      <c r="AH1434" s="166" t="str">
        <f t="shared" si="596"/>
        <v>2010</v>
      </c>
      <c r="AI1434" s="168" t="str">
        <f t="shared" si="582"/>
        <v/>
      </c>
      <c r="AJ1434" s="168" t="str">
        <f t="shared" si="583"/>
        <v/>
      </c>
      <c r="AK1434" s="168" t="str">
        <f t="shared" si="584"/>
        <v/>
      </c>
      <c r="AL1434" s="168" t="str">
        <f t="shared" si="585"/>
        <v/>
      </c>
      <c r="AM1434" s="168" t="str">
        <f t="shared" si="586"/>
        <v/>
      </c>
      <c r="AN1434" s="167" t="str">
        <f t="shared" si="568"/>
        <v>2010</v>
      </c>
      <c r="AO1434" s="167" t="str">
        <f t="shared" si="569"/>
        <v>2010</v>
      </c>
      <c r="AP1434" s="167" t="str">
        <f t="shared" si="570"/>
        <v>2010</v>
      </c>
      <c r="AQ1434" s="169" t="str">
        <f t="shared" si="571"/>
        <v/>
      </c>
      <c r="AR1434" s="170" t="str">
        <f t="shared" si="572"/>
        <v>BiK82M2bK10y06</v>
      </c>
      <c r="AS1434" s="169" t="str">
        <f t="shared" si="573"/>
        <v/>
      </c>
      <c r="AT1434">
        <f t="shared" si="574"/>
        <v>14</v>
      </c>
      <c r="AU1434" s="170" t="str">
        <f t="shared" si="575"/>
        <v>0,15-0,5 MW, Bonusregeln M2, y, b und K erstmals 2010</v>
      </c>
      <c r="AV1434" s="169" t="str">
        <f t="shared" si="576"/>
        <v/>
      </c>
      <c r="AW1434" s="170" t="str">
        <f t="shared" si="577"/>
        <v>Anteil KWK, erstmals 2010</v>
      </c>
      <c r="AX1434" s="169" t="str">
        <f t="shared" si="578"/>
        <v/>
      </c>
      <c r="AY1434" t="str">
        <f t="shared" si="579"/>
        <v/>
      </c>
      <c r="AZ1434" t="str">
        <f t="shared" si="580"/>
        <v/>
      </c>
    </row>
    <row r="1435" spans="1:52" s="145" customFormat="1" x14ac:dyDescent="0.35">
      <c r="A1435" s="497" t="s">
        <v>3974</v>
      </c>
      <c r="B1435" s="13" t="s">
        <v>5547</v>
      </c>
      <c r="C1435" s="13" t="s">
        <v>1296</v>
      </c>
      <c r="D1435" s="13" t="s">
        <v>7179</v>
      </c>
      <c r="E1435" s="13" t="s">
        <v>3054</v>
      </c>
      <c r="F1435" s="373">
        <f t="shared" si="587"/>
        <v>23.54</v>
      </c>
      <c r="G1435" s="430">
        <v>23.54</v>
      </c>
      <c r="H1435" s="399">
        <f t="shared" si="588"/>
        <v>18.829999999999998</v>
      </c>
      <c r="I1435" s="576"/>
      <c r="J1435" s="549" t="s">
        <v>5804</v>
      </c>
      <c r="K1435" s="11"/>
      <c r="L1435"/>
      <c r="M1435" s="37">
        <f t="shared" si="589"/>
        <v>23.54</v>
      </c>
      <c r="N1435" s="29">
        <v>9.6</v>
      </c>
      <c r="O1435" s="149"/>
      <c r="P1435" s="144"/>
      <c r="S1435" s="145" t="s">
        <v>1017</v>
      </c>
      <c r="T1435" s="145" t="s">
        <v>4179</v>
      </c>
      <c r="U1435" s="146" t="s">
        <v>1017</v>
      </c>
      <c r="W1435" s="147"/>
      <c r="X1435" s="147"/>
      <c r="Z1435" s="147"/>
      <c r="AA1435" s="145" t="s">
        <v>1017</v>
      </c>
      <c r="AC1435" s="147"/>
      <c r="AE1435" s="148" t="s">
        <v>1017</v>
      </c>
      <c r="AF1435" s="147"/>
      <c r="AG1435" s="147"/>
      <c r="AH1435" s="166" t="str">
        <f t="shared" si="596"/>
        <v>2011</v>
      </c>
      <c r="AI1435" s="168" t="str">
        <f t="shared" si="582"/>
        <v/>
      </c>
      <c r="AJ1435" s="168" t="str">
        <f t="shared" si="583"/>
        <v/>
      </c>
      <c r="AK1435" s="168" t="str">
        <f t="shared" si="584"/>
        <v/>
      </c>
      <c r="AL1435" s="168" t="str">
        <f t="shared" si="585"/>
        <v/>
      </c>
      <c r="AM1435" s="168" t="str">
        <f t="shared" si="586"/>
        <v/>
      </c>
      <c r="AN1435" s="167" t="str">
        <f t="shared" si="568"/>
        <v>2011</v>
      </c>
      <c r="AO1435" s="167" t="str">
        <f t="shared" si="569"/>
        <v>2011</v>
      </c>
      <c r="AP1435" s="167" t="str">
        <f t="shared" si="570"/>
        <v>2011</v>
      </c>
      <c r="AQ1435" s="169" t="str">
        <f t="shared" si="571"/>
        <v/>
      </c>
      <c r="AR1435" s="170" t="str">
        <f t="shared" si="572"/>
        <v>BiK82M2bK11y06</v>
      </c>
      <c r="AS1435" s="169" t="str">
        <f t="shared" si="573"/>
        <v/>
      </c>
      <c r="AT1435">
        <f t="shared" si="574"/>
        <v>14</v>
      </c>
      <c r="AU1435" s="170" t="str">
        <f t="shared" si="575"/>
        <v>0,15-0,5 MW, Bonusregeln M2, y, b und K erstmals 2011</v>
      </c>
      <c r="AV1435" s="169" t="str">
        <f t="shared" si="576"/>
        <v/>
      </c>
      <c r="AW1435" s="170" t="str">
        <f t="shared" si="577"/>
        <v>Anteil KWK, erstmals 2011</v>
      </c>
      <c r="AX1435" s="169" t="str">
        <f t="shared" si="578"/>
        <v/>
      </c>
      <c r="AY1435" t="str">
        <f t="shared" si="579"/>
        <v>x</v>
      </c>
      <c r="AZ1435" t="str">
        <f t="shared" si="580"/>
        <v/>
      </c>
    </row>
    <row r="1436" spans="1:52" s="145" customFormat="1" x14ac:dyDescent="0.35">
      <c r="A1436" s="511" t="s">
        <v>1797</v>
      </c>
      <c r="B1436" s="173" t="s">
        <v>5547</v>
      </c>
      <c r="C1436" s="173" t="s">
        <v>1296</v>
      </c>
      <c r="D1436" s="173" t="s">
        <v>7180</v>
      </c>
      <c r="E1436" s="173" t="s">
        <v>1980</v>
      </c>
      <c r="F1436" s="374">
        <f t="shared" si="587"/>
        <v>23.509999999999998</v>
      </c>
      <c r="G1436" s="431">
        <v>23.509999999999998</v>
      </c>
      <c r="H1436" s="400">
        <f t="shared" si="588"/>
        <v>18.809999999999999</v>
      </c>
      <c r="I1436" s="577"/>
      <c r="J1436" s="549" t="s">
        <v>5804</v>
      </c>
      <c r="K1436" s="11"/>
      <c r="L1436"/>
      <c r="M1436" s="37">
        <f t="shared" si="589"/>
        <v>23.509999999999998</v>
      </c>
      <c r="N1436" s="29">
        <v>9.6</v>
      </c>
      <c r="O1436" s="149"/>
      <c r="P1436" s="144"/>
      <c r="S1436" s="145" t="s">
        <v>4179</v>
      </c>
      <c r="T1436" s="145" t="s">
        <v>1017</v>
      </c>
      <c r="U1436" s="146" t="s">
        <v>1017</v>
      </c>
      <c r="W1436" s="147"/>
      <c r="X1436" s="147"/>
      <c r="Z1436" s="147"/>
      <c r="AA1436" s="145" t="s">
        <v>1017</v>
      </c>
      <c r="AC1436" s="147"/>
      <c r="AE1436" s="148" t="s">
        <v>1017</v>
      </c>
      <c r="AF1436" s="147"/>
      <c r="AG1436" s="147"/>
      <c r="AH1436" s="171" t="s">
        <v>4178</v>
      </c>
      <c r="AI1436" s="168" t="str">
        <f t="shared" si="582"/>
        <v/>
      </c>
      <c r="AJ1436" s="168" t="str">
        <f t="shared" si="583"/>
        <v/>
      </c>
      <c r="AK1436" s="168" t="str">
        <f t="shared" si="584"/>
        <v/>
      </c>
      <c r="AL1436" s="168" t="str">
        <f t="shared" si="585"/>
        <v/>
      </c>
      <c r="AM1436" s="168" t="str">
        <f t="shared" si="586"/>
        <v/>
      </c>
      <c r="AN1436" s="167" t="str">
        <f t="shared" si="568"/>
        <v>2012</v>
      </c>
      <c r="AO1436" s="167" t="str">
        <f t="shared" si="569"/>
        <v>2012</v>
      </c>
      <c r="AP1436" s="167" t="str">
        <f t="shared" si="570"/>
        <v>2012</v>
      </c>
      <c r="AQ1436" s="169" t="str">
        <f t="shared" si="571"/>
        <v/>
      </c>
      <c r="AR1436" s="170" t="str">
        <f t="shared" si="572"/>
        <v>BiK82M2bK12y06</v>
      </c>
      <c r="AS1436" s="169" t="str">
        <f t="shared" si="573"/>
        <v/>
      </c>
      <c r="AT1436">
        <f t="shared" si="574"/>
        <v>14</v>
      </c>
      <c r="AU1436" s="170" t="str">
        <f t="shared" si="575"/>
        <v>0,15-0,5 MW, Bonusregeln M2, y, b und K erstmals 2012</v>
      </c>
      <c r="AV1436" s="169" t="str">
        <f t="shared" si="576"/>
        <v/>
      </c>
      <c r="AW1436" s="170" t="str">
        <f t="shared" si="577"/>
        <v>Anteil KWK, erstmals 2012</v>
      </c>
      <c r="AX1436" s="169" t="str">
        <f t="shared" si="578"/>
        <v/>
      </c>
      <c r="AY1436" t="str">
        <f t="shared" si="579"/>
        <v/>
      </c>
      <c r="AZ1436" t="str">
        <f t="shared" si="580"/>
        <v>x</v>
      </c>
    </row>
    <row r="1437" spans="1:52" s="145" customFormat="1" x14ac:dyDescent="0.35">
      <c r="A1437" s="497" t="s">
        <v>1218</v>
      </c>
      <c r="B1437" s="13" t="s">
        <v>5547</v>
      </c>
      <c r="C1437" s="13" t="s">
        <v>1296</v>
      </c>
      <c r="D1437" s="13" t="s">
        <v>7181</v>
      </c>
      <c r="E1437" s="13" t="s">
        <v>4809</v>
      </c>
      <c r="F1437" s="373">
        <f t="shared" si="587"/>
        <v>20.6</v>
      </c>
      <c r="G1437" s="430">
        <v>20.6</v>
      </c>
      <c r="H1437" s="399">
        <f t="shared" si="588"/>
        <v>16.48</v>
      </c>
      <c r="I1437" s="576"/>
      <c r="J1437" s="549" t="s">
        <v>5804</v>
      </c>
      <c r="K1437" s="11"/>
      <c r="L1437"/>
      <c r="M1437" s="37">
        <f t="shared" si="589"/>
        <v>20.6</v>
      </c>
      <c r="N1437" s="29">
        <v>9.6</v>
      </c>
      <c r="O1437" s="149"/>
      <c r="P1437" s="144"/>
      <c r="S1437" s="145" t="s">
        <v>4179</v>
      </c>
      <c r="T1437" s="145" t="s">
        <v>4179</v>
      </c>
      <c r="U1437" s="146"/>
      <c r="W1437" s="147"/>
      <c r="X1437" s="147"/>
      <c r="Z1437" s="147"/>
      <c r="AB1437" s="145" t="s">
        <v>1017</v>
      </c>
      <c r="AC1437" s="147"/>
      <c r="AE1437" s="148" t="s">
        <v>1017</v>
      </c>
      <c r="AF1437" s="147"/>
      <c r="AG1437" s="147"/>
      <c r="AH1437" s="166" t="str">
        <f t="shared" ref="AH1437:AH1442" si="597">IF(ISERROR(SEARCH("K erstmals 201",D1437)),"",RIGHT(D1437,4))</f>
        <v/>
      </c>
      <c r="AI1437" s="168" t="str">
        <f t="shared" si="582"/>
        <v/>
      </c>
      <c r="AJ1437" s="168" t="str">
        <f t="shared" si="583"/>
        <v/>
      </c>
      <c r="AK1437" s="168" t="str">
        <f t="shared" si="584"/>
        <v/>
      </c>
      <c r="AL1437" s="168" t="str">
        <f t="shared" si="585"/>
        <v/>
      </c>
      <c r="AM1437" s="168" t="str">
        <f t="shared" si="586"/>
        <v/>
      </c>
      <c r="AN1437" s="167" t="str">
        <f t="shared" si="568"/>
        <v/>
      </c>
      <c r="AO1437" s="167" t="str">
        <f t="shared" si="569"/>
        <v/>
      </c>
      <c r="AP1437" s="167" t="str">
        <f t="shared" si="570"/>
        <v/>
      </c>
      <c r="AQ1437" s="169" t="str">
        <f t="shared" si="571"/>
        <v/>
      </c>
      <c r="AR1437" s="170" t="str">
        <f t="shared" si="572"/>
        <v>BiK82Lb-----06</v>
      </c>
      <c r="AS1437" s="169" t="str">
        <f t="shared" si="573"/>
        <v/>
      </c>
      <c r="AT1437">
        <f t="shared" si="574"/>
        <v>14</v>
      </c>
      <c r="AU1437" s="170" t="str">
        <f t="shared" si="575"/>
        <v>0,15-0,5 MW, Bonusregeln L, b</v>
      </c>
      <c r="AV1437" s="169" t="str">
        <f t="shared" si="576"/>
        <v/>
      </c>
      <c r="AW1437" s="170" t="str">
        <f t="shared" si="577"/>
        <v>Anteil Nicht-KWK</v>
      </c>
      <c r="AX1437" s="169" t="str">
        <f t="shared" si="578"/>
        <v/>
      </c>
      <c r="AY1437" t="str">
        <f t="shared" si="579"/>
        <v/>
      </c>
      <c r="AZ1437" t="str">
        <f t="shared" si="580"/>
        <v/>
      </c>
    </row>
    <row r="1438" spans="1:52" s="145" customFormat="1" x14ac:dyDescent="0.35">
      <c r="A1438" s="497" t="s">
        <v>1219</v>
      </c>
      <c r="B1438" s="13" t="s">
        <v>5547</v>
      </c>
      <c r="C1438" s="13" t="s">
        <v>1296</v>
      </c>
      <c r="D1438" s="13" t="s">
        <v>7182</v>
      </c>
      <c r="E1438" s="13" t="s">
        <v>4811</v>
      </c>
      <c r="F1438" s="373">
        <f t="shared" si="587"/>
        <v>22.6</v>
      </c>
      <c r="G1438" s="430">
        <v>22.6</v>
      </c>
      <c r="H1438" s="399">
        <f t="shared" si="588"/>
        <v>18.079999999999998</v>
      </c>
      <c r="I1438" s="576"/>
      <c r="J1438" s="549" t="s">
        <v>5804</v>
      </c>
      <c r="K1438" s="11"/>
      <c r="L1438"/>
      <c r="M1438" s="37">
        <f t="shared" si="589"/>
        <v>22.6</v>
      </c>
      <c r="N1438" s="29">
        <v>9.6</v>
      </c>
      <c r="O1438" s="149" t="s">
        <v>1017</v>
      </c>
      <c r="P1438" s="144"/>
      <c r="S1438" s="145" t="s">
        <v>4179</v>
      </c>
      <c r="T1438" s="145" t="s">
        <v>4179</v>
      </c>
      <c r="U1438" s="146"/>
      <c r="W1438" s="147"/>
      <c r="X1438" s="147"/>
      <c r="Z1438" s="147"/>
      <c r="AB1438" s="145" t="s">
        <v>1017</v>
      </c>
      <c r="AC1438" s="147"/>
      <c r="AE1438" s="148" t="s">
        <v>1017</v>
      </c>
      <c r="AF1438" s="147"/>
      <c r="AG1438" s="147"/>
      <c r="AH1438" s="166" t="str">
        <f t="shared" si="597"/>
        <v/>
      </c>
      <c r="AI1438" s="168" t="str">
        <f t="shared" si="582"/>
        <v/>
      </c>
      <c r="AJ1438" s="168" t="str">
        <f t="shared" si="583"/>
        <v/>
      </c>
      <c r="AK1438" s="168" t="str">
        <f t="shared" si="584"/>
        <v/>
      </c>
      <c r="AL1438" s="168" t="str">
        <f t="shared" si="585"/>
        <v/>
      </c>
      <c r="AM1438" s="168" t="str">
        <f t="shared" si="586"/>
        <v/>
      </c>
      <c r="AN1438" s="167" t="str">
        <f t="shared" si="568"/>
        <v/>
      </c>
      <c r="AO1438" s="167" t="str">
        <f t="shared" si="569"/>
        <v/>
      </c>
      <c r="AP1438" s="167" t="str">
        <f t="shared" si="570"/>
        <v/>
      </c>
      <c r="AQ1438" s="169" t="str">
        <f t="shared" si="571"/>
        <v/>
      </c>
      <c r="AR1438" s="170" t="str">
        <f t="shared" si="572"/>
        <v>BiK82LbKWK--06</v>
      </c>
      <c r="AS1438" s="169" t="str">
        <f t="shared" si="573"/>
        <v/>
      </c>
      <c r="AT1438">
        <f t="shared" si="574"/>
        <v>14</v>
      </c>
      <c r="AU1438" s="170" t="str">
        <f t="shared" si="575"/>
        <v>0,15-0,5 MW, Bonusregeln L, b und KWK</v>
      </c>
      <c r="AV1438" s="169" t="str">
        <f t="shared" si="576"/>
        <v/>
      </c>
      <c r="AW1438" s="170" t="str">
        <f t="shared" si="577"/>
        <v>Anteil KWK</v>
      </c>
      <c r="AX1438" s="169" t="str">
        <f t="shared" si="578"/>
        <v/>
      </c>
      <c r="AY1438" t="str">
        <f t="shared" si="579"/>
        <v/>
      </c>
      <c r="AZ1438" t="str">
        <f t="shared" si="580"/>
        <v/>
      </c>
    </row>
    <row r="1439" spans="1:52" x14ac:dyDescent="0.35">
      <c r="A1439" s="497" t="s">
        <v>1220</v>
      </c>
      <c r="B1439" s="13" t="s">
        <v>5547</v>
      </c>
      <c r="C1439" s="13" t="s">
        <v>1296</v>
      </c>
      <c r="D1439" s="13" t="s">
        <v>7183</v>
      </c>
      <c r="E1439" s="13" t="s">
        <v>4330</v>
      </c>
      <c r="F1439" s="373">
        <f t="shared" si="587"/>
        <v>23.6</v>
      </c>
      <c r="G1439" s="430">
        <v>23.6</v>
      </c>
      <c r="H1439" s="399">
        <f t="shared" si="588"/>
        <v>18.88</v>
      </c>
      <c r="I1439" s="576"/>
      <c r="J1439" s="549" t="s">
        <v>5804</v>
      </c>
      <c r="K1439" s="11"/>
      <c r="M1439" s="37">
        <f t="shared" si="589"/>
        <v>23.6</v>
      </c>
      <c r="N1439" s="29">
        <v>9.6</v>
      </c>
      <c r="O1439" s="149"/>
      <c r="P1439" s="145" t="s">
        <v>1017</v>
      </c>
      <c r="Q1439" s="145"/>
      <c r="R1439" s="145"/>
      <c r="S1439" s="145" t="s">
        <v>4179</v>
      </c>
      <c r="T1439" t="s">
        <v>4179</v>
      </c>
      <c r="U1439" s="146"/>
      <c r="V1439" s="145"/>
      <c r="W1439" s="147"/>
      <c r="X1439" s="147"/>
      <c r="Y1439" s="145"/>
      <c r="Z1439" s="147"/>
      <c r="AA1439" s="145"/>
      <c r="AB1439" s="145" t="s">
        <v>1017</v>
      </c>
      <c r="AC1439" s="147"/>
      <c r="AD1439" s="145"/>
      <c r="AE1439" s="148" t="s">
        <v>1017</v>
      </c>
      <c r="AF1439" s="147"/>
      <c r="AG1439" s="147"/>
      <c r="AH1439" s="166" t="str">
        <f t="shared" si="597"/>
        <v/>
      </c>
      <c r="AI1439" s="168" t="str">
        <f t="shared" si="582"/>
        <v/>
      </c>
      <c r="AJ1439" s="168" t="str">
        <f t="shared" si="583"/>
        <v/>
      </c>
      <c r="AK1439" s="168" t="str">
        <f t="shared" si="584"/>
        <v/>
      </c>
      <c r="AL1439" s="168" t="str">
        <f t="shared" si="585"/>
        <v/>
      </c>
      <c r="AM1439" s="168" t="str">
        <f t="shared" si="586"/>
        <v/>
      </c>
      <c r="AN1439" s="167" t="str">
        <f t="shared" si="568"/>
        <v/>
      </c>
      <c r="AO1439" s="167" t="str">
        <f t="shared" si="569"/>
        <v/>
      </c>
      <c r="AP1439" s="167" t="str">
        <f t="shared" si="570"/>
        <v/>
      </c>
      <c r="AQ1439" s="169" t="str">
        <f t="shared" si="571"/>
        <v/>
      </c>
      <c r="AR1439" s="170" t="str">
        <f t="shared" si="572"/>
        <v>BiK82LbKA3--06</v>
      </c>
      <c r="AS1439" s="169" t="str">
        <f t="shared" si="573"/>
        <v/>
      </c>
      <c r="AT1439">
        <f t="shared" si="574"/>
        <v>14</v>
      </c>
      <c r="AU1439" s="170" t="str">
        <f t="shared" si="575"/>
        <v>0,15-0,5 MW, Bonusregeln L, b und K wenn Anlage 3 erfüllt</v>
      </c>
      <c r="AV1439" s="169" t="str">
        <f t="shared" si="576"/>
        <v/>
      </c>
      <c r="AW1439" s="170" t="str">
        <f t="shared" si="577"/>
        <v>Anteil KWK gemäß Anlage 3</v>
      </c>
      <c r="AX1439" s="169" t="str">
        <f t="shared" si="578"/>
        <v/>
      </c>
      <c r="AY1439" t="str">
        <f t="shared" si="579"/>
        <v/>
      </c>
      <c r="AZ1439" t="str">
        <f t="shared" si="580"/>
        <v/>
      </c>
    </row>
    <row r="1440" spans="1:52" x14ac:dyDescent="0.35">
      <c r="A1440" s="497" t="s">
        <v>1221</v>
      </c>
      <c r="B1440" s="13" t="s">
        <v>5547</v>
      </c>
      <c r="C1440" s="13" t="s">
        <v>1296</v>
      </c>
      <c r="D1440" s="13" t="s">
        <v>7184</v>
      </c>
      <c r="E1440" s="13" t="s">
        <v>674</v>
      </c>
      <c r="F1440" s="373">
        <f t="shared" si="587"/>
        <v>23.6</v>
      </c>
      <c r="G1440" s="430">
        <v>23.6</v>
      </c>
      <c r="H1440" s="399">
        <f t="shared" si="588"/>
        <v>18.88</v>
      </c>
      <c r="I1440" s="576"/>
      <c r="J1440" s="549" t="s">
        <v>5804</v>
      </c>
      <c r="K1440" s="11"/>
      <c r="M1440" s="37">
        <f t="shared" si="589"/>
        <v>23.6</v>
      </c>
      <c r="N1440" s="29">
        <v>9.6</v>
      </c>
      <c r="O1440" s="149"/>
      <c r="P1440" s="144"/>
      <c r="Q1440" s="145" t="s">
        <v>1017</v>
      </c>
      <c r="R1440" s="145"/>
      <c r="S1440" s="145" t="s">
        <v>4179</v>
      </c>
      <c r="T1440" t="s">
        <v>4179</v>
      </c>
      <c r="U1440" s="146"/>
      <c r="V1440" s="145"/>
      <c r="W1440" s="147"/>
      <c r="X1440" s="147"/>
      <c r="Y1440" s="145"/>
      <c r="Z1440" s="147"/>
      <c r="AA1440" s="145"/>
      <c r="AB1440" s="145" t="s">
        <v>1017</v>
      </c>
      <c r="AC1440" s="147"/>
      <c r="AD1440" s="145"/>
      <c r="AE1440" s="148" t="s">
        <v>1017</v>
      </c>
      <c r="AF1440" s="147"/>
      <c r="AG1440" s="147"/>
      <c r="AH1440" s="166" t="str">
        <f t="shared" si="597"/>
        <v/>
      </c>
      <c r="AI1440" s="168" t="str">
        <f t="shared" si="582"/>
        <v/>
      </c>
      <c r="AJ1440" s="168" t="str">
        <f t="shared" si="583"/>
        <v/>
      </c>
      <c r="AK1440" s="168" t="str">
        <f t="shared" si="584"/>
        <v/>
      </c>
      <c r="AL1440" s="168" t="str">
        <f t="shared" si="585"/>
        <v/>
      </c>
      <c r="AM1440" s="168" t="str">
        <f t="shared" si="586"/>
        <v/>
      </c>
      <c r="AN1440" s="167" t="str">
        <f t="shared" si="568"/>
        <v/>
      </c>
      <c r="AO1440" s="167" t="str">
        <f t="shared" si="569"/>
        <v/>
      </c>
      <c r="AP1440" s="167" t="str">
        <f t="shared" si="570"/>
        <v/>
      </c>
      <c r="AQ1440" s="169" t="str">
        <f t="shared" si="571"/>
        <v/>
      </c>
      <c r="AR1440" s="170" t="str">
        <f t="shared" si="572"/>
        <v>BiK82LbK09--06</v>
      </c>
      <c r="AS1440" s="169" t="str">
        <f t="shared" si="573"/>
        <v/>
      </c>
      <c r="AT1440">
        <f t="shared" si="574"/>
        <v>14</v>
      </c>
      <c r="AU1440" s="170" t="str">
        <f t="shared" si="575"/>
        <v>0,15-0,5 MW, Bonusregeln L, b und K erstmals 2009</v>
      </c>
      <c r="AV1440" s="169" t="str">
        <f t="shared" si="576"/>
        <v/>
      </c>
      <c r="AW1440" s="170" t="str">
        <f t="shared" si="577"/>
        <v>Anteil KWK, erstmals 2009</v>
      </c>
      <c r="AX1440" s="169" t="str">
        <f t="shared" si="578"/>
        <v/>
      </c>
      <c r="AY1440" t="str">
        <f t="shared" si="579"/>
        <v/>
      </c>
      <c r="AZ1440" t="str">
        <f t="shared" si="580"/>
        <v/>
      </c>
    </row>
    <row r="1441" spans="1:52" x14ac:dyDescent="0.35">
      <c r="A1441" s="497" t="s">
        <v>4928</v>
      </c>
      <c r="B1441" s="13" t="s">
        <v>5547</v>
      </c>
      <c r="C1441" s="13" t="s">
        <v>1296</v>
      </c>
      <c r="D1441" s="13" t="s">
        <v>7185</v>
      </c>
      <c r="E1441" s="13" t="s">
        <v>3566</v>
      </c>
      <c r="F1441" s="373">
        <f t="shared" si="587"/>
        <v>23.57</v>
      </c>
      <c r="G1441" s="430">
        <v>23.57</v>
      </c>
      <c r="H1441" s="399">
        <f t="shared" si="588"/>
        <v>18.86</v>
      </c>
      <c r="I1441" s="576"/>
      <c r="J1441" s="549" t="s">
        <v>5804</v>
      </c>
      <c r="K1441" s="11"/>
      <c r="M1441" s="37">
        <f t="shared" si="589"/>
        <v>23.57</v>
      </c>
      <c r="N1441" s="29">
        <v>9.6</v>
      </c>
      <c r="O1441" s="149"/>
      <c r="P1441" s="144"/>
      <c r="Q1441" s="145"/>
      <c r="R1441" s="145" t="s">
        <v>1017</v>
      </c>
      <c r="S1441" s="145" t="s">
        <v>4179</v>
      </c>
      <c r="T1441" t="s">
        <v>4179</v>
      </c>
      <c r="U1441" s="146"/>
      <c r="V1441" s="145"/>
      <c r="W1441" s="147"/>
      <c r="X1441" s="147"/>
      <c r="Y1441" s="145"/>
      <c r="Z1441" s="147"/>
      <c r="AA1441" s="145"/>
      <c r="AB1441" s="145" t="s">
        <v>1017</v>
      </c>
      <c r="AC1441" s="147"/>
      <c r="AD1441" s="145"/>
      <c r="AE1441" s="148" t="s">
        <v>1017</v>
      </c>
      <c r="AF1441" s="147"/>
      <c r="AG1441" s="147"/>
      <c r="AH1441" s="166" t="str">
        <f t="shared" si="597"/>
        <v>2010</v>
      </c>
      <c r="AI1441" s="168" t="str">
        <f t="shared" si="582"/>
        <v/>
      </c>
      <c r="AJ1441" s="168" t="str">
        <f t="shared" si="583"/>
        <v/>
      </c>
      <c r="AK1441" s="168" t="str">
        <f t="shared" si="584"/>
        <v/>
      </c>
      <c r="AL1441" s="168" t="str">
        <f t="shared" si="585"/>
        <v/>
      </c>
      <c r="AM1441" s="168" t="str">
        <f t="shared" si="586"/>
        <v/>
      </c>
      <c r="AN1441" s="167" t="str">
        <f t="shared" si="568"/>
        <v>2010</v>
      </c>
      <c r="AO1441" s="167" t="str">
        <f t="shared" si="569"/>
        <v>2010</v>
      </c>
      <c r="AP1441" s="167" t="str">
        <f t="shared" si="570"/>
        <v>2010</v>
      </c>
      <c r="AQ1441" s="169" t="str">
        <f t="shared" si="571"/>
        <v/>
      </c>
      <c r="AR1441" s="170" t="str">
        <f t="shared" si="572"/>
        <v>BiK82LbK10--06</v>
      </c>
      <c r="AS1441" s="169" t="str">
        <f t="shared" si="573"/>
        <v/>
      </c>
      <c r="AT1441">
        <f t="shared" si="574"/>
        <v>14</v>
      </c>
      <c r="AU1441" s="170" t="str">
        <f t="shared" si="575"/>
        <v>0,15-0,5 MW, Bonusregeln L, b und K erstmals 2010</v>
      </c>
      <c r="AV1441" s="169" t="str">
        <f t="shared" si="576"/>
        <v/>
      </c>
      <c r="AW1441" s="170" t="str">
        <f t="shared" si="577"/>
        <v>Anteil KWK, erstmals 2010</v>
      </c>
      <c r="AX1441" s="169" t="str">
        <f t="shared" si="578"/>
        <v/>
      </c>
      <c r="AY1441" t="str">
        <f t="shared" si="579"/>
        <v/>
      </c>
      <c r="AZ1441" t="str">
        <f t="shared" si="580"/>
        <v/>
      </c>
    </row>
    <row r="1442" spans="1:52" x14ac:dyDescent="0.35">
      <c r="A1442" s="497" t="s">
        <v>3975</v>
      </c>
      <c r="B1442" s="13" t="s">
        <v>5547</v>
      </c>
      <c r="C1442" s="13" t="s">
        <v>1296</v>
      </c>
      <c r="D1442" s="13" t="s">
        <v>7186</v>
      </c>
      <c r="E1442" s="13" t="s">
        <v>3054</v>
      </c>
      <c r="F1442" s="373">
        <f t="shared" si="587"/>
        <v>23.54</v>
      </c>
      <c r="G1442" s="430">
        <v>23.54</v>
      </c>
      <c r="H1442" s="399">
        <f t="shared" si="588"/>
        <v>18.829999999999998</v>
      </c>
      <c r="I1442" s="576"/>
      <c r="J1442" s="549" t="s">
        <v>5804</v>
      </c>
      <c r="K1442" s="11"/>
      <c r="M1442" s="37">
        <f t="shared" si="589"/>
        <v>23.54</v>
      </c>
      <c r="N1442" s="29">
        <v>9.6</v>
      </c>
      <c r="O1442" s="149"/>
      <c r="P1442" s="144"/>
      <c r="Q1442" s="145"/>
      <c r="R1442" s="145"/>
      <c r="S1442" s="145" t="s">
        <v>1017</v>
      </c>
      <c r="T1442" t="s">
        <v>4179</v>
      </c>
      <c r="U1442" s="146"/>
      <c r="V1442" s="145"/>
      <c r="W1442" s="147"/>
      <c r="X1442" s="147"/>
      <c r="Y1442" s="145"/>
      <c r="Z1442" s="147"/>
      <c r="AA1442" s="145"/>
      <c r="AB1442" s="145" t="s">
        <v>1017</v>
      </c>
      <c r="AC1442" s="147"/>
      <c r="AD1442" s="145"/>
      <c r="AE1442" s="148" t="s">
        <v>1017</v>
      </c>
      <c r="AF1442" s="147"/>
      <c r="AG1442" s="147"/>
      <c r="AH1442" s="166" t="str">
        <f t="shared" si="597"/>
        <v>2011</v>
      </c>
      <c r="AI1442" s="168" t="str">
        <f t="shared" si="582"/>
        <v/>
      </c>
      <c r="AJ1442" s="168" t="str">
        <f t="shared" si="583"/>
        <v/>
      </c>
      <c r="AK1442" s="168" t="str">
        <f t="shared" si="584"/>
        <v/>
      </c>
      <c r="AL1442" s="168" t="str">
        <f t="shared" si="585"/>
        <v/>
      </c>
      <c r="AM1442" s="168" t="str">
        <f t="shared" si="586"/>
        <v/>
      </c>
      <c r="AN1442" s="167" t="str">
        <f t="shared" si="568"/>
        <v>2011</v>
      </c>
      <c r="AO1442" s="167" t="str">
        <f t="shared" si="569"/>
        <v>2011</v>
      </c>
      <c r="AP1442" s="167" t="str">
        <f t="shared" si="570"/>
        <v>2011</v>
      </c>
      <c r="AQ1442" s="169" t="str">
        <f t="shared" si="571"/>
        <v/>
      </c>
      <c r="AR1442" s="170" t="str">
        <f t="shared" si="572"/>
        <v>BiK82LbK11--06</v>
      </c>
      <c r="AS1442" s="169" t="str">
        <f t="shared" si="573"/>
        <v/>
      </c>
      <c r="AT1442">
        <f t="shared" si="574"/>
        <v>14</v>
      </c>
      <c r="AU1442" s="170" t="str">
        <f t="shared" si="575"/>
        <v>0,15-0,5 MW, Bonusregeln L, b und K erstmals 2011</v>
      </c>
      <c r="AV1442" s="169" t="str">
        <f t="shared" si="576"/>
        <v/>
      </c>
      <c r="AW1442" s="170" t="str">
        <f t="shared" si="577"/>
        <v>Anteil KWK, erstmals 2011</v>
      </c>
      <c r="AX1442" s="169" t="str">
        <f t="shared" si="578"/>
        <v/>
      </c>
      <c r="AY1442" t="str">
        <f t="shared" si="579"/>
        <v>x</v>
      </c>
      <c r="AZ1442" t="str">
        <f t="shared" si="580"/>
        <v/>
      </c>
    </row>
    <row r="1443" spans="1:52" x14ac:dyDescent="0.35">
      <c r="A1443" s="511" t="s">
        <v>1798</v>
      </c>
      <c r="B1443" s="173" t="s">
        <v>5547</v>
      </c>
      <c r="C1443" s="173" t="s">
        <v>1296</v>
      </c>
      <c r="D1443" s="173" t="s">
        <v>7187</v>
      </c>
      <c r="E1443" s="173" t="s">
        <v>1980</v>
      </c>
      <c r="F1443" s="374">
        <f t="shared" si="587"/>
        <v>23.509999999999998</v>
      </c>
      <c r="G1443" s="431">
        <v>23.509999999999998</v>
      </c>
      <c r="H1443" s="400">
        <f t="shared" si="588"/>
        <v>18.809999999999999</v>
      </c>
      <c r="I1443" s="577"/>
      <c r="J1443" s="549" t="s">
        <v>5804</v>
      </c>
      <c r="K1443" s="11"/>
      <c r="M1443" s="37">
        <f t="shared" si="589"/>
        <v>23.509999999999998</v>
      </c>
      <c r="N1443" s="29">
        <v>9.6</v>
      </c>
      <c r="O1443" s="149"/>
      <c r="P1443" s="144"/>
      <c r="Q1443" s="145"/>
      <c r="R1443" s="145"/>
      <c r="S1443" s="145" t="s">
        <v>4179</v>
      </c>
      <c r="T1443" t="s">
        <v>1017</v>
      </c>
      <c r="U1443" s="146"/>
      <c r="V1443" s="145"/>
      <c r="W1443" s="147"/>
      <c r="X1443" s="147"/>
      <c r="Y1443" s="145"/>
      <c r="Z1443" s="147"/>
      <c r="AA1443" s="145"/>
      <c r="AB1443" s="145" t="s">
        <v>1017</v>
      </c>
      <c r="AC1443" s="147"/>
      <c r="AD1443" s="145"/>
      <c r="AE1443" s="148" t="s">
        <v>1017</v>
      </c>
      <c r="AF1443" s="147"/>
      <c r="AG1443" s="147"/>
      <c r="AH1443" s="171" t="s">
        <v>4178</v>
      </c>
      <c r="AI1443" s="168" t="str">
        <f t="shared" si="582"/>
        <v/>
      </c>
      <c r="AJ1443" s="168" t="str">
        <f t="shared" si="583"/>
        <v/>
      </c>
      <c r="AK1443" s="168" t="str">
        <f t="shared" si="584"/>
        <v/>
      </c>
      <c r="AL1443" s="168" t="str">
        <f t="shared" si="585"/>
        <v/>
      </c>
      <c r="AM1443" s="168" t="str">
        <f t="shared" si="586"/>
        <v/>
      </c>
      <c r="AN1443" s="167" t="str">
        <f t="shared" ref="AN1443:AN1506" si="598">IF(ISERROR(SEARCH("K1",A1443)),"","20"&amp;MID(A1443,SEARCH("K1",A1443)+1,2))</f>
        <v>2012</v>
      </c>
      <c r="AO1443" s="167" t="str">
        <f t="shared" ref="AO1443:AO1506" si="599">IF(ISERROR(SEARCH("erstmals 201",E1443)),"",MID(E1443,SEARCH("erstmals ",E1443)+9,4))</f>
        <v>2012</v>
      </c>
      <c r="AP1443" s="167" t="str">
        <f t="shared" ref="AP1443:AP1506" si="600">IF(R1443="x","2010",IF(S1443="x","2011",IF(T1443="x","2012","")))</f>
        <v>2012</v>
      </c>
      <c r="AQ1443" s="169" t="str">
        <f t="shared" ref="AQ1443:AQ1506" si="601">IF(OR(AH1443&lt;&gt;AN1443,AH1443&lt;&gt;AO1443,AH1443&lt;&gt;AP1443),"DIFF","")</f>
        <v/>
      </c>
      <c r="AR1443" s="170" t="str">
        <f t="shared" ref="AR1443:AR1506" si="602">IF(A1443="","",IF(ISERROR(SEARCH("K1",A1443)),A1443,LEFT(A1443,SEARCH("K1",A1443)+1)&amp;RIGHT(AH1443,1)&amp;MID(A1443,SEARCH("K1",A1443)+3,14)))</f>
        <v>BiK82LbK12--06</v>
      </c>
      <c r="AS1443" s="169" t="str">
        <f t="shared" ref="AS1443:AS1506" si="603">IF(OR(A1443&lt;&gt;AR1443),"DIFF","")</f>
        <v/>
      </c>
      <c r="AT1443">
        <f t="shared" ref="AT1443:AT1506" si="604">LEN(AR1443)</f>
        <v>14</v>
      </c>
      <c r="AU1443" s="170" t="str">
        <f t="shared" ref="AU1443:AU1506" si="605">IF(D1443="","",IF(OR(A1443="",ISERROR(SEARCH("erstmals 201",D1443))),D1443,LEFT(D1443,SEARCH("erstmals 201",D1443)+8) &amp; AH1443 &amp; MID(D1443,SEARCH("erstmals 201",D1443)+13,255)))</f>
        <v>0,15-0,5 MW, Bonusregeln L, b und K erstmals 2012</v>
      </c>
      <c r="AV1443" s="169" t="str">
        <f t="shared" ref="AV1443:AV1506" si="606">IF(OR(D1443&lt;&gt;AU1443),"DIFF","")</f>
        <v/>
      </c>
      <c r="AW1443" s="170" t="str">
        <f t="shared" ref="AW1443:AW1506" si="607">IF(E1443="","",IF(OR(E1443="",ISERROR(SEARCH("erstmals 201",E1443))),E1443,LEFT(E1443,SEARCH("erstmals 201",E1443)+8) &amp; AH1443 &amp; MID(E1443,SEARCH("erstmals 201",E1443)+13,255)))</f>
        <v>Anteil KWK, erstmals 2012</v>
      </c>
      <c r="AX1443" s="169" t="str">
        <f t="shared" ref="AX1443:AX1506" si="608">IF(OR(E1443&lt;&gt;AW1443),"DIFF","")</f>
        <v/>
      </c>
      <c r="AY1443" t="str">
        <f t="shared" ref="AY1443:AY1506" si="609">IF(AH1443="2011","x",IF(AH1443="2012","","" &amp; S1443))</f>
        <v/>
      </c>
      <c r="AZ1443" t="str">
        <f t="shared" ref="AZ1443:AZ1506" si="610">IF(AH1443="2012","x",IF(AH1443="2011","","" &amp; T1443))</f>
        <v>x</v>
      </c>
    </row>
    <row r="1444" spans="1:52" x14ac:dyDescent="0.35">
      <c r="A1444" s="497" t="s">
        <v>1222</v>
      </c>
      <c r="B1444" s="13" t="s">
        <v>5547</v>
      </c>
      <c r="C1444" s="13" t="s">
        <v>1296</v>
      </c>
      <c r="D1444" s="13" t="s">
        <v>7188</v>
      </c>
      <c r="E1444" s="13" t="s">
        <v>4809</v>
      </c>
      <c r="F1444" s="373">
        <f t="shared" si="587"/>
        <v>21.6</v>
      </c>
      <c r="G1444" s="430">
        <v>21.6</v>
      </c>
      <c r="H1444" s="399">
        <f t="shared" si="588"/>
        <v>17.28</v>
      </c>
      <c r="I1444" s="576"/>
      <c r="J1444" s="549" t="s">
        <v>5804</v>
      </c>
      <c r="K1444" s="11"/>
      <c r="M1444" s="37">
        <f t="shared" si="589"/>
        <v>21.6</v>
      </c>
      <c r="N1444" s="29">
        <v>9.6</v>
      </c>
      <c r="O1444" s="149"/>
      <c r="P1444" s="144"/>
      <c r="Q1444" s="145"/>
      <c r="R1444" s="145"/>
      <c r="S1444" s="145" t="s">
        <v>4179</v>
      </c>
      <c r="T1444" t="s">
        <v>4179</v>
      </c>
      <c r="U1444" s="146" t="s">
        <v>1017</v>
      </c>
      <c r="V1444" s="145"/>
      <c r="W1444" s="147"/>
      <c r="X1444" s="147"/>
      <c r="Y1444" s="145"/>
      <c r="Z1444" s="147"/>
      <c r="AA1444" s="145"/>
      <c r="AB1444" s="145" t="s">
        <v>1017</v>
      </c>
      <c r="AC1444" s="147"/>
      <c r="AD1444" s="145"/>
      <c r="AE1444" s="148" t="s">
        <v>1017</v>
      </c>
      <c r="AF1444" s="147"/>
      <c r="AG1444" s="147"/>
      <c r="AH1444" s="166" t="str">
        <f t="shared" ref="AH1444:AH1449" si="611">IF(ISERROR(SEARCH("K erstmals 201",D1444)),"",RIGHT(D1444,4))</f>
        <v/>
      </c>
      <c r="AI1444" s="168" t="str">
        <f t="shared" si="582"/>
        <v/>
      </c>
      <c r="AJ1444" s="168" t="str">
        <f t="shared" si="583"/>
        <v/>
      </c>
      <c r="AK1444" s="168" t="str">
        <f t="shared" si="584"/>
        <v/>
      </c>
      <c r="AL1444" s="168" t="str">
        <f t="shared" si="585"/>
        <v/>
      </c>
      <c r="AM1444" s="168" t="str">
        <f t="shared" si="586"/>
        <v/>
      </c>
      <c r="AN1444" s="167" t="str">
        <f t="shared" si="598"/>
        <v/>
      </c>
      <c r="AO1444" s="167" t="str">
        <f t="shared" si="599"/>
        <v/>
      </c>
      <c r="AP1444" s="167" t="str">
        <f t="shared" si="600"/>
        <v/>
      </c>
      <c r="AQ1444" s="169" t="str">
        <f t="shared" si="601"/>
        <v/>
      </c>
      <c r="AR1444" s="170" t="str">
        <f t="shared" si="602"/>
        <v>BiK82Lby----06</v>
      </c>
      <c r="AS1444" s="169" t="str">
        <f t="shared" si="603"/>
        <v/>
      </c>
      <c r="AT1444">
        <f t="shared" si="604"/>
        <v>14</v>
      </c>
      <c r="AU1444" s="170" t="str">
        <f t="shared" si="605"/>
        <v>0,15-0,5 MW, Bonusregeln L, y, b</v>
      </c>
      <c r="AV1444" s="169" t="str">
        <f t="shared" si="606"/>
        <v/>
      </c>
      <c r="AW1444" s="170" t="str">
        <f t="shared" si="607"/>
        <v>Anteil Nicht-KWK</v>
      </c>
      <c r="AX1444" s="169" t="str">
        <f t="shared" si="608"/>
        <v/>
      </c>
      <c r="AY1444" t="str">
        <f t="shared" si="609"/>
        <v/>
      </c>
      <c r="AZ1444" t="str">
        <f t="shared" si="610"/>
        <v/>
      </c>
    </row>
    <row r="1445" spans="1:52" x14ac:dyDescent="0.35">
      <c r="A1445" s="497" t="s">
        <v>1223</v>
      </c>
      <c r="B1445" s="13" t="s">
        <v>5547</v>
      </c>
      <c r="C1445" s="13" t="s">
        <v>1296</v>
      </c>
      <c r="D1445" s="13" t="s">
        <v>7189</v>
      </c>
      <c r="E1445" s="13" t="s">
        <v>4811</v>
      </c>
      <c r="F1445" s="373">
        <f t="shared" si="587"/>
        <v>23.6</v>
      </c>
      <c r="G1445" s="430">
        <v>23.6</v>
      </c>
      <c r="H1445" s="399">
        <f t="shared" si="588"/>
        <v>18.88</v>
      </c>
      <c r="I1445" s="576"/>
      <c r="J1445" s="549" t="s">
        <v>5804</v>
      </c>
      <c r="K1445" s="11"/>
      <c r="M1445" s="37">
        <f t="shared" si="589"/>
        <v>23.6</v>
      </c>
      <c r="N1445" s="29">
        <v>9.6</v>
      </c>
      <c r="O1445" s="149" t="s">
        <v>1017</v>
      </c>
      <c r="P1445" s="144"/>
      <c r="Q1445" s="145"/>
      <c r="R1445" s="145"/>
      <c r="S1445" s="145" t="s">
        <v>4179</v>
      </c>
      <c r="T1445" t="s">
        <v>4179</v>
      </c>
      <c r="U1445" s="146" t="s">
        <v>1017</v>
      </c>
      <c r="V1445" s="145"/>
      <c r="W1445" s="147"/>
      <c r="X1445" s="147"/>
      <c r="Y1445" s="145"/>
      <c r="Z1445" s="147"/>
      <c r="AA1445" s="145"/>
      <c r="AB1445" s="145" t="s">
        <v>1017</v>
      </c>
      <c r="AC1445" s="147"/>
      <c r="AD1445" s="145"/>
      <c r="AE1445" s="148" t="s">
        <v>1017</v>
      </c>
      <c r="AF1445" s="147"/>
      <c r="AG1445" s="147"/>
      <c r="AH1445" s="166" t="str">
        <f t="shared" si="611"/>
        <v/>
      </c>
      <c r="AI1445" s="168" t="str">
        <f t="shared" ref="AI1445:AI1508" si="612">IF(AND($AH1445&lt;&gt;"",AH1445 =AH1444),"Gleich","")</f>
        <v/>
      </c>
      <c r="AJ1445" s="168" t="str">
        <f t="shared" ref="AJ1445:AJ1511" si="613">IF(AND($AH1445&lt;&gt;"",A1445 =A1444),"Gleich","")</f>
        <v/>
      </c>
      <c r="AK1445" s="168" t="str">
        <f t="shared" ref="AK1445:AK1511" si="614">IF(AND($AH1445&lt;&gt;"",D1445 =D1444),"Gleich","")</f>
        <v/>
      </c>
      <c r="AL1445" s="168" t="str">
        <f t="shared" ref="AL1445:AL1511" si="615">IF(AND($AH1445&lt;&gt;"",E1445 =E1444),"Gleich","")</f>
        <v/>
      </c>
      <c r="AM1445" s="168" t="str">
        <f t="shared" ref="AM1445:AM1511" si="616">IF(AND($AH1445&lt;&gt;"",F1445 =F1444),"Gleich","")</f>
        <v/>
      </c>
      <c r="AN1445" s="167" t="str">
        <f t="shared" si="598"/>
        <v/>
      </c>
      <c r="AO1445" s="167" t="str">
        <f t="shared" si="599"/>
        <v/>
      </c>
      <c r="AP1445" s="167" t="str">
        <f t="shared" si="600"/>
        <v/>
      </c>
      <c r="AQ1445" s="169" t="str">
        <f t="shared" si="601"/>
        <v/>
      </c>
      <c r="AR1445" s="170" t="str">
        <f t="shared" si="602"/>
        <v>BiK82LbKWKy-06</v>
      </c>
      <c r="AS1445" s="169" t="str">
        <f t="shared" si="603"/>
        <v/>
      </c>
      <c r="AT1445">
        <f t="shared" si="604"/>
        <v>14</v>
      </c>
      <c r="AU1445" s="170" t="str">
        <f t="shared" si="605"/>
        <v>0,15-0,5 MW, Bonusregeln L, y, b und KWK</v>
      </c>
      <c r="AV1445" s="169" t="str">
        <f t="shared" si="606"/>
        <v/>
      </c>
      <c r="AW1445" s="170" t="str">
        <f t="shared" si="607"/>
        <v>Anteil KWK</v>
      </c>
      <c r="AX1445" s="169" t="str">
        <f t="shared" si="608"/>
        <v/>
      </c>
      <c r="AY1445" t="str">
        <f t="shared" si="609"/>
        <v/>
      </c>
      <c r="AZ1445" t="str">
        <f t="shared" si="610"/>
        <v/>
      </c>
    </row>
    <row r="1446" spans="1:52" x14ac:dyDescent="0.35">
      <c r="A1446" s="497" t="s">
        <v>1224</v>
      </c>
      <c r="B1446" s="13" t="s">
        <v>5547</v>
      </c>
      <c r="C1446" s="13" t="s">
        <v>1296</v>
      </c>
      <c r="D1446" s="88" t="s">
        <v>7190</v>
      </c>
      <c r="E1446" s="13" t="s">
        <v>4330</v>
      </c>
      <c r="F1446" s="373">
        <f t="shared" si="587"/>
        <v>24.6</v>
      </c>
      <c r="G1446" s="430">
        <v>24.6</v>
      </c>
      <c r="H1446" s="399">
        <f t="shared" si="588"/>
        <v>19.68</v>
      </c>
      <c r="I1446" s="576"/>
      <c r="J1446" s="549" t="s">
        <v>5804</v>
      </c>
      <c r="K1446" s="11"/>
      <c r="M1446" s="37">
        <f t="shared" si="589"/>
        <v>24.6</v>
      </c>
      <c r="N1446" s="29">
        <v>9.6</v>
      </c>
      <c r="O1446" s="149"/>
      <c r="P1446" s="145" t="s">
        <v>1017</v>
      </c>
      <c r="Q1446" s="145"/>
      <c r="R1446" s="145"/>
      <c r="S1446" s="145" t="s">
        <v>4179</v>
      </c>
      <c r="T1446" t="s">
        <v>4179</v>
      </c>
      <c r="U1446" s="146" t="s">
        <v>1017</v>
      </c>
      <c r="V1446" s="145"/>
      <c r="W1446" s="147"/>
      <c r="X1446" s="147"/>
      <c r="Y1446" s="145"/>
      <c r="Z1446" s="147"/>
      <c r="AA1446" s="145"/>
      <c r="AB1446" s="145" t="s">
        <v>1017</v>
      </c>
      <c r="AC1446" s="147"/>
      <c r="AD1446" s="145"/>
      <c r="AE1446" s="148" t="s">
        <v>1017</v>
      </c>
      <c r="AF1446" s="147"/>
      <c r="AG1446" s="147"/>
      <c r="AH1446" s="166" t="str">
        <f t="shared" si="611"/>
        <v/>
      </c>
      <c r="AI1446" s="168" t="str">
        <f t="shared" si="612"/>
        <v/>
      </c>
      <c r="AJ1446" s="168" t="str">
        <f t="shared" si="613"/>
        <v/>
      </c>
      <c r="AK1446" s="168" t="str">
        <f t="shared" si="614"/>
        <v/>
      </c>
      <c r="AL1446" s="168" t="str">
        <f t="shared" si="615"/>
        <v/>
      </c>
      <c r="AM1446" s="168" t="str">
        <f t="shared" si="616"/>
        <v/>
      </c>
      <c r="AN1446" s="167" t="str">
        <f t="shared" si="598"/>
        <v/>
      </c>
      <c r="AO1446" s="167" t="str">
        <f t="shared" si="599"/>
        <v/>
      </c>
      <c r="AP1446" s="167" t="str">
        <f t="shared" si="600"/>
        <v/>
      </c>
      <c r="AQ1446" s="169" t="str">
        <f t="shared" si="601"/>
        <v/>
      </c>
      <c r="AR1446" s="170" t="str">
        <f t="shared" si="602"/>
        <v>BiK82LbKA3y-06</v>
      </c>
      <c r="AS1446" s="169" t="str">
        <f t="shared" si="603"/>
        <v/>
      </c>
      <c r="AT1446">
        <f t="shared" si="604"/>
        <v>14</v>
      </c>
      <c r="AU1446" s="170" t="str">
        <f t="shared" si="605"/>
        <v>0,15-0,5 MW, Bonusregeln L, y, b und K wenn Anlage 3 erfüllt</v>
      </c>
      <c r="AV1446" s="169" t="str">
        <f t="shared" si="606"/>
        <v/>
      </c>
      <c r="AW1446" s="170" t="str">
        <f t="shared" si="607"/>
        <v>Anteil KWK gemäß Anlage 3</v>
      </c>
      <c r="AX1446" s="169" t="str">
        <f t="shared" si="608"/>
        <v/>
      </c>
      <c r="AY1446" t="str">
        <f t="shared" si="609"/>
        <v/>
      </c>
      <c r="AZ1446" t="str">
        <f t="shared" si="610"/>
        <v/>
      </c>
    </row>
    <row r="1447" spans="1:52" x14ac:dyDescent="0.35">
      <c r="A1447" s="497" t="s">
        <v>1225</v>
      </c>
      <c r="B1447" s="13" t="s">
        <v>5547</v>
      </c>
      <c r="C1447" s="13" t="s">
        <v>1296</v>
      </c>
      <c r="D1447" s="13" t="s">
        <v>7191</v>
      </c>
      <c r="E1447" s="13" t="s">
        <v>674</v>
      </c>
      <c r="F1447" s="373">
        <f t="shared" si="587"/>
        <v>24.6</v>
      </c>
      <c r="G1447" s="430">
        <v>24.6</v>
      </c>
      <c r="H1447" s="399">
        <f t="shared" si="588"/>
        <v>19.68</v>
      </c>
      <c r="I1447" s="576"/>
      <c r="J1447" s="549" t="s">
        <v>5804</v>
      </c>
      <c r="K1447" s="11"/>
      <c r="M1447" s="37">
        <f t="shared" si="589"/>
        <v>24.6</v>
      </c>
      <c r="N1447" s="29">
        <v>9.6</v>
      </c>
      <c r="O1447" s="149"/>
      <c r="P1447" s="144"/>
      <c r="Q1447" s="145" t="s">
        <v>1017</v>
      </c>
      <c r="R1447" s="145"/>
      <c r="S1447" s="145" t="s">
        <v>4179</v>
      </c>
      <c r="T1447" t="s">
        <v>4179</v>
      </c>
      <c r="U1447" s="146" t="s">
        <v>1017</v>
      </c>
      <c r="V1447" s="145"/>
      <c r="W1447" s="147"/>
      <c r="X1447" s="147"/>
      <c r="Y1447" s="145"/>
      <c r="Z1447" s="147"/>
      <c r="AA1447" s="145"/>
      <c r="AB1447" s="145" t="s">
        <v>1017</v>
      </c>
      <c r="AC1447" s="147"/>
      <c r="AD1447" s="145"/>
      <c r="AE1447" s="148" t="s">
        <v>1017</v>
      </c>
      <c r="AF1447" s="147"/>
      <c r="AG1447" s="147"/>
      <c r="AH1447" s="166" t="str">
        <f t="shared" si="611"/>
        <v/>
      </c>
      <c r="AI1447" s="168" t="str">
        <f t="shared" si="612"/>
        <v/>
      </c>
      <c r="AJ1447" s="168" t="str">
        <f t="shared" si="613"/>
        <v/>
      </c>
      <c r="AK1447" s="168" t="str">
        <f t="shared" si="614"/>
        <v/>
      </c>
      <c r="AL1447" s="168" t="str">
        <f t="shared" si="615"/>
        <v/>
      </c>
      <c r="AM1447" s="168" t="str">
        <f t="shared" si="616"/>
        <v/>
      </c>
      <c r="AN1447" s="167" t="str">
        <f t="shared" si="598"/>
        <v/>
      </c>
      <c r="AO1447" s="167" t="str">
        <f t="shared" si="599"/>
        <v/>
      </c>
      <c r="AP1447" s="167" t="str">
        <f t="shared" si="600"/>
        <v/>
      </c>
      <c r="AQ1447" s="169" t="str">
        <f t="shared" si="601"/>
        <v/>
      </c>
      <c r="AR1447" s="170" t="str">
        <f t="shared" si="602"/>
        <v>BiK82LbK09y-06</v>
      </c>
      <c r="AS1447" s="169" t="str">
        <f t="shared" si="603"/>
        <v/>
      </c>
      <c r="AT1447">
        <f t="shared" si="604"/>
        <v>14</v>
      </c>
      <c r="AU1447" s="170" t="str">
        <f t="shared" si="605"/>
        <v>0,15-0,5 MW, Bonusregeln L, y, b und K erstmals 2009</v>
      </c>
      <c r="AV1447" s="169" t="str">
        <f t="shared" si="606"/>
        <v/>
      </c>
      <c r="AW1447" s="170" t="str">
        <f t="shared" si="607"/>
        <v>Anteil KWK, erstmals 2009</v>
      </c>
      <c r="AX1447" s="169" t="str">
        <f t="shared" si="608"/>
        <v/>
      </c>
      <c r="AY1447" t="str">
        <f t="shared" si="609"/>
        <v/>
      </c>
      <c r="AZ1447" t="str">
        <f t="shared" si="610"/>
        <v/>
      </c>
    </row>
    <row r="1448" spans="1:52" x14ac:dyDescent="0.35">
      <c r="A1448" s="497" t="s">
        <v>4929</v>
      </c>
      <c r="B1448" s="13" t="s">
        <v>5547</v>
      </c>
      <c r="C1448" s="13" t="s">
        <v>1296</v>
      </c>
      <c r="D1448" s="13" t="s">
        <v>7192</v>
      </c>
      <c r="E1448" s="13" t="s">
        <v>3566</v>
      </c>
      <c r="F1448" s="373">
        <f t="shared" si="587"/>
        <v>24.57</v>
      </c>
      <c r="G1448" s="430">
        <v>24.57</v>
      </c>
      <c r="H1448" s="399">
        <f t="shared" si="588"/>
        <v>19.66</v>
      </c>
      <c r="I1448" s="576"/>
      <c r="J1448" s="549" t="s">
        <v>5804</v>
      </c>
      <c r="K1448" s="11"/>
      <c r="M1448" s="37">
        <f t="shared" si="589"/>
        <v>24.57</v>
      </c>
      <c r="N1448" s="29">
        <v>9.6</v>
      </c>
      <c r="O1448" s="149"/>
      <c r="P1448" s="144"/>
      <c r="Q1448" s="145"/>
      <c r="R1448" s="145" t="s">
        <v>1017</v>
      </c>
      <c r="S1448" s="145" t="s">
        <v>4179</v>
      </c>
      <c r="T1448" t="s">
        <v>4179</v>
      </c>
      <c r="U1448" s="146" t="s">
        <v>1017</v>
      </c>
      <c r="V1448" s="145"/>
      <c r="W1448" s="147"/>
      <c r="X1448" s="147"/>
      <c r="Y1448" s="145"/>
      <c r="Z1448" s="147"/>
      <c r="AA1448" s="145"/>
      <c r="AB1448" s="145" t="s">
        <v>1017</v>
      </c>
      <c r="AC1448" s="147"/>
      <c r="AD1448" s="145"/>
      <c r="AE1448" s="148" t="s">
        <v>1017</v>
      </c>
      <c r="AF1448" s="147"/>
      <c r="AG1448" s="147"/>
      <c r="AH1448" s="166" t="str">
        <f t="shared" si="611"/>
        <v>2010</v>
      </c>
      <c r="AI1448" s="168" t="str">
        <f t="shared" si="612"/>
        <v/>
      </c>
      <c r="AJ1448" s="168" t="str">
        <f t="shared" si="613"/>
        <v/>
      </c>
      <c r="AK1448" s="168" t="str">
        <f t="shared" si="614"/>
        <v/>
      </c>
      <c r="AL1448" s="168" t="str">
        <f t="shared" si="615"/>
        <v/>
      </c>
      <c r="AM1448" s="168" t="str">
        <f t="shared" si="616"/>
        <v/>
      </c>
      <c r="AN1448" s="167" t="str">
        <f t="shared" si="598"/>
        <v>2010</v>
      </c>
      <c r="AO1448" s="167" t="str">
        <f t="shared" si="599"/>
        <v>2010</v>
      </c>
      <c r="AP1448" s="167" t="str">
        <f t="shared" si="600"/>
        <v>2010</v>
      </c>
      <c r="AQ1448" s="169" t="str">
        <f t="shared" si="601"/>
        <v/>
      </c>
      <c r="AR1448" s="170" t="str">
        <f t="shared" si="602"/>
        <v>BiK82LbK10y-06</v>
      </c>
      <c r="AS1448" s="169" t="str">
        <f t="shared" si="603"/>
        <v/>
      </c>
      <c r="AT1448">
        <f t="shared" si="604"/>
        <v>14</v>
      </c>
      <c r="AU1448" s="170" t="str">
        <f t="shared" si="605"/>
        <v>0,15-0,5 MW, Bonusregeln L, y, b und K erstmals 2010</v>
      </c>
      <c r="AV1448" s="169" t="str">
        <f t="shared" si="606"/>
        <v/>
      </c>
      <c r="AW1448" s="170" t="str">
        <f t="shared" si="607"/>
        <v>Anteil KWK, erstmals 2010</v>
      </c>
      <c r="AX1448" s="169" t="str">
        <f t="shared" si="608"/>
        <v/>
      </c>
      <c r="AY1448" t="str">
        <f t="shared" si="609"/>
        <v/>
      </c>
      <c r="AZ1448" t="str">
        <f t="shared" si="610"/>
        <v/>
      </c>
    </row>
    <row r="1449" spans="1:52" x14ac:dyDescent="0.35">
      <c r="A1449" s="497" t="s">
        <v>3976</v>
      </c>
      <c r="B1449" s="13" t="s">
        <v>5547</v>
      </c>
      <c r="C1449" s="13" t="s">
        <v>1296</v>
      </c>
      <c r="D1449" s="13" t="s">
        <v>7193</v>
      </c>
      <c r="E1449" s="13" t="s">
        <v>3054</v>
      </c>
      <c r="F1449" s="373">
        <f t="shared" ref="F1449:F1511" si="617">M1449</f>
        <v>24.54</v>
      </c>
      <c r="G1449" s="430">
        <v>24.54</v>
      </c>
      <c r="H1449" s="399">
        <f t="shared" ref="H1449:H1512" si="618">IF(ISNUMBER(G1449),ROUND(0.8*G1449,2),"")</f>
        <v>19.63</v>
      </c>
      <c r="I1449" s="576"/>
      <c r="J1449" s="549" t="s">
        <v>5804</v>
      </c>
      <c r="K1449" s="11"/>
      <c r="M1449" s="37">
        <f t="shared" ref="M1449:M1511" si="619">N1449+SUMIF(O1449:AG1449,"x",O$1128:AG$1128)</f>
        <v>24.54</v>
      </c>
      <c r="N1449" s="29">
        <v>9.6</v>
      </c>
      <c r="O1449" s="149"/>
      <c r="P1449" s="144"/>
      <c r="Q1449" s="145"/>
      <c r="R1449" s="145"/>
      <c r="S1449" s="145" t="s">
        <v>1017</v>
      </c>
      <c r="T1449" t="s">
        <v>4179</v>
      </c>
      <c r="U1449" s="146" t="s">
        <v>1017</v>
      </c>
      <c r="V1449" s="145"/>
      <c r="W1449" s="147"/>
      <c r="X1449" s="147"/>
      <c r="Y1449" s="145"/>
      <c r="Z1449" s="147"/>
      <c r="AA1449" s="145"/>
      <c r="AB1449" s="145" t="s">
        <v>1017</v>
      </c>
      <c r="AC1449" s="147"/>
      <c r="AD1449" s="145"/>
      <c r="AE1449" s="148" t="s">
        <v>1017</v>
      </c>
      <c r="AF1449" s="147"/>
      <c r="AG1449" s="147"/>
      <c r="AH1449" s="166" t="str">
        <f t="shared" si="611"/>
        <v>2011</v>
      </c>
      <c r="AI1449" s="168" t="str">
        <f t="shared" si="612"/>
        <v/>
      </c>
      <c r="AJ1449" s="168" t="str">
        <f t="shared" si="613"/>
        <v/>
      </c>
      <c r="AK1449" s="168" t="str">
        <f t="shared" si="614"/>
        <v/>
      </c>
      <c r="AL1449" s="168" t="str">
        <f t="shared" si="615"/>
        <v/>
      </c>
      <c r="AM1449" s="168" t="str">
        <f t="shared" si="616"/>
        <v/>
      </c>
      <c r="AN1449" s="167" t="str">
        <f t="shared" si="598"/>
        <v>2011</v>
      </c>
      <c r="AO1449" s="167" t="str">
        <f t="shared" si="599"/>
        <v>2011</v>
      </c>
      <c r="AP1449" s="167" t="str">
        <f t="shared" si="600"/>
        <v>2011</v>
      </c>
      <c r="AQ1449" s="169" t="str">
        <f t="shared" si="601"/>
        <v/>
      </c>
      <c r="AR1449" s="170" t="str">
        <f t="shared" si="602"/>
        <v>BiK82LbK11y-06</v>
      </c>
      <c r="AS1449" s="169" t="str">
        <f t="shared" si="603"/>
        <v/>
      </c>
      <c r="AT1449">
        <f t="shared" si="604"/>
        <v>14</v>
      </c>
      <c r="AU1449" s="170" t="str">
        <f t="shared" si="605"/>
        <v>0,15-0,5 MW, Bonusregeln L, y, b und K erstmals 2011</v>
      </c>
      <c r="AV1449" s="169" t="str">
        <f t="shared" si="606"/>
        <v/>
      </c>
      <c r="AW1449" s="170" t="str">
        <f t="shared" si="607"/>
        <v>Anteil KWK, erstmals 2011</v>
      </c>
      <c r="AX1449" s="169" t="str">
        <f t="shared" si="608"/>
        <v/>
      </c>
      <c r="AY1449" t="str">
        <f t="shared" si="609"/>
        <v>x</v>
      </c>
      <c r="AZ1449" t="str">
        <f t="shared" si="610"/>
        <v/>
      </c>
    </row>
    <row r="1450" spans="1:52" x14ac:dyDescent="0.35">
      <c r="A1450" s="511" t="s">
        <v>1799</v>
      </c>
      <c r="B1450" s="173" t="s">
        <v>5547</v>
      </c>
      <c r="C1450" s="173" t="s">
        <v>1296</v>
      </c>
      <c r="D1450" s="173" t="s">
        <v>7194</v>
      </c>
      <c r="E1450" s="173" t="s">
        <v>1980</v>
      </c>
      <c r="F1450" s="374">
        <f t="shared" si="617"/>
        <v>24.509999999999998</v>
      </c>
      <c r="G1450" s="431">
        <v>24.509999999999998</v>
      </c>
      <c r="H1450" s="400">
        <f t="shared" si="618"/>
        <v>19.61</v>
      </c>
      <c r="I1450" s="577"/>
      <c r="J1450" s="549" t="s">
        <v>5804</v>
      </c>
      <c r="K1450" s="11"/>
      <c r="M1450" s="37">
        <f t="shared" si="619"/>
        <v>24.509999999999998</v>
      </c>
      <c r="N1450" s="29">
        <v>9.6</v>
      </c>
      <c r="O1450" s="149"/>
      <c r="P1450" s="144"/>
      <c r="Q1450" s="145"/>
      <c r="R1450" s="145"/>
      <c r="S1450" s="145" t="s">
        <v>4179</v>
      </c>
      <c r="T1450" t="s">
        <v>1017</v>
      </c>
      <c r="U1450" s="146" t="s">
        <v>1017</v>
      </c>
      <c r="V1450" s="145"/>
      <c r="W1450" s="147"/>
      <c r="X1450" s="147"/>
      <c r="Y1450" s="145"/>
      <c r="Z1450" s="147"/>
      <c r="AA1450" s="145"/>
      <c r="AB1450" s="145" t="s">
        <v>1017</v>
      </c>
      <c r="AC1450" s="147"/>
      <c r="AD1450" s="145"/>
      <c r="AE1450" s="148" t="s">
        <v>1017</v>
      </c>
      <c r="AF1450" s="147"/>
      <c r="AG1450" s="147"/>
      <c r="AH1450" s="171" t="s">
        <v>4178</v>
      </c>
      <c r="AI1450" s="168" t="str">
        <f t="shared" si="612"/>
        <v/>
      </c>
      <c r="AJ1450" s="168" t="str">
        <f t="shared" si="613"/>
        <v/>
      </c>
      <c r="AK1450" s="168" t="str">
        <f t="shared" si="614"/>
        <v/>
      </c>
      <c r="AL1450" s="168" t="str">
        <f t="shared" si="615"/>
        <v/>
      </c>
      <c r="AM1450" s="168" t="str">
        <f t="shared" si="616"/>
        <v/>
      </c>
      <c r="AN1450" s="167" t="str">
        <f t="shared" si="598"/>
        <v>2012</v>
      </c>
      <c r="AO1450" s="167" t="str">
        <f t="shared" si="599"/>
        <v>2012</v>
      </c>
      <c r="AP1450" s="167" t="str">
        <f t="shared" si="600"/>
        <v>2012</v>
      </c>
      <c r="AQ1450" s="169" t="str">
        <f t="shared" si="601"/>
        <v/>
      </c>
      <c r="AR1450" s="170" t="str">
        <f t="shared" si="602"/>
        <v>BiK82LbK12y-06</v>
      </c>
      <c r="AS1450" s="169" t="str">
        <f t="shared" si="603"/>
        <v/>
      </c>
      <c r="AT1450">
        <f t="shared" si="604"/>
        <v>14</v>
      </c>
      <c r="AU1450" s="170" t="str">
        <f t="shared" si="605"/>
        <v>0,15-0,5 MW, Bonusregeln L, y, b und K erstmals 2012</v>
      </c>
      <c r="AV1450" s="169" t="str">
        <f t="shared" si="606"/>
        <v/>
      </c>
      <c r="AW1450" s="170" t="str">
        <f t="shared" si="607"/>
        <v>Anteil KWK, erstmals 2012</v>
      </c>
      <c r="AX1450" s="169" t="str">
        <f t="shared" si="608"/>
        <v/>
      </c>
      <c r="AY1450" t="str">
        <f t="shared" si="609"/>
        <v/>
      </c>
      <c r="AZ1450" t="str">
        <f t="shared" si="610"/>
        <v>x</v>
      </c>
    </row>
    <row r="1451" spans="1:52" x14ac:dyDescent="0.35">
      <c r="A1451" s="497" t="s">
        <v>4419</v>
      </c>
      <c r="B1451" s="13" t="s">
        <v>5547</v>
      </c>
      <c r="C1451" s="13" t="s">
        <v>1296</v>
      </c>
      <c r="D1451" s="13" t="s">
        <v>7195</v>
      </c>
      <c r="E1451" s="13" t="s">
        <v>4809</v>
      </c>
      <c r="F1451" s="373">
        <f t="shared" si="617"/>
        <v>21.6</v>
      </c>
      <c r="G1451" s="430">
        <v>21.6</v>
      </c>
      <c r="H1451" s="399">
        <f t="shared" si="618"/>
        <v>17.28</v>
      </c>
      <c r="I1451" s="576"/>
      <c r="J1451" s="549" t="s">
        <v>5804</v>
      </c>
      <c r="K1451" s="11"/>
      <c r="M1451" s="37">
        <f t="shared" si="619"/>
        <v>21.6</v>
      </c>
      <c r="N1451" s="29">
        <v>9.6</v>
      </c>
      <c r="O1451" s="149"/>
      <c r="P1451" s="144"/>
      <c r="Q1451" s="145"/>
      <c r="R1451" s="145"/>
      <c r="S1451" s="145" t="s">
        <v>4179</v>
      </c>
      <c r="T1451" t="s">
        <v>4179</v>
      </c>
      <c r="U1451" s="146"/>
      <c r="V1451" s="145"/>
      <c r="W1451" s="147"/>
      <c r="X1451" s="147"/>
      <c r="Y1451" s="145"/>
      <c r="Z1451" s="147"/>
      <c r="AA1451" s="145"/>
      <c r="AB1451" s="145"/>
      <c r="AC1451" s="147"/>
      <c r="AD1451" s="145" t="s">
        <v>1017</v>
      </c>
      <c r="AE1451" s="148" t="s">
        <v>1017</v>
      </c>
      <c r="AF1451" s="147"/>
      <c r="AG1451" s="147"/>
      <c r="AH1451" s="166" t="str">
        <f t="shared" ref="AH1451:AH1456" si="620">IF(ISERROR(SEARCH("K erstmals 201",D1451)),"",RIGHT(D1451,4))</f>
        <v/>
      </c>
      <c r="AI1451" s="168" t="str">
        <f t="shared" si="612"/>
        <v/>
      </c>
      <c r="AJ1451" s="168" t="str">
        <f t="shared" si="613"/>
        <v/>
      </c>
      <c r="AK1451" s="168" t="str">
        <f t="shared" si="614"/>
        <v/>
      </c>
      <c r="AL1451" s="168" t="str">
        <f t="shared" si="615"/>
        <v/>
      </c>
      <c r="AM1451" s="168" t="str">
        <f t="shared" si="616"/>
        <v/>
      </c>
      <c r="AN1451" s="167" t="str">
        <f t="shared" si="598"/>
        <v/>
      </c>
      <c r="AO1451" s="167" t="str">
        <f t="shared" si="599"/>
        <v/>
      </c>
      <c r="AP1451" s="167" t="str">
        <f t="shared" si="600"/>
        <v/>
      </c>
      <c r="AQ1451" s="169" t="str">
        <f t="shared" si="601"/>
        <v/>
      </c>
      <c r="AR1451" s="170" t="str">
        <f t="shared" si="602"/>
        <v>BiK82X2b----06</v>
      </c>
      <c r="AS1451" s="169" t="str">
        <f t="shared" si="603"/>
        <v/>
      </c>
      <c r="AT1451">
        <f t="shared" si="604"/>
        <v>14</v>
      </c>
      <c r="AU1451" s="170" t="str">
        <f t="shared" si="605"/>
        <v>0,15-0,5 MW, Bonusregeln X2, b</v>
      </c>
      <c r="AV1451" s="169" t="str">
        <f t="shared" si="606"/>
        <v/>
      </c>
      <c r="AW1451" s="170" t="str">
        <f t="shared" si="607"/>
        <v>Anteil Nicht-KWK</v>
      </c>
      <c r="AX1451" s="169" t="str">
        <f t="shared" si="608"/>
        <v/>
      </c>
      <c r="AY1451" t="str">
        <f t="shared" si="609"/>
        <v/>
      </c>
      <c r="AZ1451" t="str">
        <f t="shared" si="610"/>
        <v/>
      </c>
    </row>
    <row r="1452" spans="1:52" x14ac:dyDescent="0.35">
      <c r="A1452" s="497" t="s">
        <v>4420</v>
      </c>
      <c r="B1452" s="13" t="s">
        <v>5547</v>
      </c>
      <c r="C1452" s="13" t="s">
        <v>1296</v>
      </c>
      <c r="D1452" s="13" t="s">
        <v>7196</v>
      </c>
      <c r="E1452" s="13" t="s">
        <v>4811</v>
      </c>
      <c r="F1452" s="373">
        <f t="shared" si="617"/>
        <v>23.6</v>
      </c>
      <c r="G1452" s="430">
        <v>23.6</v>
      </c>
      <c r="H1452" s="399">
        <f t="shared" si="618"/>
        <v>18.88</v>
      </c>
      <c r="I1452" s="576"/>
      <c r="J1452" s="549" t="s">
        <v>5804</v>
      </c>
      <c r="K1452" s="11"/>
      <c r="M1452" s="37">
        <f t="shared" si="619"/>
        <v>23.6</v>
      </c>
      <c r="N1452" s="29">
        <v>9.6</v>
      </c>
      <c r="O1452" s="149" t="s">
        <v>1017</v>
      </c>
      <c r="P1452" s="144"/>
      <c r="Q1452" s="145"/>
      <c r="R1452" s="145"/>
      <c r="S1452" s="145" t="s">
        <v>4179</v>
      </c>
      <c r="T1452" t="s">
        <v>4179</v>
      </c>
      <c r="U1452" s="146"/>
      <c r="V1452" s="145"/>
      <c r="W1452" s="147"/>
      <c r="X1452" s="147"/>
      <c r="Y1452" s="145"/>
      <c r="Z1452" s="147"/>
      <c r="AA1452" s="145"/>
      <c r="AB1452" s="145"/>
      <c r="AC1452" s="147"/>
      <c r="AD1452" s="145" t="s">
        <v>1017</v>
      </c>
      <c r="AE1452" s="148" t="s">
        <v>1017</v>
      </c>
      <c r="AF1452" s="147"/>
      <c r="AG1452" s="147"/>
      <c r="AH1452" s="166" t="str">
        <f t="shared" si="620"/>
        <v/>
      </c>
      <c r="AI1452" s="168" t="str">
        <f t="shared" si="612"/>
        <v/>
      </c>
      <c r="AJ1452" s="168" t="str">
        <f t="shared" si="613"/>
        <v/>
      </c>
      <c r="AK1452" s="168" t="str">
        <f t="shared" si="614"/>
        <v/>
      </c>
      <c r="AL1452" s="168" t="str">
        <f t="shared" si="615"/>
        <v/>
      </c>
      <c r="AM1452" s="168" t="str">
        <f t="shared" si="616"/>
        <v/>
      </c>
      <c r="AN1452" s="167" t="str">
        <f t="shared" si="598"/>
        <v/>
      </c>
      <c r="AO1452" s="167" t="str">
        <f t="shared" si="599"/>
        <v/>
      </c>
      <c r="AP1452" s="167" t="str">
        <f t="shared" si="600"/>
        <v/>
      </c>
      <c r="AQ1452" s="169" t="str">
        <f t="shared" si="601"/>
        <v/>
      </c>
      <c r="AR1452" s="170" t="str">
        <f t="shared" si="602"/>
        <v>BiK82X2bKWK-06</v>
      </c>
      <c r="AS1452" s="169" t="str">
        <f t="shared" si="603"/>
        <v/>
      </c>
      <c r="AT1452">
        <f t="shared" si="604"/>
        <v>14</v>
      </c>
      <c r="AU1452" s="170" t="str">
        <f t="shared" si="605"/>
        <v>0,15-0,5 MW, Bonusregeln X2, b und KWK</v>
      </c>
      <c r="AV1452" s="169" t="str">
        <f t="shared" si="606"/>
        <v/>
      </c>
      <c r="AW1452" s="170" t="str">
        <f t="shared" si="607"/>
        <v>Anteil KWK</v>
      </c>
      <c r="AX1452" s="169" t="str">
        <f t="shared" si="608"/>
        <v/>
      </c>
      <c r="AY1452" t="str">
        <f t="shared" si="609"/>
        <v/>
      </c>
      <c r="AZ1452" t="str">
        <f t="shared" si="610"/>
        <v/>
      </c>
    </row>
    <row r="1453" spans="1:52" x14ac:dyDescent="0.35">
      <c r="A1453" s="497" t="s">
        <v>4421</v>
      </c>
      <c r="B1453" s="13" t="s">
        <v>5547</v>
      </c>
      <c r="C1453" s="13" t="s">
        <v>1296</v>
      </c>
      <c r="D1453" s="13" t="s">
        <v>7197</v>
      </c>
      <c r="E1453" s="13" t="s">
        <v>4330</v>
      </c>
      <c r="F1453" s="373">
        <f t="shared" si="617"/>
        <v>24.6</v>
      </c>
      <c r="G1453" s="430">
        <v>24.6</v>
      </c>
      <c r="H1453" s="399">
        <f t="shared" si="618"/>
        <v>19.68</v>
      </c>
      <c r="I1453" s="576"/>
      <c r="J1453" s="549" t="s">
        <v>5804</v>
      </c>
      <c r="K1453" s="11"/>
      <c r="M1453" s="37">
        <f t="shared" si="619"/>
        <v>24.6</v>
      </c>
      <c r="N1453" s="29">
        <v>9.6</v>
      </c>
      <c r="O1453" s="149"/>
      <c r="P1453" s="145" t="s">
        <v>1017</v>
      </c>
      <c r="Q1453" s="145"/>
      <c r="R1453" s="145"/>
      <c r="S1453" s="145" t="s">
        <v>4179</v>
      </c>
      <c r="T1453" t="s">
        <v>4179</v>
      </c>
      <c r="U1453" s="146"/>
      <c r="V1453" s="145"/>
      <c r="W1453" s="147"/>
      <c r="X1453" s="147"/>
      <c r="Y1453" s="145"/>
      <c r="Z1453" s="147"/>
      <c r="AA1453" s="145"/>
      <c r="AB1453" s="145"/>
      <c r="AC1453" s="147"/>
      <c r="AD1453" s="145" t="s">
        <v>1017</v>
      </c>
      <c r="AE1453" s="148" t="s">
        <v>1017</v>
      </c>
      <c r="AF1453" s="147"/>
      <c r="AG1453" s="147"/>
      <c r="AH1453" s="166" t="str">
        <f t="shared" si="620"/>
        <v/>
      </c>
      <c r="AI1453" s="168" t="str">
        <f t="shared" si="612"/>
        <v/>
      </c>
      <c r="AJ1453" s="168" t="str">
        <f t="shared" si="613"/>
        <v/>
      </c>
      <c r="AK1453" s="168" t="str">
        <f t="shared" si="614"/>
        <v/>
      </c>
      <c r="AL1453" s="168" t="str">
        <f t="shared" si="615"/>
        <v/>
      </c>
      <c r="AM1453" s="168" t="str">
        <f t="shared" si="616"/>
        <v/>
      </c>
      <c r="AN1453" s="167" t="str">
        <f t="shared" si="598"/>
        <v/>
      </c>
      <c r="AO1453" s="167" t="str">
        <f t="shared" si="599"/>
        <v/>
      </c>
      <c r="AP1453" s="167" t="str">
        <f t="shared" si="600"/>
        <v/>
      </c>
      <c r="AQ1453" s="169" t="str">
        <f t="shared" si="601"/>
        <v/>
      </c>
      <c r="AR1453" s="170" t="str">
        <f t="shared" si="602"/>
        <v>BiK82X2bKA3-06</v>
      </c>
      <c r="AS1453" s="169" t="str">
        <f t="shared" si="603"/>
        <v/>
      </c>
      <c r="AT1453">
        <f t="shared" si="604"/>
        <v>14</v>
      </c>
      <c r="AU1453" s="170" t="str">
        <f t="shared" si="605"/>
        <v>0,15-0,5 MW, Bonusregeln X2, b und K wenn Anlage 3 erfüllt</v>
      </c>
      <c r="AV1453" s="169" t="str">
        <f t="shared" si="606"/>
        <v/>
      </c>
      <c r="AW1453" s="170" t="str">
        <f t="shared" si="607"/>
        <v>Anteil KWK gemäß Anlage 3</v>
      </c>
      <c r="AX1453" s="169" t="str">
        <f t="shared" si="608"/>
        <v/>
      </c>
      <c r="AY1453" t="str">
        <f t="shared" si="609"/>
        <v/>
      </c>
      <c r="AZ1453" t="str">
        <f t="shared" si="610"/>
        <v/>
      </c>
    </row>
    <row r="1454" spans="1:52" x14ac:dyDescent="0.35">
      <c r="A1454" s="497" t="s">
        <v>4422</v>
      </c>
      <c r="B1454" s="13" t="s">
        <v>5547</v>
      </c>
      <c r="C1454" s="13" t="s">
        <v>1296</v>
      </c>
      <c r="D1454" s="13" t="s">
        <v>7198</v>
      </c>
      <c r="E1454" s="13" t="s">
        <v>674</v>
      </c>
      <c r="F1454" s="373">
        <f t="shared" si="617"/>
        <v>24.6</v>
      </c>
      <c r="G1454" s="430">
        <v>24.6</v>
      </c>
      <c r="H1454" s="399">
        <f t="shared" si="618"/>
        <v>19.68</v>
      </c>
      <c r="I1454" s="576"/>
      <c r="J1454" s="549" t="s">
        <v>5804</v>
      </c>
      <c r="K1454" s="11"/>
      <c r="M1454" s="37">
        <f t="shared" si="619"/>
        <v>24.6</v>
      </c>
      <c r="N1454" s="29">
        <v>9.6</v>
      </c>
      <c r="O1454" s="149"/>
      <c r="P1454" s="144"/>
      <c r="Q1454" s="145" t="s">
        <v>1017</v>
      </c>
      <c r="R1454" s="145"/>
      <c r="S1454" s="145" t="s">
        <v>4179</v>
      </c>
      <c r="T1454" t="s">
        <v>4179</v>
      </c>
      <c r="U1454" s="146"/>
      <c r="V1454" s="145"/>
      <c r="W1454" s="147"/>
      <c r="X1454" s="147"/>
      <c r="Y1454" s="145"/>
      <c r="Z1454" s="147"/>
      <c r="AA1454" s="145"/>
      <c r="AB1454" s="145"/>
      <c r="AC1454" s="147"/>
      <c r="AD1454" s="145" t="s">
        <v>1017</v>
      </c>
      <c r="AE1454" s="148" t="s">
        <v>1017</v>
      </c>
      <c r="AF1454" s="147"/>
      <c r="AG1454" s="147"/>
      <c r="AH1454" s="166" t="str">
        <f t="shared" si="620"/>
        <v/>
      </c>
      <c r="AI1454" s="168" t="str">
        <f t="shared" si="612"/>
        <v/>
      </c>
      <c r="AJ1454" s="168" t="str">
        <f t="shared" si="613"/>
        <v/>
      </c>
      <c r="AK1454" s="168" t="str">
        <f t="shared" si="614"/>
        <v/>
      </c>
      <c r="AL1454" s="168" t="str">
        <f t="shared" si="615"/>
        <v/>
      </c>
      <c r="AM1454" s="168" t="str">
        <f t="shared" si="616"/>
        <v/>
      </c>
      <c r="AN1454" s="167" t="str">
        <f t="shared" si="598"/>
        <v/>
      </c>
      <c r="AO1454" s="167" t="str">
        <f t="shared" si="599"/>
        <v/>
      </c>
      <c r="AP1454" s="167" t="str">
        <f t="shared" si="600"/>
        <v/>
      </c>
      <c r="AQ1454" s="169" t="str">
        <f t="shared" si="601"/>
        <v/>
      </c>
      <c r="AR1454" s="170" t="str">
        <f t="shared" si="602"/>
        <v>BiK82X2bK09-06</v>
      </c>
      <c r="AS1454" s="169" t="str">
        <f t="shared" si="603"/>
        <v/>
      </c>
      <c r="AT1454">
        <f t="shared" si="604"/>
        <v>14</v>
      </c>
      <c r="AU1454" s="170" t="str">
        <f t="shared" si="605"/>
        <v>0,15-0,5 MW, Bonusregeln X2, b und K erstmals 2009</v>
      </c>
      <c r="AV1454" s="169" t="str">
        <f t="shared" si="606"/>
        <v/>
      </c>
      <c r="AW1454" s="170" t="str">
        <f t="shared" si="607"/>
        <v>Anteil KWK, erstmals 2009</v>
      </c>
      <c r="AX1454" s="169" t="str">
        <f t="shared" si="608"/>
        <v/>
      </c>
      <c r="AY1454" t="str">
        <f t="shared" si="609"/>
        <v/>
      </c>
      <c r="AZ1454" t="str">
        <f t="shared" si="610"/>
        <v/>
      </c>
    </row>
    <row r="1455" spans="1:52" x14ac:dyDescent="0.35">
      <c r="A1455" s="497" t="s">
        <v>4930</v>
      </c>
      <c r="B1455" s="13" t="s">
        <v>5547</v>
      </c>
      <c r="C1455" s="13" t="s">
        <v>1296</v>
      </c>
      <c r="D1455" s="13" t="s">
        <v>7199</v>
      </c>
      <c r="E1455" s="13" t="s">
        <v>3566</v>
      </c>
      <c r="F1455" s="373">
        <f t="shared" si="617"/>
        <v>24.57</v>
      </c>
      <c r="G1455" s="430">
        <v>24.57</v>
      </c>
      <c r="H1455" s="399">
        <f t="shared" si="618"/>
        <v>19.66</v>
      </c>
      <c r="I1455" s="576"/>
      <c r="J1455" s="549" t="s">
        <v>5804</v>
      </c>
      <c r="K1455" s="11"/>
      <c r="M1455" s="37">
        <f t="shared" si="619"/>
        <v>24.57</v>
      </c>
      <c r="N1455" s="29">
        <v>9.6</v>
      </c>
      <c r="O1455" s="149"/>
      <c r="P1455" s="144"/>
      <c r="Q1455" s="145"/>
      <c r="R1455" s="145" t="s">
        <v>1017</v>
      </c>
      <c r="S1455" s="145" t="s">
        <v>4179</v>
      </c>
      <c r="T1455" t="s">
        <v>4179</v>
      </c>
      <c r="U1455" s="146"/>
      <c r="V1455" s="145"/>
      <c r="W1455" s="147"/>
      <c r="X1455" s="147"/>
      <c r="Y1455" s="145"/>
      <c r="Z1455" s="147"/>
      <c r="AA1455" s="145"/>
      <c r="AB1455" s="145"/>
      <c r="AC1455" s="147"/>
      <c r="AD1455" s="145" t="s">
        <v>1017</v>
      </c>
      <c r="AE1455" s="148" t="s">
        <v>1017</v>
      </c>
      <c r="AF1455" s="147"/>
      <c r="AG1455" s="147"/>
      <c r="AH1455" s="166" t="str">
        <f t="shared" si="620"/>
        <v>2010</v>
      </c>
      <c r="AI1455" s="168" t="str">
        <f t="shared" si="612"/>
        <v/>
      </c>
      <c r="AJ1455" s="168" t="str">
        <f t="shared" si="613"/>
        <v/>
      </c>
      <c r="AK1455" s="168" t="str">
        <f t="shared" si="614"/>
        <v/>
      </c>
      <c r="AL1455" s="168" t="str">
        <f t="shared" si="615"/>
        <v/>
      </c>
      <c r="AM1455" s="168" t="str">
        <f t="shared" si="616"/>
        <v/>
      </c>
      <c r="AN1455" s="167" t="str">
        <f t="shared" si="598"/>
        <v>2010</v>
      </c>
      <c r="AO1455" s="167" t="str">
        <f t="shared" si="599"/>
        <v>2010</v>
      </c>
      <c r="AP1455" s="167" t="str">
        <f t="shared" si="600"/>
        <v>2010</v>
      </c>
      <c r="AQ1455" s="169" t="str">
        <f t="shared" si="601"/>
        <v/>
      </c>
      <c r="AR1455" s="170" t="str">
        <f t="shared" si="602"/>
        <v>BiK82X2bK10-06</v>
      </c>
      <c r="AS1455" s="169" t="str">
        <f t="shared" si="603"/>
        <v/>
      </c>
      <c r="AT1455">
        <f t="shared" si="604"/>
        <v>14</v>
      </c>
      <c r="AU1455" s="170" t="str">
        <f t="shared" si="605"/>
        <v>0,15-0,5 MW, Bonusregeln X2, b und K erstmals 2010</v>
      </c>
      <c r="AV1455" s="169" t="str">
        <f t="shared" si="606"/>
        <v/>
      </c>
      <c r="AW1455" s="170" t="str">
        <f t="shared" si="607"/>
        <v>Anteil KWK, erstmals 2010</v>
      </c>
      <c r="AX1455" s="169" t="str">
        <f t="shared" si="608"/>
        <v/>
      </c>
      <c r="AY1455" t="str">
        <f t="shared" si="609"/>
        <v/>
      </c>
      <c r="AZ1455" t="str">
        <f t="shared" si="610"/>
        <v/>
      </c>
    </row>
    <row r="1456" spans="1:52" x14ac:dyDescent="0.35">
      <c r="A1456" s="497" t="s">
        <v>3977</v>
      </c>
      <c r="B1456" s="13" t="s">
        <v>5547</v>
      </c>
      <c r="C1456" s="13" t="s">
        <v>1296</v>
      </c>
      <c r="D1456" s="13" t="s">
        <v>7200</v>
      </c>
      <c r="E1456" s="13" t="s">
        <v>3054</v>
      </c>
      <c r="F1456" s="373">
        <f t="shared" si="617"/>
        <v>24.54</v>
      </c>
      <c r="G1456" s="430">
        <v>24.54</v>
      </c>
      <c r="H1456" s="399">
        <f t="shared" si="618"/>
        <v>19.63</v>
      </c>
      <c r="I1456" s="576"/>
      <c r="J1456" s="549" t="s">
        <v>5804</v>
      </c>
      <c r="K1456" s="11"/>
      <c r="M1456" s="37">
        <f t="shared" si="619"/>
        <v>24.54</v>
      </c>
      <c r="N1456" s="29">
        <v>9.6</v>
      </c>
      <c r="O1456" s="149"/>
      <c r="P1456" s="144"/>
      <c r="Q1456" s="145"/>
      <c r="R1456" s="145"/>
      <c r="S1456" s="145" t="s">
        <v>1017</v>
      </c>
      <c r="T1456" t="s">
        <v>4179</v>
      </c>
      <c r="U1456" s="146"/>
      <c r="V1456" s="145"/>
      <c r="W1456" s="147"/>
      <c r="X1456" s="147"/>
      <c r="Y1456" s="145"/>
      <c r="Z1456" s="147"/>
      <c r="AA1456" s="145"/>
      <c r="AB1456" s="145"/>
      <c r="AC1456" s="147"/>
      <c r="AD1456" s="145" t="s">
        <v>1017</v>
      </c>
      <c r="AE1456" s="148" t="s">
        <v>1017</v>
      </c>
      <c r="AF1456" s="147"/>
      <c r="AG1456" s="147"/>
      <c r="AH1456" s="166" t="str">
        <f t="shared" si="620"/>
        <v>2011</v>
      </c>
      <c r="AI1456" s="168" t="str">
        <f t="shared" si="612"/>
        <v/>
      </c>
      <c r="AJ1456" s="168" t="str">
        <f t="shared" si="613"/>
        <v/>
      </c>
      <c r="AK1456" s="168" t="str">
        <f t="shared" si="614"/>
        <v/>
      </c>
      <c r="AL1456" s="168" t="str">
        <f t="shared" si="615"/>
        <v/>
      </c>
      <c r="AM1456" s="168" t="str">
        <f t="shared" si="616"/>
        <v/>
      </c>
      <c r="AN1456" s="167" t="str">
        <f t="shared" si="598"/>
        <v>2011</v>
      </c>
      <c r="AO1456" s="167" t="str">
        <f t="shared" si="599"/>
        <v>2011</v>
      </c>
      <c r="AP1456" s="167" t="str">
        <f t="shared" si="600"/>
        <v>2011</v>
      </c>
      <c r="AQ1456" s="169" t="str">
        <f t="shared" si="601"/>
        <v/>
      </c>
      <c r="AR1456" s="170" t="str">
        <f t="shared" si="602"/>
        <v>BiK82X2bK11-06</v>
      </c>
      <c r="AS1456" s="169" t="str">
        <f t="shared" si="603"/>
        <v/>
      </c>
      <c r="AT1456">
        <f t="shared" si="604"/>
        <v>14</v>
      </c>
      <c r="AU1456" s="170" t="str">
        <f t="shared" si="605"/>
        <v>0,15-0,5 MW, Bonusregeln X2, b und K erstmals 2011</v>
      </c>
      <c r="AV1456" s="169" t="str">
        <f t="shared" si="606"/>
        <v/>
      </c>
      <c r="AW1456" s="170" t="str">
        <f t="shared" si="607"/>
        <v>Anteil KWK, erstmals 2011</v>
      </c>
      <c r="AX1456" s="169" t="str">
        <f t="shared" si="608"/>
        <v/>
      </c>
      <c r="AY1456" t="str">
        <f t="shared" si="609"/>
        <v>x</v>
      </c>
      <c r="AZ1456" t="str">
        <f t="shared" si="610"/>
        <v/>
      </c>
    </row>
    <row r="1457" spans="1:52" x14ac:dyDescent="0.35">
      <c r="A1457" s="511" t="s">
        <v>1800</v>
      </c>
      <c r="B1457" s="173" t="s">
        <v>5547</v>
      </c>
      <c r="C1457" s="173" t="s">
        <v>1296</v>
      </c>
      <c r="D1457" s="173" t="s">
        <v>7201</v>
      </c>
      <c r="E1457" s="173" t="s">
        <v>1980</v>
      </c>
      <c r="F1457" s="374">
        <f t="shared" si="617"/>
        <v>24.509999999999998</v>
      </c>
      <c r="G1457" s="431">
        <v>24.509999999999998</v>
      </c>
      <c r="H1457" s="400">
        <f t="shared" si="618"/>
        <v>19.61</v>
      </c>
      <c r="I1457" s="577"/>
      <c r="J1457" s="549" t="s">
        <v>5804</v>
      </c>
      <c r="K1457" s="11"/>
      <c r="M1457" s="37">
        <f t="shared" si="619"/>
        <v>24.509999999999998</v>
      </c>
      <c r="N1457" s="29">
        <v>9.6</v>
      </c>
      <c r="O1457" s="149"/>
      <c r="P1457" s="144"/>
      <c r="Q1457" s="145"/>
      <c r="R1457" s="145"/>
      <c r="S1457" s="145" t="s">
        <v>4179</v>
      </c>
      <c r="T1457" t="s">
        <v>1017</v>
      </c>
      <c r="U1457" s="146"/>
      <c r="V1457" s="145"/>
      <c r="W1457" s="147"/>
      <c r="X1457" s="147"/>
      <c r="Y1457" s="145"/>
      <c r="Z1457" s="147"/>
      <c r="AA1457" s="145"/>
      <c r="AB1457" s="145"/>
      <c r="AC1457" s="147"/>
      <c r="AD1457" s="145" t="s">
        <v>1017</v>
      </c>
      <c r="AE1457" s="148" t="s">
        <v>1017</v>
      </c>
      <c r="AF1457" s="147"/>
      <c r="AG1457" s="147"/>
      <c r="AH1457" s="171" t="s">
        <v>4178</v>
      </c>
      <c r="AI1457" s="168" t="str">
        <f t="shared" si="612"/>
        <v/>
      </c>
      <c r="AJ1457" s="168" t="str">
        <f t="shared" si="613"/>
        <v/>
      </c>
      <c r="AK1457" s="168" t="str">
        <f t="shared" si="614"/>
        <v/>
      </c>
      <c r="AL1457" s="168" t="str">
        <f t="shared" si="615"/>
        <v/>
      </c>
      <c r="AM1457" s="168" t="str">
        <f t="shared" si="616"/>
        <v/>
      </c>
      <c r="AN1457" s="167" t="str">
        <f t="shared" si="598"/>
        <v>2012</v>
      </c>
      <c r="AO1457" s="167" t="str">
        <f t="shared" si="599"/>
        <v>2012</v>
      </c>
      <c r="AP1457" s="167" t="str">
        <f t="shared" si="600"/>
        <v>2012</v>
      </c>
      <c r="AQ1457" s="169" t="str">
        <f t="shared" si="601"/>
        <v/>
      </c>
      <c r="AR1457" s="170" t="str">
        <f t="shared" si="602"/>
        <v>BiK82X2bK12-06</v>
      </c>
      <c r="AS1457" s="169" t="str">
        <f t="shared" si="603"/>
        <v/>
      </c>
      <c r="AT1457">
        <f t="shared" si="604"/>
        <v>14</v>
      </c>
      <c r="AU1457" s="170" t="str">
        <f t="shared" si="605"/>
        <v>0,15-0,5 MW, Bonusregeln X2, b und K erstmals 2012</v>
      </c>
      <c r="AV1457" s="169" t="str">
        <f t="shared" si="606"/>
        <v/>
      </c>
      <c r="AW1457" s="170" t="str">
        <f t="shared" si="607"/>
        <v>Anteil KWK, erstmals 2012</v>
      </c>
      <c r="AX1457" s="169" t="str">
        <f t="shared" si="608"/>
        <v/>
      </c>
      <c r="AY1457" t="str">
        <f t="shared" si="609"/>
        <v/>
      </c>
      <c r="AZ1457" t="str">
        <f t="shared" si="610"/>
        <v>x</v>
      </c>
    </row>
    <row r="1458" spans="1:52" x14ac:dyDescent="0.35">
      <c r="A1458" s="497" t="s">
        <v>4423</v>
      </c>
      <c r="B1458" s="13" t="s">
        <v>5547</v>
      </c>
      <c r="C1458" s="13" t="s">
        <v>1296</v>
      </c>
      <c r="D1458" s="13" t="s">
        <v>7202</v>
      </c>
      <c r="E1458" s="13" t="s">
        <v>4809</v>
      </c>
      <c r="F1458" s="373">
        <f t="shared" si="617"/>
        <v>22.6</v>
      </c>
      <c r="G1458" s="430">
        <v>22.6</v>
      </c>
      <c r="H1458" s="399">
        <f t="shared" si="618"/>
        <v>18.079999999999998</v>
      </c>
      <c r="I1458" s="576"/>
      <c r="J1458" s="549" t="s">
        <v>5804</v>
      </c>
      <c r="K1458" s="11"/>
      <c r="M1458" s="37">
        <f t="shared" si="619"/>
        <v>22.6</v>
      </c>
      <c r="N1458" s="29">
        <v>9.6</v>
      </c>
      <c r="O1458" s="149"/>
      <c r="P1458" s="144"/>
      <c r="Q1458" s="145"/>
      <c r="R1458" s="145"/>
      <c r="S1458" s="145" t="s">
        <v>4179</v>
      </c>
      <c r="T1458" t="s">
        <v>4179</v>
      </c>
      <c r="U1458" s="146" t="s">
        <v>1017</v>
      </c>
      <c r="V1458" s="145"/>
      <c r="W1458" s="147"/>
      <c r="X1458" s="147"/>
      <c r="Y1458" s="145"/>
      <c r="Z1458" s="147"/>
      <c r="AA1458" s="145"/>
      <c r="AB1458" s="145"/>
      <c r="AC1458" s="147"/>
      <c r="AD1458" s="145" t="s">
        <v>1017</v>
      </c>
      <c r="AE1458" s="148" t="s">
        <v>1017</v>
      </c>
      <c r="AF1458" s="147"/>
      <c r="AG1458" s="147"/>
      <c r="AH1458" s="166" t="str">
        <f t="shared" ref="AH1458:AH1463" si="621">IF(ISERROR(SEARCH("K erstmals 201",D1458)),"",RIGHT(D1458,4))</f>
        <v/>
      </c>
      <c r="AI1458" s="168" t="str">
        <f t="shared" si="612"/>
        <v/>
      </c>
      <c r="AJ1458" s="168" t="str">
        <f t="shared" si="613"/>
        <v/>
      </c>
      <c r="AK1458" s="168" t="str">
        <f t="shared" si="614"/>
        <v/>
      </c>
      <c r="AL1458" s="168" t="str">
        <f t="shared" si="615"/>
        <v/>
      </c>
      <c r="AM1458" s="168" t="str">
        <f t="shared" si="616"/>
        <v/>
      </c>
      <c r="AN1458" s="167" t="str">
        <f t="shared" si="598"/>
        <v/>
      </c>
      <c r="AO1458" s="167" t="str">
        <f t="shared" si="599"/>
        <v/>
      </c>
      <c r="AP1458" s="167" t="str">
        <f t="shared" si="600"/>
        <v/>
      </c>
      <c r="AQ1458" s="169" t="str">
        <f t="shared" si="601"/>
        <v/>
      </c>
      <c r="AR1458" s="170" t="str">
        <f t="shared" si="602"/>
        <v>BiK82X2by---06</v>
      </c>
      <c r="AS1458" s="169" t="str">
        <f t="shared" si="603"/>
        <v/>
      </c>
      <c r="AT1458">
        <f t="shared" si="604"/>
        <v>14</v>
      </c>
      <c r="AU1458" s="170" t="str">
        <f t="shared" si="605"/>
        <v>0,15-0,5 MW, Bonusregeln X2, y, b</v>
      </c>
      <c r="AV1458" s="169" t="str">
        <f t="shared" si="606"/>
        <v/>
      </c>
      <c r="AW1458" s="170" t="str">
        <f t="shared" si="607"/>
        <v>Anteil Nicht-KWK</v>
      </c>
      <c r="AX1458" s="169" t="str">
        <f t="shared" si="608"/>
        <v/>
      </c>
      <c r="AY1458" t="str">
        <f t="shared" si="609"/>
        <v/>
      </c>
      <c r="AZ1458" t="str">
        <f t="shared" si="610"/>
        <v/>
      </c>
    </row>
    <row r="1459" spans="1:52" x14ac:dyDescent="0.35">
      <c r="A1459" s="497" t="s">
        <v>4424</v>
      </c>
      <c r="B1459" s="13" t="s">
        <v>5547</v>
      </c>
      <c r="C1459" s="13" t="s">
        <v>1296</v>
      </c>
      <c r="D1459" s="13" t="s">
        <v>7203</v>
      </c>
      <c r="E1459" s="13" t="s">
        <v>4811</v>
      </c>
      <c r="F1459" s="373">
        <f t="shared" si="617"/>
        <v>24.6</v>
      </c>
      <c r="G1459" s="430">
        <v>24.6</v>
      </c>
      <c r="H1459" s="399">
        <f t="shared" si="618"/>
        <v>19.68</v>
      </c>
      <c r="I1459" s="576"/>
      <c r="J1459" s="549" t="s">
        <v>5804</v>
      </c>
      <c r="K1459" s="11"/>
      <c r="M1459" s="37">
        <f t="shared" si="619"/>
        <v>24.6</v>
      </c>
      <c r="N1459" s="29">
        <v>9.6</v>
      </c>
      <c r="O1459" s="149" t="s">
        <v>1017</v>
      </c>
      <c r="P1459" s="144"/>
      <c r="Q1459" s="145"/>
      <c r="R1459" s="145"/>
      <c r="S1459" s="145" t="s">
        <v>4179</v>
      </c>
      <c r="T1459" t="s">
        <v>4179</v>
      </c>
      <c r="U1459" s="146" t="s">
        <v>1017</v>
      </c>
      <c r="V1459" s="145"/>
      <c r="W1459" s="147"/>
      <c r="X1459" s="147"/>
      <c r="Y1459" s="145"/>
      <c r="Z1459" s="147"/>
      <c r="AA1459" s="145"/>
      <c r="AB1459" s="145"/>
      <c r="AC1459" s="147"/>
      <c r="AD1459" s="145" t="s">
        <v>1017</v>
      </c>
      <c r="AE1459" s="148" t="s">
        <v>1017</v>
      </c>
      <c r="AF1459" s="147"/>
      <c r="AG1459" s="147"/>
      <c r="AH1459" s="166" t="str">
        <f t="shared" si="621"/>
        <v/>
      </c>
      <c r="AI1459" s="168" t="str">
        <f t="shared" si="612"/>
        <v/>
      </c>
      <c r="AJ1459" s="168" t="str">
        <f t="shared" si="613"/>
        <v/>
      </c>
      <c r="AK1459" s="168" t="str">
        <f t="shared" si="614"/>
        <v/>
      </c>
      <c r="AL1459" s="168" t="str">
        <f t="shared" si="615"/>
        <v/>
      </c>
      <c r="AM1459" s="168" t="str">
        <f t="shared" si="616"/>
        <v/>
      </c>
      <c r="AN1459" s="167" t="str">
        <f t="shared" si="598"/>
        <v/>
      </c>
      <c r="AO1459" s="167" t="str">
        <f t="shared" si="599"/>
        <v/>
      </c>
      <c r="AP1459" s="167" t="str">
        <f t="shared" si="600"/>
        <v/>
      </c>
      <c r="AQ1459" s="169" t="str">
        <f t="shared" si="601"/>
        <v/>
      </c>
      <c r="AR1459" s="170" t="str">
        <f t="shared" si="602"/>
        <v>BiK82X2bKWKy06</v>
      </c>
      <c r="AS1459" s="169" t="str">
        <f t="shared" si="603"/>
        <v/>
      </c>
      <c r="AT1459">
        <f t="shared" si="604"/>
        <v>14</v>
      </c>
      <c r="AU1459" s="170" t="str">
        <f t="shared" si="605"/>
        <v>0,15-0,5 MW, Bonusregeln X2, y, b und KWK</v>
      </c>
      <c r="AV1459" s="169" t="str">
        <f t="shared" si="606"/>
        <v/>
      </c>
      <c r="AW1459" s="170" t="str">
        <f t="shared" si="607"/>
        <v>Anteil KWK</v>
      </c>
      <c r="AX1459" s="169" t="str">
        <f t="shared" si="608"/>
        <v/>
      </c>
      <c r="AY1459" t="str">
        <f t="shared" si="609"/>
        <v/>
      </c>
      <c r="AZ1459" t="str">
        <f t="shared" si="610"/>
        <v/>
      </c>
    </row>
    <row r="1460" spans="1:52" x14ac:dyDescent="0.35">
      <c r="A1460" s="497" t="s">
        <v>4425</v>
      </c>
      <c r="B1460" s="13" t="s">
        <v>5547</v>
      </c>
      <c r="C1460" s="13" t="s">
        <v>1296</v>
      </c>
      <c r="D1460" s="88" t="s">
        <v>7204</v>
      </c>
      <c r="E1460" s="13" t="s">
        <v>4330</v>
      </c>
      <c r="F1460" s="373">
        <f t="shared" si="617"/>
        <v>25.6</v>
      </c>
      <c r="G1460" s="430">
        <v>25.6</v>
      </c>
      <c r="H1460" s="399">
        <f t="shared" si="618"/>
        <v>20.48</v>
      </c>
      <c r="I1460" s="576"/>
      <c r="J1460" s="549" t="s">
        <v>5804</v>
      </c>
      <c r="K1460" s="11"/>
      <c r="M1460" s="37">
        <f t="shared" si="619"/>
        <v>25.6</v>
      </c>
      <c r="N1460" s="29">
        <v>9.6</v>
      </c>
      <c r="O1460" s="149"/>
      <c r="P1460" s="145" t="s">
        <v>1017</v>
      </c>
      <c r="Q1460" s="145"/>
      <c r="R1460" s="145"/>
      <c r="S1460" s="145" t="s">
        <v>4179</v>
      </c>
      <c r="T1460" t="s">
        <v>4179</v>
      </c>
      <c r="U1460" s="146" t="s">
        <v>1017</v>
      </c>
      <c r="V1460" s="145"/>
      <c r="W1460" s="147"/>
      <c r="X1460" s="147"/>
      <c r="Y1460" s="145"/>
      <c r="Z1460" s="147"/>
      <c r="AA1460" s="145"/>
      <c r="AB1460" s="145"/>
      <c r="AC1460" s="147"/>
      <c r="AD1460" s="145" t="s">
        <v>1017</v>
      </c>
      <c r="AE1460" s="148" t="s">
        <v>1017</v>
      </c>
      <c r="AF1460" s="147"/>
      <c r="AG1460" s="147"/>
      <c r="AH1460" s="166" t="str">
        <f t="shared" si="621"/>
        <v/>
      </c>
      <c r="AI1460" s="168" t="str">
        <f t="shared" si="612"/>
        <v/>
      </c>
      <c r="AJ1460" s="168" t="str">
        <f t="shared" si="613"/>
        <v/>
      </c>
      <c r="AK1460" s="168" t="str">
        <f t="shared" si="614"/>
        <v/>
      </c>
      <c r="AL1460" s="168" t="str">
        <f t="shared" si="615"/>
        <v/>
      </c>
      <c r="AM1460" s="168" t="str">
        <f t="shared" si="616"/>
        <v/>
      </c>
      <c r="AN1460" s="167" t="str">
        <f t="shared" si="598"/>
        <v/>
      </c>
      <c r="AO1460" s="167" t="str">
        <f t="shared" si="599"/>
        <v/>
      </c>
      <c r="AP1460" s="167" t="str">
        <f t="shared" si="600"/>
        <v/>
      </c>
      <c r="AQ1460" s="169" t="str">
        <f t="shared" si="601"/>
        <v/>
      </c>
      <c r="AR1460" s="170" t="str">
        <f t="shared" si="602"/>
        <v>BiK82X2bKA3y06</v>
      </c>
      <c r="AS1460" s="169" t="str">
        <f t="shared" si="603"/>
        <v/>
      </c>
      <c r="AT1460">
        <f t="shared" si="604"/>
        <v>14</v>
      </c>
      <c r="AU1460" s="170" t="str">
        <f t="shared" si="605"/>
        <v>0,15-0,5 MW, Bonusregeln X2, y, b und K wenn Anlage 3 erfüllt</v>
      </c>
      <c r="AV1460" s="169" t="str">
        <f t="shared" si="606"/>
        <v/>
      </c>
      <c r="AW1460" s="170" t="str">
        <f t="shared" si="607"/>
        <v>Anteil KWK gemäß Anlage 3</v>
      </c>
      <c r="AX1460" s="169" t="str">
        <f t="shared" si="608"/>
        <v/>
      </c>
      <c r="AY1460" t="str">
        <f t="shared" si="609"/>
        <v/>
      </c>
      <c r="AZ1460" t="str">
        <f t="shared" si="610"/>
        <v/>
      </c>
    </row>
    <row r="1461" spans="1:52" x14ac:dyDescent="0.35">
      <c r="A1461" s="497" t="s">
        <v>4426</v>
      </c>
      <c r="B1461" s="13" t="s">
        <v>5547</v>
      </c>
      <c r="C1461" s="13" t="s">
        <v>1296</v>
      </c>
      <c r="D1461" s="13" t="s">
        <v>7205</v>
      </c>
      <c r="E1461" s="13" t="s">
        <v>674</v>
      </c>
      <c r="F1461" s="373">
        <f t="shared" si="617"/>
        <v>25.6</v>
      </c>
      <c r="G1461" s="430">
        <v>25.6</v>
      </c>
      <c r="H1461" s="399">
        <f t="shared" si="618"/>
        <v>20.48</v>
      </c>
      <c r="I1461" s="576"/>
      <c r="J1461" s="549" t="s">
        <v>5804</v>
      </c>
      <c r="K1461" s="11"/>
      <c r="M1461" s="37">
        <f t="shared" si="619"/>
        <v>25.6</v>
      </c>
      <c r="N1461" s="29">
        <v>9.6</v>
      </c>
      <c r="O1461" s="149"/>
      <c r="P1461" s="144"/>
      <c r="Q1461" s="145" t="s">
        <v>1017</v>
      </c>
      <c r="R1461" s="145"/>
      <c r="S1461" s="145" t="s">
        <v>4179</v>
      </c>
      <c r="T1461" t="s">
        <v>4179</v>
      </c>
      <c r="U1461" s="146" t="s">
        <v>1017</v>
      </c>
      <c r="V1461" s="145"/>
      <c r="W1461" s="147"/>
      <c r="X1461" s="147"/>
      <c r="Y1461" s="145"/>
      <c r="Z1461" s="147"/>
      <c r="AA1461" s="145"/>
      <c r="AB1461" s="145"/>
      <c r="AC1461" s="147"/>
      <c r="AD1461" s="145" t="s">
        <v>1017</v>
      </c>
      <c r="AE1461" s="148" t="s">
        <v>1017</v>
      </c>
      <c r="AF1461" s="147"/>
      <c r="AG1461" s="147"/>
      <c r="AH1461" s="166" t="str">
        <f t="shared" si="621"/>
        <v/>
      </c>
      <c r="AI1461" s="168" t="str">
        <f t="shared" si="612"/>
        <v/>
      </c>
      <c r="AJ1461" s="168" t="str">
        <f t="shared" si="613"/>
        <v/>
      </c>
      <c r="AK1461" s="168" t="str">
        <f t="shared" si="614"/>
        <v/>
      </c>
      <c r="AL1461" s="168" t="str">
        <f t="shared" si="615"/>
        <v/>
      </c>
      <c r="AM1461" s="168" t="str">
        <f t="shared" si="616"/>
        <v/>
      </c>
      <c r="AN1461" s="167" t="str">
        <f t="shared" si="598"/>
        <v/>
      </c>
      <c r="AO1461" s="167" t="str">
        <f t="shared" si="599"/>
        <v/>
      </c>
      <c r="AP1461" s="167" t="str">
        <f t="shared" si="600"/>
        <v/>
      </c>
      <c r="AQ1461" s="169" t="str">
        <f t="shared" si="601"/>
        <v/>
      </c>
      <c r="AR1461" s="170" t="str">
        <f t="shared" si="602"/>
        <v>BiK82X2bK09y06</v>
      </c>
      <c r="AS1461" s="169" t="str">
        <f t="shared" si="603"/>
        <v/>
      </c>
      <c r="AT1461">
        <f t="shared" si="604"/>
        <v>14</v>
      </c>
      <c r="AU1461" s="170" t="str">
        <f t="shared" si="605"/>
        <v>0,15-0,5 MW, Bonusregeln X2, y, b und K erstmals 2009</v>
      </c>
      <c r="AV1461" s="169" t="str">
        <f t="shared" si="606"/>
        <v/>
      </c>
      <c r="AW1461" s="170" t="str">
        <f t="shared" si="607"/>
        <v>Anteil KWK, erstmals 2009</v>
      </c>
      <c r="AX1461" s="169" t="str">
        <f t="shared" si="608"/>
        <v/>
      </c>
      <c r="AY1461" t="str">
        <f t="shared" si="609"/>
        <v/>
      </c>
      <c r="AZ1461" t="str">
        <f t="shared" si="610"/>
        <v/>
      </c>
    </row>
    <row r="1462" spans="1:52" s="145" customFormat="1" x14ac:dyDescent="0.35">
      <c r="A1462" s="497" t="s">
        <v>4931</v>
      </c>
      <c r="B1462" s="13" t="s">
        <v>5547</v>
      </c>
      <c r="C1462" s="13" t="s">
        <v>1296</v>
      </c>
      <c r="D1462" s="13" t="s">
        <v>7206</v>
      </c>
      <c r="E1462" s="13" t="s">
        <v>3566</v>
      </c>
      <c r="F1462" s="373">
        <f t="shared" si="617"/>
        <v>25.57</v>
      </c>
      <c r="G1462" s="430">
        <v>25.57</v>
      </c>
      <c r="H1462" s="399">
        <f t="shared" si="618"/>
        <v>20.46</v>
      </c>
      <c r="I1462" s="576"/>
      <c r="J1462" s="549" t="s">
        <v>5804</v>
      </c>
      <c r="K1462" s="11"/>
      <c r="L1462"/>
      <c r="M1462" s="37">
        <f t="shared" si="619"/>
        <v>25.57</v>
      </c>
      <c r="N1462" s="29">
        <v>9.6</v>
      </c>
      <c r="O1462" s="149"/>
      <c r="P1462" s="144"/>
      <c r="R1462" s="145" t="s">
        <v>1017</v>
      </c>
      <c r="S1462" s="145" t="s">
        <v>4179</v>
      </c>
      <c r="T1462" s="145" t="s">
        <v>4179</v>
      </c>
      <c r="U1462" s="146" t="s">
        <v>1017</v>
      </c>
      <c r="W1462" s="147"/>
      <c r="X1462" s="147"/>
      <c r="Z1462" s="147"/>
      <c r="AC1462" s="147"/>
      <c r="AD1462" s="145" t="s">
        <v>1017</v>
      </c>
      <c r="AE1462" s="148" t="s">
        <v>1017</v>
      </c>
      <c r="AF1462" s="147"/>
      <c r="AG1462" s="147"/>
      <c r="AH1462" s="166" t="str">
        <f t="shared" si="621"/>
        <v>2010</v>
      </c>
      <c r="AI1462" s="168" t="str">
        <f t="shared" si="612"/>
        <v/>
      </c>
      <c r="AJ1462" s="168" t="str">
        <f t="shared" si="613"/>
        <v/>
      </c>
      <c r="AK1462" s="168" t="str">
        <f t="shared" si="614"/>
        <v/>
      </c>
      <c r="AL1462" s="168" t="str">
        <f t="shared" si="615"/>
        <v/>
      </c>
      <c r="AM1462" s="168" t="str">
        <f t="shared" si="616"/>
        <v/>
      </c>
      <c r="AN1462" s="167" t="str">
        <f t="shared" si="598"/>
        <v>2010</v>
      </c>
      <c r="AO1462" s="167" t="str">
        <f t="shared" si="599"/>
        <v>2010</v>
      </c>
      <c r="AP1462" s="167" t="str">
        <f t="shared" si="600"/>
        <v>2010</v>
      </c>
      <c r="AQ1462" s="169" t="str">
        <f t="shared" si="601"/>
        <v/>
      </c>
      <c r="AR1462" s="170" t="str">
        <f t="shared" si="602"/>
        <v>BiK82X2bK10y06</v>
      </c>
      <c r="AS1462" s="169" t="str">
        <f t="shared" si="603"/>
        <v/>
      </c>
      <c r="AT1462">
        <f t="shared" si="604"/>
        <v>14</v>
      </c>
      <c r="AU1462" s="170" t="str">
        <f t="shared" si="605"/>
        <v>0,15-0,5 MW, Bonusregeln X2, y, b und K erstmals 2010</v>
      </c>
      <c r="AV1462" s="169" t="str">
        <f t="shared" si="606"/>
        <v/>
      </c>
      <c r="AW1462" s="170" t="str">
        <f t="shared" si="607"/>
        <v>Anteil KWK, erstmals 2010</v>
      </c>
      <c r="AX1462" s="169" t="str">
        <f t="shared" si="608"/>
        <v/>
      </c>
      <c r="AY1462" t="str">
        <f t="shared" si="609"/>
        <v/>
      </c>
      <c r="AZ1462" t="str">
        <f t="shared" si="610"/>
        <v/>
      </c>
    </row>
    <row r="1463" spans="1:52" s="145" customFormat="1" x14ac:dyDescent="0.35">
      <c r="A1463" s="497" t="s">
        <v>3978</v>
      </c>
      <c r="B1463" s="13" t="s">
        <v>5547</v>
      </c>
      <c r="C1463" s="13" t="s">
        <v>1296</v>
      </c>
      <c r="D1463" s="13" t="s">
        <v>7207</v>
      </c>
      <c r="E1463" s="13" t="s">
        <v>3054</v>
      </c>
      <c r="F1463" s="373">
        <f t="shared" si="617"/>
        <v>25.54</v>
      </c>
      <c r="G1463" s="430">
        <v>25.54</v>
      </c>
      <c r="H1463" s="399">
        <f t="shared" si="618"/>
        <v>20.43</v>
      </c>
      <c r="I1463" s="576"/>
      <c r="J1463" s="549" t="s">
        <v>5804</v>
      </c>
      <c r="K1463" s="11"/>
      <c r="L1463"/>
      <c r="M1463" s="37">
        <f t="shared" si="619"/>
        <v>25.54</v>
      </c>
      <c r="N1463" s="29">
        <v>9.6</v>
      </c>
      <c r="O1463" s="149"/>
      <c r="P1463" s="144"/>
      <c r="S1463" s="145" t="s">
        <v>1017</v>
      </c>
      <c r="T1463" s="145" t="s">
        <v>4179</v>
      </c>
      <c r="U1463" s="146" t="s">
        <v>1017</v>
      </c>
      <c r="W1463" s="147"/>
      <c r="X1463" s="147"/>
      <c r="Z1463" s="147"/>
      <c r="AC1463" s="147"/>
      <c r="AD1463" s="145" t="s">
        <v>1017</v>
      </c>
      <c r="AE1463" s="148" t="s">
        <v>1017</v>
      </c>
      <c r="AF1463" s="147"/>
      <c r="AG1463" s="147"/>
      <c r="AH1463" s="166" t="str">
        <f t="shared" si="621"/>
        <v>2011</v>
      </c>
      <c r="AI1463" s="168" t="str">
        <f t="shared" si="612"/>
        <v/>
      </c>
      <c r="AJ1463" s="168" t="str">
        <f t="shared" si="613"/>
        <v/>
      </c>
      <c r="AK1463" s="168" t="str">
        <f t="shared" si="614"/>
        <v/>
      </c>
      <c r="AL1463" s="168" t="str">
        <f t="shared" si="615"/>
        <v/>
      </c>
      <c r="AM1463" s="168" t="str">
        <f t="shared" si="616"/>
        <v/>
      </c>
      <c r="AN1463" s="167" t="str">
        <f t="shared" si="598"/>
        <v>2011</v>
      </c>
      <c r="AO1463" s="167" t="str">
        <f t="shared" si="599"/>
        <v>2011</v>
      </c>
      <c r="AP1463" s="167" t="str">
        <f t="shared" si="600"/>
        <v>2011</v>
      </c>
      <c r="AQ1463" s="169" t="str">
        <f t="shared" si="601"/>
        <v/>
      </c>
      <c r="AR1463" s="170" t="str">
        <f t="shared" si="602"/>
        <v>BiK82X2bK11y06</v>
      </c>
      <c r="AS1463" s="169" t="str">
        <f t="shared" si="603"/>
        <v/>
      </c>
      <c r="AT1463">
        <f t="shared" si="604"/>
        <v>14</v>
      </c>
      <c r="AU1463" s="170" t="str">
        <f t="shared" si="605"/>
        <v>0,15-0,5 MW, Bonusregeln X2, y, b und K erstmals 2011</v>
      </c>
      <c r="AV1463" s="169" t="str">
        <f t="shared" si="606"/>
        <v/>
      </c>
      <c r="AW1463" s="170" t="str">
        <f t="shared" si="607"/>
        <v>Anteil KWK, erstmals 2011</v>
      </c>
      <c r="AX1463" s="169" t="str">
        <f t="shared" si="608"/>
        <v/>
      </c>
      <c r="AY1463" t="str">
        <f t="shared" si="609"/>
        <v>x</v>
      </c>
      <c r="AZ1463" t="str">
        <f t="shared" si="610"/>
        <v/>
      </c>
    </row>
    <row r="1464" spans="1:52" s="145" customFormat="1" x14ac:dyDescent="0.35">
      <c r="A1464" s="511" t="s">
        <v>1801</v>
      </c>
      <c r="B1464" s="173" t="s">
        <v>5547</v>
      </c>
      <c r="C1464" s="173" t="s">
        <v>1296</v>
      </c>
      <c r="D1464" s="173" t="s">
        <v>7208</v>
      </c>
      <c r="E1464" s="173" t="s">
        <v>1980</v>
      </c>
      <c r="F1464" s="374">
        <f t="shared" si="617"/>
        <v>25.509999999999998</v>
      </c>
      <c r="G1464" s="431">
        <v>25.509999999999998</v>
      </c>
      <c r="H1464" s="400">
        <f t="shared" si="618"/>
        <v>20.41</v>
      </c>
      <c r="I1464" s="577"/>
      <c r="J1464" s="549" t="s">
        <v>5804</v>
      </c>
      <c r="K1464" s="11"/>
      <c r="L1464"/>
      <c r="M1464" s="37">
        <f t="shared" si="619"/>
        <v>25.509999999999998</v>
      </c>
      <c r="N1464" s="29">
        <v>9.6</v>
      </c>
      <c r="O1464" s="149"/>
      <c r="P1464" s="144"/>
      <c r="S1464" s="145" t="s">
        <v>4179</v>
      </c>
      <c r="T1464" s="145" t="s">
        <v>1017</v>
      </c>
      <c r="U1464" s="146" t="s">
        <v>1017</v>
      </c>
      <c r="W1464" s="147"/>
      <c r="X1464" s="147"/>
      <c r="Z1464" s="147"/>
      <c r="AC1464" s="147"/>
      <c r="AD1464" s="145" t="s">
        <v>1017</v>
      </c>
      <c r="AE1464" s="148" t="s">
        <v>1017</v>
      </c>
      <c r="AF1464" s="147"/>
      <c r="AG1464" s="147"/>
      <c r="AH1464" s="171" t="s">
        <v>4178</v>
      </c>
      <c r="AI1464" s="168" t="str">
        <f t="shared" si="612"/>
        <v/>
      </c>
      <c r="AJ1464" s="168" t="str">
        <f t="shared" si="613"/>
        <v/>
      </c>
      <c r="AK1464" s="168" t="str">
        <f t="shared" si="614"/>
        <v/>
      </c>
      <c r="AL1464" s="168" t="str">
        <f t="shared" si="615"/>
        <v/>
      </c>
      <c r="AM1464" s="168" t="str">
        <f t="shared" si="616"/>
        <v/>
      </c>
      <c r="AN1464" s="167" t="str">
        <f t="shared" si="598"/>
        <v>2012</v>
      </c>
      <c r="AO1464" s="167" t="str">
        <f t="shared" si="599"/>
        <v>2012</v>
      </c>
      <c r="AP1464" s="167" t="str">
        <f t="shared" si="600"/>
        <v>2012</v>
      </c>
      <c r="AQ1464" s="169" t="str">
        <f t="shared" si="601"/>
        <v/>
      </c>
      <c r="AR1464" s="170" t="str">
        <f t="shared" si="602"/>
        <v>BiK82X2bK12y06</v>
      </c>
      <c r="AS1464" s="169" t="str">
        <f t="shared" si="603"/>
        <v/>
      </c>
      <c r="AT1464">
        <f t="shared" si="604"/>
        <v>14</v>
      </c>
      <c r="AU1464" s="170" t="str">
        <f t="shared" si="605"/>
        <v>0,15-0,5 MW, Bonusregeln X2, y, b und K erstmals 2012</v>
      </c>
      <c r="AV1464" s="169" t="str">
        <f t="shared" si="606"/>
        <v/>
      </c>
      <c r="AW1464" s="170" t="str">
        <f t="shared" si="607"/>
        <v>Anteil KWK, erstmals 2012</v>
      </c>
      <c r="AX1464" s="169" t="str">
        <f t="shared" si="608"/>
        <v/>
      </c>
      <c r="AY1464" t="str">
        <f t="shared" si="609"/>
        <v/>
      </c>
      <c r="AZ1464" t="str">
        <f t="shared" si="610"/>
        <v>x</v>
      </c>
    </row>
    <row r="1465" spans="1:52" s="145" customFormat="1" x14ac:dyDescent="0.35">
      <c r="A1465" s="496" t="s">
        <v>518</v>
      </c>
      <c r="B1465" s="1" t="s">
        <v>5547</v>
      </c>
      <c r="C1465" s="1" t="s">
        <v>1296</v>
      </c>
      <c r="D1465" s="1" t="s">
        <v>5407</v>
      </c>
      <c r="E1465" s="1" t="s">
        <v>4809</v>
      </c>
      <c r="F1465" s="375">
        <f t="shared" si="617"/>
        <v>8.64</v>
      </c>
      <c r="G1465" s="432">
        <v>8.64</v>
      </c>
      <c r="H1465" s="401">
        <f t="shared" si="618"/>
        <v>6.91</v>
      </c>
      <c r="I1465" s="578"/>
      <c r="J1465" s="549" t="s">
        <v>5804</v>
      </c>
      <c r="K1465" s="11"/>
      <c r="L1465"/>
      <c r="M1465" s="37">
        <f t="shared" si="619"/>
        <v>8.64</v>
      </c>
      <c r="N1465" s="29">
        <v>8.64</v>
      </c>
      <c r="O1465" s="41"/>
      <c r="P1465" s="59"/>
      <c r="Q1465"/>
      <c r="R1465"/>
      <c r="S1465" t="s">
        <v>4179</v>
      </c>
      <c r="T1465" s="145" t="s">
        <v>4179</v>
      </c>
      <c r="U1465" s="60"/>
      <c r="V1465" s="50"/>
      <c r="W1465"/>
      <c r="X1465"/>
      <c r="Y1465" s="50"/>
      <c r="Z1465" s="50"/>
      <c r="AA1465" s="50"/>
      <c r="AB1465" s="50"/>
      <c r="AC1465" s="50"/>
      <c r="AD1465" s="50"/>
      <c r="AE1465" s="75"/>
      <c r="AF1465" s="50"/>
      <c r="AG1465" s="50"/>
      <c r="AH1465" s="166" t="str">
        <f>IF(ISERROR(SEARCH("K erstmals 201",D1465)),"",RIGHT(D1465,4))</f>
        <v/>
      </c>
      <c r="AI1465" s="168" t="str">
        <f t="shared" si="612"/>
        <v/>
      </c>
      <c r="AJ1465" s="168" t="str">
        <f t="shared" si="613"/>
        <v/>
      </c>
      <c r="AK1465" s="168" t="str">
        <f t="shared" si="614"/>
        <v/>
      </c>
      <c r="AL1465" s="168" t="str">
        <f t="shared" si="615"/>
        <v/>
      </c>
      <c r="AM1465" s="168" t="str">
        <f t="shared" si="616"/>
        <v/>
      </c>
      <c r="AN1465" s="167" t="str">
        <f t="shared" si="598"/>
        <v/>
      </c>
      <c r="AO1465" s="167" t="str">
        <f t="shared" si="599"/>
        <v/>
      </c>
      <c r="AP1465" s="167" t="str">
        <f t="shared" si="600"/>
        <v/>
      </c>
      <c r="AQ1465" s="169" t="str">
        <f t="shared" si="601"/>
        <v/>
      </c>
      <c r="AR1465" s="170" t="str">
        <f t="shared" si="602"/>
        <v>BiK83-------06</v>
      </c>
      <c r="AS1465" s="169" t="str">
        <f t="shared" si="603"/>
        <v/>
      </c>
      <c r="AT1465">
        <f t="shared" si="604"/>
        <v>14</v>
      </c>
      <c r="AU1465" s="170" t="str">
        <f t="shared" si="605"/>
        <v>0,5-5 MW</v>
      </c>
      <c r="AV1465" s="169" t="str">
        <f t="shared" si="606"/>
        <v/>
      </c>
      <c r="AW1465" s="170" t="str">
        <f t="shared" si="607"/>
        <v>Anteil Nicht-KWK</v>
      </c>
      <c r="AX1465" s="169" t="str">
        <f t="shared" si="608"/>
        <v/>
      </c>
      <c r="AY1465" t="str">
        <f t="shared" si="609"/>
        <v/>
      </c>
      <c r="AZ1465" t="str">
        <f t="shared" si="610"/>
        <v/>
      </c>
    </row>
    <row r="1466" spans="1:52" s="145" customFormat="1" x14ac:dyDescent="0.35">
      <c r="A1466" s="496" t="s">
        <v>519</v>
      </c>
      <c r="B1466" s="1" t="s">
        <v>5547</v>
      </c>
      <c r="C1466" s="1" t="s">
        <v>1296</v>
      </c>
      <c r="D1466" s="1" t="s">
        <v>6769</v>
      </c>
      <c r="E1466" s="1" t="s">
        <v>4811</v>
      </c>
      <c r="F1466" s="375">
        <f t="shared" si="617"/>
        <v>10.64</v>
      </c>
      <c r="G1466" s="432">
        <v>10.64</v>
      </c>
      <c r="H1466" s="401">
        <f t="shared" si="618"/>
        <v>8.51</v>
      </c>
      <c r="I1466" s="578"/>
      <c r="J1466" s="549" t="s">
        <v>5804</v>
      </c>
      <c r="K1466" s="11"/>
      <c r="L1466"/>
      <c r="M1466" s="37">
        <f t="shared" si="619"/>
        <v>10.64</v>
      </c>
      <c r="N1466" s="29">
        <v>8.64</v>
      </c>
      <c r="O1466" s="41" t="s">
        <v>1017</v>
      </c>
      <c r="P1466" s="59"/>
      <c r="Q1466"/>
      <c r="R1466"/>
      <c r="S1466" t="s">
        <v>4179</v>
      </c>
      <c r="T1466" s="145" t="s">
        <v>4179</v>
      </c>
      <c r="U1466" s="60"/>
      <c r="V1466" s="50"/>
      <c r="W1466"/>
      <c r="X1466"/>
      <c r="Y1466" s="50"/>
      <c r="Z1466" s="50"/>
      <c r="AA1466" s="50"/>
      <c r="AB1466" s="50"/>
      <c r="AC1466" s="50"/>
      <c r="AD1466" s="50"/>
      <c r="AE1466" s="75"/>
      <c r="AF1466" s="50"/>
      <c r="AG1466" s="50"/>
      <c r="AH1466" s="166" t="str">
        <f>IF(ISERROR(SEARCH("K erstmals 201",D1466)),"",RIGHT(D1466,4))</f>
        <v/>
      </c>
      <c r="AI1466" s="168" t="str">
        <f t="shared" si="612"/>
        <v/>
      </c>
      <c r="AJ1466" s="168" t="str">
        <f t="shared" si="613"/>
        <v/>
      </c>
      <c r="AK1466" s="168" t="str">
        <f t="shared" si="614"/>
        <v/>
      </c>
      <c r="AL1466" s="168" t="str">
        <f t="shared" si="615"/>
        <v/>
      </c>
      <c r="AM1466" s="168" t="str">
        <f t="shared" si="616"/>
        <v/>
      </c>
      <c r="AN1466" s="167" t="str">
        <f t="shared" si="598"/>
        <v/>
      </c>
      <c r="AO1466" s="167" t="str">
        <f t="shared" si="599"/>
        <v/>
      </c>
      <c r="AP1466" s="167" t="str">
        <f t="shared" si="600"/>
        <v/>
      </c>
      <c r="AQ1466" s="169" t="str">
        <f t="shared" si="601"/>
        <v/>
      </c>
      <c r="AR1466" s="170" t="str">
        <f t="shared" si="602"/>
        <v>BiK83KWK----06</v>
      </c>
      <c r="AS1466" s="169" t="str">
        <f t="shared" si="603"/>
        <v/>
      </c>
      <c r="AT1466">
        <f t="shared" si="604"/>
        <v>14</v>
      </c>
      <c r="AU1466" s="170" t="str">
        <f t="shared" si="605"/>
        <v>0,5-5 MW, Bonusregel KWK</v>
      </c>
      <c r="AV1466" s="169" t="str">
        <f t="shared" si="606"/>
        <v/>
      </c>
      <c r="AW1466" s="170" t="str">
        <f t="shared" si="607"/>
        <v>Anteil KWK</v>
      </c>
      <c r="AX1466" s="169" t="str">
        <f t="shared" si="608"/>
        <v/>
      </c>
      <c r="AY1466" t="str">
        <f t="shared" si="609"/>
        <v/>
      </c>
      <c r="AZ1466" t="str">
        <f t="shared" si="610"/>
        <v/>
      </c>
    </row>
    <row r="1467" spans="1:52" s="145" customFormat="1" x14ac:dyDescent="0.35">
      <c r="A1467" s="497" t="s">
        <v>4593</v>
      </c>
      <c r="B1467" s="13" t="s">
        <v>5547</v>
      </c>
      <c r="C1467" s="13" t="s">
        <v>1296</v>
      </c>
      <c r="D1467" s="13" t="s">
        <v>6749</v>
      </c>
      <c r="E1467" s="13" t="s">
        <v>674</v>
      </c>
      <c r="F1467" s="373">
        <f t="shared" si="617"/>
        <v>11.64</v>
      </c>
      <c r="G1467" s="430">
        <v>11.64</v>
      </c>
      <c r="H1467" s="399">
        <f t="shared" si="618"/>
        <v>9.31</v>
      </c>
      <c r="I1467" s="576"/>
      <c r="J1467" s="549" t="s">
        <v>5804</v>
      </c>
      <c r="K1467" s="11"/>
      <c r="L1467"/>
      <c r="M1467" s="37">
        <f t="shared" si="619"/>
        <v>11.64</v>
      </c>
      <c r="N1467" s="29">
        <v>8.64</v>
      </c>
      <c r="O1467" s="41"/>
      <c r="P1467" s="59"/>
      <c r="Q1467" t="s">
        <v>1017</v>
      </c>
      <c r="R1467"/>
      <c r="S1467" t="s">
        <v>4179</v>
      </c>
      <c r="T1467" s="145" t="s">
        <v>4179</v>
      </c>
      <c r="U1467" s="60"/>
      <c r="V1467" s="50"/>
      <c r="W1467"/>
      <c r="X1467"/>
      <c r="Y1467" s="50"/>
      <c r="Z1467" s="50"/>
      <c r="AA1467" s="50"/>
      <c r="AB1467" s="50"/>
      <c r="AC1467" s="50"/>
      <c r="AD1467" s="50"/>
      <c r="AE1467" s="75"/>
      <c r="AF1467" s="50"/>
      <c r="AG1467" s="50"/>
      <c r="AH1467" s="166" t="str">
        <f>IF(ISERROR(SEARCH("K erstmals 201",D1467)),"",RIGHT(D1467,4))</f>
        <v/>
      </c>
      <c r="AI1467" s="168" t="str">
        <f t="shared" si="612"/>
        <v/>
      </c>
      <c r="AJ1467" s="168" t="str">
        <f t="shared" si="613"/>
        <v/>
      </c>
      <c r="AK1467" s="168" t="str">
        <f t="shared" si="614"/>
        <v/>
      </c>
      <c r="AL1467" s="168" t="str">
        <f t="shared" si="615"/>
        <v/>
      </c>
      <c r="AM1467" s="168" t="str">
        <f t="shared" si="616"/>
        <v/>
      </c>
      <c r="AN1467" s="167" t="str">
        <f t="shared" si="598"/>
        <v/>
      </c>
      <c r="AO1467" s="167" t="str">
        <f t="shared" si="599"/>
        <v/>
      </c>
      <c r="AP1467" s="167" t="str">
        <f t="shared" si="600"/>
        <v/>
      </c>
      <c r="AQ1467" s="169" t="str">
        <f t="shared" si="601"/>
        <v/>
      </c>
      <c r="AR1467" s="170" t="str">
        <f t="shared" si="602"/>
        <v>BiK83K09----06</v>
      </c>
      <c r="AS1467" s="169" t="str">
        <f t="shared" si="603"/>
        <v/>
      </c>
      <c r="AT1467">
        <f t="shared" si="604"/>
        <v>14</v>
      </c>
      <c r="AU1467" s="170" t="str">
        <f t="shared" si="605"/>
        <v>0,5-5 MW, Bonusregel K erstmals 2009</v>
      </c>
      <c r="AV1467" s="169" t="str">
        <f t="shared" si="606"/>
        <v/>
      </c>
      <c r="AW1467" s="170" t="str">
        <f t="shared" si="607"/>
        <v>Anteil KWK, erstmals 2009</v>
      </c>
      <c r="AX1467" s="169" t="str">
        <f t="shared" si="608"/>
        <v/>
      </c>
      <c r="AY1467" t="str">
        <f t="shared" si="609"/>
        <v/>
      </c>
      <c r="AZ1467" t="str">
        <f t="shared" si="610"/>
        <v/>
      </c>
    </row>
    <row r="1468" spans="1:52" s="145" customFormat="1" x14ac:dyDescent="0.35">
      <c r="A1468" s="497" t="s">
        <v>4932</v>
      </c>
      <c r="B1468" s="13" t="s">
        <v>5547</v>
      </c>
      <c r="C1468" s="13" t="s">
        <v>1296</v>
      </c>
      <c r="D1468" s="13" t="s">
        <v>6750</v>
      </c>
      <c r="E1468" s="13" t="s">
        <v>3566</v>
      </c>
      <c r="F1468" s="373">
        <f t="shared" si="617"/>
        <v>11.610000000000001</v>
      </c>
      <c r="G1468" s="430">
        <v>11.610000000000001</v>
      </c>
      <c r="H1468" s="399">
        <f t="shared" si="618"/>
        <v>9.2899999999999991</v>
      </c>
      <c r="I1468" s="576"/>
      <c r="J1468" s="549" t="s">
        <v>5804</v>
      </c>
      <c r="K1468" s="11"/>
      <c r="L1468"/>
      <c r="M1468" s="37">
        <f t="shared" si="619"/>
        <v>11.610000000000001</v>
      </c>
      <c r="N1468" s="29">
        <v>8.64</v>
      </c>
      <c r="O1468" s="41"/>
      <c r="P1468" s="59"/>
      <c r="Q1468"/>
      <c r="R1468" t="s">
        <v>1017</v>
      </c>
      <c r="S1468" t="s">
        <v>4179</v>
      </c>
      <c r="T1468" s="145" t="s">
        <v>4179</v>
      </c>
      <c r="U1468" s="60"/>
      <c r="V1468" s="50"/>
      <c r="W1468"/>
      <c r="X1468"/>
      <c r="Y1468" s="50"/>
      <c r="Z1468" s="50"/>
      <c r="AA1468" s="50"/>
      <c r="AB1468" s="50"/>
      <c r="AC1468" s="50"/>
      <c r="AD1468" s="50"/>
      <c r="AE1468" s="75"/>
      <c r="AF1468" s="50"/>
      <c r="AG1468" s="50"/>
      <c r="AH1468" s="166" t="str">
        <f>IF(ISERROR(SEARCH("K erstmals 201",D1468)),"",RIGHT(D1468,4))</f>
        <v>2010</v>
      </c>
      <c r="AI1468" s="168" t="str">
        <f t="shared" si="612"/>
        <v/>
      </c>
      <c r="AJ1468" s="168" t="str">
        <f t="shared" si="613"/>
        <v/>
      </c>
      <c r="AK1468" s="168" t="str">
        <f t="shared" si="614"/>
        <v/>
      </c>
      <c r="AL1468" s="168" t="str">
        <f t="shared" si="615"/>
        <v/>
      </c>
      <c r="AM1468" s="168" t="str">
        <f t="shared" si="616"/>
        <v/>
      </c>
      <c r="AN1468" s="167" t="str">
        <f t="shared" si="598"/>
        <v>2010</v>
      </c>
      <c r="AO1468" s="167" t="str">
        <f t="shared" si="599"/>
        <v>2010</v>
      </c>
      <c r="AP1468" s="167" t="str">
        <f t="shared" si="600"/>
        <v>2010</v>
      </c>
      <c r="AQ1468" s="169" t="str">
        <f t="shared" si="601"/>
        <v/>
      </c>
      <c r="AR1468" s="170" t="str">
        <f t="shared" si="602"/>
        <v>BiK83K10----06</v>
      </c>
      <c r="AS1468" s="169" t="str">
        <f t="shared" si="603"/>
        <v/>
      </c>
      <c r="AT1468">
        <f t="shared" si="604"/>
        <v>14</v>
      </c>
      <c r="AU1468" s="170" t="str">
        <f t="shared" si="605"/>
        <v>0,5-5 MW, Bonusregel K erstmals 2010</v>
      </c>
      <c r="AV1468" s="169" t="str">
        <f t="shared" si="606"/>
        <v/>
      </c>
      <c r="AW1468" s="170" t="str">
        <f t="shared" si="607"/>
        <v>Anteil KWK, erstmals 2010</v>
      </c>
      <c r="AX1468" s="169" t="str">
        <f t="shared" si="608"/>
        <v/>
      </c>
      <c r="AY1468" t="str">
        <f t="shared" si="609"/>
        <v/>
      </c>
      <c r="AZ1468" t="str">
        <f t="shared" si="610"/>
        <v/>
      </c>
    </row>
    <row r="1469" spans="1:52" s="145" customFormat="1" x14ac:dyDescent="0.35">
      <c r="A1469" s="497" t="s">
        <v>3979</v>
      </c>
      <c r="B1469" s="13" t="s">
        <v>5547</v>
      </c>
      <c r="C1469" s="13" t="s">
        <v>1296</v>
      </c>
      <c r="D1469" s="13" t="s">
        <v>6751</v>
      </c>
      <c r="E1469" s="13" t="s">
        <v>3054</v>
      </c>
      <c r="F1469" s="373">
        <f t="shared" si="617"/>
        <v>11.58</v>
      </c>
      <c r="G1469" s="430">
        <v>11.58</v>
      </c>
      <c r="H1469" s="399">
        <f t="shared" si="618"/>
        <v>9.26</v>
      </c>
      <c r="I1469" s="576"/>
      <c r="J1469" s="549" t="s">
        <v>5804</v>
      </c>
      <c r="K1469" s="11"/>
      <c r="L1469"/>
      <c r="M1469" s="37">
        <f t="shared" si="619"/>
        <v>11.58</v>
      </c>
      <c r="N1469" s="29">
        <v>8.64</v>
      </c>
      <c r="O1469" s="41"/>
      <c r="P1469" s="59"/>
      <c r="Q1469"/>
      <c r="R1469"/>
      <c r="S1469" t="s">
        <v>1017</v>
      </c>
      <c r="T1469" s="145" t="s">
        <v>4179</v>
      </c>
      <c r="U1469" s="60"/>
      <c r="V1469" s="50"/>
      <c r="W1469"/>
      <c r="X1469"/>
      <c r="Y1469" s="50"/>
      <c r="Z1469" s="50"/>
      <c r="AA1469" s="50"/>
      <c r="AB1469" s="50"/>
      <c r="AC1469" s="50"/>
      <c r="AD1469" s="50"/>
      <c r="AE1469" s="75"/>
      <c r="AF1469" s="50"/>
      <c r="AG1469" s="50"/>
      <c r="AH1469" s="166" t="str">
        <f>IF(ISERROR(SEARCH("K erstmals 201",D1469)),"",RIGHT(D1469,4))</f>
        <v>2011</v>
      </c>
      <c r="AI1469" s="168" t="str">
        <f t="shared" si="612"/>
        <v/>
      </c>
      <c r="AJ1469" s="168" t="str">
        <f t="shared" si="613"/>
        <v/>
      </c>
      <c r="AK1469" s="168" t="str">
        <f t="shared" si="614"/>
        <v/>
      </c>
      <c r="AL1469" s="168" t="str">
        <f t="shared" si="615"/>
        <v/>
      </c>
      <c r="AM1469" s="168" t="str">
        <f t="shared" si="616"/>
        <v/>
      </c>
      <c r="AN1469" s="167" t="str">
        <f t="shared" si="598"/>
        <v>2011</v>
      </c>
      <c r="AO1469" s="167" t="str">
        <f t="shared" si="599"/>
        <v>2011</v>
      </c>
      <c r="AP1469" s="167" t="str">
        <f t="shared" si="600"/>
        <v>2011</v>
      </c>
      <c r="AQ1469" s="169" t="str">
        <f t="shared" si="601"/>
        <v/>
      </c>
      <c r="AR1469" s="170" t="str">
        <f t="shared" si="602"/>
        <v>BiK83K11----06</v>
      </c>
      <c r="AS1469" s="169" t="str">
        <f t="shared" si="603"/>
        <v/>
      </c>
      <c r="AT1469">
        <f t="shared" si="604"/>
        <v>14</v>
      </c>
      <c r="AU1469" s="170" t="str">
        <f t="shared" si="605"/>
        <v>0,5-5 MW, Bonusregel K erstmals 2011</v>
      </c>
      <c r="AV1469" s="169" t="str">
        <f t="shared" si="606"/>
        <v/>
      </c>
      <c r="AW1469" s="170" t="str">
        <f t="shared" si="607"/>
        <v>Anteil KWK, erstmals 2011</v>
      </c>
      <c r="AX1469" s="169" t="str">
        <f t="shared" si="608"/>
        <v/>
      </c>
      <c r="AY1469" t="str">
        <f t="shared" si="609"/>
        <v>x</v>
      </c>
      <c r="AZ1469" t="str">
        <f t="shared" si="610"/>
        <v/>
      </c>
    </row>
    <row r="1470" spans="1:52" s="145" customFormat="1" x14ac:dyDescent="0.35">
      <c r="A1470" s="511" t="s">
        <v>1802</v>
      </c>
      <c r="B1470" s="173" t="s">
        <v>5547</v>
      </c>
      <c r="C1470" s="173" t="s">
        <v>1296</v>
      </c>
      <c r="D1470" s="173" t="s">
        <v>6752</v>
      </c>
      <c r="E1470" s="173" t="s">
        <v>1980</v>
      </c>
      <c r="F1470" s="374">
        <f t="shared" si="617"/>
        <v>11.55</v>
      </c>
      <c r="G1470" s="431">
        <v>11.55</v>
      </c>
      <c r="H1470" s="400">
        <f t="shared" si="618"/>
        <v>9.24</v>
      </c>
      <c r="I1470" s="577"/>
      <c r="J1470" s="549" t="s">
        <v>5804</v>
      </c>
      <c r="K1470" s="11"/>
      <c r="L1470"/>
      <c r="M1470" s="37">
        <f t="shared" si="619"/>
        <v>11.55</v>
      </c>
      <c r="N1470" s="29">
        <v>8.64</v>
      </c>
      <c r="O1470" s="41"/>
      <c r="P1470" s="59"/>
      <c r="Q1470"/>
      <c r="R1470"/>
      <c r="S1470" t="s">
        <v>4179</v>
      </c>
      <c r="T1470" s="145" t="s">
        <v>1017</v>
      </c>
      <c r="U1470" s="60"/>
      <c r="V1470" s="50"/>
      <c r="W1470"/>
      <c r="X1470"/>
      <c r="Y1470" s="50"/>
      <c r="Z1470" s="50"/>
      <c r="AA1470" s="50"/>
      <c r="AB1470" s="50"/>
      <c r="AC1470" s="50"/>
      <c r="AD1470" s="50"/>
      <c r="AE1470" s="75"/>
      <c r="AF1470" s="50"/>
      <c r="AG1470" s="50"/>
      <c r="AH1470" s="171" t="s">
        <v>4178</v>
      </c>
      <c r="AI1470" s="168" t="str">
        <f t="shared" si="612"/>
        <v/>
      </c>
      <c r="AJ1470" s="168" t="str">
        <f t="shared" si="613"/>
        <v/>
      </c>
      <c r="AK1470" s="168" t="str">
        <f t="shared" si="614"/>
        <v/>
      </c>
      <c r="AL1470" s="168" t="str">
        <f t="shared" si="615"/>
        <v/>
      </c>
      <c r="AM1470" s="168" t="str">
        <f t="shared" si="616"/>
        <v/>
      </c>
      <c r="AN1470" s="167" t="str">
        <f t="shared" si="598"/>
        <v>2012</v>
      </c>
      <c r="AO1470" s="167" t="str">
        <f t="shared" si="599"/>
        <v>2012</v>
      </c>
      <c r="AP1470" s="167" t="str">
        <f t="shared" si="600"/>
        <v>2012</v>
      </c>
      <c r="AQ1470" s="169" t="str">
        <f t="shared" si="601"/>
        <v/>
      </c>
      <c r="AR1470" s="170" t="str">
        <f t="shared" si="602"/>
        <v>BiK83K12----06</v>
      </c>
      <c r="AS1470" s="169" t="str">
        <f t="shared" si="603"/>
        <v/>
      </c>
      <c r="AT1470">
        <f t="shared" si="604"/>
        <v>14</v>
      </c>
      <c r="AU1470" s="170" t="str">
        <f t="shared" si="605"/>
        <v>0,5-5 MW, Bonusregel K erstmals 2012</v>
      </c>
      <c r="AV1470" s="169" t="str">
        <f t="shared" si="606"/>
        <v/>
      </c>
      <c r="AW1470" s="170" t="str">
        <f t="shared" si="607"/>
        <v>Anteil KWK, erstmals 2012</v>
      </c>
      <c r="AX1470" s="169" t="str">
        <f t="shared" si="608"/>
        <v/>
      </c>
      <c r="AY1470" t="str">
        <f t="shared" si="609"/>
        <v/>
      </c>
      <c r="AZ1470" t="str">
        <f t="shared" si="610"/>
        <v>x</v>
      </c>
    </row>
    <row r="1471" spans="1:52" s="145" customFormat="1" x14ac:dyDescent="0.35">
      <c r="A1471" s="496" t="s">
        <v>520</v>
      </c>
      <c r="B1471" s="1" t="s">
        <v>5547</v>
      </c>
      <c r="C1471" s="1" t="s">
        <v>1296</v>
      </c>
      <c r="D1471" s="1" t="s">
        <v>598</v>
      </c>
      <c r="E1471" s="1" t="s">
        <v>4809</v>
      </c>
      <c r="F1471" s="375">
        <f t="shared" si="617"/>
        <v>12.64</v>
      </c>
      <c r="G1471" s="432">
        <v>12.64</v>
      </c>
      <c r="H1471" s="401">
        <f t="shared" si="618"/>
        <v>10.11</v>
      </c>
      <c r="I1471" s="578"/>
      <c r="J1471" s="549" t="s">
        <v>5804</v>
      </c>
      <c r="K1471" s="11"/>
      <c r="L1471"/>
      <c r="M1471" s="37">
        <f t="shared" si="619"/>
        <v>12.64</v>
      </c>
      <c r="N1471" s="29">
        <v>8.64</v>
      </c>
      <c r="O1471" s="41"/>
      <c r="P1471" s="59"/>
      <c r="Q1471"/>
      <c r="R1471"/>
      <c r="S1471" t="s">
        <v>4179</v>
      </c>
      <c r="T1471" s="145" t="s">
        <v>4179</v>
      </c>
      <c r="U1471" s="60"/>
      <c r="V1471" s="50"/>
      <c r="W1471" t="s">
        <v>1017</v>
      </c>
      <c r="X1471"/>
      <c r="Y1471" s="50"/>
      <c r="Z1471" s="50"/>
      <c r="AA1471" s="50"/>
      <c r="AB1471" s="50"/>
      <c r="AC1471" s="50"/>
      <c r="AD1471" s="50"/>
      <c r="AE1471" s="75"/>
      <c r="AF1471" s="50"/>
      <c r="AG1471" s="50"/>
      <c r="AH1471" s="166" t="str">
        <f>IF(ISERROR(SEARCH("K erstmals 201",D1471)),"",RIGHT(D1471,4))</f>
        <v/>
      </c>
      <c r="AI1471" s="168" t="str">
        <f t="shared" si="612"/>
        <v/>
      </c>
      <c r="AJ1471" s="168" t="str">
        <f t="shared" si="613"/>
        <v/>
      </c>
      <c r="AK1471" s="168" t="str">
        <f t="shared" si="614"/>
        <v/>
      </c>
      <c r="AL1471" s="168" t="str">
        <f t="shared" si="615"/>
        <v/>
      </c>
      <c r="AM1471" s="168" t="str">
        <f t="shared" si="616"/>
        <v/>
      </c>
      <c r="AN1471" s="167" t="str">
        <f t="shared" si="598"/>
        <v/>
      </c>
      <c r="AO1471" s="167" t="str">
        <f t="shared" si="599"/>
        <v/>
      </c>
      <c r="AP1471" s="167" t="str">
        <f t="shared" si="600"/>
        <v/>
      </c>
      <c r="AQ1471" s="169" t="str">
        <f t="shared" si="601"/>
        <v/>
      </c>
      <c r="AR1471" s="170" t="str">
        <f t="shared" si="602"/>
        <v>BiK83a2-----06</v>
      </c>
      <c r="AS1471" s="169" t="str">
        <f t="shared" si="603"/>
        <v/>
      </c>
      <c r="AT1471">
        <f t="shared" si="604"/>
        <v>14</v>
      </c>
      <c r="AU1471" s="170" t="str">
        <f t="shared" si="605"/>
        <v>0,5-5 MW, Bonusregel a2</v>
      </c>
      <c r="AV1471" s="169" t="str">
        <f t="shared" si="606"/>
        <v/>
      </c>
      <c r="AW1471" s="170" t="str">
        <f t="shared" si="607"/>
        <v>Anteil Nicht-KWK</v>
      </c>
      <c r="AX1471" s="169" t="str">
        <f t="shared" si="608"/>
        <v/>
      </c>
      <c r="AY1471" t="str">
        <f t="shared" si="609"/>
        <v/>
      </c>
      <c r="AZ1471" t="str">
        <f t="shared" si="610"/>
        <v/>
      </c>
    </row>
    <row r="1472" spans="1:52" s="145" customFormat="1" x14ac:dyDescent="0.35">
      <c r="A1472" s="496" t="s">
        <v>521</v>
      </c>
      <c r="B1472" s="1" t="s">
        <v>5547</v>
      </c>
      <c r="C1472" s="1" t="s">
        <v>1296</v>
      </c>
      <c r="D1472" s="1" t="s">
        <v>6770</v>
      </c>
      <c r="E1472" s="1" t="s">
        <v>4811</v>
      </c>
      <c r="F1472" s="375">
        <f t="shared" si="617"/>
        <v>14.64</v>
      </c>
      <c r="G1472" s="432">
        <v>14.64</v>
      </c>
      <c r="H1472" s="401">
        <f t="shared" si="618"/>
        <v>11.71</v>
      </c>
      <c r="I1472" s="578"/>
      <c r="J1472" s="549" t="s">
        <v>5804</v>
      </c>
      <c r="K1472" s="11"/>
      <c r="L1472"/>
      <c r="M1472" s="37">
        <f t="shared" si="619"/>
        <v>14.64</v>
      </c>
      <c r="N1472" s="29">
        <v>8.64</v>
      </c>
      <c r="O1472" s="41" t="s">
        <v>1017</v>
      </c>
      <c r="P1472" s="59"/>
      <c r="Q1472"/>
      <c r="R1472"/>
      <c r="S1472" t="s">
        <v>4179</v>
      </c>
      <c r="T1472" s="145" t="s">
        <v>4179</v>
      </c>
      <c r="U1472" s="60"/>
      <c r="V1472" s="50"/>
      <c r="W1472" t="s">
        <v>1017</v>
      </c>
      <c r="X1472"/>
      <c r="Y1472" s="50"/>
      <c r="Z1472" s="50"/>
      <c r="AA1472" s="50"/>
      <c r="AB1472" s="50"/>
      <c r="AC1472" s="50"/>
      <c r="AD1472" s="50"/>
      <c r="AE1472" s="75"/>
      <c r="AF1472" s="50"/>
      <c r="AG1472" s="50"/>
      <c r="AH1472" s="166" t="str">
        <f>IF(ISERROR(SEARCH("K erstmals 201",D1472)),"",RIGHT(D1472,4))</f>
        <v/>
      </c>
      <c r="AI1472" s="168" t="str">
        <f t="shared" si="612"/>
        <v/>
      </c>
      <c r="AJ1472" s="168" t="str">
        <f t="shared" si="613"/>
        <v/>
      </c>
      <c r="AK1472" s="168" t="str">
        <f t="shared" si="614"/>
        <v/>
      </c>
      <c r="AL1472" s="168" t="str">
        <f t="shared" si="615"/>
        <v/>
      </c>
      <c r="AM1472" s="168" t="str">
        <f t="shared" si="616"/>
        <v/>
      </c>
      <c r="AN1472" s="167" t="str">
        <f t="shared" si="598"/>
        <v/>
      </c>
      <c r="AO1472" s="167" t="str">
        <f t="shared" si="599"/>
        <v/>
      </c>
      <c r="AP1472" s="167" t="str">
        <f t="shared" si="600"/>
        <v/>
      </c>
      <c r="AQ1472" s="169" t="str">
        <f t="shared" si="601"/>
        <v/>
      </c>
      <c r="AR1472" s="170" t="str">
        <f t="shared" si="602"/>
        <v>BiK83a2KWK--06</v>
      </c>
      <c r="AS1472" s="169" t="str">
        <f t="shared" si="603"/>
        <v/>
      </c>
      <c r="AT1472">
        <f t="shared" si="604"/>
        <v>14</v>
      </c>
      <c r="AU1472" s="170" t="str">
        <f t="shared" si="605"/>
        <v>0,5-5 MW, Bonusregel a2 und KWK</v>
      </c>
      <c r="AV1472" s="169" t="str">
        <f t="shared" si="606"/>
        <v/>
      </c>
      <c r="AW1472" s="170" t="str">
        <f t="shared" si="607"/>
        <v>Anteil KWK</v>
      </c>
      <c r="AX1472" s="169" t="str">
        <f t="shared" si="608"/>
        <v/>
      </c>
      <c r="AY1472" t="str">
        <f t="shared" si="609"/>
        <v/>
      </c>
      <c r="AZ1472" t="str">
        <f t="shared" si="610"/>
        <v/>
      </c>
    </row>
    <row r="1473" spans="1:52" s="145" customFormat="1" x14ac:dyDescent="0.35">
      <c r="A1473" s="497" t="s">
        <v>4594</v>
      </c>
      <c r="B1473" s="13" t="s">
        <v>5547</v>
      </c>
      <c r="C1473" s="13" t="s">
        <v>1296</v>
      </c>
      <c r="D1473" s="13" t="s">
        <v>6771</v>
      </c>
      <c r="E1473" s="13" t="s">
        <v>674</v>
      </c>
      <c r="F1473" s="373">
        <f t="shared" si="617"/>
        <v>15.64</v>
      </c>
      <c r="G1473" s="430">
        <v>15.64</v>
      </c>
      <c r="H1473" s="399">
        <f t="shared" si="618"/>
        <v>12.51</v>
      </c>
      <c r="I1473" s="576"/>
      <c r="J1473" s="549" t="s">
        <v>5804</v>
      </c>
      <c r="K1473" s="11"/>
      <c r="L1473"/>
      <c r="M1473" s="37">
        <f t="shared" si="619"/>
        <v>15.64</v>
      </c>
      <c r="N1473" s="29">
        <v>8.64</v>
      </c>
      <c r="O1473" s="41"/>
      <c r="P1473" s="59"/>
      <c r="Q1473" t="s">
        <v>1017</v>
      </c>
      <c r="R1473"/>
      <c r="S1473" t="s">
        <v>4179</v>
      </c>
      <c r="T1473" s="145" t="s">
        <v>4179</v>
      </c>
      <c r="U1473" s="60"/>
      <c r="V1473" s="50"/>
      <c r="W1473" t="s">
        <v>1017</v>
      </c>
      <c r="X1473"/>
      <c r="Y1473" s="50"/>
      <c r="Z1473" s="50"/>
      <c r="AA1473" s="50"/>
      <c r="AB1473" s="50"/>
      <c r="AC1473" s="50"/>
      <c r="AD1473" s="50"/>
      <c r="AE1473" s="75"/>
      <c r="AF1473" s="50"/>
      <c r="AG1473" s="50"/>
      <c r="AH1473" s="166" t="str">
        <f>IF(ISERROR(SEARCH("K erstmals 201",D1473)),"",RIGHT(D1473,4))</f>
        <v/>
      </c>
      <c r="AI1473" s="168" t="str">
        <f t="shared" si="612"/>
        <v/>
      </c>
      <c r="AJ1473" s="168" t="str">
        <f t="shared" si="613"/>
        <v/>
      </c>
      <c r="AK1473" s="168" t="str">
        <f t="shared" si="614"/>
        <v/>
      </c>
      <c r="AL1473" s="168" t="str">
        <f t="shared" si="615"/>
        <v/>
      </c>
      <c r="AM1473" s="168" t="str">
        <f t="shared" si="616"/>
        <v/>
      </c>
      <c r="AN1473" s="167" t="str">
        <f t="shared" si="598"/>
        <v/>
      </c>
      <c r="AO1473" s="167" t="str">
        <f t="shared" si="599"/>
        <v/>
      </c>
      <c r="AP1473" s="167" t="str">
        <f t="shared" si="600"/>
        <v/>
      </c>
      <c r="AQ1473" s="169" t="str">
        <f t="shared" si="601"/>
        <v/>
      </c>
      <c r="AR1473" s="170" t="str">
        <f t="shared" si="602"/>
        <v>BiK83a2K09--06</v>
      </c>
      <c r="AS1473" s="169" t="str">
        <f t="shared" si="603"/>
        <v/>
      </c>
      <c r="AT1473">
        <f t="shared" si="604"/>
        <v>14</v>
      </c>
      <c r="AU1473" s="170" t="str">
        <f t="shared" si="605"/>
        <v>0,5-5 MW, Bonusregeln a2 und K erstmals 2009</v>
      </c>
      <c r="AV1473" s="169" t="str">
        <f t="shared" si="606"/>
        <v/>
      </c>
      <c r="AW1473" s="170" t="str">
        <f t="shared" si="607"/>
        <v>Anteil KWK, erstmals 2009</v>
      </c>
      <c r="AX1473" s="169" t="str">
        <f t="shared" si="608"/>
        <v/>
      </c>
      <c r="AY1473" t="str">
        <f t="shared" si="609"/>
        <v/>
      </c>
      <c r="AZ1473" t="str">
        <f t="shared" si="610"/>
        <v/>
      </c>
    </row>
    <row r="1474" spans="1:52" s="145" customFormat="1" x14ac:dyDescent="0.35">
      <c r="A1474" s="497" t="s">
        <v>4933</v>
      </c>
      <c r="B1474" s="13" t="s">
        <v>5547</v>
      </c>
      <c r="C1474" s="13" t="s">
        <v>1296</v>
      </c>
      <c r="D1474" s="13" t="s">
        <v>6772</v>
      </c>
      <c r="E1474" s="13" t="s">
        <v>3566</v>
      </c>
      <c r="F1474" s="373">
        <f t="shared" si="617"/>
        <v>15.610000000000001</v>
      </c>
      <c r="G1474" s="430">
        <v>15.610000000000001</v>
      </c>
      <c r="H1474" s="399">
        <f t="shared" si="618"/>
        <v>12.49</v>
      </c>
      <c r="I1474" s="576"/>
      <c r="J1474" s="549" t="s">
        <v>5804</v>
      </c>
      <c r="K1474" s="11"/>
      <c r="L1474"/>
      <c r="M1474" s="37">
        <f t="shared" si="619"/>
        <v>15.610000000000001</v>
      </c>
      <c r="N1474" s="29">
        <v>8.64</v>
      </c>
      <c r="O1474" s="41"/>
      <c r="P1474" s="59"/>
      <c r="Q1474"/>
      <c r="R1474" t="s">
        <v>1017</v>
      </c>
      <c r="S1474" t="s">
        <v>4179</v>
      </c>
      <c r="T1474" s="145" t="s">
        <v>4179</v>
      </c>
      <c r="U1474" s="60"/>
      <c r="V1474" s="50"/>
      <c r="W1474" t="s">
        <v>1017</v>
      </c>
      <c r="X1474"/>
      <c r="Y1474" s="50"/>
      <c r="Z1474" s="50"/>
      <c r="AA1474" s="50"/>
      <c r="AB1474" s="50"/>
      <c r="AC1474" s="50"/>
      <c r="AD1474" s="50"/>
      <c r="AE1474" s="75"/>
      <c r="AF1474" s="50"/>
      <c r="AG1474" s="50"/>
      <c r="AH1474" s="166" t="str">
        <f>IF(ISERROR(SEARCH("K erstmals 201",D1474)),"",RIGHT(D1474,4))</f>
        <v>2010</v>
      </c>
      <c r="AI1474" s="168" t="str">
        <f t="shared" si="612"/>
        <v/>
      </c>
      <c r="AJ1474" s="168" t="str">
        <f t="shared" si="613"/>
        <v/>
      </c>
      <c r="AK1474" s="168" t="str">
        <f t="shared" si="614"/>
        <v/>
      </c>
      <c r="AL1474" s="168" t="str">
        <f t="shared" si="615"/>
        <v/>
      </c>
      <c r="AM1474" s="168" t="str">
        <f t="shared" si="616"/>
        <v/>
      </c>
      <c r="AN1474" s="167" t="str">
        <f t="shared" si="598"/>
        <v>2010</v>
      </c>
      <c r="AO1474" s="167" t="str">
        <f t="shared" si="599"/>
        <v>2010</v>
      </c>
      <c r="AP1474" s="167" t="str">
        <f t="shared" si="600"/>
        <v>2010</v>
      </c>
      <c r="AQ1474" s="169" t="str">
        <f t="shared" si="601"/>
        <v/>
      </c>
      <c r="AR1474" s="170" t="str">
        <f t="shared" si="602"/>
        <v>BiK83a2K10--06</v>
      </c>
      <c r="AS1474" s="169" t="str">
        <f t="shared" si="603"/>
        <v/>
      </c>
      <c r="AT1474">
        <f t="shared" si="604"/>
        <v>14</v>
      </c>
      <c r="AU1474" s="170" t="str">
        <f t="shared" si="605"/>
        <v>0,5-5 MW, Bonusregeln a2 und K erstmals 2010</v>
      </c>
      <c r="AV1474" s="169" t="str">
        <f t="shared" si="606"/>
        <v/>
      </c>
      <c r="AW1474" s="170" t="str">
        <f t="shared" si="607"/>
        <v>Anteil KWK, erstmals 2010</v>
      </c>
      <c r="AX1474" s="169" t="str">
        <f t="shared" si="608"/>
        <v/>
      </c>
      <c r="AY1474" t="str">
        <f t="shared" si="609"/>
        <v/>
      </c>
      <c r="AZ1474" t="str">
        <f t="shared" si="610"/>
        <v/>
      </c>
    </row>
    <row r="1475" spans="1:52" s="145" customFormat="1" x14ac:dyDescent="0.35">
      <c r="A1475" s="497" t="s">
        <v>3980</v>
      </c>
      <c r="B1475" s="13" t="s">
        <v>5547</v>
      </c>
      <c r="C1475" s="13" t="s">
        <v>1296</v>
      </c>
      <c r="D1475" s="13" t="s">
        <v>6773</v>
      </c>
      <c r="E1475" s="13" t="s">
        <v>3054</v>
      </c>
      <c r="F1475" s="373">
        <f t="shared" si="617"/>
        <v>15.58</v>
      </c>
      <c r="G1475" s="430">
        <v>15.58</v>
      </c>
      <c r="H1475" s="399">
        <f t="shared" si="618"/>
        <v>12.46</v>
      </c>
      <c r="I1475" s="576"/>
      <c r="J1475" s="549" t="s">
        <v>5804</v>
      </c>
      <c r="K1475" s="11"/>
      <c r="L1475"/>
      <c r="M1475" s="37">
        <f t="shared" si="619"/>
        <v>15.58</v>
      </c>
      <c r="N1475" s="29">
        <v>8.64</v>
      </c>
      <c r="O1475" s="41"/>
      <c r="P1475" s="59"/>
      <c r="Q1475"/>
      <c r="R1475"/>
      <c r="S1475" t="s">
        <v>1017</v>
      </c>
      <c r="T1475" s="145" t="s">
        <v>4179</v>
      </c>
      <c r="U1475" s="60"/>
      <c r="V1475" s="50"/>
      <c r="W1475" t="s">
        <v>1017</v>
      </c>
      <c r="X1475"/>
      <c r="Y1475" s="50"/>
      <c r="Z1475" s="50"/>
      <c r="AA1475" s="50"/>
      <c r="AB1475" s="50"/>
      <c r="AC1475" s="50"/>
      <c r="AD1475" s="50"/>
      <c r="AE1475" s="75"/>
      <c r="AF1475" s="50"/>
      <c r="AG1475" s="50"/>
      <c r="AH1475" s="166" t="str">
        <f>IF(ISERROR(SEARCH("K erstmals 201",D1475)),"",RIGHT(D1475,4))</f>
        <v>2011</v>
      </c>
      <c r="AI1475" s="168" t="str">
        <f t="shared" si="612"/>
        <v/>
      </c>
      <c r="AJ1475" s="168" t="str">
        <f t="shared" si="613"/>
        <v/>
      </c>
      <c r="AK1475" s="168" t="str">
        <f t="shared" si="614"/>
        <v/>
      </c>
      <c r="AL1475" s="168" t="str">
        <f t="shared" si="615"/>
        <v/>
      </c>
      <c r="AM1475" s="168" t="str">
        <f t="shared" si="616"/>
        <v/>
      </c>
      <c r="AN1475" s="167" t="str">
        <f t="shared" si="598"/>
        <v>2011</v>
      </c>
      <c r="AO1475" s="167" t="str">
        <f t="shared" si="599"/>
        <v>2011</v>
      </c>
      <c r="AP1475" s="167" t="str">
        <f t="shared" si="600"/>
        <v>2011</v>
      </c>
      <c r="AQ1475" s="169" t="str">
        <f t="shared" si="601"/>
        <v/>
      </c>
      <c r="AR1475" s="170" t="str">
        <f t="shared" si="602"/>
        <v>BiK83a2K11--06</v>
      </c>
      <c r="AS1475" s="169" t="str">
        <f t="shared" si="603"/>
        <v/>
      </c>
      <c r="AT1475">
        <f t="shared" si="604"/>
        <v>14</v>
      </c>
      <c r="AU1475" s="170" t="str">
        <f t="shared" si="605"/>
        <v>0,5-5 MW, Bonusregeln a2 und K erstmals 2011</v>
      </c>
      <c r="AV1475" s="169" t="str">
        <f t="shared" si="606"/>
        <v/>
      </c>
      <c r="AW1475" s="170" t="str">
        <f t="shared" si="607"/>
        <v>Anteil KWK, erstmals 2011</v>
      </c>
      <c r="AX1475" s="169" t="str">
        <f t="shared" si="608"/>
        <v/>
      </c>
      <c r="AY1475" t="str">
        <f t="shared" si="609"/>
        <v>x</v>
      </c>
      <c r="AZ1475" t="str">
        <f t="shared" si="610"/>
        <v/>
      </c>
    </row>
    <row r="1476" spans="1:52" s="145" customFormat="1" x14ac:dyDescent="0.35">
      <c r="A1476" s="511" t="s">
        <v>1803</v>
      </c>
      <c r="B1476" s="173" t="s">
        <v>5547</v>
      </c>
      <c r="C1476" s="173" t="s">
        <v>1296</v>
      </c>
      <c r="D1476" s="173" t="s">
        <v>6774</v>
      </c>
      <c r="E1476" s="173" t="s">
        <v>1980</v>
      </c>
      <c r="F1476" s="374">
        <f t="shared" si="617"/>
        <v>15.55</v>
      </c>
      <c r="G1476" s="431">
        <v>15.55</v>
      </c>
      <c r="H1476" s="400">
        <f t="shared" si="618"/>
        <v>12.44</v>
      </c>
      <c r="I1476" s="577"/>
      <c r="J1476" s="549" t="s">
        <v>5804</v>
      </c>
      <c r="K1476" s="11"/>
      <c r="L1476"/>
      <c r="M1476" s="37">
        <f t="shared" si="619"/>
        <v>15.55</v>
      </c>
      <c r="N1476" s="29">
        <v>8.64</v>
      </c>
      <c r="O1476" s="41"/>
      <c r="P1476" s="59"/>
      <c r="Q1476"/>
      <c r="R1476"/>
      <c r="S1476" t="s">
        <v>4179</v>
      </c>
      <c r="T1476" s="145" t="s">
        <v>1017</v>
      </c>
      <c r="U1476" s="60"/>
      <c r="V1476" s="50"/>
      <c r="W1476" t="s">
        <v>1017</v>
      </c>
      <c r="X1476"/>
      <c r="Y1476" s="50"/>
      <c r="Z1476" s="50"/>
      <c r="AA1476" s="50"/>
      <c r="AB1476" s="50"/>
      <c r="AC1476" s="50"/>
      <c r="AD1476" s="50"/>
      <c r="AE1476" s="75"/>
      <c r="AF1476" s="50"/>
      <c r="AG1476" s="50"/>
      <c r="AH1476" s="171" t="s">
        <v>4178</v>
      </c>
      <c r="AI1476" s="168" t="str">
        <f t="shared" si="612"/>
        <v/>
      </c>
      <c r="AJ1476" s="168" t="str">
        <f t="shared" si="613"/>
        <v/>
      </c>
      <c r="AK1476" s="168" t="str">
        <f t="shared" si="614"/>
        <v/>
      </c>
      <c r="AL1476" s="168" t="str">
        <f t="shared" si="615"/>
        <v/>
      </c>
      <c r="AM1476" s="168" t="str">
        <f t="shared" si="616"/>
        <v/>
      </c>
      <c r="AN1476" s="167" t="str">
        <f t="shared" si="598"/>
        <v>2012</v>
      </c>
      <c r="AO1476" s="167" t="str">
        <f t="shared" si="599"/>
        <v>2012</v>
      </c>
      <c r="AP1476" s="167" t="str">
        <f t="shared" si="600"/>
        <v>2012</v>
      </c>
      <c r="AQ1476" s="169" t="str">
        <f t="shared" si="601"/>
        <v/>
      </c>
      <c r="AR1476" s="170" t="str">
        <f t="shared" si="602"/>
        <v>BiK83a2K12--06</v>
      </c>
      <c r="AS1476" s="169" t="str">
        <f t="shared" si="603"/>
        <v/>
      </c>
      <c r="AT1476">
        <f t="shared" si="604"/>
        <v>14</v>
      </c>
      <c r="AU1476" s="170" t="str">
        <f t="shared" si="605"/>
        <v>0,5-5 MW, Bonusregeln a2 und K erstmals 2012</v>
      </c>
      <c r="AV1476" s="169" t="str">
        <f t="shared" si="606"/>
        <v/>
      </c>
      <c r="AW1476" s="170" t="str">
        <f t="shared" si="607"/>
        <v>Anteil KWK, erstmals 2012</v>
      </c>
      <c r="AX1476" s="169" t="str">
        <f t="shared" si="608"/>
        <v/>
      </c>
      <c r="AY1476" t="str">
        <f t="shared" si="609"/>
        <v/>
      </c>
      <c r="AZ1476" t="str">
        <f t="shared" si="610"/>
        <v>x</v>
      </c>
    </row>
    <row r="1477" spans="1:52" s="145" customFormat="1" x14ac:dyDescent="0.35">
      <c r="A1477" s="496" t="s">
        <v>522</v>
      </c>
      <c r="B1477" s="1" t="s">
        <v>5547</v>
      </c>
      <c r="C1477" s="1" t="s">
        <v>1296</v>
      </c>
      <c r="D1477" s="1" t="s">
        <v>6757</v>
      </c>
      <c r="E1477" s="1" t="s">
        <v>4809</v>
      </c>
      <c r="F1477" s="375">
        <f t="shared" si="617"/>
        <v>11.14</v>
      </c>
      <c r="G1477" s="432">
        <v>11.14</v>
      </c>
      <c r="H1477" s="401">
        <f t="shared" si="618"/>
        <v>8.91</v>
      </c>
      <c r="I1477" s="578"/>
      <c r="J1477" s="549" t="s">
        <v>5804</v>
      </c>
      <c r="K1477" s="11"/>
      <c r="L1477"/>
      <c r="M1477" s="37">
        <f t="shared" si="619"/>
        <v>11.14</v>
      </c>
      <c r="N1477" s="29">
        <v>8.64</v>
      </c>
      <c r="O1477" s="41"/>
      <c r="P1477" s="59"/>
      <c r="Q1477"/>
      <c r="R1477"/>
      <c r="S1477" t="s">
        <v>4179</v>
      </c>
      <c r="T1477" s="145" t="s">
        <v>4179</v>
      </c>
      <c r="U1477" s="60"/>
      <c r="V1477" s="50"/>
      <c r="W1477"/>
      <c r="X1477" t="s">
        <v>1017</v>
      </c>
      <c r="Y1477" s="50"/>
      <c r="Z1477" s="50"/>
      <c r="AA1477" s="50"/>
      <c r="AB1477" s="50"/>
      <c r="AC1477" s="50"/>
      <c r="AD1477" s="50"/>
      <c r="AE1477" s="75"/>
      <c r="AF1477" s="50"/>
      <c r="AG1477" s="50"/>
      <c r="AH1477" s="166" t="str">
        <f>IF(ISERROR(SEARCH("K erstmals 201",D1477)),"",RIGHT(D1477,4))</f>
        <v/>
      </c>
      <c r="AI1477" s="168" t="str">
        <f t="shared" si="612"/>
        <v/>
      </c>
      <c r="AJ1477" s="168" t="str">
        <f t="shared" si="613"/>
        <v/>
      </c>
      <c r="AK1477" s="168" t="str">
        <f t="shared" si="614"/>
        <v/>
      </c>
      <c r="AL1477" s="168" t="str">
        <f t="shared" si="615"/>
        <v/>
      </c>
      <c r="AM1477" s="168" t="str">
        <f t="shared" si="616"/>
        <v/>
      </c>
      <c r="AN1477" s="167" t="str">
        <f t="shared" si="598"/>
        <v/>
      </c>
      <c r="AO1477" s="167" t="str">
        <f t="shared" si="599"/>
        <v/>
      </c>
      <c r="AP1477" s="167" t="str">
        <f t="shared" si="600"/>
        <v/>
      </c>
      <c r="AQ1477" s="169" t="str">
        <f t="shared" si="601"/>
        <v/>
      </c>
      <c r="AR1477" s="170" t="str">
        <f t="shared" si="602"/>
        <v>BiK83a3-----06</v>
      </c>
      <c r="AS1477" s="169" t="str">
        <f t="shared" si="603"/>
        <v/>
      </c>
      <c r="AT1477">
        <f t="shared" si="604"/>
        <v>14</v>
      </c>
      <c r="AU1477" s="170" t="str">
        <f t="shared" si="605"/>
        <v>0,5-5 MW, Bonusregel a3</v>
      </c>
      <c r="AV1477" s="169" t="str">
        <f t="shared" si="606"/>
        <v/>
      </c>
      <c r="AW1477" s="170" t="str">
        <f t="shared" si="607"/>
        <v>Anteil Nicht-KWK</v>
      </c>
      <c r="AX1477" s="169" t="str">
        <f t="shared" si="608"/>
        <v/>
      </c>
      <c r="AY1477" t="str">
        <f t="shared" si="609"/>
        <v/>
      </c>
      <c r="AZ1477" t="str">
        <f t="shared" si="610"/>
        <v/>
      </c>
    </row>
    <row r="1478" spans="1:52" s="145" customFormat="1" x14ac:dyDescent="0.35">
      <c r="A1478" s="496" t="s">
        <v>523</v>
      </c>
      <c r="B1478" s="1" t="s">
        <v>5547</v>
      </c>
      <c r="C1478" s="1" t="s">
        <v>1296</v>
      </c>
      <c r="D1478" s="1" t="s">
        <v>6775</v>
      </c>
      <c r="E1478" s="1" t="s">
        <v>4811</v>
      </c>
      <c r="F1478" s="375">
        <f t="shared" si="617"/>
        <v>13.14</v>
      </c>
      <c r="G1478" s="432">
        <v>13.14</v>
      </c>
      <c r="H1478" s="401">
        <f t="shared" si="618"/>
        <v>10.51</v>
      </c>
      <c r="I1478" s="578"/>
      <c r="J1478" s="549" t="s">
        <v>5804</v>
      </c>
      <c r="K1478" s="11"/>
      <c r="L1478"/>
      <c r="M1478" s="37">
        <f t="shared" si="619"/>
        <v>13.14</v>
      </c>
      <c r="N1478" s="29">
        <v>8.64</v>
      </c>
      <c r="O1478" s="41" t="s">
        <v>1017</v>
      </c>
      <c r="P1478" s="59"/>
      <c r="Q1478"/>
      <c r="R1478"/>
      <c r="S1478" t="s">
        <v>4179</v>
      </c>
      <c r="T1478" s="145" t="s">
        <v>4179</v>
      </c>
      <c r="U1478" s="60"/>
      <c r="V1478" s="50"/>
      <c r="W1478"/>
      <c r="X1478" t="s">
        <v>1017</v>
      </c>
      <c r="Y1478" s="50"/>
      <c r="Z1478" s="50"/>
      <c r="AA1478" s="50"/>
      <c r="AB1478" s="50"/>
      <c r="AC1478" s="50"/>
      <c r="AD1478" s="50"/>
      <c r="AE1478" s="75"/>
      <c r="AF1478" s="50"/>
      <c r="AG1478" s="50"/>
      <c r="AH1478" s="166" t="str">
        <f>IF(ISERROR(SEARCH("K erstmals 201",D1478)),"",RIGHT(D1478,4))</f>
        <v/>
      </c>
      <c r="AI1478" s="168" t="str">
        <f t="shared" si="612"/>
        <v/>
      </c>
      <c r="AJ1478" s="168" t="str">
        <f t="shared" si="613"/>
        <v/>
      </c>
      <c r="AK1478" s="168" t="str">
        <f t="shared" si="614"/>
        <v/>
      </c>
      <c r="AL1478" s="168" t="str">
        <f t="shared" si="615"/>
        <v/>
      </c>
      <c r="AM1478" s="168" t="str">
        <f t="shared" si="616"/>
        <v/>
      </c>
      <c r="AN1478" s="167" t="str">
        <f t="shared" si="598"/>
        <v/>
      </c>
      <c r="AO1478" s="167" t="str">
        <f t="shared" si="599"/>
        <v/>
      </c>
      <c r="AP1478" s="167" t="str">
        <f t="shared" si="600"/>
        <v/>
      </c>
      <c r="AQ1478" s="169" t="str">
        <f t="shared" si="601"/>
        <v/>
      </c>
      <c r="AR1478" s="170" t="str">
        <f t="shared" si="602"/>
        <v>BiK83a3KWK--06</v>
      </c>
      <c r="AS1478" s="169" t="str">
        <f t="shared" si="603"/>
        <v/>
      </c>
      <c r="AT1478">
        <f t="shared" si="604"/>
        <v>14</v>
      </c>
      <c r="AU1478" s="170" t="str">
        <f t="shared" si="605"/>
        <v>0,5-5 MW, Bonusregel a3 und KWK</v>
      </c>
      <c r="AV1478" s="169" t="str">
        <f t="shared" si="606"/>
        <v/>
      </c>
      <c r="AW1478" s="170" t="str">
        <f t="shared" si="607"/>
        <v>Anteil KWK</v>
      </c>
      <c r="AX1478" s="169" t="str">
        <f t="shared" si="608"/>
        <v/>
      </c>
      <c r="AY1478" t="str">
        <f t="shared" si="609"/>
        <v/>
      </c>
      <c r="AZ1478" t="str">
        <f t="shared" si="610"/>
        <v/>
      </c>
    </row>
    <row r="1479" spans="1:52" s="145" customFormat="1" x14ac:dyDescent="0.35">
      <c r="A1479" s="497" t="s">
        <v>4069</v>
      </c>
      <c r="B1479" s="13" t="s">
        <v>5547</v>
      </c>
      <c r="C1479" s="13" t="s">
        <v>1296</v>
      </c>
      <c r="D1479" s="13" t="s">
        <v>6776</v>
      </c>
      <c r="E1479" s="13" t="s">
        <v>674</v>
      </c>
      <c r="F1479" s="373">
        <f t="shared" si="617"/>
        <v>14.14</v>
      </c>
      <c r="G1479" s="430">
        <v>14.14</v>
      </c>
      <c r="H1479" s="399">
        <f t="shared" si="618"/>
        <v>11.31</v>
      </c>
      <c r="I1479" s="576"/>
      <c r="J1479" s="549" t="s">
        <v>5804</v>
      </c>
      <c r="K1479" s="11"/>
      <c r="L1479"/>
      <c r="M1479" s="37">
        <f t="shared" si="619"/>
        <v>14.14</v>
      </c>
      <c r="N1479" s="29">
        <v>8.64</v>
      </c>
      <c r="O1479" s="41"/>
      <c r="P1479" s="59"/>
      <c r="Q1479" t="s">
        <v>1017</v>
      </c>
      <c r="R1479"/>
      <c r="S1479" t="s">
        <v>4179</v>
      </c>
      <c r="T1479" s="145" t="s">
        <v>4179</v>
      </c>
      <c r="U1479" s="60"/>
      <c r="V1479" s="50"/>
      <c r="W1479"/>
      <c r="X1479" t="s">
        <v>1017</v>
      </c>
      <c r="Y1479" s="50"/>
      <c r="Z1479" s="50"/>
      <c r="AA1479" s="50"/>
      <c r="AB1479" s="50"/>
      <c r="AC1479" s="50"/>
      <c r="AD1479" s="50"/>
      <c r="AE1479" s="75"/>
      <c r="AF1479" s="50"/>
      <c r="AG1479" s="50"/>
      <c r="AH1479" s="166" t="str">
        <f>IF(ISERROR(SEARCH("K erstmals 201",D1479)),"",RIGHT(D1479,4))</f>
        <v/>
      </c>
      <c r="AI1479" s="168" t="str">
        <f t="shared" si="612"/>
        <v/>
      </c>
      <c r="AJ1479" s="168" t="str">
        <f t="shared" si="613"/>
        <v/>
      </c>
      <c r="AK1479" s="168" t="str">
        <f t="shared" si="614"/>
        <v/>
      </c>
      <c r="AL1479" s="168" t="str">
        <f t="shared" si="615"/>
        <v/>
      </c>
      <c r="AM1479" s="168" t="str">
        <f t="shared" si="616"/>
        <v/>
      </c>
      <c r="AN1479" s="167" t="str">
        <f t="shared" si="598"/>
        <v/>
      </c>
      <c r="AO1479" s="167" t="str">
        <f t="shared" si="599"/>
        <v/>
      </c>
      <c r="AP1479" s="167" t="str">
        <f t="shared" si="600"/>
        <v/>
      </c>
      <c r="AQ1479" s="169" t="str">
        <f t="shared" si="601"/>
        <v/>
      </c>
      <c r="AR1479" s="170" t="str">
        <f t="shared" si="602"/>
        <v>BiK83a3K09--06</v>
      </c>
      <c r="AS1479" s="169" t="str">
        <f t="shared" si="603"/>
        <v/>
      </c>
      <c r="AT1479">
        <f t="shared" si="604"/>
        <v>14</v>
      </c>
      <c r="AU1479" s="170" t="str">
        <f t="shared" si="605"/>
        <v>0,5-5 MW, Bonusregeln a3 und K erstmals 2009</v>
      </c>
      <c r="AV1479" s="169" t="str">
        <f t="shared" si="606"/>
        <v/>
      </c>
      <c r="AW1479" s="170" t="str">
        <f t="shared" si="607"/>
        <v>Anteil KWK, erstmals 2009</v>
      </c>
      <c r="AX1479" s="169" t="str">
        <f t="shared" si="608"/>
        <v/>
      </c>
      <c r="AY1479" t="str">
        <f t="shared" si="609"/>
        <v/>
      </c>
      <c r="AZ1479" t="str">
        <f t="shared" si="610"/>
        <v/>
      </c>
    </row>
    <row r="1480" spans="1:52" s="145" customFormat="1" x14ac:dyDescent="0.35">
      <c r="A1480" s="497" t="s">
        <v>4934</v>
      </c>
      <c r="B1480" s="13" t="s">
        <v>5547</v>
      </c>
      <c r="C1480" s="13" t="s">
        <v>1296</v>
      </c>
      <c r="D1480" s="13" t="s">
        <v>6777</v>
      </c>
      <c r="E1480" s="13" t="s">
        <v>3566</v>
      </c>
      <c r="F1480" s="373">
        <f t="shared" si="617"/>
        <v>14.110000000000001</v>
      </c>
      <c r="G1480" s="430">
        <v>14.110000000000001</v>
      </c>
      <c r="H1480" s="399">
        <f t="shared" si="618"/>
        <v>11.29</v>
      </c>
      <c r="I1480" s="576"/>
      <c r="J1480" s="549" t="s">
        <v>5804</v>
      </c>
      <c r="K1480" s="11"/>
      <c r="L1480"/>
      <c r="M1480" s="37">
        <f t="shared" si="619"/>
        <v>14.110000000000001</v>
      </c>
      <c r="N1480" s="29">
        <v>8.64</v>
      </c>
      <c r="O1480" s="41"/>
      <c r="P1480" s="59"/>
      <c r="Q1480"/>
      <c r="R1480" t="s">
        <v>1017</v>
      </c>
      <c r="S1480" t="s">
        <v>4179</v>
      </c>
      <c r="T1480" s="145" t="s">
        <v>4179</v>
      </c>
      <c r="U1480" s="60"/>
      <c r="V1480" s="50"/>
      <c r="W1480"/>
      <c r="X1480" t="s">
        <v>1017</v>
      </c>
      <c r="Y1480" s="50"/>
      <c r="Z1480" s="50"/>
      <c r="AA1480" s="50"/>
      <c r="AB1480" s="50"/>
      <c r="AC1480" s="50"/>
      <c r="AD1480" s="50"/>
      <c r="AE1480" s="75"/>
      <c r="AF1480" s="50"/>
      <c r="AG1480" s="50"/>
      <c r="AH1480" s="166" t="str">
        <f>IF(ISERROR(SEARCH("K erstmals 201",D1480)),"",RIGHT(D1480,4))</f>
        <v>2010</v>
      </c>
      <c r="AI1480" s="168" t="str">
        <f t="shared" si="612"/>
        <v/>
      </c>
      <c r="AJ1480" s="168" t="str">
        <f t="shared" si="613"/>
        <v/>
      </c>
      <c r="AK1480" s="168" t="str">
        <f t="shared" si="614"/>
        <v/>
      </c>
      <c r="AL1480" s="168" t="str">
        <f t="shared" si="615"/>
        <v/>
      </c>
      <c r="AM1480" s="168" t="str">
        <f t="shared" si="616"/>
        <v/>
      </c>
      <c r="AN1480" s="167" t="str">
        <f t="shared" si="598"/>
        <v>2010</v>
      </c>
      <c r="AO1480" s="167" t="str">
        <f t="shared" si="599"/>
        <v>2010</v>
      </c>
      <c r="AP1480" s="167" t="str">
        <f t="shared" si="600"/>
        <v>2010</v>
      </c>
      <c r="AQ1480" s="169" t="str">
        <f t="shared" si="601"/>
        <v/>
      </c>
      <c r="AR1480" s="170" t="str">
        <f t="shared" si="602"/>
        <v>BiK83a3K10--06</v>
      </c>
      <c r="AS1480" s="169" t="str">
        <f t="shared" si="603"/>
        <v/>
      </c>
      <c r="AT1480">
        <f t="shared" si="604"/>
        <v>14</v>
      </c>
      <c r="AU1480" s="170" t="str">
        <f t="shared" si="605"/>
        <v>0,5-5 MW, Bonusregeln a3 und K erstmals 2010</v>
      </c>
      <c r="AV1480" s="169" t="str">
        <f t="shared" si="606"/>
        <v/>
      </c>
      <c r="AW1480" s="170" t="str">
        <f t="shared" si="607"/>
        <v>Anteil KWK, erstmals 2010</v>
      </c>
      <c r="AX1480" s="169" t="str">
        <f t="shared" si="608"/>
        <v/>
      </c>
      <c r="AY1480" t="str">
        <f t="shared" si="609"/>
        <v/>
      </c>
      <c r="AZ1480" t="str">
        <f t="shared" si="610"/>
        <v/>
      </c>
    </row>
    <row r="1481" spans="1:52" s="145" customFormat="1" x14ac:dyDescent="0.35">
      <c r="A1481" s="497" t="s">
        <v>3981</v>
      </c>
      <c r="B1481" s="13" t="s">
        <v>5547</v>
      </c>
      <c r="C1481" s="13" t="s">
        <v>1296</v>
      </c>
      <c r="D1481" s="13" t="s">
        <v>6778</v>
      </c>
      <c r="E1481" s="13" t="s">
        <v>3054</v>
      </c>
      <c r="F1481" s="373">
        <f t="shared" si="617"/>
        <v>14.08</v>
      </c>
      <c r="G1481" s="430">
        <v>14.08</v>
      </c>
      <c r="H1481" s="399">
        <f t="shared" si="618"/>
        <v>11.26</v>
      </c>
      <c r="I1481" s="576"/>
      <c r="J1481" s="549" t="s">
        <v>5804</v>
      </c>
      <c r="K1481" s="11"/>
      <c r="L1481"/>
      <c r="M1481" s="37">
        <f t="shared" si="619"/>
        <v>14.08</v>
      </c>
      <c r="N1481" s="29">
        <v>8.64</v>
      </c>
      <c r="O1481" s="41"/>
      <c r="P1481" s="59"/>
      <c r="Q1481"/>
      <c r="R1481"/>
      <c r="S1481" t="s">
        <v>1017</v>
      </c>
      <c r="T1481" s="145" t="s">
        <v>4179</v>
      </c>
      <c r="U1481" s="60"/>
      <c r="V1481" s="50"/>
      <c r="W1481"/>
      <c r="X1481" t="s">
        <v>1017</v>
      </c>
      <c r="Y1481" s="50"/>
      <c r="Z1481" s="50"/>
      <c r="AA1481" s="50"/>
      <c r="AB1481" s="50"/>
      <c r="AC1481" s="50"/>
      <c r="AD1481" s="50"/>
      <c r="AE1481" s="75"/>
      <c r="AF1481" s="50"/>
      <c r="AG1481" s="50"/>
      <c r="AH1481" s="166" t="str">
        <f>IF(ISERROR(SEARCH("K erstmals 201",D1481)),"",RIGHT(D1481,4))</f>
        <v>2011</v>
      </c>
      <c r="AI1481" s="168" t="str">
        <f t="shared" si="612"/>
        <v/>
      </c>
      <c r="AJ1481" s="168" t="str">
        <f t="shared" si="613"/>
        <v/>
      </c>
      <c r="AK1481" s="168" t="str">
        <f t="shared" si="614"/>
        <v/>
      </c>
      <c r="AL1481" s="168" t="str">
        <f t="shared" si="615"/>
        <v/>
      </c>
      <c r="AM1481" s="168" t="str">
        <f t="shared" si="616"/>
        <v/>
      </c>
      <c r="AN1481" s="167" t="str">
        <f t="shared" si="598"/>
        <v>2011</v>
      </c>
      <c r="AO1481" s="167" t="str">
        <f t="shared" si="599"/>
        <v>2011</v>
      </c>
      <c r="AP1481" s="167" t="str">
        <f t="shared" si="600"/>
        <v>2011</v>
      </c>
      <c r="AQ1481" s="169" t="str">
        <f t="shared" si="601"/>
        <v/>
      </c>
      <c r="AR1481" s="170" t="str">
        <f t="shared" si="602"/>
        <v>BiK83a3K11--06</v>
      </c>
      <c r="AS1481" s="169" t="str">
        <f t="shared" si="603"/>
        <v/>
      </c>
      <c r="AT1481">
        <f t="shared" si="604"/>
        <v>14</v>
      </c>
      <c r="AU1481" s="170" t="str">
        <f t="shared" si="605"/>
        <v>0,5-5 MW, Bonusregeln a3 und K erstmals 2011</v>
      </c>
      <c r="AV1481" s="169" t="str">
        <f t="shared" si="606"/>
        <v/>
      </c>
      <c r="AW1481" s="170" t="str">
        <f t="shared" si="607"/>
        <v>Anteil KWK, erstmals 2011</v>
      </c>
      <c r="AX1481" s="169" t="str">
        <f t="shared" si="608"/>
        <v/>
      </c>
      <c r="AY1481" t="str">
        <f t="shared" si="609"/>
        <v>x</v>
      </c>
      <c r="AZ1481" t="str">
        <f t="shared" si="610"/>
        <v/>
      </c>
    </row>
    <row r="1482" spans="1:52" s="145" customFormat="1" x14ac:dyDescent="0.35">
      <c r="A1482" s="511" t="s">
        <v>1804</v>
      </c>
      <c r="B1482" s="173" t="s">
        <v>5547</v>
      </c>
      <c r="C1482" s="173" t="s">
        <v>1296</v>
      </c>
      <c r="D1482" s="173" t="s">
        <v>6779</v>
      </c>
      <c r="E1482" s="173" t="s">
        <v>1980</v>
      </c>
      <c r="F1482" s="374">
        <f t="shared" si="617"/>
        <v>14.05</v>
      </c>
      <c r="G1482" s="431">
        <v>14.05</v>
      </c>
      <c r="H1482" s="400">
        <f t="shared" si="618"/>
        <v>11.24</v>
      </c>
      <c r="I1482" s="577"/>
      <c r="J1482" s="549" t="s">
        <v>5804</v>
      </c>
      <c r="K1482" s="11"/>
      <c r="L1482"/>
      <c r="M1482" s="37">
        <f t="shared" si="619"/>
        <v>14.05</v>
      </c>
      <c r="N1482" s="29">
        <v>8.64</v>
      </c>
      <c r="O1482" s="41"/>
      <c r="P1482" s="59"/>
      <c r="Q1482"/>
      <c r="R1482"/>
      <c r="S1482" t="s">
        <v>4179</v>
      </c>
      <c r="T1482" s="145" t="s">
        <v>1017</v>
      </c>
      <c r="U1482" s="60"/>
      <c r="V1482" s="50"/>
      <c r="W1482"/>
      <c r="X1482" t="s">
        <v>1017</v>
      </c>
      <c r="Y1482" s="50"/>
      <c r="Z1482" s="50"/>
      <c r="AA1482" s="50"/>
      <c r="AB1482" s="50"/>
      <c r="AC1482" s="50"/>
      <c r="AD1482" s="50"/>
      <c r="AE1482" s="75"/>
      <c r="AF1482" s="50"/>
      <c r="AG1482" s="50"/>
      <c r="AH1482" s="171" t="s">
        <v>4178</v>
      </c>
      <c r="AI1482" s="168" t="str">
        <f t="shared" si="612"/>
        <v/>
      </c>
      <c r="AJ1482" s="168" t="str">
        <f t="shared" si="613"/>
        <v/>
      </c>
      <c r="AK1482" s="168" t="str">
        <f t="shared" si="614"/>
        <v/>
      </c>
      <c r="AL1482" s="168" t="str">
        <f t="shared" si="615"/>
        <v/>
      </c>
      <c r="AM1482" s="168" t="str">
        <f t="shared" si="616"/>
        <v/>
      </c>
      <c r="AN1482" s="167" t="str">
        <f t="shared" si="598"/>
        <v>2012</v>
      </c>
      <c r="AO1482" s="167" t="str">
        <f t="shared" si="599"/>
        <v>2012</v>
      </c>
      <c r="AP1482" s="167" t="str">
        <f t="shared" si="600"/>
        <v>2012</v>
      </c>
      <c r="AQ1482" s="169" t="str">
        <f t="shared" si="601"/>
        <v/>
      </c>
      <c r="AR1482" s="170" t="str">
        <f t="shared" si="602"/>
        <v>BiK83a3K12--06</v>
      </c>
      <c r="AS1482" s="169" t="str">
        <f t="shared" si="603"/>
        <v/>
      </c>
      <c r="AT1482">
        <f t="shared" si="604"/>
        <v>14</v>
      </c>
      <c r="AU1482" s="170" t="str">
        <f t="shared" si="605"/>
        <v>0,5-5 MW, Bonusregeln a3 und K erstmals 2012</v>
      </c>
      <c r="AV1482" s="169" t="str">
        <f t="shared" si="606"/>
        <v/>
      </c>
      <c r="AW1482" s="170" t="str">
        <f t="shared" si="607"/>
        <v>Anteil KWK, erstmals 2012</v>
      </c>
      <c r="AX1482" s="169" t="str">
        <f t="shared" si="608"/>
        <v/>
      </c>
      <c r="AY1482" t="str">
        <f t="shared" si="609"/>
        <v/>
      </c>
      <c r="AZ1482" t="str">
        <f t="shared" si="610"/>
        <v>x</v>
      </c>
    </row>
    <row r="1483" spans="1:52" s="145" customFormat="1" x14ac:dyDescent="0.35">
      <c r="A1483" s="496" t="s">
        <v>524</v>
      </c>
      <c r="B1483" s="1" t="s">
        <v>5547</v>
      </c>
      <c r="C1483" s="1" t="s">
        <v>1296</v>
      </c>
      <c r="D1483" s="1" t="s">
        <v>6780</v>
      </c>
      <c r="E1483" s="1" t="s">
        <v>4809</v>
      </c>
      <c r="F1483" s="375">
        <f t="shared" si="617"/>
        <v>10.64</v>
      </c>
      <c r="G1483" s="432">
        <v>10.64</v>
      </c>
      <c r="H1483" s="401">
        <f t="shared" si="618"/>
        <v>8.51</v>
      </c>
      <c r="I1483" s="578"/>
      <c r="J1483" s="549" t="s">
        <v>5804</v>
      </c>
      <c r="K1483" s="11"/>
      <c r="L1483"/>
      <c r="M1483" s="37">
        <f t="shared" si="619"/>
        <v>10.64</v>
      </c>
      <c r="N1483" s="29">
        <v>8.64</v>
      </c>
      <c r="O1483" s="41"/>
      <c r="P1483" s="59"/>
      <c r="Q1483"/>
      <c r="R1483"/>
      <c r="S1483" t="s">
        <v>4179</v>
      </c>
      <c r="T1483" s="145" t="s">
        <v>4179</v>
      </c>
      <c r="U1483" s="60"/>
      <c r="V1483" s="50"/>
      <c r="W1483"/>
      <c r="X1483"/>
      <c r="Y1483" s="50"/>
      <c r="Z1483" s="50"/>
      <c r="AA1483" s="50"/>
      <c r="AB1483" s="50"/>
      <c r="AC1483" s="50"/>
      <c r="AD1483" s="50"/>
      <c r="AE1483" s="75" t="s">
        <v>1017</v>
      </c>
      <c r="AF1483" s="50"/>
      <c r="AG1483" s="50"/>
      <c r="AH1483" s="166" t="str">
        <f>IF(ISERROR(SEARCH("K erstmals 201",D1483)),"",RIGHT(D1483,4))</f>
        <v/>
      </c>
      <c r="AI1483" s="168" t="str">
        <f t="shared" si="612"/>
        <v/>
      </c>
      <c r="AJ1483" s="168" t="str">
        <f t="shared" si="613"/>
        <v/>
      </c>
      <c r="AK1483" s="168" t="str">
        <f t="shared" si="614"/>
        <v/>
      </c>
      <c r="AL1483" s="168" t="str">
        <f t="shared" si="615"/>
        <v/>
      </c>
      <c r="AM1483" s="168" t="str">
        <f t="shared" si="616"/>
        <v/>
      </c>
      <c r="AN1483" s="167" t="str">
        <f t="shared" si="598"/>
        <v/>
      </c>
      <c r="AO1483" s="167" t="str">
        <f t="shared" si="599"/>
        <v/>
      </c>
      <c r="AP1483" s="167" t="str">
        <f t="shared" si="600"/>
        <v/>
      </c>
      <c r="AQ1483" s="169" t="str">
        <f t="shared" si="601"/>
        <v/>
      </c>
      <c r="AR1483" s="170" t="str">
        <f t="shared" si="602"/>
        <v>BiK83b------06</v>
      </c>
      <c r="AS1483" s="169" t="str">
        <f t="shared" si="603"/>
        <v/>
      </c>
      <c r="AT1483">
        <f t="shared" si="604"/>
        <v>14</v>
      </c>
      <c r="AU1483" s="170" t="str">
        <f t="shared" si="605"/>
        <v>0,5-5 MW, Bonusregel b</v>
      </c>
      <c r="AV1483" s="169" t="str">
        <f t="shared" si="606"/>
        <v/>
      </c>
      <c r="AW1483" s="170" t="str">
        <f t="shared" si="607"/>
        <v>Anteil Nicht-KWK</v>
      </c>
      <c r="AX1483" s="169" t="str">
        <f t="shared" si="608"/>
        <v/>
      </c>
      <c r="AY1483" t="str">
        <f t="shared" si="609"/>
        <v/>
      </c>
      <c r="AZ1483" t="str">
        <f t="shared" si="610"/>
        <v/>
      </c>
    </row>
    <row r="1484" spans="1:52" s="145" customFormat="1" x14ac:dyDescent="0.35">
      <c r="A1484" s="496" t="s">
        <v>525</v>
      </c>
      <c r="B1484" s="1" t="s">
        <v>5547</v>
      </c>
      <c r="C1484" s="1" t="s">
        <v>1296</v>
      </c>
      <c r="D1484" s="1" t="s">
        <v>6781</v>
      </c>
      <c r="E1484" s="1" t="s">
        <v>4811</v>
      </c>
      <c r="F1484" s="375">
        <f t="shared" si="617"/>
        <v>12.64</v>
      </c>
      <c r="G1484" s="432">
        <v>12.64</v>
      </c>
      <c r="H1484" s="401">
        <f t="shared" si="618"/>
        <v>10.11</v>
      </c>
      <c r="I1484" s="578"/>
      <c r="J1484" s="549" t="s">
        <v>5804</v>
      </c>
      <c r="K1484" s="11"/>
      <c r="L1484"/>
      <c r="M1484" s="37">
        <f t="shared" si="619"/>
        <v>12.64</v>
      </c>
      <c r="N1484" s="29">
        <v>8.64</v>
      </c>
      <c r="O1484" s="41" t="s">
        <v>1017</v>
      </c>
      <c r="P1484" s="59"/>
      <c r="Q1484"/>
      <c r="R1484"/>
      <c r="S1484" t="s">
        <v>4179</v>
      </c>
      <c r="T1484" s="145" t="s">
        <v>4179</v>
      </c>
      <c r="U1484" s="60"/>
      <c r="V1484" s="50"/>
      <c r="W1484"/>
      <c r="X1484"/>
      <c r="Y1484" s="50"/>
      <c r="Z1484" s="50"/>
      <c r="AA1484" s="50"/>
      <c r="AB1484" s="50"/>
      <c r="AC1484" s="50"/>
      <c r="AD1484" s="50"/>
      <c r="AE1484" s="75" t="s">
        <v>1017</v>
      </c>
      <c r="AF1484" s="50"/>
      <c r="AG1484" s="50"/>
      <c r="AH1484" s="166" t="str">
        <f>IF(ISERROR(SEARCH("K erstmals 201",D1484)),"",RIGHT(D1484,4))</f>
        <v/>
      </c>
      <c r="AI1484" s="168" t="str">
        <f t="shared" si="612"/>
        <v/>
      </c>
      <c r="AJ1484" s="168" t="str">
        <f t="shared" si="613"/>
        <v/>
      </c>
      <c r="AK1484" s="168" t="str">
        <f t="shared" si="614"/>
        <v/>
      </c>
      <c r="AL1484" s="168" t="str">
        <f t="shared" si="615"/>
        <v/>
      </c>
      <c r="AM1484" s="168" t="str">
        <f t="shared" si="616"/>
        <v/>
      </c>
      <c r="AN1484" s="167" t="str">
        <f t="shared" si="598"/>
        <v/>
      </c>
      <c r="AO1484" s="167" t="str">
        <f t="shared" si="599"/>
        <v/>
      </c>
      <c r="AP1484" s="167" t="str">
        <f t="shared" si="600"/>
        <v/>
      </c>
      <c r="AQ1484" s="169" t="str">
        <f t="shared" si="601"/>
        <v/>
      </c>
      <c r="AR1484" s="170" t="str">
        <f t="shared" si="602"/>
        <v>BiK83bKWK---06</v>
      </c>
      <c r="AS1484" s="169" t="str">
        <f t="shared" si="603"/>
        <v/>
      </c>
      <c r="AT1484">
        <f t="shared" si="604"/>
        <v>14</v>
      </c>
      <c r="AU1484" s="170" t="str">
        <f t="shared" si="605"/>
        <v>0,5-5 MW, Bonusregel b und KWK</v>
      </c>
      <c r="AV1484" s="169" t="str">
        <f t="shared" si="606"/>
        <v/>
      </c>
      <c r="AW1484" s="170" t="str">
        <f t="shared" si="607"/>
        <v>Anteil KWK</v>
      </c>
      <c r="AX1484" s="169" t="str">
        <f t="shared" si="608"/>
        <v/>
      </c>
      <c r="AY1484" t="str">
        <f t="shared" si="609"/>
        <v/>
      </c>
      <c r="AZ1484" t="str">
        <f t="shared" si="610"/>
        <v/>
      </c>
    </row>
    <row r="1485" spans="1:52" s="145" customFormat="1" x14ac:dyDescent="0.35">
      <c r="A1485" s="497" t="s">
        <v>4070</v>
      </c>
      <c r="B1485" s="13" t="s">
        <v>5547</v>
      </c>
      <c r="C1485" s="13" t="s">
        <v>1296</v>
      </c>
      <c r="D1485" s="13" t="s">
        <v>6782</v>
      </c>
      <c r="E1485" s="13" t="s">
        <v>674</v>
      </c>
      <c r="F1485" s="373">
        <f t="shared" si="617"/>
        <v>13.64</v>
      </c>
      <c r="G1485" s="430">
        <v>13.64</v>
      </c>
      <c r="H1485" s="399">
        <f t="shared" si="618"/>
        <v>10.91</v>
      </c>
      <c r="I1485" s="576"/>
      <c r="J1485" s="549" t="s">
        <v>5804</v>
      </c>
      <c r="K1485" s="11"/>
      <c r="L1485"/>
      <c r="M1485" s="37">
        <f t="shared" si="619"/>
        <v>13.64</v>
      </c>
      <c r="N1485" s="29">
        <v>8.64</v>
      </c>
      <c r="O1485" s="41"/>
      <c r="P1485" s="59"/>
      <c r="Q1485" t="s">
        <v>1017</v>
      </c>
      <c r="R1485"/>
      <c r="S1485" t="s">
        <v>4179</v>
      </c>
      <c r="T1485" s="145" t="s">
        <v>4179</v>
      </c>
      <c r="U1485" s="60"/>
      <c r="V1485" s="50"/>
      <c r="W1485"/>
      <c r="X1485"/>
      <c r="Y1485" s="50"/>
      <c r="Z1485" s="50"/>
      <c r="AA1485" s="50"/>
      <c r="AB1485" s="50"/>
      <c r="AC1485" s="50"/>
      <c r="AD1485" s="50"/>
      <c r="AE1485" s="75" t="s">
        <v>1017</v>
      </c>
      <c r="AF1485" s="50"/>
      <c r="AG1485" s="50"/>
      <c r="AH1485" s="166" t="str">
        <f>IF(ISERROR(SEARCH("K erstmals 201",D1485)),"",RIGHT(D1485,4))</f>
        <v/>
      </c>
      <c r="AI1485" s="168" t="str">
        <f t="shared" si="612"/>
        <v/>
      </c>
      <c r="AJ1485" s="168" t="str">
        <f t="shared" si="613"/>
        <v/>
      </c>
      <c r="AK1485" s="168" t="str">
        <f t="shared" si="614"/>
        <v/>
      </c>
      <c r="AL1485" s="168" t="str">
        <f t="shared" si="615"/>
        <v/>
      </c>
      <c r="AM1485" s="168" t="str">
        <f t="shared" si="616"/>
        <v/>
      </c>
      <c r="AN1485" s="167" t="str">
        <f t="shared" si="598"/>
        <v/>
      </c>
      <c r="AO1485" s="167" t="str">
        <f t="shared" si="599"/>
        <v/>
      </c>
      <c r="AP1485" s="167" t="str">
        <f t="shared" si="600"/>
        <v/>
      </c>
      <c r="AQ1485" s="169" t="str">
        <f t="shared" si="601"/>
        <v/>
      </c>
      <c r="AR1485" s="170" t="str">
        <f t="shared" si="602"/>
        <v>BiK83bK09---06</v>
      </c>
      <c r="AS1485" s="169" t="str">
        <f t="shared" si="603"/>
        <v/>
      </c>
      <c r="AT1485">
        <f t="shared" si="604"/>
        <v>14</v>
      </c>
      <c r="AU1485" s="170" t="str">
        <f t="shared" si="605"/>
        <v>0,5-5 MW, Bonusregel b und K erstmals 2009</v>
      </c>
      <c r="AV1485" s="169" t="str">
        <f t="shared" si="606"/>
        <v/>
      </c>
      <c r="AW1485" s="170" t="str">
        <f t="shared" si="607"/>
        <v>Anteil KWK, erstmals 2009</v>
      </c>
      <c r="AX1485" s="169" t="str">
        <f t="shared" si="608"/>
        <v/>
      </c>
      <c r="AY1485" t="str">
        <f t="shared" si="609"/>
        <v/>
      </c>
      <c r="AZ1485" t="str">
        <f t="shared" si="610"/>
        <v/>
      </c>
    </row>
    <row r="1486" spans="1:52" s="145" customFormat="1" x14ac:dyDescent="0.35">
      <c r="A1486" s="497" t="s">
        <v>4935</v>
      </c>
      <c r="B1486" s="13" t="s">
        <v>5547</v>
      </c>
      <c r="C1486" s="13" t="s">
        <v>1296</v>
      </c>
      <c r="D1486" s="13" t="s">
        <v>6783</v>
      </c>
      <c r="E1486" s="13" t="s">
        <v>3566</v>
      </c>
      <c r="F1486" s="373">
        <f t="shared" si="617"/>
        <v>13.610000000000001</v>
      </c>
      <c r="G1486" s="430">
        <v>13.610000000000001</v>
      </c>
      <c r="H1486" s="399">
        <f t="shared" si="618"/>
        <v>10.89</v>
      </c>
      <c r="I1486" s="576"/>
      <c r="J1486" s="549" t="s">
        <v>5804</v>
      </c>
      <c r="K1486" s="11"/>
      <c r="L1486"/>
      <c r="M1486" s="37">
        <f t="shared" si="619"/>
        <v>13.610000000000001</v>
      </c>
      <c r="N1486" s="29">
        <v>8.64</v>
      </c>
      <c r="O1486" s="41"/>
      <c r="P1486" s="59"/>
      <c r="Q1486"/>
      <c r="R1486" t="s">
        <v>1017</v>
      </c>
      <c r="S1486" t="s">
        <v>4179</v>
      </c>
      <c r="T1486" s="145" t="s">
        <v>4179</v>
      </c>
      <c r="U1486" s="60"/>
      <c r="V1486" s="50"/>
      <c r="W1486"/>
      <c r="X1486"/>
      <c r="Y1486" s="50"/>
      <c r="Z1486" s="50"/>
      <c r="AA1486" s="50"/>
      <c r="AB1486" s="50"/>
      <c r="AC1486" s="50"/>
      <c r="AD1486" s="50"/>
      <c r="AE1486" s="75" t="s">
        <v>1017</v>
      </c>
      <c r="AF1486" s="50"/>
      <c r="AG1486" s="50"/>
      <c r="AH1486" s="166" t="str">
        <f>IF(ISERROR(SEARCH("K erstmals 201",D1486)),"",RIGHT(D1486,4))</f>
        <v>2010</v>
      </c>
      <c r="AI1486" s="168" t="str">
        <f t="shared" si="612"/>
        <v/>
      </c>
      <c r="AJ1486" s="168" t="str">
        <f t="shared" si="613"/>
        <v/>
      </c>
      <c r="AK1486" s="168" t="str">
        <f t="shared" si="614"/>
        <v/>
      </c>
      <c r="AL1486" s="168" t="str">
        <f t="shared" si="615"/>
        <v/>
      </c>
      <c r="AM1486" s="168" t="str">
        <f t="shared" si="616"/>
        <v/>
      </c>
      <c r="AN1486" s="167" t="str">
        <f t="shared" si="598"/>
        <v>2010</v>
      </c>
      <c r="AO1486" s="167" t="str">
        <f t="shared" si="599"/>
        <v>2010</v>
      </c>
      <c r="AP1486" s="167" t="str">
        <f t="shared" si="600"/>
        <v>2010</v>
      </c>
      <c r="AQ1486" s="169" t="str">
        <f t="shared" si="601"/>
        <v/>
      </c>
      <c r="AR1486" s="170" t="str">
        <f t="shared" si="602"/>
        <v>BiK83bK10---06</v>
      </c>
      <c r="AS1486" s="169" t="str">
        <f t="shared" si="603"/>
        <v/>
      </c>
      <c r="AT1486">
        <f t="shared" si="604"/>
        <v>14</v>
      </c>
      <c r="AU1486" s="170" t="str">
        <f t="shared" si="605"/>
        <v>0,5-5 MW, Bonusregel b und K erstmals 2010</v>
      </c>
      <c r="AV1486" s="169" t="str">
        <f t="shared" si="606"/>
        <v/>
      </c>
      <c r="AW1486" s="170" t="str">
        <f t="shared" si="607"/>
        <v>Anteil KWK, erstmals 2010</v>
      </c>
      <c r="AX1486" s="169" t="str">
        <f t="shared" si="608"/>
        <v/>
      </c>
      <c r="AY1486" t="str">
        <f t="shared" si="609"/>
        <v/>
      </c>
      <c r="AZ1486" t="str">
        <f t="shared" si="610"/>
        <v/>
      </c>
    </row>
    <row r="1487" spans="1:52" s="145" customFormat="1" x14ac:dyDescent="0.35">
      <c r="A1487" s="497" t="s">
        <v>3982</v>
      </c>
      <c r="B1487" s="13" t="s">
        <v>5547</v>
      </c>
      <c r="C1487" s="13" t="s">
        <v>1296</v>
      </c>
      <c r="D1487" s="13" t="s">
        <v>6784</v>
      </c>
      <c r="E1487" s="13" t="s">
        <v>3054</v>
      </c>
      <c r="F1487" s="373">
        <f t="shared" si="617"/>
        <v>13.58</v>
      </c>
      <c r="G1487" s="430">
        <v>13.58</v>
      </c>
      <c r="H1487" s="399">
        <f t="shared" si="618"/>
        <v>10.86</v>
      </c>
      <c r="I1487" s="576"/>
      <c r="J1487" s="549" t="s">
        <v>5804</v>
      </c>
      <c r="K1487" s="11"/>
      <c r="L1487"/>
      <c r="M1487" s="37">
        <f t="shared" si="619"/>
        <v>13.58</v>
      </c>
      <c r="N1487" s="29">
        <v>8.64</v>
      </c>
      <c r="O1487" s="41"/>
      <c r="P1487" s="59"/>
      <c r="Q1487"/>
      <c r="R1487"/>
      <c r="S1487" t="s">
        <v>1017</v>
      </c>
      <c r="T1487" s="145" t="s">
        <v>4179</v>
      </c>
      <c r="U1487" s="60"/>
      <c r="V1487" s="50"/>
      <c r="W1487"/>
      <c r="X1487"/>
      <c r="Y1487" s="50"/>
      <c r="Z1487" s="50"/>
      <c r="AA1487" s="50"/>
      <c r="AB1487" s="50"/>
      <c r="AC1487" s="50"/>
      <c r="AD1487" s="50"/>
      <c r="AE1487" s="75" t="s">
        <v>1017</v>
      </c>
      <c r="AF1487" s="50"/>
      <c r="AG1487" s="50"/>
      <c r="AH1487" s="166" t="str">
        <f>IF(ISERROR(SEARCH("K erstmals 201",D1487)),"",RIGHT(D1487,4))</f>
        <v>2011</v>
      </c>
      <c r="AI1487" s="168" t="str">
        <f t="shared" si="612"/>
        <v/>
      </c>
      <c r="AJ1487" s="168" t="str">
        <f t="shared" si="613"/>
        <v/>
      </c>
      <c r="AK1487" s="168" t="str">
        <f t="shared" si="614"/>
        <v/>
      </c>
      <c r="AL1487" s="168" t="str">
        <f t="shared" si="615"/>
        <v/>
      </c>
      <c r="AM1487" s="168" t="str">
        <f t="shared" si="616"/>
        <v/>
      </c>
      <c r="AN1487" s="167" t="str">
        <f t="shared" si="598"/>
        <v>2011</v>
      </c>
      <c r="AO1487" s="167" t="str">
        <f t="shared" si="599"/>
        <v>2011</v>
      </c>
      <c r="AP1487" s="167" t="str">
        <f t="shared" si="600"/>
        <v>2011</v>
      </c>
      <c r="AQ1487" s="169" t="str">
        <f t="shared" si="601"/>
        <v/>
      </c>
      <c r="AR1487" s="170" t="str">
        <f t="shared" si="602"/>
        <v>BiK83bK11---06</v>
      </c>
      <c r="AS1487" s="169" t="str">
        <f t="shared" si="603"/>
        <v/>
      </c>
      <c r="AT1487">
        <f t="shared" si="604"/>
        <v>14</v>
      </c>
      <c r="AU1487" s="170" t="str">
        <f t="shared" si="605"/>
        <v>0,5-5 MW, Bonusregel b und K erstmals 2011</v>
      </c>
      <c r="AV1487" s="169" t="str">
        <f t="shared" si="606"/>
        <v/>
      </c>
      <c r="AW1487" s="170" t="str">
        <f t="shared" si="607"/>
        <v>Anteil KWK, erstmals 2011</v>
      </c>
      <c r="AX1487" s="169" t="str">
        <f t="shared" si="608"/>
        <v/>
      </c>
      <c r="AY1487" t="str">
        <f t="shared" si="609"/>
        <v>x</v>
      </c>
      <c r="AZ1487" t="str">
        <f t="shared" si="610"/>
        <v/>
      </c>
    </row>
    <row r="1488" spans="1:52" s="145" customFormat="1" x14ac:dyDescent="0.35">
      <c r="A1488" s="511" t="s">
        <v>1805</v>
      </c>
      <c r="B1488" s="173" t="s">
        <v>5547</v>
      </c>
      <c r="C1488" s="173" t="s">
        <v>1296</v>
      </c>
      <c r="D1488" s="173" t="s">
        <v>6785</v>
      </c>
      <c r="E1488" s="173" t="s">
        <v>1980</v>
      </c>
      <c r="F1488" s="374">
        <f t="shared" si="617"/>
        <v>13.55</v>
      </c>
      <c r="G1488" s="431">
        <v>13.55</v>
      </c>
      <c r="H1488" s="400">
        <f t="shared" si="618"/>
        <v>10.84</v>
      </c>
      <c r="I1488" s="577"/>
      <c r="J1488" s="549" t="s">
        <v>5804</v>
      </c>
      <c r="K1488" s="11"/>
      <c r="L1488"/>
      <c r="M1488" s="37">
        <f t="shared" si="619"/>
        <v>13.55</v>
      </c>
      <c r="N1488" s="29">
        <v>8.64</v>
      </c>
      <c r="O1488" s="41"/>
      <c r="P1488" s="59"/>
      <c r="Q1488"/>
      <c r="R1488"/>
      <c r="S1488" t="s">
        <v>4179</v>
      </c>
      <c r="T1488" s="145" t="s">
        <v>1017</v>
      </c>
      <c r="U1488" s="60"/>
      <c r="V1488" s="50"/>
      <c r="W1488"/>
      <c r="X1488"/>
      <c r="Y1488" s="50"/>
      <c r="Z1488" s="50"/>
      <c r="AA1488" s="50"/>
      <c r="AB1488" s="50"/>
      <c r="AC1488" s="50"/>
      <c r="AD1488" s="50"/>
      <c r="AE1488" s="75" t="s">
        <v>1017</v>
      </c>
      <c r="AF1488" s="50"/>
      <c r="AG1488" s="50"/>
      <c r="AH1488" s="171" t="s">
        <v>4178</v>
      </c>
      <c r="AI1488" s="168" t="str">
        <f t="shared" si="612"/>
        <v/>
      </c>
      <c r="AJ1488" s="168" t="str">
        <f t="shared" si="613"/>
        <v/>
      </c>
      <c r="AK1488" s="168" t="str">
        <f t="shared" si="614"/>
        <v/>
      </c>
      <c r="AL1488" s="168" t="str">
        <f t="shared" si="615"/>
        <v/>
      </c>
      <c r="AM1488" s="168" t="str">
        <f t="shared" si="616"/>
        <v/>
      </c>
      <c r="AN1488" s="167" t="str">
        <f t="shared" si="598"/>
        <v>2012</v>
      </c>
      <c r="AO1488" s="167" t="str">
        <f t="shared" si="599"/>
        <v>2012</v>
      </c>
      <c r="AP1488" s="167" t="str">
        <f t="shared" si="600"/>
        <v>2012</v>
      </c>
      <c r="AQ1488" s="169" t="str">
        <f t="shared" si="601"/>
        <v/>
      </c>
      <c r="AR1488" s="170" t="str">
        <f t="shared" si="602"/>
        <v>BiK83bK12---06</v>
      </c>
      <c r="AS1488" s="169" t="str">
        <f t="shared" si="603"/>
        <v/>
      </c>
      <c r="AT1488">
        <f t="shared" si="604"/>
        <v>14</v>
      </c>
      <c r="AU1488" s="170" t="str">
        <f t="shared" si="605"/>
        <v>0,5-5 MW, Bonusregel b und K erstmals 2012</v>
      </c>
      <c r="AV1488" s="169" t="str">
        <f t="shared" si="606"/>
        <v/>
      </c>
      <c r="AW1488" s="170" t="str">
        <f t="shared" si="607"/>
        <v>Anteil KWK, erstmals 2012</v>
      </c>
      <c r="AX1488" s="169" t="str">
        <f t="shared" si="608"/>
        <v/>
      </c>
      <c r="AY1488" t="str">
        <f t="shared" si="609"/>
        <v/>
      </c>
      <c r="AZ1488" t="str">
        <f t="shared" si="610"/>
        <v>x</v>
      </c>
    </row>
    <row r="1489" spans="1:52" s="145" customFormat="1" x14ac:dyDescent="0.35">
      <c r="A1489" s="496" t="s">
        <v>526</v>
      </c>
      <c r="B1489" s="1" t="s">
        <v>5547</v>
      </c>
      <c r="C1489" s="1" t="s">
        <v>1296</v>
      </c>
      <c r="D1489" s="1" t="s">
        <v>6786</v>
      </c>
      <c r="E1489" s="1" t="s">
        <v>4809</v>
      </c>
      <c r="F1489" s="375">
        <f t="shared" si="617"/>
        <v>14.64</v>
      </c>
      <c r="G1489" s="432">
        <v>14.64</v>
      </c>
      <c r="H1489" s="401">
        <f t="shared" si="618"/>
        <v>11.71</v>
      </c>
      <c r="I1489" s="578"/>
      <c r="J1489" s="549" t="s">
        <v>5804</v>
      </c>
      <c r="K1489" s="11"/>
      <c r="L1489"/>
      <c r="M1489" s="37">
        <f t="shared" si="619"/>
        <v>14.64</v>
      </c>
      <c r="N1489" s="29">
        <v>8.64</v>
      </c>
      <c r="O1489" s="41"/>
      <c r="P1489" s="59"/>
      <c r="Q1489"/>
      <c r="R1489"/>
      <c r="S1489" t="s">
        <v>4179</v>
      </c>
      <c r="T1489" s="145" t="s">
        <v>4179</v>
      </c>
      <c r="U1489" s="60"/>
      <c r="V1489" s="50"/>
      <c r="W1489" t="s">
        <v>1017</v>
      </c>
      <c r="X1489"/>
      <c r="Y1489" s="50"/>
      <c r="Z1489" s="50"/>
      <c r="AA1489" s="50"/>
      <c r="AB1489" s="50"/>
      <c r="AC1489" s="50"/>
      <c r="AD1489" s="50"/>
      <c r="AE1489" s="75" t="s">
        <v>1017</v>
      </c>
      <c r="AF1489" s="50"/>
      <c r="AG1489" s="50"/>
      <c r="AH1489" s="166" t="str">
        <f>IF(ISERROR(SEARCH("K erstmals 201",D1489)),"",RIGHT(D1489,4))</f>
        <v/>
      </c>
      <c r="AI1489" s="168" t="str">
        <f t="shared" si="612"/>
        <v/>
      </c>
      <c r="AJ1489" s="168" t="str">
        <f t="shared" si="613"/>
        <v/>
      </c>
      <c r="AK1489" s="168" t="str">
        <f t="shared" si="614"/>
        <v/>
      </c>
      <c r="AL1489" s="168" t="str">
        <f t="shared" si="615"/>
        <v/>
      </c>
      <c r="AM1489" s="168" t="str">
        <f t="shared" si="616"/>
        <v/>
      </c>
      <c r="AN1489" s="167" t="str">
        <f t="shared" si="598"/>
        <v/>
      </c>
      <c r="AO1489" s="167" t="str">
        <f t="shared" si="599"/>
        <v/>
      </c>
      <c r="AP1489" s="167" t="str">
        <f t="shared" si="600"/>
        <v/>
      </c>
      <c r="AQ1489" s="169" t="str">
        <f t="shared" si="601"/>
        <v/>
      </c>
      <c r="AR1489" s="170" t="str">
        <f t="shared" si="602"/>
        <v>BiK83a2b----06</v>
      </c>
      <c r="AS1489" s="169" t="str">
        <f t="shared" si="603"/>
        <v/>
      </c>
      <c r="AT1489">
        <f t="shared" si="604"/>
        <v>14</v>
      </c>
      <c r="AU1489" s="170" t="str">
        <f t="shared" si="605"/>
        <v>0,5-5 MW, Bonusregeln a2 und b</v>
      </c>
      <c r="AV1489" s="169" t="str">
        <f t="shared" si="606"/>
        <v/>
      </c>
      <c r="AW1489" s="170" t="str">
        <f t="shared" si="607"/>
        <v>Anteil Nicht-KWK</v>
      </c>
      <c r="AX1489" s="169" t="str">
        <f t="shared" si="608"/>
        <v/>
      </c>
      <c r="AY1489" t="str">
        <f t="shared" si="609"/>
        <v/>
      </c>
      <c r="AZ1489" t="str">
        <f t="shared" si="610"/>
        <v/>
      </c>
    </row>
    <row r="1490" spans="1:52" s="145" customFormat="1" x14ac:dyDescent="0.35">
      <c r="A1490" s="496" t="s">
        <v>527</v>
      </c>
      <c r="B1490" s="1" t="s">
        <v>5547</v>
      </c>
      <c r="C1490" s="1" t="s">
        <v>1296</v>
      </c>
      <c r="D1490" s="1" t="s">
        <v>6787</v>
      </c>
      <c r="E1490" s="1" t="s">
        <v>4811</v>
      </c>
      <c r="F1490" s="375">
        <f t="shared" si="617"/>
        <v>16.64</v>
      </c>
      <c r="G1490" s="432">
        <v>16.64</v>
      </c>
      <c r="H1490" s="401">
        <f t="shared" si="618"/>
        <v>13.31</v>
      </c>
      <c r="I1490" s="578"/>
      <c r="J1490" s="549" t="s">
        <v>5804</v>
      </c>
      <c r="K1490" s="11"/>
      <c r="L1490"/>
      <c r="M1490" s="37">
        <f t="shared" si="619"/>
        <v>16.64</v>
      </c>
      <c r="N1490" s="29">
        <v>8.64</v>
      </c>
      <c r="O1490" s="41" t="s">
        <v>1017</v>
      </c>
      <c r="P1490" s="59"/>
      <c r="Q1490"/>
      <c r="R1490"/>
      <c r="S1490" t="s">
        <v>4179</v>
      </c>
      <c r="T1490" s="145" t="s">
        <v>4179</v>
      </c>
      <c r="U1490" s="60"/>
      <c r="V1490" s="50"/>
      <c r="W1490" t="s">
        <v>1017</v>
      </c>
      <c r="X1490"/>
      <c r="Y1490" s="50"/>
      <c r="Z1490" s="50"/>
      <c r="AA1490" s="50"/>
      <c r="AB1490" s="50"/>
      <c r="AC1490" s="50"/>
      <c r="AD1490" s="50"/>
      <c r="AE1490" s="75" t="s">
        <v>1017</v>
      </c>
      <c r="AF1490" s="50"/>
      <c r="AG1490" s="50"/>
      <c r="AH1490" s="166" t="str">
        <f>IF(ISERROR(SEARCH("K erstmals 201",D1490)),"",RIGHT(D1490,4))</f>
        <v/>
      </c>
      <c r="AI1490" s="168" t="str">
        <f t="shared" si="612"/>
        <v/>
      </c>
      <c r="AJ1490" s="168" t="str">
        <f t="shared" si="613"/>
        <v/>
      </c>
      <c r="AK1490" s="168" t="str">
        <f t="shared" si="614"/>
        <v/>
      </c>
      <c r="AL1490" s="168" t="str">
        <f t="shared" si="615"/>
        <v/>
      </c>
      <c r="AM1490" s="168" t="str">
        <f t="shared" si="616"/>
        <v/>
      </c>
      <c r="AN1490" s="167" t="str">
        <f t="shared" si="598"/>
        <v/>
      </c>
      <c r="AO1490" s="167" t="str">
        <f t="shared" si="599"/>
        <v/>
      </c>
      <c r="AP1490" s="167" t="str">
        <f t="shared" si="600"/>
        <v/>
      </c>
      <c r="AQ1490" s="169" t="str">
        <f t="shared" si="601"/>
        <v/>
      </c>
      <c r="AR1490" s="170" t="str">
        <f t="shared" si="602"/>
        <v>BiK83a2bKWK-06</v>
      </c>
      <c r="AS1490" s="169" t="str">
        <f t="shared" si="603"/>
        <v/>
      </c>
      <c r="AT1490">
        <f t="shared" si="604"/>
        <v>14</v>
      </c>
      <c r="AU1490" s="170" t="str">
        <f t="shared" si="605"/>
        <v>0,5-5 MW, Bonusregeln a2, b und KWK</v>
      </c>
      <c r="AV1490" s="169" t="str">
        <f t="shared" si="606"/>
        <v/>
      </c>
      <c r="AW1490" s="170" t="str">
        <f t="shared" si="607"/>
        <v>Anteil KWK</v>
      </c>
      <c r="AX1490" s="169" t="str">
        <f t="shared" si="608"/>
        <v/>
      </c>
      <c r="AY1490" t="str">
        <f t="shared" si="609"/>
        <v/>
      </c>
      <c r="AZ1490" t="str">
        <f t="shared" si="610"/>
        <v/>
      </c>
    </row>
    <row r="1491" spans="1:52" s="145" customFormat="1" x14ac:dyDescent="0.35">
      <c r="A1491" s="497" t="s">
        <v>4071</v>
      </c>
      <c r="B1491" s="13" t="s">
        <v>5547</v>
      </c>
      <c r="C1491" s="13" t="s">
        <v>1296</v>
      </c>
      <c r="D1491" s="13" t="s">
        <v>6788</v>
      </c>
      <c r="E1491" s="13" t="s">
        <v>674</v>
      </c>
      <c r="F1491" s="373">
        <f t="shared" si="617"/>
        <v>17.64</v>
      </c>
      <c r="G1491" s="430">
        <v>17.64</v>
      </c>
      <c r="H1491" s="399">
        <f t="shared" si="618"/>
        <v>14.11</v>
      </c>
      <c r="I1491" s="576"/>
      <c r="J1491" s="549" t="s">
        <v>5804</v>
      </c>
      <c r="K1491" s="11"/>
      <c r="L1491"/>
      <c r="M1491" s="37">
        <f t="shared" si="619"/>
        <v>17.64</v>
      </c>
      <c r="N1491" s="29">
        <v>8.64</v>
      </c>
      <c r="O1491" s="41"/>
      <c r="P1491" s="59"/>
      <c r="Q1491" t="s">
        <v>1017</v>
      </c>
      <c r="R1491"/>
      <c r="S1491" t="s">
        <v>4179</v>
      </c>
      <c r="T1491" s="145" t="s">
        <v>4179</v>
      </c>
      <c r="U1491" s="60"/>
      <c r="V1491" s="50"/>
      <c r="W1491" t="s">
        <v>1017</v>
      </c>
      <c r="X1491"/>
      <c r="Y1491" s="50"/>
      <c r="Z1491" s="50"/>
      <c r="AA1491" s="50"/>
      <c r="AB1491" s="50"/>
      <c r="AC1491" s="50"/>
      <c r="AD1491" s="50"/>
      <c r="AE1491" s="75" t="s">
        <v>1017</v>
      </c>
      <c r="AF1491" s="50"/>
      <c r="AG1491" s="50"/>
      <c r="AH1491" s="166" t="str">
        <f>IF(ISERROR(SEARCH("K erstmals 201",D1491)),"",RIGHT(D1491,4))</f>
        <v/>
      </c>
      <c r="AI1491" s="168" t="str">
        <f t="shared" si="612"/>
        <v/>
      </c>
      <c r="AJ1491" s="168" t="str">
        <f t="shared" si="613"/>
        <v/>
      </c>
      <c r="AK1491" s="168" t="str">
        <f t="shared" si="614"/>
        <v/>
      </c>
      <c r="AL1491" s="168" t="str">
        <f t="shared" si="615"/>
        <v/>
      </c>
      <c r="AM1491" s="168" t="str">
        <f t="shared" si="616"/>
        <v/>
      </c>
      <c r="AN1491" s="167" t="str">
        <f t="shared" si="598"/>
        <v/>
      </c>
      <c r="AO1491" s="167" t="str">
        <f t="shared" si="599"/>
        <v/>
      </c>
      <c r="AP1491" s="167" t="str">
        <f t="shared" si="600"/>
        <v/>
      </c>
      <c r="AQ1491" s="169" t="str">
        <f t="shared" si="601"/>
        <v/>
      </c>
      <c r="AR1491" s="170" t="str">
        <f t="shared" si="602"/>
        <v>BiK83a2bK09-06</v>
      </c>
      <c r="AS1491" s="169" t="str">
        <f t="shared" si="603"/>
        <v/>
      </c>
      <c r="AT1491">
        <f t="shared" si="604"/>
        <v>14</v>
      </c>
      <c r="AU1491" s="170" t="str">
        <f t="shared" si="605"/>
        <v>0,5-5 MW, Bonusregeln a2, b und K erstmals 2009</v>
      </c>
      <c r="AV1491" s="169" t="str">
        <f t="shared" si="606"/>
        <v/>
      </c>
      <c r="AW1491" s="170" t="str">
        <f t="shared" si="607"/>
        <v>Anteil KWK, erstmals 2009</v>
      </c>
      <c r="AX1491" s="169" t="str">
        <f t="shared" si="608"/>
        <v/>
      </c>
      <c r="AY1491" t="str">
        <f t="shared" si="609"/>
        <v/>
      </c>
      <c r="AZ1491" t="str">
        <f t="shared" si="610"/>
        <v/>
      </c>
    </row>
    <row r="1492" spans="1:52" s="145" customFormat="1" x14ac:dyDescent="0.35">
      <c r="A1492" s="497" t="s">
        <v>4936</v>
      </c>
      <c r="B1492" s="13" t="s">
        <v>5547</v>
      </c>
      <c r="C1492" s="13" t="s">
        <v>1296</v>
      </c>
      <c r="D1492" s="13" t="s">
        <v>6789</v>
      </c>
      <c r="E1492" s="13" t="s">
        <v>3566</v>
      </c>
      <c r="F1492" s="373">
        <f t="shared" si="617"/>
        <v>17.61</v>
      </c>
      <c r="G1492" s="430">
        <v>17.61</v>
      </c>
      <c r="H1492" s="399">
        <f t="shared" si="618"/>
        <v>14.09</v>
      </c>
      <c r="I1492" s="576"/>
      <c r="J1492" s="549" t="s">
        <v>5804</v>
      </c>
      <c r="K1492" s="11"/>
      <c r="L1492"/>
      <c r="M1492" s="37">
        <f t="shared" si="619"/>
        <v>17.61</v>
      </c>
      <c r="N1492" s="29">
        <v>8.64</v>
      </c>
      <c r="O1492" s="41"/>
      <c r="P1492" s="59"/>
      <c r="Q1492"/>
      <c r="R1492" t="s">
        <v>1017</v>
      </c>
      <c r="S1492" t="s">
        <v>4179</v>
      </c>
      <c r="T1492" s="145" t="s">
        <v>4179</v>
      </c>
      <c r="U1492" s="60"/>
      <c r="V1492" s="50"/>
      <c r="W1492" t="s">
        <v>1017</v>
      </c>
      <c r="X1492"/>
      <c r="Y1492" s="50"/>
      <c r="Z1492" s="50"/>
      <c r="AA1492" s="50"/>
      <c r="AB1492" s="50"/>
      <c r="AC1492" s="50"/>
      <c r="AD1492" s="50"/>
      <c r="AE1492" s="75" t="s">
        <v>1017</v>
      </c>
      <c r="AF1492" s="50"/>
      <c r="AG1492" s="50"/>
      <c r="AH1492" s="166" t="str">
        <f>IF(ISERROR(SEARCH("K erstmals 201",D1492)),"",RIGHT(D1492,4))</f>
        <v>2010</v>
      </c>
      <c r="AI1492" s="168" t="str">
        <f t="shared" si="612"/>
        <v/>
      </c>
      <c r="AJ1492" s="168" t="str">
        <f t="shared" si="613"/>
        <v/>
      </c>
      <c r="AK1492" s="168" t="str">
        <f t="shared" si="614"/>
        <v/>
      </c>
      <c r="AL1492" s="168" t="str">
        <f t="shared" si="615"/>
        <v/>
      </c>
      <c r="AM1492" s="168" t="str">
        <f t="shared" si="616"/>
        <v/>
      </c>
      <c r="AN1492" s="167" t="str">
        <f t="shared" si="598"/>
        <v>2010</v>
      </c>
      <c r="AO1492" s="167" t="str">
        <f t="shared" si="599"/>
        <v>2010</v>
      </c>
      <c r="AP1492" s="167" t="str">
        <f t="shared" si="600"/>
        <v>2010</v>
      </c>
      <c r="AQ1492" s="169" t="str">
        <f t="shared" si="601"/>
        <v/>
      </c>
      <c r="AR1492" s="170" t="str">
        <f t="shared" si="602"/>
        <v>BiK83a2bK10-06</v>
      </c>
      <c r="AS1492" s="169" t="str">
        <f t="shared" si="603"/>
        <v/>
      </c>
      <c r="AT1492">
        <f t="shared" si="604"/>
        <v>14</v>
      </c>
      <c r="AU1492" s="170" t="str">
        <f t="shared" si="605"/>
        <v>0,5-5 MW, Bonusregeln a2, b und K erstmals 2010</v>
      </c>
      <c r="AV1492" s="169" t="str">
        <f t="shared" si="606"/>
        <v/>
      </c>
      <c r="AW1492" s="170" t="str">
        <f t="shared" si="607"/>
        <v>Anteil KWK, erstmals 2010</v>
      </c>
      <c r="AX1492" s="169" t="str">
        <f t="shared" si="608"/>
        <v/>
      </c>
      <c r="AY1492" t="str">
        <f t="shared" si="609"/>
        <v/>
      </c>
      <c r="AZ1492" t="str">
        <f t="shared" si="610"/>
        <v/>
      </c>
    </row>
    <row r="1493" spans="1:52" s="145" customFormat="1" x14ac:dyDescent="0.35">
      <c r="A1493" s="497" t="s">
        <v>3983</v>
      </c>
      <c r="B1493" s="13" t="s">
        <v>5547</v>
      </c>
      <c r="C1493" s="13" t="s">
        <v>1296</v>
      </c>
      <c r="D1493" s="13" t="s">
        <v>6790</v>
      </c>
      <c r="E1493" s="13" t="s">
        <v>3054</v>
      </c>
      <c r="F1493" s="373">
        <f t="shared" si="617"/>
        <v>17.579999999999998</v>
      </c>
      <c r="G1493" s="430">
        <v>17.579999999999998</v>
      </c>
      <c r="H1493" s="399">
        <f t="shared" si="618"/>
        <v>14.06</v>
      </c>
      <c r="I1493" s="576"/>
      <c r="J1493" s="549" t="s">
        <v>5804</v>
      </c>
      <c r="K1493" s="11"/>
      <c r="L1493"/>
      <c r="M1493" s="37">
        <f t="shared" si="619"/>
        <v>17.579999999999998</v>
      </c>
      <c r="N1493" s="29">
        <v>8.64</v>
      </c>
      <c r="O1493" s="41"/>
      <c r="P1493" s="59"/>
      <c r="Q1493"/>
      <c r="R1493"/>
      <c r="S1493" t="s">
        <v>1017</v>
      </c>
      <c r="T1493" s="145" t="s">
        <v>4179</v>
      </c>
      <c r="U1493" s="60"/>
      <c r="V1493" s="50"/>
      <c r="W1493" t="s">
        <v>1017</v>
      </c>
      <c r="X1493"/>
      <c r="Y1493" s="50"/>
      <c r="Z1493" s="50"/>
      <c r="AA1493" s="50"/>
      <c r="AB1493" s="50"/>
      <c r="AC1493" s="50"/>
      <c r="AD1493" s="50"/>
      <c r="AE1493" s="75" t="s">
        <v>1017</v>
      </c>
      <c r="AF1493" s="50"/>
      <c r="AG1493" s="50"/>
      <c r="AH1493" s="166" t="str">
        <f>IF(ISERROR(SEARCH("K erstmals 201",D1493)),"",RIGHT(D1493,4))</f>
        <v>2011</v>
      </c>
      <c r="AI1493" s="168" t="str">
        <f t="shared" si="612"/>
        <v/>
      </c>
      <c r="AJ1493" s="168" t="str">
        <f t="shared" si="613"/>
        <v/>
      </c>
      <c r="AK1493" s="168" t="str">
        <f t="shared" si="614"/>
        <v/>
      </c>
      <c r="AL1493" s="168" t="str">
        <f t="shared" si="615"/>
        <v/>
      </c>
      <c r="AM1493" s="168" t="str">
        <f t="shared" si="616"/>
        <v/>
      </c>
      <c r="AN1493" s="167" t="str">
        <f t="shared" si="598"/>
        <v>2011</v>
      </c>
      <c r="AO1493" s="167" t="str">
        <f t="shared" si="599"/>
        <v>2011</v>
      </c>
      <c r="AP1493" s="167" t="str">
        <f t="shared" si="600"/>
        <v>2011</v>
      </c>
      <c r="AQ1493" s="169" t="str">
        <f t="shared" si="601"/>
        <v/>
      </c>
      <c r="AR1493" s="170" t="str">
        <f t="shared" si="602"/>
        <v>BiK83a2bK11-06</v>
      </c>
      <c r="AS1493" s="169" t="str">
        <f t="shared" si="603"/>
        <v/>
      </c>
      <c r="AT1493">
        <f t="shared" si="604"/>
        <v>14</v>
      </c>
      <c r="AU1493" s="170" t="str">
        <f t="shared" si="605"/>
        <v>0,5-5 MW, Bonusregeln a2, b und K erstmals 2011</v>
      </c>
      <c r="AV1493" s="169" t="str">
        <f t="shared" si="606"/>
        <v/>
      </c>
      <c r="AW1493" s="170" t="str">
        <f t="shared" si="607"/>
        <v>Anteil KWK, erstmals 2011</v>
      </c>
      <c r="AX1493" s="169" t="str">
        <f t="shared" si="608"/>
        <v/>
      </c>
      <c r="AY1493" t="str">
        <f t="shared" si="609"/>
        <v>x</v>
      </c>
      <c r="AZ1493" t="str">
        <f t="shared" si="610"/>
        <v/>
      </c>
    </row>
    <row r="1494" spans="1:52" s="145" customFormat="1" x14ac:dyDescent="0.35">
      <c r="A1494" s="511" t="s">
        <v>1806</v>
      </c>
      <c r="B1494" s="173" t="s">
        <v>5547</v>
      </c>
      <c r="C1494" s="173" t="s">
        <v>1296</v>
      </c>
      <c r="D1494" s="173" t="s">
        <v>6791</v>
      </c>
      <c r="E1494" s="173" t="s">
        <v>1980</v>
      </c>
      <c r="F1494" s="374">
        <f t="shared" si="617"/>
        <v>17.55</v>
      </c>
      <c r="G1494" s="431">
        <v>17.55</v>
      </c>
      <c r="H1494" s="400">
        <f t="shared" si="618"/>
        <v>14.04</v>
      </c>
      <c r="I1494" s="577"/>
      <c r="J1494" s="549" t="s">
        <v>5804</v>
      </c>
      <c r="K1494" s="11"/>
      <c r="L1494"/>
      <c r="M1494" s="37">
        <f t="shared" si="619"/>
        <v>17.55</v>
      </c>
      <c r="N1494" s="29">
        <v>8.64</v>
      </c>
      <c r="O1494" s="41"/>
      <c r="P1494" s="59"/>
      <c r="Q1494"/>
      <c r="R1494"/>
      <c r="S1494" t="s">
        <v>4179</v>
      </c>
      <c r="T1494" s="145" t="s">
        <v>1017</v>
      </c>
      <c r="U1494" s="60"/>
      <c r="V1494" s="50"/>
      <c r="W1494" t="s">
        <v>1017</v>
      </c>
      <c r="X1494"/>
      <c r="Y1494" s="50"/>
      <c r="Z1494" s="50"/>
      <c r="AA1494" s="50"/>
      <c r="AB1494" s="50"/>
      <c r="AC1494" s="50"/>
      <c r="AD1494" s="50"/>
      <c r="AE1494" s="75" t="s">
        <v>1017</v>
      </c>
      <c r="AF1494" s="50"/>
      <c r="AG1494" s="50"/>
      <c r="AH1494" s="171" t="s">
        <v>4178</v>
      </c>
      <c r="AI1494" s="168" t="str">
        <f t="shared" si="612"/>
        <v/>
      </c>
      <c r="AJ1494" s="168" t="str">
        <f t="shared" si="613"/>
        <v/>
      </c>
      <c r="AK1494" s="168" t="str">
        <f t="shared" si="614"/>
        <v/>
      </c>
      <c r="AL1494" s="168" t="str">
        <f t="shared" si="615"/>
        <v/>
      </c>
      <c r="AM1494" s="168" t="str">
        <f t="shared" si="616"/>
        <v/>
      </c>
      <c r="AN1494" s="167" t="str">
        <f t="shared" si="598"/>
        <v>2012</v>
      </c>
      <c r="AO1494" s="167" t="str">
        <f t="shared" si="599"/>
        <v>2012</v>
      </c>
      <c r="AP1494" s="167" t="str">
        <f t="shared" si="600"/>
        <v>2012</v>
      </c>
      <c r="AQ1494" s="169" t="str">
        <f t="shared" si="601"/>
        <v/>
      </c>
      <c r="AR1494" s="170" t="str">
        <f t="shared" si="602"/>
        <v>BiK83a2bK12-06</v>
      </c>
      <c r="AS1494" s="169" t="str">
        <f t="shared" si="603"/>
        <v/>
      </c>
      <c r="AT1494">
        <f t="shared" si="604"/>
        <v>14</v>
      </c>
      <c r="AU1494" s="170" t="str">
        <f t="shared" si="605"/>
        <v>0,5-5 MW, Bonusregeln a2, b und K erstmals 2012</v>
      </c>
      <c r="AV1494" s="169" t="str">
        <f t="shared" si="606"/>
        <v/>
      </c>
      <c r="AW1494" s="170" t="str">
        <f t="shared" si="607"/>
        <v>Anteil KWK, erstmals 2012</v>
      </c>
      <c r="AX1494" s="169" t="str">
        <f t="shared" si="608"/>
        <v/>
      </c>
      <c r="AY1494" t="str">
        <f t="shared" si="609"/>
        <v/>
      </c>
      <c r="AZ1494" t="str">
        <f t="shared" si="610"/>
        <v>x</v>
      </c>
    </row>
    <row r="1495" spans="1:52" s="145" customFormat="1" x14ac:dyDescent="0.35">
      <c r="A1495" s="496" t="s">
        <v>528</v>
      </c>
      <c r="B1495" s="1" t="s">
        <v>5547</v>
      </c>
      <c r="C1495" s="1" t="s">
        <v>1296</v>
      </c>
      <c r="D1495" s="1" t="s">
        <v>6792</v>
      </c>
      <c r="E1495" s="1" t="s">
        <v>4809</v>
      </c>
      <c r="F1495" s="375">
        <f t="shared" si="617"/>
        <v>13.14</v>
      </c>
      <c r="G1495" s="432">
        <v>13.14</v>
      </c>
      <c r="H1495" s="401">
        <f t="shared" si="618"/>
        <v>10.51</v>
      </c>
      <c r="I1495" s="578"/>
      <c r="J1495" s="549" t="s">
        <v>5804</v>
      </c>
      <c r="K1495" s="11"/>
      <c r="L1495"/>
      <c r="M1495" s="37">
        <f t="shared" si="619"/>
        <v>13.14</v>
      </c>
      <c r="N1495" s="29">
        <v>8.64</v>
      </c>
      <c r="O1495" s="41"/>
      <c r="P1495" s="59"/>
      <c r="Q1495"/>
      <c r="R1495"/>
      <c r="S1495" t="s">
        <v>4179</v>
      </c>
      <c r="T1495" s="145" t="s">
        <v>4179</v>
      </c>
      <c r="U1495" s="60"/>
      <c r="V1495" s="50"/>
      <c r="W1495"/>
      <c r="X1495" t="s">
        <v>1017</v>
      </c>
      <c r="Y1495" s="50"/>
      <c r="Z1495" s="50"/>
      <c r="AA1495" s="50"/>
      <c r="AB1495" s="50"/>
      <c r="AC1495" s="50"/>
      <c r="AD1495" s="50"/>
      <c r="AE1495" s="75" t="s">
        <v>1017</v>
      </c>
      <c r="AF1495" s="50"/>
      <c r="AG1495" s="50"/>
      <c r="AH1495" s="166" t="str">
        <f>IF(ISERROR(SEARCH("K erstmals 201",D1495)),"",RIGHT(D1495,4))</f>
        <v/>
      </c>
      <c r="AI1495" s="168" t="str">
        <f t="shared" si="612"/>
        <v/>
      </c>
      <c r="AJ1495" s="168" t="str">
        <f t="shared" si="613"/>
        <v/>
      </c>
      <c r="AK1495" s="168" t="str">
        <f t="shared" si="614"/>
        <v/>
      </c>
      <c r="AL1495" s="168" t="str">
        <f t="shared" si="615"/>
        <v/>
      </c>
      <c r="AM1495" s="168" t="str">
        <f t="shared" si="616"/>
        <v/>
      </c>
      <c r="AN1495" s="167" t="str">
        <f t="shared" si="598"/>
        <v/>
      </c>
      <c r="AO1495" s="167" t="str">
        <f t="shared" si="599"/>
        <v/>
      </c>
      <c r="AP1495" s="167" t="str">
        <f t="shared" si="600"/>
        <v/>
      </c>
      <c r="AQ1495" s="169" t="str">
        <f t="shared" si="601"/>
        <v/>
      </c>
      <c r="AR1495" s="170" t="str">
        <f t="shared" si="602"/>
        <v>BiK83a3b----06</v>
      </c>
      <c r="AS1495" s="169" t="str">
        <f t="shared" si="603"/>
        <v/>
      </c>
      <c r="AT1495">
        <f t="shared" si="604"/>
        <v>14</v>
      </c>
      <c r="AU1495" s="170" t="str">
        <f t="shared" si="605"/>
        <v>0,5-5 MW, Bonusregeln a3 und b</v>
      </c>
      <c r="AV1495" s="169" t="str">
        <f t="shared" si="606"/>
        <v/>
      </c>
      <c r="AW1495" s="170" t="str">
        <f t="shared" si="607"/>
        <v>Anteil Nicht-KWK</v>
      </c>
      <c r="AX1495" s="169" t="str">
        <f t="shared" si="608"/>
        <v/>
      </c>
      <c r="AY1495" t="str">
        <f t="shared" si="609"/>
        <v/>
      </c>
      <c r="AZ1495" t="str">
        <f t="shared" si="610"/>
        <v/>
      </c>
    </row>
    <row r="1496" spans="1:52" s="145" customFormat="1" x14ac:dyDescent="0.35">
      <c r="A1496" s="496" t="s">
        <v>529</v>
      </c>
      <c r="B1496" s="1" t="s">
        <v>5547</v>
      </c>
      <c r="C1496" s="1" t="s">
        <v>1296</v>
      </c>
      <c r="D1496" s="1" t="s">
        <v>6793</v>
      </c>
      <c r="E1496" s="1" t="s">
        <v>4811</v>
      </c>
      <c r="F1496" s="375">
        <f t="shared" si="617"/>
        <v>15.14</v>
      </c>
      <c r="G1496" s="432">
        <v>15.14</v>
      </c>
      <c r="H1496" s="401">
        <f t="shared" si="618"/>
        <v>12.11</v>
      </c>
      <c r="I1496" s="578"/>
      <c r="J1496" s="549" t="s">
        <v>5804</v>
      </c>
      <c r="K1496" s="11"/>
      <c r="L1496"/>
      <c r="M1496" s="37">
        <f t="shared" si="619"/>
        <v>15.14</v>
      </c>
      <c r="N1496" s="29">
        <v>8.64</v>
      </c>
      <c r="O1496" s="41" t="s">
        <v>1017</v>
      </c>
      <c r="P1496" s="59"/>
      <c r="Q1496"/>
      <c r="R1496"/>
      <c r="S1496" t="s">
        <v>4179</v>
      </c>
      <c r="T1496" s="145" t="s">
        <v>4179</v>
      </c>
      <c r="U1496" s="60"/>
      <c r="V1496" s="50"/>
      <c r="W1496"/>
      <c r="X1496" t="s">
        <v>1017</v>
      </c>
      <c r="Y1496" s="50"/>
      <c r="Z1496" s="50"/>
      <c r="AA1496" s="50"/>
      <c r="AB1496" s="50"/>
      <c r="AC1496" s="50"/>
      <c r="AD1496" s="50"/>
      <c r="AE1496" s="75" t="s">
        <v>1017</v>
      </c>
      <c r="AF1496" s="50"/>
      <c r="AG1496" s="50"/>
      <c r="AH1496" s="166" t="str">
        <f>IF(ISERROR(SEARCH("K erstmals 201",D1496)),"",RIGHT(D1496,4))</f>
        <v/>
      </c>
      <c r="AI1496" s="168" t="str">
        <f t="shared" si="612"/>
        <v/>
      </c>
      <c r="AJ1496" s="168" t="str">
        <f t="shared" si="613"/>
        <v/>
      </c>
      <c r="AK1496" s="168" t="str">
        <f t="shared" si="614"/>
        <v/>
      </c>
      <c r="AL1496" s="168" t="str">
        <f t="shared" si="615"/>
        <v/>
      </c>
      <c r="AM1496" s="168" t="str">
        <f t="shared" si="616"/>
        <v/>
      </c>
      <c r="AN1496" s="167" t="str">
        <f t="shared" si="598"/>
        <v/>
      </c>
      <c r="AO1496" s="167" t="str">
        <f t="shared" si="599"/>
        <v/>
      </c>
      <c r="AP1496" s="167" t="str">
        <f t="shared" si="600"/>
        <v/>
      </c>
      <c r="AQ1496" s="169" t="str">
        <f t="shared" si="601"/>
        <v/>
      </c>
      <c r="AR1496" s="170" t="str">
        <f t="shared" si="602"/>
        <v>BiK83a3bKWK-06</v>
      </c>
      <c r="AS1496" s="169" t="str">
        <f t="shared" si="603"/>
        <v/>
      </c>
      <c r="AT1496">
        <f t="shared" si="604"/>
        <v>14</v>
      </c>
      <c r="AU1496" s="170" t="str">
        <f t="shared" si="605"/>
        <v>0,5-5 MW, Bonusregeln a3, b und KWK</v>
      </c>
      <c r="AV1496" s="169" t="str">
        <f t="shared" si="606"/>
        <v/>
      </c>
      <c r="AW1496" s="170" t="str">
        <f t="shared" si="607"/>
        <v>Anteil KWK</v>
      </c>
      <c r="AX1496" s="169" t="str">
        <f t="shared" si="608"/>
        <v/>
      </c>
      <c r="AY1496" t="str">
        <f t="shared" si="609"/>
        <v/>
      </c>
      <c r="AZ1496" t="str">
        <f t="shared" si="610"/>
        <v/>
      </c>
    </row>
    <row r="1497" spans="1:52" s="145" customFormat="1" x14ac:dyDescent="0.35">
      <c r="A1497" s="497" t="s">
        <v>4072</v>
      </c>
      <c r="B1497" s="13" t="s">
        <v>5547</v>
      </c>
      <c r="C1497" s="13" t="s">
        <v>1296</v>
      </c>
      <c r="D1497" s="13" t="s">
        <v>6794</v>
      </c>
      <c r="E1497" s="13" t="s">
        <v>674</v>
      </c>
      <c r="F1497" s="373">
        <f t="shared" si="617"/>
        <v>16.14</v>
      </c>
      <c r="G1497" s="430">
        <v>16.14</v>
      </c>
      <c r="H1497" s="399">
        <f t="shared" si="618"/>
        <v>12.91</v>
      </c>
      <c r="I1497" s="576"/>
      <c r="J1497" s="549" t="s">
        <v>5804</v>
      </c>
      <c r="K1497" s="11"/>
      <c r="L1497"/>
      <c r="M1497" s="37">
        <f t="shared" si="619"/>
        <v>16.14</v>
      </c>
      <c r="N1497" s="29">
        <v>8.64</v>
      </c>
      <c r="O1497" s="41"/>
      <c r="P1497" s="59"/>
      <c r="Q1497" t="s">
        <v>1017</v>
      </c>
      <c r="R1497"/>
      <c r="S1497" t="s">
        <v>4179</v>
      </c>
      <c r="T1497" s="145" t="s">
        <v>4179</v>
      </c>
      <c r="U1497" s="60"/>
      <c r="V1497" s="50"/>
      <c r="W1497"/>
      <c r="X1497" t="s">
        <v>1017</v>
      </c>
      <c r="Y1497" s="50"/>
      <c r="Z1497" s="50"/>
      <c r="AA1497" s="50"/>
      <c r="AB1497" s="50"/>
      <c r="AC1497" s="50"/>
      <c r="AD1497" s="50"/>
      <c r="AE1497" s="75" t="s">
        <v>1017</v>
      </c>
      <c r="AF1497" s="50"/>
      <c r="AG1497" s="50"/>
      <c r="AH1497" s="166" t="str">
        <f>IF(ISERROR(SEARCH("K erstmals 201",D1497)),"",RIGHT(D1497,4))</f>
        <v/>
      </c>
      <c r="AI1497" s="168" t="str">
        <f t="shared" si="612"/>
        <v/>
      </c>
      <c r="AJ1497" s="168" t="str">
        <f t="shared" si="613"/>
        <v/>
      </c>
      <c r="AK1497" s="168" t="str">
        <f t="shared" si="614"/>
        <v/>
      </c>
      <c r="AL1497" s="168" t="str">
        <f t="shared" si="615"/>
        <v/>
      </c>
      <c r="AM1497" s="168" t="str">
        <f t="shared" si="616"/>
        <v/>
      </c>
      <c r="AN1497" s="167" t="str">
        <f t="shared" si="598"/>
        <v/>
      </c>
      <c r="AO1497" s="167" t="str">
        <f t="shared" si="599"/>
        <v/>
      </c>
      <c r="AP1497" s="167" t="str">
        <f t="shared" si="600"/>
        <v/>
      </c>
      <c r="AQ1497" s="169" t="str">
        <f t="shared" si="601"/>
        <v/>
      </c>
      <c r="AR1497" s="170" t="str">
        <f t="shared" si="602"/>
        <v>BiK83a3bK09-06</v>
      </c>
      <c r="AS1497" s="169" t="str">
        <f t="shared" si="603"/>
        <v/>
      </c>
      <c r="AT1497">
        <f t="shared" si="604"/>
        <v>14</v>
      </c>
      <c r="AU1497" s="170" t="str">
        <f t="shared" si="605"/>
        <v>0,5-5 MW, Bonusregeln a3, b und K erstmals 2009</v>
      </c>
      <c r="AV1497" s="169" t="str">
        <f t="shared" si="606"/>
        <v/>
      </c>
      <c r="AW1497" s="170" t="str">
        <f t="shared" si="607"/>
        <v>Anteil KWK, erstmals 2009</v>
      </c>
      <c r="AX1497" s="169" t="str">
        <f t="shared" si="608"/>
        <v/>
      </c>
      <c r="AY1497" t="str">
        <f t="shared" si="609"/>
        <v/>
      </c>
      <c r="AZ1497" t="str">
        <f t="shared" si="610"/>
        <v/>
      </c>
    </row>
    <row r="1498" spans="1:52" s="145" customFormat="1" x14ac:dyDescent="0.35">
      <c r="A1498" s="497" t="s">
        <v>4937</v>
      </c>
      <c r="B1498" s="13" t="s">
        <v>5547</v>
      </c>
      <c r="C1498" s="13" t="s">
        <v>1296</v>
      </c>
      <c r="D1498" s="13" t="s">
        <v>6795</v>
      </c>
      <c r="E1498" s="13" t="s">
        <v>3566</v>
      </c>
      <c r="F1498" s="373">
        <f t="shared" si="617"/>
        <v>16.11</v>
      </c>
      <c r="G1498" s="430">
        <v>16.11</v>
      </c>
      <c r="H1498" s="399">
        <f t="shared" si="618"/>
        <v>12.89</v>
      </c>
      <c r="I1498" s="576"/>
      <c r="J1498" s="549" t="s">
        <v>5804</v>
      </c>
      <c r="K1498" s="11"/>
      <c r="L1498"/>
      <c r="M1498" s="37">
        <f t="shared" si="619"/>
        <v>16.11</v>
      </c>
      <c r="N1498" s="29">
        <v>8.64</v>
      </c>
      <c r="O1498" s="41"/>
      <c r="P1498" s="59"/>
      <c r="Q1498"/>
      <c r="R1498" t="s">
        <v>1017</v>
      </c>
      <c r="S1498" t="s">
        <v>4179</v>
      </c>
      <c r="T1498" s="145" t="s">
        <v>4179</v>
      </c>
      <c r="U1498" s="60"/>
      <c r="V1498" s="50"/>
      <c r="W1498"/>
      <c r="X1498" t="s">
        <v>1017</v>
      </c>
      <c r="Y1498" s="50"/>
      <c r="Z1498" s="50"/>
      <c r="AA1498" s="50"/>
      <c r="AB1498" s="50"/>
      <c r="AC1498" s="50"/>
      <c r="AD1498" s="50"/>
      <c r="AE1498" s="75" t="s">
        <v>1017</v>
      </c>
      <c r="AF1498" s="50"/>
      <c r="AG1498" s="50"/>
      <c r="AH1498" s="166" t="str">
        <f>IF(ISERROR(SEARCH("K erstmals 201",D1498)),"",RIGHT(D1498,4))</f>
        <v>2010</v>
      </c>
      <c r="AI1498" s="168" t="str">
        <f t="shared" si="612"/>
        <v/>
      </c>
      <c r="AJ1498" s="168" t="str">
        <f t="shared" si="613"/>
        <v/>
      </c>
      <c r="AK1498" s="168" t="str">
        <f t="shared" si="614"/>
        <v/>
      </c>
      <c r="AL1498" s="168" t="str">
        <f t="shared" si="615"/>
        <v/>
      </c>
      <c r="AM1498" s="168" t="str">
        <f t="shared" si="616"/>
        <v/>
      </c>
      <c r="AN1498" s="167" t="str">
        <f t="shared" si="598"/>
        <v>2010</v>
      </c>
      <c r="AO1498" s="167" t="str">
        <f t="shared" si="599"/>
        <v>2010</v>
      </c>
      <c r="AP1498" s="167" t="str">
        <f t="shared" si="600"/>
        <v>2010</v>
      </c>
      <c r="AQ1498" s="169" t="str">
        <f t="shared" si="601"/>
        <v/>
      </c>
      <c r="AR1498" s="170" t="str">
        <f t="shared" si="602"/>
        <v>BiK83a3bK10-06</v>
      </c>
      <c r="AS1498" s="169" t="str">
        <f t="shared" si="603"/>
        <v/>
      </c>
      <c r="AT1498">
        <f t="shared" si="604"/>
        <v>14</v>
      </c>
      <c r="AU1498" s="170" t="str">
        <f t="shared" si="605"/>
        <v>0,5-5 MW, Bonusregeln a3, b und K erstmals 2010</v>
      </c>
      <c r="AV1498" s="169" t="str">
        <f t="shared" si="606"/>
        <v/>
      </c>
      <c r="AW1498" s="170" t="str">
        <f t="shared" si="607"/>
        <v>Anteil KWK, erstmals 2010</v>
      </c>
      <c r="AX1498" s="169" t="str">
        <f t="shared" si="608"/>
        <v/>
      </c>
      <c r="AY1498" t="str">
        <f t="shared" si="609"/>
        <v/>
      </c>
      <c r="AZ1498" t="str">
        <f t="shared" si="610"/>
        <v/>
      </c>
    </row>
    <row r="1499" spans="1:52" s="145" customFormat="1" x14ac:dyDescent="0.35">
      <c r="A1499" s="497" t="s">
        <v>3984</v>
      </c>
      <c r="B1499" s="13" t="s">
        <v>5547</v>
      </c>
      <c r="C1499" s="13" t="s">
        <v>1296</v>
      </c>
      <c r="D1499" s="13" t="s">
        <v>6796</v>
      </c>
      <c r="E1499" s="13" t="s">
        <v>3054</v>
      </c>
      <c r="F1499" s="373">
        <f t="shared" si="617"/>
        <v>16.079999999999998</v>
      </c>
      <c r="G1499" s="430">
        <v>16.079999999999998</v>
      </c>
      <c r="H1499" s="399">
        <f t="shared" si="618"/>
        <v>12.86</v>
      </c>
      <c r="I1499" s="576"/>
      <c r="J1499" s="549" t="s">
        <v>5804</v>
      </c>
      <c r="K1499" s="11"/>
      <c r="L1499"/>
      <c r="M1499" s="37">
        <f t="shared" si="619"/>
        <v>16.079999999999998</v>
      </c>
      <c r="N1499" s="29">
        <v>8.64</v>
      </c>
      <c r="O1499" s="41"/>
      <c r="P1499" s="59"/>
      <c r="Q1499"/>
      <c r="R1499"/>
      <c r="S1499" t="s">
        <v>1017</v>
      </c>
      <c r="T1499" s="145" t="s">
        <v>4179</v>
      </c>
      <c r="U1499" s="60"/>
      <c r="V1499" s="50"/>
      <c r="W1499"/>
      <c r="X1499" t="s">
        <v>1017</v>
      </c>
      <c r="Y1499" s="50"/>
      <c r="Z1499" s="50"/>
      <c r="AA1499" s="50"/>
      <c r="AB1499" s="50"/>
      <c r="AC1499" s="50"/>
      <c r="AD1499" s="50"/>
      <c r="AE1499" s="75" t="s">
        <v>1017</v>
      </c>
      <c r="AF1499" s="50"/>
      <c r="AG1499" s="50"/>
      <c r="AH1499" s="166" t="str">
        <f>IF(ISERROR(SEARCH("K erstmals 201",D1499)),"",RIGHT(D1499,4))</f>
        <v>2011</v>
      </c>
      <c r="AI1499" s="168" t="str">
        <f t="shared" si="612"/>
        <v/>
      </c>
      <c r="AJ1499" s="168" t="str">
        <f t="shared" si="613"/>
        <v/>
      </c>
      <c r="AK1499" s="168" t="str">
        <f t="shared" si="614"/>
        <v/>
      </c>
      <c r="AL1499" s="168" t="str">
        <f t="shared" si="615"/>
        <v/>
      </c>
      <c r="AM1499" s="168" t="str">
        <f t="shared" si="616"/>
        <v/>
      </c>
      <c r="AN1499" s="167" t="str">
        <f t="shared" si="598"/>
        <v>2011</v>
      </c>
      <c r="AO1499" s="167" t="str">
        <f t="shared" si="599"/>
        <v>2011</v>
      </c>
      <c r="AP1499" s="167" t="str">
        <f t="shared" si="600"/>
        <v>2011</v>
      </c>
      <c r="AQ1499" s="169" t="str">
        <f t="shared" si="601"/>
        <v/>
      </c>
      <c r="AR1499" s="170" t="str">
        <f t="shared" si="602"/>
        <v>BiK83a3bK11-06</v>
      </c>
      <c r="AS1499" s="169" t="str">
        <f t="shared" si="603"/>
        <v/>
      </c>
      <c r="AT1499">
        <f t="shared" si="604"/>
        <v>14</v>
      </c>
      <c r="AU1499" s="170" t="str">
        <f t="shared" si="605"/>
        <v>0,5-5 MW, Bonusregeln a3, b und K erstmals 2011</v>
      </c>
      <c r="AV1499" s="169" t="str">
        <f t="shared" si="606"/>
        <v/>
      </c>
      <c r="AW1499" s="170" t="str">
        <f t="shared" si="607"/>
        <v>Anteil KWK, erstmals 2011</v>
      </c>
      <c r="AX1499" s="169" t="str">
        <f t="shared" si="608"/>
        <v/>
      </c>
      <c r="AY1499" t="str">
        <f t="shared" si="609"/>
        <v>x</v>
      </c>
      <c r="AZ1499" t="str">
        <f t="shared" si="610"/>
        <v/>
      </c>
    </row>
    <row r="1500" spans="1:52" s="145" customFormat="1" x14ac:dyDescent="0.35">
      <c r="A1500" s="511" t="s">
        <v>1807</v>
      </c>
      <c r="B1500" s="173" t="s">
        <v>5547</v>
      </c>
      <c r="C1500" s="173" t="s">
        <v>1296</v>
      </c>
      <c r="D1500" s="173" t="s">
        <v>6797</v>
      </c>
      <c r="E1500" s="173" t="s">
        <v>1980</v>
      </c>
      <c r="F1500" s="374">
        <f t="shared" si="617"/>
        <v>16.05</v>
      </c>
      <c r="G1500" s="431">
        <v>16.05</v>
      </c>
      <c r="H1500" s="400">
        <f t="shared" si="618"/>
        <v>12.84</v>
      </c>
      <c r="I1500" s="577"/>
      <c r="J1500" s="549" t="s">
        <v>5804</v>
      </c>
      <c r="K1500" s="11"/>
      <c r="L1500"/>
      <c r="M1500" s="37">
        <f t="shared" si="619"/>
        <v>16.05</v>
      </c>
      <c r="N1500" s="29">
        <v>8.64</v>
      </c>
      <c r="O1500" s="41"/>
      <c r="P1500" s="59"/>
      <c r="Q1500"/>
      <c r="R1500"/>
      <c r="S1500" t="s">
        <v>4179</v>
      </c>
      <c r="T1500" s="145" t="s">
        <v>1017</v>
      </c>
      <c r="U1500" s="60"/>
      <c r="V1500" s="50"/>
      <c r="W1500"/>
      <c r="X1500" t="s">
        <v>1017</v>
      </c>
      <c r="Y1500" s="50"/>
      <c r="Z1500" s="50"/>
      <c r="AA1500" s="50"/>
      <c r="AB1500" s="50"/>
      <c r="AC1500" s="50"/>
      <c r="AD1500" s="50"/>
      <c r="AE1500" s="75" t="s">
        <v>1017</v>
      </c>
      <c r="AF1500" s="50"/>
      <c r="AG1500" s="50"/>
      <c r="AH1500" s="171" t="s">
        <v>4178</v>
      </c>
      <c r="AI1500" s="168" t="str">
        <f t="shared" si="612"/>
        <v/>
      </c>
      <c r="AJ1500" s="168" t="str">
        <f t="shared" si="613"/>
        <v/>
      </c>
      <c r="AK1500" s="168" t="str">
        <f t="shared" si="614"/>
        <v/>
      </c>
      <c r="AL1500" s="168" t="str">
        <f t="shared" si="615"/>
        <v/>
      </c>
      <c r="AM1500" s="168" t="str">
        <f t="shared" si="616"/>
        <v/>
      </c>
      <c r="AN1500" s="167" t="str">
        <f t="shared" si="598"/>
        <v>2012</v>
      </c>
      <c r="AO1500" s="167" t="str">
        <f t="shared" si="599"/>
        <v>2012</v>
      </c>
      <c r="AP1500" s="167" t="str">
        <f t="shared" si="600"/>
        <v>2012</v>
      </c>
      <c r="AQ1500" s="169" t="str">
        <f t="shared" si="601"/>
        <v/>
      </c>
      <c r="AR1500" s="170" t="str">
        <f t="shared" si="602"/>
        <v>BiK83a3bK12-06</v>
      </c>
      <c r="AS1500" s="169" t="str">
        <f t="shared" si="603"/>
        <v/>
      </c>
      <c r="AT1500">
        <f t="shared" si="604"/>
        <v>14</v>
      </c>
      <c r="AU1500" s="170" t="str">
        <f t="shared" si="605"/>
        <v>0,5-5 MW, Bonusregeln a3, b und K erstmals 2012</v>
      </c>
      <c r="AV1500" s="169" t="str">
        <f t="shared" si="606"/>
        <v/>
      </c>
      <c r="AW1500" s="170" t="str">
        <f t="shared" si="607"/>
        <v>Anteil KWK, erstmals 2012</v>
      </c>
      <c r="AX1500" s="169" t="str">
        <f t="shared" si="608"/>
        <v/>
      </c>
      <c r="AY1500" t="str">
        <f t="shared" si="609"/>
        <v/>
      </c>
      <c r="AZ1500" t="str">
        <f t="shared" si="610"/>
        <v>x</v>
      </c>
    </row>
    <row r="1501" spans="1:52" s="145" customFormat="1" x14ac:dyDescent="0.35">
      <c r="A1501" s="496" t="s">
        <v>530</v>
      </c>
      <c r="B1501" s="1" t="s">
        <v>5547</v>
      </c>
      <c r="C1501" s="1" t="s">
        <v>1296</v>
      </c>
      <c r="D1501" s="1" t="s">
        <v>1776</v>
      </c>
      <c r="E1501" s="1" t="s">
        <v>4809</v>
      </c>
      <c r="F1501" s="375">
        <f t="shared" si="617"/>
        <v>8.15</v>
      </c>
      <c r="G1501" s="432">
        <v>8.15</v>
      </c>
      <c r="H1501" s="401">
        <f t="shared" si="618"/>
        <v>6.52</v>
      </c>
      <c r="I1501" s="578"/>
      <c r="J1501" s="549" t="s">
        <v>5804</v>
      </c>
      <c r="K1501" s="11"/>
      <c r="L1501"/>
      <c r="M1501" s="37">
        <f t="shared" si="619"/>
        <v>8.15</v>
      </c>
      <c r="N1501" s="29">
        <v>8.15</v>
      </c>
      <c r="O1501" s="41"/>
      <c r="P1501" s="59"/>
      <c r="Q1501"/>
      <c r="R1501"/>
      <c r="S1501" t="s">
        <v>4179</v>
      </c>
      <c r="T1501" s="145" t="s">
        <v>4179</v>
      </c>
      <c r="U1501" s="60"/>
      <c r="V1501" s="50"/>
      <c r="W1501" s="50"/>
      <c r="X1501" s="50"/>
      <c r="Y1501" s="50"/>
      <c r="Z1501" s="50"/>
      <c r="AA1501" s="50"/>
      <c r="AB1501" s="50"/>
      <c r="AC1501" s="50"/>
      <c r="AD1501" s="50"/>
      <c r="AE1501" s="154"/>
      <c r="AF1501" s="50"/>
      <c r="AG1501" s="50"/>
      <c r="AH1501" s="166" t="str">
        <f>IF(ISERROR(SEARCH("K erstmals 201",D1501)),"",RIGHT(D1501,4))</f>
        <v/>
      </c>
      <c r="AI1501" s="168" t="str">
        <f t="shared" si="612"/>
        <v/>
      </c>
      <c r="AJ1501" s="168" t="str">
        <f t="shared" si="613"/>
        <v/>
      </c>
      <c r="AK1501" s="168" t="str">
        <f t="shared" si="614"/>
        <v/>
      </c>
      <c r="AL1501" s="168" t="str">
        <f t="shared" si="615"/>
        <v/>
      </c>
      <c r="AM1501" s="168" t="str">
        <f t="shared" si="616"/>
        <v/>
      </c>
      <c r="AN1501" s="167" t="str">
        <f t="shared" si="598"/>
        <v/>
      </c>
      <c r="AO1501" s="167" t="str">
        <f t="shared" si="599"/>
        <v/>
      </c>
      <c r="AP1501" s="167" t="str">
        <f t="shared" si="600"/>
        <v/>
      </c>
      <c r="AQ1501" s="169" t="str">
        <f t="shared" si="601"/>
        <v/>
      </c>
      <c r="AR1501" s="170" t="str">
        <f t="shared" si="602"/>
        <v>BiK84-------06</v>
      </c>
      <c r="AS1501" s="169" t="str">
        <f t="shared" si="603"/>
        <v/>
      </c>
      <c r="AT1501">
        <f t="shared" si="604"/>
        <v>14</v>
      </c>
      <c r="AU1501" s="170" t="str">
        <f t="shared" si="605"/>
        <v>5-20 MW</v>
      </c>
      <c r="AV1501" s="169" t="str">
        <f t="shared" si="606"/>
        <v/>
      </c>
      <c r="AW1501" s="170" t="str">
        <f t="shared" si="607"/>
        <v>Anteil Nicht-KWK</v>
      </c>
      <c r="AX1501" s="169" t="str">
        <f t="shared" si="608"/>
        <v/>
      </c>
      <c r="AY1501" t="str">
        <f t="shared" si="609"/>
        <v/>
      </c>
      <c r="AZ1501" t="str">
        <f t="shared" si="610"/>
        <v/>
      </c>
    </row>
    <row r="1502" spans="1:52" s="145" customFormat="1" x14ac:dyDescent="0.35">
      <c r="A1502" s="496" t="s">
        <v>531</v>
      </c>
      <c r="B1502" s="1" t="s">
        <v>5547</v>
      </c>
      <c r="C1502" s="1" t="s">
        <v>1296</v>
      </c>
      <c r="D1502" s="1" t="s">
        <v>7362</v>
      </c>
      <c r="E1502" s="1" t="s">
        <v>4811</v>
      </c>
      <c r="F1502" s="375">
        <f t="shared" si="617"/>
        <v>10.15</v>
      </c>
      <c r="G1502" s="432">
        <v>10.15</v>
      </c>
      <c r="H1502" s="401">
        <f t="shared" si="618"/>
        <v>8.1199999999999992</v>
      </c>
      <c r="I1502" s="578"/>
      <c r="J1502" s="549" t="s">
        <v>5804</v>
      </c>
      <c r="K1502" s="11"/>
      <c r="L1502"/>
      <c r="M1502" s="37">
        <f t="shared" si="619"/>
        <v>10.15</v>
      </c>
      <c r="N1502" s="29">
        <v>8.15</v>
      </c>
      <c r="O1502" s="41" t="s">
        <v>1017</v>
      </c>
      <c r="P1502" s="59"/>
      <c r="Q1502"/>
      <c r="R1502"/>
      <c r="S1502" t="s">
        <v>4179</v>
      </c>
      <c r="T1502" s="145" t="s">
        <v>4179</v>
      </c>
      <c r="U1502" s="60"/>
      <c r="V1502" s="50"/>
      <c r="W1502" s="50"/>
      <c r="X1502" s="50"/>
      <c r="Y1502" s="50"/>
      <c r="Z1502" s="50"/>
      <c r="AA1502" s="50"/>
      <c r="AB1502" s="50"/>
      <c r="AC1502" s="50"/>
      <c r="AD1502" s="50"/>
      <c r="AE1502" s="154"/>
      <c r="AF1502" s="50"/>
      <c r="AG1502" s="50"/>
      <c r="AH1502" s="166" t="str">
        <f>IF(ISERROR(SEARCH("K erstmals 201",D1502)),"",RIGHT(D1502,4))</f>
        <v/>
      </c>
      <c r="AI1502" s="168" t="str">
        <f t="shared" si="612"/>
        <v/>
      </c>
      <c r="AJ1502" s="168" t="str">
        <f t="shared" si="613"/>
        <v/>
      </c>
      <c r="AK1502" s="168" t="str">
        <f t="shared" si="614"/>
        <v/>
      </c>
      <c r="AL1502" s="168" t="str">
        <f t="shared" si="615"/>
        <v/>
      </c>
      <c r="AM1502" s="168" t="str">
        <f t="shared" si="616"/>
        <v/>
      </c>
      <c r="AN1502" s="167" t="str">
        <f t="shared" si="598"/>
        <v/>
      </c>
      <c r="AO1502" s="167" t="str">
        <f t="shared" si="599"/>
        <v/>
      </c>
      <c r="AP1502" s="167" t="str">
        <f t="shared" si="600"/>
        <v/>
      </c>
      <c r="AQ1502" s="169" t="str">
        <f t="shared" si="601"/>
        <v/>
      </c>
      <c r="AR1502" s="170" t="str">
        <f t="shared" si="602"/>
        <v>BiK84KWK----06</v>
      </c>
      <c r="AS1502" s="169" t="str">
        <f t="shared" si="603"/>
        <v/>
      </c>
      <c r="AT1502">
        <f t="shared" si="604"/>
        <v>14</v>
      </c>
      <c r="AU1502" s="170" t="str">
        <f t="shared" si="605"/>
        <v>5-20 MW, Bonusregel KWK</v>
      </c>
      <c r="AV1502" s="169" t="str">
        <f t="shared" si="606"/>
        <v/>
      </c>
      <c r="AW1502" s="170" t="str">
        <f t="shared" si="607"/>
        <v>Anteil KWK</v>
      </c>
      <c r="AX1502" s="169" t="str">
        <f t="shared" si="608"/>
        <v/>
      </c>
      <c r="AY1502" t="str">
        <f t="shared" si="609"/>
        <v/>
      </c>
      <c r="AZ1502" t="str">
        <f t="shared" si="610"/>
        <v/>
      </c>
    </row>
    <row r="1503" spans="1:52" s="145" customFormat="1" x14ac:dyDescent="0.35">
      <c r="A1503" s="497" t="s">
        <v>4073</v>
      </c>
      <c r="B1503" s="13" t="s">
        <v>5547</v>
      </c>
      <c r="C1503" s="13" t="s">
        <v>1296</v>
      </c>
      <c r="D1503" s="13" t="s">
        <v>7358</v>
      </c>
      <c r="E1503" s="13" t="s">
        <v>674</v>
      </c>
      <c r="F1503" s="373">
        <f t="shared" si="617"/>
        <v>11.15</v>
      </c>
      <c r="G1503" s="430">
        <v>11.15</v>
      </c>
      <c r="H1503" s="399">
        <f t="shared" si="618"/>
        <v>8.92</v>
      </c>
      <c r="I1503" s="576"/>
      <c r="J1503" s="549" t="s">
        <v>5804</v>
      </c>
      <c r="K1503" s="11"/>
      <c r="L1503"/>
      <c r="M1503" s="37">
        <f t="shared" si="619"/>
        <v>11.15</v>
      </c>
      <c r="N1503" s="29">
        <v>8.15</v>
      </c>
      <c r="O1503" s="41"/>
      <c r="P1503" s="59"/>
      <c r="Q1503" t="s">
        <v>1017</v>
      </c>
      <c r="R1503"/>
      <c r="S1503" t="s">
        <v>4179</v>
      </c>
      <c r="T1503" s="145" t="s">
        <v>4179</v>
      </c>
      <c r="U1503" s="60"/>
      <c r="V1503" s="50"/>
      <c r="W1503" s="50"/>
      <c r="X1503" s="50"/>
      <c r="Y1503" s="50"/>
      <c r="Z1503" s="50"/>
      <c r="AA1503" s="50"/>
      <c r="AB1503" s="50"/>
      <c r="AC1503" s="50"/>
      <c r="AD1503" s="50"/>
      <c r="AE1503" s="154"/>
      <c r="AF1503" s="50"/>
      <c r="AG1503" s="50"/>
      <c r="AH1503" s="166" t="str">
        <f>IF(ISERROR(SEARCH("K erstmals 201",D1503)),"",RIGHT(D1503,4))</f>
        <v/>
      </c>
      <c r="AI1503" s="168" t="str">
        <f t="shared" si="612"/>
        <v/>
      </c>
      <c r="AJ1503" s="168" t="str">
        <f t="shared" si="613"/>
        <v/>
      </c>
      <c r="AK1503" s="168" t="str">
        <f t="shared" si="614"/>
        <v/>
      </c>
      <c r="AL1503" s="168" t="str">
        <f t="shared" si="615"/>
        <v/>
      </c>
      <c r="AM1503" s="168" t="str">
        <f t="shared" si="616"/>
        <v/>
      </c>
      <c r="AN1503" s="167" t="str">
        <f t="shared" si="598"/>
        <v/>
      </c>
      <c r="AO1503" s="167" t="str">
        <f t="shared" si="599"/>
        <v/>
      </c>
      <c r="AP1503" s="167" t="str">
        <f t="shared" si="600"/>
        <v/>
      </c>
      <c r="AQ1503" s="169" t="str">
        <f t="shared" si="601"/>
        <v/>
      </c>
      <c r="AR1503" s="170" t="str">
        <f t="shared" si="602"/>
        <v>BiK84K09----06</v>
      </c>
      <c r="AS1503" s="169" t="str">
        <f t="shared" si="603"/>
        <v/>
      </c>
      <c r="AT1503">
        <f t="shared" si="604"/>
        <v>14</v>
      </c>
      <c r="AU1503" s="170" t="str">
        <f t="shared" si="605"/>
        <v>5-20 MW, Bonusregel K erstmals 2009</v>
      </c>
      <c r="AV1503" s="169" t="str">
        <f t="shared" si="606"/>
        <v/>
      </c>
      <c r="AW1503" s="170" t="str">
        <f t="shared" si="607"/>
        <v>Anteil KWK, erstmals 2009</v>
      </c>
      <c r="AX1503" s="169" t="str">
        <f t="shared" si="608"/>
        <v/>
      </c>
      <c r="AY1503" t="str">
        <f t="shared" si="609"/>
        <v/>
      </c>
      <c r="AZ1503" t="str">
        <f t="shared" si="610"/>
        <v/>
      </c>
    </row>
    <row r="1504" spans="1:52" s="145" customFormat="1" x14ac:dyDescent="0.35">
      <c r="A1504" s="497" t="s">
        <v>4938</v>
      </c>
      <c r="B1504" s="13" t="s">
        <v>5547</v>
      </c>
      <c r="C1504" s="13" t="s">
        <v>1296</v>
      </c>
      <c r="D1504" s="13" t="s">
        <v>7359</v>
      </c>
      <c r="E1504" s="13" t="s">
        <v>3566</v>
      </c>
      <c r="F1504" s="373">
        <f t="shared" si="617"/>
        <v>11.120000000000001</v>
      </c>
      <c r="G1504" s="430">
        <v>11.120000000000001</v>
      </c>
      <c r="H1504" s="399">
        <f t="shared" si="618"/>
        <v>8.9</v>
      </c>
      <c r="I1504" s="576"/>
      <c r="J1504" s="549" t="s">
        <v>5804</v>
      </c>
      <c r="K1504" s="11"/>
      <c r="L1504"/>
      <c r="M1504" s="37">
        <f t="shared" si="619"/>
        <v>11.120000000000001</v>
      </c>
      <c r="N1504" s="29">
        <v>8.15</v>
      </c>
      <c r="O1504" s="41"/>
      <c r="P1504" s="59"/>
      <c r="Q1504"/>
      <c r="R1504" t="s">
        <v>1017</v>
      </c>
      <c r="S1504" t="s">
        <v>4179</v>
      </c>
      <c r="T1504" s="145" t="s">
        <v>4179</v>
      </c>
      <c r="U1504" s="60"/>
      <c r="V1504" s="50"/>
      <c r="W1504" s="50"/>
      <c r="X1504" s="50"/>
      <c r="Y1504" s="50"/>
      <c r="Z1504" s="50"/>
      <c r="AA1504" s="50"/>
      <c r="AB1504" s="50"/>
      <c r="AC1504" s="50"/>
      <c r="AD1504" s="50"/>
      <c r="AE1504" s="154"/>
      <c r="AF1504" s="50"/>
      <c r="AG1504" s="50"/>
      <c r="AH1504" s="166" t="str">
        <f>IF(ISERROR(SEARCH("K erstmals 201",D1504)),"",RIGHT(D1504,4))</f>
        <v>2010</v>
      </c>
      <c r="AI1504" s="168" t="str">
        <f t="shared" si="612"/>
        <v/>
      </c>
      <c r="AJ1504" s="168" t="str">
        <f t="shared" si="613"/>
        <v/>
      </c>
      <c r="AK1504" s="168" t="str">
        <f t="shared" si="614"/>
        <v/>
      </c>
      <c r="AL1504" s="168" t="str">
        <f t="shared" si="615"/>
        <v/>
      </c>
      <c r="AM1504" s="168" t="str">
        <f t="shared" si="616"/>
        <v/>
      </c>
      <c r="AN1504" s="167" t="str">
        <f t="shared" si="598"/>
        <v>2010</v>
      </c>
      <c r="AO1504" s="167" t="str">
        <f t="shared" si="599"/>
        <v>2010</v>
      </c>
      <c r="AP1504" s="167" t="str">
        <f t="shared" si="600"/>
        <v>2010</v>
      </c>
      <c r="AQ1504" s="169" t="str">
        <f t="shared" si="601"/>
        <v/>
      </c>
      <c r="AR1504" s="170" t="str">
        <f t="shared" si="602"/>
        <v>BiK84K10----06</v>
      </c>
      <c r="AS1504" s="169" t="str">
        <f t="shared" si="603"/>
        <v/>
      </c>
      <c r="AT1504">
        <f t="shared" si="604"/>
        <v>14</v>
      </c>
      <c r="AU1504" s="170" t="str">
        <f t="shared" si="605"/>
        <v>5-20 MW, Bonusregel K erstmals 2010</v>
      </c>
      <c r="AV1504" s="169" t="str">
        <f t="shared" si="606"/>
        <v/>
      </c>
      <c r="AW1504" s="170" t="str">
        <f t="shared" si="607"/>
        <v>Anteil KWK, erstmals 2010</v>
      </c>
      <c r="AX1504" s="169" t="str">
        <f t="shared" si="608"/>
        <v/>
      </c>
      <c r="AY1504" t="str">
        <f t="shared" si="609"/>
        <v/>
      </c>
      <c r="AZ1504" t="str">
        <f t="shared" si="610"/>
        <v/>
      </c>
    </row>
    <row r="1505" spans="1:52" s="145" customFormat="1" x14ac:dyDescent="0.35">
      <c r="A1505" s="497" t="s">
        <v>3985</v>
      </c>
      <c r="B1505" s="13" t="s">
        <v>5547</v>
      </c>
      <c r="C1505" s="13" t="s">
        <v>1296</v>
      </c>
      <c r="D1505" s="13" t="s">
        <v>7360</v>
      </c>
      <c r="E1505" s="13" t="s">
        <v>3054</v>
      </c>
      <c r="F1505" s="373">
        <f t="shared" si="617"/>
        <v>11.09</v>
      </c>
      <c r="G1505" s="430">
        <v>11.09</v>
      </c>
      <c r="H1505" s="399">
        <f t="shared" si="618"/>
        <v>8.8699999999999992</v>
      </c>
      <c r="I1505" s="576"/>
      <c r="J1505" s="549" t="s">
        <v>5804</v>
      </c>
      <c r="K1505" s="11"/>
      <c r="L1505"/>
      <c r="M1505" s="37">
        <f t="shared" si="619"/>
        <v>11.09</v>
      </c>
      <c r="N1505" s="29">
        <v>8.15</v>
      </c>
      <c r="O1505" s="41"/>
      <c r="P1505" s="59"/>
      <c r="Q1505"/>
      <c r="R1505"/>
      <c r="S1505" t="s">
        <v>1017</v>
      </c>
      <c r="T1505" s="145" t="s">
        <v>4179</v>
      </c>
      <c r="U1505" s="60"/>
      <c r="V1505" s="50"/>
      <c r="W1505" s="50"/>
      <c r="X1505" s="50"/>
      <c r="Y1505" s="50"/>
      <c r="Z1505" s="50"/>
      <c r="AA1505" s="50"/>
      <c r="AB1505" s="50"/>
      <c r="AC1505" s="50"/>
      <c r="AD1505" s="50"/>
      <c r="AE1505" s="154"/>
      <c r="AF1505" s="50"/>
      <c r="AG1505" s="50"/>
      <c r="AH1505" s="166" t="str">
        <f>IF(ISERROR(SEARCH("K erstmals 201",D1505)),"",RIGHT(D1505,4))</f>
        <v>2011</v>
      </c>
      <c r="AI1505" s="168" t="str">
        <f t="shared" si="612"/>
        <v/>
      </c>
      <c r="AJ1505" s="168" t="str">
        <f t="shared" si="613"/>
        <v/>
      </c>
      <c r="AK1505" s="168" t="str">
        <f t="shared" si="614"/>
        <v/>
      </c>
      <c r="AL1505" s="168" t="str">
        <f t="shared" si="615"/>
        <v/>
      </c>
      <c r="AM1505" s="168" t="str">
        <f t="shared" si="616"/>
        <v/>
      </c>
      <c r="AN1505" s="167" t="str">
        <f t="shared" si="598"/>
        <v>2011</v>
      </c>
      <c r="AO1505" s="167" t="str">
        <f t="shared" si="599"/>
        <v>2011</v>
      </c>
      <c r="AP1505" s="167" t="str">
        <f t="shared" si="600"/>
        <v>2011</v>
      </c>
      <c r="AQ1505" s="169" t="str">
        <f t="shared" si="601"/>
        <v/>
      </c>
      <c r="AR1505" s="170" t="str">
        <f t="shared" si="602"/>
        <v>BiK84K11----06</v>
      </c>
      <c r="AS1505" s="169" t="str">
        <f t="shared" si="603"/>
        <v/>
      </c>
      <c r="AT1505">
        <f t="shared" si="604"/>
        <v>14</v>
      </c>
      <c r="AU1505" s="170" t="str">
        <f t="shared" si="605"/>
        <v>5-20 MW, Bonusregel K erstmals 2011</v>
      </c>
      <c r="AV1505" s="169" t="str">
        <f t="shared" si="606"/>
        <v/>
      </c>
      <c r="AW1505" s="170" t="str">
        <f t="shared" si="607"/>
        <v>Anteil KWK, erstmals 2011</v>
      </c>
      <c r="AX1505" s="169" t="str">
        <f t="shared" si="608"/>
        <v/>
      </c>
      <c r="AY1505" t="str">
        <f t="shared" si="609"/>
        <v>x</v>
      </c>
      <c r="AZ1505" t="str">
        <f t="shared" si="610"/>
        <v/>
      </c>
    </row>
    <row r="1506" spans="1:52" s="145" customFormat="1" x14ac:dyDescent="0.35">
      <c r="A1506" s="511" t="s">
        <v>1808</v>
      </c>
      <c r="B1506" s="173" t="s">
        <v>5547</v>
      </c>
      <c r="C1506" s="173" t="s">
        <v>1296</v>
      </c>
      <c r="D1506" s="173" t="s">
        <v>7361</v>
      </c>
      <c r="E1506" s="173" t="s">
        <v>1980</v>
      </c>
      <c r="F1506" s="374">
        <f t="shared" si="617"/>
        <v>11.06</v>
      </c>
      <c r="G1506" s="431">
        <v>11.06</v>
      </c>
      <c r="H1506" s="400">
        <f t="shared" si="618"/>
        <v>8.85</v>
      </c>
      <c r="I1506" s="577"/>
      <c r="J1506" s="549" t="s">
        <v>5804</v>
      </c>
      <c r="K1506" s="11"/>
      <c r="L1506"/>
      <c r="M1506" s="37">
        <f t="shared" si="619"/>
        <v>11.06</v>
      </c>
      <c r="N1506" s="29">
        <v>8.15</v>
      </c>
      <c r="O1506" s="41"/>
      <c r="P1506" s="59"/>
      <c r="Q1506"/>
      <c r="R1506"/>
      <c r="S1506" t="s">
        <v>4179</v>
      </c>
      <c r="T1506" s="145" t="s">
        <v>1017</v>
      </c>
      <c r="U1506" s="60"/>
      <c r="V1506" s="50"/>
      <c r="W1506" s="50"/>
      <c r="X1506" s="50"/>
      <c r="Y1506" s="50"/>
      <c r="Z1506" s="50"/>
      <c r="AA1506" s="50"/>
      <c r="AB1506" s="50"/>
      <c r="AC1506" s="50"/>
      <c r="AD1506" s="50"/>
      <c r="AE1506" s="154"/>
      <c r="AF1506" s="50"/>
      <c r="AG1506" s="50"/>
      <c r="AH1506" s="171" t="s">
        <v>4178</v>
      </c>
      <c r="AI1506" s="168" t="str">
        <f t="shared" si="612"/>
        <v/>
      </c>
      <c r="AJ1506" s="168" t="str">
        <f t="shared" si="613"/>
        <v/>
      </c>
      <c r="AK1506" s="168" t="str">
        <f t="shared" si="614"/>
        <v/>
      </c>
      <c r="AL1506" s="168" t="str">
        <f t="shared" si="615"/>
        <v/>
      </c>
      <c r="AM1506" s="168" t="str">
        <f t="shared" si="616"/>
        <v/>
      </c>
      <c r="AN1506" s="167" t="str">
        <f t="shared" si="598"/>
        <v>2012</v>
      </c>
      <c r="AO1506" s="167" t="str">
        <f t="shared" si="599"/>
        <v>2012</v>
      </c>
      <c r="AP1506" s="167" t="str">
        <f t="shared" si="600"/>
        <v>2012</v>
      </c>
      <c r="AQ1506" s="169" t="str">
        <f t="shared" si="601"/>
        <v/>
      </c>
      <c r="AR1506" s="170" t="str">
        <f t="shared" si="602"/>
        <v>BiK84K12----06</v>
      </c>
      <c r="AS1506" s="169" t="str">
        <f t="shared" si="603"/>
        <v/>
      </c>
      <c r="AT1506">
        <f t="shared" si="604"/>
        <v>14</v>
      </c>
      <c r="AU1506" s="170" t="str">
        <f t="shared" si="605"/>
        <v>5-20 MW, Bonusregel K erstmals 2012</v>
      </c>
      <c r="AV1506" s="169" t="str">
        <f t="shared" si="606"/>
        <v/>
      </c>
      <c r="AW1506" s="170" t="str">
        <f t="shared" si="607"/>
        <v>Anteil KWK, erstmals 2012</v>
      </c>
      <c r="AX1506" s="169" t="str">
        <f t="shared" si="608"/>
        <v/>
      </c>
      <c r="AY1506" t="str">
        <f t="shared" si="609"/>
        <v/>
      </c>
      <c r="AZ1506" t="str">
        <f t="shared" si="610"/>
        <v>x</v>
      </c>
    </row>
    <row r="1507" spans="1:52" s="145" customFormat="1" x14ac:dyDescent="0.35">
      <c r="A1507" s="496" t="s">
        <v>532</v>
      </c>
      <c r="B1507" s="1" t="s">
        <v>5547</v>
      </c>
      <c r="C1507" s="18" t="s">
        <v>4791</v>
      </c>
      <c r="D1507" s="18" t="s">
        <v>7386</v>
      </c>
      <c r="E1507" s="1" t="s">
        <v>4179</v>
      </c>
      <c r="F1507" s="375">
        <f t="shared" si="617"/>
        <v>3.78</v>
      </c>
      <c r="G1507" s="432">
        <v>3.78</v>
      </c>
      <c r="H1507" s="401">
        <f t="shared" si="618"/>
        <v>3.02</v>
      </c>
      <c r="I1507" s="578"/>
      <c r="J1507" s="549" t="s">
        <v>5804</v>
      </c>
      <c r="K1507" s="11"/>
      <c r="L1507"/>
      <c r="M1507" s="37">
        <f t="shared" si="619"/>
        <v>3.78</v>
      </c>
      <c r="N1507" s="29">
        <v>3.78</v>
      </c>
      <c r="O1507" s="41"/>
      <c r="P1507" s="59"/>
      <c r="Q1507"/>
      <c r="R1507"/>
      <c r="S1507" t="s">
        <v>4179</v>
      </c>
      <c r="T1507" s="145" t="s">
        <v>4179</v>
      </c>
      <c r="U1507" s="60"/>
      <c r="V1507" s="50"/>
      <c r="W1507" s="50"/>
      <c r="X1507" s="50"/>
      <c r="Y1507" s="50"/>
      <c r="Z1507" s="50"/>
      <c r="AA1507" s="50"/>
      <c r="AB1507" s="50"/>
      <c r="AC1507" s="50"/>
      <c r="AD1507" s="50"/>
      <c r="AE1507" s="154"/>
      <c r="AF1507" s="50"/>
      <c r="AG1507" s="50"/>
      <c r="AH1507" s="166" t="str">
        <f>IF(ISERROR(SEARCH("K erstmals 201",D1507)),"",RIGHT(D1507,4))</f>
        <v/>
      </c>
      <c r="AI1507" s="168" t="str">
        <f t="shared" si="612"/>
        <v/>
      </c>
      <c r="AJ1507" s="168" t="str">
        <f t="shared" si="613"/>
        <v/>
      </c>
      <c r="AK1507" s="168" t="str">
        <f t="shared" si="614"/>
        <v/>
      </c>
      <c r="AL1507" s="168" t="str">
        <f t="shared" si="615"/>
        <v/>
      </c>
      <c r="AM1507" s="168" t="str">
        <f t="shared" si="616"/>
        <v/>
      </c>
      <c r="AN1507" s="167" t="str">
        <f t="shared" ref="AN1507:AN1513" si="622">IF(ISERROR(SEARCH("K1",A1507)),"","20"&amp;MID(A1507,SEARCH("K1",A1507)+1,2))</f>
        <v/>
      </c>
      <c r="AO1507" s="167" t="str">
        <f t="shared" ref="AO1507:AO1513" si="623">IF(ISERROR(SEARCH("erstmals 201",E1507)),"",MID(E1507,SEARCH("erstmals ",E1507)+9,4))</f>
        <v/>
      </c>
      <c r="AP1507" s="167" t="str">
        <f t="shared" ref="AP1507:AP1513" si="624">IF(R1507="x","2010",IF(S1507="x","2011",IF(T1507="x","2012","")))</f>
        <v/>
      </c>
      <c r="AQ1507" s="169" t="str">
        <f t="shared" ref="AQ1507:AQ1513" si="625">IF(OR(AH1507&lt;&gt;AN1507,AH1507&lt;&gt;AO1507,AH1507&lt;&gt;AP1507),"DIFF","")</f>
        <v/>
      </c>
      <c r="AR1507" s="170" t="str">
        <f t="shared" ref="AR1507:AR1513" si="626">IF(A1507="","",IF(ISERROR(SEARCH("K1",A1507)),A1507,LEFT(A1507,SEARCH("K1",A1507)+1)&amp;RIGHT(AH1507,1)&amp;MID(A1507,SEARCH("K1",A1507)+3,14)))</f>
        <v>BiK85-------06</v>
      </c>
      <c r="AS1507" s="169" t="str">
        <f t="shared" ref="AS1507:AS1513" si="627">IF(OR(A1507&lt;&gt;AR1507),"DIFF","")</f>
        <v/>
      </c>
      <c r="AT1507">
        <f t="shared" ref="AT1507:AT1513" si="628">LEN(AR1507)</f>
        <v>14</v>
      </c>
      <c r="AU1507" s="170" t="str">
        <f t="shared" ref="AU1507:AU1513" si="629">IF(D1507="","",IF(OR(A1507="",ISERROR(SEARCH("erstmals 201",D1507))),D1507,LEFT(D1507,SEARCH("erstmals 201",D1507)+8) &amp; AH1507 &amp; MID(D1507,SEARCH("erstmals 201",D1507)+13,255)))</f>
        <v>&lt; 20 MW, Altholz</v>
      </c>
      <c r="AV1507" s="169" t="str">
        <f t="shared" ref="AV1507:AV1513" si="630">IF(OR(D1507&lt;&gt;AU1507),"DIFF","")</f>
        <v/>
      </c>
      <c r="AW1507" s="170" t="str">
        <f t="shared" ref="AW1507:AW1513" si="631">IF(E1507="","",IF(OR(E1507="",ISERROR(SEARCH("erstmals 201",E1507))),E1507,LEFT(E1507,SEARCH("erstmals 201",E1507)+8) &amp; AH1507 &amp; MID(E1507,SEARCH("erstmals 201",E1507)+13,255)))</f>
        <v/>
      </c>
      <c r="AX1507" s="169" t="str">
        <f t="shared" ref="AX1507:AX1513" si="632">IF(OR(E1507&lt;&gt;AW1507),"DIFF","")</f>
        <v/>
      </c>
      <c r="AY1507" t="str">
        <f t="shared" ref="AY1507:AY1513" si="633">IF(AH1507="2011","x",IF(AH1507="2012","","" &amp; S1507))</f>
        <v/>
      </c>
      <c r="AZ1507" t="str">
        <f t="shared" ref="AZ1507:AZ1513" si="634">IF(AH1507="2012","x",IF(AH1507="2011","","" &amp; T1507))</f>
        <v/>
      </c>
    </row>
    <row r="1508" spans="1:52" s="145" customFormat="1" x14ac:dyDescent="0.35">
      <c r="A1508" s="497" t="s">
        <v>2907</v>
      </c>
      <c r="B1508" s="13" t="s">
        <v>5547</v>
      </c>
      <c r="C1508" s="17" t="s">
        <v>4791</v>
      </c>
      <c r="D1508" s="17" t="s">
        <v>7387</v>
      </c>
      <c r="E1508" s="13" t="s">
        <v>674</v>
      </c>
      <c r="F1508" s="373">
        <f t="shared" si="617"/>
        <v>6.7799999999999994</v>
      </c>
      <c r="G1508" s="430">
        <v>6.7799999999999994</v>
      </c>
      <c r="H1508" s="399">
        <f t="shared" si="618"/>
        <v>5.42</v>
      </c>
      <c r="I1508" s="576"/>
      <c r="J1508" s="549" t="s">
        <v>5804</v>
      </c>
      <c r="K1508" s="11"/>
      <c r="L1508"/>
      <c r="M1508" s="37">
        <f t="shared" si="619"/>
        <v>6.7799999999999994</v>
      </c>
      <c r="N1508" s="29">
        <v>3.78</v>
      </c>
      <c r="O1508" s="41"/>
      <c r="P1508" s="59"/>
      <c r="Q1508" t="s">
        <v>1017</v>
      </c>
      <c r="R1508"/>
      <c r="S1508" t="s">
        <v>4179</v>
      </c>
      <c r="T1508" s="145" t="s">
        <v>4179</v>
      </c>
      <c r="U1508" s="60"/>
      <c r="V1508" s="50"/>
      <c r="W1508" s="50"/>
      <c r="X1508" s="50"/>
      <c r="Y1508" s="50"/>
      <c r="Z1508" s="50"/>
      <c r="AA1508" s="50"/>
      <c r="AB1508" s="50"/>
      <c r="AC1508" s="50"/>
      <c r="AD1508" s="50"/>
      <c r="AE1508" s="154"/>
      <c r="AF1508" s="50"/>
      <c r="AG1508" s="50"/>
      <c r="AH1508" s="166" t="str">
        <f>IF(ISERROR(SEARCH("K erstmals 201",D1508)),"",RIGHT(D1508,4))</f>
        <v/>
      </c>
      <c r="AI1508" s="168" t="str">
        <f t="shared" si="612"/>
        <v/>
      </c>
      <c r="AJ1508" s="168" t="str">
        <f t="shared" si="613"/>
        <v/>
      </c>
      <c r="AK1508" s="168" t="str">
        <f t="shared" si="614"/>
        <v/>
      </c>
      <c r="AL1508" s="168" t="str">
        <f t="shared" si="615"/>
        <v/>
      </c>
      <c r="AM1508" s="168" t="str">
        <f t="shared" si="616"/>
        <v/>
      </c>
      <c r="AN1508" s="167" t="str">
        <f t="shared" si="622"/>
        <v/>
      </c>
      <c r="AO1508" s="167" t="str">
        <f t="shared" si="623"/>
        <v/>
      </c>
      <c r="AP1508" s="167" t="str">
        <f t="shared" si="624"/>
        <v/>
      </c>
      <c r="AQ1508" s="169" t="str">
        <f t="shared" si="625"/>
        <v/>
      </c>
      <c r="AR1508" s="170" t="str">
        <f t="shared" si="626"/>
        <v>BiK85K09----06</v>
      </c>
      <c r="AS1508" s="169" t="str">
        <f t="shared" si="627"/>
        <v/>
      </c>
      <c r="AT1508">
        <f t="shared" si="628"/>
        <v>14</v>
      </c>
      <c r="AU1508" s="170" t="str">
        <f t="shared" si="629"/>
        <v>&lt; 20 MW, Altholz, Bonusregel K erstmals 2009</v>
      </c>
      <c r="AV1508" s="169" t="str">
        <f t="shared" si="630"/>
        <v/>
      </c>
      <c r="AW1508" s="170" t="str">
        <f t="shared" si="631"/>
        <v>Anteil KWK, erstmals 2009</v>
      </c>
      <c r="AX1508" s="169" t="str">
        <f t="shared" si="632"/>
        <v/>
      </c>
      <c r="AY1508" t="str">
        <f t="shared" si="633"/>
        <v/>
      </c>
      <c r="AZ1508" t="str">
        <f t="shared" si="634"/>
        <v/>
      </c>
    </row>
    <row r="1509" spans="1:52" s="145" customFormat="1" x14ac:dyDescent="0.35">
      <c r="A1509" s="497" t="s">
        <v>4939</v>
      </c>
      <c r="B1509" s="13" t="s">
        <v>5547</v>
      </c>
      <c r="C1509" s="17" t="s">
        <v>4791</v>
      </c>
      <c r="D1509" s="17" t="s">
        <v>7383</v>
      </c>
      <c r="E1509" s="13" t="s">
        <v>3566</v>
      </c>
      <c r="F1509" s="373">
        <f t="shared" si="617"/>
        <v>6.75</v>
      </c>
      <c r="G1509" s="430">
        <v>6.75</v>
      </c>
      <c r="H1509" s="399">
        <f t="shared" si="618"/>
        <v>5.4</v>
      </c>
      <c r="I1509" s="576"/>
      <c r="J1509" s="549" t="s">
        <v>5804</v>
      </c>
      <c r="K1509" s="11"/>
      <c r="L1509"/>
      <c r="M1509" s="37">
        <f t="shared" si="619"/>
        <v>6.75</v>
      </c>
      <c r="N1509" s="29">
        <v>3.78</v>
      </c>
      <c r="O1509" s="41"/>
      <c r="P1509" s="59"/>
      <c r="Q1509"/>
      <c r="R1509" t="s">
        <v>1017</v>
      </c>
      <c r="S1509" t="s">
        <v>4179</v>
      </c>
      <c r="T1509" s="145" t="s">
        <v>4179</v>
      </c>
      <c r="U1509" s="60"/>
      <c r="V1509" s="50"/>
      <c r="W1509" s="50"/>
      <c r="X1509" s="50"/>
      <c r="Y1509" s="50"/>
      <c r="Z1509" s="50"/>
      <c r="AA1509" s="50"/>
      <c r="AB1509" s="50"/>
      <c r="AC1509" s="50"/>
      <c r="AD1509" s="50"/>
      <c r="AE1509" s="154"/>
      <c r="AF1509" s="50"/>
      <c r="AG1509" s="50"/>
      <c r="AH1509" s="166" t="str">
        <f>IF(ISERROR(SEARCH("K erstmals 201",D1509)),"",RIGHT(D1509,4))</f>
        <v>2010</v>
      </c>
      <c r="AI1509" s="168" t="str">
        <f t="shared" ref="AI1509:AI1511" si="635">IF(AND($AH1509&lt;&gt;"",AH1509 =AH1508),"Gleich","")</f>
        <v/>
      </c>
      <c r="AJ1509" s="168" t="str">
        <f t="shared" si="613"/>
        <v/>
      </c>
      <c r="AK1509" s="168" t="str">
        <f t="shared" si="614"/>
        <v/>
      </c>
      <c r="AL1509" s="168" t="str">
        <f t="shared" si="615"/>
        <v/>
      </c>
      <c r="AM1509" s="168" t="str">
        <f t="shared" si="616"/>
        <v/>
      </c>
      <c r="AN1509" s="167" t="str">
        <f t="shared" si="622"/>
        <v>2010</v>
      </c>
      <c r="AO1509" s="167" t="str">
        <f t="shared" si="623"/>
        <v>2010</v>
      </c>
      <c r="AP1509" s="167" t="str">
        <f t="shared" si="624"/>
        <v>2010</v>
      </c>
      <c r="AQ1509" s="169" t="str">
        <f t="shared" si="625"/>
        <v/>
      </c>
      <c r="AR1509" s="170" t="str">
        <f t="shared" si="626"/>
        <v>BiK85K10----06</v>
      </c>
      <c r="AS1509" s="169" t="str">
        <f t="shared" si="627"/>
        <v/>
      </c>
      <c r="AT1509">
        <f t="shared" si="628"/>
        <v>14</v>
      </c>
      <c r="AU1509" s="170" t="str">
        <f t="shared" si="629"/>
        <v>&lt; 20 MW, Altholz, Bonusregel K erstmals 2010</v>
      </c>
      <c r="AV1509" s="169" t="str">
        <f t="shared" si="630"/>
        <v/>
      </c>
      <c r="AW1509" s="170" t="str">
        <f t="shared" si="631"/>
        <v>Anteil KWK, erstmals 2010</v>
      </c>
      <c r="AX1509" s="169" t="str">
        <f t="shared" si="632"/>
        <v/>
      </c>
      <c r="AY1509" t="str">
        <f t="shared" si="633"/>
        <v/>
      </c>
      <c r="AZ1509" t="str">
        <f t="shared" si="634"/>
        <v/>
      </c>
    </row>
    <row r="1510" spans="1:52" x14ac:dyDescent="0.35">
      <c r="A1510" s="497" t="s">
        <v>3986</v>
      </c>
      <c r="B1510" s="13" t="s">
        <v>5547</v>
      </c>
      <c r="C1510" s="17" t="s">
        <v>4791</v>
      </c>
      <c r="D1510" s="17" t="s">
        <v>7384</v>
      </c>
      <c r="E1510" s="13" t="s">
        <v>3054</v>
      </c>
      <c r="F1510" s="373">
        <f t="shared" si="617"/>
        <v>6.72</v>
      </c>
      <c r="G1510" s="430">
        <v>6.72</v>
      </c>
      <c r="H1510" s="399">
        <f t="shared" si="618"/>
        <v>5.38</v>
      </c>
      <c r="I1510" s="576"/>
      <c r="J1510" s="549" t="s">
        <v>5804</v>
      </c>
      <c r="K1510" s="11"/>
      <c r="M1510" s="37">
        <f t="shared" si="619"/>
        <v>6.72</v>
      </c>
      <c r="N1510" s="29">
        <v>3.78</v>
      </c>
      <c r="O1510" s="41"/>
      <c r="P1510" s="59"/>
      <c r="S1510" t="s">
        <v>1017</v>
      </c>
      <c r="T1510" t="s">
        <v>4179</v>
      </c>
      <c r="U1510" s="60"/>
      <c r="V1510" s="50"/>
      <c r="W1510" s="50"/>
      <c r="X1510" s="50"/>
      <c r="Y1510" s="50"/>
      <c r="Z1510" s="50"/>
      <c r="AA1510" s="50"/>
      <c r="AB1510" s="50"/>
      <c r="AC1510" s="50"/>
      <c r="AD1510" s="50"/>
      <c r="AE1510" s="154"/>
      <c r="AF1510" s="50"/>
      <c r="AG1510" s="50"/>
      <c r="AH1510" s="166" t="str">
        <f>IF(ISERROR(SEARCH("K erstmals 201",D1510)),"",RIGHT(D1510,4))</f>
        <v>2011</v>
      </c>
      <c r="AI1510" s="168" t="str">
        <f t="shared" si="635"/>
        <v/>
      </c>
      <c r="AJ1510" s="168" t="str">
        <f t="shared" si="613"/>
        <v/>
      </c>
      <c r="AK1510" s="168" t="str">
        <f t="shared" si="614"/>
        <v/>
      </c>
      <c r="AL1510" s="168" t="str">
        <f t="shared" si="615"/>
        <v/>
      </c>
      <c r="AM1510" s="168" t="str">
        <f t="shared" si="616"/>
        <v/>
      </c>
      <c r="AN1510" s="167" t="str">
        <f t="shared" si="622"/>
        <v>2011</v>
      </c>
      <c r="AO1510" s="167" t="str">
        <f t="shared" si="623"/>
        <v>2011</v>
      </c>
      <c r="AP1510" s="167" t="str">
        <f t="shared" si="624"/>
        <v>2011</v>
      </c>
      <c r="AQ1510" s="169" t="str">
        <f t="shared" si="625"/>
        <v/>
      </c>
      <c r="AR1510" s="170" t="str">
        <f t="shared" si="626"/>
        <v>BiK85K11----06</v>
      </c>
      <c r="AS1510" s="169" t="str">
        <f t="shared" si="627"/>
        <v/>
      </c>
      <c r="AT1510">
        <f t="shared" si="628"/>
        <v>14</v>
      </c>
      <c r="AU1510" s="170" t="str">
        <f t="shared" si="629"/>
        <v>&lt; 20 MW, Altholz, Bonusregel K erstmals 2011</v>
      </c>
      <c r="AV1510" s="169" t="str">
        <f t="shared" si="630"/>
        <v/>
      </c>
      <c r="AW1510" s="170" t="str">
        <f t="shared" si="631"/>
        <v>Anteil KWK, erstmals 2011</v>
      </c>
      <c r="AX1510" s="169" t="str">
        <f t="shared" si="632"/>
        <v/>
      </c>
      <c r="AY1510" t="str">
        <f t="shared" si="633"/>
        <v>x</v>
      </c>
      <c r="AZ1510" t="str">
        <f t="shared" si="634"/>
        <v/>
      </c>
    </row>
    <row r="1511" spans="1:52" x14ac:dyDescent="0.35">
      <c r="A1511" s="511" t="s">
        <v>1809</v>
      </c>
      <c r="B1511" s="173" t="s">
        <v>5547</v>
      </c>
      <c r="C1511" s="174" t="s">
        <v>4791</v>
      </c>
      <c r="D1511" s="174" t="s">
        <v>7385</v>
      </c>
      <c r="E1511" s="173" t="s">
        <v>1980</v>
      </c>
      <c r="F1511" s="374">
        <f t="shared" si="617"/>
        <v>6.6899999999999995</v>
      </c>
      <c r="G1511" s="431">
        <v>6.6899999999999995</v>
      </c>
      <c r="H1511" s="400">
        <f t="shared" si="618"/>
        <v>5.35</v>
      </c>
      <c r="I1511" s="577"/>
      <c r="J1511" s="549" t="s">
        <v>5804</v>
      </c>
      <c r="K1511" s="11"/>
      <c r="M1511" s="37">
        <f t="shared" si="619"/>
        <v>6.6899999999999995</v>
      </c>
      <c r="N1511" s="29">
        <v>3.78</v>
      </c>
      <c r="O1511" s="41"/>
      <c r="P1511" s="59"/>
      <c r="S1511" t="s">
        <v>4179</v>
      </c>
      <c r="T1511" t="s">
        <v>1017</v>
      </c>
      <c r="U1511" s="60"/>
      <c r="V1511" s="50"/>
      <c r="W1511" s="50"/>
      <c r="X1511" s="50"/>
      <c r="Y1511" s="50"/>
      <c r="Z1511" s="50"/>
      <c r="AA1511" s="50"/>
      <c r="AB1511" s="50"/>
      <c r="AC1511" s="50"/>
      <c r="AD1511" s="50"/>
      <c r="AE1511" s="154"/>
      <c r="AF1511" s="50"/>
      <c r="AG1511" s="50"/>
      <c r="AH1511" s="171" t="s">
        <v>4178</v>
      </c>
      <c r="AI1511" s="168" t="str">
        <f t="shared" si="635"/>
        <v/>
      </c>
      <c r="AJ1511" s="168" t="str">
        <f t="shared" si="613"/>
        <v/>
      </c>
      <c r="AK1511" s="168" t="str">
        <f t="shared" si="614"/>
        <v/>
      </c>
      <c r="AL1511" s="168" t="str">
        <f t="shared" si="615"/>
        <v/>
      </c>
      <c r="AM1511" s="168" t="str">
        <f t="shared" si="616"/>
        <v/>
      </c>
      <c r="AN1511" s="167" t="str">
        <f t="shared" si="622"/>
        <v>2012</v>
      </c>
      <c r="AO1511" s="167" t="str">
        <f t="shared" si="623"/>
        <v>2012</v>
      </c>
      <c r="AP1511" s="167" t="str">
        <f t="shared" si="624"/>
        <v>2012</v>
      </c>
      <c r="AQ1511" s="169" t="str">
        <f t="shared" si="625"/>
        <v/>
      </c>
      <c r="AR1511" s="170" t="str">
        <f t="shared" si="626"/>
        <v>BiK85K12----06</v>
      </c>
      <c r="AS1511" s="169" t="str">
        <f t="shared" si="627"/>
        <v/>
      </c>
      <c r="AT1511">
        <f t="shared" si="628"/>
        <v>14</v>
      </c>
      <c r="AU1511" s="170" t="str">
        <f t="shared" si="629"/>
        <v>&lt; 20 MW, Altholz, Bonusregel K erstmals 2012</v>
      </c>
      <c r="AV1511" s="169" t="str">
        <f t="shared" si="630"/>
        <v/>
      </c>
      <c r="AW1511" s="170" t="str">
        <f t="shared" si="631"/>
        <v>Anteil KWK, erstmals 2012</v>
      </c>
      <c r="AX1511" s="169" t="str">
        <f t="shared" si="632"/>
        <v/>
      </c>
      <c r="AY1511" t="str">
        <f t="shared" si="633"/>
        <v/>
      </c>
      <c r="AZ1511" t="str">
        <f t="shared" si="634"/>
        <v>x</v>
      </c>
    </row>
    <row r="1512" spans="1:52" s="145" customFormat="1" x14ac:dyDescent="0.35">
      <c r="A1512" s="496" t="s">
        <v>4179</v>
      </c>
      <c r="B1512" s="1"/>
      <c r="C1512" s="1"/>
      <c r="D1512" s="1" t="s">
        <v>4179</v>
      </c>
      <c r="E1512" s="1" t="s">
        <v>4179</v>
      </c>
      <c r="F1512" s="375"/>
      <c r="G1512" s="425"/>
      <c r="H1512" s="10" t="str">
        <f t="shared" si="618"/>
        <v/>
      </c>
      <c r="I1512" s="566"/>
      <c r="J1512" s="549" t="s">
        <v>4179</v>
      </c>
      <c r="K1512" s="11"/>
      <c r="L1512"/>
      <c r="M1512"/>
      <c r="N1512"/>
      <c r="O1512" s="75"/>
      <c r="P1512"/>
      <c r="Q1512"/>
      <c r="R1512"/>
      <c r="S1512" t="s">
        <v>4179</v>
      </c>
      <c r="T1512" s="145" t="s">
        <v>4179</v>
      </c>
      <c r="U1512" s="42"/>
      <c r="V1512"/>
      <c r="W1512"/>
      <c r="X1512"/>
      <c r="Y1512"/>
      <c r="Z1512"/>
      <c r="AA1512"/>
      <c r="AB1512"/>
      <c r="AC1512"/>
      <c r="AD1512"/>
      <c r="AE1512" s="75"/>
      <c r="AF1512"/>
      <c r="AG1512"/>
      <c r="AH1512" s="166" t="str">
        <f>IF(ISERROR(SEARCH("K erstmals 201",D1512)),"",RIGHT(D1512,4))</f>
        <v/>
      </c>
      <c r="AI1512" s="168" t="str">
        <f>IF(AND($AH1512&lt;&gt;"",AH1512 =AH1507),"Gleich","")</f>
        <v/>
      </c>
      <c r="AJ1512" s="168" t="str">
        <f>IF(AND($AH1512&lt;&gt;"",A1512 =A1507),"Gleich","")</f>
        <v/>
      </c>
      <c r="AK1512" s="168" t="str">
        <f>IF(AND($AH1512&lt;&gt;"",D1512 =D1507),"Gleich","")</f>
        <v/>
      </c>
      <c r="AL1512" s="168" t="str">
        <f>IF(AND($AH1512&lt;&gt;"",E1512 =E1507),"Gleich","")</f>
        <v/>
      </c>
      <c r="AM1512" s="168" t="str">
        <f>IF(AND($AH1512&lt;&gt;"",F1512 =F1507),"Gleich","")</f>
        <v/>
      </c>
      <c r="AN1512" s="167" t="str">
        <f t="shared" si="622"/>
        <v/>
      </c>
      <c r="AO1512" s="167" t="str">
        <f t="shared" si="623"/>
        <v/>
      </c>
      <c r="AP1512" s="167" t="str">
        <f t="shared" si="624"/>
        <v/>
      </c>
      <c r="AQ1512" s="169" t="str">
        <f t="shared" si="625"/>
        <v/>
      </c>
      <c r="AR1512" s="170" t="str">
        <f t="shared" si="626"/>
        <v/>
      </c>
      <c r="AS1512" s="169" t="str">
        <f t="shared" si="627"/>
        <v/>
      </c>
      <c r="AT1512">
        <f t="shared" si="628"/>
        <v>0</v>
      </c>
      <c r="AU1512" s="170" t="str">
        <f t="shared" si="629"/>
        <v/>
      </c>
      <c r="AV1512" s="169" t="str">
        <f t="shared" si="630"/>
        <v/>
      </c>
      <c r="AW1512" s="170" t="str">
        <f t="shared" si="631"/>
        <v/>
      </c>
      <c r="AX1512" s="169" t="str">
        <f t="shared" si="632"/>
        <v/>
      </c>
      <c r="AY1512" t="str">
        <f t="shared" si="633"/>
        <v/>
      </c>
      <c r="AZ1512" t="str">
        <f t="shared" si="634"/>
        <v/>
      </c>
    </row>
    <row r="1513" spans="1:52" x14ac:dyDescent="0.35">
      <c r="A1513" s="502" t="s">
        <v>2331</v>
      </c>
      <c r="B1513" s="301" t="s">
        <v>5547</v>
      </c>
      <c r="C1513" s="301" t="s">
        <v>1296</v>
      </c>
      <c r="D1513" s="301" t="s">
        <v>7005</v>
      </c>
      <c r="E1513" s="302" t="s">
        <v>2826</v>
      </c>
      <c r="F1513" s="377">
        <f t="shared" ref="F1513:F1553" si="636">M1513</f>
        <v>14.55</v>
      </c>
      <c r="G1513" s="433">
        <f t="shared" ref="G1513:G1553" si="637">F1513</f>
        <v>14.55</v>
      </c>
      <c r="H1513" s="402">
        <f t="shared" ref="H1513:H1553" si="638">IF(ISNUMBER(G1513),ROUND(0.8*G1513,2),"")</f>
        <v>11.64</v>
      </c>
      <c r="I1513" s="579"/>
      <c r="J1513" s="549" t="s">
        <v>5804</v>
      </c>
      <c r="K1513" s="11"/>
      <c r="M1513" s="37">
        <f t="shared" ref="M1513:M1553" si="639">N1513+SUMIF(U1513:AG1513,"x",U$1128:AG$1128)+T1513</f>
        <v>14.55</v>
      </c>
      <c r="N1513" s="29">
        <v>11.67</v>
      </c>
      <c r="O1513" s="319"/>
      <c r="P1513" s="97" t="s">
        <v>2827</v>
      </c>
      <c r="Q1513" s="97"/>
      <c r="R1513" s="97">
        <v>2013</v>
      </c>
      <c r="S1513" s="97"/>
      <c r="T1513" s="554">
        <f t="shared" ref="T1513:T1533" si="640">ROUND($Q$1128*0.99^($R1513-$Q$1125),2)</f>
        <v>2.88</v>
      </c>
      <c r="U1513" s="42"/>
      <c r="W1513" s="50"/>
      <c r="X1513" s="50"/>
      <c r="AA1513" s="50"/>
      <c r="AD1513" s="50"/>
      <c r="AE1513" s="75"/>
      <c r="AF1513" s="50"/>
      <c r="AG1513" s="50"/>
      <c r="AH1513" s="171" t="s">
        <v>4178</v>
      </c>
      <c r="AI1513" s="168" t="str">
        <f>IF(AND($AH1513&lt;&gt;"",AH1513 =AH1512),"Gleich","")</f>
        <v/>
      </c>
      <c r="AJ1513" s="168" t="str">
        <f>IF(AND($AH1513&lt;&gt;"",A1513 =A1512),"Gleich","")</f>
        <v/>
      </c>
      <c r="AK1513" s="168" t="str">
        <f>IF(AND($AH1513&lt;&gt;"",D1513 =D1512),"Gleich","")</f>
        <v/>
      </c>
      <c r="AL1513" s="168" t="str">
        <f>IF(AND($AH1513&lt;&gt;"",E1513 =E1512),"Gleich","")</f>
        <v/>
      </c>
      <c r="AM1513" s="168" t="str">
        <f>IF(AND($AH1513&lt;&gt;"",F1513 =F1512),"Gleich","")</f>
        <v/>
      </c>
      <c r="AN1513" s="167" t="str">
        <f t="shared" si="622"/>
        <v>2013</v>
      </c>
      <c r="AO1513" s="167" t="str">
        <f t="shared" si="623"/>
        <v>2013</v>
      </c>
      <c r="AP1513" s="167" t="str">
        <f t="shared" si="624"/>
        <v/>
      </c>
      <c r="AQ1513" s="169" t="str">
        <f t="shared" si="625"/>
        <v>DIFF</v>
      </c>
      <c r="AR1513" s="170" t="str">
        <f t="shared" si="626"/>
        <v>BiK81K12----06</v>
      </c>
      <c r="AS1513" s="169" t="str">
        <f t="shared" si="627"/>
        <v>DIFF</v>
      </c>
      <c r="AT1513">
        <f t="shared" si="628"/>
        <v>14</v>
      </c>
      <c r="AU1513" s="170" t="str">
        <f t="shared" si="629"/>
        <v>0-0,15 MW, Bonusregel K erstmals 2012</v>
      </c>
      <c r="AV1513" s="169" t="str">
        <f t="shared" si="630"/>
        <v>DIFF</v>
      </c>
      <c r="AW1513" s="170" t="str">
        <f t="shared" si="631"/>
        <v>Anteil KWK, erstmals 2012</v>
      </c>
      <c r="AX1513" s="169" t="str">
        <f t="shared" si="632"/>
        <v>DIFF</v>
      </c>
      <c r="AY1513" t="str">
        <f t="shared" si="633"/>
        <v/>
      </c>
      <c r="AZ1513" t="str">
        <f t="shared" si="634"/>
        <v>x</v>
      </c>
    </row>
    <row r="1514" spans="1:52" x14ac:dyDescent="0.35">
      <c r="A1514" s="502" t="s">
        <v>6163</v>
      </c>
      <c r="B1514" s="301" t="s">
        <v>5547</v>
      </c>
      <c r="C1514" s="301" t="s">
        <v>1296</v>
      </c>
      <c r="D1514" s="301" t="s">
        <v>7006</v>
      </c>
      <c r="E1514" s="302" t="s">
        <v>2826</v>
      </c>
      <c r="F1514" s="377">
        <f t="shared" si="636"/>
        <v>23.55</v>
      </c>
      <c r="G1514" s="433">
        <f t="shared" si="637"/>
        <v>23.55</v>
      </c>
      <c r="H1514" s="402">
        <f t="shared" si="638"/>
        <v>18.84</v>
      </c>
      <c r="I1514" s="579"/>
      <c r="J1514" s="549">
        <v>42858</v>
      </c>
      <c r="K1514" s="11"/>
      <c r="M1514" s="37">
        <f t="shared" si="639"/>
        <v>23.55</v>
      </c>
      <c r="N1514" s="29">
        <v>11.67</v>
      </c>
      <c r="O1514" s="319"/>
      <c r="P1514" s="97" t="s">
        <v>2827</v>
      </c>
      <c r="Q1514" s="97"/>
      <c r="R1514" s="97">
        <v>2013</v>
      </c>
      <c r="S1514" s="97"/>
      <c r="T1514" s="554">
        <f t="shared" si="640"/>
        <v>2.88</v>
      </c>
      <c r="U1514" s="42"/>
      <c r="W1514" s="50"/>
      <c r="X1514" s="50"/>
      <c r="Y1514" t="s">
        <v>1017</v>
      </c>
      <c r="AA1514" s="50"/>
      <c r="AD1514" s="50"/>
      <c r="AE1514" s="75" t="s">
        <v>1017</v>
      </c>
      <c r="AF1514" s="50"/>
      <c r="AG1514" s="50"/>
      <c r="AH1514" s="171"/>
      <c r="AI1514" s="168"/>
      <c r="AJ1514" s="168"/>
      <c r="AK1514" s="168"/>
      <c r="AL1514" s="168"/>
      <c r="AM1514" s="168"/>
      <c r="AN1514" s="167"/>
      <c r="AO1514" s="167"/>
      <c r="AP1514" s="167"/>
      <c r="AQ1514" s="169"/>
      <c r="AR1514" s="170"/>
      <c r="AS1514" s="169"/>
      <c r="AU1514" s="170"/>
      <c r="AV1514" s="169"/>
      <c r="AW1514" s="170"/>
      <c r="AX1514" s="169"/>
    </row>
    <row r="1515" spans="1:52" s="145" customFormat="1" x14ac:dyDescent="0.35">
      <c r="A1515" s="502" t="s">
        <v>2586</v>
      </c>
      <c r="B1515" s="301" t="s">
        <v>5547</v>
      </c>
      <c r="C1515" s="301" t="s">
        <v>1296</v>
      </c>
      <c r="D1515" s="301" t="s">
        <v>6986</v>
      </c>
      <c r="E1515" s="302" t="s">
        <v>2826</v>
      </c>
      <c r="F1515" s="377">
        <f t="shared" si="636"/>
        <v>24.55</v>
      </c>
      <c r="G1515" s="433">
        <f t="shared" si="637"/>
        <v>24.55</v>
      </c>
      <c r="H1515" s="402">
        <f t="shared" si="638"/>
        <v>19.64</v>
      </c>
      <c r="I1515" s="579"/>
      <c r="J1515" s="549" t="s">
        <v>5804</v>
      </c>
      <c r="K1515" s="11"/>
      <c r="L1515"/>
      <c r="M1515" s="37">
        <f t="shared" si="639"/>
        <v>24.55</v>
      </c>
      <c r="N1515" s="29">
        <v>11.67</v>
      </c>
      <c r="O1515" s="319"/>
      <c r="P1515" s="97" t="s">
        <v>2827</v>
      </c>
      <c r="Q1515" s="97"/>
      <c r="R1515" s="97">
        <v>2013</v>
      </c>
      <c r="S1515" s="97"/>
      <c r="T1515" s="554">
        <f t="shared" si="640"/>
        <v>2.88</v>
      </c>
      <c r="U1515" s="146" t="s">
        <v>1017</v>
      </c>
      <c r="W1515" s="147"/>
      <c r="X1515" s="147"/>
      <c r="Y1515" s="145" t="s">
        <v>1017</v>
      </c>
      <c r="AA1515" s="147"/>
      <c r="AD1515" s="147"/>
      <c r="AE1515" s="148" t="s">
        <v>1017</v>
      </c>
      <c r="AF1515" s="147"/>
      <c r="AG1515" s="147"/>
      <c r="AH1515" s="171" t="s">
        <v>4178</v>
      </c>
      <c r="AI1515" s="168" t="str">
        <f>IF(AND($AH1515&lt;&gt;"",AH1515 =AH1513),"Gleich","")</f>
        <v>Gleich</v>
      </c>
      <c r="AJ1515" s="168" t="str">
        <f>IF(AND($AH1515&lt;&gt;"",A1515 =A1513),"Gleich","")</f>
        <v/>
      </c>
      <c r="AK1515" s="168" t="str">
        <f>IF(AND($AH1515&lt;&gt;"",D1515 =D1513),"Gleich","")</f>
        <v/>
      </c>
      <c r="AL1515" s="168" t="str">
        <f>IF(AND($AH1515&lt;&gt;"",E1515 =E1513),"Gleich","")</f>
        <v>Gleich</v>
      </c>
      <c r="AM1515" s="168" t="str">
        <f>IF(AND($AH1515&lt;&gt;"",F1515 =F1513),"Gleich","")</f>
        <v/>
      </c>
      <c r="AN1515" s="167" t="str">
        <f>IF(ISERROR(SEARCH("K1",A1515)),"","20"&amp;MID(A1515,SEARCH("K1",A1515)+1,2))</f>
        <v>2013</v>
      </c>
      <c r="AO1515" s="167" t="str">
        <f>IF(ISERROR(SEARCH("erstmals 201",E1515)),"",MID(E1515,SEARCH("erstmals ",E1515)+9,4))</f>
        <v>2013</v>
      </c>
      <c r="AP1515" s="167" t="str">
        <f>IF(R1515="x","2010",IF(S1515="x","2011",IF(T1515="x","2012","")))</f>
        <v/>
      </c>
      <c r="AQ1515" s="169" t="str">
        <f>IF(OR(AH1515&lt;&gt;AN1515,AH1515&lt;&gt;AO1515,AH1515&lt;&gt;AP1515),"DIFF","")</f>
        <v>DIFF</v>
      </c>
      <c r="AR1515" s="170" t="str">
        <f>IF(A1515="","",IF(ISERROR(SEARCH("K1",A1515)),A1515,LEFT(A1515,SEARCH("K1",A1515)+1)&amp;RIGHT(AH1515,1)&amp;MID(A1515,SEARCH("K1",A1515)+3,14)))</f>
        <v>BiK81GbK12y-06</v>
      </c>
      <c r="AS1515" s="169" t="str">
        <f>IF(OR(A1515&lt;&gt;AR1515),"DIFF","")</f>
        <v>DIFF</v>
      </c>
      <c r="AT1515">
        <f>LEN(AR1515)</f>
        <v>14</v>
      </c>
      <c r="AU1515" s="170" t="str">
        <f>IF(D1515="","",IF(OR(A1515="",ISERROR(SEARCH("erstmals 201",D1515))),D1515,LEFT(D1515,SEARCH("erstmals 201",D1515)+8) &amp; AH1515 &amp; MID(D1515,SEARCH("erstmals 201",D1515)+13,255)))</f>
        <v>0-0,15 MW, Bonusregeln G, y, b und K erstmals 2012</v>
      </c>
      <c r="AV1515" s="169" t="str">
        <f>IF(OR(D1515&lt;&gt;AU1515),"DIFF","")</f>
        <v>DIFF</v>
      </c>
      <c r="AW1515" s="170" t="str">
        <f>IF(E1515="","",IF(OR(E1515="",ISERROR(SEARCH("erstmals 201",E1515))),E1515,LEFT(E1515,SEARCH("erstmals 201",E1515)+8) &amp; AH1515 &amp; MID(E1515,SEARCH("erstmals 201",E1515)+13,255)))</f>
        <v>Anteil KWK, erstmals 2012</v>
      </c>
      <c r="AX1515" s="169" t="str">
        <f>IF(OR(E1515&lt;&gt;AW1515),"DIFF","")</f>
        <v>DIFF</v>
      </c>
      <c r="AY1515" t="str">
        <f>IF(AH1515="2011","x",IF(AH1515="2012","","" &amp; S1515))</f>
        <v/>
      </c>
      <c r="AZ1515" t="str">
        <f>IF(AH1515="2012","x",IF(AH1515="2011","","" &amp; T1515))</f>
        <v>x</v>
      </c>
    </row>
    <row r="1516" spans="1:52" x14ac:dyDescent="0.35">
      <c r="A1516" s="502" t="s">
        <v>656</v>
      </c>
      <c r="B1516" s="301" t="s">
        <v>5547</v>
      </c>
      <c r="C1516" s="301" t="s">
        <v>1296</v>
      </c>
      <c r="D1516" s="301" t="s">
        <v>6987</v>
      </c>
      <c r="E1516" s="302" t="s">
        <v>2826</v>
      </c>
      <c r="F1516" s="377">
        <f t="shared" si="636"/>
        <v>25.55</v>
      </c>
      <c r="G1516" s="433">
        <f t="shared" si="637"/>
        <v>25.55</v>
      </c>
      <c r="H1516" s="402">
        <f t="shared" si="638"/>
        <v>20.440000000000001</v>
      </c>
      <c r="I1516" s="579"/>
      <c r="J1516" s="549" t="s">
        <v>5804</v>
      </c>
      <c r="M1516" s="37">
        <f t="shared" si="639"/>
        <v>25.55</v>
      </c>
      <c r="N1516" s="29">
        <v>11.67</v>
      </c>
      <c r="O1516" s="319"/>
      <c r="P1516" s="97" t="s">
        <v>2827</v>
      </c>
      <c r="Q1516" s="97"/>
      <c r="R1516" s="97">
        <v>2013</v>
      </c>
      <c r="S1516" s="97"/>
      <c r="T1516" s="554">
        <f t="shared" si="640"/>
        <v>2.88</v>
      </c>
      <c r="U1516" s="345"/>
      <c r="V1516" s="25"/>
      <c r="W1516" s="147"/>
      <c r="X1516" s="147"/>
      <c r="Y1516" s="25"/>
      <c r="Z1516" s="25" t="s">
        <v>1017</v>
      </c>
      <c r="AA1516" s="147"/>
      <c r="AB1516" s="145"/>
      <c r="AC1516" s="145"/>
      <c r="AD1516" s="147"/>
      <c r="AE1516" s="25"/>
      <c r="AF1516" s="147"/>
      <c r="AG1516" s="147"/>
    </row>
    <row r="1517" spans="1:52" s="145" customFormat="1" x14ac:dyDescent="0.35">
      <c r="A1517" s="502" t="s">
        <v>2831</v>
      </c>
      <c r="B1517" s="301" t="s">
        <v>5547</v>
      </c>
      <c r="C1517" s="301" t="s">
        <v>1296</v>
      </c>
      <c r="D1517" s="301" t="s">
        <v>6854</v>
      </c>
      <c r="E1517" s="302" t="s">
        <v>2826</v>
      </c>
      <c r="F1517" s="377">
        <f t="shared" si="636"/>
        <v>26.55</v>
      </c>
      <c r="G1517" s="433">
        <f t="shared" si="637"/>
        <v>26.55</v>
      </c>
      <c r="H1517" s="402">
        <f t="shared" si="638"/>
        <v>21.24</v>
      </c>
      <c r="I1517" s="579"/>
      <c r="J1517" s="549" t="s">
        <v>5804</v>
      </c>
      <c r="K1517" s="11"/>
      <c r="L1517"/>
      <c r="M1517" s="37">
        <f t="shared" si="639"/>
        <v>26.55</v>
      </c>
      <c r="N1517" s="29">
        <v>11.67</v>
      </c>
      <c r="O1517" s="319"/>
      <c r="P1517" s="97" t="s">
        <v>2827</v>
      </c>
      <c r="Q1517" s="97"/>
      <c r="R1517" s="97">
        <v>2013</v>
      </c>
      <c r="S1517" s="97"/>
      <c r="T1517" s="554">
        <f t="shared" si="640"/>
        <v>2.88</v>
      </c>
      <c r="U1517" s="345" t="s">
        <v>1017</v>
      </c>
      <c r="V1517" s="25"/>
      <c r="W1517" s="346"/>
      <c r="X1517" s="346"/>
      <c r="Y1517" s="25"/>
      <c r="Z1517" s="25" t="s">
        <v>1017</v>
      </c>
      <c r="AA1517" s="346"/>
      <c r="AB1517" s="25"/>
      <c r="AC1517" s="25"/>
      <c r="AD1517" s="346"/>
      <c r="AE1517" s="347"/>
      <c r="AF1517" s="346"/>
      <c r="AG1517" s="346"/>
      <c r="AH1517" s="171" t="s">
        <v>4178</v>
      </c>
      <c r="AI1517" s="168" t="e">
        <f>IF(AND($AH1517&lt;&gt;"",AH1517 =#REF!),"Gleich","")</f>
        <v>#REF!</v>
      </c>
      <c r="AJ1517" s="168" t="e">
        <f>IF(AND($AH1517&lt;&gt;"",A1517 =#REF!),"Gleich","")</f>
        <v>#REF!</v>
      </c>
      <c r="AK1517" s="168" t="e">
        <f>IF(AND($AH1517&lt;&gt;"",D1517 =#REF!),"Gleich","")</f>
        <v>#REF!</v>
      </c>
      <c r="AL1517" s="168" t="e">
        <f>IF(AND($AH1517&lt;&gt;"",E1517 =#REF!),"Gleich","")</f>
        <v>#REF!</v>
      </c>
      <c r="AM1517" s="168" t="e">
        <f>IF(AND($AH1517&lt;&gt;"",F1517 =#REF!),"Gleich","")</f>
        <v>#REF!</v>
      </c>
      <c r="AN1517" s="167" t="str">
        <f>IF(ISERROR(SEARCH("K1",A1517)),"","20"&amp;MID(A1517,SEARCH("K1",A1517)+1,2))</f>
        <v>2013</v>
      </c>
      <c r="AO1517" s="167" t="str">
        <f>IF(ISERROR(SEARCH("erstmals 201",E1517)),"",MID(E1517,SEARCH("erstmals ",E1517)+9,4))</f>
        <v>2013</v>
      </c>
      <c r="AP1517" s="167" t="str">
        <f t="shared" ref="AP1517:AP1522" si="641">IF(R1517="x","2010",IF(S1517="x","2011",IF(T1517="x","2012","")))</f>
        <v/>
      </c>
      <c r="AQ1517" s="169" t="str">
        <f>IF(OR(AH1517&lt;&gt;AN1517,AH1517&lt;&gt;AO1517,AH1517&lt;&gt;AP1517),"DIFF","")</f>
        <v>DIFF</v>
      </c>
      <c r="AR1517" s="170" t="str">
        <f>IF(A1517="","",IF(ISERROR(SEARCH("K1",A1517)),A1517,LEFT(A1517,SEARCH("K1",A1517)+1)&amp;RIGHT(AH1517,1)&amp;MID(A1517,SEARCH("K1",A1517)+3,14)))</f>
        <v>BiK81M1K12y-06</v>
      </c>
      <c r="AS1517" s="169" t="str">
        <f>IF(OR(A1517&lt;&gt;AR1517),"DIFF","")</f>
        <v>DIFF</v>
      </c>
      <c r="AT1517">
        <f>LEN(AR1517)</f>
        <v>14</v>
      </c>
      <c r="AU1517" s="170" t="str">
        <f>IF(D1517="","",IF(OR(A1517="",ISERROR(SEARCH("erstmals 201",D1517))),D1517,LEFT(D1517,SEARCH("erstmals 201",D1517)+8) &amp; AH1517 &amp; MID(D1517,SEARCH("erstmals 201",D1517)+13,255)))</f>
        <v>0-0,15 MW, Bonusregeln M1, y und K erstmals 2012</v>
      </c>
      <c r="AV1517" s="169" t="str">
        <f>IF(OR(D1517&lt;&gt;AU1517),"DIFF","")</f>
        <v>DIFF</v>
      </c>
      <c r="AW1517" s="170" t="str">
        <f>IF(E1517="","",IF(OR(E1517="",ISERROR(SEARCH("erstmals 201",E1517))),E1517,LEFT(E1517,SEARCH("erstmals 201",E1517)+8) &amp; AH1517 &amp; MID(E1517,SEARCH("erstmals 201",E1517)+13,255)))</f>
        <v>Anteil KWK, erstmals 2012</v>
      </c>
      <c r="AX1517" s="169" t="str">
        <f>IF(OR(E1517&lt;&gt;AW1517),"DIFF","")</f>
        <v>DIFF</v>
      </c>
      <c r="AY1517" t="str">
        <f>IF(AH1517="2011","x",IF(AH1517="2012","","" &amp; S1517))</f>
        <v/>
      </c>
      <c r="AZ1517" t="str">
        <f>IF(AH1517="2012","x",IF(AH1517="2011","","" &amp; T1517))</f>
        <v>x</v>
      </c>
    </row>
    <row r="1518" spans="1:52" x14ac:dyDescent="0.35">
      <c r="A1518" s="502" t="s">
        <v>2835</v>
      </c>
      <c r="B1518" s="301" t="s">
        <v>5547</v>
      </c>
      <c r="C1518" s="301" t="s">
        <v>1296</v>
      </c>
      <c r="D1518" s="301" t="s">
        <v>6855</v>
      </c>
      <c r="E1518" s="302" t="s">
        <v>2826</v>
      </c>
      <c r="F1518" s="377">
        <f t="shared" si="636"/>
        <v>28.55</v>
      </c>
      <c r="G1518" s="433">
        <f t="shared" si="637"/>
        <v>28.55</v>
      </c>
      <c r="H1518" s="402">
        <f t="shared" si="638"/>
        <v>22.84</v>
      </c>
      <c r="I1518" s="579"/>
      <c r="J1518" s="549" t="s">
        <v>5804</v>
      </c>
      <c r="K1518" s="11"/>
      <c r="M1518" s="37">
        <f t="shared" si="639"/>
        <v>28.55</v>
      </c>
      <c r="N1518" s="29">
        <v>11.67</v>
      </c>
      <c r="O1518" s="319"/>
      <c r="P1518" s="97" t="s">
        <v>2827</v>
      </c>
      <c r="Q1518" s="97"/>
      <c r="R1518" s="97">
        <v>2013</v>
      </c>
      <c r="S1518" s="97"/>
      <c r="T1518" s="554">
        <f t="shared" si="640"/>
        <v>2.88</v>
      </c>
      <c r="U1518" s="345" t="s">
        <v>1017</v>
      </c>
      <c r="V1518" s="25"/>
      <c r="W1518" s="346"/>
      <c r="X1518" s="346"/>
      <c r="Y1518" s="25"/>
      <c r="Z1518" s="25"/>
      <c r="AA1518" s="346"/>
      <c r="AB1518" s="25"/>
      <c r="AC1518" s="25" t="s">
        <v>1017</v>
      </c>
      <c r="AD1518" s="346"/>
      <c r="AE1518" s="347"/>
      <c r="AF1518" s="346"/>
      <c r="AG1518" s="346"/>
      <c r="AH1518" s="171" t="s">
        <v>4178</v>
      </c>
      <c r="AI1518" s="168" t="str">
        <f>IF(AND($AH1518&lt;&gt;"",AH1518 =AH1528),"Gleich","")</f>
        <v>Gleich</v>
      </c>
      <c r="AJ1518" s="168" t="str">
        <f>IF(AND($AH1518&lt;&gt;"",A1518 =A1528),"Gleich","")</f>
        <v/>
      </c>
      <c r="AK1518" s="168" t="str">
        <f>IF(AND($AH1518&lt;&gt;"",D1518 =D1528),"Gleich","")</f>
        <v/>
      </c>
      <c r="AL1518" s="168" t="str">
        <f>IF(AND($AH1518&lt;&gt;"",E1518 =E1528),"Gleich","")</f>
        <v>Gleich</v>
      </c>
      <c r="AM1518" s="168" t="str">
        <f>IF(AND($AH1518&lt;&gt;"",F1518 =F1528),"Gleich","")</f>
        <v/>
      </c>
      <c r="AN1518" s="167" t="str">
        <f>IF(ISERROR(SEARCH("K1",A1518)),"","20"&amp;MID(A1518,SEARCH("K1",A1518)+1,2))</f>
        <v>2013</v>
      </c>
      <c r="AO1518" s="167" t="str">
        <f>IF(ISERROR(SEARCH("erstmals 201",E1518)),"",MID(E1518,SEARCH("erstmals ",E1518)+9,4))</f>
        <v>2013</v>
      </c>
      <c r="AP1518" s="167" t="str">
        <f t="shared" si="641"/>
        <v/>
      </c>
      <c r="AQ1518" s="169" t="str">
        <f>IF(OR(AH1518&lt;&gt;AN1518,AH1518&lt;&gt;AO1518,AH1518&lt;&gt;AP1518),"DIFF","")</f>
        <v>DIFF</v>
      </c>
      <c r="AR1518" s="170" t="str">
        <f>IF(A1518="","",IF(ISERROR(SEARCH("K1",A1518)),A1518,LEFT(A1518,SEARCH("K1",A1518)+1)&amp;RIGHT(AH1518,1)&amp;MID(A1518,SEARCH("K1",A1518)+3,14)))</f>
        <v>BiK81X1K12y-06</v>
      </c>
      <c r="AS1518" s="169" t="str">
        <f>IF(OR(A1518&lt;&gt;AR1518),"DIFF","")</f>
        <v>DIFF</v>
      </c>
      <c r="AT1518">
        <f>LEN(AR1518)</f>
        <v>14</v>
      </c>
      <c r="AU1518" s="170" t="str">
        <f>IF(D1518="","",IF(OR(A1518="",ISERROR(SEARCH("erstmals 201",D1518))),D1518,LEFT(D1518,SEARCH("erstmals 201",D1518)+8) &amp; AH1518 &amp; MID(D1518,SEARCH("erstmals 201",D1518)+13,255)))</f>
        <v>0-0,15 MW, Bonusregeln X1, y und K erstmals 2012</v>
      </c>
      <c r="AV1518" s="169" t="str">
        <f>IF(OR(D1518&lt;&gt;AU1518),"DIFF","")</f>
        <v>DIFF</v>
      </c>
      <c r="AW1518" s="170" t="str">
        <f>IF(E1518="","",IF(OR(E1518="",ISERROR(SEARCH("erstmals 201",E1518))),E1518,LEFT(E1518,SEARCH("erstmals 201",E1518)+8) &amp; AH1518 &amp; MID(E1518,SEARCH("erstmals 201",E1518)+13,255)))</f>
        <v>Anteil KWK, erstmals 2012</v>
      </c>
      <c r="AX1518" s="169" t="str">
        <f>IF(OR(E1518&lt;&gt;AW1518),"DIFF","")</f>
        <v>DIFF</v>
      </c>
      <c r="AY1518" t="str">
        <f>IF(AH1518="2011","x",IF(AH1518="2012","","" &amp; S1518))</f>
        <v/>
      </c>
      <c r="AZ1518" t="str">
        <f>IF(AH1518="2012","x",IF(AH1518="2011","","" &amp; T1518))</f>
        <v>x</v>
      </c>
    </row>
    <row r="1519" spans="1:52" x14ac:dyDescent="0.35">
      <c r="A1519" s="502" t="s">
        <v>5616</v>
      </c>
      <c r="B1519" s="301" t="s">
        <v>5547</v>
      </c>
      <c r="C1519" s="301" t="s">
        <v>1296</v>
      </c>
      <c r="D1519" s="301" t="s">
        <v>6988</v>
      </c>
      <c r="E1519" s="301" t="s">
        <v>2826</v>
      </c>
      <c r="F1519" s="377">
        <f t="shared" si="636"/>
        <v>28.55</v>
      </c>
      <c r="G1519" s="433">
        <f t="shared" si="637"/>
        <v>28.55</v>
      </c>
      <c r="H1519" s="402">
        <f t="shared" si="638"/>
        <v>22.84</v>
      </c>
      <c r="I1519" s="579"/>
      <c r="J1519" s="549" t="s">
        <v>5804</v>
      </c>
      <c r="K1519" s="11"/>
      <c r="M1519" s="37">
        <f t="shared" si="639"/>
        <v>28.55</v>
      </c>
      <c r="N1519" s="29">
        <v>11.67</v>
      </c>
      <c r="O1519" s="319"/>
      <c r="P1519" s="97" t="s">
        <v>2827</v>
      </c>
      <c r="Q1519" s="97"/>
      <c r="R1519" s="97">
        <v>2013</v>
      </c>
      <c r="S1519" s="97"/>
      <c r="T1519" s="554">
        <f t="shared" si="640"/>
        <v>2.88</v>
      </c>
      <c r="U1519" s="146" t="s">
        <v>1017</v>
      </c>
      <c r="V1519" s="145"/>
      <c r="W1519" s="147"/>
      <c r="X1519" s="147"/>
      <c r="Y1519" s="145"/>
      <c r="Z1519" s="145" t="s">
        <v>1017</v>
      </c>
      <c r="AA1519" s="147"/>
      <c r="AB1519" s="145"/>
      <c r="AC1519" s="145"/>
      <c r="AD1519" s="147"/>
      <c r="AE1519" s="148" t="s">
        <v>1017</v>
      </c>
      <c r="AF1519" s="147"/>
      <c r="AG1519" s="147"/>
      <c r="AH1519" s="171"/>
      <c r="AI1519" s="168"/>
      <c r="AJ1519" s="168"/>
      <c r="AK1519" s="168"/>
      <c r="AL1519" s="168"/>
      <c r="AM1519" s="168"/>
      <c r="AN1519" s="167"/>
      <c r="AO1519" s="167"/>
      <c r="AP1519" s="167" t="str">
        <f t="shared" si="641"/>
        <v/>
      </c>
      <c r="AQ1519" s="169"/>
      <c r="AR1519" s="170"/>
      <c r="AS1519" s="169"/>
      <c r="AU1519" s="170"/>
      <c r="AV1519" s="169"/>
      <c r="AW1519" s="170"/>
      <c r="AX1519" s="169"/>
    </row>
    <row r="1520" spans="1:52" x14ac:dyDescent="0.35">
      <c r="A1520" s="502" t="s">
        <v>2332</v>
      </c>
      <c r="B1520" s="301" t="s">
        <v>5547</v>
      </c>
      <c r="C1520" s="301" t="s">
        <v>1296</v>
      </c>
      <c r="D1520" s="301" t="s">
        <v>7224</v>
      </c>
      <c r="E1520" s="302" t="s">
        <v>2826</v>
      </c>
      <c r="F1520" s="377">
        <f t="shared" si="636"/>
        <v>12.48</v>
      </c>
      <c r="G1520" s="433">
        <f t="shared" si="637"/>
        <v>12.48</v>
      </c>
      <c r="H1520" s="402">
        <f t="shared" si="638"/>
        <v>9.98</v>
      </c>
      <c r="I1520" s="579"/>
      <c r="J1520" s="549" t="s">
        <v>5804</v>
      </c>
      <c r="K1520" s="11"/>
      <c r="M1520" s="37">
        <f t="shared" si="639"/>
        <v>12.48</v>
      </c>
      <c r="N1520" s="29">
        <v>9.6</v>
      </c>
      <c r="O1520" s="319"/>
      <c r="P1520" s="97" t="s">
        <v>2827</v>
      </c>
      <c r="Q1520" s="97"/>
      <c r="R1520" s="97">
        <v>2013</v>
      </c>
      <c r="S1520" s="97"/>
      <c r="T1520" s="554">
        <f t="shared" si="640"/>
        <v>2.88</v>
      </c>
      <c r="U1520" s="42"/>
      <c r="W1520" s="50"/>
      <c r="X1520" s="50"/>
      <c r="Z1520" s="50"/>
      <c r="AC1520" s="50"/>
      <c r="AE1520" s="75"/>
      <c r="AF1520" s="50"/>
      <c r="AG1520" s="50"/>
      <c r="AH1520" s="171" t="s">
        <v>4178</v>
      </c>
      <c r="AI1520" s="168" t="str">
        <f>IF(AND($AH1520&lt;&gt;"",AH1520 =AH1518),"Gleich","")</f>
        <v>Gleich</v>
      </c>
      <c r="AJ1520" s="168" t="str">
        <f>IF(AND($AH1520&lt;&gt;"",A1520 =A1518),"Gleich","")</f>
        <v/>
      </c>
      <c r="AK1520" s="168" t="str">
        <f>IF(AND($AH1520&lt;&gt;"",D1520 =D1518),"Gleich","")</f>
        <v/>
      </c>
      <c r="AL1520" s="168" t="str">
        <f>IF(AND($AH1520&lt;&gt;"",E1520 =E1518),"Gleich","")</f>
        <v>Gleich</v>
      </c>
      <c r="AM1520" s="168" t="str">
        <f>IF(AND($AH1520&lt;&gt;"",F1520 =F1518),"Gleich","")</f>
        <v/>
      </c>
      <c r="AN1520" s="167" t="str">
        <f>IF(ISERROR(SEARCH("K1",A1520)),"","20"&amp;MID(A1520,SEARCH("K1",A1520)+1,2))</f>
        <v>2013</v>
      </c>
      <c r="AO1520" s="167" t="str">
        <f>IF(ISERROR(SEARCH("erstmals 201",E1520)),"",MID(E1520,SEARCH("erstmals ",E1520)+9,4))</f>
        <v>2013</v>
      </c>
      <c r="AP1520" s="167" t="str">
        <f t="shared" si="641"/>
        <v/>
      </c>
      <c r="AQ1520" s="169" t="str">
        <f>IF(OR(AH1520&lt;&gt;AN1520,AH1520&lt;&gt;AO1520,AH1520&lt;&gt;AP1520),"DIFF","")</f>
        <v>DIFF</v>
      </c>
      <c r="AR1520" s="170" t="str">
        <f>IF(A1520="","",IF(ISERROR(SEARCH("K1",A1520)),A1520,LEFT(A1520,SEARCH("K1",A1520)+1)&amp;RIGHT(AH1520,1)&amp;MID(A1520,SEARCH("K1",A1520)+3,14)))</f>
        <v>BiK82K12----06</v>
      </c>
      <c r="AS1520" s="169" t="str">
        <f>IF(OR(A1520&lt;&gt;AR1520),"DIFF","")</f>
        <v>DIFF</v>
      </c>
      <c r="AT1520">
        <f>LEN(AR1520)</f>
        <v>14</v>
      </c>
      <c r="AU1520" s="170" t="str">
        <f>IF(D1520="","",IF(OR(A1520="",ISERROR(SEARCH("erstmals 201",D1520))),D1520,LEFT(D1520,SEARCH("erstmals 201",D1520)+8) &amp; AH1520 &amp; MID(D1520,SEARCH("erstmals 201",D1520)+13,255)))</f>
        <v>0,15-0,5 MW, Bonusregel K erstmals 2012</v>
      </c>
      <c r="AV1520" s="169" t="str">
        <f>IF(OR(D1520&lt;&gt;AU1520),"DIFF","")</f>
        <v>DIFF</v>
      </c>
      <c r="AW1520" s="170" t="str">
        <f>IF(E1520="","",IF(OR(E1520="",ISERROR(SEARCH("erstmals 201",E1520))),E1520,LEFT(E1520,SEARCH("erstmals 201",E1520)+8) &amp; AH1520 &amp; MID(E1520,SEARCH("erstmals 201",E1520)+13,255)))</f>
        <v>Anteil KWK, erstmals 2012</v>
      </c>
      <c r="AX1520" s="169" t="str">
        <f>IF(OR(E1520&lt;&gt;AW1520),"DIFF","")</f>
        <v>DIFF</v>
      </c>
      <c r="AY1520" t="str">
        <f>IF(AH1520="2011","x",IF(AH1520="2012","","" &amp; S1520))</f>
        <v/>
      </c>
      <c r="AZ1520" t="str">
        <f>IF(AH1520="2012","x",IF(AH1520="2011","","" &amp; T1520))</f>
        <v>x</v>
      </c>
    </row>
    <row r="1521" spans="1:52" x14ac:dyDescent="0.35">
      <c r="A1521" s="502" t="s">
        <v>6164</v>
      </c>
      <c r="B1521" s="301" t="s">
        <v>5547</v>
      </c>
      <c r="C1521" s="301" t="s">
        <v>1296</v>
      </c>
      <c r="D1521" s="301" t="s">
        <v>7225</v>
      </c>
      <c r="E1521" s="302" t="s">
        <v>2826</v>
      </c>
      <c r="F1521" s="377">
        <f t="shared" si="636"/>
        <v>21.48</v>
      </c>
      <c r="G1521" s="433">
        <f t="shared" si="637"/>
        <v>21.48</v>
      </c>
      <c r="H1521" s="402">
        <f t="shared" si="638"/>
        <v>17.18</v>
      </c>
      <c r="I1521" s="579"/>
      <c r="J1521" s="549">
        <v>42858</v>
      </c>
      <c r="K1521" s="11"/>
      <c r="M1521" s="37">
        <f t="shared" si="639"/>
        <v>21.48</v>
      </c>
      <c r="N1521" s="29">
        <v>9.6</v>
      </c>
      <c r="O1521" s="319"/>
      <c r="P1521" s="97" t="s">
        <v>2827</v>
      </c>
      <c r="Q1521" s="97"/>
      <c r="R1521" s="97">
        <v>2013</v>
      </c>
      <c r="S1521" s="97"/>
      <c r="T1521" s="554">
        <f t="shared" si="640"/>
        <v>2.88</v>
      </c>
      <c r="U1521" s="42"/>
      <c r="W1521" s="50"/>
      <c r="X1521" s="50"/>
      <c r="Y1521" t="s">
        <v>1017</v>
      </c>
      <c r="Z1521" s="50"/>
      <c r="AC1521" s="50"/>
      <c r="AE1521" s="75" t="s">
        <v>1017</v>
      </c>
      <c r="AF1521" s="50"/>
      <c r="AG1521" s="50"/>
      <c r="AH1521" s="171"/>
      <c r="AI1521" s="168"/>
      <c r="AJ1521" s="168"/>
      <c r="AK1521" s="168"/>
      <c r="AL1521" s="168"/>
      <c r="AM1521" s="168"/>
      <c r="AN1521" s="167"/>
      <c r="AO1521" s="167"/>
      <c r="AP1521" s="167" t="str">
        <f t="shared" si="641"/>
        <v/>
      </c>
      <c r="AQ1521" s="169"/>
      <c r="AR1521" s="170"/>
      <c r="AS1521" s="169"/>
      <c r="AU1521" s="170"/>
      <c r="AV1521" s="169"/>
      <c r="AW1521" s="170"/>
      <c r="AX1521" s="169"/>
    </row>
    <row r="1522" spans="1:52" s="145" customFormat="1" x14ac:dyDescent="0.35">
      <c r="A1522" s="502" t="s">
        <v>2587</v>
      </c>
      <c r="B1522" s="301" t="s">
        <v>5547</v>
      </c>
      <c r="C1522" s="301" t="s">
        <v>1296</v>
      </c>
      <c r="D1522" s="301" t="s">
        <v>7209</v>
      </c>
      <c r="E1522" s="302" t="s">
        <v>2826</v>
      </c>
      <c r="F1522" s="377">
        <f t="shared" si="636"/>
        <v>22.48</v>
      </c>
      <c r="G1522" s="433">
        <f t="shared" si="637"/>
        <v>22.48</v>
      </c>
      <c r="H1522" s="402">
        <f t="shared" si="638"/>
        <v>17.98</v>
      </c>
      <c r="I1522" s="579"/>
      <c r="J1522" s="549" t="s">
        <v>5804</v>
      </c>
      <c r="K1522" s="11"/>
      <c r="L1522"/>
      <c r="M1522" s="37">
        <f t="shared" si="639"/>
        <v>22.48</v>
      </c>
      <c r="N1522" s="29">
        <v>9.6</v>
      </c>
      <c r="O1522" s="319"/>
      <c r="P1522" s="97" t="s">
        <v>2827</v>
      </c>
      <c r="Q1522" s="97"/>
      <c r="R1522" s="97">
        <v>2013</v>
      </c>
      <c r="S1522" s="97"/>
      <c r="T1522" s="554">
        <f t="shared" si="640"/>
        <v>2.88</v>
      </c>
      <c r="U1522" s="146" t="s">
        <v>1017</v>
      </c>
      <c r="W1522" s="147"/>
      <c r="X1522" s="147"/>
      <c r="Y1522" s="145" t="s">
        <v>1017</v>
      </c>
      <c r="Z1522" s="147"/>
      <c r="AC1522" s="147"/>
      <c r="AE1522" s="148" t="s">
        <v>1017</v>
      </c>
      <c r="AF1522" s="147"/>
      <c r="AG1522" s="147"/>
      <c r="AH1522" s="171" t="s">
        <v>4178</v>
      </c>
      <c r="AI1522" s="168" t="str">
        <f>IF(AND($AH1522&lt;&gt;"",AH1522 =AH1520),"Gleich","")</f>
        <v>Gleich</v>
      </c>
      <c r="AJ1522" s="168" t="str">
        <f>IF(AND($AH1522&lt;&gt;"",A1522 =A1520),"Gleich","")</f>
        <v/>
      </c>
      <c r="AK1522" s="168" t="str">
        <f>IF(AND($AH1522&lt;&gt;"",D1522 =D1520),"Gleich","")</f>
        <v/>
      </c>
      <c r="AL1522" s="168" t="str">
        <f>IF(AND($AH1522&lt;&gt;"",E1522 =E1520),"Gleich","")</f>
        <v>Gleich</v>
      </c>
      <c r="AM1522" s="168" t="str">
        <f>IF(AND($AH1522&lt;&gt;"",F1522 =F1520),"Gleich","")</f>
        <v/>
      </c>
      <c r="AN1522" s="167" t="str">
        <f>IF(ISERROR(SEARCH("K1",A1522)),"","20"&amp;MID(A1522,SEARCH("K1",A1522)+1,2))</f>
        <v>2013</v>
      </c>
      <c r="AO1522" s="167" t="str">
        <f>IF(ISERROR(SEARCH("erstmals 201",E1522)),"",MID(E1522,SEARCH("erstmals ",E1522)+9,4))</f>
        <v>2013</v>
      </c>
      <c r="AP1522" s="167" t="str">
        <f t="shared" si="641"/>
        <v/>
      </c>
      <c r="AQ1522" s="169" t="str">
        <f>IF(OR(AH1522&lt;&gt;AN1522,AH1522&lt;&gt;AO1522,AH1522&lt;&gt;AP1522),"DIFF","")</f>
        <v>DIFF</v>
      </c>
      <c r="AR1522" s="170" t="str">
        <f>IF(A1522="","",IF(ISERROR(SEARCH("K1",A1522)),A1522,LEFT(A1522,SEARCH("K1",A1522)+1)&amp;RIGHT(AH1522,1)&amp;MID(A1522,SEARCH("K1",A1522)+3,14)))</f>
        <v>BiK82GbK12y-06</v>
      </c>
      <c r="AS1522" s="169" t="str">
        <f>IF(OR(A1522&lt;&gt;AR1522),"DIFF","")</f>
        <v>DIFF</v>
      </c>
      <c r="AT1522">
        <f>LEN(AR1522)</f>
        <v>14</v>
      </c>
      <c r="AU1522" s="170" t="str">
        <f>IF(D1522="","",IF(OR(A1522="",ISERROR(SEARCH("erstmals 201",D1522))),D1522,LEFT(D1522,SEARCH("erstmals 201",D1522)+8) &amp; AH1522 &amp; MID(D1522,SEARCH("erstmals 201",D1522)+13,255)))</f>
        <v>0,15-0,5 MW, Bonusregeln G, y, b und K erstmals 2012</v>
      </c>
      <c r="AV1522" s="169" t="str">
        <f>IF(OR(D1522&lt;&gt;AU1522),"DIFF","")</f>
        <v>DIFF</v>
      </c>
      <c r="AW1522" s="170" t="str">
        <f>IF(E1522="","",IF(OR(E1522="",ISERROR(SEARCH("erstmals 201",E1522))),E1522,LEFT(E1522,SEARCH("erstmals 201",E1522)+8) &amp; AH1522 &amp; MID(E1522,SEARCH("erstmals 201",E1522)+13,255)))</f>
        <v>Anteil KWK, erstmals 2012</v>
      </c>
      <c r="AX1522" s="169" t="str">
        <f>IF(OR(E1522&lt;&gt;AW1522),"DIFF","")</f>
        <v>DIFF</v>
      </c>
      <c r="AY1522" t="str">
        <f>IF(AH1522="2011","x",IF(AH1522="2012","","" &amp; S1522))</f>
        <v/>
      </c>
      <c r="AZ1522" t="str">
        <f>IF(AH1522="2012","x",IF(AH1522="2011","","" &amp; T1522))</f>
        <v>x</v>
      </c>
    </row>
    <row r="1523" spans="1:52" s="145" customFormat="1" x14ac:dyDescent="0.35">
      <c r="A1523" s="502" t="s">
        <v>657</v>
      </c>
      <c r="B1523" s="301" t="s">
        <v>5547</v>
      </c>
      <c r="C1523" s="301" t="s">
        <v>1296</v>
      </c>
      <c r="D1523" s="301" t="s">
        <v>7210</v>
      </c>
      <c r="E1523" s="302" t="s">
        <v>2826</v>
      </c>
      <c r="F1523" s="377">
        <f t="shared" si="636"/>
        <v>20.48</v>
      </c>
      <c r="G1523" s="433">
        <f t="shared" si="637"/>
        <v>20.48</v>
      </c>
      <c r="H1523" s="402">
        <f t="shared" si="638"/>
        <v>16.38</v>
      </c>
      <c r="I1523" s="579"/>
      <c r="J1523" s="549" t="s">
        <v>5804</v>
      </c>
      <c r="K1523" s="11"/>
      <c r="L1523"/>
      <c r="M1523" s="37">
        <f t="shared" si="639"/>
        <v>20.48</v>
      </c>
      <c r="N1523" s="29">
        <v>9.6</v>
      </c>
      <c r="O1523" s="319"/>
      <c r="P1523" s="97" t="s">
        <v>2827</v>
      </c>
      <c r="Q1523" s="97"/>
      <c r="R1523" s="97">
        <v>2013</v>
      </c>
      <c r="S1523" s="97"/>
      <c r="T1523" s="554">
        <f t="shared" si="640"/>
        <v>2.88</v>
      </c>
      <c r="U1523" s="345"/>
      <c r="V1523" s="25"/>
      <c r="W1523" s="346"/>
      <c r="X1523" s="346"/>
      <c r="Y1523" s="25"/>
      <c r="Z1523" s="346"/>
      <c r="AA1523" s="25" t="s">
        <v>1017</v>
      </c>
      <c r="AB1523" s="25"/>
      <c r="AC1523" s="346"/>
      <c r="AD1523" s="25"/>
      <c r="AE1523" s="347"/>
      <c r="AF1523" s="346"/>
      <c r="AG1523" s="346"/>
      <c r="AH1523" s="171"/>
      <c r="AI1523" s="168"/>
      <c r="AJ1523" s="168"/>
      <c r="AK1523" s="168"/>
      <c r="AL1523" s="168"/>
      <c r="AM1523" s="168"/>
      <c r="AN1523" s="167"/>
      <c r="AO1523" s="167"/>
      <c r="AP1523" s="167"/>
      <c r="AQ1523" s="169"/>
      <c r="AR1523" s="170"/>
      <c r="AS1523" s="169"/>
      <c r="AT1523"/>
      <c r="AU1523" s="170"/>
      <c r="AV1523" s="169"/>
      <c r="AW1523" s="170"/>
      <c r="AX1523" s="169"/>
      <c r="AY1523"/>
      <c r="AZ1523"/>
    </row>
    <row r="1524" spans="1:52" s="145" customFormat="1" x14ac:dyDescent="0.35">
      <c r="A1524" s="502" t="s">
        <v>2832</v>
      </c>
      <c r="B1524" s="301" t="s">
        <v>5547</v>
      </c>
      <c r="C1524" s="301" t="s">
        <v>1296</v>
      </c>
      <c r="D1524" s="301" t="s">
        <v>7078</v>
      </c>
      <c r="E1524" s="302" t="s">
        <v>2826</v>
      </c>
      <c r="F1524" s="377">
        <f t="shared" si="636"/>
        <v>21.48</v>
      </c>
      <c r="G1524" s="433">
        <f t="shared" si="637"/>
        <v>21.48</v>
      </c>
      <c r="H1524" s="402">
        <f t="shared" si="638"/>
        <v>17.18</v>
      </c>
      <c r="I1524" s="579"/>
      <c r="J1524" s="549" t="s">
        <v>5804</v>
      </c>
      <c r="K1524" s="11"/>
      <c r="L1524"/>
      <c r="M1524" s="37">
        <f t="shared" si="639"/>
        <v>21.48</v>
      </c>
      <c r="N1524" s="29">
        <v>9.6</v>
      </c>
      <c r="O1524" s="319"/>
      <c r="P1524" s="97" t="s">
        <v>2827</v>
      </c>
      <c r="Q1524" s="97"/>
      <c r="R1524" s="97">
        <v>2013</v>
      </c>
      <c r="S1524" s="97"/>
      <c r="T1524" s="554">
        <f t="shared" si="640"/>
        <v>2.88</v>
      </c>
      <c r="U1524" s="345" t="s">
        <v>1017</v>
      </c>
      <c r="V1524" s="25"/>
      <c r="W1524" s="346"/>
      <c r="X1524" s="346"/>
      <c r="Y1524" s="25"/>
      <c r="Z1524" s="346"/>
      <c r="AA1524" s="25" t="s">
        <v>1017</v>
      </c>
      <c r="AB1524" s="25"/>
      <c r="AC1524" s="346"/>
      <c r="AD1524" s="25"/>
      <c r="AE1524" s="347"/>
      <c r="AF1524" s="346"/>
      <c r="AG1524" s="346"/>
      <c r="AH1524" s="171" t="s">
        <v>4178</v>
      </c>
      <c r="AI1524" s="168" t="str">
        <f>IF(AND($AH1524&lt;&gt;"",AH1524 =AH1517),"Gleich","")</f>
        <v>Gleich</v>
      </c>
      <c r="AJ1524" s="168" t="str">
        <f>IF(AND($AH1524&lt;&gt;"",A1524 =A1517),"Gleich","")</f>
        <v/>
      </c>
      <c r="AK1524" s="168" t="str">
        <f>IF(AND($AH1524&lt;&gt;"",D1524 =D1517),"Gleich","")</f>
        <v/>
      </c>
      <c r="AL1524" s="168" t="str">
        <f>IF(AND($AH1524&lt;&gt;"",E1524 =E1517),"Gleich","")</f>
        <v>Gleich</v>
      </c>
      <c r="AM1524" s="168" t="str">
        <f>IF(AND($AH1524&lt;&gt;"",F1524 =F1517),"Gleich","")</f>
        <v/>
      </c>
      <c r="AN1524" s="167" t="str">
        <f>IF(ISERROR(SEARCH("K1",A1524)),"","20"&amp;MID(A1524,SEARCH("K1",A1524)+1,2))</f>
        <v>2013</v>
      </c>
      <c r="AO1524" s="167" t="str">
        <f>IF(ISERROR(SEARCH("erstmals 201",E1524)),"",MID(E1524,SEARCH("erstmals ",E1524)+9,4))</f>
        <v>2013</v>
      </c>
      <c r="AP1524" s="167" t="str">
        <f>IF(R1524="x","2010",IF(S1524="x","2011",IF(T1524="x","2012","")))</f>
        <v/>
      </c>
      <c r="AQ1524" s="169" t="str">
        <f>IF(OR(AH1524&lt;&gt;AN1524,AH1524&lt;&gt;AO1524,AH1524&lt;&gt;AP1524),"DIFF","")</f>
        <v>DIFF</v>
      </c>
      <c r="AR1524" s="170" t="str">
        <f>IF(A1524="","",IF(ISERROR(SEARCH("K1",A1524)),A1524,LEFT(A1524,SEARCH("K1",A1524)+1)&amp;RIGHT(AH1524,1)&amp;MID(A1524,SEARCH("K1",A1524)+3,14)))</f>
        <v>BiK82M2K12y-06</v>
      </c>
      <c r="AS1524" s="169" t="str">
        <f>IF(OR(A1524&lt;&gt;AR1524),"DIFF","")</f>
        <v>DIFF</v>
      </c>
      <c r="AT1524">
        <f>LEN(AR1524)</f>
        <v>14</v>
      </c>
      <c r="AU1524" s="170" t="str">
        <f>IF(D1524="","",IF(OR(A1524="",ISERROR(SEARCH("erstmals 201",D1524))),D1524,LEFT(D1524,SEARCH("erstmals 201",D1524)+8) &amp; AH1524 &amp; MID(D1524,SEARCH("erstmals 201",D1524)+13,255)))</f>
        <v>0,15-0,5 MW, Bonusregeln M2, y und K erstmals 2012</v>
      </c>
      <c r="AV1524" s="169" t="str">
        <f>IF(OR(D1524&lt;&gt;AU1524),"DIFF","")</f>
        <v>DIFF</v>
      </c>
      <c r="AW1524" s="170" t="str">
        <f>IF(E1524="","",IF(OR(E1524="",ISERROR(SEARCH("erstmals 201",E1524))),E1524,LEFT(E1524,SEARCH("erstmals 201",E1524)+8) &amp; AH1524 &amp; MID(E1524,SEARCH("erstmals 201",E1524)+13,255)))</f>
        <v>Anteil KWK, erstmals 2012</v>
      </c>
      <c r="AX1524" s="169" t="str">
        <f>IF(OR(E1524&lt;&gt;AW1524),"DIFF","")</f>
        <v>DIFF</v>
      </c>
      <c r="AY1524" t="str">
        <f>IF(AH1524="2011","x",IF(AH1524="2012","","" &amp; S1524))</f>
        <v/>
      </c>
      <c r="AZ1524" t="str">
        <f>IF(AH1524="2012","x",IF(AH1524="2011","","" &amp; T1524))</f>
        <v>x</v>
      </c>
    </row>
    <row r="1525" spans="1:52" x14ac:dyDescent="0.35">
      <c r="A1525" s="502" t="s">
        <v>2834</v>
      </c>
      <c r="B1525" s="301" t="s">
        <v>5547</v>
      </c>
      <c r="C1525" s="301" t="s">
        <v>1296</v>
      </c>
      <c r="D1525" s="301" t="s">
        <v>7079</v>
      </c>
      <c r="E1525" s="302" t="s">
        <v>2826</v>
      </c>
      <c r="F1525" s="377">
        <f t="shared" si="636"/>
        <v>23.48</v>
      </c>
      <c r="G1525" s="433">
        <f t="shared" si="637"/>
        <v>23.48</v>
      </c>
      <c r="H1525" s="402">
        <f t="shared" si="638"/>
        <v>18.78</v>
      </c>
      <c r="I1525" s="579"/>
      <c r="J1525" s="549" t="s">
        <v>5804</v>
      </c>
      <c r="K1525" s="11"/>
      <c r="M1525" s="37">
        <f t="shared" si="639"/>
        <v>23.48</v>
      </c>
      <c r="N1525" s="29">
        <v>9.6</v>
      </c>
      <c r="O1525" s="319"/>
      <c r="P1525" s="97" t="s">
        <v>2827</v>
      </c>
      <c r="Q1525" s="97"/>
      <c r="R1525" s="97">
        <v>2013</v>
      </c>
      <c r="S1525" s="97"/>
      <c r="T1525" s="554">
        <f t="shared" si="640"/>
        <v>2.88</v>
      </c>
      <c r="U1525" s="345" t="s">
        <v>1017</v>
      </c>
      <c r="V1525" s="25"/>
      <c r="W1525" s="346"/>
      <c r="X1525" s="346"/>
      <c r="Y1525" s="25"/>
      <c r="Z1525" s="346"/>
      <c r="AA1525" s="25"/>
      <c r="AB1525" s="25"/>
      <c r="AC1525" s="346"/>
      <c r="AD1525" s="25" t="s">
        <v>1017</v>
      </c>
      <c r="AE1525" s="347"/>
      <c r="AF1525" s="346"/>
      <c r="AG1525" s="346"/>
      <c r="AH1525" s="171" t="s">
        <v>4178</v>
      </c>
      <c r="AI1525" s="168" t="str">
        <f>IF(AND($AH1525&lt;&gt;"",AH1525 =AH1528),"Gleich","")</f>
        <v>Gleich</v>
      </c>
      <c r="AJ1525" s="168" t="str">
        <f>IF(AND($AH1525&lt;&gt;"",A1525 =A1528),"Gleich","")</f>
        <v/>
      </c>
      <c r="AK1525" s="168" t="str">
        <f>IF(AND($AH1525&lt;&gt;"",D1525 =D1528),"Gleich","")</f>
        <v/>
      </c>
      <c r="AL1525" s="168" t="str">
        <f>IF(AND($AH1525&lt;&gt;"",E1525 =E1528),"Gleich","")</f>
        <v>Gleich</v>
      </c>
      <c r="AM1525" s="168" t="str">
        <f>IF(AND($AH1525&lt;&gt;"",F1525 =F1528),"Gleich","")</f>
        <v/>
      </c>
      <c r="AN1525" s="167" t="str">
        <f>IF(ISERROR(SEARCH("K1",A1525)),"","20"&amp;MID(A1525,SEARCH("K1",A1525)+1,2))</f>
        <v>2013</v>
      </c>
      <c r="AO1525" s="167" t="str">
        <f>IF(ISERROR(SEARCH("erstmals 201",E1525)),"",MID(E1525,SEARCH("erstmals ",E1525)+9,4))</f>
        <v>2013</v>
      </c>
      <c r="AP1525" s="167" t="str">
        <f>IF(R1525="x","2010",IF(S1525="x","2011",IF(T1525="x","2012","")))</f>
        <v/>
      </c>
      <c r="AQ1525" s="169" t="str">
        <f>IF(OR(AH1525&lt;&gt;AN1525,AH1525&lt;&gt;AO1525,AH1525&lt;&gt;AP1525),"DIFF","")</f>
        <v>DIFF</v>
      </c>
      <c r="AR1525" s="170" t="str">
        <f>IF(A1525="","",IF(ISERROR(SEARCH("K1",A1525)),A1525,LEFT(A1525,SEARCH("K1",A1525)+1)&amp;RIGHT(AH1525,1)&amp;MID(A1525,SEARCH("K1",A1525)+3,14)))</f>
        <v>BiK82X2K12y-06</v>
      </c>
      <c r="AS1525" s="169" t="str">
        <f>IF(OR(A1525&lt;&gt;AR1525),"DIFF","")</f>
        <v>DIFF</v>
      </c>
      <c r="AT1525">
        <f>LEN(AR1525)</f>
        <v>14</v>
      </c>
      <c r="AU1525" s="170" t="str">
        <f>IF(D1525="","",IF(OR(A1525="",ISERROR(SEARCH("erstmals 201",D1525))),D1525,LEFT(D1525,SEARCH("erstmals 201",D1525)+8) &amp; AH1525 &amp; MID(D1525,SEARCH("erstmals 201",D1525)+13,255)))</f>
        <v>0,15-0,5 MW, Bonusregeln X2, y und K erstmals 2012</v>
      </c>
      <c r="AV1525" s="169" t="str">
        <f>IF(OR(D1525&lt;&gt;AU1525),"DIFF","")</f>
        <v>DIFF</v>
      </c>
      <c r="AW1525" s="170" t="str">
        <f>IF(E1525="","",IF(OR(E1525="",ISERROR(SEARCH("erstmals 201",E1525))),E1525,LEFT(E1525,SEARCH("erstmals 201",E1525)+8) &amp; AH1525 &amp; MID(E1525,SEARCH("erstmals 201",E1525)+13,255)))</f>
        <v>Anteil KWK, erstmals 2012</v>
      </c>
      <c r="AX1525" s="169" t="str">
        <f>IF(OR(E1525&lt;&gt;AW1525),"DIFF","")</f>
        <v>DIFF</v>
      </c>
      <c r="AY1525" t="str">
        <f>IF(AH1525="2011","x",IF(AH1525="2012","","" &amp; S1525))</f>
        <v/>
      </c>
      <c r="AZ1525" t="str">
        <f>IF(AH1525="2012","x",IF(AH1525="2011","","" &amp; T1525))</f>
        <v>x</v>
      </c>
    </row>
    <row r="1526" spans="1:52" x14ac:dyDescent="0.35">
      <c r="A1526" s="502" t="s">
        <v>5617</v>
      </c>
      <c r="B1526" s="301" t="s">
        <v>5547</v>
      </c>
      <c r="C1526" s="301" t="s">
        <v>1296</v>
      </c>
      <c r="D1526" s="301" t="s">
        <v>7211</v>
      </c>
      <c r="E1526" s="301" t="s">
        <v>2826</v>
      </c>
      <c r="F1526" s="377">
        <f t="shared" si="636"/>
        <v>23.48</v>
      </c>
      <c r="G1526" s="433">
        <f t="shared" si="637"/>
        <v>23.48</v>
      </c>
      <c r="H1526" s="402">
        <f t="shared" si="638"/>
        <v>18.78</v>
      </c>
      <c r="I1526" s="579"/>
      <c r="J1526" s="549" t="s">
        <v>5804</v>
      </c>
      <c r="K1526" s="11"/>
      <c r="M1526" s="37">
        <f t="shared" si="639"/>
        <v>23.48</v>
      </c>
      <c r="N1526" s="29">
        <v>9.6</v>
      </c>
      <c r="O1526" s="319"/>
      <c r="P1526" s="97" t="s">
        <v>2827</v>
      </c>
      <c r="Q1526" s="97"/>
      <c r="R1526" s="97">
        <v>2013</v>
      </c>
      <c r="S1526" s="97"/>
      <c r="T1526" s="554">
        <f t="shared" si="640"/>
        <v>2.88</v>
      </c>
      <c r="U1526" s="146" t="s">
        <v>1017</v>
      </c>
      <c r="V1526" s="145"/>
      <c r="W1526" s="147"/>
      <c r="X1526" s="147"/>
      <c r="Y1526" s="145"/>
      <c r="Z1526" s="147"/>
      <c r="AA1526" s="145" t="s">
        <v>1017</v>
      </c>
      <c r="AB1526" s="145"/>
      <c r="AC1526" s="147"/>
      <c r="AD1526" s="145"/>
      <c r="AE1526" s="148" t="s">
        <v>1017</v>
      </c>
      <c r="AF1526" s="147"/>
      <c r="AG1526" s="147"/>
      <c r="AH1526" s="171"/>
      <c r="AI1526" s="168"/>
      <c r="AJ1526" s="168"/>
      <c r="AK1526" s="168"/>
      <c r="AL1526" s="168"/>
      <c r="AM1526" s="168"/>
      <c r="AN1526" s="167"/>
      <c r="AO1526" s="167"/>
      <c r="AP1526" s="167"/>
      <c r="AQ1526" s="169"/>
      <c r="AR1526" s="170"/>
      <c r="AS1526" s="169"/>
      <c r="AU1526" s="170"/>
      <c r="AV1526" s="169"/>
      <c r="AW1526" s="170"/>
      <c r="AX1526" s="169"/>
    </row>
    <row r="1527" spans="1:52" s="145" customFormat="1" x14ac:dyDescent="0.35">
      <c r="A1527" s="502" t="s">
        <v>2333</v>
      </c>
      <c r="B1527" s="301" t="s">
        <v>5547</v>
      </c>
      <c r="C1527" s="301" t="s">
        <v>1296</v>
      </c>
      <c r="D1527" s="301" t="s">
        <v>6762</v>
      </c>
      <c r="E1527" s="302" t="s">
        <v>2826</v>
      </c>
      <c r="F1527" s="377">
        <f t="shared" si="636"/>
        <v>11.52</v>
      </c>
      <c r="G1527" s="433">
        <f t="shared" si="637"/>
        <v>11.52</v>
      </c>
      <c r="H1527" s="402">
        <f t="shared" si="638"/>
        <v>9.2200000000000006</v>
      </c>
      <c r="I1527" s="579"/>
      <c r="J1527" s="549" t="s">
        <v>5804</v>
      </c>
      <c r="K1527" s="11"/>
      <c r="L1527"/>
      <c r="M1527" s="37">
        <f t="shared" si="639"/>
        <v>11.52</v>
      </c>
      <c r="N1527" s="29">
        <v>8.64</v>
      </c>
      <c r="O1527" s="319"/>
      <c r="P1527" s="97" t="s">
        <v>2827</v>
      </c>
      <c r="Q1527" s="97"/>
      <c r="R1527" s="97">
        <v>2013</v>
      </c>
      <c r="S1527" s="97"/>
      <c r="T1527" s="554">
        <f t="shared" si="640"/>
        <v>2.88</v>
      </c>
      <c r="U1527" s="60"/>
      <c r="V1527" s="50"/>
      <c r="W1527"/>
      <c r="X1527"/>
      <c r="Y1527" s="50"/>
      <c r="Z1527" s="50"/>
      <c r="AA1527" s="50"/>
      <c r="AB1527" s="50"/>
      <c r="AC1527" s="50"/>
      <c r="AD1527" s="50"/>
      <c r="AE1527" s="75"/>
      <c r="AF1527" s="50"/>
      <c r="AG1527" s="50"/>
      <c r="AH1527" s="171" t="s">
        <v>4178</v>
      </c>
      <c r="AI1527" s="168" t="str">
        <f>IF(AND($AH1527&lt;&gt;"",AH1527 =AH1525),"Gleich","")</f>
        <v>Gleich</v>
      </c>
      <c r="AJ1527" s="168" t="str">
        <f>IF(AND($AH1527&lt;&gt;"",A1527 =A1525),"Gleich","")</f>
        <v/>
      </c>
      <c r="AK1527" s="168" t="str">
        <f>IF(AND($AH1527&lt;&gt;"",D1527 =D1525),"Gleich","")</f>
        <v/>
      </c>
      <c r="AL1527" s="168" t="str">
        <f>IF(AND($AH1527&lt;&gt;"",E1527 =E1525),"Gleich","")</f>
        <v>Gleich</v>
      </c>
      <c r="AM1527" s="168" t="str">
        <f>IF(AND($AH1527&lt;&gt;"",F1527 =F1525),"Gleich","")</f>
        <v/>
      </c>
      <c r="AN1527" s="167" t="str">
        <f>IF(ISERROR(SEARCH("K1",A1527)),"","20"&amp;MID(A1527,SEARCH("K1",A1527)+1,2))</f>
        <v>2013</v>
      </c>
      <c r="AO1527" s="167" t="str">
        <f>IF(ISERROR(SEARCH("erstmals 201",E1527)),"",MID(E1527,SEARCH("erstmals ",E1527)+9,4))</f>
        <v>2013</v>
      </c>
      <c r="AP1527" s="167" t="str">
        <f>IF(R1527="x","2010",IF(S1527="x","2011",IF(T1527="x","2012","")))</f>
        <v/>
      </c>
      <c r="AQ1527" s="169" t="str">
        <f>IF(OR(AH1527&lt;&gt;AN1527,AH1527&lt;&gt;AO1527,AH1527&lt;&gt;AP1527),"DIFF","")</f>
        <v>DIFF</v>
      </c>
      <c r="AR1527" s="170" t="str">
        <f>IF(A1527="","",IF(ISERROR(SEARCH("K1",A1527)),A1527,LEFT(A1527,SEARCH("K1",A1527)+1)&amp;RIGHT(AH1527,1)&amp;MID(A1527,SEARCH("K1",A1527)+3,14)))</f>
        <v>BiK83K12----06</v>
      </c>
      <c r="AS1527" s="169" t="str">
        <f>IF(OR(A1527&lt;&gt;AR1527),"DIFF","")</f>
        <v>DIFF</v>
      </c>
      <c r="AT1527">
        <f>LEN(AR1527)</f>
        <v>14</v>
      </c>
      <c r="AU1527" s="170" t="str">
        <f>IF(D1527="","",IF(OR(A1527="",ISERROR(SEARCH("erstmals 201",D1527))),D1527,LEFT(D1527,SEARCH("erstmals 201",D1527)+8) &amp; AH1527 &amp; MID(D1527,SEARCH("erstmals 201",D1527)+13,255)))</f>
        <v>0,5-5 MW, Bonusregel K erstmals 2012</v>
      </c>
      <c r="AV1527" s="169" t="str">
        <f>IF(OR(D1527&lt;&gt;AU1527),"DIFF","")</f>
        <v>DIFF</v>
      </c>
      <c r="AW1527" s="170" t="str">
        <f>IF(E1527="","",IF(OR(E1527="",ISERROR(SEARCH("erstmals 201",E1527))),E1527,LEFT(E1527,SEARCH("erstmals 201",E1527)+8) &amp; AH1527 &amp; MID(E1527,SEARCH("erstmals 201",E1527)+13,255)))</f>
        <v>Anteil KWK, erstmals 2012</v>
      </c>
      <c r="AX1527" s="169" t="str">
        <f>IF(OR(E1527&lt;&gt;AW1527),"DIFF","")</f>
        <v>DIFF</v>
      </c>
      <c r="AY1527" t="str">
        <f>IF(AH1527="2011","x",IF(AH1527="2012","","" &amp; S1527))</f>
        <v/>
      </c>
      <c r="AZ1527" t="str">
        <f>IF(AH1527="2012","x",IF(AH1527="2011","","" &amp; T1527))</f>
        <v>x</v>
      </c>
    </row>
    <row r="1528" spans="1:52" s="145" customFormat="1" x14ac:dyDescent="0.35">
      <c r="A1528" s="502" t="s">
        <v>2833</v>
      </c>
      <c r="B1528" s="301" t="s">
        <v>5547</v>
      </c>
      <c r="C1528" s="301" t="s">
        <v>1296</v>
      </c>
      <c r="D1528" s="301" t="s">
        <v>6800</v>
      </c>
      <c r="E1528" s="302" t="s">
        <v>2826</v>
      </c>
      <c r="F1528" s="377">
        <f t="shared" si="636"/>
        <v>15.52</v>
      </c>
      <c r="G1528" s="433">
        <f t="shared" si="637"/>
        <v>15.52</v>
      </c>
      <c r="H1528" s="402">
        <f t="shared" si="638"/>
        <v>12.42</v>
      </c>
      <c r="I1528" s="579"/>
      <c r="J1528" s="549" t="s">
        <v>5804</v>
      </c>
      <c r="K1528" s="11"/>
      <c r="L1528"/>
      <c r="M1528" s="37">
        <f t="shared" si="639"/>
        <v>15.52</v>
      </c>
      <c r="N1528" s="29">
        <v>8.64</v>
      </c>
      <c r="O1528" s="319"/>
      <c r="P1528" s="97" t="s">
        <v>2827</v>
      </c>
      <c r="Q1528" s="97"/>
      <c r="R1528" s="97">
        <v>2013</v>
      </c>
      <c r="S1528" s="97"/>
      <c r="T1528" s="554">
        <f t="shared" si="640"/>
        <v>2.88</v>
      </c>
      <c r="U1528" s="348"/>
      <c r="V1528" s="346"/>
      <c r="W1528" s="25" t="s">
        <v>1017</v>
      </c>
      <c r="X1528" s="25"/>
      <c r="Y1528" s="346"/>
      <c r="Z1528" s="346"/>
      <c r="AA1528" s="346"/>
      <c r="AB1528" s="346"/>
      <c r="AC1528" s="346"/>
      <c r="AD1528" s="346"/>
      <c r="AE1528" s="347"/>
      <c r="AF1528" s="346"/>
      <c r="AG1528" s="346"/>
      <c r="AH1528" s="171" t="s">
        <v>4178</v>
      </c>
      <c r="AI1528" s="168" t="str">
        <f>IF(AND($AH1528&lt;&gt;"",AH1528 =AH1524),"Gleich","")</f>
        <v>Gleich</v>
      </c>
      <c r="AJ1528" s="168" t="str">
        <f>IF(AND($AH1528&lt;&gt;"",A1528 =A1524),"Gleich","")</f>
        <v/>
      </c>
      <c r="AK1528" s="168" t="str">
        <f>IF(AND($AH1528&lt;&gt;"",D1528 =D1524),"Gleich","")</f>
        <v/>
      </c>
      <c r="AL1528" s="168" t="str">
        <f>IF(AND($AH1528&lt;&gt;"",E1528 =E1524),"Gleich","")</f>
        <v>Gleich</v>
      </c>
      <c r="AM1528" s="168" t="str">
        <f>IF(AND($AH1528&lt;&gt;"",F1528 =F1524),"Gleich","")</f>
        <v/>
      </c>
      <c r="AN1528" s="167" t="str">
        <f>IF(ISERROR(SEARCH("K1",A1528)),"","20"&amp;MID(A1528,SEARCH("K1",A1528)+1,2))</f>
        <v>2013</v>
      </c>
      <c r="AO1528" s="167" t="str">
        <f>IF(ISERROR(SEARCH("erstmals 201",E1528)),"",MID(E1528,SEARCH("erstmals ",E1528)+9,4))</f>
        <v>2013</v>
      </c>
      <c r="AP1528" s="167" t="str">
        <f>IF(R1528="x","2010",IF(S1528="x","2011",IF(T1528="x","2012","")))</f>
        <v/>
      </c>
      <c r="AQ1528" s="169" t="str">
        <f>IF(OR(AH1528&lt;&gt;AN1528,AH1528&lt;&gt;AO1528,AH1528&lt;&gt;AP1528),"DIFF","")</f>
        <v>DIFF</v>
      </c>
      <c r="AR1528" s="170" t="str">
        <f>IF(A1528="","",IF(ISERROR(SEARCH("K1",A1528)),A1528,LEFT(A1528,SEARCH("K1",A1528)+1)&amp;RIGHT(AH1528,1)&amp;MID(A1528,SEARCH("K1",A1528)+3,14)))</f>
        <v>BiK83a2K12--06</v>
      </c>
      <c r="AS1528" s="169" t="str">
        <f>IF(OR(A1528&lt;&gt;AR1528),"DIFF","")</f>
        <v>DIFF</v>
      </c>
      <c r="AT1528">
        <f>LEN(AR1528)</f>
        <v>14</v>
      </c>
      <c r="AU1528" s="170" t="str">
        <f>IF(D1528="","",IF(OR(A1528="",ISERROR(SEARCH("erstmals 201",D1528))),D1528,LEFT(D1528,SEARCH("erstmals 201",D1528)+8) &amp; AH1528 &amp; MID(D1528,SEARCH("erstmals 201",D1528)+13,255)))</f>
        <v>0,5-5 MW, Bonusregeln a2 und K erstmals 2012</v>
      </c>
      <c r="AV1528" s="169" t="str">
        <f>IF(OR(D1528&lt;&gt;AU1528),"DIFF","")</f>
        <v>DIFF</v>
      </c>
      <c r="AW1528" s="170" t="str">
        <f>IF(E1528="","",IF(OR(E1528="",ISERROR(SEARCH("erstmals 201",E1528))),E1528,LEFT(E1528,SEARCH("erstmals 201",E1528)+8) &amp; AH1528 &amp; MID(E1528,SEARCH("erstmals 201",E1528)+13,255)))</f>
        <v>Anteil KWK, erstmals 2012</v>
      </c>
      <c r="AX1528" s="169" t="str">
        <f>IF(OR(E1528&lt;&gt;AW1528),"DIFF","")</f>
        <v>DIFF</v>
      </c>
      <c r="AY1528" t="str">
        <f>IF(AH1528="2011","x",IF(AH1528="2012","","" &amp; S1528))</f>
        <v/>
      </c>
      <c r="AZ1528" t="str">
        <f>IF(AH1528="2012","x",IF(AH1528="2011","","" &amp; T1528))</f>
        <v>x</v>
      </c>
    </row>
    <row r="1529" spans="1:52" s="145" customFormat="1" x14ac:dyDescent="0.35">
      <c r="A1529" s="502" t="s">
        <v>2588</v>
      </c>
      <c r="B1529" s="301" t="s">
        <v>5547</v>
      </c>
      <c r="C1529" s="301" t="s">
        <v>1296</v>
      </c>
      <c r="D1529" s="301" t="s">
        <v>6798</v>
      </c>
      <c r="E1529" s="302" t="s">
        <v>2826</v>
      </c>
      <c r="F1529" s="377">
        <f t="shared" si="636"/>
        <v>17.52</v>
      </c>
      <c r="G1529" s="433">
        <f t="shared" si="637"/>
        <v>17.52</v>
      </c>
      <c r="H1529" s="402">
        <f t="shared" si="638"/>
        <v>14.02</v>
      </c>
      <c r="I1529" s="579"/>
      <c r="J1529" s="549" t="s">
        <v>5804</v>
      </c>
      <c r="K1529" s="11"/>
      <c r="L1529"/>
      <c r="M1529" s="37">
        <f t="shared" si="639"/>
        <v>17.52</v>
      </c>
      <c r="N1529" s="29">
        <v>8.64</v>
      </c>
      <c r="O1529" s="319"/>
      <c r="P1529" s="97" t="s">
        <v>2827</v>
      </c>
      <c r="Q1529" s="97"/>
      <c r="R1529" s="97">
        <v>2013</v>
      </c>
      <c r="S1529" s="97"/>
      <c r="T1529" s="554">
        <f t="shared" si="640"/>
        <v>2.88</v>
      </c>
      <c r="U1529" s="60"/>
      <c r="V1529" s="50"/>
      <c r="W1529" t="s">
        <v>1017</v>
      </c>
      <c r="X1529"/>
      <c r="Y1529" s="50"/>
      <c r="Z1529" s="50"/>
      <c r="AA1529" s="50"/>
      <c r="AB1529" s="50"/>
      <c r="AC1529" s="50"/>
      <c r="AD1529" s="50"/>
      <c r="AE1529" s="75" t="s">
        <v>1017</v>
      </c>
      <c r="AF1529" s="50"/>
      <c r="AG1529" s="50"/>
      <c r="AH1529" s="171" t="s">
        <v>4178</v>
      </c>
      <c r="AI1529" s="168" t="str">
        <f>IF(AND($AH1529&lt;&gt;"",AH1529 =AH1528),"Gleich","")</f>
        <v>Gleich</v>
      </c>
      <c r="AJ1529" s="168" t="str">
        <f>IF(AND($AH1529&lt;&gt;"",A1529 =A1528),"Gleich","")</f>
        <v/>
      </c>
      <c r="AK1529" s="168" t="str">
        <f t="shared" ref="AK1529:AM1530" si="642">IF(AND($AH1529&lt;&gt;"",D1529 =D1528),"Gleich","")</f>
        <v/>
      </c>
      <c r="AL1529" s="168" t="str">
        <f t="shared" si="642"/>
        <v>Gleich</v>
      </c>
      <c r="AM1529" s="168" t="str">
        <f t="shared" si="642"/>
        <v/>
      </c>
      <c r="AN1529" s="167" t="str">
        <f>IF(ISERROR(SEARCH("K1",A1529)),"","20"&amp;MID(A1529,SEARCH("K1",A1529)+1,2))</f>
        <v>2013</v>
      </c>
      <c r="AO1529" s="167" t="str">
        <f>IF(ISERROR(SEARCH("erstmals 201",E1529)),"",MID(E1529,SEARCH("erstmals ",E1529)+9,4))</f>
        <v>2013</v>
      </c>
      <c r="AP1529" s="167" t="str">
        <f>IF(R1529="x","2010",IF(S1529="x","2011",IF(T1529="x","2012","")))</f>
        <v/>
      </c>
      <c r="AQ1529" s="169" t="str">
        <f>IF(OR(AH1529&lt;&gt;AN1529,AH1529&lt;&gt;AO1529,AH1529&lt;&gt;AP1529),"DIFF","")</f>
        <v>DIFF</v>
      </c>
      <c r="AR1529" s="170" t="str">
        <f>IF(A1529="","",IF(ISERROR(SEARCH("K1",A1529)),A1529,LEFT(A1529,SEARCH("K1",A1529)+1)&amp;RIGHT(AH1529,1)&amp;MID(A1529,SEARCH("K1",A1529)+3,14)))</f>
        <v>BiK83a2bK12-06</v>
      </c>
      <c r="AS1529" s="169" t="str">
        <f>IF(OR(A1529&lt;&gt;AR1529),"DIFF","")</f>
        <v>DIFF</v>
      </c>
      <c r="AT1529">
        <f>LEN(AR1529)</f>
        <v>14</v>
      </c>
      <c r="AU1529" s="170" t="str">
        <f>IF(D1529="","",IF(OR(A1529="",ISERROR(SEARCH("erstmals 201",D1529))),D1529,LEFT(D1529,SEARCH("erstmals 201",D1529)+8) &amp; AH1529 &amp; MID(D1529,SEARCH("erstmals 201",D1529)+13,255)))</f>
        <v>0,5-5 MW, Bonusregeln a2, b und K erstmals 2012</v>
      </c>
      <c r="AV1529" s="169" t="str">
        <f>IF(OR(D1529&lt;&gt;AU1529),"DIFF","")</f>
        <v>DIFF</v>
      </c>
      <c r="AW1529" s="170" t="str">
        <f>IF(E1529="","",IF(OR(E1529="",ISERROR(SEARCH("erstmals 201",E1529))),E1529,LEFT(E1529,SEARCH("erstmals 201",E1529)+8) &amp; AH1529 &amp; MID(E1529,SEARCH("erstmals 201",E1529)+13,255)))</f>
        <v>Anteil KWK, erstmals 2012</v>
      </c>
      <c r="AX1529" s="169" t="str">
        <f>IF(OR(E1529&lt;&gt;AW1529),"DIFF","")</f>
        <v>DIFF</v>
      </c>
      <c r="AY1529" t="str">
        <f>IF(AH1529="2011","x",IF(AH1529="2012","","" &amp; S1529))</f>
        <v/>
      </c>
      <c r="AZ1529" t="str">
        <f>IF(AH1529="2012","x",IF(AH1529="2011","","" &amp; T1529))</f>
        <v>x</v>
      </c>
    </row>
    <row r="1530" spans="1:52" s="145" customFormat="1" x14ac:dyDescent="0.35">
      <c r="A1530" s="502" t="s">
        <v>5615</v>
      </c>
      <c r="B1530" s="301" t="s">
        <v>5547</v>
      </c>
      <c r="C1530" s="301" t="s">
        <v>1296</v>
      </c>
      <c r="D1530" s="301" t="s">
        <v>7007</v>
      </c>
      <c r="E1530" s="302" t="s">
        <v>314</v>
      </c>
      <c r="F1530" s="377">
        <f t="shared" si="636"/>
        <v>25.520000000000003</v>
      </c>
      <c r="G1530" s="433">
        <f t="shared" si="637"/>
        <v>25.520000000000003</v>
      </c>
      <c r="H1530" s="402">
        <f t="shared" si="638"/>
        <v>20.420000000000002</v>
      </c>
      <c r="I1530" s="579"/>
      <c r="J1530" s="549" t="s">
        <v>5804</v>
      </c>
      <c r="K1530" s="11"/>
      <c r="L1530"/>
      <c r="M1530" s="37">
        <f t="shared" si="639"/>
        <v>25.520000000000003</v>
      </c>
      <c r="N1530" s="29">
        <v>11.67</v>
      </c>
      <c r="O1530" s="319"/>
      <c r="P1530" s="97" t="s">
        <v>2827</v>
      </c>
      <c r="Q1530" s="97"/>
      <c r="R1530" s="97">
        <v>2014</v>
      </c>
      <c r="S1530" s="97"/>
      <c r="T1530" s="554">
        <f t="shared" si="640"/>
        <v>2.85</v>
      </c>
      <c r="U1530" s="146"/>
      <c r="W1530" s="147"/>
      <c r="X1530" s="147"/>
      <c r="Z1530" s="145" t="s">
        <v>1017</v>
      </c>
      <c r="AA1530" s="147"/>
      <c r="AD1530" s="147"/>
      <c r="AE1530" s="148"/>
      <c r="AF1530" s="147"/>
      <c r="AG1530" s="147"/>
      <c r="AH1530" s="171" t="s">
        <v>4178</v>
      </c>
      <c r="AI1530" s="168" t="str">
        <f>IF(AND($AH1530&lt;&gt;"",AH1530 =AH1529),"Gleich","")</f>
        <v>Gleich</v>
      </c>
      <c r="AJ1530" s="168" t="str">
        <f>IF(AND($AH1530&lt;&gt;"",A1530 =A1529),"Gleich","")</f>
        <v/>
      </c>
      <c r="AK1530" s="168" t="str">
        <f t="shared" si="642"/>
        <v/>
      </c>
      <c r="AL1530" s="168" t="str">
        <f t="shared" si="642"/>
        <v/>
      </c>
      <c r="AM1530" s="168" t="str">
        <f t="shared" si="642"/>
        <v/>
      </c>
      <c r="AN1530" s="167" t="str">
        <f>IF(ISERROR(SEARCH("K1",A1530)),"","20"&amp;MID(A1530,SEARCH("K1",A1530)+1,2))</f>
        <v>2014</v>
      </c>
      <c r="AO1530" s="167" t="str">
        <f>IF(ISERROR(SEARCH("erstmals 201",E1530)),"",MID(E1530,SEARCH("erstmals ",E1530)+9,4))</f>
        <v>2014</v>
      </c>
      <c r="AP1530" s="167" t="str">
        <f>IF(R1530="x","2010",IF(S1530="x","2011",IF(T1530="x","2012","")))</f>
        <v/>
      </c>
      <c r="AQ1530" s="169" t="str">
        <f>IF(OR(AH1530&lt;&gt;AN1530,AH1530&lt;&gt;AO1530,AH1530&lt;&gt;AP1530),"DIFF","")</f>
        <v>DIFF</v>
      </c>
      <c r="AR1530" s="170" t="str">
        <f>IF(A1530="","",IF(ISERROR(SEARCH("K1",A1530)),A1530,LEFT(A1530,SEARCH("K1",A1530)+1)&amp;RIGHT(AH1530,1)&amp;MID(A1530,SEARCH("K1",A1530)+3,14)))</f>
        <v>BiK81M1K12--06</v>
      </c>
      <c r="AS1530" s="169" t="str">
        <f>IF(OR(A1530&lt;&gt;AR1530),"DIFF","")</f>
        <v>DIFF</v>
      </c>
      <c r="AT1530">
        <f>LEN(AR1530)</f>
        <v>14</v>
      </c>
      <c r="AU1530" s="170" t="str">
        <f>IF(D1530="","",IF(OR(A1530="",ISERROR(SEARCH("erstmals 201",D1530))),D1530,LEFT(D1530,SEARCH("erstmals 201",D1530)+8) &amp; AH1530 &amp; MID(D1530,SEARCH("erstmals 201",D1530)+13,255)))</f>
        <v>0-0,15 MW, Bonusregeln M1, K erstmals 2012</v>
      </c>
      <c r="AV1530" s="169" t="str">
        <f>IF(OR(D1530&lt;&gt;AU1530),"DIFF","")</f>
        <v>DIFF</v>
      </c>
      <c r="AW1530" s="170" t="str">
        <f>IF(E1530="","",IF(OR(E1530="",ISERROR(SEARCH("erstmals 201",E1530))),E1530,LEFT(E1530,SEARCH("erstmals 201",E1530)+8) &amp; AH1530 &amp; MID(E1530,SEARCH("erstmals 201",E1530)+13,255)))</f>
        <v>Anteil KWK, erstmals 2012</v>
      </c>
      <c r="AX1530" s="169" t="str">
        <f>IF(OR(E1530&lt;&gt;AW1530),"DIFF","")</f>
        <v>DIFF</v>
      </c>
      <c r="AY1530" t="str">
        <f>IF(AH1530="2011","x",IF(AH1530="2012","","" &amp; S1530))</f>
        <v/>
      </c>
      <c r="AZ1530" t="str">
        <f>IF(AH1530="2012","x",IF(AH1530="2011","","" &amp; T1530))</f>
        <v>x</v>
      </c>
    </row>
    <row r="1531" spans="1:52" s="145" customFormat="1" x14ac:dyDescent="0.35">
      <c r="A1531" s="502" t="s">
        <v>5809</v>
      </c>
      <c r="B1531" s="301" t="s">
        <v>5547</v>
      </c>
      <c r="C1531" s="301" t="s">
        <v>1296</v>
      </c>
      <c r="D1531" s="301" t="s">
        <v>5811</v>
      </c>
      <c r="E1531" s="302" t="s">
        <v>314</v>
      </c>
      <c r="F1531" s="377">
        <f t="shared" si="636"/>
        <v>26.520000000000003</v>
      </c>
      <c r="G1531" s="433">
        <f t="shared" si="637"/>
        <v>26.520000000000003</v>
      </c>
      <c r="H1531" s="402">
        <f t="shared" si="638"/>
        <v>21.22</v>
      </c>
      <c r="I1531" s="579"/>
      <c r="J1531" s="549">
        <v>42644</v>
      </c>
      <c r="K1531" s="11"/>
      <c r="L1531"/>
      <c r="M1531" s="37">
        <f t="shared" si="639"/>
        <v>26.520000000000003</v>
      </c>
      <c r="N1531" s="29">
        <v>11.67</v>
      </c>
      <c r="O1531" s="319"/>
      <c r="P1531" s="97" t="s">
        <v>2827</v>
      </c>
      <c r="Q1531" s="97"/>
      <c r="R1531" s="97">
        <v>2014</v>
      </c>
      <c r="S1531" s="97"/>
      <c r="T1531" s="554">
        <f t="shared" si="640"/>
        <v>2.85</v>
      </c>
      <c r="U1531" s="146" t="s">
        <v>1017</v>
      </c>
      <c r="W1531" s="147"/>
      <c r="X1531" s="147"/>
      <c r="Z1531" s="145" t="s">
        <v>1017</v>
      </c>
      <c r="AA1531" s="147"/>
      <c r="AD1531" s="147"/>
      <c r="AE1531" s="148"/>
      <c r="AF1531" s="147"/>
      <c r="AG1531" s="147"/>
      <c r="AH1531" s="171"/>
      <c r="AI1531" s="168"/>
      <c r="AJ1531" s="168"/>
      <c r="AK1531" s="168"/>
      <c r="AL1531" s="168"/>
      <c r="AM1531" s="168"/>
      <c r="AN1531" s="167"/>
      <c r="AO1531" s="167"/>
      <c r="AP1531" s="167"/>
      <c r="AQ1531" s="169"/>
      <c r="AR1531" s="170"/>
      <c r="AS1531" s="169"/>
      <c r="AT1531"/>
      <c r="AU1531" s="170"/>
      <c r="AV1531" s="169"/>
      <c r="AW1531" s="170"/>
      <c r="AX1531" s="169"/>
      <c r="AY1531"/>
      <c r="AZ1531"/>
    </row>
    <row r="1532" spans="1:52" s="145" customFormat="1" x14ac:dyDescent="0.35">
      <c r="A1532" s="502" t="s">
        <v>5614</v>
      </c>
      <c r="B1532" s="301" t="s">
        <v>5547</v>
      </c>
      <c r="C1532" s="301" t="s">
        <v>1296</v>
      </c>
      <c r="D1532" s="301" t="s">
        <v>7226</v>
      </c>
      <c r="E1532" s="302" t="s">
        <v>314</v>
      </c>
      <c r="F1532" s="377">
        <f t="shared" si="636"/>
        <v>20.450000000000003</v>
      </c>
      <c r="G1532" s="433">
        <f t="shared" si="637"/>
        <v>20.450000000000003</v>
      </c>
      <c r="H1532" s="402">
        <f t="shared" si="638"/>
        <v>16.36</v>
      </c>
      <c r="I1532" s="579"/>
      <c r="J1532" s="549" t="s">
        <v>5804</v>
      </c>
      <c r="K1532" s="11"/>
      <c r="L1532"/>
      <c r="M1532" s="37">
        <f t="shared" si="639"/>
        <v>20.450000000000003</v>
      </c>
      <c r="N1532" s="29">
        <v>9.6</v>
      </c>
      <c r="O1532" s="319"/>
      <c r="P1532" s="97" t="s">
        <v>2827</v>
      </c>
      <c r="Q1532" s="97"/>
      <c r="R1532" s="97">
        <v>2014</v>
      </c>
      <c r="S1532" s="97"/>
      <c r="T1532" s="554">
        <f t="shared" si="640"/>
        <v>2.85</v>
      </c>
      <c r="U1532" s="146"/>
      <c r="W1532" s="147"/>
      <c r="X1532" s="147"/>
      <c r="Z1532" s="147"/>
      <c r="AA1532" s="145" t="s">
        <v>1017</v>
      </c>
      <c r="AC1532" s="147"/>
      <c r="AE1532" s="148"/>
      <c r="AF1532" s="147"/>
      <c r="AG1532" s="147"/>
      <c r="AH1532" s="171" t="s">
        <v>4178</v>
      </c>
      <c r="AI1532" s="168" t="str">
        <f>IF(AND($AH1532&lt;&gt;"",AH1532 =AH1529),"Gleich","")</f>
        <v>Gleich</v>
      </c>
      <c r="AJ1532" s="168" t="str">
        <f>IF(AND($AH1532&lt;&gt;"",A1532 =A1529),"Gleich","")</f>
        <v/>
      </c>
      <c r="AK1532" s="168" t="str">
        <f>IF(AND($AH1532&lt;&gt;"",D1532 =D1529),"Gleich","")</f>
        <v/>
      </c>
      <c r="AL1532" s="168" t="str">
        <f>IF(AND($AH1532&lt;&gt;"",E1532 =E1529),"Gleich","")</f>
        <v/>
      </c>
      <c r="AM1532" s="168" t="str">
        <f>IF(AND($AH1532&lt;&gt;"",F1532 =F1529),"Gleich","")</f>
        <v/>
      </c>
      <c r="AN1532" s="167" t="str">
        <f>IF(ISERROR(SEARCH("K1",A1532)),"","20"&amp;MID(A1532,SEARCH("K1",A1532)+1,2))</f>
        <v>2014</v>
      </c>
      <c r="AO1532" s="167" t="str">
        <f>IF(ISERROR(SEARCH("erstmals 201",E1532)),"",MID(E1532,SEARCH("erstmals ",E1532)+9,4))</f>
        <v>2014</v>
      </c>
      <c r="AP1532" s="167" t="str">
        <f>IF(R1532="x","2010",IF(S1532="x","2011",IF(T1532="x","2012","")))</f>
        <v/>
      </c>
      <c r="AQ1532" s="169" t="str">
        <f>IF(OR(AH1532&lt;&gt;AN1532,AH1532&lt;&gt;AO1532,AH1532&lt;&gt;AP1532),"DIFF","")</f>
        <v>DIFF</v>
      </c>
      <c r="AR1532" s="170" t="str">
        <f>IF(A1532="","",IF(ISERROR(SEARCH("K1",A1532)),A1532,LEFT(A1532,SEARCH("K1",A1532)+1)&amp;RIGHT(AH1532,1)&amp;MID(A1532,SEARCH("K1",A1532)+3,14)))</f>
        <v>BiK82M2K12--06</v>
      </c>
      <c r="AS1532" s="169" t="str">
        <f>IF(OR(A1532&lt;&gt;AR1532),"DIFF","")</f>
        <v>DIFF</v>
      </c>
      <c r="AT1532">
        <f>LEN(AR1532)</f>
        <v>14</v>
      </c>
      <c r="AU1532" s="170" t="str">
        <f>IF(D1532="","",IF(OR(A1532="",ISERROR(SEARCH("erstmals 201",D1532))),D1532,LEFT(D1532,SEARCH("erstmals 201",D1532)+8) &amp; AH1532 &amp; MID(D1532,SEARCH("erstmals 201",D1532)+13,255)))</f>
        <v>0,15-0,5 MW, Bonusregeln M2, K erstmals 2012</v>
      </c>
      <c r="AV1532" s="169" t="str">
        <f>IF(OR(D1532&lt;&gt;AU1532),"DIFF","")</f>
        <v>DIFF</v>
      </c>
      <c r="AW1532" s="170" t="str">
        <f>IF(E1532="","",IF(OR(E1532="",ISERROR(SEARCH("erstmals 201",E1532))),E1532,LEFT(E1532,SEARCH("erstmals 201",E1532)+8) &amp; AH1532 &amp; MID(E1532,SEARCH("erstmals 201",E1532)+13,255)))</f>
        <v>Anteil KWK, erstmals 2012</v>
      </c>
      <c r="AX1532" s="169" t="str">
        <f>IF(OR(E1532&lt;&gt;AW1532),"DIFF","")</f>
        <v>DIFF</v>
      </c>
      <c r="AY1532" t="str">
        <f>IF(AH1532="2011","x",IF(AH1532="2012","","" &amp; S1532))</f>
        <v/>
      </c>
      <c r="AZ1532" t="str">
        <f>IF(AH1532="2012","x",IF(AH1532="2011","","" &amp; T1532))</f>
        <v>x</v>
      </c>
    </row>
    <row r="1533" spans="1:52" s="145" customFormat="1" x14ac:dyDescent="0.35">
      <c r="A1533" s="502" t="s">
        <v>5810</v>
      </c>
      <c r="B1533" s="301" t="s">
        <v>5547</v>
      </c>
      <c r="C1533" s="301" t="s">
        <v>1296</v>
      </c>
      <c r="D1533" s="301" t="s">
        <v>5812</v>
      </c>
      <c r="E1533" s="302" t="s">
        <v>314</v>
      </c>
      <c r="F1533" s="377">
        <f t="shared" si="636"/>
        <v>21.450000000000003</v>
      </c>
      <c r="G1533" s="433">
        <f t="shared" si="637"/>
        <v>21.450000000000003</v>
      </c>
      <c r="H1533" s="402">
        <f t="shared" si="638"/>
        <v>17.16</v>
      </c>
      <c r="I1533" s="579"/>
      <c r="J1533" s="549">
        <v>42644</v>
      </c>
      <c r="K1533" s="11"/>
      <c r="L1533"/>
      <c r="M1533" s="37">
        <f t="shared" si="639"/>
        <v>21.450000000000003</v>
      </c>
      <c r="N1533" s="29">
        <v>9.6</v>
      </c>
      <c r="O1533" s="319"/>
      <c r="P1533" s="97" t="s">
        <v>2827</v>
      </c>
      <c r="Q1533" s="97"/>
      <c r="R1533" s="97">
        <v>2014</v>
      </c>
      <c r="S1533" s="97"/>
      <c r="T1533" s="554">
        <f t="shared" si="640"/>
        <v>2.85</v>
      </c>
      <c r="U1533" s="146" t="s">
        <v>1017</v>
      </c>
      <c r="W1533" s="147"/>
      <c r="X1533" s="147"/>
      <c r="Z1533" s="147"/>
      <c r="AA1533" s="145" t="s">
        <v>1017</v>
      </c>
      <c r="AC1533" s="147"/>
      <c r="AE1533" s="148"/>
      <c r="AF1533" s="147"/>
      <c r="AG1533" s="147"/>
      <c r="AH1533" s="171"/>
      <c r="AI1533" s="168"/>
      <c r="AJ1533" s="168"/>
      <c r="AK1533" s="168"/>
      <c r="AL1533" s="168"/>
      <c r="AM1533" s="168"/>
      <c r="AN1533" s="167"/>
      <c r="AO1533" s="167"/>
      <c r="AP1533" s="167"/>
      <c r="AQ1533" s="169"/>
      <c r="AR1533" s="170"/>
      <c r="AS1533" s="169"/>
      <c r="AT1533"/>
      <c r="AU1533" s="170"/>
      <c r="AV1533" s="169"/>
      <c r="AW1533" s="170"/>
      <c r="AX1533" s="169"/>
      <c r="AY1533"/>
      <c r="AZ1533"/>
    </row>
    <row r="1534" spans="1:52" s="145" customFormat="1" x14ac:dyDescent="0.35">
      <c r="A1534" s="502" t="s">
        <v>6611</v>
      </c>
      <c r="B1534" s="301" t="s">
        <v>5547</v>
      </c>
      <c r="C1534" s="301" t="s">
        <v>1296</v>
      </c>
      <c r="D1534" s="301" t="s">
        <v>7008</v>
      </c>
      <c r="E1534" s="301" t="s">
        <v>5624</v>
      </c>
      <c r="F1534" s="377">
        <f t="shared" si="636"/>
        <v>23.490000000000002</v>
      </c>
      <c r="G1534" s="429">
        <f t="shared" si="637"/>
        <v>23.490000000000002</v>
      </c>
      <c r="H1534" s="303">
        <f t="shared" si="638"/>
        <v>18.79</v>
      </c>
      <c r="I1534" s="579"/>
      <c r="J1534" s="549">
        <v>43951</v>
      </c>
      <c r="K1534" s="11"/>
      <c r="L1534"/>
      <c r="M1534" s="37">
        <f t="shared" si="639"/>
        <v>23.490000000000002</v>
      </c>
      <c r="N1534" s="29">
        <v>11.67</v>
      </c>
      <c r="O1534" s="319"/>
      <c r="P1534" s="97" t="s">
        <v>2827</v>
      </c>
      <c r="Q1534" s="97"/>
      <c r="R1534" s="97">
        <v>2015</v>
      </c>
      <c r="S1534" s="97"/>
      <c r="T1534" s="554">
        <v>2.82</v>
      </c>
      <c r="U1534" s="146"/>
      <c r="V1534"/>
      <c r="W1534" s="50"/>
      <c r="X1534" s="50"/>
      <c r="Y1534" t="s">
        <v>1017</v>
      </c>
      <c r="Z1534"/>
      <c r="AA1534" s="50"/>
      <c r="AB1534"/>
      <c r="AC1534"/>
      <c r="AD1534" s="50"/>
      <c r="AE1534" s="75" t="s">
        <v>1017</v>
      </c>
      <c r="AF1534" s="147"/>
      <c r="AG1534" s="147"/>
      <c r="AH1534" s="171"/>
      <c r="AI1534" s="168"/>
      <c r="AJ1534" s="168"/>
      <c r="AK1534" s="168"/>
      <c r="AL1534" s="168"/>
      <c r="AM1534" s="168"/>
      <c r="AN1534" s="167"/>
      <c r="AO1534" s="167"/>
      <c r="AP1534" s="167"/>
      <c r="AQ1534" s="169"/>
      <c r="AR1534" s="170"/>
      <c r="AS1534" s="169"/>
      <c r="AT1534"/>
      <c r="AU1534" s="170"/>
      <c r="AV1534" s="169"/>
      <c r="AW1534" s="170"/>
      <c r="AX1534" s="169"/>
      <c r="AY1534"/>
      <c r="AZ1534"/>
    </row>
    <row r="1535" spans="1:52" s="145" customFormat="1" x14ac:dyDescent="0.35">
      <c r="A1535" s="502" t="s">
        <v>5786</v>
      </c>
      <c r="B1535" s="301" t="s">
        <v>5547</v>
      </c>
      <c r="C1535" s="301" t="s">
        <v>1296</v>
      </c>
      <c r="D1535" s="301" t="s">
        <v>7009</v>
      </c>
      <c r="E1535" s="302" t="s">
        <v>5624</v>
      </c>
      <c r="F1535" s="377">
        <f t="shared" si="636"/>
        <v>24.490000000000002</v>
      </c>
      <c r="G1535" s="433">
        <f t="shared" si="637"/>
        <v>24.490000000000002</v>
      </c>
      <c r="H1535" s="402">
        <f t="shared" si="638"/>
        <v>19.59</v>
      </c>
      <c r="I1535" s="579"/>
      <c r="J1535" s="549" t="s">
        <v>5804</v>
      </c>
      <c r="K1535" s="11"/>
      <c r="L1535"/>
      <c r="M1535" s="37">
        <f t="shared" si="639"/>
        <v>24.490000000000002</v>
      </c>
      <c r="N1535" s="29">
        <v>11.67</v>
      </c>
      <c r="O1535" s="319"/>
      <c r="P1535" s="97" t="s">
        <v>2827</v>
      </c>
      <c r="Q1535" s="97"/>
      <c r="R1535" s="97">
        <v>2015</v>
      </c>
      <c r="S1535" s="97"/>
      <c r="T1535" s="554">
        <f>ROUND($Q$1128*0.99^($R1535-$Q$1125),2)</f>
        <v>2.82</v>
      </c>
      <c r="U1535" s="146" t="s">
        <v>1017</v>
      </c>
      <c r="W1535" s="147"/>
      <c r="X1535" s="147"/>
      <c r="Y1535" s="145" t="s">
        <v>1017</v>
      </c>
      <c r="AA1535" s="147"/>
      <c r="AD1535" s="147"/>
      <c r="AE1535" s="148" t="s">
        <v>1017</v>
      </c>
      <c r="AF1535" s="147"/>
      <c r="AG1535" s="147"/>
      <c r="AH1535" s="171" t="s">
        <v>4178</v>
      </c>
      <c r="AI1535" s="168" t="str">
        <f>IF(AND($AH1535&lt;&gt;"",AH1535 =AH1530),"Gleich","")</f>
        <v>Gleich</v>
      </c>
      <c r="AJ1535" s="168" t="str">
        <f>IF(AND($AH1535&lt;&gt;"",A1535 =A1530),"Gleich","")</f>
        <v/>
      </c>
      <c r="AK1535" s="168" t="str">
        <f>IF(AND($AH1535&lt;&gt;"",D1535 =D1530),"Gleich","")</f>
        <v/>
      </c>
      <c r="AL1535" s="168" t="str">
        <f>IF(AND($AH1535&lt;&gt;"",E1535 =E1530),"Gleich","")</f>
        <v/>
      </c>
      <c r="AM1535" s="168" t="str">
        <f>IF(AND($AH1535&lt;&gt;"",F1535 =F1530),"Gleich","")</f>
        <v/>
      </c>
      <c r="AN1535" s="167" t="str">
        <f>IF(ISERROR(SEARCH("K1",A1535)),"","20"&amp;MID(A1535,SEARCH("K1",A1535)+1,2))</f>
        <v>2015</v>
      </c>
      <c r="AO1535" s="167" t="str">
        <f>IF(ISERROR(SEARCH("erstmals 201",E1535)),"",MID(E1535,SEARCH("erstmals ",E1535)+9,4))</f>
        <v>2015</v>
      </c>
      <c r="AP1535" s="167" t="str">
        <f>IF(R1535="x","2010",IF(S1535="x","2011",IF(T1535="x","2012","")))</f>
        <v/>
      </c>
      <c r="AQ1535" s="169" t="str">
        <f>IF(OR(AH1535&lt;&gt;AN1535,AH1535&lt;&gt;AO1535,AH1535&lt;&gt;AP1535),"DIFF","")</f>
        <v>DIFF</v>
      </c>
      <c r="AR1535" s="170" t="str">
        <f>IF(A1535="","",IF(ISERROR(SEARCH("K1",A1535)),A1535,LEFT(A1535,SEARCH("K1",A1535)+1)&amp;RIGHT(AH1535,1)&amp;MID(A1535,SEARCH("K1",A1535)+3,14)))</f>
        <v>BiK81GbK12y-06</v>
      </c>
      <c r="AS1535" s="169" t="str">
        <f>IF(OR(A1535&lt;&gt;AR1535),"DIFF","")</f>
        <v>DIFF</v>
      </c>
      <c r="AT1535">
        <f>LEN(AR1535)</f>
        <v>14</v>
      </c>
      <c r="AU1535" s="170" t="str">
        <f>IF(D1535="","",IF(OR(A1535="",ISERROR(SEARCH("erstmals 201",D1535))),D1535,LEFT(D1535,SEARCH("erstmals 201",D1535)+8) &amp; AH1535 &amp; MID(D1535,SEARCH("erstmals 201",D1535)+13,255)))</f>
        <v>0-0,15 MW, Bonusregeln G, y, b und K erstmals 2012</v>
      </c>
      <c r="AV1535" s="169" t="str">
        <f>IF(OR(D1535&lt;&gt;AU1535),"DIFF","")</f>
        <v>DIFF</v>
      </c>
      <c r="AW1535" s="170" t="str">
        <f>IF(E1535="","",IF(OR(E1535="",ISERROR(SEARCH("erstmals 201",E1535))),E1535,LEFT(E1535,SEARCH("erstmals 201",E1535)+8) &amp; AH1535 &amp; MID(E1535,SEARCH("erstmals 201",E1535)+13,255)))</f>
        <v>Anteil KWK, erstmals 2012</v>
      </c>
      <c r="AX1535" s="169" t="str">
        <f>IF(OR(E1535&lt;&gt;AW1535),"DIFF","")</f>
        <v>DIFF</v>
      </c>
      <c r="AY1535" t="str">
        <f>IF(AH1535="2011","x",IF(AH1535="2012","","" &amp; S1535))</f>
        <v/>
      </c>
      <c r="AZ1535" t="str">
        <f>IF(AH1535="2012","x",IF(AH1535="2011","","" &amp; T1535))</f>
        <v>x</v>
      </c>
    </row>
    <row r="1536" spans="1:52" s="145" customFormat="1" x14ac:dyDescent="0.35">
      <c r="A1536" s="502" t="s">
        <v>6612</v>
      </c>
      <c r="B1536" s="301" t="s">
        <v>5547</v>
      </c>
      <c r="C1536" s="301" t="s">
        <v>1296</v>
      </c>
      <c r="D1536" s="301" t="s">
        <v>7227</v>
      </c>
      <c r="E1536" s="301" t="s">
        <v>5624</v>
      </c>
      <c r="F1536" s="377">
        <f t="shared" si="636"/>
        <v>21.42</v>
      </c>
      <c r="G1536" s="429">
        <f t="shared" si="637"/>
        <v>21.42</v>
      </c>
      <c r="H1536" s="303">
        <f t="shared" si="638"/>
        <v>17.14</v>
      </c>
      <c r="I1536" s="579"/>
      <c r="J1536" s="549">
        <v>43951</v>
      </c>
      <c r="K1536" s="11"/>
      <c r="L1536"/>
      <c r="M1536" s="37">
        <f t="shared" si="639"/>
        <v>21.42</v>
      </c>
      <c r="N1536" s="29">
        <v>9.6</v>
      </c>
      <c r="O1536" s="319"/>
      <c r="P1536" s="97" t="s">
        <v>2827</v>
      </c>
      <c r="Q1536" s="97"/>
      <c r="R1536" s="97">
        <v>2015</v>
      </c>
      <c r="S1536" s="97"/>
      <c r="T1536" s="554">
        <v>2.82</v>
      </c>
      <c r="U1536" s="146"/>
      <c r="V1536"/>
      <c r="W1536" s="50"/>
      <c r="X1536" s="50"/>
      <c r="Y1536" t="s">
        <v>1017</v>
      </c>
      <c r="Z1536" s="50"/>
      <c r="AA1536"/>
      <c r="AB1536"/>
      <c r="AC1536" s="50"/>
      <c r="AD1536"/>
      <c r="AE1536" s="75" t="s">
        <v>1017</v>
      </c>
      <c r="AF1536" s="147"/>
      <c r="AG1536" s="147"/>
      <c r="AH1536" s="171"/>
      <c r="AI1536" s="168"/>
      <c r="AJ1536" s="168"/>
      <c r="AK1536" s="168"/>
      <c r="AL1536" s="168"/>
      <c r="AM1536" s="168"/>
      <c r="AN1536" s="167"/>
      <c r="AO1536" s="167"/>
      <c r="AP1536" s="167"/>
      <c r="AQ1536" s="169"/>
      <c r="AR1536" s="170"/>
      <c r="AS1536" s="169"/>
      <c r="AT1536"/>
      <c r="AU1536" s="170"/>
      <c r="AV1536" s="169"/>
      <c r="AW1536" s="170"/>
      <c r="AX1536" s="169"/>
      <c r="AY1536"/>
      <c r="AZ1536"/>
    </row>
    <row r="1537" spans="1:52" s="145" customFormat="1" x14ac:dyDescent="0.35">
      <c r="A1537" s="502" t="s">
        <v>5787</v>
      </c>
      <c r="B1537" s="301" t="s">
        <v>5547</v>
      </c>
      <c r="C1537" s="301" t="s">
        <v>1296</v>
      </c>
      <c r="D1537" s="301" t="s">
        <v>7228</v>
      </c>
      <c r="E1537" s="302" t="s">
        <v>5624</v>
      </c>
      <c r="F1537" s="377">
        <f t="shared" si="636"/>
        <v>22.42</v>
      </c>
      <c r="G1537" s="433">
        <f t="shared" si="637"/>
        <v>22.42</v>
      </c>
      <c r="H1537" s="402">
        <f t="shared" si="638"/>
        <v>17.940000000000001</v>
      </c>
      <c r="I1537" s="579"/>
      <c r="J1537" s="549" t="s">
        <v>5804</v>
      </c>
      <c r="K1537" s="11"/>
      <c r="L1537"/>
      <c r="M1537" s="37">
        <f t="shared" si="639"/>
        <v>22.42</v>
      </c>
      <c r="N1537" s="29">
        <v>9.6</v>
      </c>
      <c r="O1537" s="319"/>
      <c r="P1537" s="97" t="s">
        <v>2827</v>
      </c>
      <c r="Q1537" s="97"/>
      <c r="R1537" s="97">
        <v>2015</v>
      </c>
      <c r="S1537" s="97"/>
      <c r="T1537" s="554">
        <f t="shared" ref="T1537:T1542" si="643">ROUND($Q$1128*0.99^($R1537-$Q$1125),2)</f>
        <v>2.82</v>
      </c>
      <c r="U1537" s="146" t="s">
        <v>1017</v>
      </c>
      <c r="W1537" s="147"/>
      <c r="X1537" s="147"/>
      <c r="Y1537" s="145" t="s">
        <v>1017</v>
      </c>
      <c r="Z1537" s="147"/>
      <c r="AC1537" s="147"/>
      <c r="AE1537" s="148" t="s">
        <v>1017</v>
      </c>
      <c r="AF1537" s="147"/>
      <c r="AG1537" s="147"/>
      <c r="AH1537" s="171" t="s">
        <v>4178</v>
      </c>
      <c r="AI1537" s="168" t="str">
        <f>IF(AND($AH1537&lt;&gt;"",AH1537 =AH1535),"Gleich","")</f>
        <v>Gleich</v>
      </c>
      <c r="AJ1537" s="168" t="str">
        <f>IF(AND($AH1537&lt;&gt;"",A1537 =A1535),"Gleich","")</f>
        <v/>
      </c>
      <c r="AK1537" s="168" t="str">
        <f>IF(AND($AH1537&lt;&gt;"",D1537 =D1535),"Gleich","")</f>
        <v/>
      </c>
      <c r="AL1537" s="168" t="str">
        <f>IF(AND($AH1537&lt;&gt;"",E1537 =E1535),"Gleich","")</f>
        <v>Gleich</v>
      </c>
      <c r="AM1537" s="168" t="str">
        <f>IF(AND($AH1537&lt;&gt;"",F1537 =F1535),"Gleich","")</f>
        <v/>
      </c>
      <c r="AN1537" s="167" t="str">
        <f>IF(ISERROR(SEARCH("K1",A1537)),"","20"&amp;MID(A1537,SEARCH("K1",A1537)+1,2))</f>
        <v>2015</v>
      </c>
      <c r="AO1537" s="167" t="str">
        <f>IF(ISERROR(SEARCH("erstmals 201",E1537)),"",MID(E1537,SEARCH("erstmals ",E1537)+9,4))</f>
        <v>2015</v>
      </c>
      <c r="AP1537" s="167" t="str">
        <f>IF(R1537="x","2010",IF(S1537="x","2011",IF(T1537="x","2012","")))</f>
        <v/>
      </c>
      <c r="AQ1537" s="169" t="str">
        <f>IF(OR(AH1537&lt;&gt;AN1537,AH1537&lt;&gt;AO1537,AH1537&lt;&gt;AP1537),"DIFF","")</f>
        <v>DIFF</v>
      </c>
      <c r="AR1537" s="170" t="str">
        <f>IF(A1537="","",IF(ISERROR(SEARCH("K1",A1537)),A1537,LEFT(A1537,SEARCH("K1",A1537)+1)&amp;RIGHT(AH1537,1)&amp;MID(A1537,SEARCH("K1",A1537)+3,14)))</f>
        <v>BiK82GbK12y-06</v>
      </c>
      <c r="AS1537" s="169" t="str">
        <f>IF(OR(A1537&lt;&gt;AR1537),"DIFF","")</f>
        <v>DIFF</v>
      </c>
      <c r="AT1537">
        <f>LEN(AR1537)</f>
        <v>14</v>
      </c>
      <c r="AU1537" s="170" t="str">
        <f>IF(D1537="","",IF(OR(A1537="",ISERROR(SEARCH("erstmals 201",D1537))),D1537,LEFT(D1537,SEARCH("erstmals 201",D1537)+8) &amp; AH1537 &amp; MID(D1537,SEARCH("erstmals 201",D1537)+13,255)))</f>
        <v>0,15-0,5 MW, Bonusregeln G, y, b und K erstmals 2012</v>
      </c>
      <c r="AV1537" s="169" t="str">
        <f>IF(OR(D1537&lt;&gt;AU1537),"DIFF","")</f>
        <v>DIFF</v>
      </c>
      <c r="AW1537" s="170" t="str">
        <f>IF(E1537="","",IF(OR(E1537="",ISERROR(SEARCH("erstmals 201",E1537))),E1537,LEFT(E1537,SEARCH("erstmals 201",E1537)+8) &amp; AH1537 &amp; MID(E1537,SEARCH("erstmals 201",E1537)+13,255)))</f>
        <v>Anteil KWK, erstmals 2012</v>
      </c>
      <c r="AX1537" s="169" t="str">
        <f>IF(OR(E1537&lt;&gt;AW1537),"DIFF","")</f>
        <v>DIFF</v>
      </c>
      <c r="AY1537" t="str">
        <f>IF(AH1537="2011","x",IF(AH1537="2012","","" &amp; S1537))</f>
        <v/>
      </c>
      <c r="AZ1537" t="str">
        <f>IF(AH1537="2012","x",IF(AH1537="2011","","" &amp; T1537))</f>
        <v>x</v>
      </c>
    </row>
    <row r="1538" spans="1:52" s="145" customFormat="1" x14ac:dyDescent="0.35">
      <c r="A1538" s="502" t="s">
        <v>5788</v>
      </c>
      <c r="B1538" s="301" t="s">
        <v>5547</v>
      </c>
      <c r="C1538" s="301" t="s">
        <v>1296</v>
      </c>
      <c r="D1538" s="301" t="s">
        <v>6802</v>
      </c>
      <c r="E1538" s="302" t="s">
        <v>5624</v>
      </c>
      <c r="F1538" s="377">
        <f t="shared" si="636"/>
        <v>17.46</v>
      </c>
      <c r="G1538" s="433">
        <f t="shared" si="637"/>
        <v>17.46</v>
      </c>
      <c r="H1538" s="402">
        <f t="shared" si="638"/>
        <v>13.97</v>
      </c>
      <c r="I1538" s="579"/>
      <c r="J1538" s="549" t="s">
        <v>5804</v>
      </c>
      <c r="K1538" s="11"/>
      <c r="L1538"/>
      <c r="M1538" s="37">
        <f t="shared" si="639"/>
        <v>17.46</v>
      </c>
      <c r="N1538" s="29">
        <v>8.64</v>
      </c>
      <c r="O1538" s="319"/>
      <c r="P1538" s="97" t="s">
        <v>2827</v>
      </c>
      <c r="Q1538" s="97"/>
      <c r="R1538" s="97">
        <v>2015</v>
      </c>
      <c r="S1538" s="97"/>
      <c r="T1538" s="554">
        <f t="shared" si="643"/>
        <v>2.82</v>
      </c>
      <c r="U1538" s="60"/>
      <c r="V1538" s="50"/>
      <c r="W1538" t="s">
        <v>1017</v>
      </c>
      <c r="X1538"/>
      <c r="Y1538" s="50"/>
      <c r="Z1538" s="50"/>
      <c r="AA1538" s="50"/>
      <c r="AB1538" s="50"/>
      <c r="AC1538" s="50"/>
      <c r="AD1538" s="50"/>
      <c r="AE1538" s="75" t="s">
        <v>1017</v>
      </c>
      <c r="AF1538" s="50"/>
      <c r="AG1538" s="50"/>
      <c r="AH1538" s="171" t="s">
        <v>4178</v>
      </c>
      <c r="AI1538" s="168" t="str">
        <f>IF(AND($AH1538&lt;&gt;"",AH1538 =AH1532),"Gleich","")</f>
        <v>Gleich</v>
      </c>
      <c r="AJ1538" s="168" t="str">
        <f>IF(AND($AH1538&lt;&gt;"",A1538 =A1532),"Gleich","")</f>
        <v/>
      </c>
      <c r="AK1538" s="168" t="str">
        <f>IF(AND($AH1538&lt;&gt;"",D1538 =D1532),"Gleich","")</f>
        <v/>
      </c>
      <c r="AL1538" s="168" t="str">
        <f>IF(AND($AH1538&lt;&gt;"",E1538 =E1532),"Gleich","")</f>
        <v/>
      </c>
      <c r="AM1538" s="168" t="str">
        <f>IF(AND($AH1538&lt;&gt;"",F1538 =F1532),"Gleich","")</f>
        <v/>
      </c>
      <c r="AN1538" s="167" t="str">
        <f>IF(ISERROR(SEARCH("K1",A1538)),"","20"&amp;MID(A1538,SEARCH("K1",A1538)+1,2))</f>
        <v>2015</v>
      </c>
      <c r="AO1538" s="167" t="str">
        <f>IF(ISERROR(SEARCH("erstmals 201",E1538)),"",MID(E1538,SEARCH("erstmals ",E1538)+9,4))</f>
        <v>2015</v>
      </c>
      <c r="AP1538" s="167" t="str">
        <f>IF(R1538="x","2010",IF(S1538="x","2011",IF(T1538="x","2012","")))</f>
        <v/>
      </c>
      <c r="AQ1538" s="169" t="str">
        <f>IF(OR(AH1538&lt;&gt;AN1538,AH1538&lt;&gt;AO1538,AH1538&lt;&gt;AP1538),"DIFF","")</f>
        <v>DIFF</v>
      </c>
      <c r="AR1538" s="170" t="str">
        <f>IF(A1538="","",IF(ISERROR(SEARCH("K1",A1538)),A1538,LEFT(A1538,SEARCH("K1",A1538)+1)&amp;RIGHT(AH1538,1)&amp;MID(A1538,SEARCH("K1",A1538)+3,14)))</f>
        <v>BiK83a2bK12-06</v>
      </c>
      <c r="AS1538" s="169" t="str">
        <f>IF(OR(A1538&lt;&gt;AR1538),"DIFF","")</f>
        <v>DIFF</v>
      </c>
      <c r="AT1538">
        <f>LEN(AR1538)</f>
        <v>14</v>
      </c>
      <c r="AU1538" s="170" t="str">
        <f>IF(D1538="","",IF(OR(A1538="",ISERROR(SEARCH("erstmals 201",D1538))),D1538,LEFT(D1538,SEARCH("erstmals 201",D1538)+8) &amp; AH1538 &amp; MID(D1538,SEARCH("erstmals 201",D1538)+13,255)))</f>
        <v>0,5-5 MW, Bonusregeln a2, b und K erstmals 2012</v>
      </c>
      <c r="AV1538" s="169" t="str">
        <f>IF(OR(D1538&lt;&gt;AU1538),"DIFF","")</f>
        <v>DIFF</v>
      </c>
      <c r="AW1538" s="170" t="str">
        <f>IF(E1538="","",IF(OR(E1538="",ISERROR(SEARCH("erstmals 201",E1538))),E1538,LEFT(E1538,SEARCH("erstmals 201",E1538)+8) &amp; AH1538 &amp; MID(E1538,SEARCH("erstmals 201",E1538)+13,255)))</f>
        <v>Anteil KWK, erstmals 2012</v>
      </c>
      <c r="AX1538" s="169" t="str">
        <f>IF(OR(E1538&lt;&gt;AW1538),"DIFF","")</f>
        <v>DIFF</v>
      </c>
      <c r="AY1538" t="str">
        <f>IF(AH1538="2011","x",IF(AH1538="2012","","" &amp; S1538))</f>
        <v/>
      </c>
      <c r="AZ1538" t="str">
        <f>IF(AH1538="2012","x",IF(AH1538="2011","","" &amp; T1538))</f>
        <v>x</v>
      </c>
    </row>
    <row r="1539" spans="1:52" s="145" customFormat="1" x14ac:dyDescent="0.35">
      <c r="A1539" s="502" t="s">
        <v>5807</v>
      </c>
      <c r="B1539" s="301" t="s">
        <v>5547</v>
      </c>
      <c r="C1539" s="301" t="s">
        <v>1296</v>
      </c>
      <c r="D1539" s="301" t="s">
        <v>7010</v>
      </c>
      <c r="E1539" s="302" t="s">
        <v>5806</v>
      </c>
      <c r="F1539" s="377">
        <f t="shared" si="636"/>
        <v>25.470000000000002</v>
      </c>
      <c r="G1539" s="433">
        <f t="shared" si="637"/>
        <v>25.470000000000002</v>
      </c>
      <c r="H1539" s="402">
        <f t="shared" si="638"/>
        <v>20.38</v>
      </c>
      <c r="I1539" s="579"/>
      <c r="J1539" s="549">
        <v>42644</v>
      </c>
      <c r="K1539" s="11"/>
      <c r="L1539"/>
      <c r="M1539" s="37">
        <f t="shared" si="639"/>
        <v>25.470000000000002</v>
      </c>
      <c r="N1539" s="29">
        <v>11.67</v>
      </c>
      <c r="O1539" s="319"/>
      <c r="P1539" s="97" t="s">
        <v>2827</v>
      </c>
      <c r="Q1539" s="97"/>
      <c r="R1539" s="97">
        <v>2016</v>
      </c>
      <c r="S1539" s="97"/>
      <c r="T1539" s="554">
        <f t="shared" si="643"/>
        <v>2.8</v>
      </c>
      <c r="U1539" s="146"/>
      <c r="W1539" s="147"/>
      <c r="X1539" s="147"/>
      <c r="Z1539" s="145" t="s">
        <v>1017</v>
      </c>
      <c r="AA1539" s="147"/>
      <c r="AD1539" s="147"/>
      <c r="AE1539" s="148"/>
      <c r="AF1539" s="147"/>
      <c r="AG1539" s="147"/>
      <c r="AH1539" s="171"/>
      <c r="AI1539" s="168"/>
      <c r="AJ1539" s="168"/>
      <c r="AK1539" s="168"/>
      <c r="AL1539" s="168"/>
      <c r="AM1539" s="168"/>
      <c r="AN1539" s="167"/>
      <c r="AO1539" s="167"/>
      <c r="AP1539" s="167"/>
      <c r="AQ1539" s="169"/>
      <c r="AR1539" s="170"/>
      <c r="AS1539" s="169"/>
      <c r="AT1539"/>
      <c r="AU1539" s="170"/>
      <c r="AV1539" s="169"/>
      <c r="AW1539" s="170"/>
      <c r="AX1539" s="169"/>
      <c r="AY1539"/>
      <c r="AZ1539"/>
    </row>
    <row r="1540" spans="1:52" s="145" customFormat="1" x14ac:dyDescent="0.35">
      <c r="A1540" s="502" t="s">
        <v>5808</v>
      </c>
      <c r="B1540" s="301" t="s">
        <v>5547</v>
      </c>
      <c r="C1540" s="301" t="s">
        <v>1296</v>
      </c>
      <c r="D1540" s="301" t="s">
        <v>7229</v>
      </c>
      <c r="E1540" s="302" t="s">
        <v>5806</v>
      </c>
      <c r="F1540" s="377">
        <f t="shared" si="636"/>
        <v>20.400000000000002</v>
      </c>
      <c r="G1540" s="433">
        <f t="shared" si="637"/>
        <v>20.400000000000002</v>
      </c>
      <c r="H1540" s="402">
        <f t="shared" si="638"/>
        <v>16.32</v>
      </c>
      <c r="I1540" s="579"/>
      <c r="J1540" s="549">
        <v>42644</v>
      </c>
      <c r="K1540" s="11"/>
      <c r="L1540"/>
      <c r="M1540" s="37">
        <f t="shared" si="639"/>
        <v>20.400000000000002</v>
      </c>
      <c r="N1540" s="29">
        <v>9.6</v>
      </c>
      <c r="O1540" s="319"/>
      <c r="P1540" s="97" t="s">
        <v>2827</v>
      </c>
      <c r="Q1540" s="97"/>
      <c r="R1540" s="97">
        <v>2016</v>
      </c>
      <c r="S1540" s="97"/>
      <c r="T1540" s="554">
        <f t="shared" si="643"/>
        <v>2.8</v>
      </c>
      <c r="U1540" s="146"/>
      <c r="W1540" s="147"/>
      <c r="X1540" s="147"/>
      <c r="Z1540" s="147"/>
      <c r="AA1540" s="145" t="s">
        <v>1017</v>
      </c>
      <c r="AC1540" s="147"/>
      <c r="AE1540" s="148"/>
      <c r="AF1540" s="147"/>
      <c r="AG1540" s="147"/>
      <c r="AH1540" s="171"/>
      <c r="AI1540" s="168"/>
      <c r="AJ1540" s="168"/>
      <c r="AK1540" s="168"/>
      <c r="AL1540" s="168"/>
      <c r="AM1540" s="168"/>
      <c r="AN1540" s="167"/>
      <c r="AO1540" s="167"/>
      <c r="AP1540" s="167"/>
      <c r="AQ1540" s="169"/>
      <c r="AR1540" s="170"/>
      <c r="AS1540" s="169"/>
      <c r="AT1540"/>
      <c r="AU1540" s="170"/>
      <c r="AV1540" s="169"/>
      <c r="AW1540" s="170"/>
      <c r="AX1540" s="169"/>
      <c r="AY1540"/>
      <c r="AZ1540"/>
    </row>
    <row r="1541" spans="1:52" s="145" customFormat="1" x14ac:dyDescent="0.35">
      <c r="A1541" s="502" t="s">
        <v>6354</v>
      </c>
      <c r="B1541" s="301" t="s">
        <v>5547</v>
      </c>
      <c r="C1541" s="301" t="s">
        <v>1296</v>
      </c>
      <c r="D1541" s="301" t="s">
        <v>7011</v>
      </c>
      <c r="E1541" s="302" t="s">
        <v>6155</v>
      </c>
      <c r="F1541" s="377">
        <f t="shared" si="636"/>
        <v>24.44</v>
      </c>
      <c r="G1541" s="433">
        <f t="shared" si="637"/>
        <v>24.44</v>
      </c>
      <c r="H1541" s="402">
        <f t="shared" si="638"/>
        <v>19.55</v>
      </c>
      <c r="I1541" s="579"/>
      <c r="J1541" s="549">
        <v>43318</v>
      </c>
      <c r="K1541" s="11"/>
      <c r="L1541"/>
      <c r="M1541" s="37">
        <f t="shared" si="639"/>
        <v>24.44</v>
      </c>
      <c r="N1541" s="29">
        <v>11.67</v>
      </c>
      <c r="O1541" s="319"/>
      <c r="P1541" s="97" t="s">
        <v>2827</v>
      </c>
      <c r="Q1541" s="97"/>
      <c r="R1541" s="97">
        <v>2017</v>
      </c>
      <c r="S1541" s="97"/>
      <c r="T1541" s="554">
        <f t="shared" si="643"/>
        <v>2.77</v>
      </c>
      <c r="U1541" s="146" t="s">
        <v>1017</v>
      </c>
      <c r="W1541" s="147"/>
      <c r="X1541" s="147"/>
      <c r="Y1541" s="145" t="s">
        <v>1017</v>
      </c>
      <c r="AA1541" s="147"/>
      <c r="AD1541" s="147"/>
      <c r="AE1541" s="148" t="s">
        <v>1017</v>
      </c>
      <c r="AF1541" s="147"/>
      <c r="AG1541" s="147"/>
      <c r="AH1541" s="171" t="s">
        <v>4178</v>
      </c>
      <c r="AI1541" s="168" t="str">
        <f>IF(AND($AH1541&lt;&gt;"",AH1541 =AH1539),"Gleich","")</f>
        <v/>
      </c>
      <c r="AJ1541" s="168" t="str">
        <f>IF(AND($AH1541&lt;&gt;"",A1541 =A1539),"Gleich","")</f>
        <v/>
      </c>
      <c r="AK1541" s="168" t="str">
        <f t="shared" ref="AK1541:AM1542" si="644">IF(AND($AH1541&lt;&gt;"",D1541 =D1539),"Gleich","")</f>
        <v/>
      </c>
      <c r="AL1541" s="168" t="str">
        <f t="shared" si="644"/>
        <v/>
      </c>
      <c r="AM1541" s="168" t="str">
        <f t="shared" si="644"/>
        <v/>
      </c>
      <c r="AN1541" s="167" t="str">
        <f>IF(ISERROR(SEARCH("K1",A1541)),"","20"&amp;MID(A1541,SEARCH("K1",A1541)+1,2))</f>
        <v>2017</v>
      </c>
      <c r="AO1541" s="167" t="str">
        <f>IF(ISERROR(SEARCH("erstmals 201",E1541)),"",MID(E1541,SEARCH("erstmals ",E1541)+9,4))</f>
        <v>2017</v>
      </c>
      <c r="AP1541" s="167" t="str">
        <f>IF(R1541="x","2010",IF(S1541="x","2011",IF(T1541="x","2012","")))</f>
        <v/>
      </c>
      <c r="AQ1541" s="169" t="str">
        <f>IF(OR(AH1541&lt;&gt;AN1541,AH1541&lt;&gt;AO1541,AH1541&lt;&gt;AP1541),"DIFF","")</f>
        <v>DIFF</v>
      </c>
      <c r="AR1541" s="170" t="str">
        <f>IF(A1541="","",IF(ISERROR(SEARCH("K1",A1541)),A1541,LEFT(A1541,SEARCH("K1",A1541)+1)&amp;RIGHT(AH1541,1)&amp;MID(A1541,SEARCH("K1",A1541)+3,14)))</f>
        <v>BiK81GbK12y-06</v>
      </c>
      <c r="AS1541" s="169" t="str">
        <f>IF(OR(A1541&lt;&gt;AR1541),"DIFF","")</f>
        <v>DIFF</v>
      </c>
      <c r="AT1541">
        <f>LEN(AR1541)</f>
        <v>14</v>
      </c>
      <c r="AU1541" s="170" t="str">
        <f>IF(D1541="","",IF(OR(A1541="",ISERROR(SEARCH("erstmals 201",D1541))),D1541,LEFT(D1541,SEARCH("erstmals 201",D1541)+8) &amp; AH1541 &amp; MID(D1541,SEARCH("erstmals 201",D1541)+13,255)))</f>
        <v>0-0,15 MW, Bonusregeln G, y, b und K erstmals 2012</v>
      </c>
      <c r="AV1541" s="169" t="str">
        <f>IF(OR(D1541&lt;&gt;AU1541),"DIFF","")</f>
        <v>DIFF</v>
      </c>
      <c r="AW1541" s="170" t="str">
        <f>IF(E1541="","",IF(OR(E1541="",ISERROR(SEARCH("erstmals 201",E1541))),E1541,LEFT(E1541,SEARCH("erstmals 201",E1541)+8) &amp; AH1541 &amp; MID(E1541,SEARCH("erstmals 201",E1541)+13,255)))</f>
        <v>Anteil KWK, erstmals 2012</v>
      </c>
      <c r="AX1541" s="169" t="str">
        <f>IF(OR(E1541&lt;&gt;AW1541),"DIFF","")</f>
        <v>DIFF</v>
      </c>
      <c r="AY1541" t="str">
        <f>IF(AH1541="2011","x",IF(AH1541="2012","","" &amp; S1541))</f>
        <v/>
      </c>
      <c r="AZ1541" t="str">
        <f>IF(AH1541="2012","x",IF(AH1541="2011","","" &amp; T1541))</f>
        <v>x</v>
      </c>
    </row>
    <row r="1542" spans="1:52" s="145" customFormat="1" x14ac:dyDescent="0.35">
      <c r="A1542" s="502" t="s">
        <v>6355</v>
      </c>
      <c r="B1542" s="301" t="s">
        <v>5547</v>
      </c>
      <c r="C1542" s="301" t="s">
        <v>1296</v>
      </c>
      <c r="D1542" s="301" t="s">
        <v>7230</v>
      </c>
      <c r="E1542" s="302" t="s">
        <v>6155</v>
      </c>
      <c r="F1542" s="377">
        <f t="shared" si="636"/>
        <v>22.37</v>
      </c>
      <c r="G1542" s="433">
        <f t="shared" si="637"/>
        <v>22.37</v>
      </c>
      <c r="H1542" s="402">
        <f t="shared" si="638"/>
        <v>17.899999999999999</v>
      </c>
      <c r="I1542" s="579"/>
      <c r="J1542" s="549">
        <v>43318</v>
      </c>
      <c r="K1542" s="11"/>
      <c r="L1542"/>
      <c r="M1542" s="37">
        <f t="shared" si="639"/>
        <v>22.37</v>
      </c>
      <c r="N1542" s="29">
        <v>9.6</v>
      </c>
      <c r="O1542" s="319"/>
      <c r="P1542" s="97" t="s">
        <v>2827</v>
      </c>
      <c r="Q1542" s="97"/>
      <c r="R1542" s="97">
        <v>2017</v>
      </c>
      <c r="S1542" s="97"/>
      <c r="T1542" s="554">
        <f t="shared" si="643"/>
        <v>2.77</v>
      </c>
      <c r="U1542" s="146" t="s">
        <v>1017</v>
      </c>
      <c r="W1542" s="147"/>
      <c r="X1542" s="147"/>
      <c r="Y1542" s="145" t="s">
        <v>1017</v>
      </c>
      <c r="Z1542" s="147"/>
      <c r="AC1542" s="147"/>
      <c r="AE1542" s="148" t="s">
        <v>1017</v>
      </c>
      <c r="AF1542" s="147"/>
      <c r="AG1542" s="147"/>
      <c r="AH1542" s="171" t="s">
        <v>4178</v>
      </c>
      <c r="AI1542" s="168" t="str">
        <f>IF(AND($AH1542&lt;&gt;"",AH1542 =AH1540),"Gleich","")</f>
        <v/>
      </c>
      <c r="AJ1542" s="168" t="str">
        <f>IF(AND($AH1542&lt;&gt;"",A1542 =A1540),"Gleich","")</f>
        <v/>
      </c>
      <c r="AK1542" s="168" t="str">
        <f t="shared" si="644"/>
        <v/>
      </c>
      <c r="AL1542" s="168" t="str">
        <f t="shared" si="644"/>
        <v/>
      </c>
      <c r="AM1542" s="168" t="str">
        <f t="shared" si="644"/>
        <v/>
      </c>
      <c r="AN1542" s="167" t="str">
        <f>IF(ISERROR(SEARCH("K1",A1542)),"","20"&amp;MID(A1542,SEARCH("K1",A1542)+1,2))</f>
        <v>2017</v>
      </c>
      <c r="AO1542" s="167" t="str">
        <f>IF(ISERROR(SEARCH("erstmals 201",E1542)),"",MID(E1542,SEARCH("erstmals ",E1542)+9,4))</f>
        <v>2017</v>
      </c>
      <c r="AP1542" s="167" t="str">
        <f>IF(R1542="x","2010",IF(S1542="x","2011",IF(T1542="x","2012","")))</f>
        <v/>
      </c>
      <c r="AQ1542" s="169" t="str">
        <f>IF(OR(AH1542&lt;&gt;AN1542,AH1542&lt;&gt;AO1542,AH1542&lt;&gt;AP1542),"DIFF","")</f>
        <v>DIFF</v>
      </c>
      <c r="AR1542" s="170" t="str">
        <f>IF(A1542="","",IF(ISERROR(SEARCH("K1",A1542)),A1542,LEFT(A1542,SEARCH("K1",A1542)+1)&amp;RIGHT(AH1542,1)&amp;MID(A1542,SEARCH("K1",A1542)+3,14)))</f>
        <v>BiK82GbK12y-06</v>
      </c>
      <c r="AS1542" s="169" t="str">
        <f>IF(OR(A1542&lt;&gt;AR1542),"DIFF","")</f>
        <v>DIFF</v>
      </c>
      <c r="AT1542">
        <f>LEN(AR1542)</f>
        <v>14</v>
      </c>
      <c r="AU1542" s="170" t="str">
        <f>IF(D1542="","",IF(OR(A1542="",ISERROR(SEARCH("erstmals 201",D1542))),D1542,LEFT(D1542,SEARCH("erstmals 201",D1542)+8) &amp; AH1542 &amp; MID(D1542,SEARCH("erstmals 201",D1542)+13,255)))</f>
        <v>0,15-0,5 MW, Bonusregeln G, y, b und K erstmals 2012</v>
      </c>
      <c r="AV1542" s="169" t="str">
        <f>IF(OR(D1542&lt;&gt;AU1542),"DIFF","")</f>
        <v>DIFF</v>
      </c>
      <c r="AW1542" s="170" t="str">
        <f>IF(E1542="","",IF(OR(E1542="",ISERROR(SEARCH("erstmals 201",E1542))),E1542,LEFT(E1542,SEARCH("erstmals 201",E1542)+8) &amp; AH1542 &amp; MID(E1542,SEARCH("erstmals 201",E1542)+13,255)))</f>
        <v>Anteil KWK, erstmals 2012</v>
      </c>
      <c r="AX1542" s="169" t="str">
        <f>IF(OR(E1542&lt;&gt;AW1542),"DIFF","")</f>
        <v>DIFF</v>
      </c>
      <c r="AY1542" t="str">
        <f>IF(AH1542="2011","x",IF(AH1542="2012","","" &amp; S1542))</f>
        <v/>
      </c>
      <c r="AZ1542" t="str">
        <f>IF(AH1542="2012","x",IF(AH1542="2011","","" &amp; T1542))</f>
        <v>x</v>
      </c>
    </row>
    <row r="1543" spans="1:52" s="145" customFormat="1" x14ac:dyDescent="0.35">
      <c r="A1543" s="502" t="s">
        <v>6613</v>
      </c>
      <c r="B1543" s="301" t="s">
        <v>5547</v>
      </c>
      <c r="C1543" s="301" t="s">
        <v>1296</v>
      </c>
      <c r="D1543" s="301" t="s">
        <v>7012</v>
      </c>
      <c r="E1543" s="301" t="s">
        <v>6464</v>
      </c>
      <c r="F1543" s="377">
        <f t="shared" si="636"/>
        <v>24.410000000000004</v>
      </c>
      <c r="G1543" s="429">
        <f t="shared" si="637"/>
        <v>24.410000000000004</v>
      </c>
      <c r="H1543" s="303">
        <f t="shared" si="638"/>
        <v>19.53</v>
      </c>
      <c r="I1543" s="579"/>
      <c r="J1543" s="549">
        <v>43951</v>
      </c>
      <c r="K1543" s="11"/>
      <c r="L1543"/>
      <c r="M1543" s="37">
        <f t="shared" si="639"/>
        <v>24.410000000000004</v>
      </c>
      <c r="N1543" s="29">
        <v>11.67</v>
      </c>
      <c r="O1543" s="319"/>
      <c r="P1543" s="97" t="s">
        <v>2827</v>
      </c>
      <c r="Q1543" s="97"/>
      <c r="R1543" s="97">
        <v>2018</v>
      </c>
      <c r="S1543" s="97"/>
      <c r="T1543" s="554">
        <v>2.74</v>
      </c>
      <c r="U1543" s="146" t="s">
        <v>1017</v>
      </c>
      <c r="W1543" s="147"/>
      <c r="X1543" s="147"/>
      <c r="Y1543" s="145" t="s">
        <v>1017</v>
      </c>
      <c r="AA1543" s="147"/>
      <c r="AD1543" s="147"/>
      <c r="AE1543" s="148" t="s">
        <v>1017</v>
      </c>
      <c r="AF1543" s="147"/>
      <c r="AG1543" s="147"/>
      <c r="AH1543" s="171"/>
      <c r="AI1543" s="168"/>
      <c r="AJ1543" s="168"/>
      <c r="AK1543" s="168"/>
      <c r="AL1543" s="168"/>
      <c r="AM1543" s="168"/>
      <c r="AN1543" s="167"/>
      <c r="AO1543" s="167"/>
      <c r="AP1543" s="167"/>
      <c r="AQ1543" s="169"/>
      <c r="AR1543" s="170"/>
      <c r="AS1543" s="169"/>
      <c r="AT1543"/>
      <c r="AU1543" s="170"/>
      <c r="AV1543" s="169"/>
      <c r="AW1543" s="170"/>
      <c r="AX1543" s="169"/>
      <c r="AY1543"/>
      <c r="AZ1543"/>
    </row>
    <row r="1544" spans="1:52" s="145" customFormat="1" x14ac:dyDescent="0.35">
      <c r="A1544" s="502" t="s">
        <v>6487</v>
      </c>
      <c r="B1544" s="301" t="s">
        <v>5547</v>
      </c>
      <c r="C1544" s="301" t="s">
        <v>1296</v>
      </c>
      <c r="D1544" s="301" t="s">
        <v>7013</v>
      </c>
      <c r="E1544" s="301" t="s">
        <v>6464</v>
      </c>
      <c r="F1544" s="377">
        <f t="shared" si="636"/>
        <v>25.410000000000004</v>
      </c>
      <c r="G1544" s="433">
        <f t="shared" si="637"/>
        <v>25.410000000000004</v>
      </c>
      <c r="H1544" s="402">
        <f t="shared" si="638"/>
        <v>20.329999999999998</v>
      </c>
      <c r="I1544" s="579"/>
      <c r="J1544" s="549">
        <v>43677</v>
      </c>
      <c r="K1544" s="11"/>
      <c r="L1544"/>
      <c r="M1544" s="37">
        <f t="shared" si="639"/>
        <v>25.410000000000004</v>
      </c>
      <c r="N1544" s="29">
        <v>11.67</v>
      </c>
      <c r="O1544" s="319"/>
      <c r="P1544" s="97" t="s">
        <v>2827</v>
      </c>
      <c r="Q1544" s="97"/>
      <c r="R1544" s="97">
        <v>2018</v>
      </c>
      <c r="S1544" s="97"/>
      <c r="T1544" s="554">
        <f>ROUND($Q$1128*0.99^($R1544-$Q$1125),2)</f>
        <v>2.74</v>
      </c>
      <c r="U1544" s="146"/>
      <c r="W1544" s="147"/>
      <c r="X1544" s="147"/>
      <c r="Z1544" s="145" t="s">
        <v>1017</v>
      </c>
      <c r="AA1544" s="147"/>
      <c r="AD1544" s="147"/>
      <c r="AE1544" s="148"/>
      <c r="AF1544" s="147"/>
      <c r="AG1544" s="147"/>
      <c r="AH1544" s="171"/>
      <c r="AI1544" s="168"/>
      <c r="AJ1544" s="168"/>
      <c r="AK1544" s="168"/>
      <c r="AL1544" s="168"/>
      <c r="AM1544" s="168"/>
      <c r="AN1544" s="167"/>
      <c r="AO1544" s="167"/>
      <c r="AP1544" s="167"/>
      <c r="AQ1544" s="169"/>
      <c r="AR1544" s="170"/>
      <c r="AS1544" s="169"/>
      <c r="AT1544"/>
      <c r="AU1544" s="170"/>
      <c r="AV1544" s="169"/>
      <c r="AW1544" s="170"/>
      <c r="AX1544" s="169"/>
      <c r="AY1544"/>
      <c r="AZ1544"/>
    </row>
    <row r="1545" spans="1:52" s="145" customFormat="1" x14ac:dyDescent="0.35">
      <c r="A1545" s="502" t="s">
        <v>6614</v>
      </c>
      <c r="B1545" s="301" t="s">
        <v>5547</v>
      </c>
      <c r="C1545" s="301" t="s">
        <v>1296</v>
      </c>
      <c r="D1545" s="301" t="s">
        <v>7231</v>
      </c>
      <c r="E1545" s="301" t="s">
        <v>6464</v>
      </c>
      <c r="F1545" s="377">
        <f t="shared" si="636"/>
        <v>22.340000000000003</v>
      </c>
      <c r="G1545" s="429">
        <f t="shared" si="637"/>
        <v>22.340000000000003</v>
      </c>
      <c r="H1545" s="303">
        <f t="shared" si="638"/>
        <v>17.87</v>
      </c>
      <c r="I1545" s="579"/>
      <c r="J1545" s="549">
        <v>43951</v>
      </c>
      <c r="K1545" s="11"/>
      <c r="L1545"/>
      <c r="M1545" s="37">
        <f t="shared" si="639"/>
        <v>22.340000000000003</v>
      </c>
      <c r="N1545" s="29">
        <v>9.6</v>
      </c>
      <c r="O1545" s="319"/>
      <c r="P1545" s="97" t="s">
        <v>2827</v>
      </c>
      <c r="Q1545" s="97"/>
      <c r="R1545" s="97">
        <v>2018</v>
      </c>
      <c r="S1545" s="97"/>
      <c r="T1545" s="554">
        <v>2.74</v>
      </c>
      <c r="U1545" s="146" t="s">
        <v>1017</v>
      </c>
      <c r="W1545" s="147"/>
      <c r="X1545" s="147"/>
      <c r="Y1545" s="145" t="s">
        <v>1017</v>
      </c>
      <c r="Z1545" s="147"/>
      <c r="AC1545" s="147"/>
      <c r="AE1545" s="148" t="s">
        <v>1017</v>
      </c>
      <c r="AF1545" s="147"/>
      <c r="AG1545" s="147"/>
      <c r="AH1545" s="171"/>
      <c r="AI1545" s="168"/>
      <c r="AJ1545" s="168"/>
      <c r="AK1545" s="168"/>
      <c r="AL1545" s="168"/>
      <c r="AM1545" s="168"/>
      <c r="AN1545" s="167"/>
      <c r="AO1545" s="167"/>
      <c r="AP1545" s="167"/>
      <c r="AQ1545" s="169"/>
      <c r="AR1545" s="170"/>
      <c r="AS1545" s="169"/>
      <c r="AT1545"/>
      <c r="AU1545" s="170"/>
      <c r="AV1545" s="169"/>
      <c r="AW1545" s="170"/>
      <c r="AX1545" s="169"/>
      <c r="AY1545"/>
      <c r="AZ1545"/>
    </row>
    <row r="1546" spans="1:52" s="145" customFormat="1" x14ac:dyDescent="0.35">
      <c r="A1546" s="502" t="s">
        <v>6488</v>
      </c>
      <c r="B1546" s="301" t="s">
        <v>5547</v>
      </c>
      <c r="C1546" s="301" t="s">
        <v>1296</v>
      </c>
      <c r="D1546" s="301" t="s">
        <v>7232</v>
      </c>
      <c r="E1546" s="301" t="s">
        <v>6464</v>
      </c>
      <c r="F1546" s="377">
        <f t="shared" si="636"/>
        <v>20.340000000000003</v>
      </c>
      <c r="G1546" s="433">
        <f t="shared" si="637"/>
        <v>20.340000000000003</v>
      </c>
      <c r="H1546" s="402">
        <f t="shared" si="638"/>
        <v>16.27</v>
      </c>
      <c r="I1546" s="579"/>
      <c r="J1546" s="549">
        <v>43677</v>
      </c>
      <c r="K1546" s="11"/>
      <c r="L1546"/>
      <c r="M1546" s="37">
        <f t="shared" si="639"/>
        <v>20.340000000000003</v>
      </c>
      <c r="N1546" s="29">
        <v>9.6</v>
      </c>
      <c r="O1546" s="319"/>
      <c r="P1546" s="97" t="s">
        <v>2827</v>
      </c>
      <c r="Q1546" s="97"/>
      <c r="R1546" s="97">
        <v>2018</v>
      </c>
      <c r="S1546" s="97"/>
      <c r="T1546" s="554">
        <f t="shared" ref="T1546:T1551" si="645">ROUND($Q$1128*0.99^($R1546-$Q$1125),2)</f>
        <v>2.74</v>
      </c>
      <c r="U1546" s="146"/>
      <c r="W1546" s="147"/>
      <c r="X1546" s="147"/>
      <c r="Z1546" s="147"/>
      <c r="AA1546" s="145" t="s">
        <v>1017</v>
      </c>
      <c r="AC1546" s="147"/>
      <c r="AE1546" s="148"/>
      <c r="AF1546" s="147"/>
      <c r="AG1546" s="147"/>
      <c r="AH1546" s="171"/>
      <c r="AI1546" s="168"/>
      <c r="AJ1546" s="168"/>
      <c r="AK1546" s="168"/>
      <c r="AL1546" s="168"/>
      <c r="AM1546" s="168"/>
      <c r="AN1546" s="167"/>
      <c r="AO1546" s="167"/>
      <c r="AP1546" s="167"/>
      <c r="AQ1546" s="169"/>
      <c r="AR1546" s="170"/>
      <c r="AS1546" s="169"/>
      <c r="AT1546"/>
      <c r="AU1546" s="170"/>
      <c r="AV1546" s="169"/>
      <c r="AW1546" s="170"/>
      <c r="AX1546" s="169"/>
      <c r="AY1546"/>
      <c r="AZ1546"/>
    </row>
    <row r="1547" spans="1:52" s="145" customFormat="1" x14ac:dyDescent="0.35">
      <c r="A1547" s="502" t="s">
        <v>6605</v>
      </c>
      <c r="B1547" s="301" t="s">
        <v>5547</v>
      </c>
      <c r="C1547" s="301" t="s">
        <v>1296</v>
      </c>
      <c r="D1547" s="301" t="s">
        <v>7014</v>
      </c>
      <c r="E1547" s="301" t="s">
        <v>6598</v>
      </c>
      <c r="F1547" s="377">
        <f t="shared" si="636"/>
        <v>26.380000000000003</v>
      </c>
      <c r="G1547" s="433">
        <f t="shared" si="637"/>
        <v>26.380000000000003</v>
      </c>
      <c r="H1547" s="402">
        <f t="shared" si="638"/>
        <v>21.1</v>
      </c>
      <c r="I1547" s="579"/>
      <c r="J1547" s="549">
        <v>43951</v>
      </c>
      <c r="K1547" s="11"/>
      <c r="L1547"/>
      <c r="M1547" s="37">
        <f t="shared" si="639"/>
        <v>26.380000000000003</v>
      </c>
      <c r="N1547" s="29">
        <v>11.67</v>
      </c>
      <c r="O1547" s="319"/>
      <c r="P1547" s="97" t="s">
        <v>2827</v>
      </c>
      <c r="Q1547" s="97"/>
      <c r="R1547" s="97">
        <v>2019</v>
      </c>
      <c r="S1547" s="97"/>
      <c r="T1547" s="554">
        <f t="shared" si="645"/>
        <v>2.71</v>
      </c>
      <c r="U1547" s="146" t="s">
        <v>1017</v>
      </c>
      <c r="W1547" s="147"/>
      <c r="X1547" s="147"/>
      <c r="Z1547" s="145" t="s">
        <v>1017</v>
      </c>
      <c r="AA1547" s="147"/>
      <c r="AD1547" s="147"/>
      <c r="AE1547" s="148"/>
      <c r="AF1547" s="147"/>
      <c r="AG1547" s="147"/>
      <c r="AH1547" s="171"/>
      <c r="AI1547" s="168"/>
      <c r="AJ1547" s="168"/>
      <c r="AK1547" s="168"/>
      <c r="AL1547" s="168"/>
      <c r="AM1547" s="168"/>
      <c r="AN1547" s="167"/>
      <c r="AO1547" s="167"/>
      <c r="AP1547" s="167"/>
      <c r="AQ1547" s="169"/>
      <c r="AR1547" s="170"/>
      <c r="AS1547" s="169"/>
      <c r="AT1547"/>
      <c r="AU1547" s="170"/>
      <c r="AV1547" s="169"/>
      <c r="AW1547" s="170"/>
      <c r="AX1547" s="169"/>
      <c r="AY1547"/>
      <c r="AZ1547"/>
    </row>
    <row r="1548" spans="1:52" s="145" customFormat="1" x14ac:dyDescent="0.35">
      <c r="A1548" s="502" t="s">
        <v>6615</v>
      </c>
      <c r="B1548" s="301" t="s">
        <v>5547</v>
      </c>
      <c r="C1548" s="301" t="s">
        <v>1296</v>
      </c>
      <c r="D1548" s="301" t="s">
        <v>7015</v>
      </c>
      <c r="E1548" s="301" t="s">
        <v>6598</v>
      </c>
      <c r="F1548" s="377">
        <f t="shared" si="636"/>
        <v>28.380000000000003</v>
      </c>
      <c r="G1548" s="433">
        <f t="shared" si="637"/>
        <v>28.380000000000003</v>
      </c>
      <c r="H1548" s="402">
        <f t="shared" si="638"/>
        <v>22.7</v>
      </c>
      <c r="I1548" s="579"/>
      <c r="J1548" s="549">
        <v>43951</v>
      </c>
      <c r="K1548" s="11"/>
      <c r="L1548"/>
      <c r="M1548" s="37">
        <f t="shared" si="639"/>
        <v>28.380000000000003</v>
      </c>
      <c r="N1548" s="29">
        <v>11.67</v>
      </c>
      <c r="O1548" s="319"/>
      <c r="P1548" s="97" t="s">
        <v>2827</v>
      </c>
      <c r="Q1548" s="97"/>
      <c r="R1548" s="97">
        <v>2019</v>
      </c>
      <c r="S1548" s="97"/>
      <c r="T1548" s="554">
        <f t="shared" si="645"/>
        <v>2.71</v>
      </c>
      <c r="U1548" s="146" t="s">
        <v>1017</v>
      </c>
      <c r="W1548" s="147"/>
      <c r="X1548" s="147"/>
      <c r="Z1548" s="145" t="s">
        <v>1017</v>
      </c>
      <c r="AA1548" s="147"/>
      <c r="AD1548" s="147"/>
      <c r="AE1548" s="148" t="s">
        <v>1017</v>
      </c>
      <c r="AF1548" s="147"/>
      <c r="AG1548" s="147"/>
      <c r="AH1548" s="171"/>
      <c r="AI1548" s="168"/>
      <c r="AJ1548" s="168"/>
      <c r="AK1548" s="168"/>
      <c r="AL1548" s="168"/>
      <c r="AM1548" s="168"/>
      <c r="AN1548" s="167"/>
      <c r="AO1548" s="167"/>
      <c r="AP1548" s="167"/>
      <c r="AQ1548" s="169"/>
      <c r="AR1548" s="170"/>
      <c r="AS1548" s="169"/>
      <c r="AT1548"/>
      <c r="AU1548" s="170"/>
      <c r="AV1548" s="169"/>
      <c r="AW1548" s="170"/>
      <c r="AX1548" s="169"/>
      <c r="AY1548"/>
      <c r="AZ1548"/>
    </row>
    <row r="1549" spans="1:52" s="145" customFormat="1" x14ac:dyDescent="0.35">
      <c r="A1549" s="502" t="s">
        <v>6606</v>
      </c>
      <c r="B1549" s="301" t="s">
        <v>5547</v>
      </c>
      <c r="C1549" s="301" t="s">
        <v>1296</v>
      </c>
      <c r="D1549" s="301" t="s">
        <v>7233</v>
      </c>
      <c r="E1549" s="301" t="s">
        <v>6598</v>
      </c>
      <c r="F1549" s="377">
        <f t="shared" si="636"/>
        <v>21.310000000000002</v>
      </c>
      <c r="G1549" s="433">
        <f t="shared" si="637"/>
        <v>21.310000000000002</v>
      </c>
      <c r="H1549" s="402">
        <f t="shared" si="638"/>
        <v>17.05</v>
      </c>
      <c r="I1549" s="579"/>
      <c r="J1549" s="549">
        <v>43951</v>
      </c>
      <c r="K1549" s="11"/>
      <c r="L1549"/>
      <c r="M1549" s="37">
        <f t="shared" si="639"/>
        <v>21.310000000000002</v>
      </c>
      <c r="N1549" s="29">
        <v>9.6</v>
      </c>
      <c r="O1549" s="319"/>
      <c r="P1549" s="97" t="s">
        <v>2827</v>
      </c>
      <c r="Q1549" s="97"/>
      <c r="R1549" s="97">
        <v>2019</v>
      </c>
      <c r="S1549" s="97"/>
      <c r="T1549" s="554">
        <f t="shared" si="645"/>
        <v>2.71</v>
      </c>
      <c r="U1549" s="146" t="s">
        <v>1017</v>
      </c>
      <c r="W1549" s="147"/>
      <c r="X1549" s="147"/>
      <c r="Z1549" s="147"/>
      <c r="AA1549" s="145" t="s">
        <v>1017</v>
      </c>
      <c r="AC1549" s="147"/>
      <c r="AE1549" s="148"/>
      <c r="AF1549" s="147"/>
      <c r="AG1549" s="147"/>
      <c r="AH1549" s="171"/>
      <c r="AI1549" s="168"/>
      <c r="AJ1549" s="168"/>
      <c r="AK1549" s="168"/>
      <c r="AL1549" s="168"/>
      <c r="AM1549" s="168"/>
      <c r="AN1549" s="167"/>
      <c r="AO1549" s="167"/>
      <c r="AP1549" s="167"/>
      <c r="AQ1549" s="169"/>
      <c r="AR1549" s="170"/>
      <c r="AS1549" s="169"/>
      <c r="AT1549"/>
      <c r="AU1549" s="170"/>
      <c r="AV1549" s="169"/>
      <c r="AW1549" s="170"/>
      <c r="AX1549" s="169"/>
      <c r="AY1549"/>
      <c r="AZ1549"/>
    </row>
    <row r="1550" spans="1:52" x14ac:dyDescent="0.35">
      <c r="A1550" s="502" t="s">
        <v>6608</v>
      </c>
      <c r="B1550" s="301" t="s">
        <v>5547</v>
      </c>
      <c r="C1550" s="301" t="s">
        <v>1296</v>
      </c>
      <c r="D1550" s="301" t="s">
        <v>7234</v>
      </c>
      <c r="E1550" s="301" t="s">
        <v>6598</v>
      </c>
      <c r="F1550" s="377">
        <f t="shared" si="636"/>
        <v>23.310000000000002</v>
      </c>
      <c r="G1550" s="433">
        <f t="shared" si="637"/>
        <v>23.310000000000002</v>
      </c>
      <c r="H1550" s="402">
        <f t="shared" si="638"/>
        <v>18.649999999999999</v>
      </c>
      <c r="I1550" s="579"/>
      <c r="J1550" s="549">
        <v>43951</v>
      </c>
      <c r="K1550" s="11"/>
      <c r="M1550" s="37">
        <f t="shared" si="639"/>
        <v>23.310000000000002</v>
      </c>
      <c r="N1550" s="29">
        <v>9.6</v>
      </c>
      <c r="O1550" s="319"/>
      <c r="P1550" s="97" t="s">
        <v>2827</v>
      </c>
      <c r="Q1550" s="97"/>
      <c r="R1550" s="97">
        <v>2019</v>
      </c>
      <c r="S1550" s="97"/>
      <c r="T1550" s="554">
        <f t="shared" si="645"/>
        <v>2.71</v>
      </c>
      <c r="U1550" s="146" t="s">
        <v>1017</v>
      </c>
      <c r="V1550" s="145"/>
      <c r="W1550" s="147"/>
      <c r="X1550" s="147"/>
      <c r="Y1550" s="145"/>
      <c r="Z1550" s="147"/>
      <c r="AA1550" s="145" t="s">
        <v>1017</v>
      </c>
      <c r="AB1550" s="145"/>
      <c r="AC1550" s="147"/>
      <c r="AD1550" s="145"/>
      <c r="AE1550" s="148" t="s">
        <v>1017</v>
      </c>
      <c r="AF1550" s="147"/>
      <c r="AG1550" s="147"/>
      <c r="AH1550" s="171"/>
      <c r="AI1550" s="168"/>
      <c r="AJ1550" s="168"/>
      <c r="AK1550" s="168"/>
      <c r="AL1550" s="168"/>
      <c r="AM1550" s="168"/>
      <c r="AN1550" s="167"/>
      <c r="AO1550" s="167"/>
      <c r="AP1550" s="167"/>
      <c r="AQ1550" s="169"/>
      <c r="AR1550" s="170"/>
      <c r="AS1550" s="169"/>
      <c r="AU1550" s="170"/>
      <c r="AV1550" s="169"/>
      <c r="AW1550" s="170"/>
      <c r="AX1550" s="169"/>
    </row>
    <row r="1551" spans="1:52" s="145" customFormat="1" x14ac:dyDescent="0.35">
      <c r="A1551" s="502" t="s">
        <v>6607</v>
      </c>
      <c r="B1551" s="301" t="s">
        <v>5547</v>
      </c>
      <c r="C1551" s="301" t="s">
        <v>1296</v>
      </c>
      <c r="D1551" s="301" t="s">
        <v>7388</v>
      </c>
      <c r="E1551" s="302" t="s">
        <v>6598</v>
      </c>
      <c r="F1551" s="377">
        <f t="shared" si="636"/>
        <v>15.350000000000001</v>
      </c>
      <c r="G1551" s="433">
        <f t="shared" si="637"/>
        <v>15.350000000000001</v>
      </c>
      <c r="H1551" s="402">
        <f t="shared" si="638"/>
        <v>12.28</v>
      </c>
      <c r="I1551" s="579"/>
      <c r="J1551" s="549">
        <v>43951</v>
      </c>
      <c r="K1551" s="11"/>
      <c r="L1551"/>
      <c r="M1551" s="37">
        <f t="shared" si="639"/>
        <v>15.350000000000001</v>
      </c>
      <c r="N1551" s="29">
        <v>8.64</v>
      </c>
      <c r="O1551" s="319"/>
      <c r="P1551" s="97" t="s">
        <v>2827</v>
      </c>
      <c r="Q1551" s="97"/>
      <c r="R1551" s="97">
        <v>2019</v>
      </c>
      <c r="S1551" s="97"/>
      <c r="T1551" s="554">
        <f t="shared" si="645"/>
        <v>2.71</v>
      </c>
      <c r="U1551" s="348"/>
      <c r="V1551" s="346"/>
      <c r="W1551" s="25" t="s">
        <v>1017</v>
      </c>
      <c r="X1551" s="25"/>
      <c r="Y1551" s="346"/>
      <c r="Z1551" s="346"/>
      <c r="AA1551" s="346"/>
      <c r="AB1551" s="346"/>
      <c r="AC1551" s="346"/>
      <c r="AD1551" s="346"/>
      <c r="AE1551" s="347"/>
      <c r="AF1551" s="346"/>
      <c r="AG1551" s="346"/>
      <c r="AH1551" s="171"/>
      <c r="AI1551" s="168"/>
      <c r="AJ1551" s="168"/>
      <c r="AK1551" s="168"/>
      <c r="AL1551" s="168"/>
      <c r="AM1551" s="168"/>
      <c r="AN1551" s="167"/>
      <c r="AO1551" s="167"/>
      <c r="AP1551" s="167"/>
      <c r="AQ1551" s="169"/>
      <c r="AR1551" s="170"/>
      <c r="AS1551" s="169"/>
      <c r="AT1551"/>
      <c r="AU1551" s="170"/>
      <c r="AV1551" s="169"/>
      <c r="AW1551" s="170"/>
      <c r="AX1551" s="169"/>
      <c r="AY1551"/>
      <c r="AZ1551"/>
    </row>
    <row r="1552" spans="1:52" s="145" customFormat="1" x14ac:dyDescent="0.35">
      <c r="A1552" s="502" t="s">
        <v>7522</v>
      </c>
      <c r="B1552" s="301" t="s">
        <v>5547</v>
      </c>
      <c r="C1552" s="301" t="s">
        <v>1296</v>
      </c>
      <c r="D1552" s="301" t="s">
        <v>7524</v>
      </c>
      <c r="E1552" s="301" t="s">
        <v>6610</v>
      </c>
      <c r="F1552" s="377">
        <f t="shared" si="636"/>
        <v>25.360000000000003</v>
      </c>
      <c r="G1552" s="429">
        <f t="shared" si="637"/>
        <v>25.360000000000003</v>
      </c>
      <c r="H1552" s="303">
        <f t="shared" si="638"/>
        <v>20.29</v>
      </c>
      <c r="I1552" s="579"/>
      <c r="J1552" s="549">
        <v>44351</v>
      </c>
      <c r="K1552" s="11"/>
      <c r="L1552"/>
      <c r="M1552" s="37">
        <f t="shared" si="639"/>
        <v>25.360000000000003</v>
      </c>
      <c r="N1552" s="29">
        <v>11.67</v>
      </c>
      <c r="O1552" s="319"/>
      <c r="P1552" s="97" t="s">
        <v>2827</v>
      </c>
      <c r="Q1552" s="97"/>
      <c r="R1552" s="97">
        <v>2020</v>
      </c>
      <c r="S1552" s="97" t="s">
        <v>4179</v>
      </c>
      <c r="T1552" s="554">
        <v>2.69</v>
      </c>
      <c r="U1552" s="146"/>
      <c r="W1552" s="147"/>
      <c r="X1552" s="147"/>
      <c r="Z1552" s="145" t="s">
        <v>1017</v>
      </c>
      <c r="AA1552" s="147"/>
      <c r="AD1552" s="147"/>
      <c r="AE1552" s="148"/>
      <c r="AF1552" s="147"/>
      <c r="AG1552" s="147"/>
      <c r="AH1552" s="171" t="s">
        <v>4178</v>
      </c>
      <c r="AI1552" s="168" t="str">
        <f>IF(AND($AH1552&lt;&gt;"",AH1552 =AH1551),"Gleich","")</f>
        <v/>
      </c>
      <c r="AJ1552" s="168" t="str">
        <f>IF(AND($AH1552&lt;&gt;"",A1552 =A1551),"Gleich","")</f>
        <v/>
      </c>
      <c r="AK1552" s="168" t="str">
        <f t="shared" ref="AK1552:AM1553" si="646">IF(AND($AH1552&lt;&gt;"",D1552 =D1551),"Gleich","")</f>
        <v/>
      </c>
      <c r="AL1552" s="168" t="str">
        <f t="shared" si="646"/>
        <v/>
      </c>
      <c r="AM1552" s="168" t="str">
        <f t="shared" si="646"/>
        <v/>
      </c>
      <c r="AN1552" s="167" t="str">
        <f t="shared" ref="AN1552:AN1615" si="647">IF(ISERROR(SEARCH("K1",A1552)),"","20"&amp;MID(A1552,SEARCH("K1",A1552)+1,2))</f>
        <v/>
      </c>
      <c r="AO1552" s="167" t="str">
        <f t="shared" ref="AO1552:AO1615" si="648">IF(ISERROR(SEARCH("erstmals 201",E1552)),"",MID(E1552,SEARCH("erstmals ",E1552)+9,4))</f>
        <v/>
      </c>
      <c r="AP1552" s="167" t="str">
        <f t="shared" ref="AP1552:AP1615" si="649">IF(R1552="x","2010",IF(S1552="x","2011",IF(T1552="x","2012","")))</f>
        <v/>
      </c>
      <c r="AQ1552" s="169" t="str">
        <f t="shared" ref="AQ1552:AQ1615" si="650">IF(OR(AH1552&lt;&gt;AN1552,AH1552&lt;&gt;AO1552,AH1552&lt;&gt;AP1552),"DIFF","")</f>
        <v>DIFF</v>
      </c>
      <c r="AR1552" s="170" t="str">
        <f t="shared" ref="AR1552:AR1615" si="651">IF(A1552="","",IF(ISERROR(SEARCH("K1",A1552)),A1552,LEFT(A1552,SEARCH("K1",A1552)+1)&amp;RIGHT(AH1552,1)&amp;MID(A1552,SEARCH("K1",A1552)+3,14)))</f>
        <v>BiK81M1K20--06</v>
      </c>
      <c r="AS1552" s="169" t="str">
        <f t="shared" ref="AS1552:AS1615" si="652">IF(OR(A1552&lt;&gt;AR1552),"DIFF","")</f>
        <v/>
      </c>
      <c r="AT1552">
        <f t="shared" ref="AT1552:AT1615" si="653">LEN(AR1552)</f>
        <v>14</v>
      </c>
      <c r="AU1552" s="170" t="str">
        <f t="shared" ref="AU1552:AU1615" si="654">IF(D1552="","",IF(OR(A1552="",ISERROR(SEARCH("erstmals 201",D1552))),D1552,LEFT(D1552,SEARCH("erstmals 201",D1552)+8) &amp; AH1552 &amp; MID(D1552,SEARCH("erstmals 201",D1552)+13,255)))</f>
        <v>0-0,15 MW, Bonusregeln M1, K erstmals 2020</v>
      </c>
      <c r="AV1552" s="169" t="str">
        <f t="shared" ref="AV1552:AV1615" si="655">IF(OR(D1552&lt;&gt;AU1552),"DIFF","")</f>
        <v/>
      </c>
      <c r="AW1552" s="170" t="str">
        <f t="shared" ref="AW1552:AW1615" si="656">IF(E1552="","",IF(OR(E1552="",ISERROR(SEARCH("erstmals 201",E1552))),E1552,LEFT(E1552,SEARCH("erstmals 201",E1552)+8) &amp; AH1552 &amp; MID(E1552,SEARCH("erstmals 201",E1552)+13,255)))</f>
        <v>Anteil KWK, erstmals 2020</v>
      </c>
      <c r="AX1552" s="169" t="str">
        <f t="shared" ref="AX1552:AX1615" si="657">IF(OR(E1552&lt;&gt;AW1552),"DIFF","")</f>
        <v/>
      </c>
      <c r="AY1552" t="str">
        <f t="shared" ref="AY1552:AY1615" si="658">IF(AH1552="2011","x",IF(AH1552="2012","","" &amp; S1552))</f>
        <v/>
      </c>
      <c r="AZ1552" t="str">
        <f t="shared" ref="AZ1552:AZ1615" si="659">IF(AH1552="2012","x",IF(AH1552="2011","","" &amp; T1552))</f>
        <v>x</v>
      </c>
    </row>
    <row r="1553" spans="1:52" s="145" customFormat="1" x14ac:dyDescent="0.35">
      <c r="A1553" s="502" t="s">
        <v>7523</v>
      </c>
      <c r="B1553" s="301" t="s">
        <v>5547</v>
      </c>
      <c r="C1553" s="301" t="s">
        <v>1296</v>
      </c>
      <c r="D1553" s="301" t="s">
        <v>7525</v>
      </c>
      <c r="E1553" s="301" t="s">
        <v>6610</v>
      </c>
      <c r="F1553" s="377">
        <f t="shared" si="636"/>
        <v>20.290000000000003</v>
      </c>
      <c r="G1553" s="429">
        <f t="shared" si="637"/>
        <v>20.290000000000003</v>
      </c>
      <c r="H1553" s="303">
        <f t="shared" si="638"/>
        <v>16.23</v>
      </c>
      <c r="I1553" s="579"/>
      <c r="J1553" s="549">
        <v>44351</v>
      </c>
      <c r="K1553" s="11"/>
      <c r="L1553"/>
      <c r="M1553" s="37">
        <f t="shared" si="639"/>
        <v>20.290000000000003</v>
      </c>
      <c r="N1553" s="29">
        <v>9.6</v>
      </c>
      <c r="O1553" s="319"/>
      <c r="P1553" s="97" t="s">
        <v>2827</v>
      </c>
      <c r="Q1553" s="97"/>
      <c r="R1553" s="97">
        <v>2020</v>
      </c>
      <c r="S1553" s="97" t="s">
        <v>4179</v>
      </c>
      <c r="T1553" s="554">
        <v>2.69</v>
      </c>
      <c r="U1553" s="146"/>
      <c r="W1553" s="147"/>
      <c r="X1553" s="147"/>
      <c r="Z1553" s="147"/>
      <c r="AA1553" s="145" t="s">
        <v>1017</v>
      </c>
      <c r="AC1553" s="147"/>
      <c r="AE1553" s="148"/>
      <c r="AF1553" s="147"/>
      <c r="AG1553" s="147"/>
      <c r="AH1553" s="171" t="s">
        <v>4178</v>
      </c>
      <c r="AI1553" s="168" t="str">
        <f>IF(AND($AH1553&lt;&gt;"",AH1553 =AH1552),"Gleich","")</f>
        <v>Gleich</v>
      </c>
      <c r="AJ1553" s="168" t="str">
        <f>IF(AND($AH1553&lt;&gt;"",A1553 =A1552),"Gleich","")</f>
        <v/>
      </c>
      <c r="AK1553" s="168" t="str">
        <f t="shared" si="646"/>
        <v/>
      </c>
      <c r="AL1553" s="168" t="str">
        <f t="shared" si="646"/>
        <v>Gleich</v>
      </c>
      <c r="AM1553" s="168" t="str">
        <f t="shared" si="646"/>
        <v/>
      </c>
      <c r="AN1553" s="167" t="str">
        <f t="shared" si="647"/>
        <v/>
      </c>
      <c r="AO1553" s="167" t="str">
        <f t="shared" si="648"/>
        <v/>
      </c>
      <c r="AP1553" s="167" t="str">
        <f t="shared" si="649"/>
        <v/>
      </c>
      <c r="AQ1553" s="169" t="str">
        <f t="shared" si="650"/>
        <v>DIFF</v>
      </c>
      <c r="AR1553" s="170" t="str">
        <f t="shared" si="651"/>
        <v>BiK82M2K20--06</v>
      </c>
      <c r="AS1553" s="169" t="str">
        <f t="shared" si="652"/>
        <v/>
      </c>
      <c r="AT1553">
        <f t="shared" si="653"/>
        <v>14</v>
      </c>
      <c r="AU1553" s="170" t="str">
        <f t="shared" si="654"/>
        <v>0,15-0,5 MW, Bonusregeln M2, K erstmals 2020</v>
      </c>
      <c r="AV1553" s="169" t="str">
        <f t="shared" si="655"/>
        <v/>
      </c>
      <c r="AW1553" s="170" t="str">
        <f t="shared" si="656"/>
        <v>Anteil KWK, erstmals 2020</v>
      </c>
      <c r="AX1553" s="169" t="str">
        <f t="shared" si="657"/>
        <v/>
      </c>
      <c r="AY1553" t="str">
        <f t="shared" si="658"/>
        <v/>
      </c>
      <c r="AZ1553" t="str">
        <f t="shared" si="659"/>
        <v>x</v>
      </c>
    </row>
    <row r="1554" spans="1:52" x14ac:dyDescent="0.35">
      <c r="A1554" s="496" t="s">
        <v>4179</v>
      </c>
      <c r="B1554" s="1"/>
      <c r="C1554" s="1"/>
      <c r="D1554" s="1" t="s">
        <v>4179</v>
      </c>
      <c r="E1554" s="1" t="s">
        <v>4179</v>
      </c>
      <c r="F1554" s="375"/>
      <c r="G1554" s="432"/>
      <c r="H1554" s="401"/>
      <c r="I1554" s="578"/>
      <c r="J1554" s="549" t="s">
        <v>4179</v>
      </c>
      <c r="K1554" s="11"/>
      <c r="M1554" s="22"/>
      <c r="N1554" s="22"/>
      <c r="O1554" s="41"/>
      <c r="P1554" s="11"/>
      <c r="S1554" t="s">
        <v>4179</v>
      </c>
      <c r="T1554" t="s">
        <v>4179</v>
      </c>
      <c r="U1554" s="42"/>
      <c r="AE1554" s="75"/>
      <c r="AH1554" s="166" t="str">
        <f t="shared" ref="AH1554:AH1565" si="660">IF(ISERROR(SEARCH("K erstmals 201",D1554)),"",RIGHT(D1554,4))</f>
        <v/>
      </c>
      <c r="AI1554" s="168" t="str">
        <f>IF(AND($AH1554&lt;&gt;"",AH1554 =AH1511),"Gleich","")</f>
        <v/>
      </c>
      <c r="AJ1554" s="168" t="str">
        <f>IF(AND($AH1554&lt;&gt;"",A1554 =A1511),"Gleich","")</f>
        <v/>
      </c>
      <c r="AK1554" s="168" t="str">
        <f>IF(AND($AH1554&lt;&gt;"",D1554 =D1511),"Gleich","")</f>
        <v/>
      </c>
      <c r="AL1554" s="168" t="str">
        <f>IF(AND($AH1554&lt;&gt;"",E1554 =E1511),"Gleich","")</f>
        <v/>
      </c>
      <c r="AM1554" s="168" t="str">
        <f>IF(AND($AH1554&lt;&gt;"",F1554 =F1511),"Gleich","")</f>
        <v/>
      </c>
      <c r="AN1554" s="167" t="str">
        <f t="shared" si="647"/>
        <v/>
      </c>
      <c r="AO1554" s="167" t="str">
        <f t="shared" si="648"/>
        <v/>
      </c>
      <c r="AP1554" s="167" t="str">
        <f t="shared" si="649"/>
        <v/>
      </c>
      <c r="AQ1554" s="169" t="str">
        <f t="shared" si="650"/>
        <v/>
      </c>
      <c r="AR1554" s="170" t="str">
        <f t="shared" si="651"/>
        <v/>
      </c>
      <c r="AS1554" s="169" t="str">
        <f t="shared" si="652"/>
        <v/>
      </c>
      <c r="AT1554">
        <f t="shared" si="653"/>
        <v>0</v>
      </c>
      <c r="AU1554" s="170" t="str">
        <f t="shared" si="654"/>
        <v/>
      </c>
      <c r="AV1554" s="169" t="str">
        <f t="shared" si="655"/>
        <v/>
      </c>
      <c r="AW1554" s="170" t="str">
        <f t="shared" si="656"/>
        <v/>
      </c>
      <c r="AX1554" s="169" t="str">
        <f t="shared" si="657"/>
        <v/>
      </c>
      <c r="AY1554" t="str">
        <f t="shared" si="658"/>
        <v/>
      </c>
      <c r="AZ1554" t="str">
        <f t="shared" si="659"/>
        <v/>
      </c>
    </row>
    <row r="1555" spans="1:52" ht="15.5" x14ac:dyDescent="0.35">
      <c r="A1555" s="496" t="s">
        <v>4179</v>
      </c>
      <c r="B1555" s="1"/>
      <c r="C1555" s="1"/>
      <c r="D1555" s="1" t="s">
        <v>4179</v>
      </c>
      <c r="E1555" s="1" t="s">
        <v>4179</v>
      </c>
      <c r="F1555" s="375"/>
      <c r="G1555" s="432"/>
      <c r="H1555" s="401"/>
      <c r="I1555" s="578"/>
      <c r="J1555" s="549" t="s">
        <v>4179</v>
      </c>
      <c r="K1555" s="11"/>
      <c r="M1555" s="53" t="s">
        <v>2240</v>
      </c>
      <c r="N1555" s="27"/>
      <c r="O1555" s="31"/>
      <c r="P1555" s="22"/>
      <c r="U1555" s="42"/>
      <c r="AE1555" s="75"/>
      <c r="AH1555" s="166" t="str">
        <f t="shared" si="660"/>
        <v/>
      </c>
      <c r="AI1555" s="168" t="str">
        <f t="shared" ref="AI1555:AI1618" si="661">IF(AND($AH1555&lt;&gt;"",AH1555 =AH1554),"Gleich","")</f>
        <v/>
      </c>
      <c r="AJ1555" s="168" t="str">
        <f t="shared" ref="AJ1555:AJ1618" si="662">IF(AND($AH1555&lt;&gt;"",A1555 =A1554),"Gleich","")</f>
        <v/>
      </c>
      <c r="AK1555" s="168" t="str">
        <f t="shared" ref="AK1555:AK1618" si="663">IF(AND($AH1555&lt;&gt;"",D1555 =D1554),"Gleich","")</f>
        <v/>
      </c>
      <c r="AL1555" s="168" t="str">
        <f t="shared" ref="AL1555:AL1618" si="664">IF(AND($AH1555&lt;&gt;"",E1555 =E1554),"Gleich","")</f>
        <v/>
      </c>
      <c r="AM1555" s="168" t="str">
        <f t="shared" ref="AM1555:AM1618" si="665">IF(AND($AH1555&lt;&gt;"",F1555 =F1554),"Gleich","")</f>
        <v/>
      </c>
      <c r="AN1555" s="167" t="str">
        <f t="shared" si="647"/>
        <v/>
      </c>
      <c r="AO1555" s="167" t="str">
        <f t="shared" si="648"/>
        <v/>
      </c>
      <c r="AP1555" s="167" t="str">
        <f t="shared" si="649"/>
        <v/>
      </c>
      <c r="AQ1555" s="169" t="str">
        <f t="shared" si="650"/>
        <v/>
      </c>
      <c r="AR1555" s="170" t="str">
        <f t="shared" si="651"/>
        <v/>
      </c>
      <c r="AS1555" s="169" t="str">
        <f t="shared" si="652"/>
        <v/>
      </c>
      <c r="AT1555">
        <f t="shared" si="653"/>
        <v>0</v>
      </c>
      <c r="AU1555" s="170" t="str">
        <f t="shared" si="654"/>
        <v/>
      </c>
      <c r="AV1555" s="169" t="str">
        <f t="shared" si="655"/>
        <v/>
      </c>
      <c r="AW1555" s="170" t="str">
        <f t="shared" si="656"/>
        <v/>
      </c>
      <c r="AX1555" s="169" t="str">
        <f t="shared" si="657"/>
        <v/>
      </c>
      <c r="AY1555" t="str">
        <f t="shared" si="658"/>
        <v/>
      </c>
      <c r="AZ1555" t="str">
        <f t="shared" si="659"/>
        <v/>
      </c>
    </row>
    <row r="1556" spans="1:52" x14ac:dyDescent="0.35">
      <c r="A1556" s="496" t="s">
        <v>4179</v>
      </c>
      <c r="B1556" s="1"/>
      <c r="C1556" s="1"/>
      <c r="D1556" s="1" t="s">
        <v>4179</v>
      </c>
      <c r="E1556" s="1" t="s">
        <v>4179</v>
      </c>
      <c r="F1556" s="375"/>
      <c r="G1556" s="432"/>
      <c r="H1556" s="401"/>
      <c r="I1556" s="578"/>
      <c r="J1556" s="549" t="s">
        <v>4179</v>
      </c>
      <c r="K1556" s="11"/>
      <c r="N1556" s="22"/>
      <c r="O1556" s="31" t="s">
        <v>2659</v>
      </c>
      <c r="P1556" s="22"/>
      <c r="Q1556">
        <v>2009</v>
      </c>
      <c r="R1556">
        <v>2010</v>
      </c>
      <c r="S1556">
        <v>2011</v>
      </c>
      <c r="T1556">
        <v>2012</v>
      </c>
      <c r="U1556" s="42"/>
      <c r="V1556" s="22" t="s">
        <v>778</v>
      </c>
      <c r="AE1556" s="31" t="s">
        <v>827</v>
      </c>
      <c r="AH1556" s="166" t="str">
        <f t="shared" si="660"/>
        <v/>
      </c>
      <c r="AI1556" s="168" t="str">
        <f t="shared" si="661"/>
        <v/>
      </c>
      <c r="AJ1556" s="168" t="str">
        <f t="shared" si="662"/>
        <v/>
      </c>
      <c r="AK1556" s="168" t="str">
        <f t="shared" si="663"/>
        <v/>
      </c>
      <c r="AL1556" s="168" t="str">
        <f t="shared" si="664"/>
        <v/>
      </c>
      <c r="AM1556" s="168" t="str">
        <f t="shared" si="665"/>
        <v/>
      </c>
      <c r="AN1556" s="167" t="str">
        <f t="shared" si="647"/>
        <v/>
      </c>
      <c r="AO1556" s="167" t="str">
        <f t="shared" si="648"/>
        <v/>
      </c>
      <c r="AP1556" s="167" t="str">
        <f t="shared" si="649"/>
        <v/>
      </c>
      <c r="AQ1556" s="169" t="str">
        <f t="shared" si="650"/>
        <v/>
      </c>
      <c r="AR1556" s="170" t="str">
        <f t="shared" si="651"/>
        <v/>
      </c>
      <c r="AS1556" s="169" t="str">
        <f t="shared" si="652"/>
        <v/>
      </c>
      <c r="AT1556">
        <f t="shared" si="653"/>
        <v>0</v>
      </c>
      <c r="AU1556" s="170" t="str">
        <f t="shared" si="654"/>
        <v/>
      </c>
      <c r="AV1556" s="169" t="str">
        <f t="shared" si="655"/>
        <v/>
      </c>
      <c r="AW1556" s="170" t="str">
        <f t="shared" si="656"/>
        <v/>
      </c>
      <c r="AX1556" s="169" t="str">
        <f t="shared" si="657"/>
        <v/>
      </c>
      <c r="AY1556" t="str">
        <f t="shared" si="658"/>
        <v>2011</v>
      </c>
      <c r="AZ1556" t="str">
        <f t="shared" si="659"/>
        <v>2012</v>
      </c>
    </row>
    <row r="1557" spans="1:52" ht="72" x14ac:dyDescent="0.35">
      <c r="A1557" s="496" t="s">
        <v>4179</v>
      </c>
      <c r="B1557" s="1"/>
      <c r="C1557" s="1"/>
      <c r="D1557" s="1" t="s">
        <v>4179</v>
      </c>
      <c r="E1557" s="1" t="s">
        <v>4179</v>
      </c>
      <c r="F1557" s="375"/>
      <c r="G1557" s="432"/>
      <c r="H1557" s="401"/>
      <c r="I1557" s="578"/>
      <c r="J1557" s="549" t="s">
        <v>4179</v>
      </c>
      <c r="K1557" s="11"/>
      <c r="M1557" s="36" t="s">
        <v>2913</v>
      </c>
      <c r="N1557" s="30" t="s">
        <v>2912</v>
      </c>
      <c r="O1557" s="32" t="s">
        <v>825</v>
      </c>
      <c r="P1557" s="30" t="s">
        <v>3007</v>
      </c>
      <c r="Q1557" s="30" t="s">
        <v>1013</v>
      </c>
      <c r="R1557" s="30" t="s">
        <v>1264</v>
      </c>
      <c r="S1557" s="30" t="s">
        <v>1482</v>
      </c>
      <c r="T1557" s="30" t="s">
        <v>4160</v>
      </c>
      <c r="U1557" s="65" t="s">
        <v>771</v>
      </c>
      <c r="V1557" s="30" t="s">
        <v>1021</v>
      </c>
      <c r="W1557" s="30" t="s">
        <v>1029</v>
      </c>
      <c r="X1557" s="30" t="s">
        <v>786</v>
      </c>
      <c r="Y1557" s="64" t="s">
        <v>4883</v>
      </c>
      <c r="Z1557" s="64" t="s">
        <v>5519</v>
      </c>
      <c r="AA1557" s="64" t="s">
        <v>5520</v>
      </c>
      <c r="AB1557" s="64" t="s">
        <v>5521</v>
      </c>
      <c r="AC1557" s="64" t="s">
        <v>4852</v>
      </c>
      <c r="AD1557" s="64" t="s">
        <v>770</v>
      </c>
      <c r="AE1557" s="32" t="s">
        <v>824</v>
      </c>
      <c r="AF1557" s="48"/>
      <c r="AG1557" s="48"/>
      <c r="AH1557" s="166" t="str">
        <f t="shared" si="660"/>
        <v/>
      </c>
      <c r="AI1557" s="168" t="str">
        <f t="shared" si="661"/>
        <v/>
      </c>
      <c r="AJ1557" s="168" t="str">
        <f t="shared" si="662"/>
        <v/>
      </c>
      <c r="AK1557" s="168" t="str">
        <f t="shared" si="663"/>
        <v/>
      </c>
      <c r="AL1557" s="168" t="str">
        <f t="shared" si="664"/>
        <v/>
      </c>
      <c r="AM1557" s="168" t="str">
        <f t="shared" si="665"/>
        <v/>
      </c>
      <c r="AN1557" s="167" t="str">
        <f t="shared" si="647"/>
        <v/>
      </c>
      <c r="AO1557" s="167" t="str">
        <f t="shared" si="648"/>
        <v/>
      </c>
      <c r="AP1557" s="167" t="str">
        <f t="shared" si="649"/>
        <v/>
      </c>
      <c r="AQ1557" s="169" t="str">
        <f t="shared" si="650"/>
        <v/>
      </c>
      <c r="AR1557" s="170" t="str">
        <f t="shared" si="651"/>
        <v/>
      </c>
      <c r="AS1557" s="169" t="str">
        <f t="shared" si="652"/>
        <v/>
      </c>
      <c r="AT1557">
        <f t="shared" si="653"/>
        <v>0</v>
      </c>
      <c r="AU1557" s="170" t="str">
        <f t="shared" si="654"/>
        <v/>
      </c>
      <c r="AV1557" s="169" t="str">
        <f t="shared" si="655"/>
        <v/>
      </c>
      <c r="AW1557" s="170" t="str">
        <f t="shared" si="656"/>
        <v/>
      </c>
      <c r="AX1557" s="169" t="str">
        <f t="shared" si="657"/>
        <v/>
      </c>
      <c r="AY1557" t="str">
        <f t="shared" si="658"/>
        <v>erstmals KWK in 2011</v>
      </c>
      <c r="AZ1557" t="str">
        <f t="shared" si="659"/>
        <v>erstmals KWK in 2012</v>
      </c>
    </row>
    <row r="1558" spans="1:52" ht="31.5" x14ac:dyDescent="0.35">
      <c r="A1558" s="496" t="s">
        <v>4179</v>
      </c>
      <c r="B1558" s="1"/>
      <c r="C1558" s="1"/>
      <c r="D1558" s="1" t="s">
        <v>4179</v>
      </c>
      <c r="E1558" s="1" t="s">
        <v>4179</v>
      </c>
      <c r="F1558" s="375"/>
      <c r="G1558" s="432"/>
      <c r="H1558" s="401"/>
      <c r="I1558" s="578"/>
      <c r="J1558" s="549" t="s">
        <v>4179</v>
      </c>
      <c r="K1558" s="11"/>
      <c r="M1558" s="34"/>
      <c r="N1558" s="30"/>
      <c r="O1558" s="32" t="s">
        <v>1014</v>
      </c>
      <c r="P1558" s="30" t="s">
        <v>1015</v>
      </c>
      <c r="Q1558" s="30" t="s">
        <v>1016</v>
      </c>
      <c r="R1558" s="30" t="s">
        <v>1265</v>
      </c>
      <c r="S1558" s="30" t="s">
        <v>3489</v>
      </c>
      <c r="T1558" s="95" t="s">
        <v>4161</v>
      </c>
      <c r="U1558" s="43" t="s">
        <v>1018</v>
      </c>
      <c r="V1558" s="30" t="s">
        <v>1019</v>
      </c>
      <c r="W1558" s="30" t="s">
        <v>1020</v>
      </c>
      <c r="X1558" s="30" t="s">
        <v>4068</v>
      </c>
      <c r="Y1558" s="30" t="s">
        <v>1023</v>
      </c>
      <c r="Z1558" s="30" t="s">
        <v>1024</v>
      </c>
      <c r="AA1558" s="30" t="s">
        <v>1025</v>
      </c>
      <c r="AB1558" s="30" t="s">
        <v>1026</v>
      </c>
      <c r="AC1558" s="30" t="s">
        <v>1028</v>
      </c>
      <c r="AD1558" s="30" t="s">
        <v>1027</v>
      </c>
      <c r="AE1558" s="32" t="s">
        <v>826</v>
      </c>
      <c r="AF1558" s="48"/>
      <c r="AG1558" s="48"/>
      <c r="AH1558" s="166" t="str">
        <f t="shared" si="660"/>
        <v/>
      </c>
      <c r="AI1558" s="168" t="str">
        <f t="shared" si="661"/>
        <v/>
      </c>
      <c r="AJ1558" s="168" t="str">
        <f t="shared" si="662"/>
        <v/>
      </c>
      <c r="AK1558" s="168" t="str">
        <f t="shared" si="663"/>
        <v/>
      </c>
      <c r="AL1558" s="168" t="str">
        <f t="shared" si="664"/>
        <v/>
      </c>
      <c r="AM1558" s="168" t="str">
        <f t="shared" si="665"/>
        <v/>
      </c>
      <c r="AN1558" s="167" t="str">
        <f t="shared" si="647"/>
        <v/>
      </c>
      <c r="AO1558" s="167" t="str">
        <f t="shared" si="648"/>
        <v/>
      </c>
      <c r="AP1558" s="167" t="str">
        <f t="shared" si="649"/>
        <v/>
      </c>
      <c r="AQ1558" s="169" t="str">
        <f t="shared" si="650"/>
        <v/>
      </c>
      <c r="AR1558" s="170" t="str">
        <f t="shared" si="651"/>
        <v/>
      </c>
      <c r="AS1558" s="169" t="str">
        <f t="shared" si="652"/>
        <v/>
      </c>
      <c r="AT1558">
        <f t="shared" si="653"/>
        <v>0</v>
      </c>
      <c r="AU1558" s="170" t="str">
        <f t="shared" si="654"/>
        <v/>
      </c>
      <c r="AV1558" s="169" t="str">
        <f t="shared" si="655"/>
        <v/>
      </c>
      <c r="AW1558" s="170" t="str">
        <f t="shared" si="656"/>
        <v/>
      </c>
      <c r="AX1558" s="169" t="str">
        <f t="shared" si="657"/>
        <v/>
      </c>
      <c r="AY1558" t="str">
        <f t="shared" si="658"/>
        <v>"K11"</v>
      </c>
      <c r="AZ1558" t="str">
        <f t="shared" si="659"/>
        <v>"K12"</v>
      </c>
    </row>
    <row r="1559" spans="1:52" x14ac:dyDescent="0.35">
      <c r="A1559" s="496" t="s">
        <v>4179</v>
      </c>
      <c r="B1559" s="1"/>
      <c r="C1559" s="1"/>
      <c r="D1559" s="1" t="s">
        <v>4179</v>
      </c>
      <c r="E1559" s="1" t="s">
        <v>4179</v>
      </c>
      <c r="F1559" s="375"/>
      <c r="G1559" s="432"/>
      <c r="H1559" s="401"/>
      <c r="I1559" s="578"/>
      <c r="J1559" s="549" t="s">
        <v>4179</v>
      </c>
      <c r="K1559" s="11"/>
      <c r="N1559" s="29"/>
      <c r="O1559" s="74">
        <v>2</v>
      </c>
      <c r="P1559" s="29">
        <v>3</v>
      </c>
      <c r="Q1559" s="29">
        <v>3</v>
      </c>
      <c r="R1559" s="29">
        <f>ROUND($Q1559*0.99^(R1556-$Q1556),2)</f>
        <v>2.97</v>
      </c>
      <c r="S1559" s="29">
        <f>ROUND($Q1559*0.99^(S1556-$Q1556),2)</f>
        <v>2.94</v>
      </c>
      <c r="T1559" s="29">
        <f>ROUND($Q1559*0.99^(T1556-$Q1556),2)</f>
        <v>2.91</v>
      </c>
      <c r="U1559" s="155">
        <v>1</v>
      </c>
      <c r="V1559" s="29">
        <v>6</v>
      </c>
      <c r="W1559" s="29">
        <v>4</v>
      </c>
      <c r="X1559" s="29">
        <v>2.5</v>
      </c>
      <c r="Y1559" s="29">
        <v>7</v>
      </c>
      <c r="Z1559" s="29">
        <v>11</v>
      </c>
      <c r="AA1559" s="29">
        <v>8</v>
      </c>
      <c r="AB1559" s="29">
        <v>9</v>
      </c>
      <c r="AC1559" s="29">
        <v>13</v>
      </c>
      <c r="AD1559" s="29">
        <v>10</v>
      </c>
      <c r="AE1559" s="74">
        <v>2</v>
      </c>
      <c r="AF1559" s="156"/>
      <c r="AG1559" s="156"/>
      <c r="AH1559" s="166" t="str">
        <f t="shared" si="660"/>
        <v/>
      </c>
      <c r="AI1559" s="168" t="str">
        <f t="shared" si="661"/>
        <v/>
      </c>
      <c r="AJ1559" s="168" t="str">
        <f t="shared" si="662"/>
        <v/>
      </c>
      <c r="AK1559" s="168" t="str">
        <f t="shared" si="663"/>
        <v/>
      </c>
      <c r="AL1559" s="168" t="str">
        <f t="shared" si="664"/>
        <v/>
      </c>
      <c r="AM1559" s="168" t="str">
        <f t="shared" si="665"/>
        <v/>
      </c>
      <c r="AN1559" s="167" t="str">
        <f t="shared" si="647"/>
        <v/>
      </c>
      <c r="AO1559" s="167" t="str">
        <f t="shared" si="648"/>
        <v/>
      </c>
      <c r="AP1559" s="167" t="str">
        <f t="shared" si="649"/>
        <v/>
      </c>
      <c r="AQ1559" s="169" t="str">
        <f t="shared" si="650"/>
        <v/>
      </c>
      <c r="AR1559" s="170" t="str">
        <f t="shared" si="651"/>
        <v/>
      </c>
      <c r="AS1559" s="169" t="str">
        <f t="shared" si="652"/>
        <v/>
      </c>
      <c r="AT1559">
        <f t="shared" si="653"/>
        <v>0</v>
      </c>
      <c r="AU1559" s="170" t="str">
        <f t="shared" si="654"/>
        <v/>
      </c>
      <c r="AV1559" s="169" t="str">
        <f t="shared" si="655"/>
        <v/>
      </c>
      <c r="AW1559" s="170" t="str">
        <f t="shared" si="656"/>
        <v/>
      </c>
      <c r="AX1559" s="169" t="str">
        <f t="shared" si="657"/>
        <v/>
      </c>
      <c r="AY1559" t="str">
        <f t="shared" si="658"/>
        <v>2,94</v>
      </c>
      <c r="AZ1559" t="str">
        <f t="shared" si="659"/>
        <v>2,91</v>
      </c>
    </row>
    <row r="1560" spans="1:52" x14ac:dyDescent="0.35">
      <c r="A1560" s="505" t="s">
        <v>533</v>
      </c>
      <c r="B1560" s="23" t="s">
        <v>5547</v>
      </c>
      <c r="C1560" s="23" t="s">
        <v>1304</v>
      </c>
      <c r="D1560" s="23" t="s">
        <v>1780</v>
      </c>
      <c r="E1560" s="23" t="s">
        <v>4809</v>
      </c>
      <c r="F1560" s="378">
        <f t="shared" ref="F1560:F1623" si="666">M1560</f>
        <v>11.67</v>
      </c>
      <c r="G1560" s="434">
        <v>11.67</v>
      </c>
      <c r="H1560" s="403">
        <f t="shared" ref="H1560:H1623" si="667">IF(ISNUMBER(G1560),ROUND(0.8*G1560,2),"")</f>
        <v>9.34</v>
      </c>
      <c r="I1560" s="581"/>
      <c r="J1560" s="549" t="s">
        <v>5804</v>
      </c>
      <c r="K1560" s="11"/>
      <c r="M1560" s="37">
        <f t="shared" ref="M1560:M1623" si="668">N1560+SUMIF(O1560:AG1560,"x",O$1559:AG$1559)</f>
        <v>11.67</v>
      </c>
      <c r="N1560" s="29">
        <v>11.67</v>
      </c>
      <c r="O1560" s="41"/>
      <c r="P1560" s="11"/>
      <c r="S1560" t="s">
        <v>4179</v>
      </c>
      <c r="T1560" t="s">
        <v>4179</v>
      </c>
      <c r="U1560" s="42"/>
      <c r="W1560" s="50"/>
      <c r="X1560" s="50"/>
      <c r="AA1560" s="50"/>
      <c r="AD1560" s="50"/>
      <c r="AE1560" s="75"/>
      <c r="AF1560" s="50"/>
      <c r="AG1560" s="50"/>
      <c r="AH1560" s="166" t="str">
        <f t="shared" si="660"/>
        <v/>
      </c>
      <c r="AI1560" s="168" t="str">
        <f t="shared" si="661"/>
        <v/>
      </c>
      <c r="AJ1560" s="168" t="str">
        <f t="shared" si="662"/>
        <v/>
      </c>
      <c r="AK1560" s="168" t="str">
        <f t="shared" si="663"/>
        <v/>
      </c>
      <c r="AL1560" s="168" t="str">
        <f t="shared" si="664"/>
        <v/>
      </c>
      <c r="AM1560" s="168" t="str">
        <f t="shared" si="665"/>
        <v/>
      </c>
      <c r="AN1560" s="167" t="str">
        <f t="shared" si="647"/>
        <v/>
      </c>
      <c r="AO1560" s="167" t="str">
        <f t="shared" si="648"/>
        <v/>
      </c>
      <c r="AP1560" s="167" t="str">
        <f t="shared" si="649"/>
        <v/>
      </c>
      <c r="AQ1560" s="169" t="str">
        <f t="shared" si="650"/>
        <v/>
      </c>
      <c r="AR1560" s="170" t="str">
        <f t="shared" si="651"/>
        <v>BiK81-------07</v>
      </c>
      <c r="AS1560" s="169" t="str">
        <f t="shared" si="652"/>
        <v/>
      </c>
      <c r="AT1560">
        <f t="shared" si="653"/>
        <v>14</v>
      </c>
      <c r="AU1560" s="170" t="str">
        <f t="shared" si="654"/>
        <v>0-0,15 MW</v>
      </c>
      <c r="AV1560" s="169" t="str">
        <f t="shared" si="655"/>
        <v/>
      </c>
      <c r="AW1560" s="170" t="str">
        <f t="shared" si="656"/>
        <v>Anteil Nicht-KWK</v>
      </c>
      <c r="AX1560" s="169" t="str">
        <f t="shared" si="657"/>
        <v/>
      </c>
      <c r="AY1560" t="str">
        <f t="shared" si="658"/>
        <v/>
      </c>
      <c r="AZ1560" t="str">
        <f t="shared" si="659"/>
        <v/>
      </c>
    </row>
    <row r="1561" spans="1:52" x14ac:dyDescent="0.35">
      <c r="A1561" s="505" t="s">
        <v>534</v>
      </c>
      <c r="B1561" s="23" t="s">
        <v>5547</v>
      </c>
      <c r="C1561" s="23" t="s">
        <v>1304</v>
      </c>
      <c r="D1561" s="24" t="s">
        <v>6863</v>
      </c>
      <c r="E1561" s="23" t="s">
        <v>4811</v>
      </c>
      <c r="F1561" s="378">
        <f t="shared" si="666"/>
        <v>13.67</v>
      </c>
      <c r="G1561" s="434">
        <v>13.67</v>
      </c>
      <c r="H1561" s="403">
        <f t="shared" si="667"/>
        <v>10.94</v>
      </c>
      <c r="I1561" s="581"/>
      <c r="J1561" s="549" t="s">
        <v>5804</v>
      </c>
      <c r="K1561" s="11"/>
      <c r="M1561" s="37">
        <f t="shared" si="668"/>
        <v>13.67</v>
      </c>
      <c r="N1561" s="29">
        <v>11.67</v>
      </c>
      <c r="O1561" s="41" t="s">
        <v>1017</v>
      </c>
      <c r="P1561" s="11"/>
      <c r="S1561" t="s">
        <v>4179</v>
      </c>
      <c r="T1561" t="s">
        <v>4179</v>
      </c>
      <c r="U1561" s="42"/>
      <c r="W1561" s="50"/>
      <c r="X1561" s="50"/>
      <c r="AA1561" s="50"/>
      <c r="AD1561" s="50"/>
      <c r="AE1561" s="75"/>
      <c r="AF1561" s="50"/>
      <c r="AG1561" s="50"/>
      <c r="AH1561" s="166" t="str">
        <f t="shared" si="660"/>
        <v/>
      </c>
      <c r="AI1561" s="168" t="str">
        <f t="shared" si="661"/>
        <v/>
      </c>
      <c r="AJ1561" s="168" t="str">
        <f t="shared" si="662"/>
        <v/>
      </c>
      <c r="AK1561" s="168" t="str">
        <f t="shared" si="663"/>
        <v/>
      </c>
      <c r="AL1561" s="168" t="str">
        <f t="shared" si="664"/>
        <v/>
      </c>
      <c r="AM1561" s="168" t="str">
        <f t="shared" si="665"/>
        <v/>
      </c>
      <c r="AN1561" s="167" t="str">
        <f t="shared" si="647"/>
        <v/>
      </c>
      <c r="AO1561" s="167" t="str">
        <f t="shared" si="648"/>
        <v/>
      </c>
      <c r="AP1561" s="167" t="str">
        <f t="shared" si="649"/>
        <v/>
      </c>
      <c r="AQ1561" s="169" t="str">
        <f t="shared" si="650"/>
        <v/>
      </c>
      <c r="AR1561" s="170" t="str">
        <f t="shared" si="651"/>
        <v>BiK81KWK----07</v>
      </c>
      <c r="AS1561" s="169" t="str">
        <f t="shared" si="652"/>
        <v/>
      </c>
      <c r="AT1561">
        <f t="shared" si="653"/>
        <v>14</v>
      </c>
      <c r="AU1561" s="170" t="str">
        <f t="shared" si="654"/>
        <v>0-0,15 MW, Bonusregel KWK</v>
      </c>
      <c r="AV1561" s="169" t="str">
        <f t="shared" si="655"/>
        <v/>
      </c>
      <c r="AW1561" s="170" t="str">
        <f t="shared" si="656"/>
        <v>Anteil KWK</v>
      </c>
      <c r="AX1561" s="169" t="str">
        <f t="shared" si="657"/>
        <v/>
      </c>
      <c r="AY1561" t="str">
        <f t="shared" si="658"/>
        <v/>
      </c>
      <c r="AZ1561" t="str">
        <f t="shared" si="659"/>
        <v/>
      </c>
    </row>
    <row r="1562" spans="1:52" x14ac:dyDescent="0.35">
      <c r="A1562" s="497" t="s">
        <v>4357</v>
      </c>
      <c r="B1562" s="13" t="s">
        <v>5547</v>
      </c>
      <c r="C1562" s="13" t="s">
        <v>1304</v>
      </c>
      <c r="D1562" s="13" t="s">
        <v>6864</v>
      </c>
      <c r="E1562" s="13" t="s">
        <v>4330</v>
      </c>
      <c r="F1562" s="373">
        <f t="shared" si="666"/>
        <v>14.67</v>
      </c>
      <c r="G1562" s="430">
        <v>14.67</v>
      </c>
      <c r="H1562" s="399">
        <f t="shared" si="667"/>
        <v>11.74</v>
      </c>
      <c r="I1562" s="576"/>
      <c r="J1562" s="549" t="s">
        <v>5804</v>
      </c>
      <c r="K1562" s="11"/>
      <c r="M1562" s="37">
        <f t="shared" si="668"/>
        <v>14.67</v>
      </c>
      <c r="N1562" s="29">
        <v>11.67</v>
      </c>
      <c r="O1562" s="41"/>
      <c r="P1562" t="s">
        <v>1017</v>
      </c>
      <c r="S1562" t="s">
        <v>4179</v>
      </c>
      <c r="T1562" t="s">
        <v>4179</v>
      </c>
      <c r="U1562" s="42"/>
      <c r="W1562" s="50"/>
      <c r="X1562" s="50"/>
      <c r="AA1562" s="50"/>
      <c r="AD1562" s="50"/>
      <c r="AE1562" s="75"/>
      <c r="AF1562" s="50"/>
      <c r="AG1562" s="50"/>
      <c r="AH1562" s="166" t="str">
        <f t="shared" si="660"/>
        <v/>
      </c>
      <c r="AI1562" s="168" t="str">
        <f t="shared" si="661"/>
        <v/>
      </c>
      <c r="AJ1562" s="168" t="str">
        <f t="shared" si="662"/>
        <v/>
      </c>
      <c r="AK1562" s="168" t="str">
        <f t="shared" si="663"/>
        <v/>
      </c>
      <c r="AL1562" s="168" t="str">
        <f t="shared" si="664"/>
        <v/>
      </c>
      <c r="AM1562" s="168" t="str">
        <f t="shared" si="665"/>
        <v/>
      </c>
      <c r="AN1562" s="167" t="str">
        <f t="shared" si="647"/>
        <v/>
      </c>
      <c r="AO1562" s="167" t="str">
        <f t="shared" si="648"/>
        <v/>
      </c>
      <c r="AP1562" s="167" t="str">
        <f t="shared" si="649"/>
        <v/>
      </c>
      <c r="AQ1562" s="169" t="str">
        <f t="shared" si="650"/>
        <v/>
      </c>
      <c r="AR1562" s="170" t="str">
        <f t="shared" si="651"/>
        <v>BiK81KA3----07</v>
      </c>
      <c r="AS1562" s="169" t="str">
        <f t="shared" si="652"/>
        <v/>
      </c>
      <c r="AT1562">
        <f t="shared" si="653"/>
        <v>14</v>
      </c>
      <c r="AU1562" s="170" t="str">
        <f t="shared" si="654"/>
        <v>0-0,15 MW, Bonusregel K wenn Anlage 3 erfüllt</v>
      </c>
      <c r="AV1562" s="169" t="str">
        <f t="shared" si="655"/>
        <v/>
      </c>
      <c r="AW1562" s="170" t="str">
        <f t="shared" si="656"/>
        <v>Anteil KWK gemäß Anlage 3</v>
      </c>
      <c r="AX1562" s="169" t="str">
        <f t="shared" si="657"/>
        <v/>
      </c>
      <c r="AY1562" t="str">
        <f t="shared" si="658"/>
        <v/>
      </c>
      <c r="AZ1562" t="str">
        <f t="shared" si="659"/>
        <v/>
      </c>
    </row>
    <row r="1563" spans="1:52" x14ac:dyDescent="0.35">
      <c r="A1563" s="497" t="s">
        <v>2908</v>
      </c>
      <c r="B1563" s="13" t="s">
        <v>5547</v>
      </c>
      <c r="C1563" s="13" t="s">
        <v>1304</v>
      </c>
      <c r="D1563" s="13" t="s">
        <v>6865</v>
      </c>
      <c r="E1563" s="13" t="s">
        <v>674</v>
      </c>
      <c r="F1563" s="373">
        <f t="shared" si="666"/>
        <v>14.67</v>
      </c>
      <c r="G1563" s="430">
        <v>14.67</v>
      </c>
      <c r="H1563" s="399">
        <f t="shared" si="667"/>
        <v>11.74</v>
      </c>
      <c r="I1563" s="576"/>
      <c r="J1563" s="549" t="s">
        <v>5804</v>
      </c>
      <c r="K1563" s="11"/>
      <c r="M1563" s="37">
        <f t="shared" si="668"/>
        <v>14.67</v>
      </c>
      <c r="N1563" s="29">
        <v>11.67</v>
      </c>
      <c r="O1563" s="41"/>
      <c r="P1563" s="11"/>
      <c r="Q1563" t="s">
        <v>1017</v>
      </c>
      <c r="S1563" t="s">
        <v>4179</v>
      </c>
      <c r="T1563" t="s">
        <v>4179</v>
      </c>
      <c r="U1563" s="42"/>
      <c r="W1563" s="50"/>
      <c r="X1563" s="50"/>
      <c r="AA1563" s="50"/>
      <c r="AD1563" s="50"/>
      <c r="AE1563" s="75"/>
      <c r="AF1563" s="50"/>
      <c r="AG1563" s="50"/>
      <c r="AH1563" s="166" t="str">
        <f t="shared" si="660"/>
        <v/>
      </c>
      <c r="AI1563" s="168" t="str">
        <f t="shared" si="661"/>
        <v/>
      </c>
      <c r="AJ1563" s="168" t="str">
        <f t="shared" si="662"/>
        <v/>
      </c>
      <c r="AK1563" s="168" t="str">
        <f t="shared" si="663"/>
        <v/>
      </c>
      <c r="AL1563" s="168" t="str">
        <f t="shared" si="664"/>
        <v/>
      </c>
      <c r="AM1563" s="168" t="str">
        <f t="shared" si="665"/>
        <v/>
      </c>
      <c r="AN1563" s="167" t="str">
        <f t="shared" si="647"/>
        <v/>
      </c>
      <c r="AO1563" s="167" t="str">
        <f t="shared" si="648"/>
        <v/>
      </c>
      <c r="AP1563" s="167" t="str">
        <f t="shared" si="649"/>
        <v/>
      </c>
      <c r="AQ1563" s="169" t="str">
        <f t="shared" si="650"/>
        <v/>
      </c>
      <c r="AR1563" s="170" t="str">
        <f t="shared" si="651"/>
        <v>BiK81K09----07</v>
      </c>
      <c r="AS1563" s="169" t="str">
        <f t="shared" si="652"/>
        <v/>
      </c>
      <c r="AT1563">
        <f t="shared" si="653"/>
        <v>14</v>
      </c>
      <c r="AU1563" s="170" t="str">
        <f t="shared" si="654"/>
        <v>0-0,15 MW, Bonusregel K erstmals 2009</v>
      </c>
      <c r="AV1563" s="169" t="str">
        <f t="shared" si="655"/>
        <v/>
      </c>
      <c r="AW1563" s="170" t="str">
        <f t="shared" si="656"/>
        <v>Anteil KWK, erstmals 2009</v>
      </c>
      <c r="AX1563" s="169" t="str">
        <f t="shared" si="657"/>
        <v/>
      </c>
      <c r="AY1563" t="str">
        <f t="shared" si="658"/>
        <v/>
      </c>
      <c r="AZ1563" t="str">
        <f t="shared" si="659"/>
        <v/>
      </c>
    </row>
    <row r="1564" spans="1:52" x14ac:dyDescent="0.35">
      <c r="A1564" s="497" t="s">
        <v>4940</v>
      </c>
      <c r="B1564" s="13" t="s">
        <v>5547</v>
      </c>
      <c r="C1564" s="13" t="s">
        <v>1304</v>
      </c>
      <c r="D1564" s="13" t="s">
        <v>6866</v>
      </c>
      <c r="E1564" s="13" t="s">
        <v>3566</v>
      </c>
      <c r="F1564" s="373">
        <f t="shared" si="666"/>
        <v>14.64</v>
      </c>
      <c r="G1564" s="430">
        <v>14.64</v>
      </c>
      <c r="H1564" s="399">
        <f t="shared" si="667"/>
        <v>11.71</v>
      </c>
      <c r="I1564" s="576"/>
      <c r="J1564" s="549" t="s">
        <v>5804</v>
      </c>
      <c r="K1564" s="11"/>
      <c r="M1564" s="37">
        <f t="shared" si="668"/>
        <v>14.64</v>
      </c>
      <c r="N1564" s="29">
        <v>11.67</v>
      </c>
      <c r="O1564" s="41"/>
      <c r="P1564" s="11"/>
      <c r="R1564" t="s">
        <v>1017</v>
      </c>
      <c r="S1564" t="s">
        <v>4179</v>
      </c>
      <c r="T1564" t="s">
        <v>4179</v>
      </c>
      <c r="U1564" s="42"/>
      <c r="W1564" s="50"/>
      <c r="X1564" s="50"/>
      <c r="AA1564" s="50"/>
      <c r="AD1564" s="50"/>
      <c r="AE1564" s="75"/>
      <c r="AF1564" s="50"/>
      <c r="AG1564" s="50"/>
      <c r="AH1564" s="166" t="str">
        <f t="shared" si="660"/>
        <v>2010</v>
      </c>
      <c r="AI1564" s="168" t="str">
        <f t="shared" si="661"/>
        <v/>
      </c>
      <c r="AJ1564" s="168" t="str">
        <f t="shared" si="662"/>
        <v/>
      </c>
      <c r="AK1564" s="168" t="str">
        <f t="shared" si="663"/>
        <v/>
      </c>
      <c r="AL1564" s="168" t="str">
        <f t="shared" si="664"/>
        <v/>
      </c>
      <c r="AM1564" s="168" t="str">
        <f t="shared" si="665"/>
        <v/>
      </c>
      <c r="AN1564" s="167" t="str">
        <f t="shared" si="647"/>
        <v>2010</v>
      </c>
      <c r="AO1564" s="167" t="str">
        <f t="shared" si="648"/>
        <v>2010</v>
      </c>
      <c r="AP1564" s="167" t="str">
        <f t="shared" si="649"/>
        <v>2010</v>
      </c>
      <c r="AQ1564" s="169" t="str">
        <f t="shared" si="650"/>
        <v/>
      </c>
      <c r="AR1564" s="170" t="str">
        <f t="shared" si="651"/>
        <v>BiK81K10----07</v>
      </c>
      <c r="AS1564" s="169" t="str">
        <f t="shared" si="652"/>
        <v/>
      </c>
      <c r="AT1564">
        <f t="shared" si="653"/>
        <v>14</v>
      </c>
      <c r="AU1564" s="170" t="str">
        <f t="shared" si="654"/>
        <v>0-0,15 MW, Bonusregel K erstmals 2010</v>
      </c>
      <c r="AV1564" s="169" t="str">
        <f t="shared" si="655"/>
        <v/>
      </c>
      <c r="AW1564" s="170" t="str">
        <f t="shared" si="656"/>
        <v>Anteil KWK, erstmals 2010</v>
      </c>
      <c r="AX1564" s="169" t="str">
        <f t="shared" si="657"/>
        <v/>
      </c>
      <c r="AY1564" t="str">
        <f t="shared" si="658"/>
        <v/>
      </c>
      <c r="AZ1564" t="str">
        <f t="shared" si="659"/>
        <v/>
      </c>
    </row>
    <row r="1565" spans="1:52" x14ac:dyDescent="0.35">
      <c r="A1565" s="497" t="s">
        <v>3987</v>
      </c>
      <c r="B1565" s="13" t="s">
        <v>5547</v>
      </c>
      <c r="C1565" s="13" t="s">
        <v>1304</v>
      </c>
      <c r="D1565" s="13" t="s">
        <v>6867</v>
      </c>
      <c r="E1565" s="13" t="s">
        <v>3054</v>
      </c>
      <c r="F1565" s="373">
        <f t="shared" si="666"/>
        <v>14.61</v>
      </c>
      <c r="G1565" s="430">
        <v>14.61</v>
      </c>
      <c r="H1565" s="399">
        <f t="shared" si="667"/>
        <v>11.69</v>
      </c>
      <c r="I1565" s="576"/>
      <c r="J1565" s="549" t="s">
        <v>5804</v>
      </c>
      <c r="K1565" s="11"/>
      <c r="M1565" s="37">
        <f t="shared" si="668"/>
        <v>14.61</v>
      </c>
      <c r="N1565" s="29">
        <v>11.67</v>
      </c>
      <c r="O1565" s="41"/>
      <c r="P1565" s="11"/>
      <c r="S1565" t="s">
        <v>1017</v>
      </c>
      <c r="T1565" t="s">
        <v>4179</v>
      </c>
      <c r="U1565" s="42"/>
      <c r="W1565" s="50"/>
      <c r="X1565" s="50"/>
      <c r="AA1565" s="50"/>
      <c r="AD1565" s="50"/>
      <c r="AE1565" s="75"/>
      <c r="AF1565" s="50"/>
      <c r="AG1565" s="50"/>
      <c r="AH1565" s="166" t="str">
        <f t="shared" si="660"/>
        <v>2011</v>
      </c>
      <c r="AI1565" s="168" t="str">
        <f t="shared" si="661"/>
        <v/>
      </c>
      <c r="AJ1565" s="168" t="str">
        <f t="shared" si="662"/>
        <v/>
      </c>
      <c r="AK1565" s="168" t="str">
        <f t="shared" si="663"/>
        <v/>
      </c>
      <c r="AL1565" s="168" t="str">
        <f t="shared" si="664"/>
        <v/>
      </c>
      <c r="AM1565" s="168" t="str">
        <f t="shared" si="665"/>
        <v/>
      </c>
      <c r="AN1565" s="167" t="str">
        <f t="shared" si="647"/>
        <v>2011</v>
      </c>
      <c r="AO1565" s="167" t="str">
        <f t="shared" si="648"/>
        <v>2011</v>
      </c>
      <c r="AP1565" s="167" t="str">
        <f t="shared" si="649"/>
        <v>2011</v>
      </c>
      <c r="AQ1565" s="169" t="str">
        <f t="shared" si="650"/>
        <v/>
      </c>
      <c r="AR1565" s="170" t="str">
        <f t="shared" si="651"/>
        <v>BiK81K11----07</v>
      </c>
      <c r="AS1565" s="169" t="str">
        <f t="shared" si="652"/>
        <v/>
      </c>
      <c r="AT1565">
        <f t="shared" si="653"/>
        <v>14</v>
      </c>
      <c r="AU1565" s="170" t="str">
        <f t="shared" si="654"/>
        <v>0-0,15 MW, Bonusregel K erstmals 2011</v>
      </c>
      <c r="AV1565" s="169" t="str">
        <f t="shared" si="655"/>
        <v/>
      </c>
      <c r="AW1565" s="170" t="str">
        <f t="shared" si="656"/>
        <v>Anteil KWK, erstmals 2011</v>
      </c>
      <c r="AX1565" s="169" t="str">
        <f t="shared" si="657"/>
        <v/>
      </c>
      <c r="AY1565" t="str">
        <f t="shared" si="658"/>
        <v>x</v>
      </c>
      <c r="AZ1565" t="str">
        <f t="shared" si="659"/>
        <v/>
      </c>
    </row>
    <row r="1566" spans="1:52" x14ac:dyDescent="0.35">
      <c r="A1566" s="511" t="s">
        <v>1810</v>
      </c>
      <c r="B1566" s="173" t="s">
        <v>5547</v>
      </c>
      <c r="C1566" s="173" t="s">
        <v>1304</v>
      </c>
      <c r="D1566" s="173" t="s">
        <v>6868</v>
      </c>
      <c r="E1566" s="173" t="s">
        <v>1980</v>
      </c>
      <c r="F1566" s="374">
        <f t="shared" si="666"/>
        <v>14.58</v>
      </c>
      <c r="G1566" s="431">
        <v>14.58</v>
      </c>
      <c r="H1566" s="400">
        <f t="shared" si="667"/>
        <v>11.66</v>
      </c>
      <c r="I1566" s="577"/>
      <c r="J1566" s="549" t="s">
        <v>5804</v>
      </c>
      <c r="K1566" s="11"/>
      <c r="M1566" s="37">
        <f t="shared" si="668"/>
        <v>14.58</v>
      </c>
      <c r="N1566" s="29">
        <v>11.67</v>
      </c>
      <c r="O1566" s="41"/>
      <c r="P1566" s="11"/>
      <c r="S1566" t="s">
        <v>4179</v>
      </c>
      <c r="T1566" t="s">
        <v>1017</v>
      </c>
      <c r="U1566" s="42"/>
      <c r="W1566" s="50"/>
      <c r="X1566" s="50"/>
      <c r="AA1566" s="50"/>
      <c r="AD1566" s="50"/>
      <c r="AE1566" s="75"/>
      <c r="AF1566" s="50"/>
      <c r="AG1566" s="50"/>
      <c r="AH1566" s="171" t="s">
        <v>4178</v>
      </c>
      <c r="AI1566" s="168" t="str">
        <f t="shared" si="661"/>
        <v/>
      </c>
      <c r="AJ1566" s="168" t="str">
        <f t="shared" si="662"/>
        <v/>
      </c>
      <c r="AK1566" s="168" t="str">
        <f t="shared" si="663"/>
        <v/>
      </c>
      <c r="AL1566" s="168" t="str">
        <f t="shared" si="664"/>
        <v/>
      </c>
      <c r="AM1566" s="168" t="str">
        <f t="shared" si="665"/>
        <v/>
      </c>
      <c r="AN1566" s="167" t="str">
        <f t="shared" si="647"/>
        <v>2012</v>
      </c>
      <c r="AO1566" s="167" t="str">
        <f t="shared" si="648"/>
        <v>2012</v>
      </c>
      <c r="AP1566" s="167" t="str">
        <f t="shared" si="649"/>
        <v>2012</v>
      </c>
      <c r="AQ1566" s="169" t="str">
        <f t="shared" si="650"/>
        <v/>
      </c>
      <c r="AR1566" s="170" t="str">
        <f t="shared" si="651"/>
        <v>BiK81K12----07</v>
      </c>
      <c r="AS1566" s="169" t="str">
        <f t="shared" si="652"/>
        <v/>
      </c>
      <c r="AT1566">
        <f t="shared" si="653"/>
        <v>14</v>
      </c>
      <c r="AU1566" s="170" t="str">
        <f t="shared" si="654"/>
        <v>0-0,15 MW, Bonusregel K erstmals 2012</v>
      </c>
      <c r="AV1566" s="169" t="str">
        <f t="shared" si="655"/>
        <v/>
      </c>
      <c r="AW1566" s="170" t="str">
        <f t="shared" si="656"/>
        <v>Anteil KWK, erstmals 2012</v>
      </c>
      <c r="AX1566" s="169" t="str">
        <f t="shared" si="657"/>
        <v/>
      </c>
      <c r="AY1566" t="str">
        <f t="shared" si="658"/>
        <v/>
      </c>
      <c r="AZ1566" t="str">
        <f t="shared" si="659"/>
        <v>x</v>
      </c>
    </row>
    <row r="1567" spans="1:52" x14ac:dyDescent="0.35">
      <c r="A1567" s="497" t="s">
        <v>2843</v>
      </c>
      <c r="B1567" s="13" t="s">
        <v>5547</v>
      </c>
      <c r="C1567" s="13" t="s">
        <v>1304</v>
      </c>
      <c r="D1567" s="17" t="s">
        <v>6869</v>
      </c>
      <c r="E1567" s="13" t="s">
        <v>4809</v>
      </c>
      <c r="F1567" s="373">
        <f t="shared" si="666"/>
        <v>12.67</v>
      </c>
      <c r="G1567" s="430">
        <v>12.67</v>
      </c>
      <c r="H1567" s="399">
        <f t="shared" si="667"/>
        <v>10.14</v>
      </c>
      <c r="I1567" s="576"/>
      <c r="J1567" s="549" t="s">
        <v>5804</v>
      </c>
      <c r="K1567" s="11"/>
      <c r="M1567" s="37">
        <f t="shared" si="668"/>
        <v>12.67</v>
      </c>
      <c r="N1567" s="29">
        <v>11.67</v>
      </c>
      <c r="O1567" s="41"/>
      <c r="P1567" s="11"/>
      <c r="S1567" t="s">
        <v>4179</v>
      </c>
      <c r="T1567" t="s">
        <v>4179</v>
      </c>
      <c r="U1567" s="42" t="s">
        <v>1017</v>
      </c>
      <c r="W1567" s="50"/>
      <c r="X1567" s="50"/>
      <c r="AA1567" s="50"/>
      <c r="AD1567" s="50"/>
      <c r="AE1567" s="75"/>
      <c r="AF1567" s="50"/>
      <c r="AG1567" s="50"/>
      <c r="AH1567" s="166" t="str">
        <f t="shared" ref="AH1567:AH1572" si="669">IF(ISERROR(SEARCH("K erstmals 201",D1567)),"",RIGHT(D1567,4))</f>
        <v/>
      </c>
      <c r="AI1567" s="168" t="str">
        <f t="shared" si="661"/>
        <v/>
      </c>
      <c r="AJ1567" s="168" t="str">
        <f t="shared" si="662"/>
        <v/>
      </c>
      <c r="AK1567" s="168" t="str">
        <f t="shared" si="663"/>
        <v/>
      </c>
      <c r="AL1567" s="168" t="str">
        <f t="shared" si="664"/>
        <v/>
      </c>
      <c r="AM1567" s="168" t="str">
        <f t="shared" si="665"/>
        <v/>
      </c>
      <c r="AN1567" s="167" t="str">
        <f t="shared" si="647"/>
        <v/>
      </c>
      <c r="AO1567" s="167" t="str">
        <f t="shared" si="648"/>
        <v/>
      </c>
      <c r="AP1567" s="167" t="str">
        <f t="shared" si="649"/>
        <v/>
      </c>
      <c r="AQ1567" s="169" t="str">
        <f t="shared" si="650"/>
        <v/>
      </c>
      <c r="AR1567" s="170" t="str">
        <f t="shared" si="651"/>
        <v>BiK81y------07</v>
      </c>
      <c r="AS1567" s="169" t="str">
        <f t="shared" si="652"/>
        <v/>
      </c>
      <c r="AT1567">
        <f t="shared" si="653"/>
        <v>14</v>
      </c>
      <c r="AU1567" s="170" t="str">
        <f t="shared" si="654"/>
        <v>0-0,15 MW, Bonusregel y</v>
      </c>
      <c r="AV1567" s="169" t="str">
        <f t="shared" si="655"/>
        <v/>
      </c>
      <c r="AW1567" s="170" t="str">
        <f t="shared" si="656"/>
        <v>Anteil Nicht-KWK</v>
      </c>
      <c r="AX1567" s="169" t="str">
        <f t="shared" si="657"/>
        <v/>
      </c>
      <c r="AY1567" t="str">
        <f t="shared" si="658"/>
        <v/>
      </c>
      <c r="AZ1567" t="str">
        <f t="shared" si="659"/>
        <v/>
      </c>
    </row>
    <row r="1568" spans="1:52" x14ac:dyDescent="0.35">
      <c r="A1568" s="497" t="s">
        <v>2596</v>
      </c>
      <c r="B1568" s="13" t="s">
        <v>5547</v>
      </c>
      <c r="C1568" s="13" t="s">
        <v>1304</v>
      </c>
      <c r="D1568" s="17" t="s">
        <v>6870</v>
      </c>
      <c r="E1568" s="13" t="s">
        <v>4811</v>
      </c>
      <c r="F1568" s="373">
        <f t="shared" si="666"/>
        <v>14.67</v>
      </c>
      <c r="G1568" s="430">
        <v>14.67</v>
      </c>
      <c r="H1568" s="399">
        <f t="shared" si="667"/>
        <v>11.74</v>
      </c>
      <c r="I1568" s="576"/>
      <c r="J1568" s="549" t="s">
        <v>5804</v>
      </c>
      <c r="K1568" s="11"/>
      <c r="M1568" s="37">
        <f t="shared" si="668"/>
        <v>14.67</v>
      </c>
      <c r="N1568" s="29">
        <v>11.67</v>
      </c>
      <c r="O1568" s="41" t="s">
        <v>1017</v>
      </c>
      <c r="P1568" s="11"/>
      <c r="S1568" t="s">
        <v>4179</v>
      </c>
      <c r="T1568" t="s">
        <v>4179</v>
      </c>
      <c r="U1568" s="42" t="s">
        <v>1017</v>
      </c>
      <c r="W1568" s="50"/>
      <c r="X1568" s="50"/>
      <c r="AA1568" s="50"/>
      <c r="AD1568" s="50"/>
      <c r="AE1568" s="75"/>
      <c r="AF1568" s="50"/>
      <c r="AG1568" s="50"/>
      <c r="AH1568" s="166" t="str">
        <f t="shared" si="669"/>
        <v/>
      </c>
      <c r="AI1568" s="168" t="str">
        <f t="shared" si="661"/>
        <v/>
      </c>
      <c r="AJ1568" s="168" t="str">
        <f t="shared" si="662"/>
        <v/>
      </c>
      <c r="AK1568" s="168" t="str">
        <f t="shared" si="663"/>
        <v/>
      </c>
      <c r="AL1568" s="168" t="str">
        <f t="shared" si="664"/>
        <v/>
      </c>
      <c r="AM1568" s="168" t="str">
        <f t="shared" si="665"/>
        <v/>
      </c>
      <c r="AN1568" s="167" t="str">
        <f t="shared" si="647"/>
        <v/>
      </c>
      <c r="AO1568" s="167" t="str">
        <f t="shared" si="648"/>
        <v/>
      </c>
      <c r="AP1568" s="167" t="str">
        <f t="shared" si="649"/>
        <v/>
      </c>
      <c r="AQ1568" s="169" t="str">
        <f t="shared" si="650"/>
        <v/>
      </c>
      <c r="AR1568" s="170" t="str">
        <f t="shared" si="651"/>
        <v>BiK81KWKy---07</v>
      </c>
      <c r="AS1568" s="169" t="str">
        <f t="shared" si="652"/>
        <v/>
      </c>
      <c r="AT1568">
        <f t="shared" si="653"/>
        <v>14</v>
      </c>
      <c r="AU1568" s="170" t="str">
        <f t="shared" si="654"/>
        <v>0-0,15 MW, Bonusregeln y und KWK</v>
      </c>
      <c r="AV1568" s="169" t="str">
        <f t="shared" si="655"/>
        <v/>
      </c>
      <c r="AW1568" s="170" t="str">
        <f t="shared" si="656"/>
        <v>Anteil KWK</v>
      </c>
      <c r="AX1568" s="169" t="str">
        <f t="shared" si="657"/>
        <v/>
      </c>
      <c r="AY1568" t="str">
        <f t="shared" si="658"/>
        <v/>
      </c>
      <c r="AZ1568" t="str">
        <f t="shared" si="659"/>
        <v/>
      </c>
    </row>
    <row r="1569" spans="1:52" x14ac:dyDescent="0.35">
      <c r="A1569" s="497" t="s">
        <v>2841</v>
      </c>
      <c r="B1569" s="13" t="s">
        <v>5547</v>
      </c>
      <c r="C1569" s="13" t="s">
        <v>1304</v>
      </c>
      <c r="D1569" s="13" t="s">
        <v>6871</v>
      </c>
      <c r="E1569" s="13" t="s">
        <v>4330</v>
      </c>
      <c r="F1569" s="373">
        <f t="shared" si="666"/>
        <v>15.67</v>
      </c>
      <c r="G1569" s="430">
        <v>15.67</v>
      </c>
      <c r="H1569" s="399">
        <f t="shared" si="667"/>
        <v>12.54</v>
      </c>
      <c r="I1569" s="576"/>
      <c r="J1569" s="549" t="s">
        <v>5804</v>
      </c>
      <c r="K1569" s="11"/>
      <c r="M1569" s="37">
        <f t="shared" si="668"/>
        <v>15.67</v>
      </c>
      <c r="N1569" s="29">
        <v>11.67</v>
      </c>
      <c r="O1569" s="41"/>
      <c r="P1569" t="s">
        <v>1017</v>
      </c>
      <c r="S1569" t="s">
        <v>4179</v>
      </c>
      <c r="T1569" t="s">
        <v>4179</v>
      </c>
      <c r="U1569" s="42" t="s">
        <v>1017</v>
      </c>
      <c r="W1569" s="50"/>
      <c r="X1569" s="50"/>
      <c r="AA1569" s="50"/>
      <c r="AD1569" s="50"/>
      <c r="AE1569" s="75"/>
      <c r="AF1569" s="50"/>
      <c r="AG1569" s="50"/>
      <c r="AH1569" s="166" t="str">
        <f t="shared" si="669"/>
        <v/>
      </c>
      <c r="AI1569" s="168" t="str">
        <f t="shared" si="661"/>
        <v/>
      </c>
      <c r="AJ1569" s="168" t="str">
        <f t="shared" si="662"/>
        <v/>
      </c>
      <c r="AK1569" s="168" t="str">
        <f t="shared" si="663"/>
        <v/>
      </c>
      <c r="AL1569" s="168" t="str">
        <f t="shared" si="664"/>
        <v/>
      </c>
      <c r="AM1569" s="168" t="str">
        <f t="shared" si="665"/>
        <v/>
      </c>
      <c r="AN1569" s="167" t="str">
        <f t="shared" si="647"/>
        <v/>
      </c>
      <c r="AO1569" s="167" t="str">
        <f t="shared" si="648"/>
        <v/>
      </c>
      <c r="AP1569" s="167" t="str">
        <f t="shared" si="649"/>
        <v/>
      </c>
      <c r="AQ1569" s="169" t="str">
        <f t="shared" si="650"/>
        <v/>
      </c>
      <c r="AR1569" s="170" t="str">
        <f t="shared" si="651"/>
        <v>BiK81KA3y---07</v>
      </c>
      <c r="AS1569" s="169" t="str">
        <f t="shared" si="652"/>
        <v/>
      </c>
      <c r="AT1569">
        <f t="shared" si="653"/>
        <v>14</v>
      </c>
      <c r="AU1569" s="170" t="str">
        <f t="shared" si="654"/>
        <v>0-0,15 MW, Bonusregeln y und K wenn Anlage 3 erfüllt</v>
      </c>
      <c r="AV1569" s="169" t="str">
        <f t="shared" si="655"/>
        <v/>
      </c>
      <c r="AW1569" s="170" t="str">
        <f t="shared" si="656"/>
        <v>Anteil KWK gemäß Anlage 3</v>
      </c>
      <c r="AX1569" s="169" t="str">
        <f t="shared" si="657"/>
        <v/>
      </c>
      <c r="AY1569" t="str">
        <f t="shared" si="658"/>
        <v/>
      </c>
      <c r="AZ1569" t="str">
        <f t="shared" si="659"/>
        <v/>
      </c>
    </row>
    <row r="1570" spans="1:52" x14ac:dyDescent="0.35">
      <c r="A1570" s="497" t="s">
        <v>2842</v>
      </c>
      <c r="B1570" s="13" t="s">
        <v>5547</v>
      </c>
      <c r="C1570" s="13" t="s">
        <v>1304</v>
      </c>
      <c r="D1570" s="13" t="s">
        <v>6872</v>
      </c>
      <c r="E1570" s="13" t="s">
        <v>674</v>
      </c>
      <c r="F1570" s="373">
        <f t="shared" si="666"/>
        <v>15.67</v>
      </c>
      <c r="G1570" s="430">
        <v>15.67</v>
      </c>
      <c r="H1570" s="399">
        <f t="shared" si="667"/>
        <v>12.54</v>
      </c>
      <c r="I1570" s="576"/>
      <c r="J1570" s="549" t="s">
        <v>5804</v>
      </c>
      <c r="K1570" s="11"/>
      <c r="M1570" s="37">
        <f t="shared" si="668"/>
        <v>15.67</v>
      </c>
      <c r="N1570" s="29">
        <v>11.67</v>
      </c>
      <c r="O1570" s="41"/>
      <c r="P1570" s="11"/>
      <c r="Q1570" t="s">
        <v>1017</v>
      </c>
      <c r="S1570" t="s">
        <v>4179</v>
      </c>
      <c r="T1570" t="s">
        <v>4179</v>
      </c>
      <c r="U1570" s="42" t="s">
        <v>1017</v>
      </c>
      <c r="W1570" s="50"/>
      <c r="X1570" s="50"/>
      <c r="AA1570" s="50"/>
      <c r="AD1570" s="50"/>
      <c r="AE1570" s="75"/>
      <c r="AF1570" s="50"/>
      <c r="AG1570" s="50"/>
      <c r="AH1570" s="166" t="str">
        <f t="shared" si="669"/>
        <v/>
      </c>
      <c r="AI1570" s="168" t="str">
        <f t="shared" si="661"/>
        <v/>
      </c>
      <c r="AJ1570" s="168" t="str">
        <f t="shared" si="662"/>
        <v/>
      </c>
      <c r="AK1570" s="168" t="str">
        <f t="shared" si="663"/>
        <v/>
      </c>
      <c r="AL1570" s="168" t="str">
        <f t="shared" si="664"/>
        <v/>
      </c>
      <c r="AM1570" s="168" t="str">
        <f t="shared" si="665"/>
        <v/>
      </c>
      <c r="AN1570" s="167" t="str">
        <f t="shared" si="647"/>
        <v/>
      </c>
      <c r="AO1570" s="167" t="str">
        <f t="shared" si="648"/>
        <v/>
      </c>
      <c r="AP1570" s="167" t="str">
        <f t="shared" si="649"/>
        <v/>
      </c>
      <c r="AQ1570" s="169" t="str">
        <f t="shared" si="650"/>
        <v/>
      </c>
      <c r="AR1570" s="170" t="str">
        <f t="shared" si="651"/>
        <v>BiK81K09y---07</v>
      </c>
      <c r="AS1570" s="169" t="str">
        <f t="shared" si="652"/>
        <v/>
      </c>
      <c r="AT1570">
        <f t="shared" si="653"/>
        <v>14</v>
      </c>
      <c r="AU1570" s="170" t="str">
        <f t="shared" si="654"/>
        <v>0-0,15 MW, Bonusregeln y und K erstmals 2009</v>
      </c>
      <c r="AV1570" s="169" t="str">
        <f t="shared" si="655"/>
        <v/>
      </c>
      <c r="AW1570" s="170" t="str">
        <f t="shared" si="656"/>
        <v>Anteil KWK, erstmals 2009</v>
      </c>
      <c r="AX1570" s="169" t="str">
        <f t="shared" si="657"/>
        <v/>
      </c>
      <c r="AY1570" t="str">
        <f t="shared" si="658"/>
        <v/>
      </c>
      <c r="AZ1570" t="str">
        <f t="shared" si="659"/>
        <v/>
      </c>
    </row>
    <row r="1571" spans="1:52" x14ac:dyDescent="0.35">
      <c r="A1571" s="497" t="s">
        <v>4941</v>
      </c>
      <c r="B1571" s="13" t="s">
        <v>5547</v>
      </c>
      <c r="C1571" s="13" t="s">
        <v>1304</v>
      </c>
      <c r="D1571" s="13" t="s">
        <v>6873</v>
      </c>
      <c r="E1571" s="13" t="s">
        <v>3566</v>
      </c>
      <c r="F1571" s="373">
        <f t="shared" si="666"/>
        <v>15.64</v>
      </c>
      <c r="G1571" s="430">
        <v>15.64</v>
      </c>
      <c r="H1571" s="399">
        <f t="shared" si="667"/>
        <v>12.51</v>
      </c>
      <c r="I1571" s="576"/>
      <c r="J1571" s="549" t="s">
        <v>5804</v>
      </c>
      <c r="K1571" s="11"/>
      <c r="M1571" s="37">
        <f t="shared" si="668"/>
        <v>15.64</v>
      </c>
      <c r="N1571" s="29">
        <v>11.67</v>
      </c>
      <c r="O1571" s="41"/>
      <c r="P1571" s="11"/>
      <c r="R1571" t="s">
        <v>1017</v>
      </c>
      <c r="S1571" t="s">
        <v>4179</v>
      </c>
      <c r="T1571" t="s">
        <v>4179</v>
      </c>
      <c r="U1571" s="42" t="s">
        <v>1017</v>
      </c>
      <c r="W1571" s="50"/>
      <c r="X1571" s="50"/>
      <c r="AA1571" s="50"/>
      <c r="AD1571" s="50"/>
      <c r="AE1571" s="75"/>
      <c r="AF1571" s="50"/>
      <c r="AG1571" s="50"/>
      <c r="AH1571" s="166" t="str">
        <f t="shared" si="669"/>
        <v>2010</v>
      </c>
      <c r="AI1571" s="168" t="str">
        <f t="shared" si="661"/>
        <v/>
      </c>
      <c r="AJ1571" s="168" t="str">
        <f t="shared" si="662"/>
        <v/>
      </c>
      <c r="AK1571" s="168" t="str">
        <f t="shared" si="663"/>
        <v/>
      </c>
      <c r="AL1571" s="168" t="str">
        <f t="shared" si="664"/>
        <v/>
      </c>
      <c r="AM1571" s="168" t="str">
        <f t="shared" si="665"/>
        <v/>
      </c>
      <c r="AN1571" s="167" t="str">
        <f t="shared" si="647"/>
        <v>2010</v>
      </c>
      <c r="AO1571" s="167" t="str">
        <f t="shared" si="648"/>
        <v>2010</v>
      </c>
      <c r="AP1571" s="167" t="str">
        <f t="shared" si="649"/>
        <v>2010</v>
      </c>
      <c r="AQ1571" s="169" t="str">
        <f t="shared" si="650"/>
        <v/>
      </c>
      <c r="AR1571" s="170" t="str">
        <f t="shared" si="651"/>
        <v>BiK81K10y---07</v>
      </c>
      <c r="AS1571" s="169" t="str">
        <f t="shared" si="652"/>
        <v/>
      </c>
      <c r="AT1571">
        <f t="shared" si="653"/>
        <v>14</v>
      </c>
      <c r="AU1571" s="170" t="str">
        <f t="shared" si="654"/>
        <v>0-0,15 MW, Bonusregeln y und K erstmals 2010</v>
      </c>
      <c r="AV1571" s="169" t="str">
        <f t="shared" si="655"/>
        <v/>
      </c>
      <c r="AW1571" s="170" t="str">
        <f t="shared" si="656"/>
        <v>Anteil KWK, erstmals 2010</v>
      </c>
      <c r="AX1571" s="169" t="str">
        <f t="shared" si="657"/>
        <v/>
      </c>
      <c r="AY1571" t="str">
        <f t="shared" si="658"/>
        <v/>
      </c>
      <c r="AZ1571" t="str">
        <f t="shared" si="659"/>
        <v/>
      </c>
    </row>
    <row r="1572" spans="1:52" x14ac:dyDescent="0.35">
      <c r="A1572" s="497" t="s">
        <v>3988</v>
      </c>
      <c r="B1572" s="13" t="s">
        <v>5547</v>
      </c>
      <c r="C1572" s="13" t="s">
        <v>1304</v>
      </c>
      <c r="D1572" s="13" t="s">
        <v>6874</v>
      </c>
      <c r="E1572" s="13" t="s">
        <v>3054</v>
      </c>
      <c r="F1572" s="373">
        <f t="shared" si="666"/>
        <v>15.61</v>
      </c>
      <c r="G1572" s="430">
        <v>15.61</v>
      </c>
      <c r="H1572" s="399">
        <f t="shared" si="667"/>
        <v>12.49</v>
      </c>
      <c r="I1572" s="576"/>
      <c r="J1572" s="549" t="s">
        <v>5804</v>
      </c>
      <c r="K1572" s="11"/>
      <c r="M1572" s="37">
        <f t="shared" si="668"/>
        <v>15.61</v>
      </c>
      <c r="N1572" s="29">
        <v>11.67</v>
      </c>
      <c r="O1572" s="41"/>
      <c r="P1572" s="11"/>
      <c r="S1572" t="s">
        <v>1017</v>
      </c>
      <c r="T1572" t="s">
        <v>4179</v>
      </c>
      <c r="U1572" s="42" t="s">
        <v>1017</v>
      </c>
      <c r="W1572" s="50"/>
      <c r="X1572" s="50"/>
      <c r="AA1572" s="50"/>
      <c r="AD1572" s="50"/>
      <c r="AE1572" s="75"/>
      <c r="AF1572" s="50"/>
      <c r="AG1572" s="50"/>
      <c r="AH1572" s="166" t="str">
        <f t="shared" si="669"/>
        <v>2011</v>
      </c>
      <c r="AI1572" s="168" t="str">
        <f t="shared" si="661"/>
        <v/>
      </c>
      <c r="AJ1572" s="168" t="str">
        <f t="shared" si="662"/>
        <v/>
      </c>
      <c r="AK1572" s="168" t="str">
        <f t="shared" si="663"/>
        <v/>
      </c>
      <c r="AL1572" s="168" t="str">
        <f t="shared" si="664"/>
        <v/>
      </c>
      <c r="AM1572" s="168" t="str">
        <f t="shared" si="665"/>
        <v/>
      </c>
      <c r="AN1572" s="167" t="str">
        <f t="shared" si="647"/>
        <v>2011</v>
      </c>
      <c r="AO1572" s="167" t="str">
        <f t="shared" si="648"/>
        <v>2011</v>
      </c>
      <c r="AP1572" s="167" t="str">
        <f t="shared" si="649"/>
        <v>2011</v>
      </c>
      <c r="AQ1572" s="169" t="str">
        <f t="shared" si="650"/>
        <v/>
      </c>
      <c r="AR1572" s="170" t="str">
        <f t="shared" si="651"/>
        <v>BiK81K11y---07</v>
      </c>
      <c r="AS1572" s="169" t="str">
        <f t="shared" si="652"/>
        <v/>
      </c>
      <c r="AT1572">
        <f t="shared" si="653"/>
        <v>14</v>
      </c>
      <c r="AU1572" s="170" t="str">
        <f t="shared" si="654"/>
        <v>0-0,15 MW, Bonusregeln y und K erstmals 2011</v>
      </c>
      <c r="AV1572" s="169" t="str">
        <f t="shared" si="655"/>
        <v/>
      </c>
      <c r="AW1572" s="170" t="str">
        <f t="shared" si="656"/>
        <v>Anteil KWK, erstmals 2011</v>
      </c>
      <c r="AX1572" s="169" t="str">
        <f t="shared" si="657"/>
        <v/>
      </c>
      <c r="AY1572" t="str">
        <f t="shared" si="658"/>
        <v>x</v>
      </c>
      <c r="AZ1572" t="str">
        <f t="shared" si="659"/>
        <v/>
      </c>
    </row>
    <row r="1573" spans="1:52" x14ac:dyDescent="0.35">
      <c r="A1573" s="511" t="s">
        <v>1811</v>
      </c>
      <c r="B1573" s="173" t="s">
        <v>5547</v>
      </c>
      <c r="C1573" s="173" t="s">
        <v>1304</v>
      </c>
      <c r="D1573" s="173" t="s">
        <v>6875</v>
      </c>
      <c r="E1573" s="173" t="s">
        <v>1980</v>
      </c>
      <c r="F1573" s="374">
        <f t="shared" si="666"/>
        <v>15.58</v>
      </c>
      <c r="G1573" s="431">
        <v>15.58</v>
      </c>
      <c r="H1573" s="400">
        <f t="shared" si="667"/>
        <v>12.46</v>
      </c>
      <c r="I1573" s="577"/>
      <c r="J1573" s="549" t="s">
        <v>5804</v>
      </c>
      <c r="K1573" s="11"/>
      <c r="M1573" s="37">
        <f t="shared" si="668"/>
        <v>15.58</v>
      </c>
      <c r="N1573" s="29">
        <v>11.67</v>
      </c>
      <c r="O1573" s="41"/>
      <c r="P1573" s="11"/>
      <c r="S1573" t="s">
        <v>4179</v>
      </c>
      <c r="T1573" t="s">
        <v>1017</v>
      </c>
      <c r="U1573" s="42" t="s">
        <v>1017</v>
      </c>
      <c r="W1573" s="50"/>
      <c r="X1573" s="50"/>
      <c r="AA1573" s="50"/>
      <c r="AD1573" s="50"/>
      <c r="AE1573" s="75"/>
      <c r="AF1573" s="50"/>
      <c r="AG1573" s="50"/>
      <c r="AH1573" s="171" t="s">
        <v>4178</v>
      </c>
      <c r="AI1573" s="168" t="str">
        <f t="shared" si="661"/>
        <v/>
      </c>
      <c r="AJ1573" s="168" t="str">
        <f t="shared" si="662"/>
        <v/>
      </c>
      <c r="AK1573" s="168" t="str">
        <f t="shared" si="663"/>
        <v/>
      </c>
      <c r="AL1573" s="168" t="str">
        <f t="shared" si="664"/>
        <v/>
      </c>
      <c r="AM1573" s="168" t="str">
        <f t="shared" si="665"/>
        <v/>
      </c>
      <c r="AN1573" s="167" t="str">
        <f t="shared" si="647"/>
        <v>2012</v>
      </c>
      <c r="AO1573" s="167" t="str">
        <f t="shared" si="648"/>
        <v>2012</v>
      </c>
      <c r="AP1573" s="167" t="str">
        <f t="shared" si="649"/>
        <v>2012</v>
      </c>
      <c r="AQ1573" s="169" t="str">
        <f t="shared" si="650"/>
        <v/>
      </c>
      <c r="AR1573" s="170" t="str">
        <f t="shared" si="651"/>
        <v>BiK81K12y---07</v>
      </c>
      <c r="AS1573" s="169" t="str">
        <f t="shared" si="652"/>
        <v/>
      </c>
      <c r="AT1573">
        <f t="shared" si="653"/>
        <v>14</v>
      </c>
      <c r="AU1573" s="170" t="str">
        <f t="shared" si="654"/>
        <v>0-0,15 MW, Bonusregeln y und K erstmals 2012</v>
      </c>
      <c r="AV1573" s="169" t="str">
        <f t="shared" si="655"/>
        <v/>
      </c>
      <c r="AW1573" s="170" t="str">
        <f t="shared" si="656"/>
        <v>Anteil KWK, erstmals 2012</v>
      </c>
      <c r="AX1573" s="169" t="str">
        <f t="shared" si="657"/>
        <v/>
      </c>
      <c r="AY1573" t="str">
        <f t="shared" si="658"/>
        <v/>
      </c>
      <c r="AZ1573" t="str">
        <f t="shared" si="659"/>
        <v>x</v>
      </c>
    </row>
    <row r="1574" spans="1:52" x14ac:dyDescent="0.35">
      <c r="A1574" s="505" t="s">
        <v>535</v>
      </c>
      <c r="B1574" s="23" t="s">
        <v>5547</v>
      </c>
      <c r="C1574" s="23" t="s">
        <v>1304</v>
      </c>
      <c r="D1574" s="23" t="s">
        <v>6876</v>
      </c>
      <c r="E1574" s="23" t="s">
        <v>4809</v>
      </c>
      <c r="F1574" s="378">
        <f t="shared" si="666"/>
        <v>17.670000000000002</v>
      </c>
      <c r="G1574" s="434">
        <v>17.670000000000002</v>
      </c>
      <c r="H1574" s="403">
        <f t="shared" si="667"/>
        <v>14.14</v>
      </c>
      <c r="I1574" s="581"/>
      <c r="J1574" s="549" t="s">
        <v>5804</v>
      </c>
      <c r="K1574" s="11"/>
      <c r="M1574" s="37">
        <f t="shared" si="668"/>
        <v>17.670000000000002</v>
      </c>
      <c r="N1574" s="29">
        <v>11.67</v>
      </c>
      <c r="O1574" s="41"/>
      <c r="P1574" s="11"/>
      <c r="S1574" t="s">
        <v>4179</v>
      </c>
      <c r="T1574" t="s">
        <v>4179</v>
      </c>
      <c r="U1574" s="42"/>
      <c r="V1574" t="s">
        <v>1017</v>
      </c>
      <c r="W1574" s="50"/>
      <c r="X1574" s="50"/>
      <c r="AA1574" s="50"/>
      <c r="AD1574" s="50"/>
      <c r="AE1574" s="75"/>
      <c r="AF1574" s="50"/>
      <c r="AG1574" s="50"/>
      <c r="AH1574" s="166" t="str">
        <f t="shared" ref="AH1574:AH1579" si="670">IF(ISERROR(SEARCH("K erstmals 201",D1574)),"",RIGHT(D1574,4))</f>
        <v/>
      </c>
      <c r="AI1574" s="168" t="str">
        <f t="shared" si="661"/>
        <v/>
      </c>
      <c r="AJ1574" s="168" t="str">
        <f t="shared" si="662"/>
        <v/>
      </c>
      <c r="AK1574" s="168" t="str">
        <f t="shared" si="663"/>
        <v/>
      </c>
      <c r="AL1574" s="168" t="str">
        <f t="shared" si="664"/>
        <v/>
      </c>
      <c r="AM1574" s="168" t="str">
        <f t="shared" si="665"/>
        <v/>
      </c>
      <c r="AN1574" s="167" t="str">
        <f t="shared" si="647"/>
        <v/>
      </c>
      <c r="AO1574" s="167" t="str">
        <f t="shared" si="648"/>
        <v/>
      </c>
      <c r="AP1574" s="167" t="str">
        <f t="shared" si="649"/>
        <v/>
      </c>
      <c r="AQ1574" s="169" t="str">
        <f t="shared" si="650"/>
        <v/>
      </c>
      <c r="AR1574" s="170" t="str">
        <f t="shared" si="651"/>
        <v>BiK81a1-----07</v>
      </c>
      <c r="AS1574" s="169" t="str">
        <f t="shared" si="652"/>
        <v/>
      </c>
      <c r="AT1574">
        <f t="shared" si="653"/>
        <v>14</v>
      </c>
      <c r="AU1574" s="170" t="str">
        <f t="shared" si="654"/>
        <v>0-0,15 MW, Bonusregel a1</v>
      </c>
      <c r="AV1574" s="169" t="str">
        <f t="shared" si="655"/>
        <v/>
      </c>
      <c r="AW1574" s="170" t="str">
        <f t="shared" si="656"/>
        <v>Anteil Nicht-KWK</v>
      </c>
      <c r="AX1574" s="169" t="str">
        <f t="shared" si="657"/>
        <v/>
      </c>
      <c r="AY1574" t="str">
        <f t="shared" si="658"/>
        <v/>
      </c>
      <c r="AZ1574" t="str">
        <f t="shared" si="659"/>
        <v/>
      </c>
    </row>
    <row r="1575" spans="1:52" x14ac:dyDescent="0.35">
      <c r="A1575" s="505" t="s">
        <v>536</v>
      </c>
      <c r="B1575" s="23" t="s">
        <v>5547</v>
      </c>
      <c r="C1575" s="23" t="s">
        <v>1304</v>
      </c>
      <c r="D1575" s="23" t="s">
        <v>6877</v>
      </c>
      <c r="E1575" s="23" t="s">
        <v>4811</v>
      </c>
      <c r="F1575" s="378">
        <f t="shared" si="666"/>
        <v>19.670000000000002</v>
      </c>
      <c r="G1575" s="434">
        <v>19.670000000000002</v>
      </c>
      <c r="H1575" s="403">
        <f t="shared" si="667"/>
        <v>15.74</v>
      </c>
      <c r="I1575" s="581"/>
      <c r="J1575" s="549" t="s">
        <v>5804</v>
      </c>
      <c r="K1575" s="11"/>
      <c r="M1575" s="37">
        <f t="shared" si="668"/>
        <v>19.670000000000002</v>
      </c>
      <c r="N1575" s="29">
        <v>11.67</v>
      </c>
      <c r="O1575" s="41" t="s">
        <v>1017</v>
      </c>
      <c r="P1575" s="11"/>
      <c r="S1575" t="s">
        <v>4179</v>
      </c>
      <c r="T1575" t="s">
        <v>4179</v>
      </c>
      <c r="U1575" s="42"/>
      <c r="V1575" t="s">
        <v>1017</v>
      </c>
      <c r="W1575" s="50"/>
      <c r="X1575" s="50"/>
      <c r="AA1575" s="50"/>
      <c r="AD1575" s="50"/>
      <c r="AE1575" s="75"/>
      <c r="AF1575" s="50"/>
      <c r="AG1575" s="50"/>
      <c r="AH1575" s="166" t="str">
        <f t="shared" si="670"/>
        <v/>
      </c>
      <c r="AI1575" s="168" t="str">
        <f t="shared" si="661"/>
        <v/>
      </c>
      <c r="AJ1575" s="168" t="str">
        <f t="shared" si="662"/>
        <v/>
      </c>
      <c r="AK1575" s="168" t="str">
        <f t="shared" si="663"/>
        <v/>
      </c>
      <c r="AL1575" s="168" t="str">
        <f t="shared" si="664"/>
        <v/>
      </c>
      <c r="AM1575" s="168" t="str">
        <f t="shared" si="665"/>
        <v/>
      </c>
      <c r="AN1575" s="167" t="str">
        <f t="shared" si="647"/>
        <v/>
      </c>
      <c r="AO1575" s="167" t="str">
        <f t="shared" si="648"/>
        <v/>
      </c>
      <c r="AP1575" s="167" t="str">
        <f t="shared" si="649"/>
        <v/>
      </c>
      <c r="AQ1575" s="169" t="str">
        <f t="shared" si="650"/>
        <v/>
      </c>
      <c r="AR1575" s="170" t="str">
        <f t="shared" si="651"/>
        <v>BiK81a1KWK--07</v>
      </c>
      <c r="AS1575" s="169" t="str">
        <f t="shared" si="652"/>
        <v/>
      </c>
      <c r="AT1575">
        <f t="shared" si="653"/>
        <v>14</v>
      </c>
      <c r="AU1575" s="170" t="str">
        <f t="shared" si="654"/>
        <v>0-0,15 MW, Bonusregeln a1 und KWK</v>
      </c>
      <c r="AV1575" s="169" t="str">
        <f t="shared" si="655"/>
        <v/>
      </c>
      <c r="AW1575" s="170" t="str">
        <f t="shared" si="656"/>
        <v>Anteil KWK</v>
      </c>
      <c r="AX1575" s="169" t="str">
        <f t="shared" si="657"/>
        <v/>
      </c>
      <c r="AY1575" t="str">
        <f t="shared" si="658"/>
        <v/>
      </c>
      <c r="AZ1575" t="str">
        <f t="shared" si="659"/>
        <v/>
      </c>
    </row>
    <row r="1576" spans="1:52" x14ac:dyDescent="0.35">
      <c r="A1576" s="497" t="s">
        <v>4358</v>
      </c>
      <c r="B1576" s="13" t="s">
        <v>5547</v>
      </c>
      <c r="C1576" s="13" t="s">
        <v>1304</v>
      </c>
      <c r="D1576" s="13" t="s">
        <v>6878</v>
      </c>
      <c r="E1576" s="13" t="s">
        <v>4330</v>
      </c>
      <c r="F1576" s="373">
        <f t="shared" si="666"/>
        <v>20.67</v>
      </c>
      <c r="G1576" s="430">
        <v>20.67</v>
      </c>
      <c r="H1576" s="399">
        <f t="shared" si="667"/>
        <v>16.54</v>
      </c>
      <c r="I1576" s="576"/>
      <c r="J1576" s="549" t="s">
        <v>5804</v>
      </c>
      <c r="K1576" s="11"/>
      <c r="M1576" s="37">
        <f t="shared" si="668"/>
        <v>20.67</v>
      </c>
      <c r="N1576" s="29">
        <v>11.67</v>
      </c>
      <c r="O1576" s="41"/>
      <c r="P1576" t="s">
        <v>1017</v>
      </c>
      <c r="S1576" t="s">
        <v>4179</v>
      </c>
      <c r="T1576" t="s">
        <v>4179</v>
      </c>
      <c r="U1576" s="42"/>
      <c r="V1576" t="s">
        <v>1017</v>
      </c>
      <c r="W1576" s="50"/>
      <c r="X1576" s="50"/>
      <c r="AA1576" s="50"/>
      <c r="AD1576" s="50"/>
      <c r="AE1576" s="75"/>
      <c r="AF1576" s="50"/>
      <c r="AG1576" s="50"/>
      <c r="AH1576" s="166" t="str">
        <f t="shared" si="670"/>
        <v/>
      </c>
      <c r="AI1576" s="168" t="str">
        <f t="shared" si="661"/>
        <v/>
      </c>
      <c r="AJ1576" s="168" t="str">
        <f t="shared" si="662"/>
        <v/>
      </c>
      <c r="AK1576" s="168" t="str">
        <f t="shared" si="663"/>
        <v/>
      </c>
      <c r="AL1576" s="168" t="str">
        <f t="shared" si="664"/>
        <v/>
      </c>
      <c r="AM1576" s="168" t="str">
        <f t="shared" si="665"/>
        <v/>
      </c>
      <c r="AN1576" s="167" t="str">
        <f t="shared" si="647"/>
        <v/>
      </c>
      <c r="AO1576" s="167" t="str">
        <f t="shared" si="648"/>
        <v/>
      </c>
      <c r="AP1576" s="167" t="str">
        <f t="shared" si="649"/>
        <v/>
      </c>
      <c r="AQ1576" s="169" t="str">
        <f t="shared" si="650"/>
        <v/>
      </c>
      <c r="AR1576" s="170" t="str">
        <f t="shared" si="651"/>
        <v>BiK81a1KA3--07</v>
      </c>
      <c r="AS1576" s="169" t="str">
        <f t="shared" si="652"/>
        <v/>
      </c>
      <c r="AT1576">
        <f t="shared" si="653"/>
        <v>14</v>
      </c>
      <c r="AU1576" s="170" t="str">
        <f t="shared" si="654"/>
        <v>0-0,15 MW, Bonusregeln a1 und K wenn Anlage 3 erfüllt</v>
      </c>
      <c r="AV1576" s="169" t="str">
        <f t="shared" si="655"/>
        <v/>
      </c>
      <c r="AW1576" s="170" t="str">
        <f t="shared" si="656"/>
        <v>Anteil KWK gemäß Anlage 3</v>
      </c>
      <c r="AX1576" s="169" t="str">
        <f t="shared" si="657"/>
        <v/>
      </c>
      <c r="AY1576" t="str">
        <f t="shared" si="658"/>
        <v/>
      </c>
      <c r="AZ1576" t="str">
        <f t="shared" si="659"/>
        <v/>
      </c>
    </row>
    <row r="1577" spans="1:52" x14ac:dyDescent="0.35">
      <c r="A1577" s="497" t="s">
        <v>2909</v>
      </c>
      <c r="B1577" s="13" t="s">
        <v>5547</v>
      </c>
      <c r="C1577" s="13" t="s">
        <v>1304</v>
      </c>
      <c r="D1577" s="13" t="s">
        <v>6879</v>
      </c>
      <c r="E1577" s="13" t="s">
        <v>674</v>
      </c>
      <c r="F1577" s="373">
        <f t="shared" si="666"/>
        <v>20.67</v>
      </c>
      <c r="G1577" s="430">
        <v>20.67</v>
      </c>
      <c r="H1577" s="399">
        <f t="shared" si="667"/>
        <v>16.54</v>
      </c>
      <c r="I1577" s="576"/>
      <c r="J1577" s="549" t="s">
        <v>5804</v>
      </c>
      <c r="K1577" s="11"/>
      <c r="M1577" s="37">
        <f t="shared" si="668"/>
        <v>20.67</v>
      </c>
      <c r="N1577" s="29">
        <v>11.67</v>
      </c>
      <c r="O1577" s="41"/>
      <c r="P1577" s="11"/>
      <c r="Q1577" t="s">
        <v>1017</v>
      </c>
      <c r="S1577" t="s">
        <v>4179</v>
      </c>
      <c r="T1577" t="s">
        <v>4179</v>
      </c>
      <c r="U1577" s="42"/>
      <c r="V1577" t="s">
        <v>1017</v>
      </c>
      <c r="W1577" s="50"/>
      <c r="X1577" s="50"/>
      <c r="AA1577" s="50"/>
      <c r="AD1577" s="50"/>
      <c r="AE1577" s="75"/>
      <c r="AF1577" s="50"/>
      <c r="AG1577" s="50"/>
      <c r="AH1577" s="166" t="str">
        <f t="shared" si="670"/>
        <v/>
      </c>
      <c r="AI1577" s="168" t="str">
        <f t="shared" si="661"/>
        <v/>
      </c>
      <c r="AJ1577" s="168" t="str">
        <f t="shared" si="662"/>
        <v/>
      </c>
      <c r="AK1577" s="168" t="str">
        <f t="shared" si="663"/>
        <v/>
      </c>
      <c r="AL1577" s="168" t="str">
        <f t="shared" si="664"/>
        <v/>
      </c>
      <c r="AM1577" s="168" t="str">
        <f t="shared" si="665"/>
        <v/>
      </c>
      <c r="AN1577" s="167" t="str">
        <f t="shared" si="647"/>
        <v/>
      </c>
      <c r="AO1577" s="167" t="str">
        <f t="shared" si="648"/>
        <v/>
      </c>
      <c r="AP1577" s="167" t="str">
        <f t="shared" si="649"/>
        <v/>
      </c>
      <c r="AQ1577" s="169" t="str">
        <f t="shared" si="650"/>
        <v/>
      </c>
      <c r="AR1577" s="170" t="str">
        <f t="shared" si="651"/>
        <v>BiK81a1K09--07</v>
      </c>
      <c r="AS1577" s="169" t="str">
        <f t="shared" si="652"/>
        <v/>
      </c>
      <c r="AT1577">
        <f t="shared" si="653"/>
        <v>14</v>
      </c>
      <c r="AU1577" s="170" t="str">
        <f t="shared" si="654"/>
        <v>0-0,15 MW, Bonusregeln a1, K erstmals 2009</v>
      </c>
      <c r="AV1577" s="169" t="str">
        <f t="shared" si="655"/>
        <v/>
      </c>
      <c r="AW1577" s="170" t="str">
        <f t="shared" si="656"/>
        <v>Anteil KWK, erstmals 2009</v>
      </c>
      <c r="AX1577" s="169" t="str">
        <f t="shared" si="657"/>
        <v/>
      </c>
      <c r="AY1577" t="str">
        <f t="shared" si="658"/>
        <v/>
      </c>
      <c r="AZ1577" t="str">
        <f t="shared" si="659"/>
        <v/>
      </c>
    </row>
    <row r="1578" spans="1:52" x14ac:dyDescent="0.35">
      <c r="A1578" s="497" t="s">
        <v>4942</v>
      </c>
      <c r="B1578" s="13" t="s">
        <v>5547</v>
      </c>
      <c r="C1578" s="13" t="s">
        <v>1304</v>
      </c>
      <c r="D1578" s="13" t="s">
        <v>6880</v>
      </c>
      <c r="E1578" s="13" t="s">
        <v>3566</v>
      </c>
      <c r="F1578" s="373">
        <f t="shared" si="666"/>
        <v>20.64</v>
      </c>
      <c r="G1578" s="430">
        <v>20.64</v>
      </c>
      <c r="H1578" s="399">
        <f t="shared" si="667"/>
        <v>16.510000000000002</v>
      </c>
      <c r="I1578" s="576"/>
      <c r="J1578" s="549" t="s">
        <v>5804</v>
      </c>
      <c r="K1578" s="11"/>
      <c r="M1578" s="37">
        <f t="shared" si="668"/>
        <v>20.64</v>
      </c>
      <c r="N1578" s="29">
        <v>11.67</v>
      </c>
      <c r="O1578" s="41"/>
      <c r="P1578" s="11"/>
      <c r="R1578" t="s">
        <v>1017</v>
      </c>
      <c r="S1578" t="s">
        <v>4179</v>
      </c>
      <c r="T1578" t="s">
        <v>4179</v>
      </c>
      <c r="U1578" s="42"/>
      <c r="V1578" t="s">
        <v>1017</v>
      </c>
      <c r="W1578" s="50"/>
      <c r="X1578" s="50"/>
      <c r="AA1578" s="50"/>
      <c r="AD1578" s="50"/>
      <c r="AE1578" s="75"/>
      <c r="AF1578" s="50"/>
      <c r="AG1578" s="50"/>
      <c r="AH1578" s="166" t="str">
        <f t="shared" si="670"/>
        <v>2010</v>
      </c>
      <c r="AI1578" s="168" t="str">
        <f t="shared" si="661"/>
        <v/>
      </c>
      <c r="AJ1578" s="168" t="str">
        <f t="shared" si="662"/>
        <v/>
      </c>
      <c r="AK1578" s="168" t="str">
        <f t="shared" si="663"/>
        <v/>
      </c>
      <c r="AL1578" s="168" t="str">
        <f t="shared" si="664"/>
        <v/>
      </c>
      <c r="AM1578" s="168" t="str">
        <f t="shared" si="665"/>
        <v/>
      </c>
      <c r="AN1578" s="167" t="str">
        <f t="shared" si="647"/>
        <v>2010</v>
      </c>
      <c r="AO1578" s="167" t="str">
        <f t="shared" si="648"/>
        <v>2010</v>
      </c>
      <c r="AP1578" s="167" t="str">
        <f t="shared" si="649"/>
        <v>2010</v>
      </c>
      <c r="AQ1578" s="169" t="str">
        <f t="shared" si="650"/>
        <v/>
      </c>
      <c r="AR1578" s="170" t="str">
        <f t="shared" si="651"/>
        <v>BiK81a1K10--07</v>
      </c>
      <c r="AS1578" s="169" t="str">
        <f t="shared" si="652"/>
        <v/>
      </c>
      <c r="AT1578">
        <f t="shared" si="653"/>
        <v>14</v>
      </c>
      <c r="AU1578" s="170" t="str">
        <f t="shared" si="654"/>
        <v>0-0,15 MW, Bonusregeln a1, K erstmals 2010</v>
      </c>
      <c r="AV1578" s="169" t="str">
        <f t="shared" si="655"/>
        <v/>
      </c>
      <c r="AW1578" s="170" t="str">
        <f t="shared" si="656"/>
        <v>Anteil KWK, erstmals 2010</v>
      </c>
      <c r="AX1578" s="169" t="str">
        <f t="shared" si="657"/>
        <v/>
      </c>
      <c r="AY1578" t="str">
        <f t="shared" si="658"/>
        <v/>
      </c>
      <c r="AZ1578" t="str">
        <f t="shared" si="659"/>
        <v/>
      </c>
    </row>
    <row r="1579" spans="1:52" x14ac:dyDescent="0.35">
      <c r="A1579" s="497" t="s">
        <v>3989</v>
      </c>
      <c r="B1579" s="13" t="s">
        <v>5547</v>
      </c>
      <c r="C1579" s="13" t="s">
        <v>1304</v>
      </c>
      <c r="D1579" s="13" t="s">
        <v>6881</v>
      </c>
      <c r="E1579" s="13" t="s">
        <v>3054</v>
      </c>
      <c r="F1579" s="373">
        <f t="shared" si="666"/>
        <v>20.61</v>
      </c>
      <c r="G1579" s="430">
        <v>20.61</v>
      </c>
      <c r="H1579" s="399">
        <f t="shared" si="667"/>
        <v>16.489999999999998</v>
      </c>
      <c r="I1579" s="576"/>
      <c r="J1579" s="549" t="s">
        <v>5804</v>
      </c>
      <c r="K1579" s="11"/>
      <c r="M1579" s="37">
        <f t="shared" si="668"/>
        <v>20.61</v>
      </c>
      <c r="N1579" s="29">
        <v>11.67</v>
      </c>
      <c r="O1579" s="41"/>
      <c r="P1579" s="11"/>
      <c r="S1579" t="s">
        <v>1017</v>
      </c>
      <c r="T1579" t="s">
        <v>4179</v>
      </c>
      <c r="U1579" s="42"/>
      <c r="V1579" t="s">
        <v>1017</v>
      </c>
      <c r="W1579" s="50"/>
      <c r="X1579" s="50"/>
      <c r="AA1579" s="50"/>
      <c r="AD1579" s="50"/>
      <c r="AE1579" s="75"/>
      <c r="AF1579" s="50"/>
      <c r="AG1579" s="50"/>
      <c r="AH1579" s="166" t="str">
        <f t="shared" si="670"/>
        <v>2011</v>
      </c>
      <c r="AI1579" s="168" t="str">
        <f t="shared" si="661"/>
        <v/>
      </c>
      <c r="AJ1579" s="168" t="str">
        <f t="shared" si="662"/>
        <v/>
      </c>
      <c r="AK1579" s="168" t="str">
        <f t="shared" si="663"/>
        <v/>
      </c>
      <c r="AL1579" s="168" t="str">
        <f t="shared" si="664"/>
        <v/>
      </c>
      <c r="AM1579" s="168" t="str">
        <f t="shared" si="665"/>
        <v/>
      </c>
      <c r="AN1579" s="167" t="str">
        <f t="shared" si="647"/>
        <v>2011</v>
      </c>
      <c r="AO1579" s="167" t="str">
        <f t="shared" si="648"/>
        <v>2011</v>
      </c>
      <c r="AP1579" s="167" t="str">
        <f t="shared" si="649"/>
        <v>2011</v>
      </c>
      <c r="AQ1579" s="169" t="str">
        <f t="shared" si="650"/>
        <v/>
      </c>
      <c r="AR1579" s="170" t="str">
        <f t="shared" si="651"/>
        <v>BiK81a1K11--07</v>
      </c>
      <c r="AS1579" s="169" t="str">
        <f t="shared" si="652"/>
        <v/>
      </c>
      <c r="AT1579">
        <f t="shared" si="653"/>
        <v>14</v>
      </c>
      <c r="AU1579" s="170" t="str">
        <f t="shared" si="654"/>
        <v>0-0,15 MW, Bonusregeln a1, K erstmals 2011</v>
      </c>
      <c r="AV1579" s="169" t="str">
        <f t="shared" si="655"/>
        <v/>
      </c>
      <c r="AW1579" s="170" t="str">
        <f t="shared" si="656"/>
        <v>Anteil KWK, erstmals 2011</v>
      </c>
      <c r="AX1579" s="169" t="str">
        <f t="shared" si="657"/>
        <v/>
      </c>
      <c r="AY1579" t="str">
        <f t="shared" si="658"/>
        <v>x</v>
      </c>
      <c r="AZ1579" t="str">
        <f t="shared" si="659"/>
        <v/>
      </c>
    </row>
    <row r="1580" spans="1:52" x14ac:dyDescent="0.35">
      <c r="A1580" s="511" t="s">
        <v>1812</v>
      </c>
      <c r="B1580" s="173" t="s">
        <v>5547</v>
      </c>
      <c r="C1580" s="173" t="s">
        <v>1304</v>
      </c>
      <c r="D1580" s="173" t="s">
        <v>6882</v>
      </c>
      <c r="E1580" s="173" t="s">
        <v>1980</v>
      </c>
      <c r="F1580" s="374">
        <f t="shared" si="666"/>
        <v>20.58</v>
      </c>
      <c r="G1580" s="431">
        <v>20.58</v>
      </c>
      <c r="H1580" s="400">
        <f t="shared" si="667"/>
        <v>16.46</v>
      </c>
      <c r="I1580" s="577"/>
      <c r="J1580" s="549" t="s">
        <v>5804</v>
      </c>
      <c r="K1580" s="11"/>
      <c r="M1580" s="37">
        <f t="shared" si="668"/>
        <v>20.58</v>
      </c>
      <c r="N1580" s="29">
        <v>11.67</v>
      </c>
      <c r="O1580" s="41"/>
      <c r="P1580" s="11"/>
      <c r="S1580" t="s">
        <v>4179</v>
      </c>
      <c r="T1580" t="s">
        <v>1017</v>
      </c>
      <c r="U1580" s="42"/>
      <c r="V1580" t="s">
        <v>1017</v>
      </c>
      <c r="W1580" s="50"/>
      <c r="X1580" s="50"/>
      <c r="AA1580" s="50"/>
      <c r="AD1580" s="50"/>
      <c r="AE1580" s="75"/>
      <c r="AF1580" s="50"/>
      <c r="AG1580" s="50"/>
      <c r="AH1580" s="171" t="s">
        <v>4178</v>
      </c>
      <c r="AI1580" s="168" t="str">
        <f t="shared" si="661"/>
        <v/>
      </c>
      <c r="AJ1580" s="168" t="str">
        <f t="shared" si="662"/>
        <v/>
      </c>
      <c r="AK1580" s="168" t="str">
        <f t="shared" si="663"/>
        <v/>
      </c>
      <c r="AL1580" s="168" t="str">
        <f t="shared" si="664"/>
        <v/>
      </c>
      <c r="AM1580" s="168" t="str">
        <f t="shared" si="665"/>
        <v/>
      </c>
      <c r="AN1580" s="167" t="str">
        <f t="shared" si="647"/>
        <v>2012</v>
      </c>
      <c r="AO1580" s="167" t="str">
        <f t="shared" si="648"/>
        <v>2012</v>
      </c>
      <c r="AP1580" s="167" t="str">
        <f t="shared" si="649"/>
        <v>2012</v>
      </c>
      <c r="AQ1580" s="169" t="str">
        <f t="shared" si="650"/>
        <v/>
      </c>
      <c r="AR1580" s="170" t="str">
        <f t="shared" si="651"/>
        <v>BiK81a1K12--07</v>
      </c>
      <c r="AS1580" s="169" t="str">
        <f t="shared" si="652"/>
        <v/>
      </c>
      <c r="AT1580">
        <f t="shared" si="653"/>
        <v>14</v>
      </c>
      <c r="AU1580" s="170" t="str">
        <f t="shared" si="654"/>
        <v>0-0,15 MW, Bonusregeln a1, K erstmals 2012</v>
      </c>
      <c r="AV1580" s="169" t="str">
        <f t="shared" si="655"/>
        <v/>
      </c>
      <c r="AW1580" s="170" t="str">
        <f t="shared" si="656"/>
        <v>Anteil KWK, erstmals 2012</v>
      </c>
      <c r="AX1580" s="169" t="str">
        <f t="shared" si="657"/>
        <v/>
      </c>
      <c r="AY1580" t="str">
        <f t="shared" si="658"/>
        <v/>
      </c>
      <c r="AZ1580" t="str">
        <f t="shared" si="659"/>
        <v>x</v>
      </c>
    </row>
    <row r="1581" spans="1:52" x14ac:dyDescent="0.35">
      <c r="A1581" s="497" t="s">
        <v>3630</v>
      </c>
      <c r="B1581" s="13" t="s">
        <v>5547</v>
      </c>
      <c r="C1581" s="13" t="s">
        <v>1304</v>
      </c>
      <c r="D1581" s="13" t="s">
        <v>6883</v>
      </c>
      <c r="E1581" s="13" t="s">
        <v>4809</v>
      </c>
      <c r="F1581" s="373">
        <f t="shared" si="666"/>
        <v>18.670000000000002</v>
      </c>
      <c r="G1581" s="430">
        <v>18.670000000000002</v>
      </c>
      <c r="H1581" s="399">
        <f t="shared" si="667"/>
        <v>14.94</v>
      </c>
      <c r="I1581" s="576"/>
      <c r="J1581" s="549" t="s">
        <v>5804</v>
      </c>
      <c r="K1581" s="11"/>
      <c r="M1581" s="37">
        <f t="shared" si="668"/>
        <v>18.670000000000002</v>
      </c>
      <c r="N1581" s="29">
        <v>11.67</v>
      </c>
      <c r="O1581" s="41"/>
      <c r="P1581" s="11"/>
      <c r="S1581" t="s">
        <v>4179</v>
      </c>
      <c r="T1581" t="s">
        <v>4179</v>
      </c>
      <c r="U1581" s="42" t="s">
        <v>1017</v>
      </c>
      <c r="V1581" t="s">
        <v>1017</v>
      </c>
      <c r="W1581" s="50"/>
      <c r="X1581" s="50"/>
      <c r="AA1581" s="50"/>
      <c r="AD1581" s="50"/>
      <c r="AE1581" s="75"/>
      <c r="AF1581" s="50"/>
      <c r="AG1581" s="50"/>
      <c r="AH1581" s="166" t="str">
        <f t="shared" ref="AH1581:AH1586" si="671">IF(ISERROR(SEARCH("K erstmals 201",D1581)),"",RIGHT(D1581,4))</f>
        <v/>
      </c>
      <c r="AI1581" s="168" t="str">
        <f t="shared" si="661"/>
        <v/>
      </c>
      <c r="AJ1581" s="168" t="str">
        <f t="shared" si="662"/>
        <v/>
      </c>
      <c r="AK1581" s="168" t="str">
        <f t="shared" si="663"/>
        <v/>
      </c>
      <c r="AL1581" s="168" t="str">
        <f t="shared" si="664"/>
        <v/>
      </c>
      <c r="AM1581" s="168" t="str">
        <f t="shared" si="665"/>
        <v/>
      </c>
      <c r="AN1581" s="167" t="str">
        <f t="shared" si="647"/>
        <v/>
      </c>
      <c r="AO1581" s="167" t="str">
        <f t="shared" si="648"/>
        <v/>
      </c>
      <c r="AP1581" s="167" t="str">
        <f t="shared" si="649"/>
        <v/>
      </c>
      <c r="AQ1581" s="169" t="str">
        <f t="shared" si="650"/>
        <v/>
      </c>
      <c r="AR1581" s="170" t="str">
        <f t="shared" si="651"/>
        <v>BiK81a1y----07</v>
      </c>
      <c r="AS1581" s="169" t="str">
        <f t="shared" si="652"/>
        <v/>
      </c>
      <c r="AT1581">
        <f t="shared" si="653"/>
        <v>14</v>
      </c>
      <c r="AU1581" s="170" t="str">
        <f t="shared" si="654"/>
        <v>0-0,15 MW, Bonusregeln a1, y</v>
      </c>
      <c r="AV1581" s="169" t="str">
        <f t="shared" si="655"/>
        <v/>
      </c>
      <c r="AW1581" s="170" t="str">
        <f t="shared" si="656"/>
        <v>Anteil Nicht-KWK</v>
      </c>
      <c r="AX1581" s="169" t="str">
        <f t="shared" si="657"/>
        <v/>
      </c>
      <c r="AY1581" t="str">
        <f t="shared" si="658"/>
        <v/>
      </c>
      <c r="AZ1581" t="str">
        <f t="shared" si="659"/>
        <v/>
      </c>
    </row>
    <row r="1582" spans="1:52" x14ac:dyDescent="0.35">
      <c r="A1582" s="497" t="s">
        <v>3631</v>
      </c>
      <c r="B1582" s="13" t="s">
        <v>5547</v>
      </c>
      <c r="C1582" s="13" t="s">
        <v>1304</v>
      </c>
      <c r="D1582" s="13" t="s">
        <v>6884</v>
      </c>
      <c r="E1582" s="13" t="s">
        <v>4811</v>
      </c>
      <c r="F1582" s="373">
        <f t="shared" si="666"/>
        <v>20.67</v>
      </c>
      <c r="G1582" s="430">
        <v>20.67</v>
      </c>
      <c r="H1582" s="399">
        <f t="shared" si="667"/>
        <v>16.54</v>
      </c>
      <c r="I1582" s="576"/>
      <c r="J1582" s="549" t="s">
        <v>5804</v>
      </c>
      <c r="K1582" s="11"/>
      <c r="M1582" s="37">
        <f t="shared" si="668"/>
        <v>20.67</v>
      </c>
      <c r="N1582" s="29">
        <v>11.67</v>
      </c>
      <c r="O1582" s="41" t="s">
        <v>1017</v>
      </c>
      <c r="P1582" s="11"/>
      <c r="S1582" t="s">
        <v>4179</v>
      </c>
      <c r="T1582" t="s">
        <v>4179</v>
      </c>
      <c r="U1582" s="42" t="s">
        <v>1017</v>
      </c>
      <c r="V1582" t="s">
        <v>1017</v>
      </c>
      <c r="W1582" s="50"/>
      <c r="X1582" s="50"/>
      <c r="AA1582" s="50"/>
      <c r="AD1582" s="50"/>
      <c r="AE1582" s="75"/>
      <c r="AF1582" s="50"/>
      <c r="AG1582" s="50"/>
      <c r="AH1582" s="166" t="str">
        <f t="shared" si="671"/>
        <v/>
      </c>
      <c r="AI1582" s="168" t="str">
        <f t="shared" si="661"/>
        <v/>
      </c>
      <c r="AJ1582" s="168" t="str">
        <f t="shared" si="662"/>
        <v/>
      </c>
      <c r="AK1582" s="168" t="str">
        <f t="shared" si="663"/>
        <v/>
      </c>
      <c r="AL1582" s="168" t="str">
        <f t="shared" si="664"/>
        <v/>
      </c>
      <c r="AM1582" s="168" t="str">
        <f t="shared" si="665"/>
        <v/>
      </c>
      <c r="AN1582" s="167" t="str">
        <f t="shared" si="647"/>
        <v/>
      </c>
      <c r="AO1582" s="167" t="str">
        <f t="shared" si="648"/>
        <v/>
      </c>
      <c r="AP1582" s="167" t="str">
        <f t="shared" si="649"/>
        <v/>
      </c>
      <c r="AQ1582" s="169" t="str">
        <f t="shared" si="650"/>
        <v/>
      </c>
      <c r="AR1582" s="170" t="str">
        <f t="shared" si="651"/>
        <v>BiK81a1KWKy-07</v>
      </c>
      <c r="AS1582" s="169" t="str">
        <f t="shared" si="652"/>
        <v/>
      </c>
      <c r="AT1582">
        <f t="shared" si="653"/>
        <v>14</v>
      </c>
      <c r="AU1582" s="170" t="str">
        <f t="shared" si="654"/>
        <v>0-0,15 MW, Bonusregeln a1, y und KWK</v>
      </c>
      <c r="AV1582" s="169" t="str">
        <f t="shared" si="655"/>
        <v/>
      </c>
      <c r="AW1582" s="170" t="str">
        <f t="shared" si="656"/>
        <v>Anteil KWK</v>
      </c>
      <c r="AX1582" s="169" t="str">
        <f t="shared" si="657"/>
        <v/>
      </c>
      <c r="AY1582" t="str">
        <f t="shared" si="658"/>
        <v/>
      </c>
      <c r="AZ1582" t="str">
        <f t="shared" si="659"/>
        <v/>
      </c>
    </row>
    <row r="1583" spans="1:52" x14ac:dyDescent="0.35">
      <c r="A1583" s="497" t="s">
        <v>3632</v>
      </c>
      <c r="B1583" s="13" t="s">
        <v>5547</v>
      </c>
      <c r="C1583" s="13" t="s">
        <v>1304</v>
      </c>
      <c r="D1583" s="13" t="s">
        <v>6885</v>
      </c>
      <c r="E1583" s="13" t="s">
        <v>4330</v>
      </c>
      <c r="F1583" s="373">
        <f t="shared" si="666"/>
        <v>21.67</v>
      </c>
      <c r="G1583" s="430">
        <v>21.67</v>
      </c>
      <c r="H1583" s="399">
        <f t="shared" si="667"/>
        <v>17.34</v>
      </c>
      <c r="I1583" s="576"/>
      <c r="J1583" s="549" t="s">
        <v>5804</v>
      </c>
      <c r="K1583" s="11"/>
      <c r="M1583" s="37">
        <f t="shared" si="668"/>
        <v>21.67</v>
      </c>
      <c r="N1583" s="29">
        <v>11.67</v>
      </c>
      <c r="O1583" s="41"/>
      <c r="P1583" t="s">
        <v>1017</v>
      </c>
      <c r="S1583" t="s">
        <v>4179</v>
      </c>
      <c r="T1583" t="s">
        <v>4179</v>
      </c>
      <c r="U1583" s="42" t="s">
        <v>1017</v>
      </c>
      <c r="V1583" t="s">
        <v>1017</v>
      </c>
      <c r="W1583" s="50"/>
      <c r="X1583" s="50"/>
      <c r="AA1583" s="50"/>
      <c r="AD1583" s="50"/>
      <c r="AE1583" s="75"/>
      <c r="AF1583" s="50"/>
      <c r="AG1583" s="50"/>
      <c r="AH1583" s="166" t="str">
        <f t="shared" si="671"/>
        <v/>
      </c>
      <c r="AI1583" s="168" t="str">
        <f t="shared" si="661"/>
        <v/>
      </c>
      <c r="AJ1583" s="168" t="str">
        <f t="shared" si="662"/>
        <v/>
      </c>
      <c r="AK1583" s="168" t="str">
        <f t="shared" si="663"/>
        <v/>
      </c>
      <c r="AL1583" s="168" t="str">
        <f t="shared" si="664"/>
        <v/>
      </c>
      <c r="AM1583" s="168" t="str">
        <f t="shared" si="665"/>
        <v/>
      </c>
      <c r="AN1583" s="167" t="str">
        <f t="shared" si="647"/>
        <v/>
      </c>
      <c r="AO1583" s="167" t="str">
        <f t="shared" si="648"/>
        <v/>
      </c>
      <c r="AP1583" s="167" t="str">
        <f t="shared" si="649"/>
        <v/>
      </c>
      <c r="AQ1583" s="169" t="str">
        <f t="shared" si="650"/>
        <v/>
      </c>
      <c r="AR1583" s="170" t="str">
        <f t="shared" si="651"/>
        <v>BiK81a1KA3y-07</v>
      </c>
      <c r="AS1583" s="169" t="str">
        <f t="shared" si="652"/>
        <v/>
      </c>
      <c r="AT1583">
        <f t="shared" si="653"/>
        <v>14</v>
      </c>
      <c r="AU1583" s="170" t="str">
        <f t="shared" si="654"/>
        <v>0-0,15 MW, Bonusregeln a1, y und K wenn Anlage 3 erfüllt</v>
      </c>
      <c r="AV1583" s="169" t="str">
        <f t="shared" si="655"/>
        <v/>
      </c>
      <c r="AW1583" s="170" t="str">
        <f t="shared" si="656"/>
        <v>Anteil KWK gemäß Anlage 3</v>
      </c>
      <c r="AX1583" s="169" t="str">
        <f t="shared" si="657"/>
        <v/>
      </c>
      <c r="AY1583" t="str">
        <f t="shared" si="658"/>
        <v/>
      </c>
      <c r="AZ1583" t="str">
        <f t="shared" si="659"/>
        <v/>
      </c>
    </row>
    <row r="1584" spans="1:52" x14ac:dyDescent="0.35">
      <c r="A1584" s="497" t="s">
        <v>3633</v>
      </c>
      <c r="B1584" s="13" t="s">
        <v>5547</v>
      </c>
      <c r="C1584" s="13" t="s">
        <v>1304</v>
      </c>
      <c r="D1584" s="13" t="s">
        <v>6886</v>
      </c>
      <c r="E1584" s="13" t="s">
        <v>674</v>
      </c>
      <c r="F1584" s="373">
        <f t="shared" si="666"/>
        <v>21.67</v>
      </c>
      <c r="G1584" s="430">
        <v>21.67</v>
      </c>
      <c r="H1584" s="399">
        <f t="shared" si="667"/>
        <v>17.34</v>
      </c>
      <c r="I1584" s="576"/>
      <c r="J1584" s="549" t="s">
        <v>5804</v>
      </c>
      <c r="K1584" s="11"/>
      <c r="M1584" s="37">
        <f t="shared" si="668"/>
        <v>21.67</v>
      </c>
      <c r="N1584" s="29">
        <v>11.67</v>
      </c>
      <c r="O1584" s="41"/>
      <c r="P1584" s="11"/>
      <c r="Q1584" t="s">
        <v>1017</v>
      </c>
      <c r="S1584" t="s">
        <v>4179</v>
      </c>
      <c r="T1584" t="s">
        <v>4179</v>
      </c>
      <c r="U1584" s="42" t="s">
        <v>1017</v>
      </c>
      <c r="V1584" t="s">
        <v>1017</v>
      </c>
      <c r="W1584" s="50"/>
      <c r="X1584" s="50"/>
      <c r="AA1584" s="50"/>
      <c r="AD1584" s="50"/>
      <c r="AE1584" s="75"/>
      <c r="AF1584" s="50"/>
      <c r="AG1584" s="50"/>
      <c r="AH1584" s="166" t="str">
        <f t="shared" si="671"/>
        <v/>
      </c>
      <c r="AI1584" s="168" t="str">
        <f t="shared" si="661"/>
        <v/>
      </c>
      <c r="AJ1584" s="168" t="str">
        <f t="shared" si="662"/>
        <v/>
      </c>
      <c r="AK1584" s="168" t="str">
        <f t="shared" si="663"/>
        <v/>
      </c>
      <c r="AL1584" s="168" t="str">
        <f t="shared" si="664"/>
        <v/>
      </c>
      <c r="AM1584" s="168" t="str">
        <f t="shared" si="665"/>
        <v/>
      </c>
      <c r="AN1584" s="167" t="str">
        <f t="shared" si="647"/>
        <v/>
      </c>
      <c r="AO1584" s="167" t="str">
        <f t="shared" si="648"/>
        <v/>
      </c>
      <c r="AP1584" s="167" t="str">
        <f t="shared" si="649"/>
        <v/>
      </c>
      <c r="AQ1584" s="169" t="str">
        <f t="shared" si="650"/>
        <v/>
      </c>
      <c r="AR1584" s="170" t="str">
        <f t="shared" si="651"/>
        <v>BiK81a1K09y-07</v>
      </c>
      <c r="AS1584" s="169" t="str">
        <f t="shared" si="652"/>
        <v/>
      </c>
      <c r="AT1584">
        <f t="shared" si="653"/>
        <v>14</v>
      </c>
      <c r="AU1584" s="170" t="str">
        <f t="shared" si="654"/>
        <v>0-0,15 MW, Bonusregeln a1, y und K erstmals 2009</v>
      </c>
      <c r="AV1584" s="169" t="str">
        <f t="shared" si="655"/>
        <v/>
      </c>
      <c r="AW1584" s="170" t="str">
        <f t="shared" si="656"/>
        <v>Anteil KWK, erstmals 2009</v>
      </c>
      <c r="AX1584" s="169" t="str">
        <f t="shared" si="657"/>
        <v/>
      </c>
      <c r="AY1584" t="str">
        <f t="shared" si="658"/>
        <v/>
      </c>
      <c r="AZ1584" t="str">
        <f t="shared" si="659"/>
        <v/>
      </c>
    </row>
    <row r="1585" spans="1:52" x14ac:dyDescent="0.35">
      <c r="A1585" s="497" t="s">
        <v>4943</v>
      </c>
      <c r="B1585" s="13" t="s">
        <v>5547</v>
      </c>
      <c r="C1585" s="13" t="s">
        <v>1304</v>
      </c>
      <c r="D1585" s="13" t="s">
        <v>6887</v>
      </c>
      <c r="E1585" s="13" t="s">
        <v>3566</v>
      </c>
      <c r="F1585" s="373">
        <f t="shared" si="666"/>
        <v>21.64</v>
      </c>
      <c r="G1585" s="430">
        <v>21.64</v>
      </c>
      <c r="H1585" s="399">
        <f t="shared" si="667"/>
        <v>17.309999999999999</v>
      </c>
      <c r="I1585" s="576"/>
      <c r="J1585" s="549" t="s">
        <v>5804</v>
      </c>
      <c r="K1585" s="11"/>
      <c r="M1585" s="37">
        <f t="shared" si="668"/>
        <v>21.64</v>
      </c>
      <c r="N1585" s="29">
        <v>11.67</v>
      </c>
      <c r="O1585" s="41"/>
      <c r="P1585" s="11"/>
      <c r="R1585" t="s">
        <v>1017</v>
      </c>
      <c r="S1585" t="s">
        <v>4179</v>
      </c>
      <c r="T1585" t="s">
        <v>4179</v>
      </c>
      <c r="U1585" s="42" t="s">
        <v>1017</v>
      </c>
      <c r="V1585" t="s">
        <v>1017</v>
      </c>
      <c r="W1585" s="50"/>
      <c r="X1585" s="50"/>
      <c r="AA1585" s="50"/>
      <c r="AD1585" s="50"/>
      <c r="AE1585" s="75"/>
      <c r="AF1585" s="50"/>
      <c r="AG1585" s="50"/>
      <c r="AH1585" s="166" t="str">
        <f t="shared" si="671"/>
        <v>2010</v>
      </c>
      <c r="AI1585" s="168" t="str">
        <f t="shared" si="661"/>
        <v/>
      </c>
      <c r="AJ1585" s="168" t="str">
        <f t="shared" si="662"/>
        <v/>
      </c>
      <c r="AK1585" s="168" t="str">
        <f t="shared" si="663"/>
        <v/>
      </c>
      <c r="AL1585" s="168" t="str">
        <f t="shared" si="664"/>
        <v/>
      </c>
      <c r="AM1585" s="168" t="str">
        <f t="shared" si="665"/>
        <v/>
      </c>
      <c r="AN1585" s="167" t="str">
        <f t="shared" si="647"/>
        <v>2010</v>
      </c>
      <c r="AO1585" s="167" t="str">
        <f t="shared" si="648"/>
        <v>2010</v>
      </c>
      <c r="AP1585" s="167" t="str">
        <f t="shared" si="649"/>
        <v>2010</v>
      </c>
      <c r="AQ1585" s="169" t="str">
        <f t="shared" si="650"/>
        <v/>
      </c>
      <c r="AR1585" s="170" t="str">
        <f t="shared" si="651"/>
        <v>BiK81a1K10y-07</v>
      </c>
      <c r="AS1585" s="169" t="str">
        <f t="shared" si="652"/>
        <v/>
      </c>
      <c r="AT1585">
        <f t="shared" si="653"/>
        <v>14</v>
      </c>
      <c r="AU1585" s="170" t="str">
        <f t="shared" si="654"/>
        <v>0-0,15 MW, Bonusregeln a1, y und K erstmals 2010</v>
      </c>
      <c r="AV1585" s="169" t="str">
        <f t="shared" si="655"/>
        <v/>
      </c>
      <c r="AW1585" s="170" t="str">
        <f t="shared" si="656"/>
        <v>Anteil KWK, erstmals 2010</v>
      </c>
      <c r="AX1585" s="169" t="str">
        <f t="shared" si="657"/>
        <v/>
      </c>
      <c r="AY1585" t="str">
        <f t="shared" si="658"/>
        <v/>
      </c>
      <c r="AZ1585" t="str">
        <f t="shared" si="659"/>
        <v/>
      </c>
    </row>
    <row r="1586" spans="1:52" x14ac:dyDescent="0.35">
      <c r="A1586" s="497" t="s">
        <v>3990</v>
      </c>
      <c r="B1586" s="13" t="s">
        <v>5547</v>
      </c>
      <c r="C1586" s="13" t="s">
        <v>1304</v>
      </c>
      <c r="D1586" s="13" t="s">
        <v>6888</v>
      </c>
      <c r="E1586" s="13" t="s">
        <v>3054</v>
      </c>
      <c r="F1586" s="373">
        <f t="shared" si="666"/>
        <v>21.61</v>
      </c>
      <c r="G1586" s="430">
        <v>21.61</v>
      </c>
      <c r="H1586" s="399">
        <f t="shared" si="667"/>
        <v>17.29</v>
      </c>
      <c r="I1586" s="576"/>
      <c r="J1586" s="549" t="s">
        <v>5804</v>
      </c>
      <c r="K1586" s="11"/>
      <c r="M1586" s="37">
        <f t="shared" si="668"/>
        <v>21.61</v>
      </c>
      <c r="N1586" s="29">
        <v>11.67</v>
      </c>
      <c r="O1586" s="41"/>
      <c r="P1586" s="11"/>
      <c r="S1586" t="s">
        <v>1017</v>
      </c>
      <c r="T1586" t="s">
        <v>4179</v>
      </c>
      <c r="U1586" s="42" t="s">
        <v>1017</v>
      </c>
      <c r="V1586" t="s">
        <v>1017</v>
      </c>
      <c r="W1586" s="50"/>
      <c r="X1586" s="50"/>
      <c r="AA1586" s="50"/>
      <c r="AD1586" s="50"/>
      <c r="AE1586" s="75"/>
      <c r="AF1586" s="50"/>
      <c r="AG1586" s="50"/>
      <c r="AH1586" s="166" t="str">
        <f t="shared" si="671"/>
        <v>2011</v>
      </c>
      <c r="AI1586" s="168" t="str">
        <f t="shared" si="661"/>
        <v/>
      </c>
      <c r="AJ1586" s="168" t="str">
        <f t="shared" si="662"/>
        <v/>
      </c>
      <c r="AK1586" s="168" t="str">
        <f t="shared" si="663"/>
        <v/>
      </c>
      <c r="AL1586" s="168" t="str">
        <f t="shared" si="664"/>
        <v/>
      </c>
      <c r="AM1586" s="168" t="str">
        <f t="shared" si="665"/>
        <v/>
      </c>
      <c r="AN1586" s="167" t="str">
        <f t="shared" si="647"/>
        <v>2011</v>
      </c>
      <c r="AO1586" s="167" t="str">
        <f t="shared" si="648"/>
        <v>2011</v>
      </c>
      <c r="AP1586" s="167" t="str">
        <f t="shared" si="649"/>
        <v>2011</v>
      </c>
      <c r="AQ1586" s="169" t="str">
        <f t="shared" si="650"/>
        <v/>
      </c>
      <c r="AR1586" s="170" t="str">
        <f t="shared" si="651"/>
        <v>BiK81a1K11y-07</v>
      </c>
      <c r="AS1586" s="169" t="str">
        <f t="shared" si="652"/>
        <v/>
      </c>
      <c r="AT1586">
        <f t="shared" si="653"/>
        <v>14</v>
      </c>
      <c r="AU1586" s="170" t="str">
        <f t="shared" si="654"/>
        <v>0-0,15 MW, Bonusregeln a1, y und K erstmals 2011</v>
      </c>
      <c r="AV1586" s="169" t="str">
        <f t="shared" si="655"/>
        <v/>
      </c>
      <c r="AW1586" s="170" t="str">
        <f t="shared" si="656"/>
        <v>Anteil KWK, erstmals 2011</v>
      </c>
      <c r="AX1586" s="169" t="str">
        <f t="shared" si="657"/>
        <v/>
      </c>
      <c r="AY1586" t="str">
        <f t="shared" si="658"/>
        <v>x</v>
      </c>
      <c r="AZ1586" t="str">
        <f t="shared" si="659"/>
        <v/>
      </c>
    </row>
    <row r="1587" spans="1:52" x14ac:dyDescent="0.35">
      <c r="A1587" s="511" t="s">
        <v>1813</v>
      </c>
      <c r="B1587" s="173" t="s">
        <v>5547</v>
      </c>
      <c r="C1587" s="173" t="s">
        <v>1304</v>
      </c>
      <c r="D1587" s="173" t="s">
        <v>6889</v>
      </c>
      <c r="E1587" s="173" t="s">
        <v>1980</v>
      </c>
      <c r="F1587" s="374">
        <f t="shared" si="666"/>
        <v>21.58</v>
      </c>
      <c r="G1587" s="431">
        <v>21.58</v>
      </c>
      <c r="H1587" s="400">
        <f t="shared" si="667"/>
        <v>17.260000000000002</v>
      </c>
      <c r="I1587" s="577"/>
      <c r="J1587" s="549" t="s">
        <v>5804</v>
      </c>
      <c r="K1587" s="11"/>
      <c r="M1587" s="37">
        <f t="shared" si="668"/>
        <v>21.58</v>
      </c>
      <c r="N1587" s="29">
        <v>11.67</v>
      </c>
      <c r="O1587" s="41"/>
      <c r="P1587" s="11"/>
      <c r="S1587" t="s">
        <v>4179</v>
      </c>
      <c r="T1587" t="s">
        <v>1017</v>
      </c>
      <c r="U1587" s="42" t="s">
        <v>1017</v>
      </c>
      <c r="V1587" t="s">
        <v>1017</v>
      </c>
      <c r="W1587" s="50"/>
      <c r="X1587" s="50"/>
      <c r="AA1587" s="50"/>
      <c r="AD1587" s="50"/>
      <c r="AE1587" s="75"/>
      <c r="AF1587" s="50"/>
      <c r="AG1587" s="50"/>
      <c r="AH1587" s="171" t="s">
        <v>4178</v>
      </c>
      <c r="AI1587" s="168" t="str">
        <f t="shared" si="661"/>
        <v/>
      </c>
      <c r="AJ1587" s="168" t="str">
        <f t="shared" si="662"/>
        <v/>
      </c>
      <c r="AK1587" s="168" t="str">
        <f t="shared" si="663"/>
        <v/>
      </c>
      <c r="AL1587" s="168" t="str">
        <f t="shared" si="664"/>
        <v/>
      </c>
      <c r="AM1587" s="168" t="str">
        <f t="shared" si="665"/>
        <v/>
      </c>
      <c r="AN1587" s="167" t="str">
        <f t="shared" si="647"/>
        <v>2012</v>
      </c>
      <c r="AO1587" s="167" t="str">
        <f t="shared" si="648"/>
        <v>2012</v>
      </c>
      <c r="AP1587" s="167" t="str">
        <f t="shared" si="649"/>
        <v>2012</v>
      </c>
      <c r="AQ1587" s="169" t="str">
        <f t="shared" si="650"/>
        <v/>
      </c>
      <c r="AR1587" s="170" t="str">
        <f t="shared" si="651"/>
        <v>BiK81a1K12y-07</v>
      </c>
      <c r="AS1587" s="169" t="str">
        <f t="shared" si="652"/>
        <v/>
      </c>
      <c r="AT1587">
        <f t="shared" si="653"/>
        <v>14</v>
      </c>
      <c r="AU1587" s="170" t="str">
        <f t="shared" si="654"/>
        <v>0-0,15 MW, Bonusregeln a1, y und K erstmals 2012</v>
      </c>
      <c r="AV1587" s="169" t="str">
        <f t="shared" si="655"/>
        <v/>
      </c>
      <c r="AW1587" s="170" t="str">
        <f t="shared" si="656"/>
        <v>Anteil KWK, erstmals 2012</v>
      </c>
      <c r="AX1587" s="169" t="str">
        <f t="shared" si="657"/>
        <v/>
      </c>
      <c r="AY1587" t="str">
        <f t="shared" si="658"/>
        <v/>
      </c>
      <c r="AZ1587" t="str">
        <f t="shared" si="659"/>
        <v>x</v>
      </c>
    </row>
    <row r="1588" spans="1:52" x14ac:dyDescent="0.35">
      <c r="A1588" s="497" t="s">
        <v>2244</v>
      </c>
      <c r="B1588" s="13" t="s">
        <v>5547</v>
      </c>
      <c r="C1588" s="13" t="s">
        <v>1304</v>
      </c>
      <c r="D1588" s="13" t="s">
        <v>6805</v>
      </c>
      <c r="E1588" s="13" t="s">
        <v>4809</v>
      </c>
      <c r="F1588" s="373">
        <f t="shared" si="666"/>
        <v>18.670000000000002</v>
      </c>
      <c r="G1588" s="430">
        <v>18.670000000000002</v>
      </c>
      <c r="H1588" s="399">
        <f t="shared" si="667"/>
        <v>14.94</v>
      </c>
      <c r="I1588" s="576"/>
      <c r="J1588" s="549" t="s">
        <v>5804</v>
      </c>
      <c r="K1588" s="11"/>
      <c r="M1588" s="37">
        <f t="shared" si="668"/>
        <v>18.670000000000002</v>
      </c>
      <c r="N1588" s="29">
        <v>11.67</v>
      </c>
      <c r="O1588" s="149"/>
      <c r="P1588" s="144"/>
      <c r="Q1588" s="145"/>
      <c r="R1588" s="145"/>
      <c r="S1588" s="145" t="s">
        <v>4179</v>
      </c>
      <c r="T1588" t="s">
        <v>4179</v>
      </c>
      <c r="U1588" s="146"/>
      <c r="V1588" s="145"/>
      <c r="W1588" s="147"/>
      <c r="X1588" s="147"/>
      <c r="Y1588" s="145" t="s">
        <v>1017</v>
      </c>
      <c r="Z1588" s="145"/>
      <c r="AA1588" s="147"/>
      <c r="AB1588" s="145"/>
      <c r="AC1588" s="145"/>
      <c r="AD1588" s="147"/>
      <c r="AE1588" s="148"/>
      <c r="AF1588" s="147"/>
      <c r="AG1588" s="147"/>
      <c r="AH1588" s="166" t="str">
        <f t="shared" ref="AH1588:AH1593" si="672">IF(ISERROR(SEARCH("K erstmals 201",D1588)),"",RIGHT(D1588,4))</f>
        <v/>
      </c>
      <c r="AI1588" s="168" t="str">
        <f t="shared" si="661"/>
        <v/>
      </c>
      <c r="AJ1588" s="168" t="str">
        <f t="shared" si="662"/>
        <v/>
      </c>
      <c r="AK1588" s="168" t="str">
        <f t="shared" si="663"/>
        <v/>
      </c>
      <c r="AL1588" s="168" t="str">
        <f t="shared" si="664"/>
        <v/>
      </c>
      <c r="AM1588" s="168" t="str">
        <f t="shared" si="665"/>
        <v/>
      </c>
      <c r="AN1588" s="167" t="str">
        <f t="shared" si="647"/>
        <v/>
      </c>
      <c r="AO1588" s="167" t="str">
        <f t="shared" si="648"/>
        <v/>
      </c>
      <c r="AP1588" s="167" t="str">
        <f t="shared" si="649"/>
        <v/>
      </c>
      <c r="AQ1588" s="169" t="str">
        <f t="shared" si="650"/>
        <v/>
      </c>
      <c r="AR1588" s="170" t="str">
        <f t="shared" si="651"/>
        <v>BiK81G------07</v>
      </c>
      <c r="AS1588" s="169" t="str">
        <f t="shared" si="652"/>
        <v/>
      </c>
      <c r="AT1588">
        <f t="shared" si="653"/>
        <v>14</v>
      </c>
      <c r="AU1588" s="170" t="str">
        <f t="shared" si="654"/>
        <v>0-0,15 MW, Bonusregel G</v>
      </c>
      <c r="AV1588" s="169" t="str">
        <f t="shared" si="655"/>
        <v/>
      </c>
      <c r="AW1588" s="170" t="str">
        <f t="shared" si="656"/>
        <v>Anteil Nicht-KWK</v>
      </c>
      <c r="AX1588" s="169" t="str">
        <f t="shared" si="657"/>
        <v/>
      </c>
      <c r="AY1588" t="str">
        <f t="shared" si="658"/>
        <v/>
      </c>
      <c r="AZ1588" t="str">
        <f t="shared" si="659"/>
        <v/>
      </c>
    </row>
    <row r="1589" spans="1:52" ht="17.25" customHeight="1" x14ac:dyDescent="0.35">
      <c r="A1589" s="497" t="s">
        <v>2245</v>
      </c>
      <c r="B1589" s="13" t="s">
        <v>5547</v>
      </c>
      <c r="C1589" s="13" t="s">
        <v>1304</v>
      </c>
      <c r="D1589" s="13" t="s">
        <v>6890</v>
      </c>
      <c r="E1589" s="13" t="s">
        <v>4811</v>
      </c>
      <c r="F1589" s="373">
        <f t="shared" si="666"/>
        <v>20.67</v>
      </c>
      <c r="G1589" s="430">
        <v>20.67</v>
      </c>
      <c r="H1589" s="399">
        <f t="shared" si="667"/>
        <v>16.54</v>
      </c>
      <c r="I1589" s="576"/>
      <c r="J1589" s="549" t="s">
        <v>5804</v>
      </c>
      <c r="K1589" s="11"/>
      <c r="M1589" s="37">
        <f t="shared" si="668"/>
        <v>20.67</v>
      </c>
      <c r="N1589" s="29">
        <v>11.67</v>
      </c>
      <c r="O1589" s="149" t="s">
        <v>1017</v>
      </c>
      <c r="P1589" s="144"/>
      <c r="Q1589" s="145"/>
      <c r="R1589" s="145"/>
      <c r="S1589" s="145" t="s">
        <v>4179</v>
      </c>
      <c r="T1589" t="s">
        <v>4179</v>
      </c>
      <c r="U1589" s="146"/>
      <c r="V1589" s="145"/>
      <c r="W1589" s="147"/>
      <c r="X1589" s="147"/>
      <c r="Y1589" s="145" t="s">
        <v>1017</v>
      </c>
      <c r="Z1589" s="145"/>
      <c r="AA1589" s="147"/>
      <c r="AB1589" s="145"/>
      <c r="AC1589" s="145"/>
      <c r="AD1589" s="147"/>
      <c r="AE1589" s="148"/>
      <c r="AF1589" s="147"/>
      <c r="AG1589" s="147"/>
      <c r="AH1589" s="166" t="str">
        <f t="shared" si="672"/>
        <v/>
      </c>
      <c r="AI1589" s="168" t="str">
        <f t="shared" si="661"/>
        <v/>
      </c>
      <c r="AJ1589" s="168" t="str">
        <f t="shared" si="662"/>
        <v/>
      </c>
      <c r="AK1589" s="168" t="str">
        <f t="shared" si="663"/>
        <v/>
      </c>
      <c r="AL1589" s="168" t="str">
        <f t="shared" si="664"/>
        <v/>
      </c>
      <c r="AM1589" s="168" t="str">
        <f t="shared" si="665"/>
        <v/>
      </c>
      <c r="AN1589" s="167" t="str">
        <f t="shared" si="647"/>
        <v/>
      </c>
      <c r="AO1589" s="167" t="str">
        <f t="shared" si="648"/>
        <v/>
      </c>
      <c r="AP1589" s="167" t="str">
        <f t="shared" si="649"/>
        <v/>
      </c>
      <c r="AQ1589" s="169" t="str">
        <f t="shared" si="650"/>
        <v/>
      </c>
      <c r="AR1589" s="170" t="str">
        <f t="shared" si="651"/>
        <v>BiK81GKWK---07</v>
      </c>
      <c r="AS1589" s="169" t="str">
        <f t="shared" si="652"/>
        <v/>
      </c>
      <c r="AT1589">
        <f t="shared" si="653"/>
        <v>14</v>
      </c>
      <c r="AU1589" s="170" t="str">
        <f t="shared" si="654"/>
        <v>0-0,15 MW, Bonusregeln G und KWK</v>
      </c>
      <c r="AV1589" s="169" t="str">
        <f t="shared" si="655"/>
        <v/>
      </c>
      <c r="AW1589" s="170" t="str">
        <f t="shared" si="656"/>
        <v>Anteil KWK</v>
      </c>
      <c r="AX1589" s="169" t="str">
        <f t="shared" si="657"/>
        <v/>
      </c>
      <c r="AY1589" t="str">
        <f t="shared" si="658"/>
        <v/>
      </c>
      <c r="AZ1589" t="str">
        <f t="shared" si="659"/>
        <v/>
      </c>
    </row>
    <row r="1590" spans="1:52" x14ac:dyDescent="0.35">
      <c r="A1590" s="497" t="s">
        <v>2246</v>
      </c>
      <c r="B1590" s="13" t="s">
        <v>5547</v>
      </c>
      <c r="C1590" s="13" t="s">
        <v>1304</v>
      </c>
      <c r="D1590" s="13" t="s">
        <v>6806</v>
      </c>
      <c r="E1590" s="13" t="s">
        <v>4330</v>
      </c>
      <c r="F1590" s="373">
        <f t="shared" si="666"/>
        <v>21.67</v>
      </c>
      <c r="G1590" s="430">
        <v>21.67</v>
      </c>
      <c r="H1590" s="399">
        <f t="shared" si="667"/>
        <v>17.34</v>
      </c>
      <c r="I1590" s="576"/>
      <c r="J1590" s="549" t="s">
        <v>5804</v>
      </c>
      <c r="K1590" s="11"/>
      <c r="M1590" s="37">
        <f t="shared" si="668"/>
        <v>21.67</v>
      </c>
      <c r="N1590" s="29">
        <v>11.67</v>
      </c>
      <c r="O1590" s="149"/>
      <c r="P1590" s="145" t="s">
        <v>1017</v>
      </c>
      <c r="Q1590" s="145"/>
      <c r="R1590" s="145"/>
      <c r="S1590" s="145" t="s">
        <v>4179</v>
      </c>
      <c r="T1590" t="s">
        <v>4179</v>
      </c>
      <c r="U1590" s="146"/>
      <c r="V1590" s="145"/>
      <c r="W1590" s="147"/>
      <c r="X1590" s="147"/>
      <c r="Y1590" s="145" t="s">
        <v>1017</v>
      </c>
      <c r="Z1590" s="145"/>
      <c r="AA1590" s="147"/>
      <c r="AB1590" s="145"/>
      <c r="AC1590" s="145"/>
      <c r="AD1590" s="147"/>
      <c r="AE1590" s="148"/>
      <c r="AF1590" s="147"/>
      <c r="AG1590" s="147"/>
      <c r="AH1590" s="166" t="str">
        <f t="shared" si="672"/>
        <v/>
      </c>
      <c r="AI1590" s="168" t="str">
        <f t="shared" si="661"/>
        <v/>
      </c>
      <c r="AJ1590" s="168" t="str">
        <f t="shared" si="662"/>
        <v/>
      </c>
      <c r="AK1590" s="168" t="str">
        <f t="shared" si="663"/>
        <v/>
      </c>
      <c r="AL1590" s="168" t="str">
        <f t="shared" si="664"/>
        <v/>
      </c>
      <c r="AM1590" s="168" t="str">
        <f t="shared" si="665"/>
        <v/>
      </c>
      <c r="AN1590" s="167" t="str">
        <f t="shared" si="647"/>
        <v/>
      </c>
      <c r="AO1590" s="167" t="str">
        <f t="shared" si="648"/>
        <v/>
      </c>
      <c r="AP1590" s="167" t="str">
        <f t="shared" si="649"/>
        <v/>
      </c>
      <c r="AQ1590" s="169" t="str">
        <f t="shared" si="650"/>
        <v/>
      </c>
      <c r="AR1590" s="170" t="str">
        <f t="shared" si="651"/>
        <v>BiK81GKA3---07</v>
      </c>
      <c r="AS1590" s="169" t="str">
        <f t="shared" si="652"/>
        <v/>
      </c>
      <c r="AT1590">
        <f t="shared" si="653"/>
        <v>14</v>
      </c>
      <c r="AU1590" s="170" t="str">
        <f t="shared" si="654"/>
        <v>0-0,15 MW, Bonusregeln G und K wenn Anlage 3 erfüllt</v>
      </c>
      <c r="AV1590" s="169" t="str">
        <f t="shared" si="655"/>
        <v/>
      </c>
      <c r="AW1590" s="170" t="str">
        <f t="shared" si="656"/>
        <v>Anteil KWK gemäß Anlage 3</v>
      </c>
      <c r="AX1590" s="169" t="str">
        <f t="shared" si="657"/>
        <v/>
      </c>
      <c r="AY1590" t="str">
        <f t="shared" si="658"/>
        <v/>
      </c>
      <c r="AZ1590" t="str">
        <f t="shared" si="659"/>
        <v/>
      </c>
    </row>
    <row r="1591" spans="1:52" x14ac:dyDescent="0.35">
      <c r="A1591" s="497" t="s">
        <v>2247</v>
      </c>
      <c r="B1591" s="13" t="s">
        <v>5547</v>
      </c>
      <c r="C1591" s="13" t="s">
        <v>1304</v>
      </c>
      <c r="D1591" s="13" t="s">
        <v>6807</v>
      </c>
      <c r="E1591" s="13" t="s">
        <v>674</v>
      </c>
      <c r="F1591" s="373">
        <f t="shared" si="666"/>
        <v>21.67</v>
      </c>
      <c r="G1591" s="430">
        <v>21.67</v>
      </c>
      <c r="H1591" s="399">
        <f t="shared" si="667"/>
        <v>17.34</v>
      </c>
      <c r="I1591" s="576"/>
      <c r="J1591" s="549" t="s">
        <v>5804</v>
      </c>
      <c r="K1591" s="11"/>
      <c r="M1591" s="37">
        <f t="shared" si="668"/>
        <v>21.67</v>
      </c>
      <c r="N1591" s="29">
        <v>11.67</v>
      </c>
      <c r="O1591" s="149"/>
      <c r="P1591" s="144"/>
      <c r="Q1591" s="145" t="s">
        <v>1017</v>
      </c>
      <c r="R1591" s="145"/>
      <c r="S1591" s="145" t="s">
        <v>4179</v>
      </c>
      <c r="T1591" t="s">
        <v>4179</v>
      </c>
      <c r="U1591" s="146"/>
      <c r="V1591" s="145"/>
      <c r="W1591" s="147"/>
      <c r="X1591" s="147"/>
      <c r="Y1591" s="145" t="s">
        <v>1017</v>
      </c>
      <c r="Z1591" s="145"/>
      <c r="AA1591" s="147"/>
      <c r="AB1591" s="145"/>
      <c r="AC1591" s="145"/>
      <c r="AD1591" s="147"/>
      <c r="AE1591" s="148"/>
      <c r="AF1591" s="147"/>
      <c r="AG1591" s="147"/>
      <c r="AH1591" s="166" t="str">
        <f t="shared" si="672"/>
        <v/>
      </c>
      <c r="AI1591" s="168" t="str">
        <f t="shared" si="661"/>
        <v/>
      </c>
      <c r="AJ1591" s="168" t="str">
        <f t="shared" si="662"/>
        <v/>
      </c>
      <c r="AK1591" s="168" t="str">
        <f t="shared" si="663"/>
        <v/>
      </c>
      <c r="AL1591" s="168" t="str">
        <f t="shared" si="664"/>
        <v/>
      </c>
      <c r="AM1591" s="168" t="str">
        <f t="shared" si="665"/>
        <v/>
      </c>
      <c r="AN1591" s="167" t="str">
        <f t="shared" si="647"/>
        <v/>
      </c>
      <c r="AO1591" s="167" t="str">
        <f t="shared" si="648"/>
        <v/>
      </c>
      <c r="AP1591" s="167" t="str">
        <f t="shared" si="649"/>
        <v/>
      </c>
      <c r="AQ1591" s="169" t="str">
        <f t="shared" si="650"/>
        <v/>
      </c>
      <c r="AR1591" s="170" t="str">
        <f t="shared" si="651"/>
        <v>BiK81GK09---07</v>
      </c>
      <c r="AS1591" s="169" t="str">
        <f t="shared" si="652"/>
        <v/>
      </c>
      <c r="AT1591">
        <f t="shared" si="653"/>
        <v>14</v>
      </c>
      <c r="AU1591" s="170" t="str">
        <f t="shared" si="654"/>
        <v>0-0,15 MW, Bonusregeln G und K erstmals 2009</v>
      </c>
      <c r="AV1591" s="169" t="str">
        <f t="shared" si="655"/>
        <v/>
      </c>
      <c r="AW1591" s="170" t="str">
        <f t="shared" si="656"/>
        <v>Anteil KWK, erstmals 2009</v>
      </c>
      <c r="AX1591" s="169" t="str">
        <f t="shared" si="657"/>
        <v/>
      </c>
      <c r="AY1591" t="str">
        <f t="shared" si="658"/>
        <v/>
      </c>
      <c r="AZ1591" t="str">
        <f t="shared" si="659"/>
        <v/>
      </c>
    </row>
    <row r="1592" spans="1:52" x14ac:dyDescent="0.35">
      <c r="A1592" s="497" t="s">
        <v>4944</v>
      </c>
      <c r="B1592" s="13" t="s">
        <v>5547</v>
      </c>
      <c r="C1592" s="13" t="s">
        <v>1304</v>
      </c>
      <c r="D1592" s="13" t="s">
        <v>6808</v>
      </c>
      <c r="E1592" s="13" t="s">
        <v>3566</v>
      </c>
      <c r="F1592" s="373">
        <f t="shared" si="666"/>
        <v>21.64</v>
      </c>
      <c r="G1592" s="430">
        <v>21.64</v>
      </c>
      <c r="H1592" s="399">
        <f t="shared" si="667"/>
        <v>17.309999999999999</v>
      </c>
      <c r="I1592" s="576"/>
      <c r="J1592" s="549" t="s">
        <v>5804</v>
      </c>
      <c r="K1592" s="11"/>
      <c r="M1592" s="37">
        <f t="shared" si="668"/>
        <v>21.64</v>
      </c>
      <c r="N1592" s="29">
        <v>11.67</v>
      </c>
      <c r="O1592" s="149"/>
      <c r="P1592" s="144"/>
      <c r="Q1592" s="145"/>
      <c r="R1592" s="145" t="s">
        <v>1017</v>
      </c>
      <c r="S1592" s="145" t="s">
        <v>4179</v>
      </c>
      <c r="T1592" t="s">
        <v>4179</v>
      </c>
      <c r="U1592" s="146"/>
      <c r="V1592" s="145"/>
      <c r="W1592" s="147"/>
      <c r="X1592" s="147"/>
      <c r="Y1592" s="145" t="s">
        <v>1017</v>
      </c>
      <c r="Z1592" s="145"/>
      <c r="AA1592" s="147"/>
      <c r="AB1592" s="145"/>
      <c r="AC1592" s="145"/>
      <c r="AD1592" s="147"/>
      <c r="AE1592" s="148"/>
      <c r="AF1592" s="147"/>
      <c r="AG1592" s="147"/>
      <c r="AH1592" s="166" t="str">
        <f t="shared" si="672"/>
        <v>2010</v>
      </c>
      <c r="AI1592" s="168" t="str">
        <f t="shared" si="661"/>
        <v/>
      </c>
      <c r="AJ1592" s="168" t="str">
        <f t="shared" si="662"/>
        <v/>
      </c>
      <c r="AK1592" s="168" t="str">
        <f t="shared" si="663"/>
        <v/>
      </c>
      <c r="AL1592" s="168" t="str">
        <f t="shared" si="664"/>
        <v/>
      </c>
      <c r="AM1592" s="168" t="str">
        <f t="shared" si="665"/>
        <v/>
      </c>
      <c r="AN1592" s="167" t="str">
        <f t="shared" si="647"/>
        <v>2010</v>
      </c>
      <c r="AO1592" s="167" t="str">
        <f t="shared" si="648"/>
        <v>2010</v>
      </c>
      <c r="AP1592" s="167" t="str">
        <f t="shared" si="649"/>
        <v>2010</v>
      </c>
      <c r="AQ1592" s="169" t="str">
        <f t="shared" si="650"/>
        <v/>
      </c>
      <c r="AR1592" s="170" t="str">
        <f t="shared" si="651"/>
        <v>BiK81GK10---07</v>
      </c>
      <c r="AS1592" s="169" t="str">
        <f t="shared" si="652"/>
        <v/>
      </c>
      <c r="AT1592">
        <f t="shared" si="653"/>
        <v>14</v>
      </c>
      <c r="AU1592" s="170" t="str">
        <f t="shared" si="654"/>
        <v>0-0,15 MW, Bonusregeln G und K erstmals 2010</v>
      </c>
      <c r="AV1592" s="169" t="str">
        <f t="shared" si="655"/>
        <v/>
      </c>
      <c r="AW1592" s="170" t="str">
        <f t="shared" si="656"/>
        <v>Anteil KWK, erstmals 2010</v>
      </c>
      <c r="AX1592" s="169" t="str">
        <f t="shared" si="657"/>
        <v/>
      </c>
      <c r="AY1592" t="str">
        <f t="shared" si="658"/>
        <v/>
      </c>
      <c r="AZ1592" t="str">
        <f t="shared" si="659"/>
        <v/>
      </c>
    </row>
    <row r="1593" spans="1:52" x14ac:dyDescent="0.35">
      <c r="A1593" s="497" t="s">
        <v>3991</v>
      </c>
      <c r="B1593" s="13" t="s">
        <v>5547</v>
      </c>
      <c r="C1593" s="13" t="s">
        <v>1304</v>
      </c>
      <c r="D1593" s="13" t="s">
        <v>6809</v>
      </c>
      <c r="E1593" s="13" t="s">
        <v>3054</v>
      </c>
      <c r="F1593" s="373">
        <f t="shared" si="666"/>
        <v>21.61</v>
      </c>
      <c r="G1593" s="430">
        <v>21.61</v>
      </c>
      <c r="H1593" s="399">
        <f t="shared" si="667"/>
        <v>17.29</v>
      </c>
      <c r="I1593" s="576"/>
      <c r="J1593" s="549" t="s">
        <v>5804</v>
      </c>
      <c r="K1593" s="11"/>
      <c r="M1593" s="37">
        <f t="shared" si="668"/>
        <v>21.61</v>
      </c>
      <c r="N1593" s="29">
        <v>11.67</v>
      </c>
      <c r="O1593" s="149"/>
      <c r="P1593" s="144"/>
      <c r="Q1593" s="145"/>
      <c r="R1593" s="145"/>
      <c r="S1593" s="145" t="s">
        <v>1017</v>
      </c>
      <c r="T1593" t="s">
        <v>4179</v>
      </c>
      <c r="U1593" s="146"/>
      <c r="V1593" s="145"/>
      <c r="W1593" s="147"/>
      <c r="X1593" s="147"/>
      <c r="Y1593" s="145" t="s">
        <v>1017</v>
      </c>
      <c r="Z1593" s="145"/>
      <c r="AA1593" s="147"/>
      <c r="AB1593" s="145"/>
      <c r="AC1593" s="145"/>
      <c r="AD1593" s="147"/>
      <c r="AE1593" s="148"/>
      <c r="AF1593" s="147"/>
      <c r="AG1593" s="147"/>
      <c r="AH1593" s="166" t="str">
        <f t="shared" si="672"/>
        <v>2011</v>
      </c>
      <c r="AI1593" s="168" t="str">
        <f t="shared" si="661"/>
        <v/>
      </c>
      <c r="AJ1593" s="168" t="str">
        <f t="shared" si="662"/>
        <v/>
      </c>
      <c r="AK1593" s="168" t="str">
        <f t="shared" si="663"/>
        <v/>
      </c>
      <c r="AL1593" s="168" t="str">
        <f t="shared" si="664"/>
        <v/>
      </c>
      <c r="AM1593" s="168" t="str">
        <f t="shared" si="665"/>
        <v/>
      </c>
      <c r="AN1593" s="167" t="str">
        <f t="shared" si="647"/>
        <v>2011</v>
      </c>
      <c r="AO1593" s="167" t="str">
        <f t="shared" si="648"/>
        <v>2011</v>
      </c>
      <c r="AP1593" s="167" t="str">
        <f t="shared" si="649"/>
        <v>2011</v>
      </c>
      <c r="AQ1593" s="169" t="str">
        <f t="shared" si="650"/>
        <v/>
      </c>
      <c r="AR1593" s="170" t="str">
        <f t="shared" si="651"/>
        <v>BiK81GK11---07</v>
      </c>
      <c r="AS1593" s="169" t="str">
        <f t="shared" si="652"/>
        <v/>
      </c>
      <c r="AT1593">
        <f t="shared" si="653"/>
        <v>14</v>
      </c>
      <c r="AU1593" s="170" t="str">
        <f t="shared" si="654"/>
        <v>0-0,15 MW, Bonusregeln G und K erstmals 2011</v>
      </c>
      <c r="AV1593" s="169" t="str">
        <f t="shared" si="655"/>
        <v/>
      </c>
      <c r="AW1593" s="170" t="str">
        <f t="shared" si="656"/>
        <v>Anteil KWK, erstmals 2011</v>
      </c>
      <c r="AX1593" s="169" t="str">
        <f t="shared" si="657"/>
        <v/>
      </c>
      <c r="AY1593" t="str">
        <f t="shared" si="658"/>
        <v>x</v>
      </c>
      <c r="AZ1593" t="str">
        <f t="shared" si="659"/>
        <v/>
      </c>
    </row>
    <row r="1594" spans="1:52" x14ac:dyDescent="0.35">
      <c r="A1594" s="511" t="s">
        <v>1814</v>
      </c>
      <c r="B1594" s="173" t="s">
        <v>5547</v>
      </c>
      <c r="C1594" s="173" t="s">
        <v>1304</v>
      </c>
      <c r="D1594" s="173" t="s">
        <v>6810</v>
      </c>
      <c r="E1594" s="173" t="s">
        <v>1980</v>
      </c>
      <c r="F1594" s="374">
        <f t="shared" si="666"/>
        <v>21.58</v>
      </c>
      <c r="G1594" s="431">
        <v>21.58</v>
      </c>
      <c r="H1594" s="400">
        <f t="shared" si="667"/>
        <v>17.260000000000002</v>
      </c>
      <c r="I1594" s="577"/>
      <c r="J1594" s="549" t="s">
        <v>5804</v>
      </c>
      <c r="K1594" s="11"/>
      <c r="M1594" s="37">
        <f t="shared" si="668"/>
        <v>21.58</v>
      </c>
      <c r="N1594" s="29">
        <v>11.67</v>
      </c>
      <c r="O1594" s="149"/>
      <c r="P1594" s="144"/>
      <c r="Q1594" s="145"/>
      <c r="R1594" s="145"/>
      <c r="S1594" s="145" t="s">
        <v>4179</v>
      </c>
      <c r="T1594" t="s">
        <v>1017</v>
      </c>
      <c r="U1594" s="146"/>
      <c r="V1594" s="145"/>
      <c r="W1594" s="147"/>
      <c r="X1594" s="147"/>
      <c r="Y1594" s="145" t="s">
        <v>1017</v>
      </c>
      <c r="Z1594" s="145"/>
      <c r="AA1594" s="147"/>
      <c r="AB1594" s="145"/>
      <c r="AC1594" s="145"/>
      <c r="AD1594" s="147"/>
      <c r="AE1594" s="148"/>
      <c r="AF1594" s="147"/>
      <c r="AG1594" s="147"/>
      <c r="AH1594" s="171" t="s">
        <v>4178</v>
      </c>
      <c r="AI1594" s="168" t="str">
        <f t="shared" si="661"/>
        <v/>
      </c>
      <c r="AJ1594" s="168" t="str">
        <f t="shared" si="662"/>
        <v/>
      </c>
      <c r="AK1594" s="168" t="str">
        <f t="shared" si="663"/>
        <v/>
      </c>
      <c r="AL1594" s="168" t="str">
        <f t="shared" si="664"/>
        <v/>
      </c>
      <c r="AM1594" s="168" t="str">
        <f t="shared" si="665"/>
        <v/>
      </c>
      <c r="AN1594" s="167" t="str">
        <f t="shared" si="647"/>
        <v>2012</v>
      </c>
      <c r="AO1594" s="167" t="str">
        <f t="shared" si="648"/>
        <v>2012</v>
      </c>
      <c r="AP1594" s="167" t="str">
        <f t="shared" si="649"/>
        <v>2012</v>
      </c>
      <c r="AQ1594" s="169" t="str">
        <f t="shared" si="650"/>
        <v/>
      </c>
      <c r="AR1594" s="170" t="str">
        <f t="shared" si="651"/>
        <v>BiK81GK12---07</v>
      </c>
      <c r="AS1594" s="169" t="str">
        <f t="shared" si="652"/>
        <v/>
      </c>
      <c r="AT1594">
        <f t="shared" si="653"/>
        <v>14</v>
      </c>
      <c r="AU1594" s="170" t="str">
        <f t="shared" si="654"/>
        <v>0-0,15 MW, Bonusregeln G und K erstmals 2012</v>
      </c>
      <c r="AV1594" s="169" t="str">
        <f t="shared" si="655"/>
        <v/>
      </c>
      <c r="AW1594" s="170" t="str">
        <f t="shared" si="656"/>
        <v>Anteil KWK, erstmals 2012</v>
      </c>
      <c r="AX1594" s="169" t="str">
        <f t="shared" si="657"/>
        <v/>
      </c>
      <c r="AY1594" t="str">
        <f t="shared" si="658"/>
        <v/>
      </c>
      <c r="AZ1594" t="str">
        <f t="shared" si="659"/>
        <v>x</v>
      </c>
    </row>
    <row r="1595" spans="1:52" x14ac:dyDescent="0.35">
      <c r="A1595" s="497" t="s">
        <v>2248</v>
      </c>
      <c r="B1595" s="13" t="s">
        <v>5547</v>
      </c>
      <c r="C1595" s="13" t="s">
        <v>1304</v>
      </c>
      <c r="D1595" s="13" t="s">
        <v>6811</v>
      </c>
      <c r="E1595" s="13" t="s">
        <v>4809</v>
      </c>
      <c r="F1595" s="373">
        <f t="shared" si="666"/>
        <v>19.670000000000002</v>
      </c>
      <c r="G1595" s="430">
        <v>19.670000000000002</v>
      </c>
      <c r="H1595" s="399">
        <f t="shared" si="667"/>
        <v>15.74</v>
      </c>
      <c r="I1595" s="576"/>
      <c r="J1595" s="549" t="s">
        <v>5804</v>
      </c>
      <c r="K1595" s="11"/>
      <c r="M1595" s="37">
        <f t="shared" si="668"/>
        <v>19.670000000000002</v>
      </c>
      <c r="N1595" s="29">
        <v>11.67</v>
      </c>
      <c r="O1595" s="149"/>
      <c r="P1595" s="144"/>
      <c r="Q1595" s="145"/>
      <c r="R1595" s="145"/>
      <c r="S1595" s="145" t="s">
        <v>4179</v>
      </c>
      <c r="T1595" t="s">
        <v>4179</v>
      </c>
      <c r="U1595" s="146" t="s">
        <v>1017</v>
      </c>
      <c r="V1595" s="145"/>
      <c r="W1595" s="147"/>
      <c r="X1595" s="147"/>
      <c r="Y1595" s="145" t="s">
        <v>1017</v>
      </c>
      <c r="Z1595" s="145"/>
      <c r="AA1595" s="147"/>
      <c r="AB1595" s="145"/>
      <c r="AC1595" s="145"/>
      <c r="AD1595" s="147"/>
      <c r="AE1595" s="148"/>
      <c r="AF1595" s="147"/>
      <c r="AG1595" s="147"/>
      <c r="AH1595" s="166" t="str">
        <f t="shared" ref="AH1595:AH1600" si="673">IF(ISERROR(SEARCH("K erstmals 201",D1595)),"",RIGHT(D1595,4))</f>
        <v/>
      </c>
      <c r="AI1595" s="168" t="str">
        <f t="shared" si="661"/>
        <v/>
      </c>
      <c r="AJ1595" s="168" t="str">
        <f t="shared" si="662"/>
        <v/>
      </c>
      <c r="AK1595" s="168" t="str">
        <f t="shared" si="663"/>
        <v/>
      </c>
      <c r="AL1595" s="168" t="str">
        <f t="shared" si="664"/>
        <v/>
      </c>
      <c r="AM1595" s="168" t="str">
        <f t="shared" si="665"/>
        <v/>
      </c>
      <c r="AN1595" s="167" t="str">
        <f t="shared" si="647"/>
        <v/>
      </c>
      <c r="AO1595" s="167" t="str">
        <f t="shared" si="648"/>
        <v/>
      </c>
      <c r="AP1595" s="167" t="str">
        <f t="shared" si="649"/>
        <v/>
      </c>
      <c r="AQ1595" s="169" t="str">
        <f t="shared" si="650"/>
        <v/>
      </c>
      <c r="AR1595" s="170" t="str">
        <f t="shared" si="651"/>
        <v>BiK81Gy-----07</v>
      </c>
      <c r="AS1595" s="169" t="str">
        <f t="shared" si="652"/>
        <v/>
      </c>
      <c r="AT1595">
        <f t="shared" si="653"/>
        <v>14</v>
      </c>
      <c r="AU1595" s="170" t="str">
        <f t="shared" si="654"/>
        <v>0-0,15 MW, Bonusregel G, y</v>
      </c>
      <c r="AV1595" s="169" t="str">
        <f t="shared" si="655"/>
        <v/>
      </c>
      <c r="AW1595" s="170" t="str">
        <f t="shared" si="656"/>
        <v>Anteil Nicht-KWK</v>
      </c>
      <c r="AX1595" s="169" t="str">
        <f t="shared" si="657"/>
        <v/>
      </c>
      <c r="AY1595" t="str">
        <f t="shared" si="658"/>
        <v/>
      </c>
      <c r="AZ1595" t="str">
        <f t="shared" si="659"/>
        <v/>
      </c>
    </row>
    <row r="1596" spans="1:52" x14ac:dyDescent="0.35">
      <c r="A1596" s="497" t="s">
        <v>2249</v>
      </c>
      <c r="B1596" s="13" t="s">
        <v>5547</v>
      </c>
      <c r="C1596" s="13" t="s">
        <v>1304</v>
      </c>
      <c r="D1596" s="13" t="s">
        <v>6891</v>
      </c>
      <c r="E1596" s="13" t="s">
        <v>4811</v>
      </c>
      <c r="F1596" s="373">
        <f t="shared" si="666"/>
        <v>21.67</v>
      </c>
      <c r="G1596" s="430">
        <v>21.67</v>
      </c>
      <c r="H1596" s="399">
        <f t="shared" si="667"/>
        <v>17.34</v>
      </c>
      <c r="I1596" s="576"/>
      <c r="J1596" s="549" t="s">
        <v>5804</v>
      </c>
      <c r="K1596" s="11"/>
      <c r="M1596" s="37">
        <f t="shared" si="668"/>
        <v>21.67</v>
      </c>
      <c r="N1596" s="29">
        <v>11.67</v>
      </c>
      <c r="O1596" s="149" t="s">
        <v>1017</v>
      </c>
      <c r="P1596" s="144"/>
      <c r="Q1596" s="145"/>
      <c r="R1596" s="145"/>
      <c r="S1596" s="145" t="s">
        <v>4179</v>
      </c>
      <c r="T1596" t="s">
        <v>4179</v>
      </c>
      <c r="U1596" s="146" t="s">
        <v>1017</v>
      </c>
      <c r="V1596" s="145"/>
      <c r="W1596" s="147"/>
      <c r="X1596" s="147"/>
      <c r="Y1596" s="145" t="s">
        <v>1017</v>
      </c>
      <c r="Z1596" s="145"/>
      <c r="AA1596" s="147"/>
      <c r="AB1596" s="145"/>
      <c r="AC1596" s="145"/>
      <c r="AD1596" s="147"/>
      <c r="AE1596" s="148"/>
      <c r="AF1596" s="147"/>
      <c r="AG1596" s="147"/>
      <c r="AH1596" s="166" t="str">
        <f t="shared" si="673"/>
        <v/>
      </c>
      <c r="AI1596" s="168" t="str">
        <f t="shared" si="661"/>
        <v/>
      </c>
      <c r="AJ1596" s="168" t="str">
        <f t="shared" si="662"/>
        <v/>
      </c>
      <c r="AK1596" s="168" t="str">
        <f t="shared" si="663"/>
        <v/>
      </c>
      <c r="AL1596" s="168" t="str">
        <f t="shared" si="664"/>
        <v/>
      </c>
      <c r="AM1596" s="168" t="str">
        <f t="shared" si="665"/>
        <v/>
      </c>
      <c r="AN1596" s="167" t="str">
        <f t="shared" si="647"/>
        <v/>
      </c>
      <c r="AO1596" s="167" t="str">
        <f t="shared" si="648"/>
        <v/>
      </c>
      <c r="AP1596" s="167" t="str">
        <f t="shared" si="649"/>
        <v/>
      </c>
      <c r="AQ1596" s="169" t="str">
        <f t="shared" si="650"/>
        <v/>
      </c>
      <c r="AR1596" s="170" t="str">
        <f t="shared" si="651"/>
        <v>BiK81GKWKy--07</v>
      </c>
      <c r="AS1596" s="169" t="str">
        <f t="shared" si="652"/>
        <v/>
      </c>
      <c r="AT1596">
        <f t="shared" si="653"/>
        <v>14</v>
      </c>
      <c r="AU1596" s="170" t="str">
        <f t="shared" si="654"/>
        <v>0-0,15 MW, Bonusregeln G, y und KWK</v>
      </c>
      <c r="AV1596" s="169" t="str">
        <f t="shared" si="655"/>
        <v/>
      </c>
      <c r="AW1596" s="170" t="str">
        <f t="shared" si="656"/>
        <v>Anteil KWK</v>
      </c>
      <c r="AX1596" s="169" t="str">
        <f t="shared" si="657"/>
        <v/>
      </c>
      <c r="AY1596" t="str">
        <f t="shared" si="658"/>
        <v/>
      </c>
      <c r="AZ1596" t="str">
        <f t="shared" si="659"/>
        <v/>
      </c>
    </row>
    <row r="1597" spans="1:52" x14ac:dyDescent="0.35">
      <c r="A1597" s="497" t="s">
        <v>2250</v>
      </c>
      <c r="B1597" s="13" t="s">
        <v>5547</v>
      </c>
      <c r="C1597" s="13" t="s">
        <v>1304</v>
      </c>
      <c r="D1597" s="88" t="s">
        <v>6812</v>
      </c>
      <c r="E1597" s="13" t="s">
        <v>4330</v>
      </c>
      <c r="F1597" s="373">
        <f t="shared" si="666"/>
        <v>22.67</v>
      </c>
      <c r="G1597" s="430">
        <v>22.67</v>
      </c>
      <c r="H1597" s="399">
        <f t="shared" si="667"/>
        <v>18.14</v>
      </c>
      <c r="I1597" s="576"/>
      <c r="J1597" s="549" t="s">
        <v>5804</v>
      </c>
      <c r="K1597" s="11"/>
      <c r="M1597" s="37">
        <f t="shared" si="668"/>
        <v>22.67</v>
      </c>
      <c r="N1597" s="29">
        <v>11.67</v>
      </c>
      <c r="O1597" s="149"/>
      <c r="P1597" s="145" t="s">
        <v>1017</v>
      </c>
      <c r="Q1597" s="145"/>
      <c r="R1597" s="145"/>
      <c r="S1597" s="145" t="s">
        <v>4179</v>
      </c>
      <c r="T1597" t="s">
        <v>4179</v>
      </c>
      <c r="U1597" s="146" t="s">
        <v>1017</v>
      </c>
      <c r="V1597" s="145"/>
      <c r="W1597" s="147"/>
      <c r="X1597" s="147"/>
      <c r="Y1597" s="145" t="s">
        <v>1017</v>
      </c>
      <c r="Z1597" s="145"/>
      <c r="AA1597" s="147"/>
      <c r="AB1597" s="145"/>
      <c r="AC1597" s="145"/>
      <c r="AD1597" s="147"/>
      <c r="AE1597" s="148"/>
      <c r="AF1597" s="147"/>
      <c r="AG1597" s="147"/>
      <c r="AH1597" s="166" t="str">
        <f t="shared" si="673"/>
        <v/>
      </c>
      <c r="AI1597" s="168" t="str">
        <f t="shared" si="661"/>
        <v/>
      </c>
      <c r="AJ1597" s="168" t="str">
        <f t="shared" si="662"/>
        <v/>
      </c>
      <c r="AK1597" s="168" t="str">
        <f t="shared" si="663"/>
        <v/>
      </c>
      <c r="AL1597" s="168" t="str">
        <f t="shared" si="664"/>
        <v/>
      </c>
      <c r="AM1597" s="168" t="str">
        <f t="shared" si="665"/>
        <v/>
      </c>
      <c r="AN1597" s="167" t="str">
        <f t="shared" si="647"/>
        <v/>
      </c>
      <c r="AO1597" s="167" t="str">
        <f t="shared" si="648"/>
        <v/>
      </c>
      <c r="AP1597" s="167" t="str">
        <f t="shared" si="649"/>
        <v/>
      </c>
      <c r="AQ1597" s="169" t="str">
        <f t="shared" si="650"/>
        <v/>
      </c>
      <c r="AR1597" s="170" t="str">
        <f t="shared" si="651"/>
        <v>BiK81GKA3y--07</v>
      </c>
      <c r="AS1597" s="169" t="str">
        <f t="shared" si="652"/>
        <v/>
      </c>
      <c r="AT1597">
        <f t="shared" si="653"/>
        <v>14</v>
      </c>
      <c r="AU1597" s="170" t="str">
        <f t="shared" si="654"/>
        <v>0-0,15 MW, Bonusregeln G, y und K wenn Anlage 3 erfüllt</v>
      </c>
      <c r="AV1597" s="169" t="str">
        <f t="shared" si="655"/>
        <v/>
      </c>
      <c r="AW1597" s="170" t="str">
        <f t="shared" si="656"/>
        <v>Anteil KWK gemäß Anlage 3</v>
      </c>
      <c r="AX1597" s="169" t="str">
        <f t="shared" si="657"/>
        <v/>
      </c>
      <c r="AY1597" t="str">
        <f t="shared" si="658"/>
        <v/>
      </c>
      <c r="AZ1597" t="str">
        <f t="shared" si="659"/>
        <v/>
      </c>
    </row>
    <row r="1598" spans="1:52" x14ac:dyDescent="0.35">
      <c r="A1598" s="497" t="s">
        <v>2251</v>
      </c>
      <c r="B1598" s="13" t="s">
        <v>5547</v>
      </c>
      <c r="C1598" s="13" t="s">
        <v>1304</v>
      </c>
      <c r="D1598" s="13" t="s">
        <v>6813</v>
      </c>
      <c r="E1598" s="13" t="s">
        <v>674</v>
      </c>
      <c r="F1598" s="373">
        <f t="shared" si="666"/>
        <v>22.67</v>
      </c>
      <c r="G1598" s="430">
        <v>22.67</v>
      </c>
      <c r="H1598" s="399">
        <f t="shared" si="667"/>
        <v>18.14</v>
      </c>
      <c r="I1598" s="576"/>
      <c r="J1598" s="549" t="s">
        <v>5804</v>
      </c>
      <c r="K1598" s="11"/>
      <c r="M1598" s="37">
        <f t="shared" si="668"/>
        <v>22.67</v>
      </c>
      <c r="N1598" s="29">
        <v>11.67</v>
      </c>
      <c r="O1598" s="149"/>
      <c r="P1598" s="144"/>
      <c r="Q1598" s="145" t="s">
        <v>1017</v>
      </c>
      <c r="R1598" s="145"/>
      <c r="S1598" s="145" t="s">
        <v>4179</v>
      </c>
      <c r="T1598" t="s">
        <v>4179</v>
      </c>
      <c r="U1598" s="146" t="s">
        <v>1017</v>
      </c>
      <c r="V1598" s="145"/>
      <c r="W1598" s="147"/>
      <c r="X1598" s="147"/>
      <c r="Y1598" s="145" t="s">
        <v>1017</v>
      </c>
      <c r="Z1598" s="145"/>
      <c r="AA1598" s="147"/>
      <c r="AB1598" s="145"/>
      <c r="AC1598" s="145"/>
      <c r="AD1598" s="147"/>
      <c r="AE1598" s="148"/>
      <c r="AF1598" s="147"/>
      <c r="AG1598" s="147"/>
      <c r="AH1598" s="166" t="str">
        <f t="shared" si="673"/>
        <v/>
      </c>
      <c r="AI1598" s="168" t="str">
        <f t="shared" si="661"/>
        <v/>
      </c>
      <c r="AJ1598" s="168" t="str">
        <f t="shared" si="662"/>
        <v/>
      </c>
      <c r="AK1598" s="168" t="str">
        <f t="shared" si="663"/>
        <v/>
      </c>
      <c r="AL1598" s="168" t="str">
        <f t="shared" si="664"/>
        <v/>
      </c>
      <c r="AM1598" s="168" t="str">
        <f t="shared" si="665"/>
        <v/>
      </c>
      <c r="AN1598" s="167" t="str">
        <f t="shared" si="647"/>
        <v/>
      </c>
      <c r="AO1598" s="167" t="str">
        <f t="shared" si="648"/>
        <v/>
      </c>
      <c r="AP1598" s="167" t="str">
        <f t="shared" si="649"/>
        <v/>
      </c>
      <c r="AQ1598" s="169" t="str">
        <f t="shared" si="650"/>
        <v/>
      </c>
      <c r="AR1598" s="170" t="str">
        <f t="shared" si="651"/>
        <v>BiK81GK09y--07</v>
      </c>
      <c r="AS1598" s="169" t="str">
        <f t="shared" si="652"/>
        <v/>
      </c>
      <c r="AT1598">
        <f t="shared" si="653"/>
        <v>14</v>
      </c>
      <c r="AU1598" s="170" t="str">
        <f t="shared" si="654"/>
        <v>0-0,15 MW, Bonusregeln G, y und K erstmals 2009</v>
      </c>
      <c r="AV1598" s="169" t="str">
        <f t="shared" si="655"/>
        <v/>
      </c>
      <c r="AW1598" s="170" t="str">
        <f t="shared" si="656"/>
        <v>Anteil KWK, erstmals 2009</v>
      </c>
      <c r="AX1598" s="169" t="str">
        <f t="shared" si="657"/>
        <v/>
      </c>
      <c r="AY1598" t="str">
        <f t="shared" si="658"/>
        <v/>
      </c>
      <c r="AZ1598" t="str">
        <f t="shared" si="659"/>
        <v/>
      </c>
    </row>
    <row r="1599" spans="1:52" x14ac:dyDescent="0.35">
      <c r="A1599" s="497" t="s">
        <v>4945</v>
      </c>
      <c r="B1599" s="13" t="s">
        <v>5547</v>
      </c>
      <c r="C1599" s="13" t="s">
        <v>1304</v>
      </c>
      <c r="D1599" s="13" t="s">
        <v>6814</v>
      </c>
      <c r="E1599" s="13" t="s">
        <v>3566</v>
      </c>
      <c r="F1599" s="373">
        <f t="shared" si="666"/>
        <v>22.64</v>
      </c>
      <c r="G1599" s="430">
        <v>22.64</v>
      </c>
      <c r="H1599" s="399">
        <f t="shared" si="667"/>
        <v>18.11</v>
      </c>
      <c r="I1599" s="576"/>
      <c r="J1599" s="549" t="s">
        <v>5804</v>
      </c>
      <c r="K1599" s="11"/>
      <c r="M1599" s="37">
        <f t="shared" si="668"/>
        <v>22.64</v>
      </c>
      <c r="N1599" s="29">
        <v>11.67</v>
      </c>
      <c r="O1599" s="149"/>
      <c r="P1599" s="144"/>
      <c r="Q1599" s="145"/>
      <c r="R1599" s="145" t="s">
        <v>1017</v>
      </c>
      <c r="S1599" s="145" t="s">
        <v>4179</v>
      </c>
      <c r="T1599" t="s">
        <v>4179</v>
      </c>
      <c r="U1599" s="146" t="s">
        <v>1017</v>
      </c>
      <c r="V1599" s="145"/>
      <c r="W1599" s="147"/>
      <c r="X1599" s="147"/>
      <c r="Y1599" s="145" t="s">
        <v>1017</v>
      </c>
      <c r="Z1599" s="145"/>
      <c r="AA1599" s="147"/>
      <c r="AB1599" s="145"/>
      <c r="AC1599" s="145"/>
      <c r="AD1599" s="147"/>
      <c r="AE1599" s="148"/>
      <c r="AF1599" s="147"/>
      <c r="AG1599" s="147"/>
      <c r="AH1599" s="166" t="str">
        <f t="shared" si="673"/>
        <v>2010</v>
      </c>
      <c r="AI1599" s="168" t="str">
        <f t="shared" si="661"/>
        <v/>
      </c>
      <c r="AJ1599" s="168" t="str">
        <f t="shared" si="662"/>
        <v/>
      </c>
      <c r="AK1599" s="168" t="str">
        <f t="shared" si="663"/>
        <v/>
      </c>
      <c r="AL1599" s="168" t="str">
        <f t="shared" si="664"/>
        <v/>
      </c>
      <c r="AM1599" s="168" t="str">
        <f t="shared" si="665"/>
        <v/>
      </c>
      <c r="AN1599" s="167" t="str">
        <f t="shared" si="647"/>
        <v>2010</v>
      </c>
      <c r="AO1599" s="167" t="str">
        <f t="shared" si="648"/>
        <v>2010</v>
      </c>
      <c r="AP1599" s="167" t="str">
        <f t="shared" si="649"/>
        <v>2010</v>
      </c>
      <c r="AQ1599" s="169" t="str">
        <f t="shared" si="650"/>
        <v/>
      </c>
      <c r="AR1599" s="170" t="str">
        <f t="shared" si="651"/>
        <v>BiK81GK10y--07</v>
      </c>
      <c r="AS1599" s="169" t="str">
        <f t="shared" si="652"/>
        <v/>
      </c>
      <c r="AT1599">
        <f t="shared" si="653"/>
        <v>14</v>
      </c>
      <c r="AU1599" s="170" t="str">
        <f t="shared" si="654"/>
        <v>0-0,15 MW, Bonusregeln G, y und K erstmals 2010</v>
      </c>
      <c r="AV1599" s="169" t="str">
        <f t="shared" si="655"/>
        <v/>
      </c>
      <c r="AW1599" s="170" t="str">
        <f t="shared" si="656"/>
        <v>Anteil KWK, erstmals 2010</v>
      </c>
      <c r="AX1599" s="169" t="str">
        <f t="shared" si="657"/>
        <v/>
      </c>
      <c r="AY1599" t="str">
        <f t="shared" si="658"/>
        <v/>
      </c>
      <c r="AZ1599" t="str">
        <f t="shared" si="659"/>
        <v/>
      </c>
    </row>
    <row r="1600" spans="1:52" x14ac:dyDescent="0.35">
      <c r="A1600" s="497" t="s">
        <v>3992</v>
      </c>
      <c r="B1600" s="13" t="s">
        <v>5547</v>
      </c>
      <c r="C1600" s="13" t="s">
        <v>1304</v>
      </c>
      <c r="D1600" s="13" t="s">
        <v>6815</v>
      </c>
      <c r="E1600" s="13" t="s">
        <v>3054</v>
      </c>
      <c r="F1600" s="373">
        <f t="shared" si="666"/>
        <v>22.61</v>
      </c>
      <c r="G1600" s="430">
        <v>22.61</v>
      </c>
      <c r="H1600" s="399">
        <f t="shared" si="667"/>
        <v>18.09</v>
      </c>
      <c r="I1600" s="576"/>
      <c r="J1600" s="549" t="s">
        <v>5804</v>
      </c>
      <c r="K1600" s="11"/>
      <c r="M1600" s="37">
        <f t="shared" si="668"/>
        <v>22.61</v>
      </c>
      <c r="N1600" s="29">
        <v>11.67</v>
      </c>
      <c r="O1600" s="149"/>
      <c r="P1600" s="144"/>
      <c r="Q1600" s="145"/>
      <c r="R1600" s="145"/>
      <c r="S1600" s="145" t="s">
        <v>1017</v>
      </c>
      <c r="T1600" t="s">
        <v>4179</v>
      </c>
      <c r="U1600" s="146" t="s">
        <v>1017</v>
      </c>
      <c r="V1600" s="145"/>
      <c r="W1600" s="147"/>
      <c r="X1600" s="147"/>
      <c r="Y1600" s="145" t="s">
        <v>1017</v>
      </c>
      <c r="Z1600" s="145"/>
      <c r="AA1600" s="147"/>
      <c r="AB1600" s="145"/>
      <c r="AC1600" s="145"/>
      <c r="AD1600" s="147"/>
      <c r="AE1600" s="148"/>
      <c r="AF1600" s="147"/>
      <c r="AG1600" s="147"/>
      <c r="AH1600" s="166" t="str">
        <f t="shared" si="673"/>
        <v>2011</v>
      </c>
      <c r="AI1600" s="168" t="str">
        <f t="shared" si="661"/>
        <v/>
      </c>
      <c r="AJ1600" s="168" t="str">
        <f t="shared" si="662"/>
        <v/>
      </c>
      <c r="AK1600" s="168" t="str">
        <f t="shared" si="663"/>
        <v/>
      </c>
      <c r="AL1600" s="168" t="str">
        <f t="shared" si="664"/>
        <v/>
      </c>
      <c r="AM1600" s="168" t="str">
        <f t="shared" si="665"/>
        <v/>
      </c>
      <c r="AN1600" s="167" t="str">
        <f t="shared" si="647"/>
        <v>2011</v>
      </c>
      <c r="AO1600" s="167" t="str">
        <f t="shared" si="648"/>
        <v>2011</v>
      </c>
      <c r="AP1600" s="167" t="str">
        <f t="shared" si="649"/>
        <v>2011</v>
      </c>
      <c r="AQ1600" s="169" t="str">
        <f t="shared" si="650"/>
        <v/>
      </c>
      <c r="AR1600" s="170" t="str">
        <f t="shared" si="651"/>
        <v>BiK81GK11y--07</v>
      </c>
      <c r="AS1600" s="169" t="str">
        <f t="shared" si="652"/>
        <v/>
      </c>
      <c r="AT1600">
        <f t="shared" si="653"/>
        <v>14</v>
      </c>
      <c r="AU1600" s="170" t="str">
        <f t="shared" si="654"/>
        <v>0-0,15 MW, Bonusregeln G, y und K erstmals 2011</v>
      </c>
      <c r="AV1600" s="169" t="str">
        <f t="shared" si="655"/>
        <v/>
      </c>
      <c r="AW1600" s="170" t="str">
        <f t="shared" si="656"/>
        <v>Anteil KWK, erstmals 2011</v>
      </c>
      <c r="AX1600" s="169" t="str">
        <f t="shared" si="657"/>
        <v/>
      </c>
      <c r="AY1600" t="str">
        <f t="shared" si="658"/>
        <v>x</v>
      </c>
      <c r="AZ1600" t="str">
        <f t="shared" si="659"/>
        <v/>
      </c>
    </row>
    <row r="1601" spans="1:52" x14ac:dyDescent="0.35">
      <c r="A1601" s="511" t="s">
        <v>1815</v>
      </c>
      <c r="B1601" s="173" t="s">
        <v>5547</v>
      </c>
      <c r="C1601" s="173" t="s">
        <v>1304</v>
      </c>
      <c r="D1601" s="173" t="s">
        <v>6816</v>
      </c>
      <c r="E1601" s="173" t="s">
        <v>1980</v>
      </c>
      <c r="F1601" s="374">
        <f t="shared" si="666"/>
        <v>22.58</v>
      </c>
      <c r="G1601" s="431">
        <v>22.58</v>
      </c>
      <c r="H1601" s="400">
        <f t="shared" si="667"/>
        <v>18.059999999999999</v>
      </c>
      <c r="I1601" s="577"/>
      <c r="J1601" s="549" t="s">
        <v>5804</v>
      </c>
      <c r="K1601" s="11"/>
      <c r="M1601" s="37">
        <f t="shared" si="668"/>
        <v>22.58</v>
      </c>
      <c r="N1601" s="29">
        <v>11.67</v>
      </c>
      <c r="O1601" s="149"/>
      <c r="P1601" s="144"/>
      <c r="Q1601" s="145"/>
      <c r="R1601" s="145"/>
      <c r="S1601" s="145" t="s">
        <v>4179</v>
      </c>
      <c r="T1601" t="s">
        <v>1017</v>
      </c>
      <c r="U1601" s="146" t="s">
        <v>1017</v>
      </c>
      <c r="V1601" s="145"/>
      <c r="W1601" s="147"/>
      <c r="X1601" s="147"/>
      <c r="Y1601" s="145" t="s">
        <v>1017</v>
      </c>
      <c r="Z1601" s="145"/>
      <c r="AA1601" s="147"/>
      <c r="AB1601" s="145"/>
      <c r="AC1601" s="145"/>
      <c r="AD1601" s="147"/>
      <c r="AE1601" s="148"/>
      <c r="AF1601" s="147"/>
      <c r="AG1601" s="147"/>
      <c r="AH1601" s="171" t="s">
        <v>4178</v>
      </c>
      <c r="AI1601" s="168" t="str">
        <f t="shared" si="661"/>
        <v/>
      </c>
      <c r="AJ1601" s="168" t="str">
        <f t="shared" si="662"/>
        <v/>
      </c>
      <c r="AK1601" s="168" t="str">
        <f t="shared" si="663"/>
        <v/>
      </c>
      <c r="AL1601" s="168" t="str">
        <f t="shared" si="664"/>
        <v/>
      </c>
      <c r="AM1601" s="168" t="str">
        <f t="shared" si="665"/>
        <v/>
      </c>
      <c r="AN1601" s="167" t="str">
        <f t="shared" si="647"/>
        <v>2012</v>
      </c>
      <c r="AO1601" s="167" t="str">
        <f t="shared" si="648"/>
        <v>2012</v>
      </c>
      <c r="AP1601" s="167" t="str">
        <f t="shared" si="649"/>
        <v>2012</v>
      </c>
      <c r="AQ1601" s="169" t="str">
        <f t="shared" si="650"/>
        <v/>
      </c>
      <c r="AR1601" s="170" t="str">
        <f t="shared" si="651"/>
        <v>BiK81GK12y--07</v>
      </c>
      <c r="AS1601" s="169" t="str">
        <f t="shared" si="652"/>
        <v/>
      </c>
      <c r="AT1601">
        <f t="shared" si="653"/>
        <v>14</v>
      </c>
      <c r="AU1601" s="170" t="str">
        <f t="shared" si="654"/>
        <v>0-0,15 MW, Bonusregeln G, y und K erstmals 2012</v>
      </c>
      <c r="AV1601" s="169" t="str">
        <f t="shared" si="655"/>
        <v/>
      </c>
      <c r="AW1601" s="170" t="str">
        <f t="shared" si="656"/>
        <v>Anteil KWK, erstmals 2012</v>
      </c>
      <c r="AX1601" s="169" t="str">
        <f t="shared" si="657"/>
        <v/>
      </c>
      <c r="AY1601" t="str">
        <f t="shared" si="658"/>
        <v/>
      </c>
      <c r="AZ1601" t="str">
        <f t="shared" si="659"/>
        <v>x</v>
      </c>
    </row>
    <row r="1602" spans="1:52" x14ac:dyDescent="0.35">
      <c r="A1602" s="497" t="s">
        <v>2252</v>
      </c>
      <c r="B1602" s="13" t="s">
        <v>5547</v>
      </c>
      <c r="C1602" s="13" t="s">
        <v>1304</v>
      </c>
      <c r="D1602" s="13" t="s">
        <v>6817</v>
      </c>
      <c r="E1602" s="13" t="s">
        <v>4809</v>
      </c>
      <c r="F1602" s="373">
        <f t="shared" si="666"/>
        <v>22.67</v>
      </c>
      <c r="G1602" s="430">
        <v>22.67</v>
      </c>
      <c r="H1602" s="399">
        <f t="shared" si="667"/>
        <v>18.14</v>
      </c>
      <c r="I1602" s="576"/>
      <c r="J1602" s="549" t="s">
        <v>5804</v>
      </c>
      <c r="K1602" s="11"/>
      <c r="M1602" s="37">
        <f t="shared" si="668"/>
        <v>22.67</v>
      </c>
      <c r="N1602" s="29">
        <v>11.67</v>
      </c>
      <c r="O1602" s="149"/>
      <c r="P1602" s="144"/>
      <c r="Q1602" s="145"/>
      <c r="R1602" s="145"/>
      <c r="S1602" s="145" t="s">
        <v>4179</v>
      </c>
      <c r="T1602" t="s">
        <v>4179</v>
      </c>
      <c r="U1602" s="146"/>
      <c r="V1602" s="145"/>
      <c r="W1602" s="147"/>
      <c r="X1602" s="147"/>
      <c r="Y1602" s="145"/>
      <c r="Z1602" s="145" t="s">
        <v>1017</v>
      </c>
      <c r="AA1602" s="147"/>
      <c r="AB1602" s="145"/>
      <c r="AC1602" s="145"/>
      <c r="AD1602" s="147"/>
      <c r="AE1602" s="148"/>
      <c r="AF1602" s="147"/>
      <c r="AG1602" s="147"/>
      <c r="AH1602" s="166" t="str">
        <f t="shared" ref="AH1602:AH1607" si="674">IF(ISERROR(SEARCH("K erstmals 201",D1602)),"",RIGHT(D1602,4))</f>
        <v/>
      </c>
      <c r="AI1602" s="168" t="str">
        <f t="shared" si="661"/>
        <v/>
      </c>
      <c r="AJ1602" s="168" t="str">
        <f t="shared" si="662"/>
        <v/>
      </c>
      <c r="AK1602" s="168" t="str">
        <f t="shared" si="663"/>
        <v/>
      </c>
      <c r="AL1602" s="168" t="str">
        <f t="shared" si="664"/>
        <v/>
      </c>
      <c r="AM1602" s="168" t="str">
        <f t="shared" si="665"/>
        <v/>
      </c>
      <c r="AN1602" s="167" t="str">
        <f t="shared" si="647"/>
        <v/>
      </c>
      <c r="AO1602" s="167" t="str">
        <f t="shared" si="648"/>
        <v/>
      </c>
      <c r="AP1602" s="167" t="str">
        <f t="shared" si="649"/>
        <v/>
      </c>
      <c r="AQ1602" s="169" t="str">
        <f t="shared" si="650"/>
        <v/>
      </c>
      <c r="AR1602" s="170" t="str">
        <f t="shared" si="651"/>
        <v>BiK81M1-----07</v>
      </c>
      <c r="AS1602" s="169" t="str">
        <f t="shared" si="652"/>
        <v/>
      </c>
      <c r="AT1602">
        <f t="shared" si="653"/>
        <v>14</v>
      </c>
      <c r="AU1602" s="170" t="str">
        <f t="shared" si="654"/>
        <v>0-0,15 MW, Bonusregel M1</v>
      </c>
      <c r="AV1602" s="169" t="str">
        <f t="shared" si="655"/>
        <v/>
      </c>
      <c r="AW1602" s="170" t="str">
        <f t="shared" si="656"/>
        <v>Anteil Nicht-KWK</v>
      </c>
      <c r="AX1602" s="169" t="str">
        <f t="shared" si="657"/>
        <v/>
      </c>
      <c r="AY1602" t="str">
        <f t="shared" si="658"/>
        <v/>
      </c>
      <c r="AZ1602" t="str">
        <f t="shared" si="659"/>
        <v/>
      </c>
    </row>
    <row r="1603" spans="1:52" x14ac:dyDescent="0.35">
      <c r="A1603" s="497" t="s">
        <v>2253</v>
      </c>
      <c r="B1603" s="13" t="s">
        <v>5547</v>
      </c>
      <c r="C1603" s="13" t="s">
        <v>1304</v>
      </c>
      <c r="D1603" s="13" t="s">
        <v>6892</v>
      </c>
      <c r="E1603" s="13" t="s">
        <v>4811</v>
      </c>
      <c r="F1603" s="373">
        <f t="shared" si="666"/>
        <v>24.67</v>
      </c>
      <c r="G1603" s="430">
        <v>24.67</v>
      </c>
      <c r="H1603" s="399">
        <f t="shared" si="667"/>
        <v>19.739999999999998</v>
      </c>
      <c r="I1603" s="576"/>
      <c r="J1603" s="549" t="s">
        <v>5804</v>
      </c>
      <c r="K1603" s="11"/>
      <c r="M1603" s="37">
        <f t="shared" si="668"/>
        <v>24.67</v>
      </c>
      <c r="N1603" s="29">
        <v>11.67</v>
      </c>
      <c r="O1603" s="149" t="s">
        <v>1017</v>
      </c>
      <c r="P1603" s="144"/>
      <c r="Q1603" s="145"/>
      <c r="R1603" s="145"/>
      <c r="S1603" s="145" t="s">
        <v>4179</v>
      </c>
      <c r="T1603" t="s">
        <v>4179</v>
      </c>
      <c r="U1603" s="146"/>
      <c r="V1603" s="145"/>
      <c r="W1603" s="147"/>
      <c r="X1603" s="147"/>
      <c r="Y1603" s="145"/>
      <c r="Z1603" s="145" t="s">
        <v>1017</v>
      </c>
      <c r="AA1603" s="147"/>
      <c r="AB1603" s="145"/>
      <c r="AC1603" s="145"/>
      <c r="AD1603" s="147"/>
      <c r="AE1603" s="148"/>
      <c r="AF1603" s="147"/>
      <c r="AG1603" s="147"/>
      <c r="AH1603" s="166" t="str">
        <f t="shared" si="674"/>
        <v/>
      </c>
      <c r="AI1603" s="168" t="str">
        <f t="shared" si="661"/>
        <v/>
      </c>
      <c r="AJ1603" s="168" t="str">
        <f t="shared" si="662"/>
        <v/>
      </c>
      <c r="AK1603" s="168" t="str">
        <f t="shared" si="663"/>
        <v/>
      </c>
      <c r="AL1603" s="168" t="str">
        <f t="shared" si="664"/>
        <v/>
      </c>
      <c r="AM1603" s="168" t="str">
        <f t="shared" si="665"/>
        <v/>
      </c>
      <c r="AN1603" s="167" t="str">
        <f t="shared" si="647"/>
        <v/>
      </c>
      <c r="AO1603" s="167" t="str">
        <f t="shared" si="648"/>
        <v/>
      </c>
      <c r="AP1603" s="167" t="str">
        <f t="shared" si="649"/>
        <v/>
      </c>
      <c r="AQ1603" s="169" t="str">
        <f t="shared" si="650"/>
        <v/>
      </c>
      <c r="AR1603" s="170" t="str">
        <f t="shared" si="651"/>
        <v>BiK81M1KWK--07</v>
      </c>
      <c r="AS1603" s="169" t="str">
        <f t="shared" si="652"/>
        <v/>
      </c>
      <c r="AT1603">
        <f t="shared" si="653"/>
        <v>14</v>
      </c>
      <c r="AU1603" s="170" t="str">
        <f t="shared" si="654"/>
        <v>0-0,15 MW, Bonusregeln M1 und KWK</v>
      </c>
      <c r="AV1603" s="169" t="str">
        <f t="shared" si="655"/>
        <v/>
      </c>
      <c r="AW1603" s="170" t="str">
        <f t="shared" si="656"/>
        <v>Anteil KWK</v>
      </c>
      <c r="AX1603" s="169" t="str">
        <f t="shared" si="657"/>
        <v/>
      </c>
      <c r="AY1603" t="str">
        <f t="shared" si="658"/>
        <v/>
      </c>
      <c r="AZ1603" t="str">
        <f t="shared" si="659"/>
        <v/>
      </c>
    </row>
    <row r="1604" spans="1:52" x14ac:dyDescent="0.35">
      <c r="A1604" s="497" t="s">
        <v>2254</v>
      </c>
      <c r="B1604" s="13" t="s">
        <v>5547</v>
      </c>
      <c r="C1604" s="13" t="s">
        <v>1304</v>
      </c>
      <c r="D1604" s="13" t="s">
        <v>6818</v>
      </c>
      <c r="E1604" s="13" t="s">
        <v>4330</v>
      </c>
      <c r="F1604" s="373">
        <f t="shared" si="666"/>
        <v>25.67</v>
      </c>
      <c r="G1604" s="430">
        <v>25.67</v>
      </c>
      <c r="H1604" s="399">
        <f t="shared" si="667"/>
        <v>20.54</v>
      </c>
      <c r="I1604" s="576"/>
      <c r="J1604" s="549" t="s">
        <v>5804</v>
      </c>
      <c r="K1604" s="11"/>
      <c r="M1604" s="37">
        <f t="shared" si="668"/>
        <v>25.67</v>
      </c>
      <c r="N1604" s="29">
        <v>11.67</v>
      </c>
      <c r="O1604" s="149"/>
      <c r="P1604" s="145" t="s">
        <v>1017</v>
      </c>
      <c r="Q1604" s="145"/>
      <c r="R1604" s="145"/>
      <c r="S1604" s="145" t="s">
        <v>4179</v>
      </c>
      <c r="T1604" t="s">
        <v>4179</v>
      </c>
      <c r="U1604" s="146"/>
      <c r="V1604" s="145"/>
      <c r="W1604" s="147"/>
      <c r="X1604" s="147"/>
      <c r="Y1604" s="145"/>
      <c r="Z1604" s="145" t="s">
        <v>1017</v>
      </c>
      <c r="AA1604" s="147"/>
      <c r="AB1604" s="145"/>
      <c r="AC1604" s="145"/>
      <c r="AD1604" s="147"/>
      <c r="AE1604" s="148"/>
      <c r="AF1604" s="147"/>
      <c r="AG1604" s="147"/>
      <c r="AH1604" s="166" t="str">
        <f t="shared" si="674"/>
        <v/>
      </c>
      <c r="AI1604" s="168" t="str">
        <f t="shared" si="661"/>
        <v/>
      </c>
      <c r="AJ1604" s="168" t="str">
        <f t="shared" si="662"/>
        <v/>
      </c>
      <c r="AK1604" s="168" t="str">
        <f t="shared" si="663"/>
        <v/>
      </c>
      <c r="AL1604" s="168" t="str">
        <f t="shared" si="664"/>
        <v/>
      </c>
      <c r="AM1604" s="168" t="str">
        <f t="shared" si="665"/>
        <v/>
      </c>
      <c r="AN1604" s="167" t="str">
        <f t="shared" si="647"/>
        <v/>
      </c>
      <c r="AO1604" s="167" t="str">
        <f t="shared" si="648"/>
        <v/>
      </c>
      <c r="AP1604" s="167" t="str">
        <f t="shared" si="649"/>
        <v/>
      </c>
      <c r="AQ1604" s="169" t="str">
        <f t="shared" si="650"/>
        <v/>
      </c>
      <c r="AR1604" s="170" t="str">
        <f t="shared" si="651"/>
        <v>BiK81M1KA3--07</v>
      </c>
      <c r="AS1604" s="169" t="str">
        <f t="shared" si="652"/>
        <v/>
      </c>
      <c r="AT1604">
        <f t="shared" si="653"/>
        <v>14</v>
      </c>
      <c r="AU1604" s="170" t="str">
        <f t="shared" si="654"/>
        <v>0-0,15 MW, Bonusregeln M1 und K wenn Anlage 3 erfüllt</v>
      </c>
      <c r="AV1604" s="169" t="str">
        <f t="shared" si="655"/>
        <v/>
      </c>
      <c r="AW1604" s="170" t="str">
        <f t="shared" si="656"/>
        <v>Anteil KWK gemäß Anlage 3</v>
      </c>
      <c r="AX1604" s="169" t="str">
        <f t="shared" si="657"/>
        <v/>
      </c>
      <c r="AY1604" t="str">
        <f t="shared" si="658"/>
        <v/>
      </c>
      <c r="AZ1604" t="str">
        <f t="shared" si="659"/>
        <v/>
      </c>
    </row>
    <row r="1605" spans="1:52" x14ac:dyDescent="0.35">
      <c r="A1605" s="497" t="s">
        <v>2255</v>
      </c>
      <c r="B1605" s="13" t="s">
        <v>5547</v>
      </c>
      <c r="C1605" s="13" t="s">
        <v>1304</v>
      </c>
      <c r="D1605" s="13" t="s">
        <v>6893</v>
      </c>
      <c r="E1605" s="13" t="s">
        <v>674</v>
      </c>
      <c r="F1605" s="373">
        <f t="shared" si="666"/>
        <v>25.67</v>
      </c>
      <c r="G1605" s="430">
        <v>25.67</v>
      </c>
      <c r="H1605" s="399">
        <f t="shared" si="667"/>
        <v>20.54</v>
      </c>
      <c r="I1605" s="576"/>
      <c r="J1605" s="549" t="s">
        <v>5804</v>
      </c>
      <c r="K1605" s="11"/>
      <c r="M1605" s="37">
        <f t="shared" si="668"/>
        <v>25.67</v>
      </c>
      <c r="N1605" s="29">
        <v>11.67</v>
      </c>
      <c r="O1605" s="149"/>
      <c r="P1605" s="144"/>
      <c r="Q1605" s="145" t="s">
        <v>1017</v>
      </c>
      <c r="R1605" s="145"/>
      <c r="S1605" s="145" t="s">
        <v>4179</v>
      </c>
      <c r="T1605" t="s">
        <v>4179</v>
      </c>
      <c r="U1605" s="146"/>
      <c r="V1605" s="145"/>
      <c r="W1605" s="147"/>
      <c r="X1605" s="147"/>
      <c r="Y1605" s="145"/>
      <c r="Z1605" s="145" t="s">
        <v>1017</v>
      </c>
      <c r="AA1605" s="147"/>
      <c r="AB1605" s="145"/>
      <c r="AC1605" s="145"/>
      <c r="AD1605" s="147"/>
      <c r="AE1605" s="148"/>
      <c r="AF1605" s="147"/>
      <c r="AG1605" s="147"/>
      <c r="AH1605" s="166" t="str">
        <f t="shared" si="674"/>
        <v/>
      </c>
      <c r="AI1605" s="168" t="str">
        <f t="shared" si="661"/>
        <v/>
      </c>
      <c r="AJ1605" s="168" t="str">
        <f t="shared" si="662"/>
        <v/>
      </c>
      <c r="AK1605" s="168" t="str">
        <f t="shared" si="663"/>
        <v/>
      </c>
      <c r="AL1605" s="168" t="str">
        <f t="shared" si="664"/>
        <v/>
      </c>
      <c r="AM1605" s="168" t="str">
        <f t="shared" si="665"/>
        <v/>
      </c>
      <c r="AN1605" s="167" t="str">
        <f t="shared" si="647"/>
        <v/>
      </c>
      <c r="AO1605" s="167" t="str">
        <f t="shared" si="648"/>
        <v/>
      </c>
      <c r="AP1605" s="167" t="str">
        <f t="shared" si="649"/>
        <v/>
      </c>
      <c r="AQ1605" s="169" t="str">
        <f t="shared" si="650"/>
        <v/>
      </c>
      <c r="AR1605" s="170" t="str">
        <f t="shared" si="651"/>
        <v>BiK81M1K09--07</v>
      </c>
      <c r="AS1605" s="169" t="str">
        <f t="shared" si="652"/>
        <v/>
      </c>
      <c r="AT1605">
        <f t="shared" si="653"/>
        <v>14</v>
      </c>
      <c r="AU1605" s="170" t="str">
        <f t="shared" si="654"/>
        <v>0-0,15 MW, Bonusregeln M1, K erstmals 2009</v>
      </c>
      <c r="AV1605" s="169" t="str">
        <f t="shared" si="655"/>
        <v/>
      </c>
      <c r="AW1605" s="170" t="str">
        <f t="shared" si="656"/>
        <v>Anteil KWK, erstmals 2009</v>
      </c>
      <c r="AX1605" s="169" t="str">
        <f t="shared" si="657"/>
        <v/>
      </c>
      <c r="AY1605" t="str">
        <f t="shared" si="658"/>
        <v/>
      </c>
      <c r="AZ1605" t="str">
        <f t="shared" si="659"/>
        <v/>
      </c>
    </row>
    <row r="1606" spans="1:52" x14ac:dyDescent="0.35">
      <c r="A1606" s="497" t="s">
        <v>4946</v>
      </c>
      <c r="B1606" s="13" t="s">
        <v>5547</v>
      </c>
      <c r="C1606" s="13" t="s">
        <v>1304</v>
      </c>
      <c r="D1606" s="13" t="s">
        <v>6894</v>
      </c>
      <c r="E1606" s="13" t="s">
        <v>3566</v>
      </c>
      <c r="F1606" s="373">
        <f t="shared" si="666"/>
        <v>25.64</v>
      </c>
      <c r="G1606" s="430">
        <v>25.64</v>
      </c>
      <c r="H1606" s="399">
        <f t="shared" si="667"/>
        <v>20.51</v>
      </c>
      <c r="I1606" s="576"/>
      <c r="J1606" s="549" t="s">
        <v>5804</v>
      </c>
      <c r="K1606" s="11"/>
      <c r="M1606" s="37">
        <f t="shared" si="668"/>
        <v>25.64</v>
      </c>
      <c r="N1606" s="29">
        <v>11.67</v>
      </c>
      <c r="O1606" s="149"/>
      <c r="P1606" s="144"/>
      <c r="Q1606" s="145"/>
      <c r="R1606" s="145" t="s">
        <v>1017</v>
      </c>
      <c r="S1606" s="145" t="s">
        <v>4179</v>
      </c>
      <c r="T1606" t="s">
        <v>4179</v>
      </c>
      <c r="U1606" s="146"/>
      <c r="V1606" s="145"/>
      <c r="W1606" s="147"/>
      <c r="X1606" s="147"/>
      <c r="Y1606" s="145"/>
      <c r="Z1606" s="145" t="s">
        <v>1017</v>
      </c>
      <c r="AA1606" s="147"/>
      <c r="AB1606" s="145"/>
      <c r="AC1606" s="145"/>
      <c r="AD1606" s="147"/>
      <c r="AE1606" s="148"/>
      <c r="AF1606" s="147"/>
      <c r="AG1606" s="147"/>
      <c r="AH1606" s="166" t="str">
        <f t="shared" si="674"/>
        <v>2010</v>
      </c>
      <c r="AI1606" s="168" t="str">
        <f t="shared" si="661"/>
        <v/>
      </c>
      <c r="AJ1606" s="168" t="str">
        <f t="shared" si="662"/>
        <v/>
      </c>
      <c r="AK1606" s="168" t="str">
        <f t="shared" si="663"/>
        <v/>
      </c>
      <c r="AL1606" s="168" t="str">
        <f t="shared" si="664"/>
        <v/>
      </c>
      <c r="AM1606" s="168" t="str">
        <f t="shared" si="665"/>
        <v/>
      </c>
      <c r="AN1606" s="167" t="str">
        <f t="shared" si="647"/>
        <v>2010</v>
      </c>
      <c r="AO1606" s="167" t="str">
        <f t="shared" si="648"/>
        <v>2010</v>
      </c>
      <c r="AP1606" s="167" t="str">
        <f t="shared" si="649"/>
        <v>2010</v>
      </c>
      <c r="AQ1606" s="169" t="str">
        <f t="shared" si="650"/>
        <v/>
      </c>
      <c r="AR1606" s="170" t="str">
        <f t="shared" si="651"/>
        <v>BiK81M1K10--07</v>
      </c>
      <c r="AS1606" s="169" t="str">
        <f t="shared" si="652"/>
        <v/>
      </c>
      <c r="AT1606">
        <f t="shared" si="653"/>
        <v>14</v>
      </c>
      <c r="AU1606" s="170" t="str">
        <f t="shared" si="654"/>
        <v>0-0,15 MW, Bonusregeln M1, K erstmals 2010</v>
      </c>
      <c r="AV1606" s="169" t="str">
        <f t="shared" si="655"/>
        <v/>
      </c>
      <c r="AW1606" s="170" t="str">
        <f t="shared" si="656"/>
        <v>Anteil KWK, erstmals 2010</v>
      </c>
      <c r="AX1606" s="169" t="str">
        <f t="shared" si="657"/>
        <v/>
      </c>
      <c r="AY1606" t="str">
        <f t="shared" si="658"/>
        <v/>
      </c>
      <c r="AZ1606" t="str">
        <f t="shared" si="659"/>
        <v/>
      </c>
    </row>
    <row r="1607" spans="1:52" x14ac:dyDescent="0.35">
      <c r="A1607" s="497" t="s">
        <v>3993</v>
      </c>
      <c r="B1607" s="13" t="s">
        <v>5547</v>
      </c>
      <c r="C1607" s="13" t="s">
        <v>1304</v>
      </c>
      <c r="D1607" s="13" t="s">
        <v>6895</v>
      </c>
      <c r="E1607" s="13" t="s">
        <v>3054</v>
      </c>
      <c r="F1607" s="373">
        <f t="shared" si="666"/>
        <v>25.61</v>
      </c>
      <c r="G1607" s="430">
        <v>25.61</v>
      </c>
      <c r="H1607" s="399">
        <f t="shared" si="667"/>
        <v>20.49</v>
      </c>
      <c r="I1607" s="576"/>
      <c r="J1607" s="549" t="s">
        <v>5804</v>
      </c>
      <c r="K1607" s="11"/>
      <c r="M1607" s="37">
        <f t="shared" si="668"/>
        <v>25.61</v>
      </c>
      <c r="N1607" s="29">
        <v>11.67</v>
      </c>
      <c r="O1607" s="149"/>
      <c r="P1607" s="144"/>
      <c r="Q1607" s="145"/>
      <c r="R1607" s="145"/>
      <c r="S1607" s="145" t="s">
        <v>1017</v>
      </c>
      <c r="T1607" t="s">
        <v>4179</v>
      </c>
      <c r="U1607" s="146"/>
      <c r="V1607" s="145"/>
      <c r="W1607" s="147"/>
      <c r="X1607" s="147"/>
      <c r="Y1607" s="145"/>
      <c r="Z1607" s="145" t="s">
        <v>1017</v>
      </c>
      <c r="AA1607" s="147"/>
      <c r="AB1607" s="145"/>
      <c r="AC1607" s="145"/>
      <c r="AD1607" s="147"/>
      <c r="AE1607" s="148"/>
      <c r="AF1607" s="147"/>
      <c r="AG1607" s="147"/>
      <c r="AH1607" s="166" t="str">
        <f t="shared" si="674"/>
        <v>2011</v>
      </c>
      <c r="AI1607" s="168" t="str">
        <f t="shared" si="661"/>
        <v/>
      </c>
      <c r="AJ1607" s="168" t="str">
        <f t="shared" si="662"/>
        <v/>
      </c>
      <c r="AK1607" s="168" t="str">
        <f t="shared" si="663"/>
        <v/>
      </c>
      <c r="AL1607" s="168" t="str">
        <f t="shared" si="664"/>
        <v/>
      </c>
      <c r="AM1607" s="168" t="str">
        <f t="shared" si="665"/>
        <v/>
      </c>
      <c r="AN1607" s="167" t="str">
        <f t="shared" si="647"/>
        <v>2011</v>
      </c>
      <c r="AO1607" s="167" t="str">
        <f t="shared" si="648"/>
        <v>2011</v>
      </c>
      <c r="AP1607" s="167" t="str">
        <f t="shared" si="649"/>
        <v>2011</v>
      </c>
      <c r="AQ1607" s="169" t="str">
        <f t="shared" si="650"/>
        <v/>
      </c>
      <c r="AR1607" s="170" t="str">
        <f t="shared" si="651"/>
        <v>BiK81M1K11--07</v>
      </c>
      <c r="AS1607" s="169" t="str">
        <f t="shared" si="652"/>
        <v/>
      </c>
      <c r="AT1607">
        <f t="shared" si="653"/>
        <v>14</v>
      </c>
      <c r="AU1607" s="170" t="str">
        <f t="shared" si="654"/>
        <v>0-0,15 MW, Bonusregeln M1, K erstmals 2011</v>
      </c>
      <c r="AV1607" s="169" t="str">
        <f t="shared" si="655"/>
        <v/>
      </c>
      <c r="AW1607" s="170" t="str">
        <f t="shared" si="656"/>
        <v>Anteil KWK, erstmals 2011</v>
      </c>
      <c r="AX1607" s="169" t="str">
        <f t="shared" si="657"/>
        <v/>
      </c>
      <c r="AY1607" t="str">
        <f t="shared" si="658"/>
        <v>x</v>
      </c>
      <c r="AZ1607" t="str">
        <f t="shared" si="659"/>
        <v/>
      </c>
    </row>
    <row r="1608" spans="1:52" x14ac:dyDescent="0.35">
      <c r="A1608" s="511" t="s">
        <v>1816</v>
      </c>
      <c r="B1608" s="173" t="s">
        <v>5547</v>
      </c>
      <c r="C1608" s="173" t="s">
        <v>1304</v>
      </c>
      <c r="D1608" s="173" t="s">
        <v>6896</v>
      </c>
      <c r="E1608" s="173" t="s">
        <v>1980</v>
      </c>
      <c r="F1608" s="374">
        <f t="shared" si="666"/>
        <v>25.58</v>
      </c>
      <c r="G1608" s="431">
        <v>25.58</v>
      </c>
      <c r="H1608" s="400">
        <f t="shared" si="667"/>
        <v>20.46</v>
      </c>
      <c r="I1608" s="577"/>
      <c r="J1608" s="549" t="s">
        <v>5804</v>
      </c>
      <c r="K1608" s="11"/>
      <c r="M1608" s="37">
        <f t="shared" si="668"/>
        <v>25.58</v>
      </c>
      <c r="N1608" s="29">
        <v>11.67</v>
      </c>
      <c r="O1608" s="149"/>
      <c r="P1608" s="144"/>
      <c r="Q1608" s="145"/>
      <c r="R1608" s="145"/>
      <c r="S1608" s="145" t="s">
        <v>4179</v>
      </c>
      <c r="T1608" t="s">
        <v>1017</v>
      </c>
      <c r="U1608" s="146"/>
      <c r="V1608" s="145"/>
      <c r="W1608" s="147"/>
      <c r="X1608" s="147"/>
      <c r="Y1608" s="145"/>
      <c r="Z1608" s="145" t="s">
        <v>1017</v>
      </c>
      <c r="AA1608" s="147"/>
      <c r="AB1608" s="145"/>
      <c r="AC1608" s="145"/>
      <c r="AD1608" s="147"/>
      <c r="AE1608" s="148"/>
      <c r="AF1608" s="147"/>
      <c r="AG1608" s="147"/>
      <c r="AH1608" s="171" t="s">
        <v>4178</v>
      </c>
      <c r="AI1608" s="168" t="str">
        <f t="shared" si="661"/>
        <v/>
      </c>
      <c r="AJ1608" s="168" t="str">
        <f t="shared" si="662"/>
        <v/>
      </c>
      <c r="AK1608" s="168" t="str">
        <f t="shared" si="663"/>
        <v/>
      </c>
      <c r="AL1608" s="168" t="str">
        <f t="shared" si="664"/>
        <v/>
      </c>
      <c r="AM1608" s="168" t="str">
        <f t="shared" si="665"/>
        <v/>
      </c>
      <c r="AN1608" s="167" t="str">
        <f t="shared" si="647"/>
        <v>2012</v>
      </c>
      <c r="AO1608" s="167" t="str">
        <f t="shared" si="648"/>
        <v>2012</v>
      </c>
      <c r="AP1608" s="167" t="str">
        <f t="shared" si="649"/>
        <v>2012</v>
      </c>
      <c r="AQ1608" s="169" t="str">
        <f t="shared" si="650"/>
        <v/>
      </c>
      <c r="AR1608" s="170" t="str">
        <f t="shared" si="651"/>
        <v>BiK81M1K12--07</v>
      </c>
      <c r="AS1608" s="169" t="str">
        <f t="shared" si="652"/>
        <v/>
      </c>
      <c r="AT1608">
        <f t="shared" si="653"/>
        <v>14</v>
      </c>
      <c r="AU1608" s="170" t="str">
        <f t="shared" si="654"/>
        <v>0-0,15 MW, Bonusregeln M1, K erstmals 2012</v>
      </c>
      <c r="AV1608" s="169" t="str">
        <f t="shared" si="655"/>
        <v/>
      </c>
      <c r="AW1608" s="170" t="str">
        <f t="shared" si="656"/>
        <v>Anteil KWK, erstmals 2012</v>
      </c>
      <c r="AX1608" s="169" t="str">
        <f t="shared" si="657"/>
        <v/>
      </c>
      <c r="AY1608" t="str">
        <f t="shared" si="658"/>
        <v/>
      </c>
      <c r="AZ1608" t="str">
        <f t="shared" si="659"/>
        <v>x</v>
      </c>
    </row>
    <row r="1609" spans="1:52" x14ac:dyDescent="0.35">
      <c r="A1609" s="497" t="s">
        <v>2256</v>
      </c>
      <c r="B1609" s="13" t="s">
        <v>5547</v>
      </c>
      <c r="C1609" s="13" t="s">
        <v>1304</v>
      </c>
      <c r="D1609" s="13" t="s">
        <v>6823</v>
      </c>
      <c r="E1609" s="13" t="s">
        <v>4809</v>
      </c>
      <c r="F1609" s="373">
        <f t="shared" si="666"/>
        <v>23.67</v>
      </c>
      <c r="G1609" s="430">
        <v>23.67</v>
      </c>
      <c r="H1609" s="399">
        <f t="shared" si="667"/>
        <v>18.940000000000001</v>
      </c>
      <c r="I1609" s="576"/>
      <c r="J1609" s="549" t="s">
        <v>5804</v>
      </c>
      <c r="K1609" s="11"/>
      <c r="M1609" s="37">
        <f t="shared" si="668"/>
        <v>23.67</v>
      </c>
      <c r="N1609" s="29">
        <v>11.67</v>
      </c>
      <c r="O1609" s="149"/>
      <c r="P1609" s="144"/>
      <c r="Q1609" s="145"/>
      <c r="R1609" s="145"/>
      <c r="S1609" s="145" t="s">
        <v>4179</v>
      </c>
      <c r="T1609" t="s">
        <v>4179</v>
      </c>
      <c r="U1609" s="146" t="s">
        <v>1017</v>
      </c>
      <c r="V1609" s="145"/>
      <c r="W1609" s="147"/>
      <c r="X1609" s="147"/>
      <c r="Y1609" s="145"/>
      <c r="Z1609" s="145" t="s">
        <v>1017</v>
      </c>
      <c r="AA1609" s="147"/>
      <c r="AB1609" s="145"/>
      <c r="AC1609" s="145"/>
      <c r="AD1609" s="147"/>
      <c r="AE1609" s="148"/>
      <c r="AF1609" s="147"/>
      <c r="AG1609" s="147"/>
      <c r="AH1609" s="166" t="str">
        <f t="shared" ref="AH1609:AH1614" si="675">IF(ISERROR(SEARCH("K erstmals 201",D1609)),"",RIGHT(D1609,4))</f>
        <v/>
      </c>
      <c r="AI1609" s="168" t="str">
        <f t="shared" si="661"/>
        <v/>
      </c>
      <c r="AJ1609" s="168" t="str">
        <f t="shared" si="662"/>
        <v/>
      </c>
      <c r="AK1609" s="168" t="str">
        <f t="shared" si="663"/>
        <v/>
      </c>
      <c r="AL1609" s="168" t="str">
        <f t="shared" si="664"/>
        <v/>
      </c>
      <c r="AM1609" s="168" t="str">
        <f t="shared" si="665"/>
        <v/>
      </c>
      <c r="AN1609" s="167" t="str">
        <f t="shared" si="647"/>
        <v/>
      </c>
      <c r="AO1609" s="167" t="str">
        <f t="shared" si="648"/>
        <v/>
      </c>
      <c r="AP1609" s="167" t="str">
        <f t="shared" si="649"/>
        <v/>
      </c>
      <c r="AQ1609" s="169" t="str">
        <f t="shared" si="650"/>
        <v/>
      </c>
      <c r="AR1609" s="170" t="str">
        <f t="shared" si="651"/>
        <v>BiK81M1y----07</v>
      </c>
      <c r="AS1609" s="169" t="str">
        <f t="shared" si="652"/>
        <v/>
      </c>
      <c r="AT1609">
        <f t="shared" si="653"/>
        <v>14</v>
      </c>
      <c r="AU1609" s="170" t="str">
        <f t="shared" si="654"/>
        <v>0-0,15 MW, Bonusregeln M1, y</v>
      </c>
      <c r="AV1609" s="169" t="str">
        <f t="shared" si="655"/>
        <v/>
      </c>
      <c r="AW1609" s="170" t="str">
        <f t="shared" si="656"/>
        <v>Anteil Nicht-KWK</v>
      </c>
      <c r="AX1609" s="169" t="str">
        <f t="shared" si="657"/>
        <v/>
      </c>
      <c r="AY1609" t="str">
        <f t="shared" si="658"/>
        <v/>
      </c>
      <c r="AZ1609" t="str">
        <f t="shared" si="659"/>
        <v/>
      </c>
    </row>
    <row r="1610" spans="1:52" x14ac:dyDescent="0.35">
      <c r="A1610" s="497" t="s">
        <v>2105</v>
      </c>
      <c r="B1610" s="13" t="s">
        <v>5547</v>
      </c>
      <c r="C1610" s="13" t="s">
        <v>1304</v>
      </c>
      <c r="D1610" s="13" t="s">
        <v>6897</v>
      </c>
      <c r="E1610" s="13" t="s">
        <v>4811</v>
      </c>
      <c r="F1610" s="373">
        <f t="shared" si="666"/>
        <v>25.67</v>
      </c>
      <c r="G1610" s="430">
        <v>25.67</v>
      </c>
      <c r="H1610" s="399">
        <f t="shared" si="667"/>
        <v>20.54</v>
      </c>
      <c r="I1610" s="576"/>
      <c r="J1610" s="549" t="s">
        <v>5804</v>
      </c>
      <c r="K1610" s="11"/>
      <c r="M1610" s="37">
        <f t="shared" si="668"/>
        <v>25.67</v>
      </c>
      <c r="N1610" s="29">
        <v>11.67</v>
      </c>
      <c r="O1610" s="149" t="s">
        <v>1017</v>
      </c>
      <c r="P1610" s="144"/>
      <c r="Q1610" s="145"/>
      <c r="R1610" s="145"/>
      <c r="S1610" s="145" t="s">
        <v>4179</v>
      </c>
      <c r="T1610" t="s">
        <v>4179</v>
      </c>
      <c r="U1610" s="146" t="s">
        <v>1017</v>
      </c>
      <c r="V1610" s="145"/>
      <c r="W1610" s="147"/>
      <c r="X1610" s="147"/>
      <c r="Y1610" s="145"/>
      <c r="Z1610" s="145" t="s">
        <v>1017</v>
      </c>
      <c r="AA1610" s="147"/>
      <c r="AB1610" s="145"/>
      <c r="AC1610" s="145"/>
      <c r="AD1610" s="147"/>
      <c r="AE1610" s="148"/>
      <c r="AF1610" s="147"/>
      <c r="AG1610" s="147"/>
      <c r="AH1610" s="166" t="str">
        <f t="shared" si="675"/>
        <v/>
      </c>
      <c r="AI1610" s="168" t="str">
        <f t="shared" si="661"/>
        <v/>
      </c>
      <c r="AJ1610" s="168" t="str">
        <f t="shared" si="662"/>
        <v/>
      </c>
      <c r="AK1610" s="168" t="str">
        <f t="shared" si="663"/>
        <v/>
      </c>
      <c r="AL1610" s="168" t="str">
        <f t="shared" si="664"/>
        <v/>
      </c>
      <c r="AM1610" s="168" t="str">
        <f t="shared" si="665"/>
        <v/>
      </c>
      <c r="AN1610" s="167" t="str">
        <f t="shared" si="647"/>
        <v/>
      </c>
      <c r="AO1610" s="167" t="str">
        <f t="shared" si="648"/>
        <v/>
      </c>
      <c r="AP1610" s="167" t="str">
        <f t="shared" si="649"/>
        <v/>
      </c>
      <c r="AQ1610" s="169" t="str">
        <f t="shared" si="650"/>
        <v/>
      </c>
      <c r="AR1610" s="170" t="str">
        <f t="shared" si="651"/>
        <v>BiK81M1KWKy-07</v>
      </c>
      <c r="AS1610" s="169" t="str">
        <f t="shared" si="652"/>
        <v/>
      </c>
      <c r="AT1610">
        <f t="shared" si="653"/>
        <v>14</v>
      </c>
      <c r="AU1610" s="170" t="str">
        <f t="shared" si="654"/>
        <v>0-0,15 MW, Bonusregeln M1, y und KWK</v>
      </c>
      <c r="AV1610" s="169" t="str">
        <f t="shared" si="655"/>
        <v/>
      </c>
      <c r="AW1610" s="170" t="str">
        <f t="shared" si="656"/>
        <v>Anteil KWK</v>
      </c>
      <c r="AX1610" s="169" t="str">
        <f t="shared" si="657"/>
        <v/>
      </c>
      <c r="AY1610" t="str">
        <f t="shared" si="658"/>
        <v/>
      </c>
      <c r="AZ1610" t="str">
        <f t="shared" si="659"/>
        <v/>
      </c>
    </row>
    <row r="1611" spans="1:52" x14ac:dyDescent="0.35">
      <c r="A1611" s="497" t="s">
        <v>2106</v>
      </c>
      <c r="B1611" s="13" t="s">
        <v>5547</v>
      </c>
      <c r="C1611" s="13" t="s">
        <v>1304</v>
      </c>
      <c r="D1611" s="88" t="s">
        <v>6824</v>
      </c>
      <c r="E1611" s="13" t="s">
        <v>4330</v>
      </c>
      <c r="F1611" s="373">
        <f t="shared" si="666"/>
        <v>26.67</v>
      </c>
      <c r="G1611" s="430">
        <v>26.67</v>
      </c>
      <c r="H1611" s="399">
        <f t="shared" si="667"/>
        <v>21.34</v>
      </c>
      <c r="I1611" s="576"/>
      <c r="J1611" s="549" t="s">
        <v>5804</v>
      </c>
      <c r="K1611" s="11"/>
      <c r="M1611" s="37">
        <f t="shared" si="668"/>
        <v>26.67</v>
      </c>
      <c r="N1611" s="29">
        <v>11.67</v>
      </c>
      <c r="O1611" s="149"/>
      <c r="P1611" s="145" t="s">
        <v>1017</v>
      </c>
      <c r="Q1611" s="145"/>
      <c r="R1611" s="145"/>
      <c r="S1611" s="145" t="s">
        <v>4179</v>
      </c>
      <c r="T1611" t="s">
        <v>4179</v>
      </c>
      <c r="U1611" s="146" t="s">
        <v>1017</v>
      </c>
      <c r="V1611" s="145"/>
      <c r="W1611" s="147"/>
      <c r="X1611" s="147"/>
      <c r="Y1611" s="145"/>
      <c r="Z1611" s="145" t="s">
        <v>1017</v>
      </c>
      <c r="AA1611" s="147"/>
      <c r="AB1611" s="145"/>
      <c r="AC1611" s="145"/>
      <c r="AD1611" s="147"/>
      <c r="AE1611" s="148"/>
      <c r="AF1611" s="147"/>
      <c r="AG1611" s="147"/>
      <c r="AH1611" s="166" t="str">
        <f t="shared" si="675"/>
        <v/>
      </c>
      <c r="AI1611" s="168" t="str">
        <f t="shared" si="661"/>
        <v/>
      </c>
      <c r="AJ1611" s="168" t="str">
        <f t="shared" si="662"/>
        <v/>
      </c>
      <c r="AK1611" s="168" t="str">
        <f t="shared" si="663"/>
        <v/>
      </c>
      <c r="AL1611" s="168" t="str">
        <f t="shared" si="664"/>
        <v/>
      </c>
      <c r="AM1611" s="168" t="str">
        <f t="shared" si="665"/>
        <v/>
      </c>
      <c r="AN1611" s="167" t="str">
        <f t="shared" si="647"/>
        <v/>
      </c>
      <c r="AO1611" s="167" t="str">
        <f t="shared" si="648"/>
        <v/>
      </c>
      <c r="AP1611" s="167" t="str">
        <f t="shared" si="649"/>
        <v/>
      </c>
      <c r="AQ1611" s="169" t="str">
        <f t="shared" si="650"/>
        <v/>
      </c>
      <c r="AR1611" s="170" t="str">
        <f t="shared" si="651"/>
        <v>BiK81M1KA3y-07</v>
      </c>
      <c r="AS1611" s="169" t="str">
        <f t="shared" si="652"/>
        <v/>
      </c>
      <c r="AT1611">
        <f t="shared" si="653"/>
        <v>14</v>
      </c>
      <c r="AU1611" s="170" t="str">
        <f t="shared" si="654"/>
        <v>0-0,15 MW, Bonusregeln M1, y und K wenn Anlage 3 erfüllt</v>
      </c>
      <c r="AV1611" s="169" t="str">
        <f t="shared" si="655"/>
        <v/>
      </c>
      <c r="AW1611" s="170" t="str">
        <f t="shared" si="656"/>
        <v>Anteil KWK gemäß Anlage 3</v>
      </c>
      <c r="AX1611" s="169" t="str">
        <f t="shared" si="657"/>
        <v/>
      </c>
      <c r="AY1611" t="str">
        <f t="shared" si="658"/>
        <v/>
      </c>
      <c r="AZ1611" t="str">
        <f t="shared" si="659"/>
        <v/>
      </c>
    </row>
    <row r="1612" spans="1:52" x14ac:dyDescent="0.35">
      <c r="A1612" s="497" t="s">
        <v>2107</v>
      </c>
      <c r="B1612" s="13" t="s">
        <v>5547</v>
      </c>
      <c r="C1612" s="13" t="s">
        <v>1304</v>
      </c>
      <c r="D1612" s="13" t="s">
        <v>6825</v>
      </c>
      <c r="E1612" s="13" t="s">
        <v>674</v>
      </c>
      <c r="F1612" s="373">
        <f t="shared" si="666"/>
        <v>26.67</v>
      </c>
      <c r="G1612" s="430">
        <v>26.67</v>
      </c>
      <c r="H1612" s="399">
        <f t="shared" si="667"/>
        <v>21.34</v>
      </c>
      <c r="I1612" s="576"/>
      <c r="J1612" s="549" t="s">
        <v>5804</v>
      </c>
      <c r="K1612" s="11"/>
      <c r="M1612" s="37">
        <f t="shared" si="668"/>
        <v>26.67</v>
      </c>
      <c r="N1612" s="29">
        <v>11.67</v>
      </c>
      <c r="O1612" s="149"/>
      <c r="P1612" s="144"/>
      <c r="Q1612" s="145" t="s">
        <v>1017</v>
      </c>
      <c r="R1612" s="145"/>
      <c r="S1612" s="145" t="s">
        <v>4179</v>
      </c>
      <c r="T1612" t="s">
        <v>4179</v>
      </c>
      <c r="U1612" s="146" t="s">
        <v>1017</v>
      </c>
      <c r="V1612" s="145"/>
      <c r="W1612" s="147"/>
      <c r="X1612" s="147"/>
      <c r="Y1612" s="145"/>
      <c r="Z1612" s="145" t="s">
        <v>1017</v>
      </c>
      <c r="AA1612" s="147"/>
      <c r="AB1612" s="145"/>
      <c r="AC1612" s="145"/>
      <c r="AD1612" s="147"/>
      <c r="AE1612" s="148"/>
      <c r="AF1612" s="147"/>
      <c r="AG1612" s="147"/>
      <c r="AH1612" s="166" t="str">
        <f t="shared" si="675"/>
        <v/>
      </c>
      <c r="AI1612" s="168" t="str">
        <f t="shared" si="661"/>
        <v/>
      </c>
      <c r="AJ1612" s="168" t="str">
        <f t="shared" si="662"/>
        <v/>
      </c>
      <c r="AK1612" s="168" t="str">
        <f t="shared" si="663"/>
        <v/>
      </c>
      <c r="AL1612" s="168" t="str">
        <f t="shared" si="664"/>
        <v/>
      </c>
      <c r="AM1612" s="168" t="str">
        <f t="shared" si="665"/>
        <v/>
      </c>
      <c r="AN1612" s="167" t="str">
        <f t="shared" si="647"/>
        <v/>
      </c>
      <c r="AO1612" s="167" t="str">
        <f t="shared" si="648"/>
        <v/>
      </c>
      <c r="AP1612" s="167" t="str">
        <f t="shared" si="649"/>
        <v/>
      </c>
      <c r="AQ1612" s="169" t="str">
        <f t="shared" si="650"/>
        <v/>
      </c>
      <c r="AR1612" s="170" t="str">
        <f t="shared" si="651"/>
        <v>BiK81M1K09y-07</v>
      </c>
      <c r="AS1612" s="169" t="str">
        <f t="shared" si="652"/>
        <v/>
      </c>
      <c r="AT1612">
        <f t="shared" si="653"/>
        <v>14</v>
      </c>
      <c r="AU1612" s="170" t="str">
        <f t="shared" si="654"/>
        <v>0-0,15 MW, Bonusregeln M1, y und K erstmals 2009</v>
      </c>
      <c r="AV1612" s="169" t="str">
        <f t="shared" si="655"/>
        <v/>
      </c>
      <c r="AW1612" s="170" t="str">
        <f t="shared" si="656"/>
        <v>Anteil KWK, erstmals 2009</v>
      </c>
      <c r="AX1612" s="169" t="str">
        <f t="shared" si="657"/>
        <v/>
      </c>
      <c r="AY1612" t="str">
        <f t="shared" si="658"/>
        <v/>
      </c>
      <c r="AZ1612" t="str">
        <f t="shared" si="659"/>
        <v/>
      </c>
    </row>
    <row r="1613" spans="1:52" x14ac:dyDescent="0.35">
      <c r="A1613" s="497" t="s">
        <v>4947</v>
      </c>
      <c r="B1613" s="13" t="s">
        <v>5547</v>
      </c>
      <c r="C1613" s="13" t="s">
        <v>1304</v>
      </c>
      <c r="D1613" s="13" t="s">
        <v>6826</v>
      </c>
      <c r="E1613" s="13" t="s">
        <v>3566</v>
      </c>
      <c r="F1613" s="373">
        <f t="shared" si="666"/>
        <v>26.64</v>
      </c>
      <c r="G1613" s="430">
        <v>26.64</v>
      </c>
      <c r="H1613" s="399">
        <f t="shared" si="667"/>
        <v>21.31</v>
      </c>
      <c r="I1613" s="576"/>
      <c r="J1613" s="549" t="s">
        <v>5804</v>
      </c>
      <c r="K1613" s="11"/>
      <c r="M1613" s="37">
        <f t="shared" si="668"/>
        <v>26.64</v>
      </c>
      <c r="N1613" s="29">
        <v>11.67</v>
      </c>
      <c r="O1613" s="149"/>
      <c r="P1613" s="144"/>
      <c r="Q1613" s="145"/>
      <c r="R1613" s="145" t="s">
        <v>1017</v>
      </c>
      <c r="S1613" s="145" t="s">
        <v>4179</v>
      </c>
      <c r="T1613" t="s">
        <v>4179</v>
      </c>
      <c r="U1613" s="146" t="s">
        <v>1017</v>
      </c>
      <c r="V1613" s="145"/>
      <c r="W1613" s="147"/>
      <c r="X1613" s="147"/>
      <c r="Y1613" s="145"/>
      <c r="Z1613" s="145" t="s">
        <v>1017</v>
      </c>
      <c r="AA1613" s="147"/>
      <c r="AB1613" s="145"/>
      <c r="AC1613" s="145"/>
      <c r="AD1613" s="147"/>
      <c r="AE1613" s="148"/>
      <c r="AF1613" s="147"/>
      <c r="AG1613" s="147"/>
      <c r="AH1613" s="166" t="str">
        <f t="shared" si="675"/>
        <v>2010</v>
      </c>
      <c r="AI1613" s="168" t="str">
        <f t="shared" si="661"/>
        <v/>
      </c>
      <c r="AJ1613" s="168" t="str">
        <f t="shared" si="662"/>
        <v/>
      </c>
      <c r="AK1613" s="168" t="str">
        <f t="shared" si="663"/>
        <v/>
      </c>
      <c r="AL1613" s="168" t="str">
        <f t="shared" si="664"/>
        <v/>
      </c>
      <c r="AM1613" s="168" t="str">
        <f t="shared" si="665"/>
        <v/>
      </c>
      <c r="AN1613" s="167" t="str">
        <f t="shared" si="647"/>
        <v>2010</v>
      </c>
      <c r="AO1613" s="167" t="str">
        <f t="shared" si="648"/>
        <v>2010</v>
      </c>
      <c r="AP1613" s="167" t="str">
        <f t="shared" si="649"/>
        <v>2010</v>
      </c>
      <c r="AQ1613" s="169" t="str">
        <f t="shared" si="650"/>
        <v/>
      </c>
      <c r="AR1613" s="170" t="str">
        <f t="shared" si="651"/>
        <v>BiK81M1K10y-07</v>
      </c>
      <c r="AS1613" s="169" t="str">
        <f t="shared" si="652"/>
        <v/>
      </c>
      <c r="AT1613">
        <f t="shared" si="653"/>
        <v>14</v>
      </c>
      <c r="AU1613" s="170" t="str">
        <f t="shared" si="654"/>
        <v>0-0,15 MW, Bonusregeln M1, y und K erstmals 2010</v>
      </c>
      <c r="AV1613" s="169" t="str">
        <f t="shared" si="655"/>
        <v/>
      </c>
      <c r="AW1613" s="170" t="str">
        <f t="shared" si="656"/>
        <v>Anteil KWK, erstmals 2010</v>
      </c>
      <c r="AX1613" s="169" t="str">
        <f t="shared" si="657"/>
        <v/>
      </c>
      <c r="AY1613" t="str">
        <f t="shared" si="658"/>
        <v/>
      </c>
      <c r="AZ1613" t="str">
        <f t="shared" si="659"/>
        <v/>
      </c>
    </row>
    <row r="1614" spans="1:52" x14ac:dyDescent="0.35">
      <c r="A1614" s="497" t="s">
        <v>3994</v>
      </c>
      <c r="B1614" s="13" t="s">
        <v>5547</v>
      </c>
      <c r="C1614" s="13" t="s">
        <v>1304</v>
      </c>
      <c r="D1614" s="13" t="s">
        <v>6827</v>
      </c>
      <c r="E1614" s="13" t="s">
        <v>3054</v>
      </c>
      <c r="F1614" s="373">
        <f t="shared" si="666"/>
        <v>26.61</v>
      </c>
      <c r="G1614" s="430">
        <v>26.61</v>
      </c>
      <c r="H1614" s="399">
        <f t="shared" si="667"/>
        <v>21.29</v>
      </c>
      <c r="I1614" s="576"/>
      <c r="J1614" s="549" t="s">
        <v>5804</v>
      </c>
      <c r="K1614" s="11"/>
      <c r="M1614" s="37">
        <f t="shared" si="668"/>
        <v>26.61</v>
      </c>
      <c r="N1614" s="29">
        <v>11.67</v>
      </c>
      <c r="O1614" s="149"/>
      <c r="P1614" s="144"/>
      <c r="Q1614" s="145"/>
      <c r="R1614" s="145"/>
      <c r="S1614" s="145" t="s">
        <v>1017</v>
      </c>
      <c r="T1614" t="s">
        <v>4179</v>
      </c>
      <c r="U1614" s="146" t="s">
        <v>1017</v>
      </c>
      <c r="V1614" s="145"/>
      <c r="W1614" s="147"/>
      <c r="X1614" s="147"/>
      <c r="Y1614" s="145"/>
      <c r="Z1614" s="145" t="s">
        <v>1017</v>
      </c>
      <c r="AA1614" s="147"/>
      <c r="AB1614" s="145"/>
      <c r="AC1614" s="145"/>
      <c r="AD1614" s="147"/>
      <c r="AE1614" s="148"/>
      <c r="AF1614" s="147"/>
      <c r="AG1614" s="147"/>
      <c r="AH1614" s="166" t="str">
        <f t="shared" si="675"/>
        <v>2011</v>
      </c>
      <c r="AI1614" s="168" t="str">
        <f t="shared" si="661"/>
        <v/>
      </c>
      <c r="AJ1614" s="168" t="str">
        <f t="shared" si="662"/>
        <v/>
      </c>
      <c r="AK1614" s="168" t="str">
        <f t="shared" si="663"/>
        <v/>
      </c>
      <c r="AL1614" s="168" t="str">
        <f t="shared" si="664"/>
        <v/>
      </c>
      <c r="AM1614" s="168" t="str">
        <f t="shared" si="665"/>
        <v/>
      </c>
      <c r="AN1614" s="167" t="str">
        <f t="shared" si="647"/>
        <v>2011</v>
      </c>
      <c r="AO1614" s="167" t="str">
        <f t="shared" si="648"/>
        <v>2011</v>
      </c>
      <c r="AP1614" s="167" t="str">
        <f t="shared" si="649"/>
        <v>2011</v>
      </c>
      <c r="AQ1614" s="169" t="str">
        <f t="shared" si="650"/>
        <v/>
      </c>
      <c r="AR1614" s="170" t="str">
        <f t="shared" si="651"/>
        <v>BiK81M1K11y-07</v>
      </c>
      <c r="AS1614" s="169" t="str">
        <f t="shared" si="652"/>
        <v/>
      </c>
      <c r="AT1614">
        <f t="shared" si="653"/>
        <v>14</v>
      </c>
      <c r="AU1614" s="170" t="str">
        <f t="shared" si="654"/>
        <v>0-0,15 MW, Bonusregeln M1, y und K erstmals 2011</v>
      </c>
      <c r="AV1614" s="169" t="str">
        <f t="shared" si="655"/>
        <v/>
      </c>
      <c r="AW1614" s="170" t="str">
        <f t="shared" si="656"/>
        <v>Anteil KWK, erstmals 2011</v>
      </c>
      <c r="AX1614" s="169" t="str">
        <f t="shared" si="657"/>
        <v/>
      </c>
      <c r="AY1614" t="str">
        <f t="shared" si="658"/>
        <v>x</v>
      </c>
      <c r="AZ1614" t="str">
        <f t="shared" si="659"/>
        <v/>
      </c>
    </row>
    <row r="1615" spans="1:52" x14ac:dyDescent="0.35">
      <c r="A1615" s="511" t="s">
        <v>1817</v>
      </c>
      <c r="B1615" s="173" t="s">
        <v>5547</v>
      </c>
      <c r="C1615" s="173" t="s">
        <v>1304</v>
      </c>
      <c r="D1615" s="173" t="s">
        <v>6828</v>
      </c>
      <c r="E1615" s="173" t="s">
        <v>1980</v>
      </c>
      <c r="F1615" s="374">
        <f t="shared" si="666"/>
        <v>26.58</v>
      </c>
      <c r="G1615" s="431">
        <v>26.58</v>
      </c>
      <c r="H1615" s="400">
        <f t="shared" si="667"/>
        <v>21.26</v>
      </c>
      <c r="I1615" s="577"/>
      <c r="J1615" s="549" t="s">
        <v>5804</v>
      </c>
      <c r="K1615" s="11"/>
      <c r="M1615" s="37">
        <f t="shared" si="668"/>
        <v>26.58</v>
      </c>
      <c r="N1615" s="29">
        <v>11.67</v>
      </c>
      <c r="O1615" s="149"/>
      <c r="P1615" s="144"/>
      <c r="Q1615" s="145"/>
      <c r="R1615" s="145"/>
      <c r="S1615" s="145" t="s">
        <v>4179</v>
      </c>
      <c r="T1615" t="s">
        <v>1017</v>
      </c>
      <c r="U1615" s="146" t="s">
        <v>1017</v>
      </c>
      <c r="V1615" s="145"/>
      <c r="W1615" s="147"/>
      <c r="X1615" s="147"/>
      <c r="Y1615" s="145"/>
      <c r="Z1615" s="145" t="s">
        <v>1017</v>
      </c>
      <c r="AA1615" s="147"/>
      <c r="AB1615" s="145"/>
      <c r="AC1615" s="145"/>
      <c r="AD1615" s="147"/>
      <c r="AE1615" s="148"/>
      <c r="AF1615" s="147"/>
      <c r="AG1615" s="147"/>
      <c r="AH1615" s="171" t="s">
        <v>4178</v>
      </c>
      <c r="AI1615" s="168" t="str">
        <f t="shared" si="661"/>
        <v/>
      </c>
      <c r="AJ1615" s="168" t="str">
        <f t="shared" si="662"/>
        <v/>
      </c>
      <c r="AK1615" s="168" t="str">
        <f t="shared" si="663"/>
        <v/>
      </c>
      <c r="AL1615" s="168" t="str">
        <f t="shared" si="664"/>
        <v/>
      </c>
      <c r="AM1615" s="168" t="str">
        <f t="shared" si="665"/>
        <v/>
      </c>
      <c r="AN1615" s="167" t="str">
        <f t="shared" si="647"/>
        <v>2012</v>
      </c>
      <c r="AO1615" s="167" t="str">
        <f t="shared" si="648"/>
        <v>2012</v>
      </c>
      <c r="AP1615" s="167" t="str">
        <f t="shared" si="649"/>
        <v>2012</v>
      </c>
      <c r="AQ1615" s="169" t="str">
        <f t="shared" si="650"/>
        <v/>
      </c>
      <c r="AR1615" s="170" t="str">
        <f t="shared" si="651"/>
        <v>BiK81M1K12y-07</v>
      </c>
      <c r="AS1615" s="169" t="str">
        <f t="shared" si="652"/>
        <v/>
      </c>
      <c r="AT1615">
        <f t="shared" si="653"/>
        <v>14</v>
      </c>
      <c r="AU1615" s="170" t="str">
        <f t="shared" si="654"/>
        <v>0-0,15 MW, Bonusregeln M1, y und K erstmals 2012</v>
      </c>
      <c r="AV1615" s="169" t="str">
        <f t="shared" si="655"/>
        <v/>
      </c>
      <c r="AW1615" s="170" t="str">
        <f t="shared" si="656"/>
        <v>Anteil KWK, erstmals 2012</v>
      </c>
      <c r="AX1615" s="169" t="str">
        <f t="shared" si="657"/>
        <v/>
      </c>
      <c r="AY1615" t="str">
        <f t="shared" si="658"/>
        <v/>
      </c>
      <c r="AZ1615" t="str">
        <f t="shared" si="659"/>
        <v>x</v>
      </c>
    </row>
    <row r="1616" spans="1:52" x14ac:dyDescent="0.35">
      <c r="A1616" s="497" t="s">
        <v>2108</v>
      </c>
      <c r="B1616" s="13" t="s">
        <v>5547</v>
      </c>
      <c r="C1616" s="13" t="s">
        <v>1304</v>
      </c>
      <c r="D1616" s="13" t="s">
        <v>6829</v>
      </c>
      <c r="E1616" s="13" t="s">
        <v>4809</v>
      </c>
      <c r="F1616" s="373">
        <f t="shared" si="666"/>
        <v>20.67</v>
      </c>
      <c r="G1616" s="430">
        <v>20.67</v>
      </c>
      <c r="H1616" s="399">
        <f t="shared" si="667"/>
        <v>16.54</v>
      </c>
      <c r="I1616" s="576"/>
      <c r="J1616" s="549" t="s">
        <v>5804</v>
      </c>
      <c r="K1616" s="11"/>
      <c r="M1616" s="37">
        <f t="shared" si="668"/>
        <v>20.67</v>
      </c>
      <c r="N1616" s="29">
        <v>11.67</v>
      </c>
      <c r="O1616" s="149"/>
      <c r="P1616" s="144"/>
      <c r="Q1616" s="145"/>
      <c r="R1616" s="145"/>
      <c r="S1616" s="145" t="s">
        <v>4179</v>
      </c>
      <c r="T1616" t="s">
        <v>4179</v>
      </c>
      <c r="U1616" s="146"/>
      <c r="V1616" s="145"/>
      <c r="W1616" s="147"/>
      <c r="X1616" s="147"/>
      <c r="Y1616" s="145"/>
      <c r="Z1616" s="145"/>
      <c r="AA1616" s="147"/>
      <c r="AB1616" s="145" t="s">
        <v>1017</v>
      </c>
      <c r="AC1616" s="145"/>
      <c r="AD1616" s="147"/>
      <c r="AE1616" s="148"/>
      <c r="AF1616" s="147"/>
      <c r="AG1616" s="147"/>
      <c r="AH1616" s="166" t="str">
        <f t="shared" ref="AH1616:AH1621" si="676">IF(ISERROR(SEARCH("K erstmals 201",D1616)),"",RIGHT(D1616,4))</f>
        <v/>
      </c>
      <c r="AI1616" s="168" t="str">
        <f t="shared" si="661"/>
        <v/>
      </c>
      <c r="AJ1616" s="168" t="str">
        <f t="shared" si="662"/>
        <v/>
      </c>
      <c r="AK1616" s="168" t="str">
        <f t="shared" si="663"/>
        <v/>
      </c>
      <c r="AL1616" s="168" t="str">
        <f t="shared" si="664"/>
        <v/>
      </c>
      <c r="AM1616" s="168" t="str">
        <f t="shared" si="665"/>
        <v/>
      </c>
      <c r="AN1616" s="167" t="str">
        <f t="shared" ref="AN1616:AN1679" si="677">IF(ISERROR(SEARCH("K1",A1616)),"","20"&amp;MID(A1616,SEARCH("K1",A1616)+1,2))</f>
        <v/>
      </c>
      <c r="AO1616" s="167" t="str">
        <f t="shared" ref="AO1616:AO1679" si="678">IF(ISERROR(SEARCH("erstmals 201",E1616)),"",MID(E1616,SEARCH("erstmals ",E1616)+9,4))</f>
        <v/>
      </c>
      <c r="AP1616" s="167" t="str">
        <f t="shared" ref="AP1616:AP1679" si="679">IF(R1616="x","2010",IF(S1616="x","2011",IF(T1616="x","2012","")))</f>
        <v/>
      </c>
      <c r="AQ1616" s="169" t="str">
        <f t="shared" ref="AQ1616:AQ1679" si="680">IF(OR(AH1616&lt;&gt;AN1616,AH1616&lt;&gt;AO1616,AH1616&lt;&gt;AP1616),"DIFF","")</f>
        <v/>
      </c>
      <c r="AR1616" s="170" t="str">
        <f t="shared" ref="AR1616:AR1679" si="681">IF(A1616="","",IF(ISERROR(SEARCH("K1",A1616)),A1616,LEFT(A1616,SEARCH("K1",A1616)+1)&amp;RIGHT(AH1616,1)&amp;MID(A1616,SEARCH("K1",A1616)+3,14)))</f>
        <v>BiK81L------07</v>
      </c>
      <c r="AS1616" s="169" t="str">
        <f t="shared" ref="AS1616:AS1679" si="682">IF(OR(A1616&lt;&gt;AR1616),"DIFF","")</f>
        <v/>
      </c>
      <c r="AT1616">
        <f t="shared" ref="AT1616:AT1679" si="683">LEN(AR1616)</f>
        <v>14</v>
      </c>
      <c r="AU1616" s="170" t="str">
        <f t="shared" ref="AU1616:AU1679" si="684">IF(D1616="","",IF(OR(A1616="",ISERROR(SEARCH("erstmals 201",D1616))),D1616,LEFT(D1616,SEARCH("erstmals 201",D1616)+8) &amp; AH1616 &amp; MID(D1616,SEARCH("erstmals 201",D1616)+13,255)))</f>
        <v>0-0,15 MW, Bonusregel L</v>
      </c>
      <c r="AV1616" s="169" t="str">
        <f t="shared" ref="AV1616:AV1679" si="685">IF(OR(D1616&lt;&gt;AU1616),"DIFF","")</f>
        <v/>
      </c>
      <c r="AW1616" s="170" t="str">
        <f t="shared" ref="AW1616:AW1679" si="686">IF(E1616="","",IF(OR(E1616="",ISERROR(SEARCH("erstmals 201",E1616))),E1616,LEFT(E1616,SEARCH("erstmals 201",E1616)+8) &amp; AH1616 &amp; MID(E1616,SEARCH("erstmals 201",E1616)+13,255)))</f>
        <v>Anteil Nicht-KWK</v>
      </c>
      <c r="AX1616" s="169" t="str">
        <f t="shared" ref="AX1616:AX1679" si="687">IF(OR(E1616&lt;&gt;AW1616),"DIFF","")</f>
        <v/>
      </c>
      <c r="AY1616" t="str">
        <f t="shared" ref="AY1616:AY1679" si="688">IF(AH1616="2011","x",IF(AH1616="2012","","" &amp; S1616))</f>
        <v/>
      </c>
      <c r="AZ1616" t="str">
        <f t="shared" ref="AZ1616:AZ1679" si="689">IF(AH1616="2012","x",IF(AH1616="2011","","" &amp; T1616))</f>
        <v/>
      </c>
    </row>
    <row r="1617" spans="1:52" x14ac:dyDescent="0.35">
      <c r="A1617" s="497" t="s">
        <v>2109</v>
      </c>
      <c r="B1617" s="13" t="s">
        <v>5547</v>
      </c>
      <c r="C1617" s="13" t="s">
        <v>1304</v>
      </c>
      <c r="D1617" s="13" t="s">
        <v>6898</v>
      </c>
      <c r="E1617" s="13" t="s">
        <v>4811</v>
      </c>
      <c r="F1617" s="373">
        <f t="shared" si="666"/>
        <v>22.67</v>
      </c>
      <c r="G1617" s="430">
        <v>22.67</v>
      </c>
      <c r="H1617" s="399">
        <f t="shared" si="667"/>
        <v>18.14</v>
      </c>
      <c r="I1617" s="576"/>
      <c r="J1617" s="549" t="s">
        <v>5804</v>
      </c>
      <c r="K1617" s="11"/>
      <c r="M1617" s="37">
        <f t="shared" si="668"/>
        <v>22.67</v>
      </c>
      <c r="N1617" s="29">
        <v>11.67</v>
      </c>
      <c r="O1617" s="149" t="s">
        <v>1017</v>
      </c>
      <c r="P1617" s="144"/>
      <c r="Q1617" s="145"/>
      <c r="R1617" s="145"/>
      <c r="S1617" s="145" t="s">
        <v>4179</v>
      </c>
      <c r="T1617" t="s">
        <v>4179</v>
      </c>
      <c r="U1617" s="146"/>
      <c r="V1617" s="145"/>
      <c r="W1617" s="147"/>
      <c r="X1617" s="147"/>
      <c r="Y1617" s="145"/>
      <c r="Z1617" s="145"/>
      <c r="AA1617" s="147"/>
      <c r="AB1617" s="145" t="s">
        <v>1017</v>
      </c>
      <c r="AC1617" s="145"/>
      <c r="AD1617" s="147"/>
      <c r="AE1617" s="148"/>
      <c r="AF1617" s="147"/>
      <c r="AG1617" s="147"/>
      <c r="AH1617" s="166" t="str">
        <f t="shared" si="676"/>
        <v/>
      </c>
      <c r="AI1617" s="168" t="str">
        <f t="shared" si="661"/>
        <v/>
      </c>
      <c r="AJ1617" s="168" t="str">
        <f t="shared" si="662"/>
        <v/>
      </c>
      <c r="AK1617" s="168" t="str">
        <f t="shared" si="663"/>
        <v/>
      </c>
      <c r="AL1617" s="168" t="str">
        <f t="shared" si="664"/>
        <v/>
      </c>
      <c r="AM1617" s="168" t="str">
        <f t="shared" si="665"/>
        <v/>
      </c>
      <c r="AN1617" s="167" t="str">
        <f t="shared" si="677"/>
        <v/>
      </c>
      <c r="AO1617" s="167" t="str">
        <f t="shared" si="678"/>
        <v/>
      </c>
      <c r="AP1617" s="167" t="str">
        <f t="shared" si="679"/>
        <v/>
      </c>
      <c r="AQ1617" s="169" t="str">
        <f t="shared" si="680"/>
        <v/>
      </c>
      <c r="AR1617" s="170" t="str">
        <f t="shared" si="681"/>
        <v>BiK81LKWK---07</v>
      </c>
      <c r="AS1617" s="169" t="str">
        <f t="shared" si="682"/>
        <v/>
      </c>
      <c r="AT1617">
        <f t="shared" si="683"/>
        <v>14</v>
      </c>
      <c r="AU1617" s="170" t="str">
        <f t="shared" si="684"/>
        <v>0-0,15 MW, Bonusregeln L und KWK</v>
      </c>
      <c r="AV1617" s="169" t="str">
        <f t="shared" si="685"/>
        <v/>
      </c>
      <c r="AW1617" s="170" t="str">
        <f t="shared" si="686"/>
        <v>Anteil KWK</v>
      </c>
      <c r="AX1617" s="169" t="str">
        <f t="shared" si="687"/>
        <v/>
      </c>
      <c r="AY1617" t="str">
        <f t="shared" si="688"/>
        <v/>
      </c>
      <c r="AZ1617" t="str">
        <f t="shared" si="689"/>
        <v/>
      </c>
    </row>
    <row r="1618" spans="1:52" s="145" customFormat="1" x14ac:dyDescent="0.35">
      <c r="A1618" s="497" t="s">
        <v>2110</v>
      </c>
      <c r="B1618" s="13" t="s">
        <v>5547</v>
      </c>
      <c r="C1618" s="13" t="s">
        <v>1304</v>
      </c>
      <c r="D1618" s="13" t="s">
        <v>6830</v>
      </c>
      <c r="E1618" s="13" t="s">
        <v>4330</v>
      </c>
      <c r="F1618" s="373">
        <f t="shared" si="666"/>
        <v>23.67</v>
      </c>
      <c r="G1618" s="430">
        <v>23.67</v>
      </c>
      <c r="H1618" s="399">
        <f t="shared" si="667"/>
        <v>18.940000000000001</v>
      </c>
      <c r="I1618" s="576"/>
      <c r="J1618" s="549" t="s">
        <v>5804</v>
      </c>
      <c r="K1618" s="11"/>
      <c r="L1618"/>
      <c r="M1618" s="37">
        <f t="shared" si="668"/>
        <v>23.67</v>
      </c>
      <c r="N1618" s="29">
        <v>11.67</v>
      </c>
      <c r="O1618" s="149"/>
      <c r="P1618" s="145" t="s">
        <v>1017</v>
      </c>
      <c r="S1618" s="145" t="s">
        <v>4179</v>
      </c>
      <c r="T1618" s="145" t="s">
        <v>4179</v>
      </c>
      <c r="U1618" s="146"/>
      <c r="W1618" s="147"/>
      <c r="X1618" s="147"/>
      <c r="AA1618" s="147"/>
      <c r="AB1618" s="145" t="s">
        <v>1017</v>
      </c>
      <c r="AD1618" s="147"/>
      <c r="AE1618" s="148"/>
      <c r="AF1618" s="147"/>
      <c r="AG1618" s="147"/>
      <c r="AH1618" s="166" t="str">
        <f t="shared" si="676"/>
        <v/>
      </c>
      <c r="AI1618" s="168" t="str">
        <f t="shared" si="661"/>
        <v/>
      </c>
      <c r="AJ1618" s="168" t="str">
        <f t="shared" si="662"/>
        <v/>
      </c>
      <c r="AK1618" s="168" t="str">
        <f t="shared" si="663"/>
        <v/>
      </c>
      <c r="AL1618" s="168" t="str">
        <f t="shared" si="664"/>
        <v/>
      </c>
      <c r="AM1618" s="168" t="str">
        <f t="shared" si="665"/>
        <v/>
      </c>
      <c r="AN1618" s="167" t="str">
        <f t="shared" si="677"/>
        <v/>
      </c>
      <c r="AO1618" s="167" t="str">
        <f t="shared" si="678"/>
        <v/>
      </c>
      <c r="AP1618" s="167" t="str">
        <f t="shared" si="679"/>
        <v/>
      </c>
      <c r="AQ1618" s="169" t="str">
        <f t="shared" si="680"/>
        <v/>
      </c>
      <c r="AR1618" s="170" t="str">
        <f t="shared" si="681"/>
        <v>BiK81LKA3---07</v>
      </c>
      <c r="AS1618" s="169" t="str">
        <f t="shared" si="682"/>
        <v/>
      </c>
      <c r="AT1618">
        <f t="shared" si="683"/>
        <v>14</v>
      </c>
      <c r="AU1618" s="170" t="str">
        <f t="shared" si="684"/>
        <v>0-0,15 MW, Bonusregeln L und K wenn Anlage 3 erfüllt</v>
      </c>
      <c r="AV1618" s="169" t="str">
        <f t="shared" si="685"/>
        <v/>
      </c>
      <c r="AW1618" s="170" t="str">
        <f t="shared" si="686"/>
        <v>Anteil KWK gemäß Anlage 3</v>
      </c>
      <c r="AX1618" s="169" t="str">
        <f t="shared" si="687"/>
        <v/>
      </c>
      <c r="AY1618" t="str">
        <f t="shared" si="688"/>
        <v/>
      </c>
      <c r="AZ1618" t="str">
        <f t="shared" si="689"/>
        <v/>
      </c>
    </row>
    <row r="1619" spans="1:52" s="145" customFormat="1" x14ac:dyDescent="0.35">
      <c r="A1619" s="497" t="s">
        <v>2111</v>
      </c>
      <c r="B1619" s="13" t="s">
        <v>5547</v>
      </c>
      <c r="C1619" s="13" t="s">
        <v>1304</v>
      </c>
      <c r="D1619" s="13" t="s">
        <v>6831</v>
      </c>
      <c r="E1619" s="13" t="s">
        <v>674</v>
      </c>
      <c r="F1619" s="373">
        <f t="shared" si="666"/>
        <v>23.67</v>
      </c>
      <c r="G1619" s="430">
        <v>23.67</v>
      </c>
      <c r="H1619" s="399">
        <f t="shared" si="667"/>
        <v>18.940000000000001</v>
      </c>
      <c r="I1619" s="576"/>
      <c r="J1619" s="549" t="s">
        <v>5804</v>
      </c>
      <c r="K1619" s="11"/>
      <c r="L1619"/>
      <c r="M1619" s="37">
        <f t="shared" si="668"/>
        <v>23.67</v>
      </c>
      <c r="N1619" s="29">
        <v>11.67</v>
      </c>
      <c r="O1619" s="149"/>
      <c r="P1619" s="144"/>
      <c r="Q1619" s="145" t="s">
        <v>1017</v>
      </c>
      <c r="S1619" s="145" t="s">
        <v>4179</v>
      </c>
      <c r="T1619" s="145" t="s">
        <v>4179</v>
      </c>
      <c r="U1619" s="146"/>
      <c r="W1619" s="147"/>
      <c r="X1619" s="147"/>
      <c r="AA1619" s="147"/>
      <c r="AB1619" s="145" t="s">
        <v>1017</v>
      </c>
      <c r="AD1619" s="147"/>
      <c r="AE1619" s="148"/>
      <c r="AF1619" s="147"/>
      <c r="AG1619" s="147"/>
      <c r="AH1619" s="166" t="str">
        <f t="shared" si="676"/>
        <v/>
      </c>
      <c r="AI1619" s="168" t="str">
        <f t="shared" ref="AI1619:AI1682" si="690">IF(AND($AH1619&lt;&gt;"",AH1619 =AH1618),"Gleich","")</f>
        <v/>
      </c>
      <c r="AJ1619" s="168" t="str">
        <f t="shared" ref="AJ1619:AJ1682" si="691">IF(AND($AH1619&lt;&gt;"",A1619 =A1618),"Gleich","")</f>
        <v/>
      </c>
      <c r="AK1619" s="168" t="str">
        <f t="shared" ref="AK1619:AK1682" si="692">IF(AND($AH1619&lt;&gt;"",D1619 =D1618),"Gleich","")</f>
        <v/>
      </c>
      <c r="AL1619" s="168" t="str">
        <f t="shared" ref="AL1619:AL1682" si="693">IF(AND($AH1619&lt;&gt;"",E1619 =E1618),"Gleich","")</f>
        <v/>
      </c>
      <c r="AM1619" s="168" t="str">
        <f t="shared" ref="AM1619:AM1682" si="694">IF(AND($AH1619&lt;&gt;"",F1619 =F1618),"Gleich","")</f>
        <v/>
      </c>
      <c r="AN1619" s="167" t="str">
        <f t="shared" si="677"/>
        <v/>
      </c>
      <c r="AO1619" s="167" t="str">
        <f t="shared" si="678"/>
        <v/>
      </c>
      <c r="AP1619" s="167" t="str">
        <f t="shared" si="679"/>
        <v/>
      </c>
      <c r="AQ1619" s="169" t="str">
        <f t="shared" si="680"/>
        <v/>
      </c>
      <c r="AR1619" s="170" t="str">
        <f t="shared" si="681"/>
        <v>BiK81LK09---07</v>
      </c>
      <c r="AS1619" s="169" t="str">
        <f t="shared" si="682"/>
        <v/>
      </c>
      <c r="AT1619">
        <f t="shared" si="683"/>
        <v>14</v>
      </c>
      <c r="AU1619" s="170" t="str">
        <f t="shared" si="684"/>
        <v>0-0,15 MW, Bonusregeln L und K erstmals 2009</v>
      </c>
      <c r="AV1619" s="169" t="str">
        <f t="shared" si="685"/>
        <v/>
      </c>
      <c r="AW1619" s="170" t="str">
        <f t="shared" si="686"/>
        <v>Anteil KWK, erstmals 2009</v>
      </c>
      <c r="AX1619" s="169" t="str">
        <f t="shared" si="687"/>
        <v/>
      </c>
      <c r="AY1619" t="str">
        <f t="shared" si="688"/>
        <v/>
      </c>
      <c r="AZ1619" t="str">
        <f t="shared" si="689"/>
        <v/>
      </c>
    </row>
    <row r="1620" spans="1:52" s="145" customFormat="1" x14ac:dyDescent="0.35">
      <c r="A1620" s="497" t="s">
        <v>4948</v>
      </c>
      <c r="B1620" s="13" t="s">
        <v>5547</v>
      </c>
      <c r="C1620" s="13" t="s">
        <v>1304</v>
      </c>
      <c r="D1620" s="13" t="s">
        <v>6832</v>
      </c>
      <c r="E1620" s="13" t="s">
        <v>3566</v>
      </c>
      <c r="F1620" s="373">
        <f t="shared" si="666"/>
        <v>23.64</v>
      </c>
      <c r="G1620" s="430">
        <v>23.64</v>
      </c>
      <c r="H1620" s="399">
        <f t="shared" si="667"/>
        <v>18.91</v>
      </c>
      <c r="I1620" s="576"/>
      <c r="J1620" s="549" t="s">
        <v>5804</v>
      </c>
      <c r="K1620" s="11"/>
      <c r="L1620"/>
      <c r="M1620" s="37">
        <f t="shared" si="668"/>
        <v>23.64</v>
      </c>
      <c r="N1620" s="29">
        <v>11.67</v>
      </c>
      <c r="O1620" s="149"/>
      <c r="P1620" s="144"/>
      <c r="R1620" s="145" t="s">
        <v>1017</v>
      </c>
      <c r="S1620" s="145" t="s">
        <v>4179</v>
      </c>
      <c r="T1620" s="145" t="s">
        <v>4179</v>
      </c>
      <c r="U1620" s="146"/>
      <c r="W1620" s="147"/>
      <c r="X1620" s="147"/>
      <c r="AA1620" s="147"/>
      <c r="AB1620" s="145" t="s">
        <v>1017</v>
      </c>
      <c r="AD1620" s="147"/>
      <c r="AE1620" s="148"/>
      <c r="AF1620" s="147"/>
      <c r="AG1620" s="147"/>
      <c r="AH1620" s="166" t="str">
        <f t="shared" si="676"/>
        <v>2010</v>
      </c>
      <c r="AI1620" s="168" t="str">
        <f t="shared" si="690"/>
        <v/>
      </c>
      <c r="AJ1620" s="168" t="str">
        <f t="shared" si="691"/>
        <v/>
      </c>
      <c r="AK1620" s="168" t="str">
        <f t="shared" si="692"/>
        <v/>
      </c>
      <c r="AL1620" s="168" t="str">
        <f t="shared" si="693"/>
        <v/>
      </c>
      <c r="AM1620" s="168" t="str">
        <f t="shared" si="694"/>
        <v/>
      </c>
      <c r="AN1620" s="167" t="str">
        <f t="shared" si="677"/>
        <v>2010</v>
      </c>
      <c r="AO1620" s="167" t="str">
        <f t="shared" si="678"/>
        <v>2010</v>
      </c>
      <c r="AP1620" s="167" t="str">
        <f t="shared" si="679"/>
        <v>2010</v>
      </c>
      <c r="AQ1620" s="169" t="str">
        <f t="shared" si="680"/>
        <v/>
      </c>
      <c r="AR1620" s="170" t="str">
        <f t="shared" si="681"/>
        <v>BiK81LK10---07</v>
      </c>
      <c r="AS1620" s="169" t="str">
        <f t="shared" si="682"/>
        <v/>
      </c>
      <c r="AT1620">
        <f t="shared" si="683"/>
        <v>14</v>
      </c>
      <c r="AU1620" s="170" t="str">
        <f t="shared" si="684"/>
        <v>0-0,15 MW, Bonusregeln L und K erstmals 2010</v>
      </c>
      <c r="AV1620" s="169" t="str">
        <f t="shared" si="685"/>
        <v/>
      </c>
      <c r="AW1620" s="170" t="str">
        <f t="shared" si="686"/>
        <v>Anteil KWK, erstmals 2010</v>
      </c>
      <c r="AX1620" s="169" t="str">
        <f t="shared" si="687"/>
        <v/>
      </c>
      <c r="AY1620" t="str">
        <f t="shared" si="688"/>
        <v/>
      </c>
      <c r="AZ1620" t="str">
        <f t="shared" si="689"/>
        <v/>
      </c>
    </row>
    <row r="1621" spans="1:52" s="145" customFormat="1" x14ac:dyDescent="0.35">
      <c r="A1621" s="497" t="s">
        <v>3995</v>
      </c>
      <c r="B1621" s="13" t="s">
        <v>5547</v>
      </c>
      <c r="C1621" s="13" t="s">
        <v>1304</v>
      </c>
      <c r="D1621" s="13" t="s">
        <v>6833</v>
      </c>
      <c r="E1621" s="13" t="s">
        <v>3054</v>
      </c>
      <c r="F1621" s="373">
        <f t="shared" si="666"/>
        <v>23.61</v>
      </c>
      <c r="G1621" s="430">
        <v>23.61</v>
      </c>
      <c r="H1621" s="399">
        <f t="shared" si="667"/>
        <v>18.89</v>
      </c>
      <c r="I1621" s="576"/>
      <c r="J1621" s="549" t="s">
        <v>5804</v>
      </c>
      <c r="K1621" s="11"/>
      <c r="L1621"/>
      <c r="M1621" s="37">
        <f t="shared" si="668"/>
        <v>23.61</v>
      </c>
      <c r="N1621" s="29">
        <v>11.67</v>
      </c>
      <c r="O1621" s="149"/>
      <c r="P1621" s="144"/>
      <c r="S1621" s="145" t="s">
        <v>1017</v>
      </c>
      <c r="T1621" s="145" t="s">
        <v>4179</v>
      </c>
      <c r="U1621" s="146"/>
      <c r="W1621" s="147"/>
      <c r="X1621" s="147"/>
      <c r="AA1621" s="147"/>
      <c r="AB1621" s="145" t="s">
        <v>1017</v>
      </c>
      <c r="AD1621" s="147"/>
      <c r="AE1621" s="148"/>
      <c r="AF1621" s="147"/>
      <c r="AG1621" s="147"/>
      <c r="AH1621" s="166" t="str">
        <f t="shared" si="676"/>
        <v>2011</v>
      </c>
      <c r="AI1621" s="168" t="str">
        <f t="shared" si="690"/>
        <v/>
      </c>
      <c r="AJ1621" s="168" t="str">
        <f t="shared" si="691"/>
        <v/>
      </c>
      <c r="AK1621" s="168" t="str">
        <f t="shared" si="692"/>
        <v/>
      </c>
      <c r="AL1621" s="168" t="str">
        <f t="shared" si="693"/>
        <v/>
      </c>
      <c r="AM1621" s="168" t="str">
        <f t="shared" si="694"/>
        <v/>
      </c>
      <c r="AN1621" s="167" t="str">
        <f t="shared" si="677"/>
        <v>2011</v>
      </c>
      <c r="AO1621" s="167" t="str">
        <f t="shared" si="678"/>
        <v>2011</v>
      </c>
      <c r="AP1621" s="167" t="str">
        <f t="shared" si="679"/>
        <v>2011</v>
      </c>
      <c r="AQ1621" s="169" t="str">
        <f t="shared" si="680"/>
        <v/>
      </c>
      <c r="AR1621" s="170" t="str">
        <f t="shared" si="681"/>
        <v>BiK81LK11---07</v>
      </c>
      <c r="AS1621" s="169" t="str">
        <f t="shared" si="682"/>
        <v/>
      </c>
      <c r="AT1621">
        <f t="shared" si="683"/>
        <v>14</v>
      </c>
      <c r="AU1621" s="170" t="str">
        <f t="shared" si="684"/>
        <v>0-0,15 MW, Bonusregeln L und K erstmals 2011</v>
      </c>
      <c r="AV1621" s="169" t="str">
        <f t="shared" si="685"/>
        <v/>
      </c>
      <c r="AW1621" s="170" t="str">
        <f t="shared" si="686"/>
        <v>Anteil KWK, erstmals 2011</v>
      </c>
      <c r="AX1621" s="169" t="str">
        <f t="shared" si="687"/>
        <v/>
      </c>
      <c r="AY1621" t="str">
        <f t="shared" si="688"/>
        <v>x</v>
      </c>
      <c r="AZ1621" t="str">
        <f t="shared" si="689"/>
        <v/>
      </c>
    </row>
    <row r="1622" spans="1:52" s="145" customFormat="1" x14ac:dyDescent="0.35">
      <c r="A1622" s="511" t="s">
        <v>1818</v>
      </c>
      <c r="B1622" s="173" t="s">
        <v>5547</v>
      </c>
      <c r="C1622" s="173" t="s">
        <v>1304</v>
      </c>
      <c r="D1622" s="173" t="s">
        <v>6834</v>
      </c>
      <c r="E1622" s="173" t="s">
        <v>1980</v>
      </c>
      <c r="F1622" s="374">
        <f t="shared" si="666"/>
        <v>23.58</v>
      </c>
      <c r="G1622" s="431">
        <v>23.58</v>
      </c>
      <c r="H1622" s="400">
        <f t="shared" si="667"/>
        <v>18.86</v>
      </c>
      <c r="I1622" s="577"/>
      <c r="J1622" s="549" t="s">
        <v>5804</v>
      </c>
      <c r="K1622" s="11"/>
      <c r="L1622"/>
      <c r="M1622" s="37">
        <f t="shared" si="668"/>
        <v>23.58</v>
      </c>
      <c r="N1622" s="29">
        <v>11.67</v>
      </c>
      <c r="O1622" s="149"/>
      <c r="P1622" s="144"/>
      <c r="S1622" s="145" t="s">
        <v>4179</v>
      </c>
      <c r="T1622" s="145" t="s">
        <v>1017</v>
      </c>
      <c r="U1622" s="146"/>
      <c r="W1622" s="147"/>
      <c r="X1622" s="147"/>
      <c r="AA1622" s="147"/>
      <c r="AB1622" s="145" t="s">
        <v>1017</v>
      </c>
      <c r="AD1622" s="147"/>
      <c r="AE1622" s="148"/>
      <c r="AF1622" s="147"/>
      <c r="AG1622" s="147"/>
      <c r="AH1622" s="171" t="s">
        <v>4178</v>
      </c>
      <c r="AI1622" s="168" t="str">
        <f t="shared" si="690"/>
        <v/>
      </c>
      <c r="AJ1622" s="168" t="str">
        <f t="shared" si="691"/>
        <v/>
      </c>
      <c r="AK1622" s="168" t="str">
        <f t="shared" si="692"/>
        <v/>
      </c>
      <c r="AL1622" s="168" t="str">
        <f t="shared" si="693"/>
        <v/>
      </c>
      <c r="AM1622" s="168" t="str">
        <f t="shared" si="694"/>
        <v/>
      </c>
      <c r="AN1622" s="167" t="str">
        <f t="shared" si="677"/>
        <v>2012</v>
      </c>
      <c r="AO1622" s="167" t="str">
        <f t="shared" si="678"/>
        <v>2012</v>
      </c>
      <c r="AP1622" s="167" t="str">
        <f t="shared" si="679"/>
        <v>2012</v>
      </c>
      <c r="AQ1622" s="169" t="str">
        <f t="shared" si="680"/>
        <v/>
      </c>
      <c r="AR1622" s="170" t="str">
        <f t="shared" si="681"/>
        <v>BiK81LK12---07</v>
      </c>
      <c r="AS1622" s="169" t="str">
        <f t="shared" si="682"/>
        <v/>
      </c>
      <c r="AT1622">
        <f t="shared" si="683"/>
        <v>14</v>
      </c>
      <c r="AU1622" s="170" t="str">
        <f t="shared" si="684"/>
        <v>0-0,15 MW, Bonusregeln L und K erstmals 2012</v>
      </c>
      <c r="AV1622" s="169" t="str">
        <f t="shared" si="685"/>
        <v/>
      </c>
      <c r="AW1622" s="170" t="str">
        <f t="shared" si="686"/>
        <v>Anteil KWK, erstmals 2012</v>
      </c>
      <c r="AX1622" s="169" t="str">
        <f t="shared" si="687"/>
        <v/>
      </c>
      <c r="AY1622" t="str">
        <f t="shared" si="688"/>
        <v/>
      </c>
      <c r="AZ1622" t="str">
        <f t="shared" si="689"/>
        <v>x</v>
      </c>
    </row>
    <row r="1623" spans="1:52" s="145" customFormat="1" x14ac:dyDescent="0.35">
      <c r="A1623" s="497" t="s">
        <v>4453</v>
      </c>
      <c r="B1623" s="13" t="s">
        <v>5547</v>
      </c>
      <c r="C1623" s="13" t="s">
        <v>1304</v>
      </c>
      <c r="D1623" s="13" t="s">
        <v>6835</v>
      </c>
      <c r="E1623" s="13" t="s">
        <v>4809</v>
      </c>
      <c r="F1623" s="373">
        <f t="shared" si="666"/>
        <v>21.67</v>
      </c>
      <c r="G1623" s="430">
        <v>21.67</v>
      </c>
      <c r="H1623" s="399">
        <f t="shared" si="667"/>
        <v>17.34</v>
      </c>
      <c r="I1623" s="576"/>
      <c r="J1623" s="549" t="s">
        <v>5804</v>
      </c>
      <c r="K1623" s="11"/>
      <c r="L1623"/>
      <c r="M1623" s="37">
        <f t="shared" si="668"/>
        <v>21.67</v>
      </c>
      <c r="N1623" s="29">
        <v>11.67</v>
      </c>
      <c r="O1623" s="149"/>
      <c r="P1623" s="144"/>
      <c r="S1623" s="145" t="s">
        <v>4179</v>
      </c>
      <c r="T1623" s="145" t="s">
        <v>4179</v>
      </c>
      <c r="U1623" s="146" t="s">
        <v>1017</v>
      </c>
      <c r="W1623" s="147"/>
      <c r="X1623" s="147"/>
      <c r="AA1623" s="147"/>
      <c r="AB1623" s="145" t="s">
        <v>1017</v>
      </c>
      <c r="AD1623" s="147"/>
      <c r="AE1623" s="148"/>
      <c r="AF1623" s="147"/>
      <c r="AG1623" s="147"/>
      <c r="AH1623" s="166" t="str">
        <f t="shared" ref="AH1623:AH1628" si="695">IF(ISERROR(SEARCH("K erstmals 201",D1623)),"",RIGHT(D1623,4))</f>
        <v/>
      </c>
      <c r="AI1623" s="168" t="str">
        <f t="shared" si="690"/>
        <v/>
      </c>
      <c r="AJ1623" s="168" t="str">
        <f t="shared" si="691"/>
        <v/>
      </c>
      <c r="AK1623" s="168" t="str">
        <f t="shared" si="692"/>
        <v/>
      </c>
      <c r="AL1623" s="168" t="str">
        <f t="shared" si="693"/>
        <v/>
      </c>
      <c r="AM1623" s="168" t="str">
        <f t="shared" si="694"/>
        <v/>
      </c>
      <c r="AN1623" s="167" t="str">
        <f t="shared" si="677"/>
        <v/>
      </c>
      <c r="AO1623" s="167" t="str">
        <f t="shared" si="678"/>
        <v/>
      </c>
      <c r="AP1623" s="167" t="str">
        <f t="shared" si="679"/>
        <v/>
      </c>
      <c r="AQ1623" s="169" t="str">
        <f t="shared" si="680"/>
        <v/>
      </c>
      <c r="AR1623" s="170" t="str">
        <f t="shared" si="681"/>
        <v>BiK81Ly-----07</v>
      </c>
      <c r="AS1623" s="169" t="str">
        <f t="shared" si="682"/>
        <v/>
      </c>
      <c r="AT1623">
        <f t="shared" si="683"/>
        <v>14</v>
      </c>
      <c r="AU1623" s="170" t="str">
        <f t="shared" si="684"/>
        <v>0-0,15 MW, Bonusregeln L, y</v>
      </c>
      <c r="AV1623" s="169" t="str">
        <f t="shared" si="685"/>
        <v/>
      </c>
      <c r="AW1623" s="170" t="str">
        <f t="shared" si="686"/>
        <v>Anteil Nicht-KWK</v>
      </c>
      <c r="AX1623" s="169" t="str">
        <f t="shared" si="687"/>
        <v/>
      </c>
      <c r="AY1623" t="str">
        <f t="shared" si="688"/>
        <v/>
      </c>
      <c r="AZ1623" t="str">
        <f t="shared" si="689"/>
        <v/>
      </c>
    </row>
    <row r="1624" spans="1:52" s="145" customFormat="1" x14ac:dyDescent="0.35">
      <c r="A1624" s="497" t="s">
        <v>4454</v>
      </c>
      <c r="B1624" s="13" t="s">
        <v>5547</v>
      </c>
      <c r="C1624" s="13" t="s">
        <v>1304</v>
      </c>
      <c r="D1624" s="13" t="s">
        <v>6899</v>
      </c>
      <c r="E1624" s="13" t="s">
        <v>4811</v>
      </c>
      <c r="F1624" s="373">
        <f t="shared" ref="F1624:F1687" si="696">M1624</f>
        <v>23.67</v>
      </c>
      <c r="G1624" s="430">
        <v>23.67</v>
      </c>
      <c r="H1624" s="399">
        <f t="shared" ref="H1624:H1687" si="697">IF(ISNUMBER(G1624),ROUND(0.8*G1624,2),"")</f>
        <v>18.940000000000001</v>
      </c>
      <c r="I1624" s="576"/>
      <c r="J1624" s="549" t="s">
        <v>5804</v>
      </c>
      <c r="K1624" s="11"/>
      <c r="L1624"/>
      <c r="M1624" s="37">
        <f t="shared" ref="M1624:M1687" si="698">N1624+SUMIF(O1624:AG1624,"x",O$1559:AG$1559)</f>
        <v>23.67</v>
      </c>
      <c r="N1624" s="29">
        <v>11.67</v>
      </c>
      <c r="O1624" s="149" t="s">
        <v>1017</v>
      </c>
      <c r="P1624" s="144"/>
      <c r="S1624" s="145" t="s">
        <v>4179</v>
      </c>
      <c r="T1624" s="145" t="s">
        <v>4179</v>
      </c>
      <c r="U1624" s="146" t="s">
        <v>1017</v>
      </c>
      <c r="W1624" s="147"/>
      <c r="X1624" s="147"/>
      <c r="AA1624" s="147"/>
      <c r="AB1624" s="145" t="s">
        <v>1017</v>
      </c>
      <c r="AD1624" s="147"/>
      <c r="AE1624" s="148"/>
      <c r="AF1624" s="147"/>
      <c r="AG1624" s="147"/>
      <c r="AH1624" s="166" t="str">
        <f t="shared" si="695"/>
        <v/>
      </c>
      <c r="AI1624" s="168" t="str">
        <f t="shared" si="690"/>
        <v/>
      </c>
      <c r="AJ1624" s="168" t="str">
        <f t="shared" si="691"/>
        <v/>
      </c>
      <c r="AK1624" s="168" t="str">
        <f t="shared" si="692"/>
        <v/>
      </c>
      <c r="AL1624" s="168" t="str">
        <f t="shared" si="693"/>
        <v/>
      </c>
      <c r="AM1624" s="168" t="str">
        <f t="shared" si="694"/>
        <v/>
      </c>
      <c r="AN1624" s="167" t="str">
        <f t="shared" si="677"/>
        <v/>
      </c>
      <c r="AO1624" s="167" t="str">
        <f t="shared" si="678"/>
        <v/>
      </c>
      <c r="AP1624" s="167" t="str">
        <f t="shared" si="679"/>
        <v/>
      </c>
      <c r="AQ1624" s="169" t="str">
        <f t="shared" si="680"/>
        <v/>
      </c>
      <c r="AR1624" s="170" t="str">
        <f t="shared" si="681"/>
        <v>BiK81LKWKy--07</v>
      </c>
      <c r="AS1624" s="169" t="str">
        <f t="shared" si="682"/>
        <v/>
      </c>
      <c r="AT1624">
        <f t="shared" si="683"/>
        <v>14</v>
      </c>
      <c r="AU1624" s="170" t="str">
        <f t="shared" si="684"/>
        <v>0-0,15 MW, Bonusregeln L, y und KWK</v>
      </c>
      <c r="AV1624" s="169" t="str">
        <f t="shared" si="685"/>
        <v/>
      </c>
      <c r="AW1624" s="170" t="str">
        <f t="shared" si="686"/>
        <v>Anteil KWK</v>
      </c>
      <c r="AX1624" s="169" t="str">
        <f t="shared" si="687"/>
        <v/>
      </c>
      <c r="AY1624" t="str">
        <f t="shared" si="688"/>
        <v/>
      </c>
      <c r="AZ1624" t="str">
        <f t="shared" si="689"/>
        <v/>
      </c>
    </row>
    <row r="1625" spans="1:52" s="145" customFormat="1" x14ac:dyDescent="0.35">
      <c r="A1625" s="497" t="s">
        <v>4455</v>
      </c>
      <c r="B1625" s="13" t="s">
        <v>5547</v>
      </c>
      <c r="C1625" s="13" t="s">
        <v>1304</v>
      </c>
      <c r="D1625" s="88" t="s">
        <v>6836</v>
      </c>
      <c r="E1625" s="13" t="s">
        <v>4330</v>
      </c>
      <c r="F1625" s="373">
        <f t="shared" si="696"/>
        <v>24.67</v>
      </c>
      <c r="G1625" s="430">
        <v>24.67</v>
      </c>
      <c r="H1625" s="399">
        <f t="shared" si="697"/>
        <v>19.739999999999998</v>
      </c>
      <c r="I1625" s="576"/>
      <c r="J1625" s="549" t="s">
        <v>5804</v>
      </c>
      <c r="K1625" s="11"/>
      <c r="L1625"/>
      <c r="M1625" s="37">
        <f t="shared" si="698"/>
        <v>24.67</v>
      </c>
      <c r="N1625" s="29">
        <v>11.67</v>
      </c>
      <c r="O1625" s="149"/>
      <c r="P1625" s="145" t="s">
        <v>1017</v>
      </c>
      <c r="S1625" s="145" t="s">
        <v>4179</v>
      </c>
      <c r="T1625" s="145" t="s">
        <v>4179</v>
      </c>
      <c r="U1625" s="146" t="s">
        <v>1017</v>
      </c>
      <c r="W1625" s="147"/>
      <c r="X1625" s="147"/>
      <c r="AA1625" s="147"/>
      <c r="AB1625" s="145" t="s">
        <v>1017</v>
      </c>
      <c r="AD1625" s="147"/>
      <c r="AE1625" s="148"/>
      <c r="AF1625" s="147"/>
      <c r="AG1625" s="147"/>
      <c r="AH1625" s="166" t="str">
        <f t="shared" si="695"/>
        <v/>
      </c>
      <c r="AI1625" s="168" t="str">
        <f t="shared" si="690"/>
        <v/>
      </c>
      <c r="AJ1625" s="168" t="str">
        <f t="shared" si="691"/>
        <v/>
      </c>
      <c r="AK1625" s="168" t="str">
        <f t="shared" si="692"/>
        <v/>
      </c>
      <c r="AL1625" s="168" t="str">
        <f t="shared" si="693"/>
        <v/>
      </c>
      <c r="AM1625" s="168" t="str">
        <f t="shared" si="694"/>
        <v/>
      </c>
      <c r="AN1625" s="167" t="str">
        <f t="shared" si="677"/>
        <v/>
      </c>
      <c r="AO1625" s="167" t="str">
        <f t="shared" si="678"/>
        <v/>
      </c>
      <c r="AP1625" s="167" t="str">
        <f t="shared" si="679"/>
        <v/>
      </c>
      <c r="AQ1625" s="169" t="str">
        <f t="shared" si="680"/>
        <v/>
      </c>
      <c r="AR1625" s="170" t="str">
        <f t="shared" si="681"/>
        <v>BiK81LKA3y--07</v>
      </c>
      <c r="AS1625" s="169" t="str">
        <f t="shared" si="682"/>
        <v/>
      </c>
      <c r="AT1625">
        <f t="shared" si="683"/>
        <v>14</v>
      </c>
      <c r="AU1625" s="170" t="str">
        <f t="shared" si="684"/>
        <v>0-0,15 MW, Bonusregeln L, y und K wenn Anlage 3 erfüllt</v>
      </c>
      <c r="AV1625" s="169" t="str">
        <f t="shared" si="685"/>
        <v/>
      </c>
      <c r="AW1625" s="170" t="str">
        <f t="shared" si="686"/>
        <v>Anteil KWK gemäß Anlage 3</v>
      </c>
      <c r="AX1625" s="169" t="str">
        <f t="shared" si="687"/>
        <v/>
      </c>
      <c r="AY1625" t="str">
        <f t="shared" si="688"/>
        <v/>
      </c>
      <c r="AZ1625" t="str">
        <f t="shared" si="689"/>
        <v/>
      </c>
    </row>
    <row r="1626" spans="1:52" s="145" customFormat="1" x14ac:dyDescent="0.35">
      <c r="A1626" s="497" t="s">
        <v>4456</v>
      </c>
      <c r="B1626" s="13" t="s">
        <v>5547</v>
      </c>
      <c r="C1626" s="13" t="s">
        <v>1304</v>
      </c>
      <c r="D1626" s="13" t="s">
        <v>6837</v>
      </c>
      <c r="E1626" s="13" t="s">
        <v>674</v>
      </c>
      <c r="F1626" s="373">
        <f t="shared" si="696"/>
        <v>24.67</v>
      </c>
      <c r="G1626" s="430">
        <v>24.67</v>
      </c>
      <c r="H1626" s="399">
        <f t="shared" si="697"/>
        <v>19.739999999999998</v>
      </c>
      <c r="I1626" s="576"/>
      <c r="J1626" s="549" t="s">
        <v>5804</v>
      </c>
      <c r="K1626" s="11"/>
      <c r="L1626"/>
      <c r="M1626" s="37">
        <f t="shared" si="698"/>
        <v>24.67</v>
      </c>
      <c r="N1626" s="29">
        <v>11.67</v>
      </c>
      <c r="O1626" s="149"/>
      <c r="P1626" s="144"/>
      <c r="Q1626" s="145" t="s">
        <v>1017</v>
      </c>
      <c r="S1626" s="145" t="s">
        <v>4179</v>
      </c>
      <c r="T1626" s="145" t="s">
        <v>4179</v>
      </c>
      <c r="U1626" s="146" t="s">
        <v>1017</v>
      </c>
      <c r="W1626" s="147"/>
      <c r="X1626" s="147"/>
      <c r="AA1626" s="147"/>
      <c r="AB1626" s="145" t="s">
        <v>1017</v>
      </c>
      <c r="AD1626" s="147"/>
      <c r="AE1626" s="148"/>
      <c r="AF1626" s="147"/>
      <c r="AG1626" s="147"/>
      <c r="AH1626" s="166" t="str">
        <f t="shared" si="695"/>
        <v/>
      </c>
      <c r="AI1626" s="168" t="str">
        <f t="shared" si="690"/>
        <v/>
      </c>
      <c r="AJ1626" s="168" t="str">
        <f t="shared" si="691"/>
        <v/>
      </c>
      <c r="AK1626" s="168" t="str">
        <f t="shared" si="692"/>
        <v/>
      </c>
      <c r="AL1626" s="168" t="str">
        <f t="shared" si="693"/>
        <v/>
      </c>
      <c r="AM1626" s="168" t="str">
        <f t="shared" si="694"/>
        <v/>
      </c>
      <c r="AN1626" s="167" t="str">
        <f t="shared" si="677"/>
        <v/>
      </c>
      <c r="AO1626" s="167" t="str">
        <f t="shared" si="678"/>
        <v/>
      </c>
      <c r="AP1626" s="167" t="str">
        <f t="shared" si="679"/>
        <v/>
      </c>
      <c r="AQ1626" s="169" t="str">
        <f t="shared" si="680"/>
        <v/>
      </c>
      <c r="AR1626" s="170" t="str">
        <f t="shared" si="681"/>
        <v>BiK81LK09y--07</v>
      </c>
      <c r="AS1626" s="169" t="str">
        <f t="shared" si="682"/>
        <v/>
      </c>
      <c r="AT1626">
        <f t="shared" si="683"/>
        <v>14</v>
      </c>
      <c r="AU1626" s="170" t="str">
        <f t="shared" si="684"/>
        <v>0-0,15 MW, Bonusregeln L, y und K erstmals 2009</v>
      </c>
      <c r="AV1626" s="169" t="str">
        <f t="shared" si="685"/>
        <v/>
      </c>
      <c r="AW1626" s="170" t="str">
        <f t="shared" si="686"/>
        <v>Anteil KWK, erstmals 2009</v>
      </c>
      <c r="AX1626" s="169" t="str">
        <f t="shared" si="687"/>
        <v/>
      </c>
      <c r="AY1626" t="str">
        <f t="shared" si="688"/>
        <v/>
      </c>
      <c r="AZ1626" t="str">
        <f t="shared" si="689"/>
        <v/>
      </c>
    </row>
    <row r="1627" spans="1:52" s="145" customFormat="1" x14ac:dyDescent="0.35">
      <c r="A1627" s="497" t="s">
        <v>4949</v>
      </c>
      <c r="B1627" s="13" t="s">
        <v>5547</v>
      </c>
      <c r="C1627" s="13" t="s">
        <v>1304</v>
      </c>
      <c r="D1627" s="13" t="s">
        <v>6838</v>
      </c>
      <c r="E1627" s="13" t="s">
        <v>3566</v>
      </c>
      <c r="F1627" s="373">
        <f t="shared" si="696"/>
        <v>24.64</v>
      </c>
      <c r="G1627" s="430">
        <v>24.64</v>
      </c>
      <c r="H1627" s="399">
        <f t="shared" si="697"/>
        <v>19.71</v>
      </c>
      <c r="I1627" s="576"/>
      <c r="J1627" s="549" t="s">
        <v>5804</v>
      </c>
      <c r="K1627" s="11"/>
      <c r="L1627"/>
      <c r="M1627" s="37">
        <f t="shared" si="698"/>
        <v>24.64</v>
      </c>
      <c r="N1627" s="29">
        <v>11.67</v>
      </c>
      <c r="O1627" s="149"/>
      <c r="P1627" s="144"/>
      <c r="R1627" s="145" t="s">
        <v>1017</v>
      </c>
      <c r="S1627" s="145" t="s">
        <v>4179</v>
      </c>
      <c r="T1627" s="145" t="s">
        <v>4179</v>
      </c>
      <c r="U1627" s="146" t="s">
        <v>1017</v>
      </c>
      <c r="W1627" s="147"/>
      <c r="X1627" s="147"/>
      <c r="AA1627" s="147"/>
      <c r="AB1627" s="145" t="s">
        <v>1017</v>
      </c>
      <c r="AD1627" s="147"/>
      <c r="AE1627" s="148"/>
      <c r="AF1627" s="147"/>
      <c r="AG1627" s="147"/>
      <c r="AH1627" s="166" t="str">
        <f t="shared" si="695"/>
        <v>2010</v>
      </c>
      <c r="AI1627" s="168" t="str">
        <f t="shared" si="690"/>
        <v/>
      </c>
      <c r="AJ1627" s="168" t="str">
        <f t="shared" si="691"/>
        <v/>
      </c>
      <c r="AK1627" s="168" t="str">
        <f t="shared" si="692"/>
        <v/>
      </c>
      <c r="AL1627" s="168" t="str">
        <f t="shared" si="693"/>
        <v/>
      </c>
      <c r="AM1627" s="168" t="str">
        <f t="shared" si="694"/>
        <v/>
      </c>
      <c r="AN1627" s="167" t="str">
        <f t="shared" si="677"/>
        <v>2010</v>
      </c>
      <c r="AO1627" s="167" t="str">
        <f t="shared" si="678"/>
        <v>2010</v>
      </c>
      <c r="AP1627" s="167" t="str">
        <f t="shared" si="679"/>
        <v>2010</v>
      </c>
      <c r="AQ1627" s="169" t="str">
        <f t="shared" si="680"/>
        <v/>
      </c>
      <c r="AR1627" s="170" t="str">
        <f t="shared" si="681"/>
        <v>BiK81LK10y--07</v>
      </c>
      <c r="AS1627" s="169" t="str">
        <f t="shared" si="682"/>
        <v/>
      </c>
      <c r="AT1627">
        <f t="shared" si="683"/>
        <v>14</v>
      </c>
      <c r="AU1627" s="170" t="str">
        <f t="shared" si="684"/>
        <v>0-0,15 MW, Bonusregeln L, y und K erstmals 2010</v>
      </c>
      <c r="AV1627" s="169" t="str">
        <f t="shared" si="685"/>
        <v/>
      </c>
      <c r="AW1627" s="170" t="str">
        <f t="shared" si="686"/>
        <v>Anteil KWK, erstmals 2010</v>
      </c>
      <c r="AX1627" s="169" t="str">
        <f t="shared" si="687"/>
        <v/>
      </c>
      <c r="AY1627" t="str">
        <f t="shared" si="688"/>
        <v/>
      </c>
      <c r="AZ1627" t="str">
        <f t="shared" si="689"/>
        <v/>
      </c>
    </row>
    <row r="1628" spans="1:52" s="145" customFormat="1" x14ac:dyDescent="0.35">
      <c r="A1628" s="497" t="s">
        <v>3996</v>
      </c>
      <c r="B1628" s="13" t="s">
        <v>5547</v>
      </c>
      <c r="C1628" s="13" t="s">
        <v>1304</v>
      </c>
      <c r="D1628" s="13" t="s">
        <v>6839</v>
      </c>
      <c r="E1628" s="13" t="s">
        <v>3054</v>
      </c>
      <c r="F1628" s="373">
        <f t="shared" si="696"/>
        <v>24.61</v>
      </c>
      <c r="G1628" s="430">
        <v>24.61</v>
      </c>
      <c r="H1628" s="399">
        <f t="shared" si="697"/>
        <v>19.690000000000001</v>
      </c>
      <c r="I1628" s="576"/>
      <c r="J1628" s="549" t="s">
        <v>5804</v>
      </c>
      <c r="K1628" s="11"/>
      <c r="L1628"/>
      <c r="M1628" s="37">
        <f t="shared" si="698"/>
        <v>24.61</v>
      </c>
      <c r="N1628" s="29">
        <v>11.67</v>
      </c>
      <c r="O1628" s="149"/>
      <c r="P1628" s="144"/>
      <c r="S1628" s="145" t="s">
        <v>1017</v>
      </c>
      <c r="T1628" s="145" t="s">
        <v>4179</v>
      </c>
      <c r="U1628" s="146" t="s">
        <v>1017</v>
      </c>
      <c r="W1628" s="147"/>
      <c r="X1628" s="147"/>
      <c r="AA1628" s="147"/>
      <c r="AB1628" s="145" t="s">
        <v>1017</v>
      </c>
      <c r="AD1628" s="147"/>
      <c r="AE1628" s="148"/>
      <c r="AF1628" s="147"/>
      <c r="AG1628" s="147"/>
      <c r="AH1628" s="166" t="str">
        <f t="shared" si="695"/>
        <v>2011</v>
      </c>
      <c r="AI1628" s="168" t="str">
        <f t="shared" si="690"/>
        <v/>
      </c>
      <c r="AJ1628" s="168" t="str">
        <f t="shared" si="691"/>
        <v/>
      </c>
      <c r="AK1628" s="168" t="str">
        <f t="shared" si="692"/>
        <v/>
      </c>
      <c r="AL1628" s="168" t="str">
        <f t="shared" si="693"/>
        <v/>
      </c>
      <c r="AM1628" s="168" t="str">
        <f t="shared" si="694"/>
        <v/>
      </c>
      <c r="AN1628" s="167" t="str">
        <f t="shared" si="677"/>
        <v>2011</v>
      </c>
      <c r="AO1628" s="167" t="str">
        <f t="shared" si="678"/>
        <v>2011</v>
      </c>
      <c r="AP1628" s="167" t="str">
        <f t="shared" si="679"/>
        <v>2011</v>
      </c>
      <c r="AQ1628" s="169" t="str">
        <f t="shared" si="680"/>
        <v/>
      </c>
      <c r="AR1628" s="170" t="str">
        <f t="shared" si="681"/>
        <v>BiK81LK11y--07</v>
      </c>
      <c r="AS1628" s="169" t="str">
        <f t="shared" si="682"/>
        <v/>
      </c>
      <c r="AT1628">
        <f t="shared" si="683"/>
        <v>14</v>
      </c>
      <c r="AU1628" s="170" t="str">
        <f t="shared" si="684"/>
        <v>0-0,15 MW, Bonusregeln L, y und K erstmals 2011</v>
      </c>
      <c r="AV1628" s="169" t="str">
        <f t="shared" si="685"/>
        <v/>
      </c>
      <c r="AW1628" s="170" t="str">
        <f t="shared" si="686"/>
        <v>Anteil KWK, erstmals 2011</v>
      </c>
      <c r="AX1628" s="169" t="str">
        <f t="shared" si="687"/>
        <v/>
      </c>
      <c r="AY1628" t="str">
        <f t="shared" si="688"/>
        <v>x</v>
      </c>
      <c r="AZ1628" t="str">
        <f t="shared" si="689"/>
        <v/>
      </c>
    </row>
    <row r="1629" spans="1:52" s="145" customFormat="1" x14ac:dyDescent="0.35">
      <c r="A1629" s="511" t="s">
        <v>1819</v>
      </c>
      <c r="B1629" s="173" t="s">
        <v>5547</v>
      </c>
      <c r="C1629" s="173" t="s">
        <v>1304</v>
      </c>
      <c r="D1629" s="173" t="s">
        <v>6840</v>
      </c>
      <c r="E1629" s="173" t="s">
        <v>1980</v>
      </c>
      <c r="F1629" s="374">
        <f t="shared" si="696"/>
        <v>24.58</v>
      </c>
      <c r="G1629" s="431">
        <v>24.58</v>
      </c>
      <c r="H1629" s="400">
        <f t="shared" si="697"/>
        <v>19.66</v>
      </c>
      <c r="I1629" s="577"/>
      <c r="J1629" s="549" t="s">
        <v>5804</v>
      </c>
      <c r="K1629" s="11"/>
      <c r="L1629"/>
      <c r="M1629" s="37">
        <f t="shared" si="698"/>
        <v>24.58</v>
      </c>
      <c r="N1629" s="29">
        <v>11.67</v>
      </c>
      <c r="O1629" s="149"/>
      <c r="P1629" s="144"/>
      <c r="S1629" s="145" t="s">
        <v>4179</v>
      </c>
      <c r="T1629" s="145" t="s">
        <v>1017</v>
      </c>
      <c r="U1629" s="146" t="s">
        <v>1017</v>
      </c>
      <c r="W1629" s="147"/>
      <c r="X1629" s="147"/>
      <c r="AA1629" s="147"/>
      <c r="AB1629" s="145" t="s">
        <v>1017</v>
      </c>
      <c r="AD1629" s="147"/>
      <c r="AE1629" s="148"/>
      <c r="AF1629" s="147"/>
      <c r="AG1629" s="147"/>
      <c r="AH1629" s="171" t="s">
        <v>4178</v>
      </c>
      <c r="AI1629" s="168" t="str">
        <f t="shared" si="690"/>
        <v/>
      </c>
      <c r="AJ1629" s="168" t="str">
        <f t="shared" si="691"/>
        <v/>
      </c>
      <c r="AK1629" s="168" t="str">
        <f t="shared" si="692"/>
        <v/>
      </c>
      <c r="AL1629" s="168" t="str">
        <f t="shared" si="693"/>
        <v/>
      </c>
      <c r="AM1629" s="168" t="str">
        <f t="shared" si="694"/>
        <v/>
      </c>
      <c r="AN1629" s="167" t="str">
        <f t="shared" si="677"/>
        <v>2012</v>
      </c>
      <c r="AO1629" s="167" t="str">
        <f t="shared" si="678"/>
        <v>2012</v>
      </c>
      <c r="AP1629" s="167" t="str">
        <f t="shared" si="679"/>
        <v>2012</v>
      </c>
      <c r="AQ1629" s="169" t="str">
        <f t="shared" si="680"/>
        <v/>
      </c>
      <c r="AR1629" s="170" t="str">
        <f t="shared" si="681"/>
        <v>BiK81LK12y--07</v>
      </c>
      <c r="AS1629" s="169" t="str">
        <f t="shared" si="682"/>
        <v/>
      </c>
      <c r="AT1629">
        <f t="shared" si="683"/>
        <v>14</v>
      </c>
      <c r="AU1629" s="170" t="str">
        <f t="shared" si="684"/>
        <v>0-0,15 MW, Bonusregeln L, y und K erstmals 2012</v>
      </c>
      <c r="AV1629" s="169" t="str">
        <f t="shared" si="685"/>
        <v/>
      </c>
      <c r="AW1629" s="170" t="str">
        <f t="shared" si="686"/>
        <v>Anteil KWK, erstmals 2012</v>
      </c>
      <c r="AX1629" s="169" t="str">
        <f t="shared" si="687"/>
        <v/>
      </c>
      <c r="AY1629" t="str">
        <f t="shared" si="688"/>
        <v/>
      </c>
      <c r="AZ1629" t="str">
        <f t="shared" si="689"/>
        <v>x</v>
      </c>
    </row>
    <row r="1630" spans="1:52" s="145" customFormat="1" x14ac:dyDescent="0.35">
      <c r="A1630" s="497" t="s">
        <v>4457</v>
      </c>
      <c r="B1630" s="13" t="s">
        <v>5547</v>
      </c>
      <c r="C1630" s="13" t="s">
        <v>1304</v>
      </c>
      <c r="D1630" s="13" t="s">
        <v>6841</v>
      </c>
      <c r="E1630" s="13" t="s">
        <v>4809</v>
      </c>
      <c r="F1630" s="373">
        <f t="shared" si="696"/>
        <v>24.67</v>
      </c>
      <c r="G1630" s="430">
        <v>24.67</v>
      </c>
      <c r="H1630" s="399">
        <f t="shared" si="697"/>
        <v>19.739999999999998</v>
      </c>
      <c r="I1630" s="576"/>
      <c r="J1630" s="549" t="s">
        <v>5804</v>
      </c>
      <c r="K1630" s="11"/>
      <c r="L1630"/>
      <c r="M1630" s="37">
        <f t="shared" si="698"/>
        <v>24.67</v>
      </c>
      <c r="N1630" s="29">
        <v>11.67</v>
      </c>
      <c r="O1630" s="149"/>
      <c r="P1630" s="144"/>
      <c r="S1630" s="145" t="s">
        <v>4179</v>
      </c>
      <c r="T1630" s="145" t="s">
        <v>4179</v>
      </c>
      <c r="U1630" s="146"/>
      <c r="W1630" s="147"/>
      <c r="X1630" s="147"/>
      <c r="AA1630" s="147"/>
      <c r="AC1630" s="145" t="s">
        <v>1017</v>
      </c>
      <c r="AD1630" s="147"/>
      <c r="AE1630" s="148"/>
      <c r="AF1630" s="147"/>
      <c r="AG1630" s="147"/>
      <c r="AH1630" s="166" t="str">
        <f t="shared" ref="AH1630:AH1635" si="699">IF(ISERROR(SEARCH("K erstmals 201",D1630)),"",RIGHT(D1630,4))</f>
        <v/>
      </c>
      <c r="AI1630" s="168" t="str">
        <f t="shared" si="690"/>
        <v/>
      </c>
      <c r="AJ1630" s="168" t="str">
        <f t="shared" si="691"/>
        <v/>
      </c>
      <c r="AK1630" s="168" t="str">
        <f t="shared" si="692"/>
        <v/>
      </c>
      <c r="AL1630" s="168" t="str">
        <f t="shared" si="693"/>
        <v/>
      </c>
      <c r="AM1630" s="168" t="str">
        <f t="shared" si="694"/>
        <v/>
      </c>
      <c r="AN1630" s="167" t="str">
        <f t="shared" si="677"/>
        <v/>
      </c>
      <c r="AO1630" s="167" t="str">
        <f t="shared" si="678"/>
        <v/>
      </c>
      <c r="AP1630" s="167" t="str">
        <f t="shared" si="679"/>
        <v/>
      </c>
      <c r="AQ1630" s="169" t="str">
        <f t="shared" si="680"/>
        <v/>
      </c>
      <c r="AR1630" s="170" t="str">
        <f t="shared" si="681"/>
        <v>BiK81X1-----07</v>
      </c>
      <c r="AS1630" s="169" t="str">
        <f t="shared" si="682"/>
        <v/>
      </c>
      <c r="AT1630">
        <f t="shared" si="683"/>
        <v>14</v>
      </c>
      <c r="AU1630" s="170" t="str">
        <f t="shared" si="684"/>
        <v>0-0,15 MW, Bonusregel X1</v>
      </c>
      <c r="AV1630" s="169" t="str">
        <f t="shared" si="685"/>
        <v/>
      </c>
      <c r="AW1630" s="170" t="str">
        <f t="shared" si="686"/>
        <v>Anteil Nicht-KWK</v>
      </c>
      <c r="AX1630" s="169" t="str">
        <f t="shared" si="687"/>
        <v/>
      </c>
      <c r="AY1630" t="str">
        <f t="shared" si="688"/>
        <v/>
      </c>
      <c r="AZ1630" t="str">
        <f t="shared" si="689"/>
        <v/>
      </c>
    </row>
    <row r="1631" spans="1:52" s="145" customFormat="1" x14ac:dyDescent="0.35">
      <c r="A1631" s="497" t="s">
        <v>4458</v>
      </c>
      <c r="B1631" s="13" t="s">
        <v>5547</v>
      </c>
      <c r="C1631" s="13" t="s">
        <v>1304</v>
      </c>
      <c r="D1631" s="13" t="s">
        <v>6900</v>
      </c>
      <c r="E1631" s="13" t="s">
        <v>4811</v>
      </c>
      <c r="F1631" s="373">
        <f t="shared" si="696"/>
        <v>26.67</v>
      </c>
      <c r="G1631" s="430">
        <v>26.67</v>
      </c>
      <c r="H1631" s="399">
        <f t="shared" si="697"/>
        <v>21.34</v>
      </c>
      <c r="I1631" s="576"/>
      <c r="J1631" s="549" t="s">
        <v>5804</v>
      </c>
      <c r="K1631" s="11"/>
      <c r="L1631"/>
      <c r="M1631" s="37">
        <f t="shared" si="698"/>
        <v>26.67</v>
      </c>
      <c r="N1631" s="29">
        <v>11.67</v>
      </c>
      <c r="O1631" s="149" t="s">
        <v>1017</v>
      </c>
      <c r="P1631" s="144"/>
      <c r="S1631" s="145" t="s">
        <v>4179</v>
      </c>
      <c r="T1631" s="145" t="s">
        <v>4179</v>
      </c>
      <c r="U1631" s="146"/>
      <c r="W1631" s="147"/>
      <c r="X1631" s="147"/>
      <c r="AA1631" s="147"/>
      <c r="AC1631" s="145" t="s">
        <v>1017</v>
      </c>
      <c r="AD1631" s="147"/>
      <c r="AE1631" s="148"/>
      <c r="AF1631" s="147"/>
      <c r="AG1631" s="147"/>
      <c r="AH1631" s="166" t="str">
        <f t="shared" si="699"/>
        <v/>
      </c>
      <c r="AI1631" s="168" t="str">
        <f t="shared" si="690"/>
        <v/>
      </c>
      <c r="AJ1631" s="168" t="str">
        <f t="shared" si="691"/>
        <v/>
      </c>
      <c r="AK1631" s="168" t="str">
        <f t="shared" si="692"/>
        <v/>
      </c>
      <c r="AL1631" s="168" t="str">
        <f t="shared" si="693"/>
        <v/>
      </c>
      <c r="AM1631" s="168" t="str">
        <f t="shared" si="694"/>
        <v/>
      </c>
      <c r="AN1631" s="167" t="str">
        <f t="shared" si="677"/>
        <v/>
      </c>
      <c r="AO1631" s="167" t="str">
        <f t="shared" si="678"/>
        <v/>
      </c>
      <c r="AP1631" s="167" t="str">
        <f t="shared" si="679"/>
        <v/>
      </c>
      <c r="AQ1631" s="169" t="str">
        <f t="shared" si="680"/>
        <v/>
      </c>
      <c r="AR1631" s="170" t="str">
        <f t="shared" si="681"/>
        <v>BiK81X1KWK--07</v>
      </c>
      <c r="AS1631" s="169" t="str">
        <f t="shared" si="682"/>
        <v/>
      </c>
      <c r="AT1631">
        <f t="shared" si="683"/>
        <v>14</v>
      </c>
      <c r="AU1631" s="170" t="str">
        <f t="shared" si="684"/>
        <v>0-0,15 MW, Bonusregeln X1 und KWK</v>
      </c>
      <c r="AV1631" s="169" t="str">
        <f t="shared" si="685"/>
        <v/>
      </c>
      <c r="AW1631" s="170" t="str">
        <f t="shared" si="686"/>
        <v>Anteil KWK</v>
      </c>
      <c r="AX1631" s="169" t="str">
        <f t="shared" si="687"/>
        <v/>
      </c>
      <c r="AY1631" t="str">
        <f t="shared" si="688"/>
        <v/>
      </c>
      <c r="AZ1631" t="str">
        <f t="shared" si="689"/>
        <v/>
      </c>
    </row>
    <row r="1632" spans="1:52" s="145" customFormat="1" x14ac:dyDescent="0.35">
      <c r="A1632" s="497" t="s">
        <v>4459</v>
      </c>
      <c r="B1632" s="13" t="s">
        <v>5547</v>
      </c>
      <c r="C1632" s="13" t="s">
        <v>1304</v>
      </c>
      <c r="D1632" s="13" t="s">
        <v>6842</v>
      </c>
      <c r="E1632" s="13" t="s">
        <v>4330</v>
      </c>
      <c r="F1632" s="373">
        <f t="shared" si="696"/>
        <v>27.67</v>
      </c>
      <c r="G1632" s="430">
        <v>27.67</v>
      </c>
      <c r="H1632" s="399">
        <f t="shared" si="697"/>
        <v>22.14</v>
      </c>
      <c r="I1632" s="576"/>
      <c r="J1632" s="549" t="s">
        <v>5804</v>
      </c>
      <c r="K1632" s="11"/>
      <c r="L1632"/>
      <c r="M1632" s="37">
        <f t="shared" si="698"/>
        <v>27.67</v>
      </c>
      <c r="N1632" s="29">
        <v>11.67</v>
      </c>
      <c r="O1632" s="149"/>
      <c r="P1632" s="145" t="s">
        <v>1017</v>
      </c>
      <c r="S1632" s="145" t="s">
        <v>4179</v>
      </c>
      <c r="T1632" s="145" t="s">
        <v>4179</v>
      </c>
      <c r="U1632" s="146"/>
      <c r="W1632" s="147"/>
      <c r="X1632" s="147"/>
      <c r="AA1632" s="147"/>
      <c r="AC1632" s="145" t="s">
        <v>1017</v>
      </c>
      <c r="AD1632" s="147"/>
      <c r="AE1632" s="148"/>
      <c r="AF1632" s="147"/>
      <c r="AG1632" s="147"/>
      <c r="AH1632" s="166" t="str">
        <f t="shared" si="699"/>
        <v/>
      </c>
      <c r="AI1632" s="168" t="str">
        <f t="shared" si="690"/>
        <v/>
      </c>
      <c r="AJ1632" s="168" t="str">
        <f t="shared" si="691"/>
        <v/>
      </c>
      <c r="AK1632" s="168" t="str">
        <f t="shared" si="692"/>
        <v/>
      </c>
      <c r="AL1632" s="168" t="str">
        <f t="shared" si="693"/>
        <v/>
      </c>
      <c r="AM1632" s="168" t="str">
        <f t="shared" si="694"/>
        <v/>
      </c>
      <c r="AN1632" s="167" t="str">
        <f t="shared" si="677"/>
        <v/>
      </c>
      <c r="AO1632" s="167" t="str">
        <f t="shared" si="678"/>
        <v/>
      </c>
      <c r="AP1632" s="167" t="str">
        <f t="shared" si="679"/>
        <v/>
      </c>
      <c r="AQ1632" s="169" t="str">
        <f t="shared" si="680"/>
        <v/>
      </c>
      <c r="AR1632" s="170" t="str">
        <f t="shared" si="681"/>
        <v>BiK81X1KA3--07</v>
      </c>
      <c r="AS1632" s="169" t="str">
        <f t="shared" si="682"/>
        <v/>
      </c>
      <c r="AT1632">
        <f t="shared" si="683"/>
        <v>14</v>
      </c>
      <c r="AU1632" s="170" t="str">
        <f t="shared" si="684"/>
        <v>0-0,15 MW, Bonusregeln X1 und K wenn Anlage 3 erfüllt</v>
      </c>
      <c r="AV1632" s="169" t="str">
        <f t="shared" si="685"/>
        <v/>
      </c>
      <c r="AW1632" s="170" t="str">
        <f t="shared" si="686"/>
        <v>Anteil KWK gemäß Anlage 3</v>
      </c>
      <c r="AX1632" s="169" t="str">
        <f t="shared" si="687"/>
        <v/>
      </c>
      <c r="AY1632" t="str">
        <f t="shared" si="688"/>
        <v/>
      </c>
      <c r="AZ1632" t="str">
        <f t="shared" si="689"/>
        <v/>
      </c>
    </row>
    <row r="1633" spans="1:52" s="145" customFormat="1" x14ac:dyDescent="0.35">
      <c r="A1633" s="497" t="s">
        <v>4460</v>
      </c>
      <c r="B1633" s="13" t="s">
        <v>5547</v>
      </c>
      <c r="C1633" s="13" t="s">
        <v>1304</v>
      </c>
      <c r="D1633" s="13" t="s">
        <v>6843</v>
      </c>
      <c r="E1633" s="13" t="s">
        <v>674</v>
      </c>
      <c r="F1633" s="373">
        <f t="shared" si="696"/>
        <v>27.67</v>
      </c>
      <c r="G1633" s="430">
        <v>27.67</v>
      </c>
      <c r="H1633" s="399">
        <f t="shared" si="697"/>
        <v>22.14</v>
      </c>
      <c r="I1633" s="576"/>
      <c r="J1633" s="549" t="s">
        <v>5804</v>
      </c>
      <c r="K1633" s="11"/>
      <c r="L1633"/>
      <c r="M1633" s="37">
        <f t="shared" si="698"/>
        <v>27.67</v>
      </c>
      <c r="N1633" s="29">
        <v>11.67</v>
      </c>
      <c r="O1633" s="149"/>
      <c r="P1633" s="144"/>
      <c r="Q1633" s="145" t="s">
        <v>1017</v>
      </c>
      <c r="S1633" s="145" t="s">
        <v>4179</v>
      </c>
      <c r="T1633" s="145" t="s">
        <v>4179</v>
      </c>
      <c r="U1633" s="146"/>
      <c r="W1633" s="147"/>
      <c r="X1633" s="147"/>
      <c r="AA1633" s="147"/>
      <c r="AC1633" s="145" t="s">
        <v>1017</v>
      </c>
      <c r="AD1633" s="147"/>
      <c r="AE1633" s="148"/>
      <c r="AF1633" s="147"/>
      <c r="AG1633" s="147"/>
      <c r="AH1633" s="166" t="str">
        <f t="shared" si="699"/>
        <v/>
      </c>
      <c r="AI1633" s="168" t="str">
        <f t="shared" si="690"/>
        <v/>
      </c>
      <c r="AJ1633" s="168" t="str">
        <f t="shared" si="691"/>
        <v/>
      </c>
      <c r="AK1633" s="168" t="str">
        <f t="shared" si="692"/>
        <v/>
      </c>
      <c r="AL1633" s="168" t="str">
        <f t="shared" si="693"/>
        <v/>
      </c>
      <c r="AM1633" s="168" t="str">
        <f t="shared" si="694"/>
        <v/>
      </c>
      <c r="AN1633" s="167" t="str">
        <f t="shared" si="677"/>
        <v/>
      </c>
      <c r="AO1633" s="167" t="str">
        <f t="shared" si="678"/>
        <v/>
      </c>
      <c r="AP1633" s="167" t="str">
        <f t="shared" si="679"/>
        <v/>
      </c>
      <c r="AQ1633" s="169" t="str">
        <f t="shared" si="680"/>
        <v/>
      </c>
      <c r="AR1633" s="170" t="str">
        <f t="shared" si="681"/>
        <v>BiK81X1K09--07</v>
      </c>
      <c r="AS1633" s="169" t="str">
        <f t="shared" si="682"/>
        <v/>
      </c>
      <c r="AT1633">
        <f t="shared" si="683"/>
        <v>14</v>
      </c>
      <c r="AU1633" s="170" t="str">
        <f t="shared" si="684"/>
        <v>0-0,15 MW, Bonusregeln X1 und K erstmals 2009</v>
      </c>
      <c r="AV1633" s="169" t="str">
        <f t="shared" si="685"/>
        <v/>
      </c>
      <c r="AW1633" s="170" t="str">
        <f t="shared" si="686"/>
        <v>Anteil KWK, erstmals 2009</v>
      </c>
      <c r="AX1633" s="169" t="str">
        <f t="shared" si="687"/>
        <v/>
      </c>
      <c r="AY1633" t="str">
        <f t="shared" si="688"/>
        <v/>
      </c>
      <c r="AZ1633" t="str">
        <f t="shared" si="689"/>
        <v/>
      </c>
    </row>
    <row r="1634" spans="1:52" s="145" customFormat="1" x14ac:dyDescent="0.35">
      <c r="A1634" s="497" t="s">
        <v>4950</v>
      </c>
      <c r="B1634" s="13" t="s">
        <v>5547</v>
      </c>
      <c r="C1634" s="13" t="s">
        <v>1304</v>
      </c>
      <c r="D1634" s="13" t="s">
        <v>6844</v>
      </c>
      <c r="E1634" s="13" t="s">
        <v>3566</v>
      </c>
      <c r="F1634" s="373">
        <f t="shared" si="696"/>
        <v>27.64</v>
      </c>
      <c r="G1634" s="430">
        <v>27.64</v>
      </c>
      <c r="H1634" s="399">
        <f t="shared" si="697"/>
        <v>22.11</v>
      </c>
      <c r="I1634" s="576"/>
      <c r="J1634" s="549" t="s">
        <v>5804</v>
      </c>
      <c r="K1634" s="11"/>
      <c r="L1634"/>
      <c r="M1634" s="37">
        <f t="shared" si="698"/>
        <v>27.64</v>
      </c>
      <c r="N1634" s="29">
        <v>11.67</v>
      </c>
      <c r="O1634" s="149"/>
      <c r="P1634" s="144"/>
      <c r="R1634" s="145" t="s">
        <v>1017</v>
      </c>
      <c r="S1634" s="145" t="s">
        <v>4179</v>
      </c>
      <c r="T1634" s="145" t="s">
        <v>4179</v>
      </c>
      <c r="U1634" s="146"/>
      <c r="W1634" s="147"/>
      <c r="X1634" s="147"/>
      <c r="AA1634" s="147"/>
      <c r="AC1634" s="145" t="s">
        <v>1017</v>
      </c>
      <c r="AD1634" s="147"/>
      <c r="AE1634" s="148"/>
      <c r="AF1634" s="147"/>
      <c r="AG1634" s="147"/>
      <c r="AH1634" s="166" t="str">
        <f t="shared" si="699"/>
        <v>2010</v>
      </c>
      <c r="AI1634" s="168" t="str">
        <f t="shared" si="690"/>
        <v/>
      </c>
      <c r="AJ1634" s="168" t="str">
        <f t="shared" si="691"/>
        <v/>
      </c>
      <c r="AK1634" s="168" t="str">
        <f t="shared" si="692"/>
        <v/>
      </c>
      <c r="AL1634" s="168" t="str">
        <f t="shared" si="693"/>
        <v/>
      </c>
      <c r="AM1634" s="168" t="str">
        <f t="shared" si="694"/>
        <v/>
      </c>
      <c r="AN1634" s="167" t="str">
        <f t="shared" si="677"/>
        <v>2010</v>
      </c>
      <c r="AO1634" s="167" t="str">
        <f t="shared" si="678"/>
        <v>2010</v>
      </c>
      <c r="AP1634" s="167" t="str">
        <f t="shared" si="679"/>
        <v>2010</v>
      </c>
      <c r="AQ1634" s="169" t="str">
        <f t="shared" si="680"/>
        <v/>
      </c>
      <c r="AR1634" s="170" t="str">
        <f t="shared" si="681"/>
        <v>BiK81X1K10--07</v>
      </c>
      <c r="AS1634" s="169" t="str">
        <f t="shared" si="682"/>
        <v/>
      </c>
      <c r="AT1634">
        <f t="shared" si="683"/>
        <v>14</v>
      </c>
      <c r="AU1634" s="170" t="str">
        <f t="shared" si="684"/>
        <v>0-0,15 MW, Bonusregeln X1 und K erstmals 2010</v>
      </c>
      <c r="AV1634" s="169" t="str">
        <f t="shared" si="685"/>
        <v/>
      </c>
      <c r="AW1634" s="170" t="str">
        <f t="shared" si="686"/>
        <v>Anteil KWK, erstmals 2010</v>
      </c>
      <c r="AX1634" s="169" t="str">
        <f t="shared" si="687"/>
        <v/>
      </c>
      <c r="AY1634" t="str">
        <f t="shared" si="688"/>
        <v/>
      </c>
      <c r="AZ1634" t="str">
        <f t="shared" si="689"/>
        <v/>
      </c>
    </row>
    <row r="1635" spans="1:52" s="145" customFormat="1" x14ac:dyDescent="0.35">
      <c r="A1635" s="497" t="s">
        <v>3997</v>
      </c>
      <c r="B1635" s="13" t="s">
        <v>5547</v>
      </c>
      <c r="C1635" s="13" t="s">
        <v>1304</v>
      </c>
      <c r="D1635" s="13" t="s">
        <v>6845</v>
      </c>
      <c r="E1635" s="13" t="s">
        <v>3054</v>
      </c>
      <c r="F1635" s="373">
        <f t="shared" si="696"/>
        <v>27.61</v>
      </c>
      <c r="G1635" s="430">
        <v>27.61</v>
      </c>
      <c r="H1635" s="399">
        <f t="shared" si="697"/>
        <v>22.09</v>
      </c>
      <c r="I1635" s="576"/>
      <c r="J1635" s="549" t="s">
        <v>5804</v>
      </c>
      <c r="K1635" s="11"/>
      <c r="L1635"/>
      <c r="M1635" s="37">
        <f t="shared" si="698"/>
        <v>27.61</v>
      </c>
      <c r="N1635" s="29">
        <v>11.67</v>
      </c>
      <c r="O1635" s="149"/>
      <c r="P1635" s="144"/>
      <c r="S1635" s="145" t="s">
        <v>1017</v>
      </c>
      <c r="T1635" s="145" t="s">
        <v>4179</v>
      </c>
      <c r="U1635" s="146"/>
      <c r="W1635" s="147"/>
      <c r="X1635" s="147"/>
      <c r="AA1635" s="147"/>
      <c r="AC1635" s="145" t="s">
        <v>1017</v>
      </c>
      <c r="AD1635" s="147"/>
      <c r="AE1635" s="148"/>
      <c r="AF1635" s="147"/>
      <c r="AG1635" s="147"/>
      <c r="AH1635" s="166" t="str">
        <f t="shared" si="699"/>
        <v>2011</v>
      </c>
      <c r="AI1635" s="168" t="str">
        <f t="shared" si="690"/>
        <v/>
      </c>
      <c r="AJ1635" s="168" t="str">
        <f t="shared" si="691"/>
        <v/>
      </c>
      <c r="AK1635" s="168" t="str">
        <f t="shared" si="692"/>
        <v/>
      </c>
      <c r="AL1635" s="168" t="str">
        <f t="shared" si="693"/>
        <v/>
      </c>
      <c r="AM1635" s="168" t="str">
        <f t="shared" si="694"/>
        <v/>
      </c>
      <c r="AN1635" s="167" t="str">
        <f t="shared" si="677"/>
        <v>2011</v>
      </c>
      <c r="AO1635" s="167" t="str">
        <f t="shared" si="678"/>
        <v>2011</v>
      </c>
      <c r="AP1635" s="167" t="str">
        <f t="shared" si="679"/>
        <v>2011</v>
      </c>
      <c r="AQ1635" s="169" t="str">
        <f t="shared" si="680"/>
        <v/>
      </c>
      <c r="AR1635" s="170" t="str">
        <f t="shared" si="681"/>
        <v>BiK81X1K11--07</v>
      </c>
      <c r="AS1635" s="169" t="str">
        <f t="shared" si="682"/>
        <v/>
      </c>
      <c r="AT1635">
        <f t="shared" si="683"/>
        <v>14</v>
      </c>
      <c r="AU1635" s="170" t="str">
        <f t="shared" si="684"/>
        <v>0-0,15 MW, Bonusregeln X1 und K erstmals 2011</v>
      </c>
      <c r="AV1635" s="169" t="str">
        <f t="shared" si="685"/>
        <v/>
      </c>
      <c r="AW1635" s="170" t="str">
        <f t="shared" si="686"/>
        <v>Anteil KWK, erstmals 2011</v>
      </c>
      <c r="AX1635" s="169" t="str">
        <f t="shared" si="687"/>
        <v/>
      </c>
      <c r="AY1635" t="str">
        <f t="shared" si="688"/>
        <v>x</v>
      </c>
      <c r="AZ1635" t="str">
        <f t="shared" si="689"/>
        <v/>
      </c>
    </row>
    <row r="1636" spans="1:52" s="145" customFormat="1" x14ac:dyDescent="0.35">
      <c r="A1636" s="511" t="s">
        <v>1820</v>
      </c>
      <c r="B1636" s="173" t="s">
        <v>5547</v>
      </c>
      <c r="C1636" s="173" t="s">
        <v>1304</v>
      </c>
      <c r="D1636" s="173" t="s">
        <v>6846</v>
      </c>
      <c r="E1636" s="173" t="s">
        <v>1980</v>
      </c>
      <c r="F1636" s="374">
        <f t="shared" si="696"/>
        <v>27.58</v>
      </c>
      <c r="G1636" s="431">
        <v>27.58</v>
      </c>
      <c r="H1636" s="400">
        <f t="shared" si="697"/>
        <v>22.06</v>
      </c>
      <c r="I1636" s="577"/>
      <c r="J1636" s="549" t="s">
        <v>5804</v>
      </c>
      <c r="K1636" s="11"/>
      <c r="L1636"/>
      <c r="M1636" s="37">
        <f t="shared" si="698"/>
        <v>27.58</v>
      </c>
      <c r="N1636" s="29">
        <v>11.67</v>
      </c>
      <c r="O1636" s="149"/>
      <c r="P1636" s="144"/>
      <c r="S1636" s="145" t="s">
        <v>4179</v>
      </c>
      <c r="T1636" s="145" t="s">
        <v>1017</v>
      </c>
      <c r="U1636" s="146"/>
      <c r="W1636" s="147"/>
      <c r="X1636" s="147"/>
      <c r="AA1636" s="147"/>
      <c r="AC1636" s="145" t="s">
        <v>1017</v>
      </c>
      <c r="AD1636" s="147"/>
      <c r="AE1636" s="148"/>
      <c r="AF1636" s="147"/>
      <c r="AG1636" s="147"/>
      <c r="AH1636" s="171" t="s">
        <v>4178</v>
      </c>
      <c r="AI1636" s="168" t="str">
        <f t="shared" si="690"/>
        <v/>
      </c>
      <c r="AJ1636" s="168" t="str">
        <f t="shared" si="691"/>
        <v/>
      </c>
      <c r="AK1636" s="168" t="str">
        <f t="shared" si="692"/>
        <v/>
      </c>
      <c r="AL1636" s="168" t="str">
        <f t="shared" si="693"/>
        <v/>
      </c>
      <c r="AM1636" s="168" t="str">
        <f t="shared" si="694"/>
        <v/>
      </c>
      <c r="AN1636" s="167" t="str">
        <f t="shared" si="677"/>
        <v>2012</v>
      </c>
      <c r="AO1636" s="167" t="str">
        <f t="shared" si="678"/>
        <v>2012</v>
      </c>
      <c r="AP1636" s="167" t="str">
        <f t="shared" si="679"/>
        <v>2012</v>
      </c>
      <c r="AQ1636" s="169" t="str">
        <f t="shared" si="680"/>
        <v/>
      </c>
      <c r="AR1636" s="170" t="str">
        <f t="shared" si="681"/>
        <v>BiK81X1K12--07</v>
      </c>
      <c r="AS1636" s="169" t="str">
        <f t="shared" si="682"/>
        <v/>
      </c>
      <c r="AT1636">
        <f t="shared" si="683"/>
        <v>14</v>
      </c>
      <c r="AU1636" s="170" t="str">
        <f t="shared" si="684"/>
        <v>0-0,15 MW, Bonusregeln X1 und K erstmals 2012</v>
      </c>
      <c r="AV1636" s="169" t="str">
        <f t="shared" si="685"/>
        <v/>
      </c>
      <c r="AW1636" s="170" t="str">
        <f t="shared" si="686"/>
        <v>Anteil KWK, erstmals 2012</v>
      </c>
      <c r="AX1636" s="169" t="str">
        <f t="shared" si="687"/>
        <v/>
      </c>
      <c r="AY1636" t="str">
        <f t="shared" si="688"/>
        <v/>
      </c>
      <c r="AZ1636" t="str">
        <f t="shared" si="689"/>
        <v>x</v>
      </c>
    </row>
    <row r="1637" spans="1:52" s="145" customFormat="1" x14ac:dyDescent="0.35">
      <c r="A1637" s="497" t="s">
        <v>4461</v>
      </c>
      <c r="B1637" s="13" t="s">
        <v>5547</v>
      </c>
      <c r="C1637" s="13" t="s">
        <v>1304</v>
      </c>
      <c r="D1637" s="13" t="s">
        <v>6847</v>
      </c>
      <c r="E1637" s="13" t="s">
        <v>4809</v>
      </c>
      <c r="F1637" s="373">
        <f t="shared" si="696"/>
        <v>25.67</v>
      </c>
      <c r="G1637" s="430">
        <v>25.67</v>
      </c>
      <c r="H1637" s="399">
        <f t="shared" si="697"/>
        <v>20.54</v>
      </c>
      <c r="I1637" s="576"/>
      <c r="J1637" s="549" t="s">
        <v>5804</v>
      </c>
      <c r="K1637" s="11"/>
      <c r="L1637"/>
      <c r="M1637" s="37">
        <f t="shared" si="698"/>
        <v>25.67</v>
      </c>
      <c r="N1637" s="29">
        <v>11.67</v>
      </c>
      <c r="O1637" s="149"/>
      <c r="P1637" s="144"/>
      <c r="S1637" s="145" t="s">
        <v>4179</v>
      </c>
      <c r="T1637" s="145" t="s">
        <v>4179</v>
      </c>
      <c r="U1637" s="146" t="s">
        <v>1017</v>
      </c>
      <c r="W1637" s="147"/>
      <c r="X1637" s="147"/>
      <c r="AA1637" s="147"/>
      <c r="AC1637" s="145" t="s">
        <v>1017</v>
      </c>
      <c r="AD1637" s="147"/>
      <c r="AE1637" s="148"/>
      <c r="AF1637" s="147"/>
      <c r="AG1637" s="147"/>
      <c r="AH1637" s="166" t="str">
        <f t="shared" ref="AH1637:AH1642" si="700">IF(ISERROR(SEARCH("K erstmals 201",D1637)),"",RIGHT(D1637,4))</f>
        <v/>
      </c>
      <c r="AI1637" s="168" t="str">
        <f t="shared" si="690"/>
        <v/>
      </c>
      <c r="AJ1637" s="168" t="str">
        <f t="shared" si="691"/>
        <v/>
      </c>
      <c r="AK1637" s="168" t="str">
        <f t="shared" si="692"/>
        <v/>
      </c>
      <c r="AL1637" s="168" t="str">
        <f t="shared" si="693"/>
        <v/>
      </c>
      <c r="AM1637" s="168" t="str">
        <f t="shared" si="694"/>
        <v/>
      </c>
      <c r="AN1637" s="167" t="str">
        <f t="shared" si="677"/>
        <v/>
      </c>
      <c r="AO1637" s="167" t="str">
        <f t="shared" si="678"/>
        <v/>
      </c>
      <c r="AP1637" s="167" t="str">
        <f t="shared" si="679"/>
        <v/>
      </c>
      <c r="AQ1637" s="169" t="str">
        <f t="shared" si="680"/>
        <v/>
      </c>
      <c r="AR1637" s="170" t="str">
        <f t="shared" si="681"/>
        <v>BiK81X1y----07</v>
      </c>
      <c r="AS1637" s="169" t="str">
        <f t="shared" si="682"/>
        <v/>
      </c>
      <c r="AT1637">
        <f t="shared" si="683"/>
        <v>14</v>
      </c>
      <c r="AU1637" s="170" t="str">
        <f t="shared" si="684"/>
        <v>0-0,15 MW, Bonusregeln X1, y</v>
      </c>
      <c r="AV1637" s="169" t="str">
        <f t="shared" si="685"/>
        <v/>
      </c>
      <c r="AW1637" s="170" t="str">
        <f t="shared" si="686"/>
        <v>Anteil Nicht-KWK</v>
      </c>
      <c r="AX1637" s="169" t="str">
        <f t="shared" si="687"/>
        <v/>
      </c>
      <c r="AY1637" t="str">
        <f t="shared" si="688"/>
        <v/>
      </c>
      <c r="AZ1637" t="str">
        <f t="shared" si="689"/>
        <v/>
      </c>
    </row>
    <row r="1638" spans="1:52" s="145" customFormat="1" x14ac:dyDescent="0.35">
      <c r="A1638" s="497" t="s">
        <v>4462</v>
      </c>
      <c r="B1638" s="13" t="s">
        <v>5547</v>
      </c>
      <c r="C1638" s="13" t="s">
        <v>1304</v>
      </c>
      <c r="D1638" s="13" t="s">
        <v>6901</v>
      </c>
      <c r="E1638" s="13" t="s">
        <v>4811</v>
      </c>
      <c r="F1638" s="373">
        <f t="shared" si="696"/>
        <v>27.67</v>
      </c>
      <c r="G1638" s="430">
        <v>27.67</v>
      </c>
      <c r="H1638" s="399">
        <f t="shared" si="697"/>
        <v>22.14</v>
      </c>
      <c r="I1638" s="576"/>
      <c r="J1638" s="549" t="s">
        <v>5804</v>
      </c>
      <c r="K1638" s="11"/>
      <c r="L1638"/>
      <c r="M1638" s="37">
        <f t="shared" si="698"/>
        <v>27.67</v>
      </c>
      <c r="N1638" s="29">
        <v>11.67</v>
      </c>
      <c r="O1638" s="149" t="s">
        <v>1017</v>
      </c>
      <c r="P1638" s="144"/>
      <c r="S1638" s="145" t="s">
        <v>4179</v>
      </c>
      <c r="T1638" s="145" t="s">
        <v>4179</v>
      </c>
      <c r="U1638" s="146" t="s">
        <v>1017</v>
      </c>
      <c r="W1638" s="147"/>
      <c r="X1638" s="147"/>
      <c r="AA1638" s="147"/>
      <c r="AC1638" s="145" t="s">
        <v>1017</v>
      </c>
      <c r="AD1638" s="147"/>
      <c r="AE1638" s="148"/>
      <c r="AF1638" s="147"/>
      <c r="AG1638" s="147"/>
      <c r="AH1638" s="166" t="str">
        <f t="shared" si="700"/>
        <v/>
      </c>
      <c r="AI1638" s="168" t="str">
        <f t="shared" si="690"/>
        <v/>
      </c>
      <c r="AJ1638" s="168" t="str">
        <f t="shared" si="691"/>
        <v/>
      </c>
      <c r="AK1638" s="168" t="str">
        <f t="shared" si="692"/>
        <v/>
      </c>
      <c r="AL1638" s="168" t="str">
        <f t="shared" si="693"/>
        <v/>
      </c>
      <c r="AM1638" s="168" t="str">
        <f t="shared" si="694"/>
        <v/>
      </c>
      <c r="AN1638" s="167" t="str">
        <f t="shared" si="677"/>
        <v/>
      </c>
      <c r="AO1638" s="167" t="str">
        <f t="shared" si="678"/>
        <v/>
      </c>
      <c r="AP1638" s="167" t="str">
        <f t="shared" si="679"/>
        <v/>
      </c>
      <c r="AQ1638" s="169" t="str">
        <f t="shared" si="680"/>
        <v/>
      </c>
      <c r="AR1638" s="170" t="str">
        <f t="shared" si="681"/>
        <v>BiK81X1KWKy-07</v>
      </c>
      <c r="AS1638" s="169" t="str">
        <f t="shared" si="682"/>
        <v/>
      </c>
      <c r="AT1638">
        <f t="shared" si="683"/>
        <v>14</v>
      </c>
      <c r="AU1638" s="170" t="str">
        <f t="shared" si="684"/>
        <v>0-0,15 MW, Bonusregeln X1, y und KWK</v>
      </c>
      <c r="AV1638" s="169" t="str">
        <f t="shared" si="685"/>
        <v/>
      </c>
      <c r="AW1638" s="170" t="str">
        <f t="shared" si="686"/>
        <v>Anteil KWK</v>
      </c>
      <c r="AX1638" s="169" t="str">
        <f t="shared" si="687"/>
        <v/>
      </c>
      <c r="AY1638" t="str">
        <f t="shared" si="688"/>
        <v/>
      </c>
      <c r="AZ1638" t="str">
        <f t="shared" si="689"/>
        <v/>
      </c>
    </row>
    <row r="1639" spans="1:52" s="145" customFormat="1" x14ac:dyDescent="0.35">
      <c r="A1639" s="497" t="s">
        <v>4463</v>
      </c>
      <c r="B1639" s="13" t="s">
        <v>5547</v>
      </c>
      <c r="C1639" s="13" t="s">
        <v>1304</v>
      </c>
      <c r="D1639" s="88" t="s">
        <v>6848</v>
      </c>
      <c r="E1639" s="13" t="s">
        <v>4330</v>
      </c>
      <c r="F1639" s="373">
        <f t="shared" si="696"/>
        <v>28.67</v>
      </c>
      <c r="G1639" s="430">
        <v>28.67</v>
      </c>
      <c r="H1639" s="399">
        <f t="shared" si="697"/>
        <v>22.94</v>
      </c>
      <c r="I1639" s="576"/>
      <c r="J1639" s="549" t="s">
        <v>5804</v>
      </c>
      <c r="K1639" s="11"/>
      <c r="L1639"/>
      <c r="M1639" s="37">
        <f t="shared" si="698"/>
        <v>28.67</v>
      </c>
      <c r="N1639" s="29">
        <v>11.67</v>
      </c>
      <c r="O1639" s="149"/>
      <c r="P1639" s="145" t="s">
        <v>1017</v>
      </c>
      <c r="S1639" s="145" t="s">
        <v>4179</v>
      </c>
      <c r="T1639" s="145" t="s">
        <v>4179</v>
      </c>
      <c r="U1639" s="146" t="s">
        <v>1017</v>
      </c>
      <c r="W1639" s="147"/>
      <c r="X1639" s="147"/>
      <c r="AA1639" s="147"/>
      <c r="AC1639" s="145" t="s">
        <v>1017</v>
      </c>
      <c r="AD1639" s="147"/>
      <c r="AE1639" s="148"/>
      <c r="AF1639" s="147"/>
      <c r="AG1639" s="147"/>
      <c r="AH1639" s="166" t="str">
        <f t="shared" si="700"/>
        <v/>
      </c>
      <c r="AI1639" s="168" t="str">
        <f t="shared" si="690"/>
        <v/>
      </c>
      <c r="AJ1639" s="168" t="str">
        <f t="shared" si="691"/>
        <v/>
      </c>
      <c r="AK1639" s="168" t="str">
        <f t="shared" si="692"/>
        <v/>
      </c>
      <c r="AL1639" s="168" t="str">
        <f t="shared" si="693"/>
        <v/>
      </c>
      <c r="AM1639" s="168" t="str">
        <f t="shared" si="694"/>
        <v/>
      </c>
      <c r="AN1639" s="167" t="str">
        <f t="shared" si="677"/>
        <v/>
      </c>
      <c r="AO1639" s="167" t="str">
        <f t="shared" si="678"/>
        <v/>
      </c>
      <c r="AP1639" s="167" t="str">
        <f t="shared" si="679"/>
        <v/>
      </c>
      <c r="AQ1639" s="169" t="str">
        <f t="shared" si="680"/>
        <v/>
      </c>
      <c r="AR1639" s="170" t="str">
        <f t="shared" si="681"/>
        <v>BiK81X1KA3y-07</v>
      </c>
      <c r="AS1639" s="169" t="str">
        <f t="shared" si="682"/>
        <v/>
      </c>
      <c r="AT1639">
        <f t="shared" si="683"/>
        <v>14</v>
      </c>
      <c r="AU1639" s="170" t="str">
        <f t="shared" si="684"/>
        <v>0-0,15 MW, Bonusregeln X1, y und K wenn Anlage 3 erfüllt</v>
      </c>
      <c r="AV1639" s="169" t="str">
        <f t="shared" si="685"/>
        <v/>
      </c>
      <c r="AW1639" s="170" t="str">
        <f t="shared" si="686"/>
        <v>Anteil KWK gemäß Anlage 3</v>
      </c>
      <c r="AX1639" s="169" t="str">
        <f t="shared" si="687"/>
        <v/>
      </c>
      <c r="AY1639" t="str">
        <f t="shared" si="688"/>
        <v/>
      </c>
      <c r="AZ1639" t="str">
        <f t="shared" si="689"/>
        <v/>
      </c>
    </row>
    <row r="1640" spans="1:52" s="145" customFormat="1" x14ac:dyDescent="0.35">
      <c r="A1640" s="497" t="s">
        <v>4464</v>
      </c>
      <c r="B1640" s="13" t="s">
        <v>5547</v>
      </c>
      <c r="C1640" s="13" t="s">
        <v>1304</v>
      </c>
      <c r="D1640" s="13" t="s">
        <v>6849</v>
      </c>
      <c r="E1640" s="13" t="s">
        <v>674</v>
      </c>
      <c r="F1640" s="373">
        <f t="shared" si="696"/>
        <v>28.67</v>
      </c>
      <c r="G1640" s="430">
        <v>28.67</v>
      </c>
      <c r="H1640" s="399">
        <f t="shared" si="697"/>
        <v>22.94</v>
      </c>
      <c r="I1640" s="576"/>
      <c r="J1640" s="549" t="s">
        <v>5804</v>
      </c>
      <c r="K1640" s="11"/>
      <c r="L1640"/>
      <c r="M1640" s="37">
        <f t="shared" si="698"/>
        <v>28.67</v>
      </c>
      <c r="N1640" s="29">
        <v>11.67</v>
      </c>
      <c r="O1640" s="149"/>
      <c r="P1640" s="144"/>
      <c r="Q1640" s="145" t="s">
        <v>1017</v>
      </c>
      <c r="S1640" s="145" t="s">
        <v>4179</v>
      </c>
      <c r="T1640" s="145" t="s">
        <v>4179</v>
      </c>
      <c r="U1640" s="146" t="s">
        <v>1017</v>
      </c>
      <c r="W1640" s="147"/>
      <c r="X1640" s="147"/>
      <c r="AA1640" s="147"/>
      <c r="AC1640" s="145" t="s">
        <v>1017</v>
      </c>
      <c r="AD1640" s="147"/>
      <c r="AE1640" s="148"/>
      <c r="AF1640" s="147"/>
      <c r="AG1640" s="147"/>
      <c r="AH1640" s="166" t="str">
        <f t="shared" si="700"/>
        <v/>
      </c>
      <c r="AI1640" s="168" t="str">
        <f t="shared" si="690"/>
        <v/>
      </c>
      <c r="AJ1640" s="168" t="str">
        <f t="shared" si="691"/>
        <v/>
      </c>
      <c r="AK1640" s="168" t="str">
        <f t="shared" si="692"/>
        <v/>
      </c>
      <c r="AL1640" s="168" t="str">
        <f t="shared" si="693"/>
        <v/>
      </c>
      <c r="AM1640" s="168" t="str">
        <f t="shared" si="694"/>
        <v/>
      </c>
      <c r="AN1640" s="167" t="str">
        <f t="shared" si="677"/>
        <v/>
      </c>
      <c r="AO1640" s="167" t="str">
        <f t="shared" si="678"/>
        <v/>
      </c>
      <c r="AP1640" s="167" t="str">
        <f t="shared" si="679"/>
        <v/>
      </c>
      <c r="AQ1640" s="169" t="str">
        <f t="shared" si="680"/>
        <v/>
      </c>
      <c r="AR1640" s="170" t="str">
        <f t="shared" si="681"/>
        <v>BiK81X1K09y-07</v>
      </c>
      <c r="AS1640" s="169" t="str">
        <f t="shared" si="682"/>
        <v/>
      </c>
      <c r="AT1640">
        <f t="shared" si="683"/>
        <v>14</v>
      </c>
      <c r="AU1640" s="170" t="str">
        <f t="shared" si="684"/>
        <v>0-0,15 MW, Bonusregeln X1, y und K erstmals 2009</v>
      </c>
      <c r="AV1640" s="169" t="str">
        <f t="shared" si="685"/>
        <v/>
      </c>
      <c r="AW1640" s="170" t="str">
        <f t="shared" si="686"/>
        <v>Anteil KWK, erstmals 2009</v>
      </c>
      <c r="AX1640" s="169" t="str">
        <f t="shared" si="687"/>
        <v/>
      </c>
      <c r="AY1640" t="str">
        <f t="shared" si="688"/>
        <v/>
      </c>
      <c r="AZ1640" t="str">
        <f t="shared" si="689"/>
        <v/>
      </c>
    </row>
    <row r="1641" spans="1:52" s="145" customFormat="1" x14ac:dyDescent="0.35">
      <c r="A1641" s="497" t="s">
        <v>4951</v>
      </c>
      <c r="B1641" s="13" t="s">
        <v>5547</v>
      </c>
      <c r="C1641" s="13" t="s">
        <v>1304</v>
      </c>
      <c r="D1641" s="13" t="s">
        <v>6850</v>
      </c>
      <c r="E1641" s="13" t="s">
        <v>3566</v>
      </c>
      <c r="F1641" s="373">
        <f t="shared" si="696"/>
        <v>28.64</v>
      </c>
      <c r="G1641" s="430">
        <v>28.64</v>
      </c>
      <c r="H1641" s="399">
        <f t="shared" si="697"/>
        <v>22.91</v>
      </c>
      <c r="I1641" s="576"/>
      <c r="J1641" s="549" t="s">
        <v>5804</v>
      </c>
      <c r="K1641" s="11"/>
      <c r="L1641"/>
      <c r="M1641" s="37">
        <f t="shared" si="698"/>
        <v>28.64</v>
      </c>
      <c r="N1641" s="29">
        <v>11.67</v>
      </c>
      <c r="O1641" s="149"/>
      <c r="P1641" s="144"/>
      <c r="R1641" s="145" t="s">
        <v>1017</v>
      </c>
      <c r="S1641" s="145" t="s">
        <v>4179</v>
      </c>
      <c r="T1641" s="145" t="s">
        <v>4179</v>
      </c>
      <c r="U1641" s="146" t="s">
        <v>1017</v>
      </c>
      <c r="W1641" s="147"/>
      <c r="X1641" s="147"/>
      <c r="AA1641" s="147"/>
      <c r="AC1641" s="145" t="s">
        <v>1017</v>
      </c>
      <c r="AD1641" s="147"/>
      <c r="AE1641" s="148"/>
      <c r="AF1641" s="147"/>
      <c r="AG1641" s="147"/>
      <c r="AH1641" s="166" t="str">
        <f t="shared" si="700"/>
        <v>2010</v>
      </c>
      <c r="AI1641" s="168" t="str">
        <f t="shared" si="690"/>
        <v/>
      </c>
      <c r="AJ1641" s="168" t="str">
        <f t="shared" si="691"/>
        <v/>
      </c>
      <c r="AK1641" s="168" t="str">
        <f t="shared" si="692"/>
        <v/>
      </c>
      <c r="AL1641" s="168" t="str">
        <f t="shared" si="693"/>
        <v/>
      </c>
      <c r="AM1641" s="168" t="str">
        <f t="shared" si="694"/>
        <v/>
      </c>
      <c r="AN1641" s="167" t="str">
        <f t="shared" si="677"/>
        <v>2010</v>
      </c>
      <c r="AO1641" s="167" t="str">
        <f t="shared" si="678"/>
        <v>2010</v>
      </c>
      <c r="AP1641" s="167" t="str">
        <f t="shared" si="679"/>
        <v>2010</v>
      </c>
      <c r="AQ1641" s="169" t="str">
        <f t="shared" si="680"/>
        <v/>
      </c>
      <c r="AR1641" s="170" t="str">
        <f t="shared" si="681"/>
        <v>BiK81X1K10y-07</v>
      </c>
      <c r="AS1641" s="169" t="str">
        <f t="shared" si="682"/>
        <v/>
      </c>
      <c r="AT1641">
        <f t="shared" si="683"/>
        <v>14</v>
      </c>
      <c r="AU1641" s="170" t="str">
        <f t="shared" si="684"/>
        <v>0-0,15 MW, Bonusregeln X1, y und K erstmals 2010</v>
      </c>
      <c r="AV1641" s="169" t="str">
        <f t="shared" si="685"/>
        <v/>
      </c>
      <c r="AW1641" s="170" t="str">
        <f t="shared" si="686"/>
        <v>Anteil KWK, erstmals 2010</v>
      </c>
      <c r="AX1641" s="169" t="str">
        <f t="shared" si="687"/>
        <v/>
      </c>
      <c r="AY1641" t="str">
        <f t="shared" si="688"/>
        <v/>
      </c>
      <c r="AZ1641" t="str">
        <f t="shared" si="689"/>
        <v/>
      </c>
    </row>
    <row r="1642" spans="1:52" s="145" customFormat="1" x14ac:dyDescent="0.35">
      <c r="A1642" s="497" t="s">
        <v>3998</v>
      </c>
      <c r="B1642" s="13" t="s">
        <v>5547</v>
      </c>
      <c r="C1642" s="13" t="s">
        <v>1304</v>
      </c>
      <c r="D1642" s="13" t="s">
        <v>6851</v>
      </c>
      <c r="E1642" s="13" t="s">
        <v>3054</v>
      </c>
      <c r="F1642" s="373">
        <f t="shared" si="696"/>
        <v>28.61</v>
      </c>
      <c r="G1642" s="430">
        <v>28.61</v>
      </c>
      <c r="H1642" s="399">
        <f t="shared" si="697"/>
        <v>22.89</v>
      </c>
      <c r="I1642" s="576"/>
      <c r="J1642" s="549" t="s">
        <v>5804</v>
      </c>
      <c r="K1642" s="11"/>
      <c r="L1642"/>
      <c r="M1642" s="37">
        <f t="shared" si="698"/>
        <v>28.61</v>
      </c>
      <c r="N1642" s="29">
        <v>11.67</v>
      </c>
      <c r="O1642" s="149"/>
      <c r="P1642" s="144"/>
      <c r="S1642" s="145" t="s">
        <v>1017</v>
      </c>
      <c r="T1642" s="145" t="s">
        <v>4179</v>
      </c>
      <c r="U1642" s="146" t="s">
        <v>1017</v>
      </c>
      <c r="W1642" s="147"/>
      <c r="X1642" s="147"/>
      <c r="AA1642" s="147"/>
      <c r="AC1642" s="145" t="s">
        <v>1017</v>
      </c>
      <c r="AD1642" s="147"/>
      <c r="AE1642" s="148"/>
      <c r="AF1642" s="147"/>
      <c r="AG1642" s="147"/>
      <c r="AH1642" s="166" t="str">
        <f t="shared" si="700"/>
        <v>2011</v>
      </c>
      <c r="AI1642" s="168" t="str">
        <f t="shared" si="690"/>
        <v/>
      </c>
      <c r="AJ1642" s="168" t="str">
        <f t="shared" si="691"/>
        <v/>
      </c>
      <c r="AK1642" s="168" t="str">
        <f t="shared" si="692"/>
        <v/>
      </c>
      <c r="AL1642" s="168" t="str">
        <f t="shared" si="693"/>
        <v/>
      </c>
      <c r="AM1642" s="168" t="str">
        <f t="shared" si="694"/>
        <v/>
      </c>
      <c r="AN1642" s="167" t="str">
        <f t="shared" si="677"/>
        <v>2011</v>
      </c>
      <c r="AO1642" s="167" t="str">
        <f t="shared" si="678"/>
        <v>2011</v>
      </c>
      <c r="AP1642" s="167" t="str">
        <f t="shared" si="679"/>
        <v>2011</v>
      </c>
      <c r="AQ1642" s="169" t="str">
        <f t="shared" si="680"/>
        <v/>
      </c>
      <c r="AR1642" s="170" t="str">
        <f t="shared" si="681"/>
        <v>BiK81X1K11y-07</v>
      </c>
      <c r="AS1642" s="169" t="str">
        <f t="shared" si="682"/>
        <v/>
      </c>
      <c r="AT1642">
        <f t="shared" si="683"/>
        <v>14</v>
      </c>
      <c r="AU1642" s="170" t="str">
        <f t="shared" si="684"/>
        <v>0-0,15 MW, Bonusregeln X1, y und K erstmals 2011</v>
      </c>
      <c r="AV1642" s="169" t="str">
        <f t="shared" si="685"/>
        <v/>
      </c>
      <c r="AW1642" s="170" t="str">
        <f t="shared" si="686"/>
        <v>Anteil KWK, erstmals 2011</v>
      </c>
      <c r="AX1642" s="169" t="str">
        <f t="shared" si="687"/>
        <v/>
      </c>
      <c r="AY1642" t="str">
        <f t="shared" si="688"/>
        <v>x</v>
      </c>
      <c r="AZ1642" t="str">
        <f t="shared" si="689"/>
        <v/>
      </c>
    </row>
    <row r="1643" spans="1:52" s="145" customFormat="1" x14ac:dyDescent="0.35">
      <c r="A1643" s="511" t="s">
        <v>1821</v>
      </c>
      <c r="B1643" s="173" t="s">
        <v>5547</v>
      </c>
      <c r="C1643" s="173" t="s">
        <v>1304</v>
      </c>
      <c r="D1643" s="173" t="s">
        <v>6852</v>
      </c>
      <c r="E1643" s="173" t="s">
        <v>1980</v>
      </c>
      <c r="F1643" s="374">
        <f t="shared" si="696"/>
        <v>28.58</v>
      </c>
      <c r="G1643" s="431">
        <v>28.58</v>
      </c>
      <c r="H1643" s="400">
        <f t="shared" si="697"/>
        <v>22.86</v>
      </c>
      <c r="I1643" s="577"/>
      <c r="J1643" s="549" t="s">
        <v>5804</v>
      </c>
      <c r="K1643" s="11"/>
      <c r="L1643"/>
      <c r="M1643" s="37">
        <f t="shared" si="698"/>
        <v>28.58</v>
      </c>
      <c r="N1643" s="29">
        <v>11.67</v>
      </c>
      <c r="O1643" s="149"/>
      <c r="P1643" s="144"/>
      <c r="S1643" s="145" t="s">
        <v>4179</v>
      </c>
      <c r="T1643" s="145" t="s">
        <v>1017</v>
      </c>
      <c r="U1643" s="146" t="s">
        <v>1017</v>
      </c>
      <c r="W1643" s="147"/>
      <c r="X1643" s="147"/>
      <c r="AA1643" s="147"/>
      <c r="AC1643" s="145" t="s">
        <v>1017</v>
      </c>
      <c r="AD1643" s="147"/>
      <c r="AE1643" s="148"/>
      <c r="AF1643" s="147"/>
      <c r="AG1643" s="147"/>
      <c r="AH1643" s="171" t="s">
        <v>4178</v>
      </c>
      <c r="AI1643" s="168" t="str">
        <f t="shared" si="690"/>
        <v/>
      </c>
      <c r="AJ1643" s="168" t="str">
        <f t="shared" si="691"/>
        <v/>
      </c>
      <c r="AK1643" s="168" t="str">
        <f t="shared" si="692"/>
        <v/>
      </c>
      <c r="AL1643" s="168" t="str">
        <f t="shared" si="693"/>
        <v/>
      </c>
      <c r="AM1643" s="168" t="str">
        <f t="shared" si="694"/>
        <v/>
      </c>
      <c r="AN1643" s="167" t="str">
        <f t="shared" si="677"/>
        <v>2012</v>
      </c>
      <c r="AO1643" s="167" t="str">
        <f t="shared" si="678"/>
        <v>2012</v>
      </c>
      <c r="AP1643" s="167" t="str">
        <f t="shared" si="679"/>
        <v>2012</v>
      </c>
      <c r="AQ1643" s="169" t="str">
        <f t="shared" si="680"/>
        <v/>
      </c>
      <c r="AR1643" s="170" t="str">
        <f t="shared" si="681"/>
        <v>BiK81X1K12y-07</v>
      </c>
      <c r="AS1643" s="169" t="str">
        <f t="shared" si="682"/>
        <v/>
      </c>
      <c r="AT1643">
        <f t="shared" si="683"/>
        <v>14</v>
      </c>
      <c r="AU1643" s="170" t="str">
        <f t="shared" si="684"/>
        <v>0-0,15 MW, Bonusregeln X1, y und K erstmals 2012</v>
      </c>
      <c r="AV1643" s="169" t="str">
        <f t="shared" si="685"/>
        <v/>
      </c>
      <c r="AW1643" s="170" t="str">
        <f t="shared" si="686"/>
        <v>Anteil KWK, erstmals 2012</v>
      </c>
      <c r="AX1643" s="169" t="str">
        <f t="shared" si="687"/>
        <v/>
      </c>
      <c r="AY1643" t="str">
        <f t="shared" si="688"/>
        <v/>
      </c>
      <c r="AZ1643" t="str">
        <f t="shared" si="689"/>
        <v>x</v>
      </c>
    </row>
    <row r="1644" spans="1:52" s="145" customFormat="1" x14ac:dyDescent="0.35">
      <c r="A1644" s="505" t="s">
        <v>537</v>
      </c>
      <c r="B1644" s="23" t="s">
        <v>5547</v>
      </c>
      <c r="C1644" s="23" t="s">
        <v>1304</v>
      </c>
      <c r="D1644" s="23" t="s">
        <v>6902</v>
      </c>
      <c r="E1644" s="23" t="s">
        <v>4809</v>
      </c>
      <c r="F1644" s="378">
        <f t="shared" si="696"/>
        <v>13.67</v>
      </c>
      <c r="G1644" s="434">
        <v>13.67</v>
      </c>
      <c r="H1644" s="403">
        <f t="shared" si="697"/>
        <v>10.94</v>
      </c>
      <c r="I1644" s="581"/>
      <c r="J1644" s="549" t="s">
        <v>5804</v>
      </c>
      <c r="K1644" s="11"/>
      <c r="L1644"/>
      <c r="M1644" s="37">
        <f t="shared" si="698"/>
        <v>13.67</v>
      </c>
      <c r="N1644" s="29">
        <v>11.67</v>
      </c>
      <c r="O1644" s="41"/>
      <c r="P1644" s="11"/>
      <c r="Q1644"/>
      <c r="R1644"/>
      <c r="S1644" t="s">
        <v>4179</v>
      </c>
      <c r="T1644" s="145" t="s">
        <v>4179</v>
      </c>
      <c r="U1644" s="42"/>
      <c r="V1644"/>
      <c r="W1644" s="50"/>
      <c r="X1644" s="50"/>
      <c r="Y1644"/>
      <c r="Z1644"/>
      <c r="AA1644" s="50"/>
      <c r="AB1644"/>
      <c r="AC1644"/>
      <c r="AD1644" s="50"/>
      <c r="AE1644" s="75" t="s">
        <v>1017</v>
      </c>
      <c r="AF1644" s="50"/>
      <c r="AG1644" s="50"/>
      <c r="AH1644" s="166" t="str">
        <f t="shared" ref="AH1644:AH1649" si="701">IF(ISERROR(SEARCH("K erstmals 201",D1644)),"",RIGHT(D1644,4))</f>
        <v/>
      </c>
      <c r="AI1644" s="168" t="str">
        <f t="shared" si="690"/>
        <v/>
      </c>
      <c r="AJ1644" s="168" t="str">
        <f t="shared" si="691"/>
        <v/>
      </c>
      <c r="AK1644" s="168" t="str">
        <f t="shared" si="692"/>
        <v/>
      </c>
      <c r="AL1644" s="168" t="str">
        <f t="shared" si="693"/>
        <v/>
      </c>
      <c r="AM1644" s="168" t="str">
        <f t="shared" si="694"/>
        <v/>
      </c>
      <c r="AN1644" s="167" t="str">
        <f t="shared" si="677"/>
        <v/>
      </c>
      <c r="AO1644" s="167" t="str">
        <f t="shared" si="678"/>
        <v/>
      </c>
      <c r="AP1644" s="167" t="str">
        <f t="shared" si="679"/>
        <v/>
      </c>
      <c r="AQ1644" s="169" t="str">
        <f t="shared" si="680"/>
        <v/>
      </c>
      <c r="AR1644" s="170" t="str">
        <f t="shared" si="681"/>
        <v>BiK81b------07</v>
      </c>
      <c r="AS1644" s="169" t="str">
        <f t="shared" si="682"/>
        <v/>
      </c>
      <c r="AT1644">
        <f t="shared" si="683"/>
        <v>14</v>
      </c>
      <c r="AU1644" s="170" t="str">
        <f t="shared" si="684"/>
        <v>0-0,15 MW, Bonusregel b</v>
      </c>
      <c r="AV1644" s="169" t="str">
        <f t="shared" si="685"/>
        <v/>
      </c>
      <c r="AW1644" s="170" t="str">
        <f t="shared" si="686"/>
        <v>Anteil Nicht-KWK</v>
      </c>
      <c r="AX1644" s="169" t="str">
        <f t="shared" si="687"/>
        <v/>
      </c>
      <c r="AY1644" t="str">
        <f t="shared" si="688"/>
        <v/>
      </c>
      <c r="AZ1644" t="str">
        <f t="shared" si="689"/>
        <v/>
      </c>
    </row>
    <row r="1645" spans="1:52" s="145" customFormat="1" x14ac:dyDescent="0.35">
      <c r="A1645" s="505" t="s">
        <v>538</v>
      </c>
      <c r="B1645" s="23" t="s">
        <v>5547</v>
      </c>
      <c r="C1645" s="23" t="s">
        <v>1304</v>
      </c>
      <c r="D1645" s="23" t="s">
        <v>6903</v>
      </c>
      <c r="E1645" s="23" t="s">
        <v>4811</v>
      </c>
      <c r="F1645" s="378">
        <f t="shared" si="696"/>
        <v>15.67</v>
      </c>
      <c r="G1645" s="434">
        <v>15.67</v>
      </c>
      <c r="H1645" s="403">
        <f t="shared" si="697"/>
        <v>12.54</v>
      </c>
      <c r="I1645" s="581"/>
      <c r="J1645" s="549" t="s">
        <v>5804</v>
      </c>
      <c r="K1645" s="11"/>
      <c r="L1645"/>
      <c r="M1645" s="37">
        <f t="shared" si="698"/>
        <v>15.67</v>
      </c>
      <c r="N1645" s="29">
        <v>11.67</v>
      </c>
      <c r="O1645" s="41" t="s">
        <v>1017</v>
      </c>
      <c r="P1645" s="11"/>
      <c r="Q1645"/>
      <c r="R1645"/>
      <c r="S1645" t="s">
        <v>4179</v>
      </c>
      <c r="T1645" s="145" t="s">
        <v>4179</v>
      </c>
      <c r="U1645" s="42"/>
      <c r="V1645"/>
      <c r="W1645" s="50"/>
      <c r="X1645" s="50"/>
      <c r="Y1645"/>
      <c r="Z1645"/>
      <c r="AA1645" s="50"/>
      <c r="AB1645"/>
      <c r="AC1645"/>
      <c r="AD1645" s="50"/>
      <c r="AE1645" s="75" t="s">
        <v>1017</v>
      </c>
      <c r="AF1645" s="50"/>
      <c r="AG1645" s="50"/>
      <c r="AH1645" s="166" t="str">
        <f t="shared" si="701"/>
        <v/>
      </c>
      <c r="AI1645" s="168" t="str">
        <f t="shared" si="690"/>
        <v/>
      </c>
      <c r="AJ1645" s="168" t="str">
        <f t="shared" si="691"/>
        <v/>
      </c>
      <c r="AK1645" s="168" t="str">
        <f t="shared" si="692"/>
        <v/>
      </c>
      <c r="AL1645" s="168" t="str">
        <f t="shared" si="693"/>
        <v/>
      </c>
      <c r="AM1645" s="168" t="str">
        <f t="shared" si="694"/>
        <v/>
      </c>
      <c r="AN1645" s="167" t="str">
        <f t="shared" si="677"/>
        <v/>
      </c>
      <c r="AO1645" s="167" t="str">
        <f t="shared" si="678"/>
        <v/>
      </c>
      <c r="AP1645" s="167" t="str">
        <f t="shared" si="679"/>
        <v/>
      </c>
      <c r="AQ1645" s="169" t="str">
        <f t="shared" si="680"/>
        <v/>
      </c>
      <c r="AR1645" s="170" t="str">
        <f t="shared" si="681"/>
        <v>BiK81bKWK---07</v>
      </c>
      <c r="AS1645" s="169" t="str">
        <f t="shared" si="682"/>
        <v/>
      </c>
      <c r="AT1645">
        <f t="shared" si="683"/>
        <v>14</v>
      </c>
      <c r="AU1645" s="170" t="str">
        <f t="shared" si="684"/>
        <v>0-0,15 MW, Bonusregeln b und KWK</v>
      </c>
      <c r="AV1645" s="169" t="str">
        <f t="shared" si="685"/>
        <v/>
      </c>
      <c r="AW1645" s="170" t="str">
        <f t="shared" si="686"/>
        <v>Anteil KWK</v>
      </c>
      <c r="AX1645" s="169" t="str">
        <f t="shared" si="687"/>
        <v/>
      </c>
      <c r="AY1645" t="str">
        <f t="shared" si="688"/>
        <v/>
      </c>
      <c r="AZ1645" t="str">
        <f t="shared" si="689"/>
        <v/>
      </c>
    </row>
    <row r="1646" spans="1:52" s="145" customFormat="1" x14ac:dyDescent="0.35">
      <c r="A1646" s="497" t="s">
        <v>4359</v>
      </c>
      <c r="B1646" s="13" t="s">
        <v>5547</v>
      </c>
      <c r="C1646" s="13" t="s">
        <v>1304</v>
      </c>
      <c r="D1646" s="13" t="s">
        <v>6904</v>
      </c>
      <c r="E1646" s="13" t="s">
        <v>4330</v>
      </c>
      <c r="F1646" s="373">
        <f t="shared" si="696"/>
        <v>16.670000000000002</v>
      </c>
      <c r="G1646" s="430">
        <v>16.670000000000002</v>
      </c>
      <c r="H1646" s="399">
        <f t="shared" si="697"/>
        <v>13.34</v>
      </c>
      <c r="I1646" s="576"/>
      <c r="J1646" s="549" t="s">
        <v>5804</v>
      </c>
      <c r="K1646" s="11"/>
      <c r="L1646"/>
      <c r="M1646" s="37">
        <f t="shared" si="698"/>
        <v>16.670000000000002</v>
      </c>
      <c r="N1646" s="29">
        <v>11.67</v>
      </c>
      <c r="O1646" s="41"/>
      <c r="P1646" t="s">
        <v>1017</v>
      </c>
      <c r="Q1646"/>
      <c r="R1646"/>
      <c r="S1646" t="s">
        <v>4179</v>
      </c>
      <c r="T1646" s="145" t="s">
        <v>4179</v>
      </c>
      <c r="U1646" s="42"/>
      <c r="V1646"/>
      <c r="W1646" s="50"/>
      <c r="X1646" s="50"/>
      <c r="Y1646"/>
      <c r="Z1646"/>
      <c r="AA1646" s="50"/>
      <c r="AB1646"/>
      <c r="AC1646"/>
      <c r="AD1646" s="50"/>
      <c r="AE1646" s="75" t="s">
        <v>1017</v>
      </c>
      <c r="AF1646" s="50"/>
      <c r="AG1646" s="50"/>
      <c r="AH1646" s="166" t="str">
        <f t="shared" si="701"/>
        <v/>
      </c>
      <c r="AI1646" s="168" t="str">
        <f t="shared" si="690"/>
        <v/>
      </c>
      <c r="AJ1646" s="168" t="str">
        <f t="shared" si="691"/>
        <v/>
      </c>
      <c r="AK1646" s="168" t="str">
        <f t="shared" si="692"/>
        <v/>
      </c>
      <c r="AL1646" s="168" t="str">
        <f t="shared" si="693"/>
        <v/>
      </c>
      <c r="AM1646" s="168" t="str">
        <f t="shared" si="694"/>
        <v/>
      </c>
      <c r="AN1646" s="167" t="str">
        <f t="shared" si="677"/>
        <v/>
      </c>
      <c r="AO1646" s="167" t="str">
        <f t="shared" si="678"/>
        <v/>
      </c>
      <c r="AP1646" s="167" t="str">
        <f t="shared" si="679"/>
        <v/>
      </c>
      <c r="AQ1646" s="169" t="str">
        <f t="shared" si="680"/>
        <v/>
      </c>
      <c r="AR1646" s="170" t="str">
        <f t="shared" si="681"/>
        <v>BiK81bKA3---07</v>
      </c>
      <c r="AS1646" s="169" t="str">
        <f t="shared" si="682"/>
        <v/>
      </c>
      <c r="AT1646">
        <f t="shared" si="683"/>
        <v>14</v>
      </c>
      <c r="AU1646" s="170" t="str">
        <f t="shared" si="684"/>
        <v>0-0,15 MW, Bonusregeln b und K wenn Anlage 3 erfüllt</v>
      </c>
      <c r="AV1646" s="169" t="str">
        <f t="shared" si="685"/>
        <v/>
      </c>
      <c r="AW1646" s="170" t="str">
        <f t="shared" si="686"/>
        <v>Anteil KWK gemäß Anlage 3</v>
      </c>
      <c r="AX1646" s="169" t="str">
        <f t="shared" si="687"/>
        <v/>
      </c>
      <c r="AY1646" t="str">
        <f t="shared" si="688"/>
        <v/>
      </c>
      <c r="AZ1646" t="str">
        <f t="shared" si="689"/>
        <v/>
      </c>
    </row>
    <row r="1647" spans="1:52" s="145" customFormat="1" x14ac:dyDescent="0.35">
      <c r="A1647" s="497" t="s">
        <v>888</v>
      </c>
      <c r="B1647" s="13" t="s">
        <v>5547</v>
      </c>
      <c r="C1647" s="13" t="s">
        <v>1304</v>
      </c>
      <c r="D1647" s="13" t="s">
        <v>6905</v>
      </c>
      <c r="E1647" s="13" t="s">
        <v>674</v>
      </c>
      <c r="F1647" s="373">
        <f t="shared" si="696"/>
        <v>16.670000000000002</v>
      </c>
      <c r="G1647" s="430">
        <v>16.670000000000002</v>
      </c>
      <c r="H1647" s="399">
        <f t="shared" si="697"/>
        <v>13.34</v>
      </c>
      <c r="I1647" s="576"/>
      <c r="J1647" s="549" t="s">
        <v>5804</v>
      </c>
      <c r="K1647" s="11"/>
      <c r="L1647"/>
      <c r="M1647" s="37">
        <f t="shared" si="698"/>
        <v>16.670000000000002</v>
      </c>
      <c r="N1647" s="29">
        <v>11.67</v>
      </c>
      <c r="O1647" s="41"/>
      <c r="P1647" s="11"/>
      <c r="Q1647" t="s">
        <v>1017</v>
      </c>
      <c r="R1647"/>
      <c r="S1647" t="s">
        <v>4179</v>
      </c>
      <c r="T1647" s="145" t="s">
        <v>4179</v>
      </c>
      <c r="U1647" s="42"/>
      <c r="V1647"/>
      <c r="W1647" s="50"/>
      <c r="X1647" s="50"/>
      <c r="Y1647"/>
      <c r="Z1647"/>
      <c r="AA1647" s="50"/>
      <c r="AB1647"/>
      <c r="AC1647"/>
      <c r="AD1647" s="50"/>
      <c r="AE1647" s="75" t="s">
        <v>1017</v>
      </c>
      <c r="AF1647" s="50"/>
      <c r="AG1647" s="50"/>
      <c r="AH1647" s="166" t="str">
        <f t="shared" si="701"/>
        <v/>
      </c>
      <c r="AI1647" s="168" t="str">
        <f t="shared" si="690"/>
        <v/>
      </c>
      <c r="AJ1647" s="168" t="str">
        <f t="shared" si="691"/>
        <v/>
      </c>
      <c r="AK1647" s="168" t="str">
        <f t="shared" si="692"/>
        <v/>
      </c>
      <c r="AL1647" s="168" t="str">
        <f t="shared" si="693"/>
        <v/>
      </c>
      <c r="AM1647" s="168" t="str">
        <f t="shared" si="694"/>
        <v/>
      </c>
      <c r="AN1647" s="167" t="str">
        <f t="shared" si="677"/>
        <v/>
      </c>
      <c r="AO1647" s="167" t="str">
        <f t="shared" si="678"/>
        <v/>
      </c>
      <c r="AP1647" s="167" t="str">
        <f t="shared" si="679"/>
        <v/>
      </c>
      <c r="AQ1647" s="169" t="str">
        <f t="shared" si="680"/>
        <v/>
      </c>
      <c r="AR1647" s="170" t="str">
        <f t="shared" si="681"/>
        <v>BiK81bK09---07</v>
      </c>
      <c r="AS1647" s="169" t="str">
        <f t="shared" si="682"/>
        <v/>
      </c>
      <c r="AT1647">
        <f t="shared" si="683"/>
        <v>14</v>
      </c>
      <c r="AU1647" s="170" t="str">
        <f t="shared" si="684"/>
        <v>0-0,15 MW, Bonusregeln b und K erstmals 2009</v>
      </c>
      <c r="AV1647" s="169" t="str">
        <f t="shared" si="685"/>
        <v/>
      </c>
      <c r="AW1647" s="170" t="str">
        <f t="shared" si="686"/>
        <v>Anteil KWK, erstmals 2009</v>
      </c>
      <c r="AX1647" s="169" t="str">
        <f t="shared" si="687"/>
        <v/>
      </c>
      <c r="AY1647" t="str">
        <f t="shared" si="688"/>
        <v/>
      </c>
      <c r="AZ1647" t="str">
        <f t="shared" si="689"/>
        <v/>
      </c>
    </row>
    <row r="1648" spans="1:52" s="145" customFormat="1" x14ac:dyDescent="0.35">
      <c r="A1648" s="497" t="s">
        <v>4952</v>
      </c>
      <c r="B1648" s="13" t="s">
        <v>5547</v>
      </c>
      <c r="C1648" s="13" t="s">
        <v>1304</v>
      </c>
      <c r="D1648" s="13" t="s">
        <v>6906</v>
      </c>
      <c r="E1648" s="13" t="s">
        <v>3566</v>
      </c>
      <c r="F1648" s="373">
        <f t="shared" si="696"/>
        <v>16.64</v>
      </c>
      <c r="G1648" s="430">
        <v>16.64</v>
      </c>
      <c r="H1648" s="399">
        <f t="shared" si="697"/>
        <v>13.31</v>
      </c>
      <c r="I1648" s="576"/>
      <c r="J1648" s="549" t="s">
        <v>5804</v>
      </c>
      <c r="K1648" s="11"/>
      <c r="L1648"/>
      <c r="M1648" s="37">
        <f t="shared" si="698"/>
        <v>16.64</v>
      </c>
      <c r="N1648" s="29">
        <v>11.67</v>
      </c>
      <c r="O1648" s="41"/>
      <c r="P1648" s="11"/>
      <c r="Q1648"/>
      <c r="R1648" t="s">
        <v>1017</v>
      </c>
      <c r="S1648" t="s">
        <v>4179</v>
      </c>
      <c r="T1648" s="145" t="s">
        <v>4179</v>
      </c>
      <c r="U1648" s="42"/>
      <c r="V1648"/>
      <c r="W1648" s="50"/>
      <c r="X1648" s="50"/>
      <c r="Y1648"/>
      <c r="Z1648"/>
      <c r="AA1648" s="50"/>
      <c r="AB1648"/>
      <c r="AC1648"/>
      <c r="AD1648" s="50"/>
      <c r="AE1648" s="75" t="s">
        <v>1017</v>
      </c>
      <c r="AF1648" s="50"/>
      <c r="AG1648" s="50"/>
      <c r="AH1648" s="166" t="str">
        <f t="shared" si="701"/>
        <v>2010</v>
      </c>
      <c r="AI1648" s="168" t="str">
        <f t="shared" si="690"/>
        <v/>
      </c>
      <c r="AJ1648" s="168" t="str">
        <f t="shared" si="691"/>
        <v/>
      </c>
      <c r="AK1648" s="168" t="str">
        <f t="shared" si="692"/>
        <v/>
      </c>
      <c r="AL1648" s="168" t="str">
        <f t="shared" si="693"/>
        <v/>
      </c>
      <c r="AM1648" s="168" t="str">
        <f t="shared" si="694"/>
        <v/>
      </c>
      <c r="AN1648" s="167" t="str">
        <f t="shared" si="677"/>
        <v>2010</v>
      </c>
      <c r="AO1648" s="167" t="str">
        <f t="shared" si="678"/>
        <v>2010</v>
      </c>
      <c r="AP1648" s="167" t="str">
        <f t="shared" si="679"/>
        <v>2010</v>
      </c>
      <c r="AQ1648" s="169" t="str">
        <f t="shared" si="680"/>
        <v/>
      </c>
      <c r="AR1648" s="170" t="str">
        <f t="shared" si="681"/>
        <v>BiK81bK10---07</v>
      </c>
      <c r="AS1648" s="169" t="str">
        <f t="shared" si="682"/>
        <v/>
      </c>
      <c r="AT1648">
        <f t="shared" si="683"/>
        <v>14</v>
      </c>
      <c r="AU1648" s="170" t="str">
        <f t="shared" si="684"/>
        <v>0-0,15 MW, Bonusregeln b und K erstmals 2010</v>
      </c>
      <c r="AV1648" s="169" t="str">
        <f t="shared" si="685"/>
        <v/>
      </c>
      <c r="AW1648" s="170" t="str">
        <f t="shared" si="686"/>
        <v>Anteil KWK, erstmals 2010</v>
      </c>
      <c r="AX1648" s="169" t="str">
        <f t="shared" si="687"/>
        <v/>
      </c>
      <c r="AY1648" t="str">
        <f t="shared" si="688"/>
        <v/>
      </c>
      <c r="AZ1648" t="str">
        <f t="shared" si="689"/>
        <v/>
      </c>
    </row>
    <row r="1649" spans="1:52" s="145" customFormat="1" x14ac:dyDescent="0.35">
      <c r="A1649" s="497" t="s">
        <v>5396</v>
      </c>
      <c r="B1649" s="13" t="s">
        <v>5547</v>
      </c>
      <c r="C1649" s="13" t="s">
        <v>1304</v>
      </c>
      <c r="D1649" s="13" t="s">
        <v>6907</v>
      </c>
      <c r="E1649" s="13" t="s">
        <v>3054</v>
      </c>
      <c r="F1649" s="373">
        <f t="shared" si="696"/>
        <v>16.61</v>
      </c>
      <c r="G1649" s="430">
        <v>16.61</v>
      </c>
      <c r="H1649" s="399">
        <f t="shared" si="697"/>
        <v>13.29</v>
      </c>
      <c r="I1649" s="576"/>
      <c r="J1649" s="549" t="s">
        <v>5804</v>
      </c>
      <c r="K1649" s="11"/>
      <c r="L1649"/>
      <c r="M1649" s="37">
        <f t="shared" si="698"/>
        <v>16.61</v>
      </c>
      <c r="N1649" s="29">
        <v>11.67</v>
      </c>
      <c r="O1649" s="41"/>
      <c r="P1649" s="11"/>
      <c r="Q1649"/>
      <c r="R1649"/>
      <c r="S1649" t="s">
        <v>1017</v>
      </c>
      <c r="T1649" s="145" t="s">
        <v>4179</v>
      </c>
      <c r="U1649" s="42"/>
      <c r="V1649"/>
      <c r="W1649" s="50"/>
      <c r="X1649" s="50"/>
      <c r="Y1649"/>
      <c r="Z1649"/>
      <c r="AA1649" s="50"/>
      <c r="AB1649"/>
      <c r="AC1649"/>
      <c r="AD1649" s="50"/>
      <c r="AE1649" s="75" t="s">
        <v>1017</v>
      </c>
      <c r="AF1649" s="50"/>
      <c r="AG1649" s="50"/>
      <c r="AH1649" s="166" t="str">
        <f t="shared" si="701"/>
        <v>2011</v>
      </c>
      <c r="AI1649" s="168" t="str">
        <f t="shared" si="690"/>
        <v/>
      </c>
      <c r="AJ1649" s="168" t="str">
        <f t="shared" si="691"/>
        <v/>
      </c>
      <c r="AK1649" s="168" t="str">
        <f t="shared" si="692"/>
        <v/>
      </c>
      <c r="AL1649" s="168" t="str">
        <f t="shared" si="693"/>
        <v/>
      </c>
      <c r="AM1649" s="168" t="str">
        <f t="shared" si="694"/>
        <v/>
      </c>
      <c r="AN1649" s="167" t="str">
        <f t="shared" si="677"/>
        <v>2011</v>
      </c>
      <c r="AO1649" s="167" t="str">
        <f t="shared" si="678"/>
        <v>2011</v>
      </c>
      <c r="AP1649" s="167" t="str">
        <f t="shared" si="679"/>
        <v>2011</v>
      </c>
      <c r="AQ1649" s="169" t="str">
        <f t="shared" si="680"/>
        <v/>
      </c>
      <c r="AR1649" s="170" t="str">
        <f t="shared" si="681"/>
        <v>BiK81bK11---07</v>
      </c>
      <c r="AS1649" s="169" t="str">
        <f t="shared" si="682"/>
        <v/>
      </c>
      <c r="AT1649">
        <f t="shared" si="683"/>
        <v>14</v>
      </c>
      <c r="AU1649" s="170" t="str">
        <f t="shared" si="684"/>
        <v>0-0,15 MW, Bonusregeln b und K erstmals 2011</v>
      </c>
      <c r="AV1649" s="169" t="str">
        <f t="shared" si="685"/>
        <v/>
      </c>
      <c r="AW1649" s="170" t="str">
        <f t="shared" si="686"/>
        <v>Anteil KWK, erstmals 2011</v>
      </c>
      <c r="AX1649" s="169" t="str">
        <f t="shared" si="687"/>
        <v/>
      </c>
      <c r="AY1649" t="str">
        <f t="shared" si="688"/>
        <v>x</v>
      </c>
      <c r="AZ1649" t="str">
        <f t="shared" si="689"/>
        <v/>
      </c>
    </row>
    <row r="1650" spans="1:52" s="145" customFormat="1" x14ac:dyDescent="0.35">
      <c r="A1650" s="511" t="s">
        <v>1822</v>
      </c>
      <c r="B1650" s="173" t="s">
        <v>5547</v>
      </c>
      <c r="C1650" s="173" t="s">
        <v>1304</v>
      </c>
      <c r="D1650" s="173" t="s">
        <v>6908</v>
      </c>
      <c r="E1650" s="173" t="s">
        <v>1980</v>
      </c>
      <c r="F1650" s="374">
        <f t="shared" si="696"/>
        <v>16.579999999999998</v>
      </c>
      <c r="G1650" s="431">
        <v>16.579999999999998</v>
      </c>
      <c r="H1650" s="400">
        <f t="shared" si="697"/>
        <v>13.26</v>
      </c>
      <c r="I1650" s="577"/>
      <c r="J1650" s="549" t="s">
        <v>5804</v>
      </c>
      <c r="K1650" s="11"/>
      <c r="L1650"/>
      <c r="M1650" s="37">
        <f t="shared" si="698"/>
        <v>16.579999999999998</v>
      </c>
      <c r="N1650" s="29">
        <v>11.67</v>
      </c>
      <c r="O1650" s="41"/>
      <c r="P1650" s="11"/>
      <c r="Q1650"/>
      <c r="R1650"/>
      <c r="S1650" t="s">
        <v>4179</v>
      </c>
      <c r="T1650" s="145" t="s">
        <v>1017</v>
      </c>
      <c r="U1650" s="42"/>
      <c r="V1650"/>
      <c r="W1650" s="50"/>
      <c r="X1650" s="50"/>
      <c r="Y1650"/>
      <c r="Z1650"/>
      <c r="AA1650" s="50"/>
      <c r="AB1650"/>
      <c r="AC1650"/>
      <c r="AD1650" s="50"/>
      <c r="AE1650" s="75" t="s">
        <v>1017</v>
      </c>
      <c r="AF1650" s="50"/>
      <c r="AG1650" s="50"/>
      <c r="AH1650" s="171" t="s">
        <v>4178</v>
      </c>
      <c r="AI1650" s="168" t="str">
        <f t="shared" si="690"/>
        <v/>
      </c>
      <c r="AJ1650" s="168" t="str">
        <f t="shared" si="691"/>
        <v/>
      </c>
      <c r="AK1650" s="168" t="str">
        <f t="shared" si="692"/>
        <v/>
      </c>
      <c r="AL1650" s="168" t="str">
        <f t="shared" si="693"/>
        <v/>
      </c>
      <c r="AM1650" s="168" t="str">
        <f t="shared" si="694"/>
        <v/>
      </c>
      <c r="AN1650" s="167" t="str">
        <f t="shared" si="677"/>
        <v>2012</v>
      </c>
      <c r="AO1650" s="167" t="str">
        <f t="shared" si="678"/>
        <v>2012</v>
      </c>
      <c r="AP1650" s="167" t="str">
        <f t="shared" si="679"/>
        <v>2012</v>
      </c>
      <c r="AQ1650" s="169" t="str">
        <f t="shared" si="680"/>
        <v/>
      </c>
      <c r="AR1650" s="170" t="str">
        <f t="shared" si="681"/>
        <v>BiK81bK12---07</v>
      </c>
      <c r="AS1650" s="169" t="str">
        <f t="shared" si="682"/>
        <v/>
      </c>
      <c r="AT1650">
        <f t="shared" si="683"/>
        <v>14</v>
      </c>
      <c r="AU1650" s="170" t="str">
        <f t="shared" si="684"/>
        <v>0-0,15 MW, Bonusregeln b und K erstmals 2012</v>
      </c>
      <c r="AV1650" s="169" t="str">
        <f t="shared" si="685"/>
        <v/>
      </c>
      <c r="AW1650" s="170" t="str">
        <f t="shared" si="686"/>
        <v>Anteil KWK, erstmals 2012</v>
      </c>
      <c r="AX1650" s="169" t="str">
        <f t="shared" si="687"/>
        <v/>
      </c>
      <c r="AY1650" t="str">
        <f t="shared" si="688"/>
        <v/>
      </c>
      <c r="AZ1650" t="str">
        <f t="shared" si="689"/>
        <v>x</v>
      </c>
    </row>
    <row r="1651" spans="1:52" s="145" customFormat="1" x14ac:dyDescent="0.35">
      <c r="A1651" s="497" t="s">
        <v>3634</v>
      </c>
      <c r="B1651" s="13" t="s">
        <v>5547</v>
      </c>
      <c r="C1651" s="13" t="s">
        <v>1304</v>
      </c>
      <c r="D1651" s="13" t="s">
        <v>6909</v>
      </c>
      <c r="E1651" s="13" t="s">
        <v>4809</v>
      </c>
      <c r="F1651" s="373">
        <f t="shared" si="696"/>
        <v>14.67</v>
      </c>
      <c r="G1651" s="430">
        <v>14.67</v>
      </c>
      <c r="H1651" s="399">
        <f t="shared" si="697"/>
        <v>11.74</v>
      </c>
      <c r="I1651" s="576"/>
      <c r="J1651" s="549" t="s">
        <v>5804</v>
      </c>
      <c r="K1651" s="11"/>
      <c r="L1651"/>
      <c r="M1651" s="37">
        <f t="shared" si="698"/>
        <v>14.67</v>
      </c>
      <c r="N1651" s="29">
        <v>11.67</v>
      </c>
      <c r="O1651" s="41"/>
      <c r="P1651" s="11"/>
      <c r="Q1651"/>
      <c r="R1651"/>
      <c r="S1651" t="s">
        <v>4179</v>
      </c>
      <c r="T1651" s="145" t="s">
        <v>4179</v>
      </c>
      <c r="U1651" s="42" t="s">
        <v>1017</v>
      </c>
      <c r="V1651"/>
      <c r="W1651" s="50"/>
      <c r="X1651" s="50"/>
      <c r="Y1651"/>
      <c r="Z1651"/>
      <c r="AA1651" s="50"/>
      <c r="AB1651"/>
      <c r="AC1651"/>
      <c r="AD1651" s="50"/>
      <c r="AE1651" s="75" t="s">
        <v>1017</v>
      </c>
      <c r="AF1651" s="50"/>
      <c r="AG1651" s="50"/>
      <c r="AH1651" s="166" t="str">
        <f t="shared" ref="AH1651:AH1656" si="702">IF(ISERROR(SEARCH("K erstmals 201",D1651)),"",RIGHT(D1651,4))</f>
        <v/>
      </c>
      <c r="AI1651" s="168" t="str">
        <f t="shared" si="690"/>
        <v/>
      </c>
      <c r="AJ1651" s="168" t="str">
        <f t="shared" si="691"/>
        <v/>
      </c>
      <c r="AK1651" s="168" t="str">
        <f t="shared" si="692"/>
        <v/>
      </c>
      <c r="AL1651" s="168" t="str">
        <f t="shared" si="693"/>
        <v/>
      </c>
      <c r="AM1651" s="168" t="str">
        <f t="shared" si="694"/>
        <v/>
      </c>
      <c r="AN1651" s="167" t="str">
        <f t="shared" si="677"/>
        <v/>
      </c>
      <c r="AO1651" s="167" t="str">
        <f t="shared" si="678"/>
        <v/>
      </c>
      <c r="AP1651" s="167" t="str">
        <f t="shared" si="679"/>
        <v/>
      </c>
      <c r="AQ1651" s="169" t="str">
        <f t="shared" si="680"/>
        <v/>
      </c>
      <c r="AR1651" s="170" t="str">
        <f t="shared" si="681"/>
        <v>BiK81by-----07</v>
      </c>
      <c r="AS1651" s="169" t="str">
        <f t="shared" si="682"/>
        <v/>
      </c>
      <c r="AT1651">
        <f t="shared" si="683"/>
        <v>14</v>
      </c>
      <c r="AU1651" s="170" t="str">
        <f t="shared" si="684"/>
        <v>0-0,15 MW, Bonusregeln b, y</v>
      </c>
      <c r="AV1651" s="169" t="str">
        <f t="shared" si="685"/>
        <v/>
      </c>
      <c r="AW1651" s="170" t="str">
        <f t="shared" si="686"/>
        <v>Anteil Nicht-KWK</v>
      </c>
      <c r="AX1651" s="169" t="str">
        <f t="shared" si="687"/>
        <v/>
      </c>
      <c r="AY1651" t="str">
        <f t="shared" si="688"/>
        <v/>
      </c>
      <c r="AZ1651" t="str">
        <f t="shared" si="689"/>
        <v/>
      </c>
    </row>
    <row r="1652" spans="1:52" s="145" customFormat="1" x14ac:dyDescent="0.35">
      <c r="A1652" s="497" t="s">
        <v>3635</v>
      </c>
      <c r="B1652" s="13" t="s">
        <v>5547</v>
      </c>
      <c r="C1652" s="13" t="s">
        <v>1304</v>
      </c>
      <c r="D1652" s="13" t="s">
        <v>6910</v>
      </c>
      <c r="E1652" s="13" t="s">
        <v>4811</v>
      </c>
      <c r="F1652" s="373">
        <f t="shared" si="696"/>
        <v>16.670000000000002</v>
      </c>
      <c r="G1652" s="430">
        <v>16.670000000000002</v>
      </c>
      <c r="H1652" s="399">
        <f t="shared" si="697"/>
        <v>13.34</v>
      </c>
      <c r="I1652" s="576"/>
      <c r="J1652" s="549" t="s">
        <v>5804</v>
      </c>
      <c r="K1652" s="11"/>
      <c r="L1652"/>
      <c r="M1652" s="37">
        <f t="shared" si="698"/>
        <v>16.670000000000002</v>
      </c>
      <c r="N1652" s="29">
        <v>11.67</v>
      </c>
      <c r="O1652" s="41" t="s">
        <v>1017</v>
      </c>
      <c r="P1652" s="11"/>
      <c r="Q1652"/>
      <c r="R1652"/>
      <c r="S1652" t="s">
        <v>4179</v>
      </c>
      <c r="T1652" s="145" t="s">
        <v>4179</v>
      </c>
      <c r="U1652" s="42" t="s">
        <v>1017</v>
      </c>
      <c r="V1652"/>
      <c r="W1652" s="50"/>
      <c r="X1652" s="50"/>
      <c r="Y1652"/>
      <c r="Z1652"/>
      <c r="AA1652" s="50"/>
      <c r="AB1652"/>
      <c r="AC1652"/>
      <c r="AD1652" s="50"/>
      <c r="AE1652" s="75" t="s">
        <v>1017</v>
      </c>
      <c r="AF1652" s="50"/>
      <c r="AG1652" s="50"/>
      <c r="AH1652" s="166" t="str">
        <f t="shared" si="702"/>
        <v/>
      </c>
      <c r="AI1652" s="168" t="str">
        <f t="shared" si="690"/>
        <v/>
      </c>
      <c r="AJ1652" s="168" t="str">
        <f t="shared" si="691"/>
        <v/>
      </c>
      <c r="AK1652" s="168" t="str">
        <f t="shared" si="692"/>
        <v/>
      </c>
      <c r="AL1652" s="168" t="str">
        <f t="shared" si="693"/>
        <v/>
      </c>
      <c r="AM1652" s="168" t="str">
        <f t="shared" si="694"/>
        <v/>
      </c>
      <c r="AN1652" s="167" t="str">
        <f t="shared" si="677"/>
        <v/>
      </c>
      <c r="AO1652" s="167" t="str">
        <f t="shared" si="678"/>
        <v/>
      </c>
      <c r="AP1652" s="167" t="str">
        <f t="shared" si="679"/>
        <v/>
      </c>
      <c r="AQ1652" s="169" t="str">
        <f t="shared" si="680"/>
        <v/>
      </c>
      <c r="AR1652" s="170" t="str">
        <f t="shared" si="681"/>
        <v>BiK81bKWKy--07</v>
      </c>
      <c r="AS1652" s="169" t="str">
        <f t="shared" si="682"/>
        <v/>
      </c>
      <c r="AT1652">
        <f t="shared" si="683"/>
        <v>14</v>
      </c>
      <c r="AU1652" s="170" t="str">
        <f t="shared" si="684"/>
        <v>0-0,15 MW, Bonusregeln b, y und KWK</v>
      </c>
      <c r="AV1652" s="169" t="str">
        <f t="shared" si="685"/>
        <v/>
      </c>
      <c r="AW1652" s="170" t="str">
        <f t="shared" si="686"/>
        <v>Anteil KWK</v>
      </c>
      <c r="AX1652" s="169" t="str">
        <f t="shared" si="687"/>
        <v/>
      </c>
      <c r="AY1652" t="str">
        <f t="shared" si="688"/>
        <v/>
      </c>
      <c r="AZ1652" t="str">
        <f t="shared" si="689"/>
        <v/>
      </c>
    </row>
    <row r="1653" spans="1:52" s="145" customFormat="1" x14ac:dyDescent="0.35">
      <c r="A1653" s="497" t="s">
        <v>3636</v>
      </c>
      <c r="B1653" s="13" t="s">
        <v>5547</v>
      </c>
      <c r="C1653" s="13" t="s">
        <v>1304</v>
      </c>
      <c r="D1653" s="13" t="s">
        <v>6911</v>
      </c>
      <c r="E1653" s="13" t="s">
        <v>4330</v>
      </c>
      <c r="F1653" s="373">
        <f t="shared" si="696"/>
        <v>17.670000000000002</v>
      </c>
      <c r="G1653" s="430">
        <v>17.670000000000002</v>
      </c>
      <c r="H1653" s="399">
        <f t="shared" si="697"/>
        <v>14.14</v>
      </c>
      <c r="I1653" s="576"/>
      <c r="J1653" s="549" t="s">
        <v>5804</v>
      </c>
      <c r="K1653" s="11"/>
      <c r="L1653"/>
      <c r="M1653" s="37">
        <f t="shared" si="698"/>
        <v>17.670000000000002</v>
      </c>
      <c r="N1653" s="29">
        <v>11.67</v>
      </c>
      <c r="O1653" s="41"/>
      <c r="P1653" t="s">
        <v>1017</v>
      </c>
      <c r="Q1653"/>
      <c r="R1653"/>
      <c r="S1653" t="s">
        <v>4179</v>
      </c>
      <c r="T1653" s="145" t="s">
        <v>4179</v>
      </c>
      <c r="U1653" s="42" t="s">
        <v>1017</v>
      </c>
      <c r="V1653"/>
      <c r="W1653" s="50"/>
      <c r="X1653" s="50"/>
      <c r="Y1653"/>
      <c r="Z1653"/>
      <c r="AA1653" s="50"/>
      <c r="AB1653"/>
      <c r="AC1653"/>
      <c r="AD1653" s="50"/>
      <c r="AE1653" s="75" t="s">
        <v>1017</v>
      </c>
      <c r="AF1653" s="50"/>
      <c r="AG1653" s="50"/>
      <c r="AH1653" s="166" t="str">
        <f t="shared" si="702"/>
        <v/>
      </c>
      <c r="AI1653" s="168" t="str">
        <f t="shared" si="690"/>
        <v/>
      </c>
      <c r="AJ1653" s="168" t="str">
        <f t="shared" si="691"/>
        <v/>
      </c>
      <c r="AK1653" s="168" t="str">
        <f t="shared" si="692"/>
        <v/>
      </c>
      <c r="AL1653" s="168" t="str">
        <f t="shared" si="693"/>
        <v/>
      </c>
      <c r="AM1653" s="168" t="str">
        <f t="shared" si="694"/>
        <v/>
      </c>
      <c r="AN1653" s="167" t="str">
        <f t="shared" si="677"/>
        <v/>
      </c>
      <c r="AO1653" s="167" t="str">
        <f t="shared" si="678"/>
        <v/>
      </c>
      <c r="AP1653" s="167" t="str">
        <f t="shared" si="679"/>
        <v/>
      </c>
      <c r="AQ1653" s="169" t="str">
        <f t="shared" si="680"/>
        <v/>
      </c>
      <c r="AR1653" s="170" t="str">
        <f t="shared" si="681"/>
        <v>BiK81bKA3y--07</v>
      </c>
      <c r="AS1653" s="169" t="str">
        <f t="shared" si="682"/>
        <v/>
      </c>
      <c r="AT1653">
        <f t="shared" si="683"/>
        <v>14</v>
      </c>
      <c r="AU1653" s="170" t="str">
        <f t="shared" si="684"/>
        <v>0-0,15 MW, Bonusregeln b, y und K wenn Anlage 3 erfüllt</v>
      </c>
      <c r="AV1653" s="169" t="str">
        <f t="shared" si="685"/>
        <v/>
      </c>
      <c r="AW1653" s="170" t="str">
        <f t="shared" si="686"/>
        <v>Anteil KWK gemäß Anlage 3</v>
      </c>
      <c r="AX1653" s="169" t="str">
        <f t="shared" si="687"/>
        <v/>
      </c>
      <c r="AY1653" t="str">
        <f t="shared" si="688"/>
        <v/>
      </c>
      <c r="AZ1653" t="str">
        <f t="shared" si="689"/>
        <v/>
      </c>
    </row>
    <row r="1654" spans="1:52" s="145" customFormat="1" x14ac:dyDescent="0.35">
      <c r="A1654" s="497" t="s">
        <v>3637</v>
      </c>
      <c r="B1654" s="13" t="s">
        <v>5547</v>
      </c>
      <c r="C1654" s="13" t="s">
        <v>1304</v>
      </c>
      <c r="D1654" s="13" t="s">
        <v>6912</v>
      </c>
      <c r="E1654" s="13" t="s">
        <v>674</v>
      </c>
      <c r="F1654" s="373">
        <f t="shared" si="696"/>
        <v>17.670000000000002</v>
      </c>
      <c r="G1654" s="430">
        <v>17.670000000000002</v>
      </c>
      <c r="H1654" s="399">
        <f t="shared" si="697"/>
        <v>14.14</v>
      </c>
      <c r="I1654" s="576"/>
      <c r="J1654" s="549" t="s">
        <v>5804</v>
      </c>
      <c r="K1654" s="11"/>
      <c r="L1654"/>
      <c r="M1654" s="37">
        <f t="shared" si="698"/>
        <v>17.670000000000002</v>
      </c>
      <c r="N1654" s="29">
        <v>11.67</v>
      </c>
      <c r="O1654" s="41"/>
      <c r="P1654" s="11"/>
      <c r="Q1654" t="s">
        <v>1017</v>
      </c>
      <c r="R1654"/>
      <c r="S1654" t="s">
        <v>4179</v>
      </c>
      <c r="T1654" s="145" t="s">
        <v>4179</v>
      </c>
      <c r="U1654" s="42" t="s">
        <v>1017</v>
      </c>
      <c r="V1654"/>
      <c r="W1654" s="50"/>
      <c r="X1654" s="50"/>
      <c r="Y1654"/>
      <c r="Z1654"/>
      <c r="AA1654" s="50"/>
      <c r="AB1654"/>
      <c r="AC1654"/>
      <c r="AD1654" s="50"/>
      <c r="AE1654" s="75" t="s">
        <v>1017</v>
      </c>
      <c r="AF1654" s="50"/>
      <c r="AG1654" s="50"/>
      <c r="AH1654" s="166" t="str">
        <f t="shared" si="702"/>
        <v/>
      </c>
      <c r="AI1654" s="168" t="str">
        <f t="shared" si="690"/>
        <v/>
      </c>
      <c r="AJ1654" s="168" t="str">
        <f t="shared" si="691"/>
        <v/>
      </c>
      <c r="AK1654" s="168" t="str">
        <f t="shared" si="692"/>
        <v/>
      </c>
      <c r="AL1654" s="168" t="str">
        <f t="shared" si="693"/>
        <v/>
      </c>
      <c r="AM1654" s="168" t="str">
        <f t="shared" si="694"/>
        <v/>
      </c>
      <c r="AN1654" s="167" t="str">
        <f t="shared" si="677"/>
        <v/>
      </c>
      <c r="AO1654" s="167" t="str">
        <f t="shared" si="678"/>
        <v/>
      </c>
      <c r="AP1654" s="167" t="str">
        <f t="shared" si="679"/>
        <v/>
      </c>
      <c r="AQ1654" s="169" t="str">
        <f t="shared" si="680"/>
        <v/>
      </c>
      <c r="AR1654" s="170" t="str">
        <f t="shared" si="681"/>
        <v>BiK81bK09y--07</v>
      </c>
      <c r="AS1654" s="169" t="str">
        <f t="shared" si="682"/>
        <v/>
      </c>
      <c r="AT1654">
        <f t="shared" si="683"/>
        <v>14</v>
      </c>
      <c r="AU1654" s="170" t="str">
        <f t="shared" si="684"/>
        <v>0-0,15 MW, Bonusregeln b, y und K erstmals 2009</v>
      </c>
      <c r="AV1654" s="169" t="str">
        <f t="shared" si="685"/>
        <v/>
      </c>
      <c r="AW1654" s="170" t="str">
        <f t="shared" si="686"/>
        <v>Anteil KWK, erstmals 2009</v>
      </c>
      <c r="AX1654" s="169" t="str">
        <f t="shared" si="687"/>
        <v/>
      </c>
      <c r="AY1654" t="str">
        <f t="shared" si="688"/>
        <v/>
      </c>
      <c r="AZ1654" t="str">
        <f t="shared" si="689"/>
        <v/>
      </c>
    </row>
    <row r="1655" spans="1:52" s="145" customFormat="1" x14ac:dyDescent="0.35">
      <c r="A1655" s="497" t="s">
        <v>4953</v>
      </c>
      <c r="B1655" s="13" t="s">
        <v>5547</v>
      </c>
      <c r="C1655" s="13" t="s">
        <v>1304</v>
      </c>
      <c r="D1655" s="13" t="s">
        <v>6913</v>
      </c>
      <c r="E1655" s="13" t="s">
        <v>3566</v>
      </c>
      <c r="F1655" s="373">
        <f t="shared" si="696"/>
        <v>17.64</v>
      </c>
      <c r="G1655" s="430">
        <v>17.64</v>
      </c>
      <c r="H1655" s="399">
        <f t="shared" si="697"/>
        <v>14.11</v>
      </c>
      <c r="I1655" s="576"/>
      <c r="J1655" s="549" t="s">
        <v>5804</v>
      </c>
      <c r="K1655" s="11"/>
      <c r="L1655"/>
      <c r="M1655" s="37">
        <f t="shared" si="698"/>
        <v>17.64</v>
      </c>
      <c r="N1655" s="29">
        <v>11.67</v>
      </c>
      <c r="O1655" s="41"/>
      <c r="P1655" s="11"/>
      <c r="Q1655"/>
      <c r="R1655" t="s">
        <v>1017</v>
      </c>
      <c r="S1655" t="s">
        <v>4179</v>
      </c>
      <c r="T1655" s="145" t="s">
        <v>4179</v>
      </c>
      <c r="U1655" s="42" t="s">
        <v>1017</v>
      </c>
      <c r="V1655"/>
      <c r="W1655" s="50"/>
      <c r="X1655" s="50"/>
      <c r="Y1655"/>
      <c r="Z1655"/>
      <c r="AA1655" s="50"/>
      <c r="AB1655"/>
      <c r="AC1655"/>
      <c r="AD1655" s="50"/>
      <c r="AE1655" s="75" t="s">
        <v>1017</v>
      </c>
      <c r="AF1655" s="50"/>
      <c r="AG1655" s="50"/>
      <c r="AH1655" s="166" t="str">
        <f t="shared" si="702"/>
        <v>2010</v>
      </c>
      <c r="AI1655" s="168" t="str">
        <f t="shared" si="690"/>
        <v/>
      </c>
      <c r="AJ1655" s="168" t="str">
        <f t="shared" si="691"/>
        <v/>
      </c>
      <c r="AK1655" s="168" t="str">
        <f t="shared" si="692"/>
        <v/>
      </c>
      <c r="AL1655" s="168" t="str">
        <f t="shared" si="693"/>
        <v/>
      </c>
      <c r="AM1655" s="168" t="str">
        <f t="shared" si="694"/>
        <v/>
      </c>
      <c r="AN1655" s="167" t="str">
        <f t="shared" si="677"/>
        <v>2010</v>
      </c>
      <c r="AO1655" s="167" t="str">
        <f t="shared" si="678"/>
        <v>2010</v>
      </c>
      <c r="AP1655" s="167" t="str">
        <f t="shared" si="679"/>
        <v>2010</v>
      </c>
      <c r="AQ1655" s="169" t="str">
        <f t="shared" si="680"/>
        <v/>
      </c>
      <c r="AR1655" s="170" t="str">
        <f t="shared" si="681"/>
        <v>BiK81bK10y--07</v>
      </c>
      <c r="AS1655" s="169" t="str">
        <f t="shared" si="682"/>
        <v/>
      </c>
      <c r="AT1655">
        <f t="shared" si="683"/>
        <v>14</v>
      </c>
      <c r="AU1655" s="170" t="str">
        <f t="shared" si="684"/>
        <v>0-0,15 MW, Bonusregeln b, y und K erstmals 2010</v>
      </c>
      <c r="AV1655" s="169" t="str">
        <f t="shared" si="685"/>
        <v/>
      </c>
      <c r="AW1655" s="170" t="str">
        <f t="shared" si="686"/>
        <v>Anteil KWK, erstmals 2010</v>
      </c>
      <c r="AX1655" s="169" t="str">
        <f t="shared" si="687"/>
        <v/>
      </c>
      <c r="AY1655" t="str">
        <f t="shared" si="688"/>
        <v/>
      </c>
      <c r="AZ1655" t="str">
        <f t="shared" si="689"/>
        <v/>
      </c>
    </row>
    <row r="1656" spans="1:52" s="145" customFormat="1" x14ac:dyDescent="0.35">
      <c r="A1656" s="497" t="s">
        <v>5397</v>
      </c>
      <c r="B1656" s="13" t="s">
        <v>5547</v>
      </c>
      <c r="C1656" s="13" t="s">
        <v>1304</v>
      </c>
      <c r="D1656" s="13" t="s">
        <v>6914</v>
      </c>
      <c r="E1656" s="13" t="s">
        <v>3054</v>
      </c>
      <c r="F1656" s="373">
        <f t="shared" si="696"/>
        <v>17.61</v>
      </c>
      <c r="G1656" s="430">
        <v>17.61</v>
      </c>
      <c r="H1656" s="399">
        <f t="shared" si="697"/>
        <v>14.09</v>
      </c>
      <c r="I1656" s="576"/>
      <c r="J1656" s="549" t="s">
        <v>5804</v>
      </c>
      <c r="K1656" s="11"/>
      <c r="L1656"/>
      <c r="M1656" s="37">
        <f t="shared" si="698"/>
        <v>17.61</v>
      </c>
      <c r="N1656" s="29">
        <v>11.67</v>
      </c>
      <c r="O1656" s="41"/>
      <c r="P1656" s="11"/>
      <c r="Q1656"/>
      <c r="R1656"/>
      <c r="S1656" t="s">
        <v>1017</v>
      </c>
      <c r="T1656" s="145" t="s">
        <v>4179</v>
      </c>
      <c r="U1656" s="42" t="s">
        <v>1017</v>
      </c>
      <c r="V1656"/>
      <c r="W1656" s="50"/>
      <c r="X1656" s="50"/>
      <c r="Y1656"/>
      <c r="Z1656"/>
      <c r="AA1656" s="50"/>
      <c r="AB1656"/>
      <c r="AC1656"/>
      <c r="AD1656" s="50"/>
      <c r="AE1656" s="75" t="s">
        <v>1017</v>
      </c>
      <c r="AF1656" s="50"/>
      <c r="AG1656" s="50"/>
      <c r="AH1656" s="166" t="str">
        <f t="shared" si="702"/>
        <v>2011</v>
      </c>
      <c r="AI1656" s="168" t="str">
        <f t="shared" si="690"/>
        <v/>
      </c>
      <c r="AJ1656" s="168" t="str">
        <f t="shared" si="691"/>
        <v/>
      </c>
      <c r="AK1656" s="168" t="str">
        <f t="shared" si="692"/>
        <v/>
      </c>
      <c r="AL1656" s="168" t="str">
        <f t="shared" si="693"/>
        <v/>
      </c>
      <c r="AM1656" s="168" t="str">
        <f t="shared" si="694"/>
        <v/>
      </c>
      <c r="AN1656" s="167" t="str">
        <f t="shared" si="677"/>
        <v>2011</v>
      </c>
      <c r="AO1656" s="167" t="str">
        <f t="shared" si="678"/>
        <v>2011</v>
      </c>
      <c r="AP1656" s="167" t="str">
        <f t="shared" si="679"/>
        <v>2011</v>
      </c>
      <c r="AQ1656" s="169" t="str">
        <f t="shared" si="680"/>
        <v/>
      </c>
      <c r="AR1656" s="170" t="str">
        <f t="shared" si="681"/>
        <v>BiK81bK11y--07</v>
      </c>
      <c r="AS1656" s="169" t="str">
        <f t="shared" si="682"/>
        <v/>
      </c>
      <c r="AT1656">
        <f t="shared" si="683"/>
        <v>14</v>
      </c>
      <c r="AU1656" s="170" t="str">
        <f t="shared" si="684"/>
        <v>0-0,15 MW, Bonusregeln b, y und K erstmals 2011</v>
      </c>
      <c r="AV1656" s="169" t="str">
        <f t="shared" si="685"/>
        <v/>
      </c>
      <c r="AW1656" s="170" t="str">
        <f t="shared" si="686"/>
        <v>Anteil KWK, erstmals 2011</v>
      </c>
      <c r="AX1656" s="169" t="str">
        <f t="shared" si="687"/>
        <v/>
      </c>
      <c r="AY1656" t="str">
        <f t="shared" si="688"/>
        <v>x</v>
      </c>
      <c r="AZ1656" t="str">
        <f t="shared" si="689"/>
        <v/>
      </c>
    </row>
    <row r="1657" spans="1:52" s="145" customFormat="1" x14ac:dyDescent="0.35">
      <c r="A1657" s="511" t="s">
        <v>1823</v>
      </c>
      <c r="B1657" s="173" t="s">
        <v>5547</v>
      </c>
      <c r="C1657" s="173" t="s">
        <v>1304</v>
      </c>
      <c r="D1657" s="173" t="s">
        <v>6915</v>
      </c>
      <c r="E1657" s="173" t="s">
        <v>1980</v>
      </c>
      <c r="F1657" s="374">
        <f t="shared" si="696"/>
        <v>17.579999999999998</v>
      </c>
      <c r="G1657" s="431">
        <v>17.579999999999998</v>
      </c>
      <c r="H1657" s="400">
        <f t="shared" si="697"/>
        <v>14.06</v>
      </c>
      <c r="I1657" s="577"/>
      <c r="J1657" s="549" t="s">
        <v>5804</v>
      </c>
      <c r="K1657" s="11"/>
      <c r="L1657"/>
      <c r="M1657" s="37">
        <f t="shared" si="698"/>
        <v>17.579999999999998</v>
      </c>
      <c r="N1657" s="29">
        <v>11.67</v>
      </c>
      <c r="O1657" s="41"/>
      <c r="P1657" s="11"/>
      <c r="Q1657"/>
      <c r="R1657"/>
      <c r="S1657" t="s">
        <v>4179</v>
      </c>
      <c r="T1657" s="145" t="s">
        <v>1017</v>
      </c>
      <c r="U1657" s="42" t="s">
        <v>1017</v>
      </c>
      <c r="V1657"/>
      <c r="W1657" s="50"/>
      <c r="X1657" s="50"/>
      <c r="Y1657"/>
      <c r="Z1657"/>
      <c r="AA1657" s="50"/>
      <c r="AB1657"/>
      <c r="AC1657"/>
      <c r="AD1657" s="50"/>
      <c r="AE1657" s="75" t="s">
        <v>1017</v>
      </c>
      <c r="AF1657" s="50"/>
      <c r="AG1657" s="50"/>
      <c r="AH1657" s="171" t="s">
        <v>4178</v>
      </c>
      <c r="AI1657" s="168" t="str">
        <f t="shared" si="690"/>
        <v/>
      </c>
      <c r="AJ1657" s="168" t="str">
        <f t="shared" si="691"/>
        <v/>
      </c>
      <c r="AK1657" s="168" t="str">
        <f t="shared" si="692"/>
        <v/>
      </c>
      <c r="AL1657" s="168" t="str">
        <f t="shared" si="693"/>
        <v/>
      </c>
      <c r="AM1657" s="168" t="str">
        <f t="shared" si="694"/>
        <v/>
      </c>
      <c r="AN1657" s="167" t="str">
        <f t="shared" si="677"/>
        <v>2012</v>
      </c>
      <c r="AO1657" s="167" t="str">
        <f t="shared" si="678"/>
        <v>2012</v>
      </c>
      <c r="AP1657" s="167" t="str">
        <f t="shared" si="679"/>
        <v>2012</v>
      </c>
      <c r="AQ1657" s="169" t="str">
        <f t="shared" si="680"/>
        <v/>
      </c>
      <c r="AR1657" s="170" t="str">
        <f t="shared" si="681"/>
        <v>BiK81bK12y--07</v>
      </c>
      <c r="AS1657" s="169" t="str">
        <f t="shared" si="682"/>
        <v/>
      </c>
      <c r="AT1657">
        <f t="shared" si="683"/>
        <v>14</v>
      </c>
      <c r="AU1657" s="170" t="str">
        <f t="shared" si="684"/>
        <v>0-0,15 MW, Bonusregeln b, y und K erstmals 2012</v>
      </c>
      <c r="AV1657" s="169" t="str">
        <f t="shared" si="685"/>
        <v/>
      </c>
      <c r="AW1657" s="170" t="str">
        <f t="shared" si="686"/>
        <v>Anteil KWK, erstmals 2012</v>
      </c>
      <c r="AX1657" s="169" t="str">
        <f t="shared" si="687"/>
        <v/>
      </c>
      <c r="AY1657" t="str">
        <f t="shared" si="688"/>
        <v/>
      </c>
      <c r="AZ1657" t="str">
        <f t="shared" si="689"/>
        <v>x</v>
      </c>
    </row>
    <row r="1658" spans="1:52" s="145" customFormat="1" x14ac:dyDescent="0.35">
      <c r="A1658" s="505" t="s">
        <v>539</v>
      </c>
      <c r="B1658" s="23" t="s">
        <v>5547</v>
      </c>
      <c r="C1658" s="23" t="s">
        <v>1304</v>
      </c>
      <c r="D1658" s="23" t="s">
        <v>6916</v>
      </c>
      <c r="E1658" s="23" t="s">
        <v>4809</v>
      </c>
      <c r="F1658" s="378">
        <f t="shared" si="696"/>
        <v>19.670000000000002</v>
      </c>
      <c r="G1658" s="434">
        <v>19.670000000000002</v>
      </c>
      <c r="H1658" s="403">
        <f t="shared" si="697"/>
        <v>15.74</v>
      </c>
      <c r="I1658" s="581"/>
      <c r="J1658" s="549" t="s">
        <v>5804</v>
      </c>
      <c r="K1658" s="11"/>
      <c r="L1658"/>
      <c r="M1658" s="37">
        <f t="shared" si="698"/>
        <v>19.670000000000002</v>
      </c>
      <c r="N1658" s="29">
        <v>11.67</v>
      </c>
      <c r="O1658" s="41"/>
      <c r="P1658" s="11"/>
      <c r="Q1658"/>
      <c r="R1658"/>
      <c r="S1658" t="s">
        <v>4179</v>
      </c>
      <c r="T1658" s="145" t="s">
        <v>4179</v>
      </c>
      <c r="U1658" s="42"/>
      <c r="V1658" t="s">
        <v>1017</v>
      </c>
      <c r="W1658" s="50"/>
      <c r="X1658" s="50"/>
      <c r="Y1658"/>
      <c r="Z1658"/>
      <c r="AA1658" s="50"/>
      <c r="AB1658"/>
      <c r="AC1658"/>
      <c r="AD1658" s="50"/>
      <c r="AE1658" s="75" t="s">
        <v>1017</v>
      </c>
      <c r="AF1658" s="50"/>
      <c r="AG1658" s="50"/>
      <c r="AH1658" s="166" t="str">
        <f t="shared" ref="AH1658:AH1663" si="703">IF(ISERROR(SEARCH("K erstmals 201",D1658)),"",RIGHT(D1658,4))</f>
        <v/>
      </c>
      <c r="AI1658" s="168" t="str">
        <f t="shared" si="690"/>
        <v/>
      </c>
      <c r="AJ1658" s="168" t="str">
        <f t="shared" si="691"/>
        <v/>
      </c>
      <c r="AK1658" s="168" t="str">
        <f t="shared" si="692"/>
        <v/>
      </c>
      <c r="AL1658" s="168" t="str">
        <f t="shared" si="693"/>
        <v/>
      </c>
      <c r="AM1658" s="168" t="str">
        <f t="shared" si="694"/>
        <v/>
      </c>
      <c r="AN1658" s="167" t="str">
        <f t="shared" si="677"/>
        <v/>
      </c>
      <c r="AO1658" s="167" t="str">
        <f t="shared" si="678"/>
        <v/>
      </c>
      <c r="AP1658" s="167" t="str">
        <f t="shared" si="679"/>
        <v/>
      </c>
      <c r="AQ1658" s="169" t="str">
        <f t="shared" si="680"/>
        <v/>
      </c>
      <c r="AR1658" s="170" t="str">
        <f t="shared" si="681"/>
        <v>BiK81a1b----07</v>
      </c>
      <c r="AS1658" s="169" t="str">
        <f t="shared" si="682"/>
        <v/>
      </c>
      <c r="AT1658">
        <f t="shared" si="683"/>
        <v>14</v>
      </c>
      <c r="AU1658" s="170" t="str">
        <f t="shared" si="684"/>
        <v>0-0,15 MW, Bonusregeln a1 und b</v>
      </c>
      <c r="AV1658" s="169" t="str">
        <f t="shared" si="685"/>
        <v/>
      </c>
      <c r="AW1658" s="170" t="str">
        <f t="shared" si="686"/>
        <v>Anteil Nicht-KWK</v>
      </c>
      <c r="AX1658" s="169" t="str">
        <f t="shared" si="687"/>
        <v/>
      </c>
      <c r="AY1658" t="str">
        <f t="shared" si="688"/>
        <v/>
      </c>
      <c r="AZ1658" t="str">
        <f t="shared" si="689"/>
        <v/>
      </c>
    </row>
    <row r="1659" spans="1:52" s="145" customFormat="1" x14ac:dyDescent="0.35">
      <c r="A1659" s="505" t="s">
        <v>540</v>
      </c>
      <c r="B1659" s="23" t="s">
        <v>5547</v>
      </c>
      <c r="C1659" s="23" t="s">
        <v>1304</v>
      </c>
      <c r="D1659" s="23" t="s">
        <v>6917</v>
      </c>
      <c r="E1659" s="23" t="s">
        <v>4811</v>
      </c>
      <c r="F1659" s="378">
        <f t="shared" si="696"/>
        <v>21.67</v>
      </c>
      <c r="G1659" s="434">
        <v>21.67</v>
      </c>
      <c r="H1659" s="403">
        <f t="shared" si="697"/>
        <v>17.34</v>
      </c>
      <c r="I1659" s="581"/>
      <c r="J1659" s="549" t="s">
        <v>5804</v>
      </c>
      <c r="K1659" s="11"/>
      <c r="L1659"/>
      <c r="M1659" s="37">
        <f t="shared" si="698"/>
        <v>21.67</v>
      </c>
      <c r="N1659" s="29">
        <v>11.67</v>
      </c>
      <c r="O1659" s="41" t="s">
        <v>1017</v>
      </c>
      <c r="P1659" s="11"/>
      <c r="Q1659"/>
      <c r="R1659"/>
      <c r="S1659" t="s">
        <v>4179</v>
      </c>
      <c r="T1659" s="145" t="s">
        <v>4179</v>
      </c>
      <c r="U1659" s="42"/>
      <c r="V1659" t="s">
        <v>1017</v>
      </c>
      <c r="W1659" s="50"/>
      <c r="X1659" s="50"/>
      <c r="Y1659"/>
      <c r="Z1659"/>
      <c r="AA1659" s="50"/>
      <c r="AB1659"/>
      <c r="AC1659"/>
      <c r="AD1659" s="50"/>
      <c r="AE1659" s="75" t="s">
        <v>1017</v>
      </c>
      <c r="AF1659" s="50"/>
      <c r="AG1659" s="50"/>
      <c r="AH1659" s="166" t="str">
        <f t="shared" si="703"/>
        <v/>
      </c>
      <c r="AI1659" s="168" t="str">
        <f t="shared" si="690"/>
        <v/>
      </c>
      <c r="AJ1659" s="168" t="str">
        <f t="shared" si="691"/>
        <v/>
      </c>
      <c r="AK1659" s="168" t="str">
        <f t="shared" si="692"/>
        <v/>
      </c>
      <c r="AL1659" s="168" t="str">
        <f t="shared" si="693"/>
        <v/>
      </c>
      <c r="AM1659" s="168" t="str">
        <f t="shared" si="694"/>
        <v/>
      </c>
      <c r="AN1659" s="167" t="str">
        <f t="shared" si="677"/>
        <v/>
      </c>
      <c r="AO1659" s="167" t="str">
        <f t="shared" si="678"/>
        <v/>
      </c>
      <c r="AP1659" s="167" t="str">
        <f t="shared" si="679"/>
        <v/>
      </c>
      <c r="AQ1659" s="169" t="str">
        <f t="shared" si="680"/>
        <v/>
      </c>
      <c r="AR1659" s="170" t="str">
        <f t="shared" si="681"/>
        <v>BiK81a1bKWK-07</v>
      </c>
      <c r="AS1659" s="169" t="str">
        <f t="shared" si="682"/>
        <v/>
      </c>
      <c r="AT1659">
        <f t="shared" si="683"/>
        <v>14</v>
      </c>
      <c r="AU1659" s="170" t="str">
        <f t="shared" si="684"/>
        <v>0-0,15 MW, Bonusregeln a1, b und KWK</v>
      </c>
      <c r="AV1659" s="169" t="str">
        <f t="shared" si="685"/>
        <v/>
      </c>
      <c r="AW1659" s="170" t="str">
        <f t="shared" si="686"/>
        <v>Anteil KWK</v>
      </c>
      <c r="AX1659" s="169" t="str">
        <f t="shared" si="687"/>
        <v/>
      </c>
      <c r="AY1659" t="str">
        <f t="shared" si="688"/>
        <v/>
      </c>
      <c r="AZ1659" t="str">
        <f t="shared" si="689"/>
        <v/>
      </c>
    </row>
    <row r="1660" spans="1:52" s="145" customFormat="1" x14ac:dyDescent="0.35">
      <c r="A1660" s="497" t="s">
        <v>4360</v>
      </c>
      <c r="B1660" s="13" t="s">
        <v>5547</v>
      </c>
      <c r="C1660" s="13" t="s">
        <v>1304</v>
      </c>
      <c r="D1660" s="13" t="s">
        <v>6918</v>
      </c>
      <c r="E1660" s="13" t="s">
        <v>4330</v>
      </c>
      <c r="F1660" s="373">
        <f t="shared" si="696"/>
        <v>22.67</v>
      </c>
      <c r="G1660" s="430">
        <v>22.67</v>
      </c>
      <c r="H1660" s="399">
        <f t="shared" si="697"/>
        <v>18.14</v>
      </c>
      <c r="I1660" s="576"/>
      <c r="J1660" s="549" t="s">
        <v>5804</v>
      </c>
      <c r="K1660" s="11"/>
      <c r="L1660"/>
      <c r="M1660" s="37">
        <f t="shared" si="698"/>
        <v>22.67</v>
      </c>
      <c r="N1660" s="29">
        <v>11.67</v>
      </c>
      <c r="O1660" s="41"/>
      <c r="P1660" t="s">
        <v>1017</v>
      </c>
      <c r="Q1660"/>
      <c r="R1660"/>
      <c r="S1660" t="s">
        <v>4179</v>
      </c>
      <c r="T1660" s="145" t="s">
        <v>4179</v>
      </c>
      <c r="U1660" s="42"/>
      <c r="V1660" t="s">
        <v>1017</v>
      </c>
      <c r="W1660" s="50"/>
      <c r="X1660" s="50"/>
      <c r="Y1660"/>
      <c r="Z1660"/>
      <c r="AA1660" s="50"/>
      <c r="AB1660"/>
      <c r="AC1660"/>
      <c r="AD1660" s="50"/>
      <c r="AE1660" s="75" t="s">
        <v>1017</v>
      </c>
      <c r="AF1660" s="50"/>
      <c r="AG1660" s="50"/>
      <c r="AH1660" s="166" t="str">
        <f t="shared" si="703"/>
        <v/>
      </c>
      <c r="AI1660" s="168" t="str">
        <f t="shared" si="690"/>
        <v/>
      </c>
      <c r="AJ1660" s="168" t="str">
        <f t="shared" si="691"/>
        <v/>
      </c>
      <c r="AK1660" s="168" t="str">
        <f t="shared" si="692"/>
        <v/>
      </c>
      <c r="AL1660" s="168" t="str">
        <f t="shared" si="693"/>
        <v/>
      </c>
      <c r="AM1660" s="168" t="str">
        <f t="shared" si="694"/>
        <v/>
      </c>
      <c r="AN1660" s="167" t="str">
        <f t="shared" si="677"/>
        <v/>
      </c>
      <c r="AO1660" s="167" t="str">
        <f t="shared" si="678"/>
        <v/>
      </c>
      <c r="AP1660" s="167" t="str">
        <f t="shared" si="679"/>
        <v/>
      </c>
      <c r="AQ1660" s="169" t="str">
        <f t="shared" si="680"/>
        <v/>
      </c>
      <c r="AR1660" s="170" t="str">
        <f t="shared" si="681"/>
        <v>BiK81a1bKA3-07</v>
      </c>
      <c r="AS1660" s="169" t="str">
        <f t="shared" si="682"/>
        <v/>
      </c>
      <c r="AT1660">
        <f t="shared" si="683"/>
        <v>14</v>
      </c>
      <c r="AU1660" s="170" t="str">
        <f t="shared" si="684"/>
        <v>0-0,15 MW, Bonusregeln a1, b und K wenn Anlage 3 erfüllt</v>
      </c>
      <c r="AV1660" s="169" t="str">
        <f t="shared" si="685"/>
        <v/>
      </c>
      <c r="AW1660" s="170" t="str">
        <f t="shared" si="686"/>
        <v>Anteil KWK gemäß Anlage 3</v>
      </c>
      <c r="AX1660" s="169" t="str">
        <f t="shared" si="687"/>
        <v/>
      </c>
      <c r="AY1660" t="str">
        <f t="shared" si="688"/>
        <v/>
      </c>
      <c r="AZ1660" t="str">
        <f t="shared" si="689"/>
        <v/>
      </c>
    </row>
    <row r="1661" spans="1:52" s="145" customFormat="1" x14ac:dyDescent="0.35">
      <c r="A1661" s="497" t="s">
        <v>889</v>
      </c>
      <c r="B1661" s="13" t="s">
        <v>5547</v>
      </c>
      <c r="C1661" s="13" t="s">
        <v>1304</v>
      </c>
      <c r="D1661" s="13" t="s">
        <v>6919</v>
      </c>
      <c r="E1661" s="13" t="s">
        <v>674</v>
      </c>
      <c r="F1661" s="373">
        <f t="shared" si="696"/>
        <v>22.67</v>
      </c>
      <c r="G1661" s="430">
        <v>22.67</v>
      </c>
      <c r="H1661" s="399">
        <f t="shared" si="697"/>
        <v>18.14</v>
      </c>
      <c r="I1661" s="576"/>
      <c r="J1661" s="549" t="s">
        <v>5804</v>
      </c>
      <c r="K1661" s="11"/>
      <c r="L1661"/>
      <c r="M1661" s="37">
        <f t="shared" si="698"/>
        <v>22.67</v>
      </c>
      <c r="N1661" s="29">
        <v>11.67</v>
      </c>
      <c r="O1661" s="41"/>
      <c r="P1661" s="11"/>
      <c r="Q1661" t="s">
        <v>1017</v>
      </c>
      <c r="R1661"/>
      <c r="S1661" t="s">
        <v>4179</v>
      </c>
      <c r="T1661" s="145" t="s">
        <v>4179</v>
      </c>
      <c r="U1661" s="42"/>
      <c r="V1661" t="s">
        <v>1017</v>
      </c>
      <c r="W1661" s="50"/>
      <c r="X1661" s="50"/>
      <c r="Y1661"/>
      <c r="Z1661"/>
      <c r="AA1661" s="50"/>
      <c r="AB1661"/>
      <c r="AC1661"/>
      <c r="AD1661" s="50"/>
      <c r="AE1661" s="75" t="s">
        <v>1017</v>
      </c>
      <c r="AF1661" s="50"/>
      <c r="AG1661" s="50"/>
      <c r="AH1661" s="166" t="str">
        <f t="shared" si="703"/>
        <v/>
      </c>
      <c r="AI1661" s="168" t="str">
        <f t="shared" si="690"/>
        <v/>
      </c>
      <c r="AJ1661" s="168" t="str">
        <f t="shared" si="691"/>
        <v/>
      </c>
      <c r="AK1661" s="168" t="str">
        <f t="shared" si="692"/>
        <v/>
      </c>
      <c r="AL1661" s="168" t="str">
        <f t="shared" si="693"/>
        <v/>
      </c>
      <c r="AM1661" s="168" t="str">
        <f t="shared" si="694"/>
        <v/>
      </c>
      <c r="AN1661" s="167" t="str">
        <f t="shared" si="677"/>
        <v/>
      </c>
      <c r="AO1661" s="167" t="str">
        <f t="shared" si="678"/>
        <v/>
      </c>
      <c r="AP1661" s="167" t="str">
        <f t="shared" si="679"/>
        <v/>
      </c>
      <c r="AQ1661" s="169" t="str">
        <f t="shared" si="680"/>
        <v/>
      </c>
      <c r="AR1661" s="170" t="str">
        <f t="shared" si="681"/>
        <v>BiK81a1bK09-07</v>
      </c>
      <c r="AS1661" s="169" t="str">
        <f t="shared" si="682"/>
        <v/>
      </c>
      <c r="AT1661">
        <f t="shared" si="683"/>
        <v>14</v>
      </c>
      <c r="AU1661" s="170" t="str">
        <f t="shared" si="684"/>
        <v>0-0,15 MW, Bonusregeln a1, b und K erstmals 2009</v>
      </c>
      <c r="AV1661" s="169" t="str">
        <f t="shared" si="685"/>
        <v/>
      </c>
      <c r="AW1661" s="170" t="str">
        <f t="shared" si="686"/>
        <v>Anteil KWK, erstmals 2009</v>
      </c>
      <c r="AX1661" s="169" t="str">
        <f t="shared" si="687"/>
        <v/>
      </c>
      <c r="AY1661" t="str">
        <f t="shared" si="688"/>
        <v/>
      </c>
      <c r="AZ1661" t="str">
        <f t="shared" si="689"/>
        <v/>
      </c>
    </row>
    <row r="1662" spans="1:52" s="145" customFormat="1" x14ac:dyDescent="0.35">
      <c r="A1662" s="497" t="s">
        <v>4954</v>
      </c>
      <c r="B1662" s="13" t="s">
        <v>5547</v>
      </c>
      <c r="C1662" s="13" t="s">
        <v>1304</v>
      </c>
      <c r="D1662" s="13" t="s">
        <v>6920</v>
      </c>
      <c r="E1662" s="13" t="s">
        <v>3566</v>
      </c>
      <c r="F1662" s="373">
        <f t="shared" si="696"/>
        <v>22.64</v>
      </c>
      <c r="G1662" s="430">
        <v>22.64</v>
      </c>
      <c r="H1662" s="399">
        <f t="shared" si="697"/>
        <v>18.11</v>
      </c>
      <c r="I1662" s="576"/>
      <c r="J1662" s="549" t="s">
        <v>5804</v>
      </c>
      <c r="K1662" s="11"/>
      <c r="L1662"/>
      <c r="M1662" s="37">
        <f t="shared" si="698"/>
        <v>22.64</v>
      </c>
      <c r="N1662" s="29">
        <v>11.67</v>
      </c>
      <c r="O1662" s="41"/>
      <c r="P1662" s="11"/>
      <c r="Q1662"/>
      <c r="R1662" t="s">
        <v>1017</v>
      </c>
      <c r="S1662" t="s">
        <v>4179</v>
      </c>
      <c r="T1662" s="145" t="s">
        <v>4179</v>
      </c>
      <c r="U1662" s="42"/>
      <c r="V1662" t="s">
        <v>1017</v>
      </c>
      <c r="W1662" s="50"/>
      <c r="X1662" s="50"/>
      <c r="Y1662"/>
      <c r="Z1662"/>
      <c r="AA1662" s="50"/>
      <c r="AB1662"/>
      <c r="AC1662"/>
      <c r="AD1662" s="50"/>
      <c r="AE1662" s="75" t="s">
        <v>1017</v>
      </c>
      <c r="AF1662" s="50"/>
      <c r="AG1662" s="50"/>
      <c r="AH1662" s="166" t="str">
        <f t="shared" si="703"/>
        <v>2010</v>
      </c>
      <c r="AI1662" s="168" t="str">
        <f t="shared" si="690"/>
        <v/>
      </c>
      <c r="AJ1662" s="168" t="str">
        <f t="shared" si="691"/>
        <v/>
      </c>
      <c r="AK1662" s="168" t="str">
        <f t="shared" si="692"/>
        <v/>
      </c>
      <c r="AL1662" s="168" t="str">
        <f t="shared" si="693"/>
        <v/>
      </c>
      <c r="AM1662" s="168" t="str">
        <f t="shared" si="694"/>
        <v/>
      </c>
      <c r="AN1662" s="167" t="str">
        <f t="shared" si="677"/>
        <v>2010</v>
      </c>
      <c r="AO1662" s="167" t="str">
        <f t="shared" si="678"/>
        <v>2010</v>
      </c>
      <c r="AP1662" s="167" t="str">
        <f t="shared" si="679"/>
        <v>2010</v>
      </c>
      <c r="AQ1662" s="169" t="str">
        <f t="shared" si="680"/>
        <v/>
      </c>
      <c r="AR1662" s="170" t="str">
        <f t="shared" si="681"/>
        <v>BiK81a1bK10-07</v>
      </c>
      <c r="AS1662" s="169" t="str">
        <f t="shared" si="682"/>
        <v/>
      </c>
      <c r="AT1662">
        <f t="shared" si="683"/>
        <v>14</v>
      </c>
      <c r="AU1662" s="170" t="str">
        <f t="shared" si="684"/>
        <v>0-0,15 MW, Bonusregeln a1, b und K erstmals 2010</v>
      </c>
      <c r="AV1662" s="169" t="str">
        <f t="shared" si="685"/>
        <v/>
      </c>
      <c r="AW1662" s="170" t="str">
        <f t="shared" si="686"/>
        <v>Anteil KWK, erstmals 2010</v>
      </c>
      <c r="AX1662" s="169" t="str">
        <f t="shared" si="687"/>
        <v/>
      </c>
      <c r="AY1662" t="str">
        <f t="shared" si="688"/>
        <v/>
      </c>
      <c r="AZ1662" t="str">
        <f t="shared" si="689"/>
        <v/>
      </c>
    </row>
    <row r="1663" spans="1:52" s="145" customFormat="1" x14ac:dyDescent="0.35">
      <c r="A1663" s="497" t="s">
        <v>5398</v>
      </c>
      <c r="B1663" s="13" t="s">
        <v>5547</v>
      </c>
      <c r="C1663" s="13" t="s">
        <v>1304</v>
      </c>
      <c r="D1663" s="13" t="s">
        <v>6921</v>
      </c>
      <c r="E1663" s="13" t="s">
        <v>3054</v>
      </c>
      <c r="F1663" s="373">
        <f t="shared" si="696"/>
        <v>22.61</v>
      </c>
      <c r="G1663" s="430">
        <v>22.61</v>
      </c>
      <c r="H1663" s="399">
        <f t="shared" si="697"/>
        <v>18.09</v>
      </c>
      <c r="I1663" s="576"/>
      <c r="J1663" s="549" t="s">
        <v>5804</v>
      </c>
      <c r="K1663" s="11"/>
      <c r="L1663"/>
      <c r="M1663" s="37">
        <f t="shared" si="698"/>
        <v>22.61</v>
      </c>
      <c r="N1663" s="29">
        <v>11.67</v>
      </c>
      <c r="O1663" s="41"/>
      <c r="P1663" s="11"/>
      <c r="Q1663"/>
      <c r="R1663"/>
      <c r="S1663" t="s">
        <v>1017</v>
      </c>
      <c r="T1663" s="145" t="s">
        <v>4179</v>
      </c>
      <c r="U1663" s="42"/>
      <c r="V1663" t="s">
        <v>1017</v>
      </c>
      <c r="W1663" s="50"/>
      <c r="X1663" s="50"/>
      <c r="Y1663"/>
      <c r="Z1663"/>
      <c r="AA1663" s="50"/>
      <c r="AB1663"/>
      <c r="AC1663"/>
      <c r="AD1663" s="50"/>
      <c r="AE1663" s="75" t="s">
        <v>1017</v>
      </c>
      <c r="AF1663" s="50"/>
      <c r="AG1663" s="50"/>
      <c r="AH1663" s="166" t="str">
        <f t="shared" si="703"/>
        <v>2011</v>
      </c>
      <c r="AI1663" s="168" t="str">
        <f t="shared" si="690"/>
        <v/>
      </c>
      <c r="AJ1663" s="168" t="str">
        <f t="shared" si="691"/>
        <v/>
      </c>
      <c r="AK1663" s="168" t="str">
        <f t="shared" si="692"/>
        <v/>
      </c>
      <c r="AL1663" s="168" t="str">
        <f t="shared" si="693"/>
        <v/>
      </c>
      <c r="AM1663" s="168" t="str">
        <f t="shared" si="694"/>
        <v/>
      </c>
      <c r="AN1663" s="167" t="str">
        <f t="shared" si="677"/>
        <v>2011</v>
      </c>
      <c r="AO1663" s="167" t="str">
        <f t="shared" si="678"/>
        <v>2011</v>
      </c>
      <c r="AP1663" s="167" t="str">
        <f t="shared" si="679"/>
        <v>2011</v>
      </c>
      <c r="AQ1663" s="169" t="str">
        <f t="shared" si="680"/>
        <v/>
      </c>
      <c r="AR1663" s="170" t="str">
        <f t="shared" si="681"/>
        <v>BiK81a1bK11-07</v>
      </c>
      <c r="AS1663" s="169" t="str">
        <f t="shared" si="682"/>
        <v/>
      </c>
      <c r="AT1663">
        <f t="shared" si="683"/>
        <v>14</v>
      </c>
      <c r="AU1663" s="170" t="str">
        <f t="shared" si="684"/>
        <v>0-0,15 MW, Bonusregeln a1, b und K erstmals 2011</v>
      </c>
      <c r="AV1663" s="169" t="str">
        <f t="shared" si="685"/>
        <v/>
      </c>
      <c r="AW1663" s="170" t="str">
        <f t="shared" si="686"/>
        <v>Anteil KWK, erstmals 2011</v>
      </c>
      <c r="AX1663" s="169" t="str">
        <f t="shared" si="687"/>
        <v/>
      </c>
      <c r="AY1663" t="str">
        <f t="shared" si="688"/>
        <v>x</v>
      </c>
      <c r="AZ1663" t="str">
        <f t="shared" si="689"/>
        <v/>
      </c>
    </row>
    <row r="1664" spans="1:52" s="145" customFormat="1" x14ac:dyDescent="0.35">
      <c r="A1664" s="511" t="s">
        <v>1824</v>
      </c>
      <c r="B1664" s="173" t="s">
        <v>5547</v>
      </c>
      <c r="C1664" s="173" t="s">
        <v>1304</v>
      </c>
      <c r="D1664" s="173" t="s">
        <v>6922</v>
      </c>
      <c r="E1664" s="173" t="s">
        <v>1980</v>
      </c>
      <c r="F1664" s="374">
        <f t="shared" si="696"/>
        <v>22.58</v>
      </c>
      <c r="G1664" s="431">
        <v>22.58</v>
      </c>
      <c r="H1664" s="400">
        <f t="shared" si="697"/>
        <v>18.059999999999999</v>
      </c>
      <c r="I1664" s="577"/>
      <c r="J1664" s="549" t="s">
        <v>5804</v>
      </c>
      <c r="K1664" s="11"/>
      <c r="L1664"/>
      <c r="M1664" s="37">
        <f t="shared" si="698"/>
        <v>22.58</v>
      </c>
      <c r="N1664" s="29">
        <v>11.67</v>
      </c>
      <c r="O1664" s="41"/>
      <c r="P1664" s="11"/>
      <c r="Q1664"/>
      <c r="R1664"/>
      <c r="S1664" t="s">
        <v>4179</v>
      </c>
      <c r="T1664" s="145" t="s">
        <v>1017</v>
      </c>
      <c r="U1664" s="42"/>
      <c r="V1664" t="s">
        <v>1017</v>
      </c>
      <c r="W1664" s="50"/>
      <c r="X1664" s="50"/>
      <c r="Y1664"/>
      <c r="Z1664"/>
      <c r="AA1664" s="50"/>
      <c r="AB1664"/>
      <c r="AC1664"/>
      <c r="AD1664" s="50"/>
      <c r="AE1664" s="75" t="s">
        <v>1017</v>
      </c>
      <c r="AF1664" s="50"/>
      <c r="AG1664" s="50"/>
      <c r="AH1664" s="171" t="s">
        <v>4178</v>
      </c>
      <c r="AI1664" s="168" t="str">
        <f t="shared" si="690"/>
        <v/>
      </c>
      <c r="AJ1664" s="168" t="str">
        <f t="shared" si="691"/>
        <v/>
      </c>
      <c r="AK1664" s="168" t="str">
        <f t="shared" si="692"/>
        <v/>
      </c>
      <c r="AL1664" s="168" t="str">
        <f t="shared" si="693"/>
        <v/>
      </c>
      <c r="AM1664" s="168" t="str">
        <f t="shared" si="694"/>
        <v/>
      </c>
      <c r="AN1664" s="167" t="str">
        <f t="shared" si="677"/>
        <v>2012</v>
      </c>
      <c r="AO1664" s="167" t="str">
        <f t="shared" si="678"/>
        <v>2012</v>
      </c>
      <c r="AP1664" s="167" t="str">
        <f t="shared" si="679"/>
        <v>2012</v>
      </c>
      <c r="AQ1664" s="169" t="str">
        <f t="shared" si="680"/>
        <v/>
      </c>
      <c r="AR1664" s="170" t="str">
        <f t="shared" si="681"/>
        <v>BiK81a1bK12-07</v>
      </c>
      <c r="AS1664" s="169" t="str">
        <f t="shared" si="682"/>
        <v/>
      </c>
      <c r="AT1664">
        <f t="shared" si="683"/>
        <v>14</v>
      </c>
      <c r="AU1664" s="170" t="str">
        <f t="shared" si="684"/>
        <v>0-0,15 MW, Bonusregeln a1, b und K erstmals 2012</v>
      </c>
      <c r="AV1664" s="169" t="str">
        <f t="shared" si="685"/>
        <v/>
      </c>
      <c r="AW1664" s="170" t="str">
        <f t="shared" si="686"/>
        <v>Anteil KWK, erstmals 2012</v>
      </c>
      <c r="AX1664" s="169" t="str">
        <f t="shared" si="687"/>
        <v/>
      </c>
      <c r="AY1664" t="str">
        <f t="shared" si="688"/>
        <v/>
      </c>
      <c r="AZ1664" t="str">
        <f t="shared" si="689"/>
        <v>x</v>
      </c>
    </row>
    <row r="1665" spans="1:52" x14ac:dyDescent="0.35">
      <c r="A1665" s="497" t="s">
        <v>4006</v>
      </c>
      <c r="B1665" s="13" t="s">
        <v>5547</v>
      </c>
      <c r="C1665" s="13" t="s">
        <v>1304</v>
      </c>
      <c r="D1665" s="13" t="s">
        <v>6923</v>
      </c>
      <c r="E1665" s="13" t="s">
        <v>4809</v>
      </c>
      <c r="F1665" s="373">
        <f t="shared" si="696"/>
        <v>20.67</v>
      </c>
      <c r="G1665" s="430">
        <v>20.67</v>
      </c>
      <c r="H1665" s="399">
        <f t="shared" si="697"/>
        <v>16.54</v>
      </c>
      <c r="I1665" s="576"/>
      <c r="J1665" s="549" t="s">
        <v>5804</v>
      </c>
      <c r="K1665" s="11"/>
      <c r="M1665" s="37">
        <f t="shared" si="698"/>
        <v>20.67</v>
      </c>
      <c r="N1665" s="29">
        <v>11.67</v>
      </c>
      <c r="O1665" s="41"/>
      <c r="P1665" s="11"/>
      <c r="S1665" t="s">
        <v>4179</v>
      </c>
      <c r="T1665" t="s">
        <v>4179</v>
      </c>
      <c r="U1665" s="42" t="s">
        <v>1017</v>
      </c>
      <c r="V1665" t="s">
        <v>1017</v>
      </c>
      <c r="W1665" s="50"/>
      <c r="X1665" s="50"/>
      <c r="AA1665" s="50"/>
      <c r="AD1665" s="50"/>
      <c r="AE1665" s="75" t="s">
        <v>1017</v>
      </c>
      <c r="AF1665" s="50"/>
      <c r="AG1665" s="50"/>
      <c r="AH1665" s="166" t="str">
        <f t="shared" ref="AH1665:AH1670" si="704">IF(ISERROR(SEARCH("K erstmals 201",D1665)),"",RIGHT(D1665,4))</f>
        <v/>
      </c>
      <c r="AI1665" s="168" t="str">
        <f t="shared" si="690"/>
        <v/>
      </c>
      <c r="AJ1665" s="168" t="str">
        <f t="shared" si="691"/>
        <v/>
      </c>
      <c r="AK1665" s="168" t="str">
        <f t="shared" si="692"/>
        <v/>
      </c>
      <c r="AL1665" s="168" t="str">
        <f t="shared" si="693"/>
        <v/>
      </c>
      <c r="AM1665" s="168" t="str">
        <f t="shared" si="694"/>
        <v/>
      </c>
      <c r="AN1665" s="167" t="str">
        <f t="shared" si="677"/>
        <v/>
      </c>
      <c r="AO1665" s="167" t="str">
        <f t="shared" si="678"/>
        <v/>
      </c>
      <c r="AP1665" s="167" t="str">
        <f t="shared" si="679"/>
        <v/>
      </c>
      <c r="AQ1665" s="169" t="str">
        <f t="shared" si="680"/>
        <v/>
      </c>
      <c r="AR1665" s="170" t="str">
        <f t="shared" si="681"/>
        <v>BiK81a1by---07</v>
      </c>
      <c r="AS1665" s="169" t="str">
        <f t="shared" si="682"/>
        <v/>
      </c>
      <c r="AT1665">
        <f t="shared" si="683"/>
        <v>14</v>
      </c>
      <c r="AU1665" s="170" t="str">
        <f t="shared" si="684"/>
        <v>0-0,15 MW, Bonusregeln a1, b, y</v>
      </c>
      <c r="AV1665" s="169" t="str">
        <f t="shared" si="685"/>
        <v/>
      </c>
      <c r="AW1665" s="170" t="str">
        <f t="shared" si="686"/>
        <v>Anteil Nicht-KWK</v>
      </c>
      <c r="AX1665" s="169" t="str">
        <f t="shared" si="687"/>
        <v/>
      </c>
      <c r="AY1665" t="str">
        <f t="shared" si="688"/>
        <v/>
      </c>
      <c r="AZ1665" t="str">
        <f t="shared" si="689"/>
        <v/>
      </c>
    </row>
    <row r="1666" spans="1:52" x14ac:dyDescent="0.35">
      <c r="A1666" s="497" t="s">
        <v>4007</v>
      </c>
      <c r="B1666" s="13" t="s">
        <v>5547</v>
      </c>
      <c r="C1666" s="13" t="s">
        <v>1304</v>
      </c>
      <c r="D1666" s="13" t="s">
        <v>6924</v>
      </c>
      <c r="E1666" s="13" t="s">
        <v>4811</v>
      </c>
      <c r="F1666" s="373">
        <f t="shared" si="696"/>
        <v>22.67</v>
      </c>
      <c r="G1666" s="430">
        <v>22.67</v>
      </c>
      <c r="H1666" s="399">
        <f t="shared" si="697"/>
        <v>18.14</v>
      </c>
      <c r="I1666" s="576"/>
      <c r="J1666" s="549" t="s">
        <v>5804</v>
      </c>
      <c r="K1666" s="11"/>
      <c r="M1666" s="37">
        <f t="shared" si="698"/>
        <v>22.67</v>
      </c>
      <c r="N1666" s="29">
        <v>11.67</v>
      </c>
      <c r="O1666" s="41" t="s">
        <v>1017</v>
      </c>
      <c r="P1666" s="11"/>
      <c r="S1666" t="s">
        <v>4179</v>
      </c>
      <c r="T1666" t="s">
        <v>4179</v>
      </c>
      <c r="U1666" s="42" t="s">
        <v>1017</v>
      </c>
      <c r="V1666" t="s">
        <v>1017</v>
      </c>
      <c r="W1666" s="50"/>
      <c r="X1666" s="50"/>
      <c r="AA1666" s="50"/>
      <c r="AD1666" s="50"/>
      <c r="AE1666" s="75" t="s">
        <v>1017</v>
      </c>
      <c r="AF1666" s="50"/>
      <c r="AG1666" s="50"/>
      <c r="AH1666" s="166" t="str">
        <f t="shared" si="704"/>
        <v/>
      </c>
      <c r="AI1666" s="168" t="str">
        <f t="shared" si="690"/>
        <v/>
      </c>
      <c r="AJ1666" s="168" t="str">
        <f t="shared" si="691"/>
        <v/>
      </c>
      <c r="AK1666" s="168" t="str">
        <f t="shared" si="692"/>
        <v/>
      </c>
      <c r="AL1666" s="168" t="str">
        <f t="shared" si="693"/>
        <v/>
      </c>
      <c r="AM1666" s="168" t="str">
        <f t="shared" si="694"/>
        <v/>
      </c>
      <c r="AN1666" s="167" t="str">
        <f t="shared" si="677"/>
        <v/>
      </c>
      <c r="AO1666" s="167" t="str">
        <f t="shared" si="678"/>
        <v/>
      </c>
      <c r="AP1666" s="167" t="str">
        <f t="shared" si="679"/>
        <v/>
      </c>
      <c r="AQ1666" s="169" t="str">
        <f t="shared" si="680"/>
        <v/>
      </c>
      <c r="AR1666" s="170" t="str">
        <f t="shared" si="681"/>
        <v>BiK81a1bKWKy07</v>
      </c>
      <c r="AS1666" s="169" t="str">
        <f t="shared" si="682"/>
        <v/>
      </c>
      <c r="AT1666">
        <f t="shared" si="683"/>
        <v>14</v>
      </c>
      <c r="AU1666" s="170" t="str">
        <f t="shared" si="684"/>
        <v>0-0,15 MW, Bonusregeln a1, b, y und KWK</v>
      </c>
      <c r="AV1666" s="169" t="str">
        <f t="shared" si="685"/>
        <v/>
      </c>
      <c r="AW1666" s="170" t="str">
        <f t="shared" si="686"/>
        <v>Anteil KWK</v>
      </c>
      <c r="AX1666" s="169" t="str">
        <f t="shared" si="687"/>
        <v/>
      </c>
      <c r="AY1666" t="str">
        <f t="shared" si="688"/>
        <v/>
      </c>
      <c r="AZ1666" t="str">
        <f t="shared" si="689"/>
        <v/>
      </c>
    </row>
    <row r="1667" spans="1:52" x14ac:dyDescent="0.35">
      <c r="A1667" s="497" t="s">
        <v>4008</v>
      </c>
      <c r="B1667" s="13" t="s">
        <v>5547</v>
      </c>
      <c r="C1667" s="13" t="s">
        <v>1304</v>
      </c>
      <c r="D1667" s="13" t="s">
        <v>6925</v>
      </c>
      <c r="E1667" s="13" t="s">
        <v>4330</v>
      </c>
      <c r="F1667" s="373">
        <f t="shared" si="696"/>
        <v>23.67</v>
      </c>
      <c r="G1667" s="430">
        <v>23.67</v>
      </c>
      <c r="H1667" s="399">
        <f t="shared" si="697"/>
        <v>18.940000000000001</v>
      </c>
      <c r="I1667" s="576"/>
      <c r="J1667" s="549" t="s">
        <v>5804</v>
      </c>
      <c r="K1667" s="11"/>
      <c r="M1667" s="37">
        <f t="shared" si="698"/>
        <v>23.67</v>
      </c>
      <c r="N1667" s="29">
        <v>11.67</v>
      </c>
      <c r="O1667" s="41"/>
      <c r="P1667" t="s">
        <v>1017</v>
      </c>
      <c r="S1667" t="s">
        <v>4179</v>
      </c>
      <c r="T1667" t="s">
        <v>4179</v>
      </c>
      <c r="U1667" s="42" t="s">
        <v>1017</v>
      </c>
      <c r="V1667" t="s">
        <v>1017</v>
      </c>
      <c r="W1667" s="50"/>
      <c r="X1667" s="50"/>
      <c r="AA1667" s="50"/>
      <c r="AD1667" s="50"/>
      <c r="AE1667" s="75" t="s">
        <v>1017</v>
      </c>
      <c r="AF1667" s="50"/>
      <c r="AG1667" s="50"/>
      <c r="AH1667" s="166" t="str">
        <f t="shared" si="704"/>
        <v/>
      </c>
      <c r="AI1667" s="168" t="str">
        <f t="shared" si="690"/>
        <v/>
      </c>
      <c r="AJ1667" s="168" t="str">
        <f t="shared" si="691"/>
        <v/>
      </c>
      <c r="AK1667" s="168" t="str">
        <f t="shared" si="692"/>
        <v/>
      </c>
      <c r="AL1667" s="168" t="str">
        <f t="shared" si="693"/>
        <v/>
      </c>
      <c r="AM1667" s="168" t="str">
        <f t="shared" si="694"/>
        <v/>
      </c>
      <c r="AN1667" s="167" t="str">
        <f t="shared" si="677"/>
        <v/>
      </c>
      <c r="AO1667" s="167" t="str">
        <f t="shared" si="678"/>
        <v/>
      </c>
      <c r="AP1667" s="167" t="str">
        <f t="shared" si="679"/>
        <v/>
      </c>
      <c r="AQ1667" s="169" t="str">
        <f t="shared" si="680"/>
        <v/>
      </c>
      <c r="AR1667" s="170" t="str">
        <f t="shared" si="681"/>
        <v>BiK81a1bKA3y07</v>
      </c>
      <c r="AS1667" s="169" t="str">
        <f t="shared" si="682"/>
        <v/>
      </c>
      <c r="AT1667">
        <f t="shared" si="683"/>
        <v>14</v>
      </c>
      <c r="AU1667" s="170" t="str">
        <f t="shared" si="684"/>
        <v>0-0,15 MW, Bonusregeln a1, b, y und K wenn Anlage 3 erfüllt</v>
      </c>
      <c r="AV1667" s="169" t="str">
        <f t="shared" si="685"/>
        <v/>
      </c>
      <c r="AW1667" s="170" t="str">
        <f t="shared" si="686"/>
        <v>Anteil KWK gemäß Anlage 3</v>
      </c>
      <c r="AX1667" s="169" t="str">
        <f t="shared" si="687"/>
        <v/>
      </c>
      <c r="AY1667" t="str">
        <f t="shared" si="688"/>
        <v/>
      </c>
      <c r="AZ1667" t="str">
        <f t="shared" si="689"/>
        <v/>
      </c>
    </row>
    <row r="1668" spans="1:52" x14ac:dyDescent="0.35">
      <c r="A1668" s="497" t="s">
        <v>4009</v>
      </c>
      <c r="B1668" s="13" t="s">
        <v>5547</v>
      </c>
      <c r="C1668" s="13" t="s">
        <v>1304</v>
      </c>
      <c r="D1668" s="13" t="s">
        <v>6926</v>
      </c>
      <c r="E1668" s="13" t="s">
        <v>674</v>
      </c>
      <c r="F1668" s="373">
        <f t="shared" si="696"/>
        <v>23.67</v>
      </c>
      <c r="G1668" s="430">
        <v>23.67</v>
      </c>
      <c r="H1668" s="399">
        <f t="shared" si="697"/>
        <v>18.940000000000001</v>
      </c>
      <c r="I1668" s="576"/>
      <c r="J1668" s="549" t="s">
        <v>5804</v>
      </c>
      <c r="K1668" s="11"/>
      <c r="M1668" s="37">
        <f t="shared" si="698"/>
        <v>23.67</v>
      </c>
      <c r="N1668" s="29">
        <v>11.67</v>
      </c>
      <c r="O1668" s="41"/>
      <c r="P1668" s="11"/>
      <c r="Q1668" t="s">
        <v>1017</v>
      </c>
      <c r="S1668" t="s">
        <v>4179</v>
      </c>
      <c r="T1668" t="s">
        <v>4179</v>
      </c>
      <c r="U1668" s="42" t="s">
        <v>1017</v>
      </c>
      <c r="V1668" t="s">
        <v>1017</v>
      </c>
      <c r="W1668" s="50"/>
      <c r="X1668" s="50"/>
      <c r="AA1668" s="50"/>
      <c r="AD1668" s="50"/>
      <c r="AE1668" s="75" t="s">
        <v>1017</v>
      </c>
      <c r="AF1668" s="50"/>
      <c r="AG1668" s="50"/>
      <c r="AH1668" s="166" t="str">
        <f t="shared" si="704"/>
        <v/>
      </c>
      <c r="AI1668" s="168" t="str">
        <f t="shared" si="690"/>
        <v/>
      </c>
      <c r="AJ1668" s="168" t="str">
        <f t="shared" si="691"/>
        <v/>
      </c>
      <c r="AK1668" s="168" t="str">
        <f t="shared" si="692"/>
        <v/>
      </c>
      <c r="AL1668" s="168" t="str">
        <f t="shared" si="693"/>
        <v/>
      </c>
      <c r="AM1668" s="168" t="str">
        <f t="shared" si="694"/>
        <v/>
      </c>
      <c r="AN1668" s="167" t="str">
        <f t="shared" si="677"/>
        <v/>
      </c>
      <c r="AO1668" s="167" t="str">
        <f t="shared" si="678"/>
        <v/>
      </c>
      <c r="AP1668" s="167" t="str">
        <f t="shared" si="679"/>
        <v/>
      </c>
      <c r="AQ1668" s="169" t="str">
        <f t="shared" si="680"/>
        <v/>
      </c>
      <c r="AR1668" s="170" t="str">
        <f t="shared" si="681"/>
        <v>BiK81a1bK09y07</v>
      </c>
      <c r="AS1668" s="169" t="str">
        <f t="shared" si="682"/>
        <v/>
      </c>
      <c r="AT1668">
        <f t="shared" si="683"/>
        <v>14</v>
      </c>
      <c r="AU1668" s="170" t="str">
        <f t="shared" si="684"/>
        <v>0-0,15 MW, Bonusregeln a1, b, y und K erstmals 2009</v>
      </c>
      <c r="AV1668" s="169" t="str">
        <f t="shared" si="685"/>
        <v/>
      </c>
      <c r="AW1668" s="170" t="str">
        <f t="shared" si="686"/>
        <v>Anteil KWK, erstmals 2009</v>
      </c>
      <c r="AX1668" s="169" t="str">
        <f t="shared" si="687"/>
        <v/>
      </c>
      <c r="AY1668" t="str">
        <f t="shared" si="688"/>
        <v/>
      </c>
      <c r="AZ1668" t="str">
        <f t="shared" si="689"/>
        <v/>
      </c>
    </row>
    <row r="1669" spans="1:52" x14ac:dyDescent="0.35">
      <c r="A1669" s="497" t="s">
        <v>4955</v>
      </c>
      <c r="B1669" s="13" t="s">
        <v>5547</v>
      </c>
      <c r="C1669" s="13" t="s">
        <v>1304</v>
      </c>
      <c r="D1669" s="13" t="s">
        <v>6927</v>
      </c>
      <c r="E1669" s="13" t="s">
        <v>3566</v>
      </c>
      <c r="F1669" s="373">
        <f t="shared" si="696"/>
        <v>23.64</v>
      </c>
      <c r="G1669" s="430">
        <v>23.64</v>
      </c>
      <c r="H1669" s="399">
        <f t="shared" si="697"/>
        <v>18.91</v>
      </c>
      <c r="I1669" s="576"/>
      <c r="J1669" s="549" t="s">
        <v>5804</v>
      </c>
      <c r="K1669" s="11"/>
      <c r="M1669" s="37">
        <f t="shared" si="698"/>
        <v>23.64</v>
      </c>
      <c r="N1669" s="29">
        <v>11.67</v>
      </c>
      <c r="O1669" s="41"/>
      <c r="P1669" s="11"/>
      <c r="R1669" t="s">
        <v>1017</v>
      </c>
      <c r="S1669" t="s">
        <v>4179</v>
      </c>
      <c r="T1669" t="s">
        <v>4179</v>
      </c>
      <c r="U1669" s="42" t="s">
        <v>1017</v>
      </c>
      <c r="V1669" t="s">
        <v>1017</v>
      </c>
      <c r="W1669" s="50"/>
      <c r="X1669" s="50"/>
      <c r="AA1669" s="50"/>
      <c r="AD1669" s="50"/>
      <c r="AE1669" s="75" t="s">
        <v>1017</v>
      </c>
      <c r="AF1669" s="50"/>
      <c r="AG1669" s="50"/>
      <c r="AH1669" s="166" t="str">
        <f t="shared" si="704"/>
        <v>2010</v>
      </c>
      <c r="AI1669" s="168" t="str">
        <f t="shared" si="690"/>
        <v/>
      </c>
      <c r="AJ1669" s="168" t="str">
        <f t="shared" si="691"/>
        <v/>
      </c>
      <c r="AK1669" s="168" t="str">
        <f t="shared" si="692"/>
        <v/>
      </c>
      <c r="AL1669" s="168" t="str">
        <f t="shared" si="693"/>
        <v/>
      </c>
      <c r="AM1669" s="168" t="str">
        <f t="shared" si="694"/>
        <v/>
      </c>
      <c r="AN1669" s="167" t="str">
        <f t="shared" si="677"/>
        <v>2010</v>
      </c>
      <c r="AO1669" s="167" t="str">
        <f t="shared" si="678"/>
        <v>2010</v>
      </c>
      <c r="AP1669" s="167" t="str">
        <f t="shared" si="679"/>
        <v>2010</v>
      </c>
      <c r="AQ1669" s="169" t="str">
        <f t="shared" si="680"/>
        <v/>
      </c>
      <c r="AR1669" s="170" t="str">
        <f t="shared" si="681"/>
        <v>BiK81a1bK10y07</v>
      </c>
      <c r="AS1669" s="169" t="str">
        <f t="shared" si="682"/>
        <v/>
      </c>
      <c r="AT1669">
        <f t="shared" si="683"/>
        <v>14</v>
      </c>
      <c r="AU1669" s="170" t="str">
        <f t="shared" si="684"/>
        <v>0-0,15 MW, Bonusregeln a1, b, y und K erstmals 2010</v>
      </c>
      <c r="AV1669" s="169" t="str">
        <f t="shared" si="685"/>
        <v/>
      </c>
      <c r="AW1669" s="170" t="str">
        <f t="shared" si="686"/>
        <v>Anteil KWK, erstmals 2010</v>
      </c>
      <c r="AX1669" s="169" t="str">
        <f t="shared" si="687"/>
        <v/>
      </c>
      <c r="AY1669" t="str">
        <f t="shared" si="688"/>
        <v/>
      </c>
      <c r="AZ1669" t="str">
        <f t="shared" si="689"/>
        <v/>
      </c>
    </row>
    <row r="1670" spans="1:52" x14ac:dyDescent="0.35">
      <c r="A1670" s="497" t="s">
        <v>5399</v>
      </c>
      <c r="B1670" s="13" t="s">
        <v>5547</v>
      </c>
      <c r="C1670" s="13" t="s">
        <v>1304</v>
      </c>
      <c r="D1670" s="13" t="s">
        <v>6928</v>
      </c>
      <c r="E1670" s="13" t="s">
        <v>3054</v>
      </c>
      <c r="F1670" s="373">
        <f t="shared" si="696"/>
        <v>23.61</v>
      </c>
      <c r="G1670" s="430">
        <v>23.61</v>
      </c>
      <c r="H1670" s="399">
        <f t="shared" si="697"/>
        <v>18.89</v>
      </c>
      <c r="I1670" s="576"/>
      <c r="J1670" s="549" t="s">
        <v>5804</v>
      </c>
      <c r="K1670" s="11"/>
      <c r="M1670" s="37">
        <f t="shared" si="698"/>
        <v>23.61</v>
      </c>
      <c r="N1670" s="29">
        <v>11.67</v>
      </c>
      <c r="O1670" s="41"/>
      <c r="P1670" s="11"/>
      <c r="S1670" t="s">
        <v>1017</v>
      </c>
      <c r="T1670" t="s">
        <v>4179</v>
      </c>
      <c r="U1670" s="42" t="s">
        <v>1017</v>
      </c>
      <c r="V1670" t="s">
        <v>1017</v>
      </c>
      <c r="W1670" s="50"/>
      <c r="X1670" s="50"/>
      <c r="AA1670" s="50"/>
      <c r="AD1670" s="50"/>
      <c r="AE1670" s="75" t="s">
        <v>1017</v>
      </c>
      <c r="AF1670" s="50"/>
      <c r="AG1670" s="50"/>
      <c r="AH1670" s="166" t="str">
        <f t="shared" si="704"/>
        <v>2011</v>
      </c>
      <c r="AI1670" s="168" t="str">
        <f t="shared" si="690"/>
        <v/>
      </c>
      <c r="AJ1670" s="168" t="str">
        <f t="shared" si="691"/>
        <v/>
      </c>
      <c r="AK1670" s="168" t="str">
        <f t="shared" si="692"/>
        <v/>
      </c>
      <c r="AL1670" s="168" t="str">
        <f t="shared" si="693"/>
        <v/>
      </c>
      <c r="AM1670" s="168" t="str">
        <f t="shared" si="694"/>
        <v/>
      </c>
      <c r="AN1670" s="167" t="str">
        <f t="shared" si="677"/>
        <v>2011</v>
      </c>
      <c r="AO1670" s="167" t="str">
        <f t="shared" si="678"/>
        <v>2011</v>
      </c>
      <c r="AP1670" s="167" t="str">
        <f t="shared" si="679"/>
        <v>2011</v>
      </c>
      <c r="AQ1670" s="169" t="str">
        <f t="shared" si="680"/>
        <v/>
      </c>
      <c r="AR1670" s="170" t="str">
        <f t="shared" si="681"/>
        <v>BiK81a1bK11y07</v>
      </c>
      <c r="AS1670" s="169" t="str">
        <f t="shared" si="682"/>
        <v/>
      </c>
      <c r="AT1670">
        <f t="shared" si="683"/>
        <v>14</v>
      </c>
      <c r="AU1670" s="170" t="str">
        <f t="shared" si="684"/>
        <v>0-0,15 MW, Bonusregeln a1, b, y und K erstmals 2011</v>
      </c>
      <c r="AV1670" s="169" t="str">
        <f t="shared" si="685"/>
        <v/>
      </c>
      <c r="AW1670" s="170" t="str">
        <f t="shared" si="686"/>
        <v>Anteil KWK, erstmals 2011</v>
      </c>
      <c r="AX1670" s="169" t="str">
        <f t="shared" si="687"/>
        <v/>
      </c>
      <c r="AY1670" t="str">
        <f t="shared" si="688"/>
        <v>x</v>
      </c>
      <c r="AZ1670" t="str">
        <f t="shared" si="689"/>
        <v/>
      </c>
    </row>
    <row r="1671" spans="1:52" x14ac:dyDescent="0.35">
      <c r="A1671" s="511" t="s">
        <v>1825</v>
      </c>
      <c r="B1671" s="173" t="s">
        <v>5547</v>
      </c>
      <c r="C1671" s="173" t="s">
        <v>1304</v>
      </c>
      <c r="D1671" s="173" t="s">
        <v>6929</v>
      </c>
      <c r="E1671" s="173" t="s">
        <v>1980</v>
      </c>
      <c r="F1671" s="374">
        <f t="shared" si="696"/>
        <v>23.58</v>
      </c>
      <c r="G1671" s="431">
        <v>23.58</v>
      </c>
      <c r="H1671" s="400">
        <f t="shared" si="697"/>
        <v>18.86</v>
      </c>
      <c r="I1671" s="577"/>
      <c r="J1671" s="549" t="s">
        <v>5804</v>
      </c>
      <c r="K1671" s="11"/>
      <c r="M1671" s="37">
        <f t="shared" si="698"/>
        <v>23.58</v>
      </c>
      <c r="N1671" s="29">
        <v>11.67</v>
      </c>
      <c r="O1671" s="41"/>
      <c r="P1671" s="11"/>
      <c r="S1671" t="s">
        <v>4179</v>
      </c>
      <c r="T1671" t="s">
        <v>1017</v>
      </c>
      <c r="U1671" s="42" t="s">
        <v>1017</v>
      </c>
      <c r="V1671" t="s">
        <v>1017</v>
      </c>
      <c r="W1671" s="50"/>
      <c r="X1671" s="50"/>
      <c r="AA1671" s="50"/>
      <c r="AD1671" s="50"/>
      <c r="AE1671" s="75" t="s">
        <v>1017</v>
      </c>
      <c r="AF1671" s="50"/>
      <c r="AG1671" s="50"/>
      <c r="AH1671" s="171" t="s">
        <v>4178</v>
      </c>
      <c r="AI1671" s="168" t="str">
        <f t="shared" si="690"/>
        <v/>
      </c>
      <c r="AJ1671" s="168" t="str">
        <f t="shared" si="691"/>
        <v/>
      </c>
      <c r="AK1671" s="168" t="str">
        <f t="shared" si="692"/>
        <v/>
      </c>
      <c r="AL1671" s="168" t="str">
        <f t="shared" si="693"/>
        <v/>
      </c>
      <c r="AM1671" s="168" t="str">
        <f t="shared" si="694"/>
        <v/>
      </c>
      <c r="AN1671" s="167" t="str">
        <f t="shared" si="677"/>
        <v>2012</v>
      </c>
      <c r="AO1671" s="167" t="str">
        <f t="shared" si="678"/>
        <v>2012</v>
      </c>
      <c r="AP1671" s="167" t="str">
        <f t="shared" si="679"/>
        <v>2012</v>
      </c>
      <c r="AQ1671" s="169" t="str">
        <f t="shared" si="680"/>
        <v/>
      </c>
      <c r="AR1671" s="170" t="str">
        <f t="shared" si="681"/>
        <v>BiK81a1bK12y07</v>
      </c>
      <c r="AS1671" s="169" t="str">
        <f t="shared" si="682"/>
        <v/>
      </c>
      <c r="AT1671">
        <f t="shared" si="683"/>
        <v>14</v>
      </c>
      <c r="AU1671" s="170" t="str">
        <f t="shared" si="684"/>
        <v>0-0,15 MW, Bonusregeln a1, b, y und K erstmals 2012</v>
      </c>
      <c r="AV1671" s="169" t="str">
        <f t="shared" si="685"/>
        <v/>
      </c>
      <c r="AW1671" s="170" t="str">
        <f t="shared" si="686"/>
        <v>Anteil KWK, erstmals 2012</v>
      </c>
      <c r="AX1671" s="169" t="str">
        <f t="shared" si="687"/>
        <v/>
      </c>
      <c r="AY1671" t="str">
        <f t="shared" si="688"/>
        <v/>
      </c>
      <c r="AZ1671" t="str">
        <f t="shared" si="689"/>
        <v>x</v>
      </c>
    </row>
    <row r="1672" spans="1:52" x14ac:dyDescent="0.35">
      <c r="A1672" s="497" t="s">
        <v>4465</v>
      </c>
      <c r="B1672" s="13" t="s">
        <v>5547</v>
      </c>
      <c r="C1672" s="13" t="s">
        <v>1304</v>
      </c>
      <c r="D1672" s="13" t="s">
        <v>6930</v>
      </c>
      <c r="E1672" s="13" t="s">
        <v>4809</v>
      </c>
      <c r="F1672" s="373">
        <f t="shared" si="696"/>
        <v>20.67</v>
      </c>
      <c r="G1672" s="430">
        <v>20.67</v>
      </c>
      <c r="H1672" s="399">
        <f t="shared" si="697"/>
        <v>16.54</v>
      </c>
      <c r="I1672" s="576"/>
      <c r="J1672" s="549" t="s">
        <v>5804</v>
      </c>
      <c r="K1672" s="11"/>
      <c r="M1672" s="37">
        <f t="shared" si="698"/>
        <v>20.67</v>
      </c>
      <c r="N1672" s="29">
        <v>11.67</v>
      </c>
      <c r="O1672" s="149"/>
      <c r="P1672" s="144"/>
      <c r="Q1672" s="145"/>
      <c r="R1672" s="145"/>
      <c r="S1672" s="145" t="s">
        <v>4179</v>
      </c>
      <c r="T1672" t="s">
        <v>4179</v>
      </c>
      <c r="U1672" s="146"/>
      <c r="V1672" s="145"/>
      <c r="W1672" s="147"/>
      <c r="X1672" s="147"/>
      <c r="Y1672" s="145" t="s">
        <v>1017</v>
      </c>
      <c r="Z1672" s="145"/>
      <c r="AA1672" s="147"/>
      <c r="AB1672" s="145"/>
      <c r="AC1672" s="145"/>
      <c r="AD1672" s="147"/>
      <c r="AE1672" s="148" t="s">
        <v>1017</v>
      </c>
      <c r="AF1672" s="147"/>
      <c r="AG1672" s="147"/>
      <c r="AH1672" s="166" t="str">
        <f t="shared" ref="AH1672:AH1677" si="705">IF(ISERROR(SEARCH("K erstmals 201",D1672)),"",RIGHT(D1672,4))</f>
        <v/>
      </c>
      <c r="AI1672" s="168" t="str">
        <f t="shared" si="690"/>
        <v/>
      </c>
      <c r="AJ1672" s="168" t="str">
        <f t="shared" si="691"/>
        <v/>
      </c>
      <c r="AK1672" s="168" t="str">
        <f t="shared" si="692"/>
        <v/>
      </c>
      <c r="AL1672" s="168" t="str">
        <f t="shared" si="693"/>
        <v/>
      </c>
      <c r="AM1672" s="168" t="str">
        <f t="shared" si="694"/>
        <v/>
      </c>
      <c r="AN1672" s="167" t="str">
        <f t="shared" si="677"/>
        <v/>
      </c>
      <c r="AO1672" s="167" t="str">
        <f t="shared" si="678"/>
        <v/>
      </c>
      <c r="AP1672" s="167" t="str">
        <f t="shared" si="679"/>
        <v/>
      </c>
      <c r="AQ1672" s="169" t="str">
        <f t="shared" si="680"/>
        <v/>
      </c>
      <c r="AR1672" s="170" t="str">
        <f t="shared" si="681"/>
        <v>BiK81Gb-----07</v>
      </c>
      <c r="AS1672" s="169" t="str">
        <f t="shared" si="682"/>
        <v/>
      </c>
      <c r="AT1672">
        <f t="shared" si="683"/>
        <v>14</v>
      </c>
      <c r="AU1672" s="170" t="str">
        <f t="shared" si="684"/>
        <v>0-0,15 MW, Bonusregeln G, b</v>
      </c>
      <c r="AV1672" s="169" t="str">
        <f t="shared" si="685"/>
        <v/>
      </c>
      <c r="AW1672" s="170" t="str">
        <f t="shared" si="686"/>
        <v>Anteil Nicht-KWK</v>
      </c>
      <c r="AX1672" s="169" t="str">
        <f t="shared" si="687"/>
        <v/>
      </c>
      <c r="AY1672" t="str">
        <f t="shared" si="688"/>
        <v/>
      </c>
      <c r="AZ1672" t="str">
        <f t="shared" si="689"/>
        <v/>
      </c>
    </row>
    <row r="1673" spans="1:52" x14ac:dyDescent="0.35">
      <c r="A1673" s="497" t="s">
        <v>4466</v>
      </c>
      <c r="B1673" s="13" t="s">
        <v>5547</v>
      </c>
      <c r="C1673" s="13" t="s">
        <v>1304</v>
      </c>
      <c r="D1673" s="13" t="s">
        <v>6931</v>
      </c>
      <c r="E1673" s="13" t="s">
        <v>4811</v>
      </c>
      <c r="F1673" s="373">
        <f t="shared" si="696"/>
        <v>22.67</v>
      </c>
      <c r="G1673" s="430">
        <v>22.67</v>
      </c>
      <c r="H1673" s="399">
        <f t="shared" si="697"/>
        <v>18.14</v>
      </c>
      <c r="I1673" s="576"/>
      <c r="J1673" s="549" t="s">
        <v>5804</v>
      </c>
      <c r="K1673" s="11"/>
      <c r="M1673" s="37">
        <f t="shared" si="698"/>
        <v>22.67</v>
      </c>
      <c r="N1673" s="29">
        <v>11.67</v>
      </c>
      <c r="O1673" s="149" t="s">
        <v>1017</v>
      </c>
      <c r="P1673" s="144"/>
      <c r="Q1673" s="145"/>
      <c r="R1673" s="145"/>
      <c r="S1673" s="145" t="s">
        <v>4179</v>
      </c>
      <c r="T1673" t="s">
        <v>4179</v>
      </c>
      <c r="U1673" s="146"/>
      <c r="V1673" s="145"/>
      <c r="W1673" s="147"/>
      <c r="X1673" s="147"/>
      <c r="Y1673" s="145" t="s">
        <v>1017</v>
      </c>
      <c r="Z1673" s="145"/>
      <c r="AA1673" s="147"/>
      <c r="AB1673" s="145"/>
      <c r="AC1673" s="145"/>
      <c r="AD1673" s="147"/>
      <c r="AE1673" s="148" t="s">
        <v>1017</v>
      </c>
      <c r="AF1673" s="147"/>
      <c r="AG1673" s="147"/>
      <c r="AH1673" s="166" t="str">
        <f t="shared" si="705"/>
        <v/>
      </c>
      <c r="AI1673" s="168" t="str">
        <f t="shared" si="690"/>
        <v/>
      </c>
      <c r="AJ1673" s="168" t="str">
        <f t="shared" si="691"/>
        <v/>
      </c>
      <c r="AK1673" s="168" t="str">
        <f t="shared" si="692"/>
        <v/>
      </c>
      <c r="AL1673" s="168" t="str">
        <f t="shared" si="693"/>
        <v/>
      </c>
      <c r="AM1673" s="168" t="str">
        <f t="shared" si="694"/>
        <v/>
      </c>
      <c r="AN1673" s="167" t="str">
        <f t="shared" si="677"/>
        <v/>
      </c>
      <c r="AO1673" s="167" t="str">
        <f t="shared" si="678"/>
        <v/>
      </c>
      <c r="AP1673" s="167" t="str">
        <f t="shared" si="679"/>
        <v/>
      </c>
      <c r="AQ1673" s="169" t="str">
        <f t="shared" si="680"/>
        <v/>
      </c>
      <c r="AR1673" s="170" t="str">
        <f t="shared" si="681"/>
        <v>BiK81GbKWK--07</v>
      </c>
      <c r="AS1673" s="169" t="str">
        <f t="shared" si="682"/>
        <v/>
      </c>
      <c r="AT1673">
        <f t="shared" si="683"/>
        <v>14</v>
      </c>
      <c r="AU1673" s="170" t="str">
        <f t="shared" si="684"/>
        <v>0-0,15 MW, Bonusregeln G, b und KWK</v>
      </c>
      <c r="AV1673" s="169" t="str">
        <f t="shared" si="685"/>
        <v/>
      </c>
      <c r="AW1673" s="170" t="str">
        <f t="shared" si="686"/>
        <v>Anteil KWK</v>
      </c>
      <c r="AX1673" s="169" t="str">
        <f t="shared" si="687"/>
        <v/>
      </c>
      <c r="AY1673" t="str">
        <f t="shared" si="688"/>
        <v/>
      </c>
      <c r="AZ1673" t="str">
        <f t="shared" si="689"/>
        <v/>
      </c>
    </row>
    <row r="1674" spans="1:52" x14ac:dyDescent="0.35">
      <c r="A1674" s="497" t="s">
        <v>4467</v>
      </c>
      <c r="B1674" s="13" t="s">
        <v>5547</v>
      </c>
      <c r="C1674" s="13" t="s">
        <v>1304</v>
      </c>
      <c r="D1674" s="13" t="s">
        <v>6932</v>
      </c>
      <c r="E1674" s="13" t="s">
        <v>4330</v>
      </c>
      <c r="F1674" s="373">
        <f t="shared" si="696"/>
        <v>23.67</v>
      </c>
      <c r="G1674" s="430">
        <v>23.67</v>
      </c>
      <c r="H1674" s="399">
        <f t="shared" si="697"/>
        <v>18.940000000000001</v>
      </c>
      <c r="I1674" s="576"/>
      <c r="J1674" s="549" t="s">
        <v>5804</v>
      </c>
      <c r="K1674" s="11"/>
      <c r="M1674" s="37">
        <f t="shared" si="698"/>
        <v>23.67</v>
      </c>
      <c r="N1674" s="29">
        <v>11.67</v>
      </c>
      <c r="O1674" s="149"/>
      <c r="P1674" s="145" t="s">
        <v>1017</v>
      </c>
      <c r="Q1674" s="145"/>
      <c r="R1674" s="145"/>
      <c r="S1674" s="145" t="s">
        <v>4179</v>
      </c>
      <c r="T1674" t="s">
        <v>4179</v>
      </c>
      <c r="U1674" s="146"/>
      <c r="V1674" s="145"/>
      <c r="W1674" s="147"/>
      <c r="X1674" s="147"/>
      <c r="Y1674" s="145" t="s">
        <v>1017</v>
      </c>
      <c r="Z1674" s="145"/>
      <c r="AA1674" s="147"/>
      <c r="AB1674" s="145"/>
      <c r="AC1674" s="145"/>
      <c r="AD1674" s="147"/>
      <c r="AE1674" s="148" t="s">
        <v>1017</v>
      </c>
      <c r="AF1674" s="147"/>
      <c r="AG1674" s="147"/>
      <c r="AH1674" s="166" t="str">
        <f t="shared" si="705"/>
        <v/>
      </c>
      <c r="AI1674" s="168" t="str">
        <f t="shared" si="690"/>
        <v/>
      </c>
      <c r="AJ1674" s="168" t="str">
        <f t="shared" si="691"/>
        <v/>
      </c>
      <c r="AK1674" s="168" t="str">
        <f t="shared" si="692"/>
        <v/>
      </c>
      <c r="AL1674" s="168" t="str">
        <f t="shared" si="693"/>
        <v/>
      </c>
      <c r="AM1674" s="168" t="str">
        <f t="shared" si="694"/>
        <v/>
      </c>
      <c r="AN1674" s="167" t="str">
        <f t="shared" si="677"/>
        <v/>
      </c>
      <c r="AO1674" s="167" t="str">
        <f t="shared" si="678"/>
        <v/>
      </c>
      <c r="AP1674" s="167" t="str">
        <f t="shared" si="679"/>
        <v/>
      </c>
      <c r="AQ1674" s="169" t="str">
        <f t="shared" si="680"/>
        <v/>
      </c>
      <c r="AR1674" s="170" t="str">
        <f t="shared" si="681"/>
        <v>BiK81GbKA3--07</v>
      </c>
      <c r="AS1674" s="169" t="str">
        <f t="shared" si="682"/>
        <v/>
      </c>
      <c r="AT1674">
        <f t="shared" si="683"/>
        <v>14</v>
      </c>
      <c r="AU1674" s="170" t="str">
        <f t="shared" si="684"/>
        <v>0-0,15 MW, Bonusregeln G, b und K wenn Anlage 3 erfüllt</v>
      </c>
      <c r="AV1674" s="169" t="str">
        <f t="shared" si="685"/>
        <v/>
      </c>
      <c r="AW1674" s="170" t="str">
        <f t="shared" si="686"/>
        <v>Anteil KWK gemäß Anlage 3</v>
      </c>
      <c r="AX1674" s="169" t="str">
        <f t="shared" si="687"/>
        <v/>
      </c>
      <c r="AY1674" t="str">
        <f t="shared" si="688"/>
        <v/>
      </c>
      <c r="AZ1674" t="str">
        <f t="shared" si="689"/>
        <v/>
      </c>
    </row>
    <row r="1675" spans="1:52" x14ac:dyDescent="0.35">
      <c r="A1675" s="497" t="s">
        <v>4468</v>
      </c>
      <c r="B1675" s="13" t="s">
        <v>5547</v>
      </c>
      <c r="C1675" s="13" t="s">
        <v>1304</v>
      </c>
      <c r="D1675" s="13" t="s">
        <v>6933</v>
      </c>
      <c r="E1675" s="13" t="s">
        <v>674</v>
      </c>
      <c r="F1675" s="373">
        <f t="shared" si="696"/>
        <v>23.67</v>
      </c>
      <c r="G1675" s="430">
        <v>23.67</v>
      </c>
      <c r="H1675" s="399">
        <f t="shared" si="697"/>
        <v>18.940000000000001</v>
      </c>
      <c r="I1675" s="576"/>
      <c r="J1675" s="549" t="s">
        <v>5804</v>
      </c>
      <c r="K1675" s="11"/>
      <c r="M1675" s="37">
        <f t="shared" si="698"/>
        <v>23.67</v>
      </c>
      <c r="N1675" s="29">
        <v>11.67</v>
      </c>
      <c r="O1675" s="149"/>
      <c r="P1675" s="144"/>
      <c r="Q1675" s="145" t="s">
        <v>1017</v>
      </c>
      <c r="R1675" s="145"/>
      <c r="S1675" s="145" t="s">
        <v>4179</v>
      </c>
      <c r="T1675" t="s">
        <v>4179</v>
      </c>
      <c r="U1675" s="146"/>
      <c r="V1675" s="145"/>
      <c r="W1675" s="147"/>
      <c r="X1675" s="147"/>
      <c r="Y1675" s="145" t="s">
        <v>1017</v>
      </c>
      <c r="Z1675" s="145"/>
      <c r="AA1675" s="147"/>
      <c r="AB1675" s="145"/>
      <c r="AC1675" s="145"/>
      <c r="AD1675" s="147"/>
      <c r="AE1675" s="148" t="s">
        <v>1017</v>
      </c>
      <c r="AF1675" s="147"/>
      <c r="AG1675" s="147"/>
      <c r="AH1675" s="166" t="str">
        <f t="shared" si="705"/>
        <v/>
      </c>
      <c r="AI1675" s="168" t="str">
        <f t="shared" si="690"/>
        <v/>
      </c>
      <c r="AJ1675" s="168" t="str">
        <f t="shared" si="691"/>
        <v/>
      </c>
      <c r="AK1675" s="168" t="str">
        <f t="shared" si="692"/>
        <v/>
      </c>
      <c r="AL1675" s="168" t="str">
        <f t="shared" si="693"/>
        <v/>
      </c>
      <c r="AM1675" s="168" t="str">
        <f t="shared" si="694"/>
        <v/>
      </c>
      <c r="AN1675" s="167" t="str">
        <f t="shared" si="677"/>
        <v/>
      </c>
      <c r="AO1675" s="167" t="str">
        <f t="shared" si="678"/>
        <v/>
      </c>
      <c r="AP1675" s="167" t="str">
        <f t="shared" si="679"/>
        <v/>
      </c>
      <c r="AQ1675" s="169" t="str">
        <f t="shared" si="680"/>
        <v/>
      </c>
      <c r="AR1675" s="170" t="str">
        <f t="shared" si="681"/>
        <v>BiK81GbK09--07</v>
      </c>
      <c r="AS1675" s="169" t="str">
        <f t="shared" si="682"/>
        <v/>
      </c>
      <c r="AT1675">
        <f t="shared" si="683"/>
        <v>14</v>
      </c>
      <c r="AU1675" s="170" t="str">
        <f t="shared" si="684"/>
        <v>0-0,15 MW, Bonusregeln G, b und K erstmals 2009</v>
      </c>
      <c r="AV1675" s="169" t="str">
        <f t="shared" si="685"/>
        <v/>
      </c>
      <c r="AW1675" s="170" t="str">
        <f t="shared" si="686"/>
        <v>Anteil KWK, erstmals 2009</v>
      </c>
      <c r="AX1675" s="169" t="str">
        <f t="shared" si="687"/>
        <v/>
      </c>
      <c r="AY1675" t="str">
        <f t="shared" si="688"/>
        <v/>
      </c>
      <c r="AZ1675" t="str">
        <f t="shared" si="689"/>
        <v/>
      </c>
    </row>
    <row r="1676" spans="1:52" x14ac:dyDescent="0.35">
      <c r="A1676" s="497" t="s">
        <v>4956</v>
      </c>
      <c r="B1676" s="13" t="s">
        <v>5547</v>
      </c>
      <c r="C1676" s="13" t="s">
        <v>1304</v>
      </c>
      <c r="D1676" s="13" t="s">
        <v>6934</v>
      </c>
      <c r="E1676" s="13" t="s">
        <v>3566</v>
      </c>
      <c r="F1676" s="373">
        <f t="shared" si="696"/>
        <v>23.64</v>
      </c>
      <c r="G1676" s="430">
        <v>23.64</v>
      </c>
      <c r="H1676" s="399">
        <f t="shared" si="697"/>
        <v>18.91</v>
      </c>
      <c r="I1676" s="576"/>
      <c r="J1676" s="549" t="s">
        <v>5804</v>
      </c>
      <c r="K1676" s="11"/>
      <c r="M1676" s="37">
        <f t="shared" si="698"/>
        <v>23.64</v>
      </c>
      <c r="N1676" s="29">
        <v>11.67</v>
      </c>
      <c r="O1676" s="149"/>
      <c r="P1676" s="144"/>
      <c r="Q1676" s="145"/>
      <c r="R1676" s="145" t="s">
        <v>1017</v>
      </c>
      <c r="S1676" s="145" t="s">
        <v>4179</v>
      </c>
      <c r="T1676" t="s">
        <v>4179</v>
      </c>
      <c r="U1676" s="146"/>
      <c r="V1676" s="145"/>
      <c r="W1676" s="147"/>
      <c r="X1676" s="147"/>
      <c r="Y1676" s="145" t="s">
        <v>1017</v>
      </c>
      <c r="Z1676" s="145"/>
      <c r="AA1676" s="147"/>
      <c r="AB1676" s="145"/>
      <c r="AC1676" s="145"/>
      <c r="AD1676" s="147"/>
      <c r="AE1676" s="148" t="s">
        <v>1017</v>
      </c>
      <c r="AF1676" s="147"/>
      <c r="AG1676" s="147"/>
      <c r="AH1676" s="166" t="str">
        <f t="shared" si="705"/>
        <v>2010</v>
      </c>
      <c r="AI1676" s="168" t="str">
        <f t="shared" si="690"/>
        <v/>
      </c>
      <c r="AJ1676" s="168" t="str">
        <f t="shared" si="691"/>
        <v/>
      </c>
      <c r="AK1676" s="168" t="str">
        <f t="shared" si="692"/>
        <v/>
      </c>
      <c r="AL1676" s="168" t="str">
        <f t="shared" si="693"/>
        <v/>
      </c>
      <c r="AM1676" s="168" t="str">
        <f t="shared" si="694"/>
        <v/>
      </c>
      <c r="AN1676" s="167" t="str">
        <f t="shared" si="677"/>
        <v>2010</v>
      </c>
      <c r="AO1676" s="167" t="str">
        <f t="shared" si="678"/>
        <v>2010</v>
      </c>
      <c r="AP1676" s="167" t="str">
        <f t="shared" si="679"/>
        <v>2010</v>
      </c>
      <c r="AQ1676" s="169" t="str">
        <f t="shared" si="680"/>
        <v/>
      </c>
      <c r="AR1676" s="170" t="str">
        <f t="shared" si="681"/>
        <v>BiK81GbK10--07</v>
      </c>
      <c r="AS1676" s="169" t="str">
        <f t="shared" si="682"/>
        <v/>
      </c>
      <c r="AT1676">
        <f t="shared" si="683"/>
        <v>14</v>
      </c>
      <c r="AU1676" s="170" t="str">
        <f t="shared" si="684"/>
        <v>0-0,15 MW, Bonusregeln G, b und K erstmals 2010</v>
      </c>
      <c r="AV1676" s="169" t="str">
        <f t="shared" si="685"/>
        <v/>
      </c>
      <c r="AW1676" s="170" t="str">
        <f t="shared" si="686"/>
        <v>Anteil KWK, erstmals 2010</v>
      </c>
      <c r="AX1676" s="169" t="str">
        <f t="shared" si="687"/>
        <v/>
      </c>
      <c r="AY1676" t="str">
        <f t="shared" si="688"/>
        <v/>
      </c>
      <c r="AZ1676" t="str">
        <f t="shared" si="689"/>
        <v/>
      </c>
    </row>
    <row r="1677" spans="1:52" x14ac:dyDescent="0.35">
      <c r="A1677" s="497" t="s">
        <v>5400</v>
      </c>
      <c r="B1677" s="13" t="s">
        <v>5547</v>
      </c>
      <c r="C1677" s="13" t="s">
        <v>1304</v>
      </c>
      <c r="D1677" s="13" t="s">
        <v>6935</v>
      </c>
      <c r="E1677" s="13" t="s">
        <v>3054</v>
      </c>
      <c r="F1677" s="373">
        <f t="shared" si="696"/>
        <v>23.61</v>
      </c>
      <c r="G1677" s="430">
        <v>23.61</v>
      </c>
      <c r="H1677" s="399">
        <f t="shared" si="697"/>
        <v>18.89</v>
      </c>
      <c r="I1677" s="576"/>
      <c r="J1677" s="549" t="s">
        <v>5804</v>
      </c>
      <c r="K1677" s="11"/>
      <c r="M1677" s="37">
        <f t="shared" si="698"/>
        <v>23.61</v>
      </c>
      <c r="N1677" s="29">
        <v>11.67</v>
      </c>
      <c r="O1677" s="149"/>
      <c r="P1677" s="144"/>
      <c r="Q1677" s="145"/>
      <c r="R1677" s="145"/>
      <c r="S1677" s="145" t="s">
        <v>1017</v>
      </c>
      <c r="T1677" t="s">
        <v>4179</v>
      </c>
      <c r="U1677" s="146"/>
      <c r="V1677" s="145"/>
      <c r="W1677" s="147"/>
      <c r="X1677" s="147"/>
      <c r="Y1677" s="145" t="s">
        <v>1017</v>
      </c>
      <c r="Z1677" s="145"/>
      <c r="AA1677" s="147"/>
      <c r="AB1677" s="145"/>
      <c r="AC1677" s="145"/>
      <c r="AD1677" s="147"/>
      <c r="AE1677" s="148" t="s">
        <v>1017</v>
      </c>
      <c r="AF1677" s="147"/>
      <c r="AG1677" s="147"/>
      <c r="AH1677" s="166" t="str">
        <f t="shared" si="705"/>
        <v>2011</v>
      </c>
      <c r="AI1677" s="168" t="str">
        <f t="shared" si="690"/>
        <v/>
      </c>
      <c r="AJ1677" s="168" t="str">
        <f t="shared" si="691"/>
        <v/>
      </c>
      <c r="AK1677" s="168" t="str">
        <f t="shared" si="692"/>
        <v/>
      </c>
      <c r="AL1677" s="168" t="str">
        <f t="shared" si="693"/>
        <v/>
      </c>
      <c r="AM1677" s="168" t="str">
        <f t="shared" si="694"/>
        <v/>
      </c>
      <c r="AN1677" s="167" t="str">
        <f t="shared" si="677"/>
        <v>2011</v>
      </c>
      <c r="AO1677" s="167" t="str">
        <f t="shared" si="678"/>
        <v>2011</v>
      </c>
      <c r="AP1677" s="167" t="str">
        <f t="shared" si="679"/>
        <v>2011</v>
      </c>
      <c r="AQ1677" s="169" t="str">
        <f t="shared" si="680"/>
        <v/>
      </c>
      <c r="AR1677" s="170" t="str">
        <f t="shared" si="681"/>
        <v>BiK81GbK11--07</v>
      </c>
      <c r="AS1677" s="169" t="str">
        <f t="shared" si="682"/>
        <v/>
      </c>
      <c r="AT1677">
        <f t="shared" si="683"/>
        <v>14</v>
      </c>
      <c r="AU1677" s="170" t="str">
        <f t="shared" si="684"/>
        <v>0-0,15 MW, Bonusregeln G, b und K erstmals 2011</v>
      </c>
      <c r="AV1677" s="169" t="str">
        <f t="shared" si="685"/>
        <v/>
      </c>
      <c r="AW1677" s="170" t="str">
        <f t="shared" si="686"/>
        <v>Anteil KWK, erstmals 2011</v>
      </c>
      <c r="AX1677" s="169" t="str">
        <f t="shared" si="687"/>
        <v/>
      </c>
      <c r="AY1677" t="str">
        <f t="shared" si="688"/>
        <v>x</v>
      </c>
      <c r="AZ1677" t="str">
        <f t="shared" si="689"/>
        <v/>
      </c>
    </row>
    <row r="1678" spans="1:52" x14ac:dyDescent="0.35">
      <c r="A1678" s="511" t="s">
        <v>1826</v>
      </c>
      <c r="B1678" s="173" t="s">
        <v>5547</v>
      </c>
      <c r="C1678" s="173" t="s">
        <v>1304</v>
      </c>
      <c r="D1678" s="173" t="s">
        <v>6936</v>
      </c>
      <c r="E1678" s="173" t="s">
        <v>1980</v>
      </c>
      <c r="F1678" s="374">
        <f t="shared" si="696"/>
        <v>23.58</v>
      </c>
      <c r="G1678" s="431">
        <v>23.58</v>
      </c>
      <c r="H1678" s="400">
        <f t="shared" si="697"/>
        <v>18.86</v>
      </c>
      <c r="I1678" s="577"/>
      <c r="J1678" s="549" t="s">
        <v>5804</v>
      </c>
      <c r="K1678" s="11"/>
      <c r="M1678" s="37">
        <f t="shared" si="698"/>
        <v>23.58</v>
      </c>
      <c r="N1678" s="29">
        <v>11.67</v>
      </c>
      <c r="O1678" s="149"/>
      <c r="P1678" s="144"/>
      <c r="Q1678" s="145"/>
      <c r="R1678" s="145"/>
      <c r="S1678" s="145" t="s">
        <v>4179</v>
      </c>
      <c r="T1678" t="s">
        <v>1017</v>
      </c>
      <c r="U1678" s="146"/>
      <c r="V1678" s="145"/>
      <c r="W1678" s="147"/>
      <c r="X1678" s="147"/>
      <c r="Y1678" s="145" t="s">
        <v>1017</v>
      </c>
      <c r="Z1678" s="145"/>
      <c r="AA1678" s="147"/>
      <c r="AB1678" s="145"/>
      <c r="AC1678" s="145"/>
      <c r="AD1678" s="147"/>
      <c r="AE1678" s="148" t="s">
        <v>1017</v>
      </c>
      <c r="AF1678" s="147"/>
      <c r="AG1678" s="147"/>
      <c r="AH1678" s="171" t="s">
        <v>4178</v>
      </c>
      <c r="AI1678" s="168" t="str">
        <f t="shared" si="690"/>
        <v/>
      </c>
      <c r="AJ1678" s="168" t="str">
        <f t="shared" si="691"/>
        <v/>
      </c>
      <c r="AK1678" s="168" t="str">
        <f t="shared" si="692"/>
        <v/>
      </c>
      <c r="AL1678" s="168" t="str">
        <f t="shared" si="693"/>
        <v/>
      </c>
      <c r="AM1678" s="168" t="str">
        <f t="shared" si="694"/>
        <v/>
      </c>
      <c r="AN1678" s="167" t="str">
        <f t="shared" si="677"/>
        <v>2012</v>
      </c>
      <c r="AO1678" s="167" t="str">
        <f t="shared" si="678"/>
        <v>2012</v>
      </c>
      <c r="AP1678" s="167" t="str">
        <f t="shared" si="679"/>
        <v>2012</v>
      </c>
      <c r="AQ1678" s="169" t="str">
        <f t="shared" si="680"/>
        <v/>
      </c>
      <c r="AR1678" s="170" t="str">
        <f t="shared" si="681"/>
        <v>BiK81GbK12--07</v>
      </c>
      <c r="AS1678" s="169" t="str">
        <f t="shared" si="682"/>
        <v/>
      </c>
      <c r="AT1678">
        <f t="shared" si="683"/>
        <v>14</v>
      </c>
      <c r="AU1678" s="170" t="str">
        <f t="shared" si="684"/>
        <v>0-0,15 MW, Bonusregeln G, b und K erstmals 2012</v>
      </c>
      <c r="AV1678" s="169" t="str">
        <f t="shared" si="685"/>
        <v/>
      </c>
      <c r="AW1678" s="170" t="str">
        <f t="shared" si="686"/>
        <v>Anteil KWK, erstmals 2012</v>
      </c>
      <c r="AX1678" s="169" t="str">
        <f t="shared" si="687"/>
        <v/>
      </c>
      <c r="AY1678" t="str">
        <f t="shared" si="688"/>
        <v/>
      </c>
      <c r="AZ1678" t="str">
        <f t="shared" si="689"/>
        <v>x</v>
      </c>
    </row>
    <row r="1679" spans="1:52" x14ac:dyDescent="0.35">
      <c r="A1679" s="497" t="s">
        <v>4469</v>
      </c>
      <c r="B1679" s="13" t="s">
        <v>5547</v>
      </c>
      <c r="C1679" s="13" t="s">
        <v>1304</v>
      </c>
      <c r="D1679" s="13" t="s">
        <v>6937</v>
      </c>
      <c r="E1679" s="13" t="s">
        <v>4809</v>
      </c>
      <c r="F1679" s="373">
        <f t="shared" si="696"/>
        <v>21.67</v>
      </c>
      <c r="G1679" s="430">
        <v>21.67</v>
      </c>
      <c r="H1679" s="399">
        <f t="shared" si="697"/>
        <v>17.34</v>
      </c>
      <c r="I1679" s="576"/>
      <c r="J1679" s="549" t="s">
        <v>5804</v>
      </c>
      <c r="K1679" s="11"/>
      <c r="M1679" s="37">
        <f t="shared" si="698"/>
        <v>21.67</v>
      </c>
      <c r="N1679" s="29">
        <v>11.67</v>
      </c>
      <c r="O1679" s="149"/>
      <c r="P1679" s="144"/>
      <c r="Q1679" s="145"/>
      <c r="R1679" s="145"/>
      <c r="S1679" s="145" t="s">
        <v>4179</v>
      </c>
      <c r="T1679" t="s">
        <v>4179</v>
      </c>
      <c r="U1679" s="146" t="s">
        <v>1017</v>
      </c>
      <c r="V1679" s="145"/>
      <c r="W1679" s="147"/>
      <c r="X1679" s="147"/>
      <c r="Y1679" s="145" t="s">
        <v>1017</v>
      </c>
      <c r="Z1679" s="145"/>
      <c r="AA1679" s="147"/>
      <c r="AB1679" s="145"/>
      <c r="AC1679" s="145"/>
      <c r="AD1679" s="147"/>
      <c r="AE1679" s="148" t="s">
        <v>1017</v>
      </c>
      <c r="AF1679" s="147"/>
      <c r="AG1679" s="147"/>
      <c r="AH1679" s="166" t="str">
        <f t="shared" ref="AH1679:AH1684" si="706">IF(ISERROR(SEARCH("K erstmals 201",D1679)),"",RIGHT(D1679,4))</f>
        <v/>
      </c>
      <c r="AI1679" s="168" t="str">
        <f t="shared" si="690"/>
        <v/>
      </c>
      <c r="AJ1679" s="168" t="str">
        <f t="shared" si="691"/>
        <v/>
      </c>
      <c r="AK1679" s="168" t="str">
        <f t="shared" si="692"/>
        <v/>
      </c>
      <c r="AL1679" s="168" t="str">
        <f t="shared" si="693"/>
        <v/>
      </c>
      <c r="AM1679" s="168" t="str">
        <f t="shared" si="694"/>
        <v/>
      </c>
      <c r="AN1679" s="167" t="str">
        <f t="shared" si="677"/>
        <v/>
      </c>
      <c r="AO1679" s="167" t="str">
        <f t="shared" si="678"/>
        <v/>
      </c>
      <c r="AP1679" s="167" t="str">
        <f t="shared" si="679"/>
        <v/>
      </c>
      <c r="AQ1679" s="169" t="str">
        <f t="shared" si="680"/>
        <v/>
      </c>
      <c r="AR1679" s="170" t="str">
        <f t="shared" si="681"/>
        <v>BiK81Gby----07</v>
      </c>
      <c r="AS1679" s="169" t="str">
        <f t="shared" si="682"/>
        <v/>
      </c>
      <c r="AT1679">
        <f t="shared" si="683"/>
        <v>14</v>
      </c>
      <c r="AU1679" s="170" t="str">
        <f t="shared" si="684"/>
        <v>0-0,15 MW, Bonusregeln G, y, b</v>
      </c>
      <c r="AV1679" s="169" t="str">
        <f t="shared" si="685"/>
        <v/>
      </c>
      <c r="AW1679" s="170" t="str">
        <f t="shared" si="686"/>
        <v>Anteil Nicht-KWK</v>
      </c>
      <c r="AX1679" s="169" t="str">
        <f t="shared" si="687"/>
        <v/>
      </c>
      <c r="AY1679" t="str">
        <f t="shared" si="688"/>
        <v/>
      </c>
      <c r="AZ1679" t="str">
        <f t="shared" si="689"/>
        <v/>
      </c>
    </row>
    <row r="1680" spans="1:52" x14ac:dyDescent="0.35">
      <c r="A1680" s="497" t="s">
        <v>4470</v>
      </c>
      <c r="B1680" s="13" t="s">
        <v>5547</v>
      </c>
      <c r="C1680" s="13" t="s">
        <v>1304</v>
      </c>
      <c r="D1680" s="13" t="s">
        <v>6938</v>
      </c>
      <c r="E1680" s="13" t="s">
        <v>4811</v>
      </c>
      <c r="F1680" s="373">
        <f t="shared" si="696"/>
        <v>23.67</v>
      </c>
      <c r="G1680" s="430">
        <v>23.67</v>
      </c>
      <c r="H1680" s="399">
        <f t="shared" si="697"/>
        <v>18.940000000000001</v>
      </c>
      <c r="I1680" s="576"/>
      <c r="J1680" s="549" t="s">
        <v>5804</v>
      </c>
      <c r="K1680" s="11"/>
      <c r="M1680" s="37">
        <f t="shared" si="698"/>
        <v>23.67</v>
      </c>
      <c r="N1680" s="29">
        <v>11.67</v>
      </c>
      <c r="O1680" s="149" t="s">
        <v>1017</v>
      </c>
      <c r="P1680" s="144"/>
      <c r="Q1680" s="145"/>
      <c r="R1680" s="145"/>
      <c r="S1680" s="145" t="s">
        <v>4179</v>
      </c>
      <c r="T1680" t="s">
        <v>4179</v>
      </c>
      <c r="U1680" s="146" t="s">
        <v>1017</v>
      </c>
      <c r="V1680" s="145"/>
      <c r="W1680" s="147"/>
      <c r="X1680" s="147"/>
      <c r="Y1680" s="145" t="s">
        <v>1017</v>
      </c>
      <c r="Z1680" s="145"/>
      <c r="AA1680" s="147"/>
      <c r="AB1680" s="145"/>
      <c r="AC1680" s="145"/>
      <c r="AD1680" s="147"/>
      <c r="AE1680" s="148" t="s">
        <v>1017</v>
      </c>
      <c r="AF1680" s="147"/>
      <c r="AG1680" s="147"/>
      <c r="AH1680" s="166" t="str">
        <f t="shared" si="706"/>
        <v/>
      </c>
      <c r="AI1680" s="168" t="str">
        <f t="shared" si="690"/>
        <v/>
      </c>
      <c r="AJ1680" s="168" t="str">
        <f t="shared" si="691"/>
        <v/>
      </c>
      <c r="AK1680" s="168" t="str">
        <f t="shared" si="692"/>
        <v/>
      </c>
      <c r="AL1680" s="168" t="str">
        <f t="shared" si="693"/>
        <v/>
      </c>
      <c r="AM1680" s="168" t="str">
        <f t="shared" si="694"/>
        <v/>
      </c>
      <c r="AN1680" s="167" t="str">
        <f t="shared" ref="AN1680:AN1743" si="707">IF(ISERROR(SEARCH("K1",A1680)),"","20"&amp;MID(A1680,SEARCH("K1",A1680)+1,2))</f>
        <v/>
      </c>
      <c r="AO1680" s="167" t="str">
        <f t="shared" ref="AO1680:AO1743" si="708">IF(ISERROR(SEARCH("erstmals 201",E1680)),"",MID(E1680,SEARCH("erstmals ",E1680)+9,4))</f>
        <v/>
      </c>
      <c r="AP1680" s="167" t="str">
        <f t="shared" ref="AP1680:AP1743" si="709">IF(R1680="x","2010",IF(S1680="x","2011",IF(T1680="x","2012","")))</f>
        <v/>
      </c>
      <c r="AQ1680" s="169" t="str">
        <f t="shared" ref="AQ1680:AQ1743" si="710">IF(OR(AH1680&lt;&gt;AN1680,AH1680&lt;&gt;AO1680,AH1680&lt;&gt;AP1680),"DIFF","")</f>
        <v/>
      </c>
      <c r="AR1680" s="170" t="str">
        <f t="shared" ref="AR1680:AR1743" si="711">IF(A1680="","",IF(ISERROR(SEARCH("K1",A1680)),A1680,LEFT(A1680,SEARCH("K1",A1680)+1)&amp;RIGHT(AH1680,1)&amp;MID(A1680,SEARCH("K1",A1680)+3,14)))</f>
        <v>BiK81GbKWKy-07</v>
      </c>
      <c r="AS1680" s="169" t="str">
        <f t="shared" ref="AS1680:AS1743" si="712">IF(OR(A1680&lt;&gt;AR1680),"DIFF","")</f>
        <v/>
      </c>
      <c r="AT1680">
        <f t="shared" ref="AT1680:AT1743" si="713">LEN(AR1680)</f>
        <v>14</v>
      </c>
      <c r="AU1680" s="170" t="str">
        <f t="shared" ref="AU1680:AU1743" si="714">IF(D1680="","",IF(OR(A1680="",ISERROR(SEARCH("erstmals 201",D1680))),D1680,LEFT(D1680,SEARCH("erstmals 201",D1680)+8) &amp; AH1680 &amp; MID(D1680,SEARCH("erstmals 201",D1680)+13,255)))</f>
        <v>0-0,15 MW, Bonusregeln G, y, b und KWK</v>
      </c>
      <c r="AV1680" s="169" t="str">
        <f t="shared" ref="AV1680:AV1743" si="715">IF(OR(D1680&lt;&gt;AU1680),"DIFF","")</f>
        <v/>
      </c>
      <c r="AW1680" s="170" t="str">
        <f t="shared" ref="AW1680:AW1743" si="716">IF(E1680="","",IF(OR(E1680="",ISERROR(SEARCH("erstmals 201",E1680))),E1680,LEFT(E1680,SEARCH("erstmals 201",E1680)+8) &amp; AH1680 &amp; MID(E1680,SEARCH("erstmals 201",E1680)+13,255)))</f>
        <v>Anteil KWK</v>
      </c>
      <c r="AX1680" s="169" t="str">
        <f t="shared" ref="AX1680:AX1743" si="717">IF(OR(E1680&lt;&gt;AW1680),"DIFF","")</f>
        <v/>
      </c>
      <c r="AY1680" t="str">
        <f t="shared" ref="AY1680:AY1743" si="718">IF(AH1680="2011","x",IF(AH1680="2012","","" &amp; S1680))</f>
        <v/>
      </c>
      <c r="AZ1680" t="str">
        <f t="shared" ref="AZ1680:AZ1743" si="719">IF(AH1680="2012","x",IF(AH1680="2011","","" &amp; T1680))</f>
        <v/>
      </c>
    </row>
    <row r="1681" spans="1:52" x14ac:dyDescent="0.35">
      <c r="A1681" s="497" t="s">
        <v>4471</v>
      </c>
      <c r="B1681" s="13" t="s">
        <v>5547</v>
      </c>
      <c r="C1681" s="13" t="s">
        <v>1304</v>
      </c>
      <c r="D1681" s="88" t="s">
        <v>6939</v>
      </c>
      <c r="E1681" s="13" t="s">
        <v>4330</v>
      </c>
      <c r="F1681" s="373">
        <f t="shared" si="696"/>
        <v>24.67</v>
      </c>
      <c r="G1681" s="430">
        <v>24.67</v>
      </c>
      <c r="H1681" s="399">
        <f t="shared" si="697"/>
        <v>19.739999999999998</v>
      </c>
      <c r="I1681" s="576"/>
      <c r="J1681" s="549" t="s">
        <v>5804</v>
      </c>
      <c r="K1681" s="11"/>
      <c r="M1681" s="37">
        <f t="shared" si="698"/>
        <v>24.67</v>
      </c>
      <c r="N1681" s="29">
        <v>11.67</v>
      </c>
      <c r="O1681" s="149"/>
      <c r="P1681" s="145" t="s">
        <v>1017</v>
      </c>
      <c r="Q1681" s="145"/>
      <c r="R1681" s="145"/>
      <c r="S1681" s="145" t="s">
        <v>4179</v>
      </c>
      <c r="T1681" t="s">
        <v>4179</v>
      </c>
      <c r="U1681" s="146" t="s">
        <v>1017</v>
      </c>
      <c r="V1681" s="145"/>
      <c r="W1681" s="147"/>
      <c r="X1681" s="147"/>
      <c r="Y1681" s="145" t="s">
        <v>1017</v>
      </c>
      <c r="Z1681" s="145"/>
      <c r="AA1681" s="147"/>
      <c r="AB1681" s="145"/>
      <c r="AC1681" s="145"/>
      <c r="AD1681" s="147"/>
      <c r="AE1681" s="148" t="s">
        <v>1017</v>
      </c>
      <c r="AF1681" s="147"/>
      <c r="AG1681" s="147"/>
      <c r="AH1681" s="166" t="str">
        <f t="shared" si="706"/>
        <v/>
      </c>
      <c r="AI1681" s="168" t="str">
        <f t="shared" si="690"/>
        <v/>
      </c>
      <c r="AJ1681" s="168" t="str">
        <f t="shared" si="691"/>
        <v/>
      </c>
      <c r="AK1681" s="168" t="str">
        <f t="shared" si="692"/>
        <v/>
      </c>
      <c r="AL1681" s="168" t="str">
        <f t="shared" si="693"/>
        <v/>
      </c>
      <c r="AM1681" s="168" t="str">
        <f t="shared" si="694"/>
        <v/>
      </c>
      <c r="AN1681" s="167" t="str">
        <f t="shared" si="707"/>
        <v/>
      </c>
      <c r="AO1681" s="167" t="str">
        <f t="shared" si="708"/>
        <v/>
      </c>
      <c r="AP1681" s="167" t="str">
        <f t="shared" si="709"/>
        <v/>
      </c>
      <c r="AQ1681" s="169" t="str">
        <f t="shared" si="710"/>
        <v/>
      </c>
      <c r="AR1681" s="170" t="str">
        <f t="shared" si="711"/>
        <v>BiK81GbKA3y-07</v>
      </c>
      <c r="AS1681" s="169" t="str">
        <f t="shared" si="712"/>
        <v/>
      </c>
      <c r="AT1681">
        <f t="shared" si="713"/>
        <v>14</v>
      </c>
      <c r="AU1681" s="170" t="str">
        <f t="shared" si="714"/>
        <v>0-0,15 MW, Bonusregeln G, y, b und K wenn Anlage 3 erfüllt</v>
      </c>
      <c r="AV1681" s="169" t="str">
        <f t="shared" si="715"/>
        <v/>
      </c>
      <c r="AW1681" s="170" t="str">
        <f t="shared" si="716"/>
        <v>Anteil KWK gemäß Anlage 3</v>
      </c>
      <c r="AX1681" s="169" t="str">
        <f t="shared" si="717"/>
        <v/>
      </c>
      <c r="AY1681" t="str">
        <f t="shared" si="718"/>
        <v/>
      </c>
      <c r="AZ1681" t="str">
        <f t="shared" si="719"/>
        <v/>
      </c>
    </row>
    <row r="1682" spans="1:52" x14ac:dyDescent="0.35">
      <c r="A1682" s="497" t="s">
        <v>4472</v>
      </c>
      <c r="B1682" s="13" t="s">
        <v>5547</v>
      </c>
      <c r="C1682" s="13" t="s">
        <v>1304</v>
      </c>
      <c r="D1682" s="13" t="s">
        <v>6940</v>
      </c>
      <c r="E1682" s="13" t="s">
        <v>674</v>
      </c>
      <c r="F1682" s="373">
        <f t="shared" si="696"/>
        <v>24.67</v>
      </c>
      <c r="G1682" s="430">
        <v>24.67</v>
      </c>
      <c r="H1682" s="399">
        <f t="shared" si="697"/>
        <v>19.739999999999998</v>
      </c>
      <c r="I1682" s="576"/>
      <c r="J1682" s="549" t="s">
        <v>5804</v>
      </c>
      <c r="K1682" s="11"/>
      <c r="M1682" s="37">
        <f t="shared" si="698"/>
        <v>24.67</v>
      </c>
      <c r="N1682" s="29">
        <v>11.67</v>
      </c>
      <c r="O1682" s="149"/>
      <c r="P1682" s="144"/>
      <c r="Q1682" s="145" t="s">
        <v>1017</v>
      </c>
      <c r="R1682" s="145"/>
      <c r="S1682" s="145" t="s">
        <v>4179</v>
      </c>
      <c r="T1682" t="s">
        <v>4179</v>
      </c>
      <c r="U1682" s="146" t="s">
        <v>1017</v>
      </c>
      <c r="V1682" s="145"/>
      <c r="W1682" s="147"/>
      <c r="X1682" s="147"/>
      <c r="Y1682" s="145" t="s">
        <v>1017</v>
      </c>
      <c r="Z1682" s="145"/>
      <c r="AA1682" s="147"/>
      <c r="AB1682" s="145"/>
      <c r="AC1682" s="145"/>
      <c r="AD1682" s="147"/>
      <c r="AE1682" s="148" t="s">
        <v>1017</v>
      </c>
      <c r="AF1682" s="147"/>
      <c r="AG1682" s="147"/>
      <c r="AH1682" s="166" t="str">
        <f t="shared" si="706"/>
        <v/>
      </c>
      <c r="AI1682" s="168" t="str">
        <f t="shared" si="690"/>
        <v/>
      </c>
      <c r="AJ1682" s="168" t="str">
        <f t="shared" si="691"/>
        <v/>
      </c>
      <c r="AK1682" s="168" t="str">
        <f t="shared" si="692"/>
        <v/>
      </c>
      <c r="AL1682" s="168" t="str">
        <f t="shared" si="693"/>
        <v/>
      </c>
      <c r="AM1682" s="168" t="str">
        <f t="shared" si="694"/>
        <v/>
      </c>
      <c r="AN1682" s="167" t="str">
        <f t="shared" si="707"/>
        <v/>
      </c>
      <c r="AO1682" s="167" t="str">
        <f t="shared" si="708"/>
        <v/>
      </c>
      <c r="AP1682" s="167" t="str">
        <f t="shared" si="709"/>
        <v/>
      </c>
      <c r="AQ1682" s="169" t="str">
        <f t="shared" si="710"/>
        <v/>
      </c>
      <c r="AR1682" s="170" t="str">
        <f t="shared" si="711"/>
        <v>BiK81GbK09y-07</v>
      </c>
      <c r="AS1682" s="169" t="str">
        <f t="shared" si="712"/>
        <v/>
      </c>
      <c r="AT1682">
        <f t="shared" si="713"/>
        <v>14</v>
      </c>
      <c r="AU1682" s="170" t="str">
        <f t="shared" si="714"/>
        <v>0-0,15 MW, Bonusregeln G, y, b und K erstmals 2009</v>
      </c>
      <c r="AV1682" s="169" t="str">
        <f t="shared" si="715"/>
        <v/>
      </c>
      <c r="AW1682" s="170" t="str">
        <f t="shared" si="716"/>
        <v>Anteil KWK, erstmals 2009</v>
      </c>
      <c r="AX1682" s="169" t="str">
        <f t="shared" si="717"/>
        <v/>
      </c>
      <c r="AY1682" t="str">
        <f t="shared" si="718"/>
        <v/>
      </c>
      <c r="AZ1682" t="str">
        <f t="shared" si="719"/>
        <v/>
      </c>
    </row>
    <row r="1683" spans="1:52" x14ac:dyDescent="0.35">
      <c r="A1683" s="497" t="s">
        <v>4957</v>
      </c>
      <c r="B1683" s="13" t="s">
        <v>5547</v>
      </c>
      <c r="C1683" s="13" t="s">
        <v>1304</v>
      </c>
      <c r="D1683" s="13" t="s">
        <v>6941</v>
      </c>
      <c r="E1683" s="13" t="s">
        <v>3566</v>
      </c>
      <c r="F1683" s="373">
        <f t="shared" si="696"/>
        <v>24.64</v>
      </c>
      <c r="G1683" s="430">
        <v>24.64</v>
      </c>
      <c r="H1683" s="399">
        <f t="shared" si="697"/>
        <v>19.71</v>
      </c>
      <c r="I1683" s="576"/>
      <c r="J1683" s="549" t="s">
        <v>5804</v>
      </c>
      <c r="K1683" s="11"/>
      <c r="M1683" s="37">
        <f t="shared" si="698"/>
        <v>24.64</v>
      </c>
      <c r="N1683" s="29">
        <v>11.67</v>
      </c>
      <c r="O1683" s="149"/>
      <c r="P1683" s="144"/>
      <c r="Q1683" s="145"/>
      <c r="R1683" s="145" t="s">
        <v>1017</v>
      </c>
      <c r="S1683" s="145" t="s">
        <v>4179</v>
      </c>
      <c r="T1683" t="s">
        <v>4179</v>
      </c>
      <c r="U1683" s="146" t="s">
        <v>1017</v>
      </c>
      <c r="V1683" s="145"/>
      <c r="W1683" s="147"/>
      <c r="X1683" s="147"/>
      <c r="Y1683" s="145" t="s">
        <v>1017</v>
      </c>
      <c r="Z1683" s="145"/>
      <c r="AA1683" s="147"/>
      <c r="AB1683" s="145"/>
      <c r="AC1683" s="145"/>
      <c r="AD1683" s="147"/>
      <c r="AE1683" s="148" t="s">
        <v>1017</v>
      </c>
      <c r="AF1683" s="147"/>
      <c r="AG1683" s="147"/>
      <c r="AH1683" s="166" t="str">
        <f t="shared" si="706"/>
        <v>2010</v>
      </c>
      <c r="AI1683" s="168" t="str">
        <f t="shared" ref="AI1683:AI1746" si="720">IF(AND($AH1683&lt;&gt;"",AH1683 =AH1682),"Gleich","")</f>
        <v/>
      </c>
      <c r="AJ1683" s="168" t="str">
        <f t="shared" ref="AJ1683:AJ1746" si="721">IF(AND($AH1683&lt;&gt;"",A1683 =A1682),"Gleich","")</f>
        <v/>
      </c>
      <c r="AK1683" s="168" t="str">
        <f t="shared" ref="AK1683:AK1746" si="722">IF(AND($AH1683&lt;&gt;"",D1683 =D1682),"Gleich","")</f>
        <v/>
      </c>
      <c r="AL1683" s="168" t="str">
        <f t="shared" ref="AL1683:AL1746" si="723">IF(AND($AH1683&lt;&gt;"",E1683 =E1682),"Gleich","")</f>
        <v/>
      </c>
      <c r="AM1683" s="168" t="str">
        <f t="shared" ref="AM1683:AM1746" si="724">IF(AND($AH1683&lt;&gt;"",F1683 =F1682),"Gleich","")</f>
        <v/>
      </c>
      <c r="AN1683" s="167" t="str">
        <f t="shared" si="707"/>
        <v>2010</v>
      </c>
      <c r="AO1683" s="167" t="str">
        <f t="shared" si="708"/>
        <v>2010</v>
      </c>
      <c r="AP1683" s="167" t="str">
        <f t="shared" si="709"/>
        <v>2010</v>
      </c>
      <c r="AQ1683" s="169" t="str">
        <f t="shared" si="710"/>
        <v/>
      </c>
      <c r="AR1683" s="170" t="str">
        <f t="shared" si="711"/>
        <v>BiK81GbK10y-07</v>
      </c>
      <c r="AS1683" s="169" t="str">
        <f t="shared" si="712"/>
        <v/>
      </c>
      <c r="AT1683">
        <f t="shared" si="713"/>
        <v>14</v>
      </c>
      <c r="AU1683" s="170" t="str">
        <f t="shared" si="714"/>
        <v>0-0,15 MW, Bonusregeln G, y, b und K erstmals 2010</v>
      </c>
      <c r="AV1683" s="169" t="str">
        <f t="shared" si="715"/>
        <v/>
      </c>
      <c r="AW1683" s="170" t="str">
        <f t="shared" si="716"/>
        <v>Anteil KWK, erstmals 2010</v>
      </c>
      <c r="AX1683" s="169" t="str">
        <f t="shared" si="717"/>
        <v/>
      </c>
      <c r="AY1683" t="str">
        <f t="shared" si="718"/>
        <v/>
      </c>
      <c r="AZ1683" t="str">
        <f t="shared" si="719"/>
        <v/>
      </c>
    </row>
    <row r="1684" spans="1:52" x14ac:dyDescent="0.35">
      <c r="A1684" s="497" t="s">
        <v>5401</v>
      </c>
      <c r="B1684" s="13" t="s">
        <v>5547</v>
      </c>
      <c r="C1684" s="13" t="s">
        <v>1304</v>
      </c>
      <c r="D1684" s="13" t="s">
        <v>6942</v>
      </c>
      <c r="E1684" s="13" t="s">
        <v>3054</v>
      </c>
      <c r="F1684" s="373">
        <f t="shared" si="696"/>
        <v>24.61</v>
      </c>
      <c r="G1684" s="430">
        <v>24.61</v>
      </c>
      <c r="H1684" s="399">
        <f t="shared" si="697"/>
        <v>19.690000000000001</v>
      </c>
      <c r="I1684" s="576"/>
      <c r="J1684" s="549" t="s">
        <v>5804</v>
      </c>
      <c r="K1684" s="11"/>
      <c r="M1684" s="37">
        <f t="shared" si="698"/>
        <v>24.61</v>
      </c>
      <c r="N1684" s="29">
        <v>11.67</v>
      </c>
      <c r="O1684" s="149"/>
      <c r="P1684" s="144"/>
      <c r="Q1684" s="145"/>
      <c r="R1684" s="145"/>
      <c r="S1684" s="145" t="s">
        <v>1017</v>
      </c>
      <c r="T1684" t="s">
        <v>4179</v>
      </c>
      <c r="U1684" s="146" t="s">
        <v>1017</v>
      </c>
      <c r="V1684" s="145"/>
      <c r="W1684" s="147"/>
      <c r="X1684" s="147"/>
      <c r="Y1684" s="145" t="s">
        <v>1017</v>
      </c>
      <c r="Z1684" s="145"/>
      <c r="AA1684" s="147"/>
      <c r="AB1684" s="145"/>
      <c r="AC1684" s="145"/>
      <c r="AD1684" s="147"/>
      <c r="AE1684" s="148" t="s">
        <v>1017</v>
      </c>
      <c r="AF1684" s="147"/>
      <c r="AG1684" s="147"/>
      <c r="AH1684" s="166" t="str">
        <f t="shared" si="706"/>
        <v>2011</v>
      </c>
      <c r="AI1684" s="168" t="str">
        <f t="shared" si="720"/>
        <v/>
      </c>
      <c r="AJ1684" s="168" t="str">
        <f t="shared" si="721"/>
        <v/>
      </c>
      <c r="AK1684" s="168" t="str">
        <f t="shared" si="722"/>
        <v/>
      </c>
      <c r="AL1684" s="168" t="str">
        <f t="shared" si="723"/>
        <v/>
      </c>
      <c r="AM1684" s="168" t="str">
        <f t="shared" si="724"/>
        <v/>
      </c>
      <c r="AN1684" s="167" t="str">
        <f t="shared" si="707"/>
        <v>2011</v>
      </c>
      <c r="AO1684" s="167" t="str">
        <f t="shared" si="708"/>
        <v>2011</v>
      </c>
      <c r="AP1684" s="167" t="str">
        <f t="shared" si="709"/>
        <v>2011</v>
      </c>
      <c r="AQ1684" s="169" t="str">
        <f t="shared" si="710"/>
        <v/>
      </c>
      <c r="AR1684" s="170" t="str">
        <f t="shared" si="711"/>
        <v>BiK81GbK11y-07</v>
      </c>
      <c r="AS1684" s="169" t="str">
        <f t="shared" si="712"/>
        <v/>
      </c>
      <c r="AT1684">
        <f t="shared" si="713"/>
        <v>14</v>
      </c>
      <c r="AU1684" s="170" t="str">
        <f t="shared" si="714"/>
        <v>0-0,15 MW, Bonusregeln G, y, b und K erstmals 2011</v>
      </c>
      <c r="AV1684" s="169" t="str">
        <f t="shared" si="715"/>
        <v/>
      </c>
      <c r="AW1684" s="170" t="str">
        <f t="shared" si="716"/>
        <v>Anteil KWK, erstmals 2011</v>
      </c>
      <c r="AX1684" s="169" t="str">
        <f t="shared" si="717"/>
        <v/>
      </c>
      <c r="AY1684" t="str">
        <f t="shared" si="718"/>
        <v>x</v>
      </c>
      <c r="AZ1684" t="str">
        <f t="shared" si="719"/>
        <v/>
      </c>
    </row>
    <row r="1685" spans="1:52" x14ac:dyDescent="0.35">
      <c r="A1685" s="511" t="s">
        <v>1827</v>
      </c>
      <c r="B1685" s="173" t="s">
        <v>5547</v>
      </c>
      <c r="C1685" s="173" t="s">
        <v>1304</v>
      </c>
      <c r="D1685" s="173" t="s">
        <v>6943</v>
      </c>
      <c r="E1685" s="173" t="s">
        <v>1980</v>
      </c>
      <c r="F1685" s="374">
        <f t="shared" si="696"/>
        <v>24.58</v>
      </c>
      <c r="G1685" s="431">
        <v>24.58</v>
      </c>
      <c r="H1685" s="400">
        <f t="shared" si="697"/>
        <v>19.66</v>
      </c>
      <c r="I1685" s="577"/>
      <c r="J1685" s="549" t="s">
        <v>5804</v>
      </c>
      <c r="K1685" s="11"/>
      <c r="M1685" s="37">
        <f t="shared" si="698"/>
        <v>24.58</v>
      </c>
      <c r="N1685" s="29">
        <v>11.67</v>
      </c>
      <c r="O1685" s="149"/>
      <c r="P1685" s="144"/>
      <c r="Q1685" s="145"/>
      <c r="R1685" s="145"/>
      <c r="S1685" s="145" t="s">
        <v>4179</v>
      </c>
      <c r="T1685" t="s">
        <v>1017</v>
      </c>
      <c r="U1685" s="146" t="s">
        <v>1017</v>
      </c>
      <c r="V1685" s="145"/>
      <c r="W1685" s="147"/>
      <c r="X1685" s="147"/>
      <c r="Y1685" s="145" t="s">
        <v>1017</v>
      </c>
      <c r="Z1685" s="145"/>
      <c r="AA1685" s="147"/>
      <c r="AB1685" s="145"/>
      <c r="AC1685" s="145"/>
      <c r="AD1685" s="147"/>
      <c r="AE1685" s="148" t="s">
        <v>1017</v>
      </c>
      <c r="AF1685" s="147"/>
      <c r="AG1685" s="147"/>
      <c r="AH1685" s="171" t="s">
        <v>4178</v>
      </c>
      <c r="AI1685" s="168" t="str">
        <f t="shared" si="720"/>
        <v/>
      </c>
      <c r="AJ1685" s="168" t="str">
        <f t="shared" si="721"/>
        <v/>
      </c>
      <c r="AK1685" s="168" t="str">
        <f t="shared" si="722"/>
        <v/>
      </c>
      <c r="AL1685" s="168" t="str">
        <f t="shared" si="723"/>
        <v/>
      </c>
      <c r="AM1685" s="168" t="str">
        <f t="shared" si="724"/>
        <v/>
      </c>
      <c r="AN1685" s="167" t="str">
        <f t="shared" si="707"/>
        <v>2012</v>
      </c>
      <c r="AO1685" s="167" t="str">
        <f t="shared" si="708"/>
        <v>2012</v>
      </c>
      <c r="AP1685" s="167" t="str">
        <f t="shared" si="709"/>
        <v>2012</v>
      </c>
      <c r="AQ1685" s="169" t="str">
        <f t="shared" si="710"/>
        <v/>
      </c>
      <c r="AR1685" s="170" t="str">
        <f t="shared" si="711"/>
        <v>BiK81GbK12y-07</v>
      </c>
      <c r="AS1685" s="169" t="str">
        <f t="shared" si="712"/>
        <v/>
      </c>
      <c r="AT1685">
        <f t="shared" si="713"/>
        <v>14</v>
      </c>
      <c r="AU1685" s="170" t="str">
        <f t="shared" si="714"/>
        <v>0-0,15 MW, Bonusregeln G, y, b und K erstmals 2012</v>
      </c>
      <c r="AV1685" s="169" t="str">
        <f t="shared" si="715"/>
        <v/>
      </c>
      <c r="AW1685" s="170" t="str">
        <f t="shared" si="716"/>
        <v>Anteil KWK, erstmals 2012</v>
      </c>
      <c r="AX1685" s="169" t="str">
        <f t="shared" si="717"/>
        <v/>
      </c>
      <c r="AY1685" t="str">
        <f t="shared" si="718"/>
        <v/>
      </c>
      <c r="AZ1685" t="str">
        <f t="shared" si="719"/>
        <v>x</v>
      </c>
    </row>
    <row r="1686" spans="1:52" x14ac:dyDescent="0.35">
      <c r="A1686" s="497" t="s">
        <v>4473</v>
      </c>
      <c r="B1686" s="13" t="s">
        <v>5547</v>
      </c>
      <c r="C1686" s="13" t="s">
        <v>1304</v>
      </c>
      <c r="D1686" s="13" t="s">
        <v>6944</v>
      </c>
      <c r="E1686" s="13" t="s">
        <v>4809</v>
      </c>
      <c r="F1686" s="373">
        <f t="shared" si="696"/>
        <v>24.67</v>
      </c>
      <c r="G1686" s="430">
        <v>24.67</v>
      </c>
      <c r="H1686" s="399">
        <f t="shared" si="697"/>
        <v>19.739999999999998</v>
      </c>
      <c r="I1686" s="576"/>
      <c r="J1686" s="549" t="s">
        <v>5804</v>
      </c>
      <c r="K1686" s="11"/>
      <c r="M1686" s="37">
        <f t="shared" si="698"/>
        <v>24.67</v>
      </c>
      <c r="N1686" s="29">
        <v>11.67</v>
      </c>
      <c r="O1686" s="149"/>
      <c r="P1686" s="144"/>
      <c r="Q1686" s="145"/>
      <c r="R1686" s="145"/>
      <c r="S1686" s="145" t="s">
        <v>4179</v>
      </c>
      <c r="T1686" t="s">
        <v>4179</v>
      </c>
      <c r="U1686" s="146"/>
      <c r="V1686" s="145"/>
      <c r="W1686" s="147"/>
      <c r="X1686" s="147"/>
      <c r="Y1686" s="145"/>
      <c r="Z1686" s="145" t="s">
        <v>1017</v>
      </c>
      <c r="AA1686" s="147"/>
      <c r="AB1686" s="145"/>
      <c r="AC1686" s="145"/>
      <c r="AD1686" s="147"/>
      <c r="AE1686" s="148" t="s">
        <v>1017</v>
      </c>
      <c r="AF1686" s="147"/>
      <c r="AG1686" s="147"/>
      <c r="AH1686" s="166" t="str">
        <f t="shared" ref="AH1686:AH1691" si="725">IF(ISERROR(SEARCH("K erstmals 201",D1686)),"",RIGHT(D1686,4))</f>
        <v/>
      </c>
      <c r="AI1686" s="168" t="str">
        <f t="shared" si="720"/>
        <v/>
      </c>
      <c r="AJ1686" s="168" t="str">
        <f t="shared" si="721"/>
        <v/>
      </c>
      <c r="AK1686" s="168" t="str">
        <f t="shared" si="722"/>
        <v/>
      </c>
      <c r="AL1686" s="168" t="str">
        <f t="shared" si="723"/>
        <v/>
      </c>
      <c r="AM1686" s="168" t="str">
        <f t="shared" si="724"/>
        <v/>
      </c>
      <c r="AN1686" s="167" t="str">
        <f t="shared" si="707"/>
        <v/>
      </c>
      <c r="AO1686" s="167" t="str">
        <f t="shared" si="708"/>
        <v/>
      </c>
      <c r="AP1686" s="167" t="str">
        <f t="shared" si="709"/>
        <v/>
      </c>
      <c r="AQ1686" s="169" t="str">
        <f t="shared" si="710"/>
        <v/>
      </c>
      <c r="AR1686" s="170" t="str">
        <f t="shared" si="711"/>
        <v>BiK81M1b----07</v>
      </c>
      <c r="AS1686" s="169" t="str">
        <f t="shared" si="712"/>
        <v/>
      </c>
      <c r="AT1686">
        <f t="shared" si="713"/>
        <v>14</v>
      </c>
      <c r="AU1686" s="170" t="str">
        <f t="shared" si="714"/>
        <v>0-0,15 MW, Bonusregeln M1, b</v>
      </c>
      <c r="AV1686" s="169" t="str">
        <f t="shared" si="715"/>
        <v/>
      </c>
      <c r="AW1686" s="170" t="str">
        <f t="shared" si="716"/>
        <v>Anteil Nicht-KWK</v>
      </c>
      <c r="AX1686" s="169" t="str">
        <f t="shared" si="717"/>
        <v/>
      </c>
      <c r="AY1686" t="str">
        <f t="shared" si="718"/>
        <v/>
      </c>
      <c r="AZ1686" t="str">
        <f t="shared" si="719"/>
        <v/>
      </c>
    </row>
    <row r="1687" spans="1:52" x14ac:dyDescent="0.35">
      <c r="A1687" s="497" t="s">
        <v>4474</v>
      </c>
      <c r="B1687" s="13" t="s">
        <v>5547</v>
      </c>
      <c r="C1687" s="13" t="s">
        <v>1304</v>
      </c>
      <c r="D1687" s="13" t="s">
        <v>6945</v>
      </c>
      <c r="E1687" s="13" t="s">
        <v>4811</v>
      </c>
      <c r="F1687" s="373">
        <f t="shared" si="696"/>
        <v>26.67</v>
      </c>
      <c r="G1687" s="430">
        <v>26.67</v>
      </c>
      <c r="H1687" s="399">
        <f t="shared" si="697"/>
        <v>21.34</v>
      </c>
      <c r="I1687" s="576"/>
      <c r="J1687" s="549" t="s">
        <v>5804</v>
      </c>
      <c r="K1687" s="11"/>
      <c r="M1687" s="37">
        <f t="shared" si="698"/>
        <v>26.67</v>
      </c>
      <c r="N1687" s="29">
        <v>11.67</v>
      </c>
      <c r="O1687" s="149" t="s">
        <v>1017</v>
      </c>
      <c r="P1687" s="144"/>
      <c r="Q1687" s="145"/>
      <c r="R1687" s="145"/>
      <c r="S1687" s="145" t="s">
        <v>4179</v>
      </c>
      <c r="T1687" t="s">
        <v>4179</v>
      </c>
      <c r="U1687" s="146"/>
      <c r="V1687" s="145"/>
      <c r="W1687" s="147"/>
      <c r="X1687" s="147"/>
      <c r="Y1687" s="145"/>
      <c r="Z1687" s="145" t="s">
        <v>1017</v>
      </c>
      <c r="AA1687" s="147"/>
      <c r="AB1687" s="145"/>
      <c r="AC1687" s="145"/>
      <c r="AD1687" s="147"/>
      <c r="AE1687" s="148" t="s">
        <v>1017</v>
      </c>
      <c r="AF1687" s="147"/>
      <c r="AG1687" s="147"/>
      <c r="AH1687" s="166" t="str">
        <f t="shared" si="725"/>
        <v/>
      </c>
      <c r="AI1687" s="168" t="str">
        <f t="shared" si="720"/>
        <v/>
      </c>
      <c r="AJ1687" s="168" t="str">
        <f t="shared" si="721"/>
        <v/>
      </c>
      <c r="AK1687" s="168" t="str">
        <f t="shared" si="722"/>
        <v/>
      </c>
      <c r="AL1687" s="168" t="str">
        <f t="shared" si="723"/>
        <v/>
      </c>
      <c r="AM1687" s="168" t="str">
        <f t="shared" si="724"/>
        <v/>
      </c>
      <c r="AN1687" s="167" t="str">
        <f t="shared" si="707"/>
        <v/>
      </c>
      <c r="AO1687" s="167" t="str">
        <f t="shared" si="708"/>
        <v/>
      </c>
      <c r="AP1687" s="167" t="str">
        <f t="shared" si="709"/>
        <v/>
      </c>
      <c r="AQ1687" s="169" t="str">
        <f t="shared" si="710"/>
        <v/>
      </c>
      <c r="AR1687" s="170" t="str">
        <f t="shared" si="711"/>
        <v>BiK81M1bKWK-07</v>
      </c>
      <c r="AS1687" s="169" t="str">
        <f t="shared" si="712"/>
        <v/>
      </c>
      <c r="AT1687">
        <f t="shared" si="713"/>
        <v>14</v>
      </c>
      <c r="AU1687" s="170" t="str">
        <f t="shared" si="714"/>
        <v>0-0,15 MW, Bonusregeln M1, b und KWK</v>
      </c>
      <c r="AV1687" s="169" t="str">
        <f t="shared" si="715"/>
        <v/>
      </c>
      <c r="AW1687" s="170" t="str">
        <f t="shared" si="716"/>
        <v>Anteil KWK</v>
      </c>
      <c r="AX1687" s="169" t="str">
        <f t="shared" si="717"/>
        <v/>
      </c>
      <c r="AY1687" t="str">
        <f t="shared" si="718"/>
        <v/>
      </c>
      <c r="AZ1687" t="str">
        <f t="shared" si="719"/>
        <v/>
      </c>
    </row>
    <row r="1688" spans="1:52" s="145" customFormat="1" x14ac:dyDescent="0.35">
      <c r="A1688" s="497" t="s">
        <v>4475</v>
      </c>
      <c r="B1688" s="13" t="s">
        <v>5547</v>
      </c>
      <c r="C1688" s="13" t="s">
        <v>1304</v>
      </c>
      <c r="D1688" s="13" t="s">
        <v>6946</v>
      </c>
      <c r="E1688" s="13" t="s">
        <v>4330</v>
      </c>
      <c r="F1688" s="373">
        <f t="shared" ref="F1688:F1751" si="726">M1688</f>
        <v>27.67</v>
      </c>
      <c r="G1688" s="430">
        <v>27.67</v>
      </c>
      <c r="H1688" s="399">
        <f t="shared" ref="H1688:H1751" si="727">IF(ISNUMBER(G1688),ROUND(0.8*G1688,2),"")</f>
        <v>22.14</v>
      </c>
      <c r="I1688" s="576"/>
      <c r="J1688" s="549" t="s">
        <v>5804</v>
      </c>
      <c r="K1688" s="11"/>
      <c r="L1688"/>
      <c r="M1688" s="37">
        <f t="shared" ref="M1688:M1751" si="728">N1688+SUMIF(O1688:AG1688,"x",O$1559:AG$1559)</f>
        <v>27.67</v>
      </c>
      <c r="N1688" s="29">
        <v>11.67</v>
      </c>
      <c r="O1688" s="149"/>
      <c r="P1688" s="145" t="s">
        <v>1017</v>
      </c>
      <c r="S1688" s="145" t="s">
        <v>4179</v>
      </c>
      <c r="T1688" s="145" t="s">
        <v>4179</v>
      </c>
      <c r="U1688" s="146"/>
      <c r="W1688" s="147"/>
      <c r="X1688" s="147"/>
      <c r="Z1688" s="145" t="s">
        <v>1017</v>
      </c>
      <c r="AA1688" s="147"/>
      <c r="AD1688" s="147"/>
      <c r="AE1688" s="148" t="s">
        <v>1017</v>
      </c>
      <c r="AF1688" s="147"/>
      <c r="AG1688" s="147"/>
      <c r="AH1688" s="166" t="str">
        <f t="shared" si="725"/>
        <v/>
      </c>
      <c r="AI1688" s="168" t="str">
        <f t="shared" si="720"/>
        <v/>
      </c>
      <c r="AJ1688" s="168" t="str">
        <f t="shared" si="721"/>
        <v/>
      </c>
      <c r="AK1688" s="168" t="str">
        <f t="shared" si="722"/>
        <v/>
      </c>
      <c r="AL1688" s="168" t="str">
        <f t="shared" si="723"/>
        <v/>
      </c>
      <c r="AM1688" s="168" t="str">
        <f t="shared" si="724"/>
        <v/>
      </c>
      <c r="AN1688" s="167" t="str">
        <f t="shared" si="707"/>
        <v/>
      </c>
      <c r="AO1688" s="167" t="str">
        <f t="shared" si="708"/>
        <v/>
      </c>
      <c r="AP1688" s="167" t="str">
        <f t="shared" si="709"/>
        <v/>
      </c>
      <c r="AQ1688" s="169" t="str">
        <f t="shared" si="710"/>
        <v/>
      </c>
      <c r="AR1688" s="170" t="str">
        <f t="shared" si="711"/>
        <v>BiK81M1bKA3-07</v>
      </c>
      <c r="AS1688" s="169" t="str">
        <f t="shared" si="712"/>
        <v/>
      </c>
      <c r="AT1688">
        <f t="shared" si="713"/>
        <v>14</v>
      </c>
      <c r="AU1688" s="170" t="str">
        <f t="shared" si="714"/>
        <v>0-0,15 MW, Bonusregeln M1, b und K wenn Anlage 3 erfüllt</v>
      </c>
      <c r="AV1688" s="169" t="str">
        <f t="shared" si="715"/>
        <v/>
      </c>
      <c r="AW1688" s="170" t="str">
        <f t="shared" si="716"/>
        <v>Anteil KWK gemäß Anlage 3</v>
      </c>
      <c r="AX1688" s="169" t="str">
        <f t="shared" si="717"/>
        <v/>
      </c>
      <c r="AY1688" t="str">
        <f t="shared" si="718"/>
        <v/>
      </c>
      <c r="AZ1688" t="str">
        <f t="shared" si="719"/>
        <v/>
      </c>
    </row>
    <row r="1689" spans="1:52" s="145" customFormat="1" x14ac:dyDescent="0.35">
      <c r="A1689" s="497" t="s">
        <v>4476</v>
      </c>
      <c r="B1689" s="13" t="s">
        <v>5547</v>
      </c>
      <c r="C1689" s="13" t="s">
        <v>1304</v>
      </c>
      <c r="D1689" s="13" t="s">
        <v>6947</v>
      </c>
      <c r="E1689" s="13" t="s">
        <v>674</v>
      </c>
      <c r="F1689" s="373">
        <f t="shared" si="726"/>
        <v>27.67</v>
      </c>
      <c r="G1689" s="430">
        <v>27.67</v>
      </c>
      <c r="H1689" s="399">
        <f t="shared" si="727"/>
        <v>22.14</v>
      </c>
      <c r="I1689" s="576"/>
      <c r="J1689" s="549" t="s">
        <v>5804</v>
      </c>
      <c r="K1689" s="11"/>
      <c r="L1689"/>
      <c r="M1689" s="37">
        <f t="shared" si="728"/>
        <v>27.67</v>
      </c>
      <c r="N1689" s="29">
        <v>11.67</v>
      </c>
      <c r="O1689" s="149"/>
      <c r="P1689" s="144"/>
      <c r="Q1689" s="145" t="s">
        <v>1017</v>
      </c>
      <c r="S1689" s="145" t="s">
        <v>4179</v>
      </c>
      <c r="T1689" s="145" t="s">
        <v>4179</v>
      </c>
      <c r="U1689" s="146"/>
      <c r="W1689" s="147"/>
      <c r="X1689" s="147"/>
      <c r="Z1689" s="145" t="s">
        <v>1017</v>
      </c>
      <c r="AA1689" s="147"/>
      <c r="AD1689" s="147"/>
      <c r="AE1689" s="148" t="s">
        <v>1017</v>
      </c>
      <c r="AF1689" s="147"/>
      <c r="AG1689" s="147"/>
      <c r="AH1689" s="166" t="str">
        <f t="shared" si="725"/>
        <v/>
      </c>
      <c r="AI1689" s="168" t="str">
        <f t="shared" si="720"/>
        <v/>
      </c>
      <c r="AJ1689" s="168" t="str">
        <f t="shared" si="721"/>
        <v/>
      </c>
      <c r="AK1689" s="168" t="str">
        <f t="shared" si="722"/>
        <v/>
      </c>
      <c r="AL1689" s="168" t="str">
        <f t="shared" si="723"/>
        <v/>
      </c>
      <c r="AM1689" s="168" t="str">
        <f t="shared" si="724"/>
        <v/>
      </c>
      <c r="AN1689" s="167" t="str">
        <f t="shared" si="707"/>
        <v/>
      </c>
      <c r="AO1689" s="167" t="str">
        <f t="shared" si="708"/>
        <v/>
      </c>
      <c r="AP1689" s="167" t="str">
        <f t="shared" si="709"/>
        <v/>
      </c>
      <c r="AQ1689" s="169" t="str">
        <f t="shared" si="710"/>
        <v/>
      </c>
      <c r="AR1689" s="170" t="str">
        <f t="shared" si="711"/>
        <v>BiK81M1bK09-07</v>
      </c>
      <c r="AS1689" s="169" t="str">
        <f t="shared" si="712"/>
        <v/>
      </c>
      <c r="AT1689">
        <f t="shared" si="713"/>
        <v>14</v>
      </c>
      <c r="AU1689" s="170" t="str">
        <f t="shared" si="714"/>
        <v>0-0,15 MW, Bonusregeln M1, b und K erstmals 2009</v>
      </c>
      <c r="AV1689" s="169" t="str">
        <f t="shared" si="715"/>
        <v/>
      </c>
      <c r="AW1689" s="170" t="str">
        <f t="shared" si="716"/>
        <v>Anteil KWK, erstmals 2009</v>
      </c>
      <c r="AX1689" s="169" t="str">
        <f t="shared" si="717"/>
        <v/>
      </c>
      <c r="AY1689" t="str">
        <f t="shared" si="718"/>
        <v/>
      </c>
      <c r="AZ1689" t="str">
        <f t="shared" si="719"/>
        <v/>
      </c>
    </row>
    <row r="1690" spans="1:52" s="145" customFormat="1" x14ac:dyDescent="0.35">
      <c r="A1690" s="497" t="s">
        <v>4958</v>
      </c>
      <c r="B1690" s="13" t="s">
        <v>5547</v>
      </c>
      <c r="C1690" s="13" t="s">
        <v>1304</v>
      </c>
      <c r="D1690" s="13" t="s">
        <v>6948</v>
      </c>
      <c r="E1690" s="13" t="s">
        <v>3566</v>
      </c>
      <c r="F1690" s="373">
        <f t="shared" si="726"/>
        <v>27.64</v>
      </c>
      <c r="G1690" s="430">
        <v>27.64</v>
      </c>
      <c r="H1690" s="399">
        <f t="shared" si="727"/>
        <v>22.11</v>
      </c>
      <c r="I1690" s="576"/>
      <c r="J1690" s="549" t="s">
        <v>5804</v>
      </c>
      <c r="K1690" s="11"/>
      <c r="L1690"/>
      <c r="M1690" s="37">
        <f t="shared" si="728"/>
        <v>27.64</v>
      </c>
      <c r="N1690" s="29">
        <v>11.67</v>
      </c>
      <c r="O1690" s="149"/>
      <c r="P1690" s="144"/>
      <c r="R1690" s="145" t="s">
        <v>1017</v>
      </c>
      <c r="S1690" s="145" t="s">
        <v>4179</v>
      </c>
      <c r="T1690" s="145" t="s">
        <v>4179</v>
      </c>
      <c r="U1690" s="146"/>
      <c r="W1690" s="147"/>
      <c r="X1690" s="147"/>
      <c r="Z1690" s="145" t="s">
        <v>1017</v>
      </c>
      <c r="AA1690" s="147"/>
      <c r="AD1690" s="147"/>
      <c r="AE1690" s="148" t="s">
        <v>1017</v>
      </c>
      <c r="AF1690" s="147"/>
      <c r="AG1690" s="147"/>
      <c r="AH1690" s="166" t="str">
        <f t="shared" si="725"/>
        <v>2010</v>
      </c>
      <c r="AI1690" s="168" t="str">
        <f t="shared" si="720"/>
        <v/>
      </c>
      <c r="AJ1690" s="168" t="str">
        <f t="shared" si="721"/>
        <v/>
      </c>
      <c r="AK1690" s="168" t="str">
        <f t="shared" si="722"/>
        <v/>
      </c>
      <c r="AL1690" s="168" t="str">
        <f t="shared" si="723"/>
        <v/>
      </c>
      <c r="AM1690" s="168" t="str">
        <f t="shared" si="724"/>
        <v/>
      </c>
      <c r="AN1690" s="167" t="str">
        <f t="shared" si="707"/>
        <v>2010</v>
      </c>
      <c r="AO1690" s="167" t="str">
        <f t="shared" si="708"/>
        <v>2010</v>
      </c>
      <c r="AP1690" s="167" t="str">
        <f t="shared" si="709"/>
        <v>2010</v>
      </c>
      <c r="AQ1690" s="169" t="str">
        <f t="shared" si="710"/>
        <v/>
      </c>
      <c r="AR1690" s="170" t="str">
        <f t="shared" si="711"/>
        <v>BiK81M1bK10-07</v>
      </c>
      <c r="AS1690" s="169" t="str">
        <f t="shared" si="712"/>
        <v/>
      </c>
      <c r="AT1690">
        <f t="shared" si="713"/>
        <v>14</v>
      </c>
      <c r="AU1690" s="170" t="str">
        <f t="shared" si="714"/>
        <v>0-0,15 MW, Bonusregeln M1, b und K erstmals 2010</v>
      </c>
      <c r="AV1690" s="169" t="str">
        <f t="shared" si="715"/>
        <v/>
      </c>
      <c r="AW1690" s="170" t="str">
        <f t="shared" si="716"/>
        <v>Anteil KWK, erstmals 2010</v>
      </c>
      <c r="AX1690" s="169" t="str">
        <f t="shared" si="717"/>
        <v/>
      </c>
      <c r="AY1690" t="str">
        <f t="shared" si="718"/>
        <v/>
      </c>
      <c r="AZ1690" t="str">
        <f t="shared" si="719"/>
        <v/>
      </c>
    </row>
    <row r="1691" spans="1:52" s="145" customFormat="1" x14ac:dyDescent="0.35">
      <c r="A1691" s="497" t="s">
        <v>5402</v>
      </c>
      <c r="B1691" s="13" t="s">
        <v>5547</v>
      </c>
      <c r="C1691" s="13" t="s">
        <v>1304</v>
      </c>
      <c r="D1691" s="13" t="s">
        <v>6949</v>
      </c>
      <c r="E1691" s="13" t="s">
        <v>3054</v>
      </c>
      <c r="F1691" s="373">
        <f t="shared" si="726"/>
        <v>27.61</v>
      </c>
      <c r="G1691" s="430">
        <v>27.61</v>
      </c>
      <c r="H1691" s="399">
        <f t="shared" si="727"/>
        <v>22.09</v>
      </c>
      <c r="I1691" s="576"/>
      <c r="J1691" s="549" t="s">
        <v>5804</v>
      </c>
      <c r="K1691" s="11"/>
      <c r="L1691"/>
      <c r="M1691" s="37">
        <f t="shared" si="728"/>
        <v>27.61</v>
      </c>
      <c r="N1691" s="29">
        <v>11.67</v>
      </c>
      <c r="O1691" s="149"/>
      <c r="P1691" s="144"/>
      <c r="S1691" s="145" t="s">
        <v>1017</v>
      </c>
      <c r="T1691" s="145" t="s">
        <v>4179</v>
      </c>
      <c r="U1691" s="146"/>
      <c r="W1691" s="147"/>
      <c r="X1691" s="147"/>
      <c r="Z1691" s="145" t="s">
        <v>1017</v>
      </c>
      <c r="AA1691" s="147"/>
      <c r="AD1691" s="147"/>
      <c r="AE1691" s="148" t="s">
        <v>1017</v>
      </c>
      <c r="AF1691" s="147"/>
      <c r="AG1691" s="147"/>
      <c r="AH1691" s="166" t="str">
        <f t="shared" si="725"/>
        <v>2011</v>
      </c>
      <c r="AI1691" s="168" t="str">
        <f t="shared" si="720"/>
        <v/>
      </c>
      <c r="AJ1691" s="168" t="str">
        <f t="shared" si="721"/>
        <v/>
      </c>
      <c r="AK1691" s="168" t="str">
        <f t="shared" si="722"/>
        <v/>
      </c>
      <c r="AL1691" s="168" t="str">
        <f t="shared" si="723"/>
        <v/>
      </c>
      <c r="AM1691" s="168" t="str">
        <f t="shared" si="724"/>
        <v/>
      </c>
      <c r="AN1691" s="167" t="str">
        <f t="shared" si="707"/>
        <v>2011</v>
      </c>
      <c r="AO1691" s="167" t="str">
        <f t="shared" si="708"/>
        <v>2011</v>
      </c>
      <c r="AP1691" s="167" t="str">
        <f t="shared" si="709"/>
        <v>2011</v>
      </c>
      <c r="AQ1691" s="169" t="str">
        <f t="shared" si="710"/>
        <v/>
      </c>
      <c r="AR1691" s="170" t="str">
        <f t="shared" si="711"/>
        <v>BiK81M1bK11-07</v>
      </c>
      <c r="AS1691" s="169" t="str">
        <f t="shared" si="712"/>
        <v/>
      </c>
      <c r="AT1691">
        <f t="shared" si="713"/>
        <v>14</v>
      </c>
      <c r="AU1691" s="170" t="str">
        <f t="shared" si="714"/>
        <v>0-0,15 MW, Bonusregeln M1, b und K erstmals 2011</v>
      </c>
      <c r="AV1691" s="169" t="str">
        <f t="shared" si="715"/>
        <v/>
      </c>
      <c r="AW1691" s="170" t="str">
        <f t="shared" si="716"/>
        <v>Anteil KWK, erstmals 2011</v>
      </c>
      <c r="AX1691" s="169" t="str">
        <f t="shared" si="717"/>
        <v/>
      </c>
      <c r="AY1691" t="str">
        <f t="shared" si="718"/>
        <v>x</v>
      </c>
      <c r="AZ1691" t="str">
        <f t="shared" si="719"/>
        <v/>
      </c>
    </row>
    <row r="1692" spans="1:52" s="145" customFormat="1" x14ac:dyDescent="0.35">
      <c r="A1692" s="511" t="s">
        <v>1828</v>
      </c>
      <c r="B1692" s="173" t="s">
        <v>5547</v>
      </c>
      <c r="C1692" s="173" t="s">
        <v>1304</v>
      </c>
      <c r="D1692" s="173" t="s">
        <v>6950</v>
      </c>
      <c r="E1692" s="173" t="s">
        <v>1980</v>
      </c>
      <c r="F1692" s="374">
        <f t="shared" si="726"/>
        <v>27.58</v>
      </c>
      <c r="G1692" s="431">
        <v>27.58</v>
      </c>
      <c r="H1692" s="400">
        <f t="shared" si="727"/>
        <v>22.06</v>
      </c>
      <c r="I1692" s="577"/>
      <c r="J1692" s="549" t="s">
        <v>5804</v>
      </c>
      <c r="K1692" s="11"/>
      <c r="L1692"/>
      <c r="M1692" s="37">
        <f t="shared" si="728"/>
        <v>27.58</v>
      </c>
      <c r="N1692" s="29">
        <v>11.67</v>
      </c>
      <c r="O1692" s="149"/>
      <c r="P1692" s="144"/>
      <c r="S1692" s="145" t="s">
        <v>4179</v>
      </c>
      <c r="T1692" s="145" t="s">
        <v>1017</v>
      </c>
      <c r="U1692" s="146"/>
      <c r="W1692" s="147"/>
      <c r="X1692" s="147"/>
      <c r="Z1692" s="145" t="s">
        <v>1017</v>
      </c>
      <c r="AA1692" s="147"/>
      <c r="AD1692" s="147"/>
      <c r="AE1692" s="148" t="s">
        <v>1017</v>
      </c>
      <c r="AF1692" s="147"/>
      <c r="AG1692" s="147"/>
      <c r="AH1692" s="171" t="s">
        <v>4178</v>
      </c>
      <c r="AI1692" s="168" t="str">
        <f t="shared" si="720"/>
        <v/>
      </c>
      <c r="AJ1692" s="168" t="str">
        <f t="shared" si="721"/>
        <v/>
      </c>
      <c r="AK1692" s="168" t="str">
        <f t="shared" si="722"/>
        <v/>
      </c>
      <c r="AL1692" s="168" t="str">
        <f t="shared" si="723"/>
        <v/>
      </c>
      <c r="AM1692" s="168" t="str">
        <f t="shared" si="724"/>
        <v/>
      </c>
      <c r="AN1692" s="167" t="str">
        <f t="shared" si="707"/>
        <v>2012</v>
      </c>
      <c r="AO1692" s="167" t="str">
        <f t="shared" si="708"/>
        <v>2012</v>
      </c>
      <c r="AP1692" s="167" t="str">
        <f t="shared" si="709"/>
        <v>2012</v>
      </c>
      <c r="AQ1692" s="169" t="str">
        <f t="shared" si="710"/>
        <v/>
      </c>
      <c r="AR1692" s="170" t="str">
        <f t="shared" si="711"/>
        <v>BiK81M1bK12-07</v>
      </c>
      <c r="AS1692" s="169" t="str">
        <f t="shared" si="712"/>
        <v/>
      </c>
      <c r="AT1692">
        <f t="shared" si="713"/>
        <v>14</v>
      </c>
      <c r="AU1692" s="170" t="str">
        <f t="shared" si="714"/>
        <v>0-0,15 MW, Bonusregeln M1, b und K erstmals 2012</v>
      </c>
      <c r="AV1692" s="169" t="str">
        <f t="shared" si="715"/>
        <v/>
      </c>
      <c r="AW1692" s="170" t="str">
        <f t="shared" si="716"/>
        <v>Anteil KWK, erstmals 2012</v>
      </c>
      <c r="AX1692" s="169" t="str">
        <f t="shared" si="717"/>
        <v/>
      </c>
      <c r="AY1692" t="str">
        <f t="shared" si="718"/>
        <v/>
      </c>
      <c r="AZ1692" t="str">
        <f t="shared" si="719"/>
        <v>x</v>
      </c>
    </row>
    <row r="1693" spans="1:52" s="145" customFormat="1" x14ac:dyDescent="0.35">
      <c r="A1693" s="497" t="s">
        <v>4477</v>
      </c>
      <c r="B1693" s="13" t="s">
        <v>5547</v>
      </c>
      <c r="C1693" s="13" t="s">
        <v>1304</v>
      </c>
      <c r="D1693" s="13" t="s">
        <v>6951</v>
      </c>
      <c r="E1693" s="13" t="s">
        <v>4809</v>
      </c>
      <c r="F1693" s="373">
        <f t="shared" si="726"/>
        <v>25.67</v>
      </c>
      <c r="G1693" s="430">
        <v>25.67</v>
      </c>
      <c r="H1693" s="399">
        <f t="shared" si="727"/>
        <v>20.54</v>
      </c>
      <c r="I1693" s="576"/>
      <c r="J1693" s="549" t="s">
        <v>5804</v>
      </c>
      <c r="K1693" s="11"/>
      <c r="L1693"/>
      <c r="M1693" s="37">
        <f t="shared" si="728"/>
        <v>25.67</v>
      </c>
      <c r="N1693" s="29">
        <v>11.67</v>
      </c>
      <c r="O1693" s="149"/>
      <c r="P1693" s="144"/>
      <c r="S1693" s="145" t="s">
        <v>4179</v>
      </c>
      <c r="T1693" s="145" t="s">
        <v>4179</v>
      </c>
      <c r="U1693" s="146" t="s">
        <v>1017</v>
      </c>
      <c r="W1693" s="147"/>
      <c r="X1693" s="147"/>
      <c r="Z1693" s="145" t="s">
        <v>1017</v>
      </c>
      <c r="AA1693" s="147"/>
      <c r="AD1693" s="147"/>
      <c r="AE1693" s="148" t="s">
        <v>1017</v>
      </c>
      <c r="AF1693" s="147"/>
      <c r="AG1693" s="147"/>
      <c r="AH1693" s="166" t="str">
        <f t="shared" ref="AH1693:AH1698" si="729">IF(ISERROR(SEARCH("K erstmals 201",D1693)),"",RIGHT(D1693,4))</f>
        <v/>
      </c>
      <c r="AI1693" s="168" t="str">
        <f t="shared" si="720"/>
        <v/>
      </c>
      <c r="AJ1693" s="168" t="str">
        <f t="shared" si="721"/>
        <v/>
      </c>
      <c r="AK1693" s="168" t="str">
        <f t="shared" si="722"/>
        <v/>
      </c>
      <c r="AL1693" s="168" t="str">
        <f t="shared" si="723"/>
        <v/>
      </c>
      <c r="AM1693" s="168" t="str">
        <f t="shared" si="724"/>
        <v/>
      </c>
      <c r="AN1693" s="167" t="str">
        <f t="shared" si="707"/>
        <v/>
      </c>
      <c r="AO1693" s="167" t="str">
        <f t="shared" si="708"/>
        <v/>
      </c>
      <c r="AP1693" s="167" t="str">
        <f t="shared" si="709"/>
        <v/>
      </c>
      <c r="AQ1693" s="169" t="str">
        <f t="shared" si="710"/>
        <v/>
      </c>
      <c r="AR1693" s="170" t="str">
        <f t="shared" si="711"/>
        <v>BiK81M1by---07</v>
      </c>
      <c r="AS1693" s="169" t="str">
        <f t="shared" si="712"/>
        <v/>
      </c>
      <c r="AT1693">
        <f t="shared" si="713"/>
        <v>14</v>
      </c>
      <c r="AU1693" s="170" t="str">
        <f t="shared" si="714"/>
        <v>0-0,15 MW, Bonusregeln M1, y, b</v>
      </c>
      <c r="AV1693" s="169" t="str">
        <f t="shared" si="715"/>
        <v/>
      </c>
      <c r="AW1693" s="170" t="str">
        <f t="shared" si="716"/>
        <v>Anteil Nicht-KWK</v>
      </c>
      <c r="AX1693" s="169" t="str">
        <f t="shared" si="717"/>
        <v/>
      </c>
      <c r="AY1693" t="str">
        <f t="shared" si="718"/>
        <v/>
      </c>
      <c r="AZ1693" t="str">
        <f t="shared" si="719"/>
        <v/>
      </c>
    </row>
    <row r="1694" spans="1:52" s="145" customFormat="1" x14ac:dyDescent="0.35">
      <c r="A1694" s="497" t="s">
        <v>4478</v>
      </c>
      <c r="B1694" s="13" t="s">
        <v>5547</v>
      </c>
      <c r="C1694" s="13" t="s">
        <v>1304</v>
      </c>
      <c r="D1694" s="13" t="s">
        <v>6952</v>
      </c>
      <c r="E1694" s="13" t="s">
        <v>4811</v>
      </c>
      <c r="F1694" s="373">
        <f t="shared" si="726"/>
        <v>27.67</v>
      </c>
      <c r="G1694" s="430">
        <v>27.67</v>
      </c>
      <c r="H1694" s="399">
        <f t="shared" si="727"/>
        <v>22.14</v>
      </c>
      <c r="I1694" s="576"/>
      <c r="J1694" s="549" t="s">
        <v>5804</v>
      </c>
      <c r="K1694" s="11"/>
      <c r="L1694"/>
      <c r="M1694" s="37">
        <f t="shared" si="728"/>
        <v>27.67</v>
      </c>
      <c r="N1694" s="29">
        <v>11.67</v>
      </c>
      <c r="O1694" s="149" t="s">
        <v>1017</v>
      </c>
      <c r="P1694" s="144"/>
      <c r="S1694" s="145" t="s">
        <v>4179</v>
      </c>
      <c r="T1694" s="145" t="s">
        <v>4179</v>
      </c>
      <c r="U1694" s="146" t="s">
        <v>1017</v>
      </c>
      <c r="W1694" s="147"/>
      <c r="X1694" s="147"/>
      <c r="Z1694" s="145" t="s">
        <v>1017</v>
      </c>
      <c r="AA1694" s="147"/>
      <c r="AD1694" s="147"/>
      <c r="AE1694" s="148" t="s">
        <v>1017</v>
      </c>
      <c r="AF1694" s="147"/>
      <c r="AG1694" s="147"/>
      <c r="AH1694" s="166" t="str">
        <f t="shared" si="729"/>
        <v/>
      </c>
      <c r="AI1694" s="168" t="str">
        <f t="shared" si="720"/>
        <v/>
      </c>
      <c r="AJ1694" s="168" t="str">
        <f t="shared" si="721"/>
        <v/>
      </c>
      <c r="AK1694" s="168" t="str">
        <f t="shared" si="722"/>
        <v/>
      </c>
      <c r="AL1694" s="168" t="str">
        <f t="shared" si="723"/>
        <v/>
      </c>
      <c r="AM1694" s="168" t="str">
        <f t="shared" si="724"/>
        <v/>
      </c>
      <c r="AN1694" s="167" t="str">
        <f t="shared" si="707"/>
        <v/>
      </c>
      <c r="AO1694" s="167" t="str">
        <f t="shared" si="708"/>
        <v/>
      </c>
      <c r="AP1694" s="167" t="str">
        <f t="shared" si="709"/>
        <v/>
      </c>
      <c r="AQ1694" s="169" t="str">
        <f t="shared" si="710"/>
        <v/>
      </c>
      <c r="AR1694" s="170" t="str">
        <f t="shared" si="711"/>
        <v>BiK81M1bKWKy07</v>
      </c>
      <c r="AS1694" s="169" t="str">
        <f t="shared" si="712"/>
        <v/>
      </c>
      <c r="AT1694">
        <f t="shared" si="713"/>
        <v>14</v>
      </c>
      <c r="AU1694" s="170" t="str">
        <f t="shared" si="714"/>
        <v>0-0,15 MW, Bonusregeln M1, y, b und KWK</v>
      </c>
      <c r="AV1694" s="169" t="str">
        <f t="shared" si="715"/>
        <v/>
      </c>
      <c r="AW1694" s="170" t="str">
        <f t="shared" si="716"/>
        <v>Anteil KWK</v>
      </c>
      <c r="AX1694" s="169" t="str">
        <f t="shared" si="717"/>
        <v/>
      </c>
      <c r="AY1694" t="str">
        <f t="shared" si="718"/>
        <v/>
      </c>
      <c r="AZ1694" t="str">
        <f t="shared" si="719"/>
        <v/>
      </c>
    </row>
    <row r="1695" spans="1:52" s="145" customFormat="1" x14ac:dyDescent="0.35">
      <c r="A1695" s="497" t="s">
        <v>4479</v>
      </c>
      <c r="B1695" s="13" t="s">
        <v>5547</v>
      </c>
      <c r="C1695" s="13" t="s">
        <v>1304</v>
      </c>
      <c r="D1695" s="88" t="s">
        <v>6953</v>
      </c>
      <c r="E1695" s="13" t="s">
        <v>4330</v>
      </c>
      <c r="F1695" s="373">
        <f t="shared" si="726"/>
        <v>28.67</v>
      </c>
      <c r="G1695" s="430">
        <v>28.67</v>
      </c>
      <c r="H1695" s="399">
        <f t="shared" si="727"/>
        <v>22.94</v>
      </c>
      <c r="I1695" s="576"/>
      <c r="J1695" s="549" t="s">
        <v>5804</v>
      </c>
      <c r="K1695" s="11"/>
      <c r="L1695"/>
      <c r="M1695" s="37">
        <f t="shared" si="728"/>
        <v>28.67</v>
      </c>
      <c r="N1695" s="29">
        <v>11.67</v>
      </c>
      <c r="O1695" s="149"/>
      <c r="P1695" s="145" t="s">
        <v>1017</v>
      </c>
      <c r="S1695" s="145" t="s">
        <v>4179</v>
      </c>
      <c r="T1695" s="145" t="s">
        <v>4179</v>
      </c>
      <c r="U1695" s="146" t="s">
        <v>1017</v>
      </c>
      <c r="W1695" s="147"/>
      <c r="X1695" s="147"/>
      <c r="Z1695" s="145" t="s">
        <v>1017</v>
      </c>
      <c r="AA1695" s="147"/>
      <c r="AD1695" s="147"/>
      <c r="AE1695" s="148" t="s">
        <v>1017</v>
      </c>
      <c r="AF1695" s="147"/>
      <c r="AG1695" s="147"/>
      <c r="AH1695" s="166" t="str">
        <f t="shared" si="729"/>
        <v/>
      </c>
      <c r="AI1695" s="168" t="str">
        <f t="shared" si="720"/>
        <v/>
      </c>
      <c r="AJ1695" s="168" t="str">
        <f t="shared" si="721"/>
        <v/>
      </c>
      <c r="AK1695" s="168" t="str">
        <f t="shared" si="722"/>
        <v/>
      </c>
      <c r="AL1695" s="168" t="str">
        <f t="shared" si="723"/>
        <v/>
      </c>
      <c r="AM1695" s="168" t="str">
        <f t="shared" si="724"/>
        <v/>
      </c>
      <c r="AN1695" s="167" t="str">
        <f t="shared" si="707"/>
        <v/>
      </c>
      <c r="AO1695" s="167" t="str">
        <f t="shared" si="708"/>
        <v/>
      </c>
      <c r="AP1695" s="167" t="str">
        <f t="shared" si="709"/>
        <v/>
      </c>
      <c r="AQ1695" s="169" t="str">
        <f t="shared" si="710"/>
        <v/>
      </c>
      <c r="AR1695" s="170" t="str">
        <f t="shared" si="711"/>
        <v>BiK81M1bKA3y07</v>
      </c>
      <c r="AS1695" s="169" t="str">
        <f t="shared" si="712"/>
        <v/>
      </c>
      <c r="AT1695">
        <f t="shared" si="713"/>
        <v>14</v>
      </c>
      <c r="AU1695" s="170" t="str">
        <f t="shared" si="714"/>
        <v>0-0,15 MW, Bonusregeln M1, y, b und K wenn Anlage 3 erfüllt</v>
      </c>
      <c r="AV1695" s="169" t="str">
        <f t="shared" si="715"/>
        <v/>
      </c>
      <c r="AW1695" s="170" t="str">
        <f t="shared" si="716"/>
        <v>Anteil KWK gemäß Anlage 3</v>
      </c>
      <c r="AX1695" s="169" t="str">
        <f t="shared" si="717"/>
        <v/>
      </c>
      <c r="AY1695" t="str">
        <f t="shared" si="718"/>
        <v/>
      </c>
      <c r="AZ1695" t="str">
        <f t="shared" si="719"/>
        <v/>
      </c>
    </row>
    <row r="1696" spans="1:52" s="145" customFormat="1" x14ac:dyDescent="0.35">
      <c r="A1696" s="497" t="s">
        <v>4480</v>
      </c>
      <c r="B1696" s="13" t="s">
        <v>5547</v>
      </c>
      <c r="C1696" s="13" t="s">
        <v>1304</v>
      </c>
      <c r="D1696" s="13" t="s">
        <v>6954</v>
      </c>
      <c r="E1696" s="13" t="s">
        <v>674</v>
      </c>
      <c r="F1696" s="373">
        <f t="shared" si="726"/>
        <v>28.67</v>
      </c>
      <c r="G1696" s="430">
        <v>28.67</v>
      </c>
      <c r="H1696" s="399">
        <f t="shared" si="727"/>
        <v>22.94</v>
      </c>
      <c r="I1696" s="576"/>
      <c r="J1696" s="549" t="s">
        <v>5804</v>
      </c>
      <c r="K1696" s="11"/>
      <c r="L1696"/>
      <c r="M1696" s="37">
        <f t="shared" si="728"/>
        <v>28.67</v>
      </c>
      <c r="N1696" s="29">
        <v>11.67</v>
      </c>
      <c r="O1696" s="149"/>
      <c r="P1696" s="144"/>
      <c r="Q1696" s="145" t="s">
        <v>1017</v>
      </c>
      <c r="S1696" s="145" t="s">
        <v>4179</v>
      </c>
      <c r="T1696" s="145" t="s">
        <v>4179</v>
      </c>
      <c r="U1696" s="146" t="s">
        <v>1017</v>
      </c>
      <c r="W1696" s="147"/>
      <c r="X1696" s="147"/>
      <c r="Z1696" s="145" t="s">
        <v>1017</v>
      </c>
      <c r="AA1696" s="147"/>
      <c r="AD1696" s="147"/>
      <c r="AE1696" s="148" t="s">
        <v>1017</v>
      </c>
      <c r="AF1696" s="147"/>
      <c r="AG1696" s="147"/>
      <c r="AH1696" s="166" t="str">
        <f t="shared" si="729"/>
        <v/>
      </c>
      <c r="AI1696" s="168" t="str">
        <f t="shared" si="720"/>
        <v/>
      </c>
      <c r="AJ1696" s="168" t="str">
        <f t="shared" si="721"/>
        <v/>
      </c>
      <c r="AK1696" s="168" t="str">
        <f t="shared" si="722"/>
        <v/>
      </c>
      <c r="AL1696" s="168" t="str">
        <f t="shared" si="723"/>
        <v/>
      </c>
      <c r="AM1696" s="168" t="str">
        <f t="shared" si="724"/>
        <v/>
      </c>
      <c r="AN1696" s="167" t="str">
        <f t="shared" si="707"/>
        <v/>
      </c>
      <c r="AO1696" s="167" t="str">
        <f t="shared" si="708"/>
        <v/>
      </c>
      <c r="AP1696" s="167" t="str">
        <f t="shared" si="709"/>
        <v/>
      </c>
      <c r="AQ1696" s="169" t="str">
        <f t="shared" si="710"/>
        <v/>
      </c>
      <c r="AR1696" s="170" t="str">
        <f t="shared" si="711"/>
        <v>BiK81M1bK09y07</v>
      </c>
      <c r="AS1696" s="169" t="str">
        <f t="shared" si="712"/>
        <v/>
      </c>
      <c r="AT1696">
        <f t="shared" si="713"/>
        <v>14</v>
      </c>
      <c r="AU1696" s="170" t="str">
        <f t="shared" si="714"/>
        <v>0-0,15 MW, Bonusregeln M1, y, b und K erstmals 2009</v>
      </c>
      <c r="AV1696" s="169" t="str">
        <f t="shared" si="715"/>
        <v/>
      </c>
      <c r="AW1696" s="170" t="str">
        <f t="shared" si="716"/>
        <v>Anteil KWK, erstmals 2009</v>
      </c>
      <c r="AX1696" s="169" t="str">
        <f t="shared" si="717"/>
        <v/>
      </c>
      <c r="AY1696" t="str">
        <f t="shared" si="718"/>
        <v/>
      </c>
      <c r="AZ1696" t="str">
        <f t="shared" si="719"/>
        <v/>
      </c>
    </row>
    <row r="1697" spans="1:52" s="145" customFormat="1" x14ac:dyDescent="0.35">
      <c r="A1697" s="497" t="s">
        <v>4959</v>
      </c>
      <c r="B1697" s="13" t="s">
        <v>5547</v>
      </c>
      <c r="C1697" s="13" t="s">
        <v>1304</v>
      </c>
      <c r="D1697" s="13" t="s">
        <v>6955</v>
      </c>
      <c r="E1697" s="13" t="s">
        <v>3566</v>
      </c>
      <c r="F1697" s="373">
        <f t="shared" si="726"/>
        <v>28.64</v>
      </c>
      <c r="G1697" s="430">
        <v>28.64</v>
      </c>
      <c r="H1697" s="399">
        <f t="shared" si="727"/>
        <v>22.91</v>
      </c>
      <c r="I1697" s="576"/>
      <c r="J1697" s="549" t="s">
        <v>5804</v>
      </c>
      <c r="K1697" s="11"/>
      <c r="L1697"/>
      <c r="M1697" s="37">
        <f t="shared" si="728"/>
        <v>28.64</v>
      </c>
      <c r="N1697" s="29">
        <v>11.67</v>
      </c>
      <c r="O1697" s="149"/>
      <c r="P1697" s="144"/>
      <c r="R1697" s="145" t="s">
        <v>1017</v>
      </c>
      <c r="S1697" s="145" t="s">
        <v>4179</v>
      </c>
      <c r="T1697" s="145" t="s">
        <v>4179</v>
      </c>
      <c r="U1697" s="146" t="s">
        <v>1017</v>
      </c>
      <c r="W1697" s="147"/>
      <c r="X1697" s="147"/>
      <c r="Z1697" s="145" t="s">
        <v>1017</v>
      </c>
      <c r="AA1697" s="147"/>
      <c r="AD1697" s="147"/>
      <c r="AE1697" s="148" t="s">
        <v>1017</v>
      </c>
      <c r="AF1697" s="147"/>
      <c r="AG1697" s="147"/>
      <c r="AH1697" s="166" t="str">
        <f t="shared" si="729"/>
        <v>2010</v>
      </c>
      <c r="AI1697" s="168" t="str">
        <f t="shared" si="720"/>
        <v/>
      </c>
      <c r="AJ1697" s="168" t="str">
        <f t="shared" si="721"/>
        <v/>
      </c>
      <c r="AK1697" s="168" t="str">
        <f t="shared" si="722"/>
        <v/>
      </c>
      <c r="AL1697" s="168" t="str">
        <f t="shared" si="723"/>
        <v/>
      </c>
      <c r="AM1697" s="168" t="str">
        <f t="shared" si="724"/>
        <v/>
      </c>
      <c r="AN1697" s="167" t="str">
        <f t="shared" si="707"/>
        <v>2010</v>
      </c>
      <c r="AO1697" s="167" t="str">
        <f t="shared" si="708"/>
        <v>2010</v>
      </c>
      <c r="AP1697" s="167" t="str">
        <f t="shared" si="709"/>
        <v>2010</v>
      </c>
      <c r="AQ1697" s="169" t="str">
        <f t="shared" si="710"/>
        <v/>
      </c>
      <c r="AR1697" s="170" t="str">
        <f t="shared" si="711"/>
        <v>BiK81M1bK10y07</v>
      </c>
      <c r="AS1697" s="169" t="str">
        <f t="shared" si="712"/>
        <v/>
      </c>
      <c r="AT1697">
        <f t="shared" si="713"/>
        <v>14</v>
      </c>
      <c r="AU1697" s="170" t="str">
        <f t="shared" si="714"/>
        <v>0-0,15 MW, Bonusregeln M1, y, b und K erstmals 2010</v>
      </c>
      <c r="AV1697" s="169" t="str">
        <f t="shared" si="715"/>
        <v/>
      </c>
      <c r="AW1697" s="170" t="str">
        <f t="shared" si="716"/>
        <v>Anteil KWK, erstmals 2010</v>
      </c>
      <c r="AX1697" s="169" t="str">
        <f t="shared" si="717"/>
        <v/>
      </c>
      <c r="AY1697" t="str">
        <f t="shared" si="718"/>
        <v/>
      </c>
      <c r="AZ1697" t="str">
        <f t="shared" si="719"/>
        <v/>
      </c>
    </row>
    <row r="1698" spans="1:52" s="145" customFormat="1" x14ac:dyDescent="0.35">
      <c r="A1698" s="497" t="s">
        <v>3396</v>
      </c>
      <c r="B1698" s="13" t="s">
        <v>5547</v>
      </c>
      <c r="C1698" s="13" t="s">
        <v>1304</v>
      </c>
      <c r="D1698" s="13" t="s">
        <v>6956</v>
      </c>
      <c r="E1698" s="13" t="s">
        <v>3054</v>
      </c>
      <c r="F1698" s="373">
        <f t="shared" si="726"/>
        <v>28.61</v>
      </c>
      <c r="G1698" s="430">
        <v>28.61</v>
      </c>
      <c r="H1698" s="399">
        <f t="shared" si="727"/>
        <v>22.89</v>
      </c>
      <c r="I1698" s="576"/>
      <c r="J1698" s="549" t="s">
        <v>5804</v>
      </c>
      <c r="K1698" s="11"/>
      <c r="L1698"/>
      <c r="M1698" s="37">
        <f t="shared" si="728"/>
        <v>28.61</v>
      </c>
      <c r="N1698" s="29">
        <v>11.67</v>
      </c>
      <c r="O1698" s="149"/>
      <c r="P1698" s="144"/>
      <c r="S1698" s="145" t="s">
        <v>1017</v>
      </c>
      <c r="T1698" s="145" t="s">
        <v>4179</v>
      </c>
      <c r="U1698" s="146" t="s">
        <v>1017</v>
      </c>
      <c r="W1698" s="147"/>
      <c r="X1698" s="147"/>
      <c r="Z1698" s="145" t="s">
        <v>1017</v>
      </c>
      <c r="AA1698" s="147"/>
      <c r="AD1698" s="147"/>
      <c r="AE1698" s="148" t="s">
        <v>1017</v>
      </c>
      <c r="AF1698" s="147"/>
      <c r="AG1698" s="147"/>
      <c r="AH1698" s="166" t="str">
        <f t="shared" si="729"/>
        <v>2011</v>
      </c>
      <c r="AI1698" s="168" t="str">
        <f t="shared" si="720"/>
        <v/>
      </c>
      <c r="AJ1698" s="168" t="str">
        <f t="shared" si="721"/>
        <v/>
      </c>
      <c r="AK1698" s="168" t="str">
        <f t="shared" si="722"/>
        <v/>
      </c>
      <c r="AL1698" s="168" t="str">
        <f t="shared" si="723"/>
        <v/>
      </c>
      <c r="AM1698" s="168" t="str">
        <f t="shared" si="724"/>
        <v/>
      </c>
      <c r="AN1698" s="167" t="str">
        <f t="shared" si="707"/>
        <v>2011</v>
      </c>
      <c r="AO1698" s="167" t="str">
        <f t="shared" si="708"/>
        <v>2011</v>
      </c>
      <c r="AP1698" s="167" t="str">
        <f t="shared" si="709"/>
        <v>2011</v>
      </c>
      <c r="AQ1698" s="169" t="str">
        <f t="shared" si="710"/>
        <v/>
      </c>
      <c r="AR1698" s="170" t="str">
        <f t="shared" si="711"/>
        <v>BiK81M1bK11y07</v>
      </c>
      <c r="AS1698" s="169" t="str">
        <f t="shared" si="712"/>
        <v/>
      </c>
      <c r="AT1698">
        <f t="shared" si="713"/>
        <v>14</v>
      </c>
      <c r="AU1698" s="170" t="str">
        <f t="shared" si="714"/>
        <v>0-0,15 MW, Bonusregeln M1, y, b und K erstmals 2011</v>
      </c>
      <c r="AV1698" s="169" t="str">
        <f t="shared" si="715"/>
        <v/>
      </c>
      <c r="AW1698" s="170" t="str">
        <f t="shared" si="716"/>
        <v>Anteil KWK, erstmals 2011</v>
      </c>
      <c r="AX1698" s="169" t="str">
        <f t="shared" si="717"/>
        <v/>
      </c>
      <c r="AY1698" t="str">
        <f t="shared" si="718"/>
        <v>x</v>
      </c>
      <c r="AZ1698" t="str">
        <f t="shared" si="719"/>
        <v/>
      </c>
    </row>
    <row r="1699" spans="1:52" s="145" customFormat="1" x14ac:dyDescent="0.35">
      <c r="A1699" s="511" t="s">
        <v>1829</v>
      </c>
      <c r="B1699" s="173" t="s">
        <v>5547</v>
      </c>
      <c r="C1699" s="173" t="s">
        <v>1304</v>
      </c>
      <c r="D1699" s="173" t="s">
        <v>6957</v>
      </c>
      <c r="E1699" s="173" t="s">
        <v>1980</v>
      </c>
      <c r="F1699" s="374">
        <f t="shared" si="726"/>
        <v>28.58</v>
      </c>
      <c r="G1699" s="431">
        <v>28.58</v>
      </c>
      <c r="H1699" s="400">
        <f t="shared" si="727"/>
        <v>22.86</v>
      </c>
      <c r="I1699" s="577"/>
      <c r="J1699" s="549" t="s">
        <v>5804</v>
      </c>
      <c r="K1699" s="11"/>
      <c r="L1699"/>
      <c r="M1699" s="37">
        <f t="shared" si="728"/>
        <v>28.58</v>
      </c>
      <c r="N1699" s="29">
        <v>11.67</v>
      </c>
      <c r="O1699" s="149"/>
      <c r="P1699" s="144"/>
      <c r="S1699" s="145" t="s">
        <v>4179</v>
      </c>
      <c r="T1699" s="145" t="s">
        <v>1017</v>
      </c>
      <c r="U1699" s="146" t="s">
        <v>1017</v>
      </c>
      <c r="W1699" s="147"/>
      <c r="X1699" s="147"/>
      <c r="Z1699" s="145" t="s">
        <v>1017</v>
      </c>
      <c r="AA1699" s="147"/>
      <c r="AD1699" s="147"/>
      <c r="AE1699" s="148" t="s">
        <v>1017</v>
      </c>
      <c r="AF1699" s="147"/>
      <c r="AG1699" s="147"/>
      <c r="AH1699" s="171" t="s">
        <v>4178</v>
      </c>
      <c r="AI1699" s="168" t="str">
        <f t="shared" si="720"/>
        <v/>
      </c>
      <c r="AJ1699" s="168" t="str">
        <f t="shared" si="721"/>
        <v/>
      </c>
      <c r="AK1699" s="168" t="str">
        <f t="shared" si="722"/>
        <v/>
      </c>
      <c r="AL1699" s="168" t="str">
        <f t="shared" si="723"/>
        <v/>
      </c>
      <c r="AM1699" s="168" t="str">
        <f t="shared" si="724"/>
        <v/>
      </c>
      <c r="AN1699" s="167" t="str">
        <f t="shared" si="707"/>
        <v>2012</v>
      </c>
      <c r="AO1699" s="167" t="str">
        <f t="shared" si="708"/>
        <v>2012</v>
      </c>
      <c r="AP1699" s="167" t="str">
        <f t="shared" si="709"/>
        <v>2012</v>
      </c>
      <c r="AQ1699" s="169" t="str">
        <f t="shared" si="710"/>
        <v/>
      </c>
      <c r="AR1699" s="170" t="str">
        <f t="shared" si="711"/>
        <v>BiK81M1bK12y07</v>
      </c>
      <c r="AS1699" s="169" t="str">
        <f t="shared" si="712"/>
        <v/>
      </c>
      <c r="AT1699">
        <f t="shared" si="713"/>
        <v>14</v>
      </c>
      <c r="AU1699" s="170" t="str">
        <f t="shared" si="714"/>
        <v>0-0,15 MW, Bonusregeln M1, y, b und K erstmals 2012</v>
      </c>
      <c r="AV1699" s="169" t="str">
        <f t="shared" si="715"/>
        <v/>
      </c>
      <c r="AW1699" s="170" t="str">
        <f t="shared" si="716"/>
        <v>Anteil KWK, erstmals 2012</v>
      </c>
      <c r="AX1699" s="169" t="str">
        <f t="shared" si="717"/>
        <v/>
      </c>
      <c r="AY1699" t="str">
        <f t="shared" si="718"/>
        <v/>
      </c>
      <c r="AZ1699" t="str">
        <f t="shared" si="719"/>
        <v>x</v>
      </c>
    </row>
    <row r="1700" spans="1:52" s="145" customFormat="1" x14ac:dyDescent="0.35">
      <c r="A1700" s="497" t="s">
        <v>4481</v>
      </c>
      <c r="B1700" s="13" t="s">
        <v>5547</v>
      </c>
      <c r="C1700" s="13" t="s">
        <v>1304</v>
      </c>
      <c r="D1700" s="13" t="s">
        <v>6958</v>
      </c>
      <c r="E1700" s="13" t="s">
        <v>4809</v>
      </c>
      <c r="F1700" s="373">
        <f t="shared" si="726"/>
        <v>22.67</v>
      </c>
      <c r="G1700" s="430">
        <v>22.67</v>
      </c>
      <c r="H1700" s="399">
        <f t="shared" si="727"/>
        <v>18.14</v>
      </c>
      <c r="I1700" s="576"/>
      <c r="J1700" s="549" t="s">
        <v>5804</v>
      </c>
      <c r="K1700" s="11"/>
      <c r="L1700"/>
      <c r="M1700" s="37">
        <f t="shared" si="728"/>
        <v>22.67</v>
      </c>
      <c r="N1700" s="29">
        <v>11.67</v>
      </c>
      <c r="O1700" s="149"/>
      <c r="P1700" s="144"/>
      <c r="S1700" s="145" t="s">
        <v>4179</v>
      </c>
      <c r="T1700" s="145" t="s">
        <v>4179</v>
      </c>
      <c r="U1700" s="146"/>
      <c r="W1700" s="147"/>
      <c r="X1700" s="147"/>
      <c r="AA1700" s="147"/>
      <c r="AB1700" s="145" t="s">
        <v>1017</v>
      </c>
      <c r="AD1700" s="147"/>
      <c r="AE1700" s="148" t="s">
        <v>1017</v>
      </c>
      <c r="AF1700" s="147"/>
      <c r="AG1700" s="147"/>
      <c r="AH1700" s="166" t="str">
        <f t="shared" ref="AH1700:AH1705" si="730">IF(ISERROR(SEARCH("K erstmals 201",D1700)),"",RIGHT(D1700,4))</f>
        <v/>
      </c>
      <c r="AI1700" s="168" t="str">
        <f t="shared" si="720"/>
        <v/>
      </c>
      <c r="AJ1700" s="168" t="str">
        <f t="shared" si="721"/>
        <v/>
      </c>
      <c r="AK1700" s="168" t="str">
        <f t="shared" si="722"/>
        <v/>
      </c>
      <c r="AL1700" s="168" t="str">
        <f t="shared" si="723"/>
        <v/>
      </c>
      <c r="AM1700" s="168" t="str">
        <f t="shared" si="724"/>
        <v/>
      </c>
      <c r="AN1700" s="167" t="str">
        <f t="shared" si="707"/>
        <v/>
      </c>
      <c r="AO1700" s="167" t="str">
        <f t="shared" si="708"/>
        <v/>
      </c>
      <c r="AP1700" s="167" t="str">
        <f t="shared" si="709"/>
        <v/>
      </c>
      <c r="AQ1700" s="169" t="str">
        <f t="shared" si="710"/>
        <v/>
      </c>
      <c r="AR1700" s="170" t="str">
        <f t="shared" si="711"/>
        <v>BiK81Lb-----07</v>
      </c>
      <c r="AS1700" s="169" t="str">
        <f t="shared" si="712"/>
        <v/>
      </c>
      <c r="AT1700">
        <f t="shared" si="713"/>
        <v>14</v>
      </c>
      <c r="AU1700" s="170" t="str">
        <f t="shared" si="714"/>
        <v>0-0,15 MW, Bonusregeln L, b</v>
      </c>
      <c r="AV1700" s="169" t="str">
        <f t="shared" si="715"/>
        <v/>
      </c>
      <c r="AW1700" s="170" t="str">
        <f t="shared" si="716"/>
        <v>Anteil Nicht-KWK</v>
      </c>
      <c r="AX1700" s="169" t="str">
        <f t="shared" si="717"/>
        <v/>
      </c>
      <c r="AY1700" t="str">
        <f t="shared" si="718"/>
        <v/>
      </c>
      <c r="AZ1700" t="str">
        <f t="shared" si="719"/>
        <v/>
      </c>
    </row>
    <row r="1701" spans="1:52" s="145" customFormat="1" x14ac:dyDescent="0.35">
      <c r="A1701" s="497" t="s">
        <v>4482</v>
      </c>
      <c r="B1701" s="13" t="s">
        <v>5547</v>
      </c>
      <c r="C1701" s="13" t="s">
        <v>1304</v>
      </c>
      <c r="D1701" s="13" t="s">
        <v>6959</v>
      </c>
      <c r="E1701" s="13" t="s">
        <v>4811</v>
      </c>
      <c r="F1701" s="373">
        <f t="shared" si="726"/>
        <v>24.67</v>
      </c>
      <c r="G1701" s="430">
        <v>24.67</v>
      </c>
      <c r="H1701" s="399">
        <f t="shared" si="727"/>
        <v>19.739999999999998</v>
      </c>
      <c r="I1701" s="576"/>
      <c r="J1701" s="549" t="s">
        <v>5804</v>
      </c>
      <c r="K1701" s="11"/>
      <c r="L1701"/>
      <c r="M1701" s="37">
        <f t="shared" si="728"/>
        <v>24.67</v>
      </c>
      <c r="N1701" s="29">
        <v>11.67</v>
      </c>
      <c r="O1701" s="149" t="s">
        <v>1017</v>
      </c>
      <c r="P1701" s="144"/>
      <c r="S1701" s="145" t="s">
        <v>4179</v>
      </c>
      <c r="T1701" s="145" t="s">
        <v>4179</v>
      </c>
      <c r="U1701" s="146"/>
      <c r="W1701" s="147"/>
      <c r="X1701" s="147"/>
      <c r="AA1701" s="147"/>
      <c r="AB1701" s="145" t="s">
        <v>1017</v>
      </c>
      <c r="AD1701" s="147"/>
      <c r="AE1701" s="148" t="s">
        <v>1017</v>
      </c>
      <c r="AF1701" s="147"/>
      <c r="AG1701" s="147"/>
      <c r="AH1701" s="166" t="str">
        <f t="shared" si="730"/>
        <v/>
      </c>
      <c r="AI1701" s="168" t="str">
        <f t="shared" si="720"/>
        <v/>
      </c>
      <c r="AJ1701" s="168" t="str">
        <f t="shared" si="721"/>
        <v/>
      </c>
      <c r="AK1701" s="168" t="str">
        <f t="shared" si="722"/>
        <v/>
      </c>
      <c r="AL1701" s="168" t="str">
        <f t="shared" si="723"/>
        <v/>
      </c>
      <c r="AM1701" s="168" t="str">
        <f t="shared" si="724"/>
        <v/>
      </c>
      <c r="AN1701" s="167" t="str">
        <f t="shared" si="707"/>
        <v/>
      </c>
      <c r="AO1701" s="167" t="str">
        <f t="shared" si="708"/>
        <v/>
      </c>
      <c r="AP1701" s="167" t="str">
        <f t="shared" si="709"/>
        <v/>
      </c>
      <c r="AQ1701" s="169" t="str">
        <f t="shared" si="710"/>
        <v/>
      </c>
      <c r="AR1701" s="170" t="str">
        <f t="shared" si="711"/>
        <v>BiK81LbKWK--07</v>
      </c>
      <c r="AS1701" s="169" t="str">
        <f t="shared" si="712"/>
        <v/>
      </c>
      <c r="AT1701">
        <f t="shared" si="713"/>
        <v>14</v>
      </c>
      <c r="AU1701" s="170" t="str">
        <f t="shared" si="714"/>
        <v>0-0,15 MW, Bonusregeln L, b und KWK</v>
      </c>
      <c r="AV1701" s="169" t="str">
        <f t="shared" si="715"/>
        <v/>
      </c>
      <c r="AW1701" s="170" t="str">
        <f t="shared" si="716"/>
        <v>Anteil KWK</v>
      </c>
      <c r="AX1701" s="169" t="str">
        <f t="shared" si="717"/>
        <v/>
      </c>
      <c r="AY1701" t="str">
        <f t="shared" si="718"/>
        <v/>
      </c>
      <c r="AZ1701" t="str">
        <f t="shared" si="719"/>
        <v/>
      </c>
    </row>
    <row r="1702" spans="1:52" s="145" customFormat="1" x14ac:dyDescent="0.35">
      <c r="A1702" s="497" t="s">
        <v>4483</v>
      </c>
      <c r="B1702" s="13" t="s">
        <v>5547</v>
      </c>
      <c r="C1702" s="13" t="s">
        <v>1304</v>
      </c>
      <c r="D1702" s="13" t="s">
        <v>6960</v>
      </c>
      <c r="E1702" s="13" t="s">
        <v>4330</v>
      </c>
      <c r="F1702" s="373">
        <f t="shared" si="726"/>
        <v>25.67</v>
      </c>
      <c r="G1702" s="430">
        <v>25.67</v>
      </c>
      <c r="H1702" s="399">
        <f t="shared" si="727"/>
        <v>20.54</v>
      </c>
      <c r="I1702" s="576"/>
      <c r="J1702" s="549" t="s">
        <v>5804</v>
      </c>
      <c r="K1702" s="11"/>
      <c r="L1702"/>
      <c r="M1702" s="37">
        <f t="shared" si="728"/>
        <v>25.67</v>
      </c>
      <c r="N1702" s="29">
        <v>11.67</v>
      </c>
      <c r="O1702" s="149"/>
      <c r="P1702" s="145" t="s">
        <v>1017</v>
      </c>
      <c r="S1702" s="145" t="s">
        <v>4179</v>
      </c>
      <c r="T1702" s="145" t="s">
        <v>4179</v>
      </c>
      <c r="U1702" s="146"/>
      <c r="W1702" s="147"/>
      <c r="X1702" s="147"/>
      <c r="AA1702" s="147"/>
      <c r="AB1702" s="145" t="s">
        <v>1017</v>
      </c>
      <c r="AD1702" s="147"/>
      <c r="AE1702" s="148" t="s">
        <v>1017</v>
      </c>
      <c r="AF1702" s="147"/>
      <c r="AG1702" s="147"/>
      <c r="AH1702" s="166" t="str">
        <f t="shared" si="730"/>
        <v/>
      </c>
      <c r="AI1702" s="168" t="str">
        <f t="shared" si="720"/>
        <v/>
      </c>
      <c r="AJ1702" s="168" t="str">
        <f t="shared" si="721"/>
        <v/>
      </c>
      <c r="AK1702" s="168" t="str">
        <f t="shared" si="722"/>
        <v/>
      </c>
      <c r="AL1702" s="168" t="str">
        <f t="shared" si="723"/>
        <v/>
      </c>
      <c r="AM1702" s="168" t="str">
        <f t="shared" si="724"/>
        <v/>
      </c>
      <c r="AN1702" s="167" t="str">
        <f t="shared" si="707"/>
        <v/>
      </c>
      <c r="AO1702" s="167" t="str">
        <f t="shared" si="708"/>
        <v/>
      </c>
      <c r="AP1702" s="167" t="str">
        <f t="shared" si="709"/>
        <v/>
      </c>
      <c r="AQ1702" s="169" t="str">
        <f t="shared" si="710"/>
        <v/>
      </c>
      <c r="AR1702" s="170" t="str">
        <f t="shared" si="711"/>
        <v>BiK81LbKA3--07</v>
      </c>
      <c r="AS1702" s="169" t="str">
        <f t="shared" si="712"/>
        <v/>
      </c>
      <c r="AT1702">
        <f t="shared" si="713"/>
        <v>14</v>
      </c>
      <c r="AU1702" s="170" t="str">
        <f t="shared" si="714"/>
        <v>0-0,15 MW, Bonusregeln L, b und K wenn Anlage 3 erfüllt</v>
      </c>
      <c r="AV1702" s="169" t="str">
        <f t="shared" si="715"/>
        <v/>
      </c>
      <c r="AW1702" s="170" t="str">
        <f t="shared" si="716"/>
        <v>Anteil KWK gemäß Anlage 3</v>
      </c>
      <c r="AX1702" s="169" t="str">
        <f t="shared" si="717"/>
        <v/>
      </c>
      <c r="AY1702" t="str">
        <f t="shared" si="718"/>
        <v/>
      </c>
      <c r="AZ1702" t="str">
        <f t="shared" si="719"/>
        <v/>
      </c>
    </row>
    <row r="1703" spans="1:52" s="145" customFormat="1" x14ac:dyDescent="0.35">
      <c r="A1703" s="497" t="s">
        <v>4484</v>
      </c>
      <c r="B1703" s="13" t="s">
        <v>5547</v>
      </c>
      <c r="C1703" s="13" t="s">
        <v>1304</v>
      </c>
      <c r="D1703" s="13" t="s">
        <v>6961</v>
      </c>
      <c r="E1703" s="13" t="s">
        <v>674</v>
      </c>
      <c r="F1703" s="373">
        <f t="shared" si="726"/>
        <v>25.67</v>
      </c>
      <c r="G1703" s="430">
        <v>25.67</v>
      </c>
      <c r="H1703" s="399">
        <f t="shared" si="727"/>
        <v>20.54</v>
      </c>
      <c r="I1703" s="576"/>
      <c r="J1703" s="549" t="s">
        <v>5804</v>
      </c>
      <c r="K1703" s="11"/>
      <c r="L1703"/>
      <c r="M1703" s="37">
        <f t="shared" si="728"/>
        <v>25.67</v>
      </c>
      <c r="N1703" s="29">
        <v>11.67</v>
      </c>
      <c r="O1703" s="149"/>
      <c r="P1703" s="144"/>
      <c r="Q1703" s="145" t="s">
        <v>1017</v>
      </c>
      <c r="S1703" s="145" t="s">
        <v>4179</v>
      </c>
      <c r="T1703" s="145" t="s">
        <v>4179</v>
      </c>
      <c r="U1703" s="146"/>
      <c r="W1703" s="147"/>
      <c r="X1703" s="147"/>
      <c r="AA1703" s="147"/>
      <c r="AB1703" s="145" t="s">
        <v>1017</v>
      </c>
      <c r="AD1703" s="147"/>
      <c r="AE1703" s="148" t="s">
        <v>1017</v>
      </c>
      <c r="AF1703" s="147"/>
      <c r="AG1703" s="147"/>
      <c r="AH1703" s="166" t="str">
        <f t="shared" si="730"/>
        <v/>
      </c>
      <c r="AI1703" s="168" t="str">
        <f t="shared" si="720"/>
        <v/>
      </c>
      <c r="AJ1703" s="168" t="str">
        <f t="shared" si="721"/>
        <v/>
      </c>
      <c r="AK1703" s="168" t="str">
        <f t="shared" si="722"/>
        <v/>
      </c>
      <c r="AL1703" s="168" t="str">
        <f t="shared" si="723"/>
        <v/>
      </c>
      <c r="AM1703" s="168" t="str">
        <f t="shared" si="724"/>
        <v/>
      </c>
      <c r="AN1703" s="167" t="str">
        <f t="shared" si="707"/>
        <v/>
      </c>
      <c r="AO1703" s="167" t="str">
        <f t="shared" si="708"/>
        <v/>
      </c>
      <c r="AP1703" s="167" t="str">
        <f t="shared" si="709"/>
        <v/>
      </c>
      <c r="AQ1703" s="169" t="str">
        <f t="shared" si="710"/>
        <v/>
      </c>
      <c r="AR1703" s="170" t="str">
        <f t="shared" si="711"/>
        <v>BiK81LbK09--07</v>
      </c>
      <c r="AS1703" s="169" t="str">
        <f t="shared" si="712"/>
        <v/>
      </c>
      <c r="AT1703">
        <f t="shared" si="713"/>
        <v>14</v>
      </c>
      <c r="AU1703" s="170" t="str">
        <f t="shared" si="714"/>
        <v>0-0,15 MW, Bonusregeln L, b und K erstmals 2009</v>
      </c>
      <c r="AV1703" s="169" t="str">
        <f t="shared" si="715"/>
        <v/>
      </c>
      <c r="AW1703" s="170" t="str">
        <f t="shared" si="716"/>
        <v>Anteil KWK, erstmals 2009</v>
      </c>
      <c r="AX1703" s="169" t="str">
        <f t="shared" si="717"/>
        <v/>
      </c>
      <c r="AY1703" t="str">
        <f t="shared" si="718"/>
        <v/>
      </c>
      <c r="AZ1703" t="str">
        <f t="shared" si="719"/>
        <v/>
      </c>
    </row>
    <row r="1704" spans="1:52" s="145" customFormat="1" x14ac:dyDescent="0.35">
      <c r="A1704" s="497" t="s">
        <v>4960</v>
      </c>
      <c r="B1704" s="13" t="s">
        <v>5547</v>
      </c>
      <c r="C1704" s="13" t="s">
        <v>1304</v>
      </c>
      <c r="D1704" s="13" t="s">
        <v>6962</v>
      </c>
      <c r="E1704" s="13" t="s">
        <v>3566</v>
      </c>
      <c r="F1704" s="373">
        <f t="shared" si="726"/>
        <v>25.64</v>
      </c>
      <c r="G1704" s="430">
        <v>25.64</v>
      </c>
      <c r="H1704" s="399">
        <f t="shared" si="727"/>
        <v>20.51</v>
      </c>
      <c r="I1704" s="576"/>
      <c r="J1704" s="549" t="s">
        <v>5804</v>
      </c>
      <c r="K1704" s="11"/>
      <c r="L1704"/>
      <c r="M1704" s="37">
        <f t="shared" si="728"/>
        <v>25.64</v>
      </c>
      <c r="N1704" s="29">
        <v>11.67</v>
      </c>
      <c r="O1704" s="149"/>
      <c r="P1704" s="144"/>
      <c r="R1704" s="145" t="s">
        <v>1017</v>
      </c>
      <c r="S1704" s="145" t="s">
        <v>4179</v>
      </c>
      <c r="T1704" s="145" t="s">
        <v>4179</v>
      </c>
      <c r="U1704" s="146"/>
      <c r="W1704" s="147"/>
      <c r="X1704" s="147"/>
      <c r="AA1704" s="147"/>
      <c r="AB1704" s="145" t="s">
        <v>1017</v>
      </c>
      <c r="AD1704" s="147"/>
      <c r="AE1704" s="148" t="s">
        <v>1017</v>
      </c>
      <c r="AF1704" s="147"/>
      <c r="AG1704" s="147"/>
      <c r="AH1704" s="166" t="str">
        <f t="shared" si="730"/>
        <v>2010</v>
      </c>
      <c r="AI1704" s="168" t="str">
        <f t="shared" si="720"/>
        <v/>
      </c>
      <c r="AJ1704" s="168" t="str">
        <f t="shared" si="721"/>
        <v/>
      </c>
      <c r="AK1704" s="168" t="str">
        <f t="shared" si="722"/>
        <v/>
      </c>
      <c r="AL1704" s="168" t="str">
        <f t="shared" si="723"/>
        <v/>
      </c>
      <c r="AM1704" s="168" t="str">
        <f t="shared" si="724"/>
        <v/>
      </c>
      <c r="AN1704" s="167" t="str">
        <f t="shared" si="707"/>
        <v>2010</v>
      </c>
      <c r="AO1704" s="167" t="str">
        <f t="shared" si="708"/>
        <v>2010</v>
      </c>
      <c r="AP1704" s="167" t="str">
        <f t="shared" si="709"/>
        <v>2010</v>
      </c>
      <c r="AQ1704" s="169" t="str">
        <f t="shared" si="710"/>
        <v/>
      </c>
      <c r="AR1704" s="170" t="str">
        <f t="shared" si="711"/>
        <v>BiK81LbK10--07</v>
      </c>
      <c r="AS1704" s="169" t="str">
        <f t="shared" si="712"/>
        <v/>
      </c>
      <c r="AT1704">
        <f t="shared" si="713"/>
        <v>14</v>
      </c>
      <c r="AU1704" s="170" t="str">
        <f t="shared" si="714"/>
        <v>0-0,15 MW, Bonusregeln L, b und K erstmals 2010</v>
      </c>
      <c r="AV1704" s="169" t="str">
        <f t="shared" si="715"/>
        <v/>
      </c>
      <c r="AW1704" s="170" t="str">
        <f t="shared" si="716"/>
        <v>Anteil KWK, erstmals 2010</v>
      </c>
      <c r="AX1704" s="169" t="str">
        <f t="shared" si="717"/>
        <v/>
      </c>
      <c r="AY1704" t="str">
        <f t="shared" si="718"/>
        <v/>
      </c>
      <c r="AZ1704" t="str">
        <f t="shared" si="719"/>
        <v/>
      </c>
    </row>
    <row r="1705" spans="1:52" s="145" customFormat="1" x14ac:dyDescent="0.35">
      <c r="A1705" s="497" t="s">
        <v>3397</v>
      </c>
      <c r="B1705" s="13" t="s">
        <v>5547</v>
      </c>
      <c r="C1705" s="13" t="s">
        <v>1304</v>
      </c>
      <c r="D1705" s="13" t="s">
        <v>6963</v>
      </c>
      <c r="E1705" s="13" t="s">
        <v>3054</v>
      </c>
      <c r="F1705" s="373">
        <f t="shared" si="726"/>
        <v>25.61</v>
      </c>
      <c r="G1705" s="430">
        <v>25.61</v>
      </c>
      <c r="H1705" s="399">
        <f t="shared" si="727"/>
        <v>20.49</v>
      </c>
      <c r="I1705" s="576"/>
      <c r="J1705" s="549" t="s">
        <v>5804</v>
      </c>
      <c r="K1705" s="11"/>
      <c r="L1705"/>
      <c r="M1705" s="37">
        <f t="shared" si="728"/>
        <v>25.61</v>
      </c>
      <c r="N1705" s="29">
        <v>11.67</v>
      </c>
      <c r="O1705" s="149"/>
      <c r="P1705" s="144"/>
      <c r="S1705" s="145" t="s">
        <v>1017</v>
      </c>
      <c r="T1705" s="145" t="s">
        <v>4179</v>
      </c>
      <c r="U1705" s="146"/>
      <c r="W1705" s="147"/>
      <c r="X1705" s="147"/>
      <c r="AA1705" s="147"/>
      <c r="AB1705" s="145" t="s">
        <v>1017</v>
      </c>
      <c r="AD1705" s="147"/>
      <c r="AE1705" s="148" t="s">
        <v>1017</v>
      </c>
      <c r="AF1705" s="147"/>
      <c r="AG1705" s="147"/>
      <c r="AH1705" s="166" t="str">
        <f t="shared" si="730"/>
        <v>2011</v>
      </c>
      <c r="AI1705" s="168" t="str">
        <f t="shared" si="720"/>
        <v/>
      </c>
      <c r="AJ1705" s="168" t="str">
        <f t="shared" si="721"/>
        <v/>
      </c>
      <c r="AK1705" s="168" t="str">
        <f t="shared" si="722"/>
        <v/>
      </c>
      <c r="AL1705" s="168" t="str">
        <f t="shared" si="723"/>
        <v/>
      </c>
      <c r="AM1705" s="168" t="str">
        <f t="shared" si="724"/>
        <v/>
      </c>
      <c r="AN1705" s="167" t="str">
        <f t="shared" si="707"/>
        <v>2011</v>
      </c>
      <c r="AO1705" s="167" t="str">
        <f t="shared" si="708"/>
        <v>2011</v>
      </c>
      <c r="AP1705" s="167" t="str">
        <f t="shared" si="709"/>
        <v>2011</v>
      </c>
      <c r="AQ1705" s="169" t="str">
        <f t="shared" si="710"/>
        <v/>
      </c>
      <c r="AR1705" s="170" t="str">
        <f t="shared" si="711"/>
        <v>BiK81LbK11--07</v>
      </c>
      <c r="AS1705" s="169" t="str">
        <f t="shared" si="712"/>
        <v/>
      </c>
      <c r="AT1705">
        <f t="shared" si="713"/>
        <v>14</v>
      </c>
      <c r="AU1705" s="170" t="str">
        <f t="shared" si="714"/>
        <v>0-0,15 MW, Bonusregeln L, b und K erstmals 2011</v>
      </c>
      <c r="AV1705" s="169" t="str">
        <f t="shared" si="715"/>
        <v/>
      </c>
      <c r="AW1705" s="170" t="str">
        <f t="shared" si="716"/>
        <v>Anteil KWK, erstmals 2011</v>
      </c>
      <c r="AX1705" s="169" t="str">
        <f t="shared" si="717"/>
        <v/>
      </c>
      <c r="AY1705" t="str">
        <f t="shared" si="718"/>
        <v>x</v>
      </c>
      <c r="AZ1705" t="str">
        <f t="shared" si="719"/>
        <v/>
      </c>
    </row>
    <row r="1706" spans="1:52" s="145" customFormat="1" x14ac:dyDescent="0.35">
      <c r="A1706" s="511" t="s">
        <v>1830</v>
      </c>
      <c r="B1706" s="173" t="s">
        <v>5547</v>
      </c>
      <c r="C1706" s="173" t="s">
        <v>1304</v>
      </c>
      <c r="D1706" s="173" t="s">
        <v>6964</v>
      </c>
      <c r="E1706" s="173" t="s">
        <v>1980</v>
      </c>
      <c r="F1706" s="374">
        <f t="shared" si="726"/>
        <v>25.58</v>
      </c>
      <c r="G1706" s="431">
        <v>25.58</v>
      </c>
      <c r="H1706" s="400">
        <f t="shared" si="727"/>
        <v>20.46</v>
      </c>
      <c r="I1706" s="577"/>
      <c r="J1706" s="549" t="s">
        <v>5804</v>
      </c>
      <c r="K1706" s="11"/>
      <c r="L1706"/>
      <c r="M1706" s="37">
        <f t="shared" si="728"/>
        <v>25.58</v>
      </c>
      <c r="N1706" s="29">
        <v>11.67</v>
      </c>
      <c r="O1706" s="149"/>
      <c r="P1706" s="144"/>
      <c r="S1706" s="145" t="s">
        <v>4179</v>
      </c>
      <c r="T1706" s="145" t="s">
        <v>1017</v>
      </c>
      <c r="U1706" s="146"/>
      <c r="W1706" s="147"/>
      <c r="X1706" s="147"/>
      <c r="AA1706" s="147"/>
      <c r="AB1706" s="145" t="s">
        <v>1017</v>
      </c>
      <c r="AD1706" s="147"/>
      <c r="AE1706" s="148" t="s">
        <v>1017</v>
      </c>
      <c r="AF1706" s="147"/>
      <c r="AG1706" s="147"/>
      <c r="AH1706" s="171" t="s">
        <v>4178</v>
      </c>
      <c r="AI1706" s="168" t="str">
        <f t="shared" si="720"/>
        <v/>
      </c>
      <c r="AJ1706" s="168" t="str">
        <f t="shared" si="721"/>
        <v/>
      </c>
      <c r="AK1706" s="168" t="str">
        <f t="shared" si="722"/>
        <v/>
      </c>
      <c r="AL1706" s="168" t="str">
        <f t="shared" si="723"/>
        <v/>
      </c>
      <c r="AM1706" s="168" t="str">
        <f t="shared" si="724"/>
        <v/>
      </c>
      <c r="AN1706" s="167" t="str">
        <f t="shared" si="707"/>
        <v>2012</v>
      </c>
      <c r="AO1706" s="167" t="str">
        <f t="shared" si="708"/>
        <v>2012</v>
      </c>
      <c r="AP1706" s="167" t="str">
        <f t="shared" si="709"/>
        <v>2012</v>
      </c>
      <c r="AQ1706" s="169" t="str">
        <f t="shared" si="710"/>
        <v/>
      </c>
      <c r="AR1706" s="170" t="str">
        <f t="shared" si="711"/>
        <v>BiK81LbK12--07</v>
      </c>
      <c r="AS1706" s="169" t="str">
        <f t="shared" si="712"/>
        <v/>
      </c>
      <c r="AT1706">
        <f t="shared" si="713"/>
        <v>14</v>
      </c>
      <c r="AU1706" s="170" t="str">
        <f t="shared" si="714"/>
        <v>0-0,15 MW, Bonusregeln L, b und K erstmals 2012</v>
      </c>
      <c r="AV1706" s="169" t="str">
        <f t="shared" si="715"/>
        <v/>
      </c>
      <c r="AW1706" s="170" t="str">
        <f t="shared" si="716"/>
        <v>Anteil KWK, erstmals 2012</v>
      </c>
      <c r="AX1706" s="169" t="str">
        <f t="shared" si="717"/>
        <v/>
      </c>
      <c r="AY1706" t="str">
        <f t="shared" si="718"/>
        <v/>
      </c>
      <c r="AZ1706" t="str">
        <f t="shared" si="719"/>
        <v>x</v>
      </c>
    </row>
    <row r="1707" spans="1:52" s="145" customFormat="1" x14ac:dyDescent="0.35">
      <c r="A1707" s="497" t="s">
        <v>4485</v>
      </c>
      <c r="B1707" s="13" t="s">
        <v>5547</v>
      </c>
      <c r="C1707" s="13" t="s">
        <v>1304</v>
      </c>
      <c r="D1707" s="13" t="s">
        <v>6965</v>
      </c>
      <c r="E1707" s="13" t="s">
        <v>4809</v>
      </c>
      <c r="F1707" s="373">
        <f t="shared" si="726"/>
        <v>23.67</v>
      </c>
      <c r="G1707" s="430">
        <v>23.67</v>
      </c>
      <c r="H1707" s="399">
        <f t="shared" si="727"/>
        <v>18.940000000000001</v>
      </c>
      <c r="I1707" s="576"/>
      <c r="J1707" s="549" t="s">
        <v>5804</v>
      </c>
      <c r="K1707" s="11"/>
      <c r="L1707"/>
      <c r="M1707" s="37">
        <f t="shared" si="728"/>
        <v>23.67</v>
      </c>
      <c r="N1707" s="29">
        <v>11.67</v>
      </c>
      <c r="O1707" s="149"/>
      <c r="P1707" s="144"/>
      <c r="S1707" s="145" t="s">
        <v>4179</v>
      </c>
      <c r="T1707" s="145" t="s">
        <v>4179</v>
      </c>
      <c r="U1707" s="146" t="s">
        <v>1017</v>
      </c>
      <c r="W1707" s="147"/>
      <c r="X1707" s="147"/>
      <c r="AA1707" s="147"/>
      <c r="AB1707" s="145" t="s">
        <v>1017</v>
      </c>
      <c r="AD1707" s="147"/>
      <c r="AE1707" s="148" t="s">
        <v>1017</v>
      </c>
      <c r="AF1707" s="147"/>
      <c r="AG1707" s="147"/>
      <c r="AH1707" s="166" t="str">
        <f t="shared" ref="AH1707:AH1712" si="731">IF(ISERROR(SEARCH("K erstmals 201",D1707)),"",RIGHT(D1707,4))</f>
        <v/>
      </c>
      <c r="AI1707" s="168" t="str">
        <f t="shared" si="720"/>
        <v/>
      </c>
      <c r="AJ1707" s="168" t="str">
        <f t="shared" si="721"/>
        <v/>
      </c>
      <c r="AK1707" s="168" t="str">
        <f t="shared" si="722"/>
        <v/>
      </c>
      <c r="AL1707" s="168" t="str">
        <f t="shared" si="723"/>
        <v/>
      </c>
      <c r="AM1707" s="168" t="str">
        <f t="shared" si="724"/>
        <v/>
      </c>
      <c r="AN1707" s="167" t="str">
        <f t="shared" si="707"/>
        <v/>
      </c>
      <c r="AO1707" s="167" t="str">
        <f t="shared" si="708"/>
        <v/>
      </c>
      <c r="AP1707" s="167" t="str">
        <f t="shared" si="709"/>
        <v/>
      </c>
      <c r="AQ1707" s="169" t="str">
        <f t="shared" si="710"/>
        <v/>
      </c>
      <c r="AR1707" s="170" t="str">
        <f t="shared" si="711"/>
        <v>BiK81Lby----07</v>
      </c>
      <c r="AS1707" s="169" t="str">
        <f t="shared" si="712"/>
        <v/>
      </c>
      <c r="AT1707">
        <f t="shared" si="713"/>
        <v>14</v>
      </c>
      <c r="AU1707" s="170" t="str">
        <f t="shared" si="714"/>
        <v>0-0,15 MW, Bonusregeln L, y, b</v>
      </c>
      <c r="AV1707" s="169" t="str">
        <f t="shared" si="715"/>
        <v/>
      </c>
      <c r="AW1707" s="170" t="str">
        <f t="shared" si="716"/>
        <v>Anteil Nicht-KWK</v>
      </c>
      <c r="AX1707" s="169" t="str">
        <f t="shared" si="717"/>
        <v/>
      </c>
      <c r="AY1707" t="str">
        <f t="shared" si="718"/>
        <v/>
      </c>
      <c r="AZ1707" t="str">
        <f t="shared" si="719"/>
        <v/>
      </c>
    </row>
    <row r="1708" spans="1:52" s="145" customFormat="1" x14ac:dyDescent="0.35">
      <c r="A1708" s="497" t="s">
        <v>4486</v>
      </c>
      <c r="B1708" s="13" t="s">
        <v>5547</v>
      </c>
      <c r="C1708" s="13" t="s">
        <v>1304</v>
      </c>
      <c r="D1708" s="13" t="s">
        <v>6966</v>
      </c>
      <c r="E1708" s="13" t="s">
        <v>4811</v>
      </c>
      <c r="F1708" s="373">
        <f t="shared" si="726"/>
        <v>25.67</v>
      </c>
      <c r="G1708" s="430">
        <v>25.67</v>
      </c>
      <c r="H1708" s="399">
        <f t="shared" si="727"/>
        <v>20.54</v>
      </c>
      <c r="I1708" s="576"/>
      <c r="J1708" s="549" t="s">
        <v>5804</v>
      </c>
      <c r="K1708" s="11"/>
      <c r="L1708"/>
      <c r="M1708" s="37">
        <f t="shared" si="728"/>
        <v>25.67</v>
      </c>
      <c r="N1708" s="29">
        <v>11.67</v>
      </c>
      <c r="O1708" s="149" t="s">
        <v>1017</v>
      </c>
      <c r="P1708" s="144"/>
      <c r="S1708" s="145" t="s">
        <v>4179</v>
      </c>
      <c r="T1708" s="145" t="s">
        <v>4179</v>
      </c>
      <c r="U1708" s="146" t="s">
        <v>1017</v>
      </c>
      <c r="W1708" s="147"/>
      <c r="X1708" s="147"/>
      <c r="AA1708" s="147"/>
      <c r="AB1708" s="145" t="s">
        <v>1017</v>
      </c>
      <c r="AD1708" s="147"/>
      <c r="AE1708" s="148" t="s">
        <v>1017</v>
      </c>
      <c r="AF1708" s="147"/>
      <c r="AG1708" s="147"/>
      <c r="AH1708" s="166" t="str">
        <f t="shared" si="731"/>
        <v/>
      </c>
      <c r="AI1708" s="168" t="str">
        <f t="shared" si="720"/>
        <v/>
      </c>
      <c r="AJ1708" s="168" t="str">
        <f t="shared" si="721"/>
        <v/>
      </c>
      <c r="AK1708" s="168" t="str">
        <f t="shared" si="722"/>
        <v/>
      </c>
      <c r="AL1708" s="168" t="str">
        <f t="shared" si="723"/>
        <v/>
      </c>
      <c r="AM1708" s="168" t="str">
        <f t="shared" si="724"/>
        <v/>
      </c>
      <c r="AN1708" s="167" t="str">
        <f t="shared" si="707"/>
        <v/>
      </c>
      <c r="AO1708" s="167" t="str">
        <f t="shared" si="708"/>
        <v/>
      </c>
      <c r="AP1708" s="167" t="str">
        <f t="shared" si="709"/>
        <v/>
      </c>
      <c r="AQ1708" s="169" t="str">
        <f t="shared" si="710"/>
        <v/>
      </c>
      <c r="AR1708" s="170" t="str">
        <f t="shared" si="711"/>
        <v>BiK81LbKWKy-07</v>
      </c>
      <c r="AS1708" s="169" t="str">
        <f t="shared" si="712"/>
        <v/>
      </c>
      <c r="AT1708">
        <f t="shared" si="713"/>
        <v>14</v>
      </c>
      <c r="AU1708" s="170" t="str">
        <f t="shared" si="714"/>
        <v>0-0,15 MW, Bonusregeln L, y, b und KWK</v>
      </c>
      <c r="AV1708" s="169" t="str">
        <f t="shared" si="715"/>
        <v/>
      </c>
      <c r="AW1708" s="170" t="str">
        <f t="shared" si="716"/>
        <v>Anteil KWK</v>
      </c>
      <c r="AX1708" s="169" t="str">
        <f t="shared" si="717"/>
        <v/>
      </c>
      <c r="AY1708" t="str">
        <f t="shared" si="718"/>
        <v/>
      </c>
      <c r="AZ1708" t="str">
        <f t="shared" si="719"/>
        <v/>
      </c>
    </row>
    <row r="1709" spans="1:52" s="145" customFormat="1" x14ac:dyDescent="0.35">
      <c r="A1709" s="497" t="s">
        <v>4487</v>
      </c>
      <c r="B1709" s="13" t="s">
        <v>5547</v>
      </c>
      <c r="C1709" s="13" t="s">
        <v>1304</v>
      </c>
      <c r="D1709" s="88" t="s">
        <v>6967</v>
      </c>
      <c r="E1709" s="13" t="s">
        <v>4330</v>
      </c>
      <c r="F1709" s="373">
        <f t="shared" si="726"/>
        <v>26.67</v>
      </c>
      <c r="G1709" s="430">
        <v>26.67</v>
      </c>
      <c r="H1709" s="399">
        <f t="shared" si="727"/>
        <v>21.34</v>
      </c>
      <c r="I1709" s="576"/>
      <c r="J1709" s="549" t="s">
        <v>5804</v>
      </c>
      <c r="K1709" s="11"/>
      <c r="L1709"/>
      <c r="M1709" s="37">
        <f t="shared" si="728"/>
        <v>26.67</v>
      </c>
      <c r="N1709" s="29">
        <v>11.67</v>
      </c>
      <c r="O1709" s="149"/>
      <c r="P1709" s="145" t="s">
        <v>1017</v>
      </c>
      <c r="S1709" s="145" t="s">
        <v>4179</v>
      </c>
      <c r="T1709" s="145" t="s">
        <v>4179</v>
      </c>
      <c r="U1709" s="146" t="s">
        <v>1017</v>
      </c>
      <c r="W1709" s="147"/>
      <c r="X1709" s="147"/>
      <c r="AA1709" s="147"/>
      <c r="AB1709" s="145" t="s">
        <v>1017</v>
      </c>
      <c r="AD1709" s="147"/>
      <c r="AE1709" s="148" t="s">
        <v>1017</v>
      </c>
      <c r="AF1709" s="147"/>
      <c r="AG1709" s="147"/>
      <c r="AH1709" s="166" t="str">
        <f t="shared" si="731"/>
        <v/>
      </c>
      <c r="AI1709" s="168" t="str">
        <f t="shared" si="720"/>
        <v/>
      </c>
      <c r="AJ1709" s="168" t="str">
        <f t="shared" si="721"/>
        <v/>
      </c>
      <c r="AK1709" s="168" t="str">
        <f t="shared" si="722"/>
        <v/>
      </c>
      <c r="AL1709" s="168" t="str">
        <f t="shared" si="723"/>
        <v/>
      </c>
      <c r="AM1709" s="168" t="str">
        <f t="shared" si="724"/>
        <v/>
      </c>
      <c r="AN1709" s="167" t="str">
        <f t="shared" si="707"/>
        <v/>
      </c>
      <c r="AO1709" s="167" t="str">
        <f t="shared" si="708"/>
        <v/>
      </c>
      <c r="AP1709" s="167" t="str">
        <f t="shared" si="709"/>
        <v/>
      </c>
      <c r="AQ1709" s="169" t="str">
        <f t="shared" si="710"/>
        <v/>
      </c>
      <c r="AR1709" s="170" t="str">
        <f t="shared" si="711"/>
        <v>BiK81LbKA3y-07</v>
      </c>
      <c r="AS1709" s="169" t="str">
        <f t="shared" si="712"/>
        <v/>
      </c>
      <c r="AT1709">
        <f t="shared" si="713"/>
        <v>14</v>
      </c>
      <c r="AU1709" s="170" t="str">
        <f t="shared" si="714"/>
        <v>0-0,15 MW, Bonusregeln L, y, b und K wenn Anlage 3 erfüllt</v>
      </c>
      <c r="AV1709" s="169" t="str">
        <f t="shared" si="715"/>
        <v/>
      </c>
      <c r="AW1709" s="170" t="str">
        <f t="shared" si="716"/>
        <v>Anteil KWK gemäß Anlage 3</v>
      </c>
      <c r="AX1709" s="169" t="str">
        <f t="shared" si="717"/>
        <v/>
      </c>
      <c r="AY1709" t="str">
        <f t="shared" si="718"/>
        <v/>
      </c>
      <c r="AZ1709" t="str">
        <f t="shared" si="719"/>
        <v/>
      </c>
    </row>
    <row r="1710" spans="1:52" s="145" customFormat="1" x14ac:dyDescent="0.35">
      <c r="A1710" s="497" t="s">
        <v>4488</v>
      </c>
      <c r="B1710" s="13" t="s">
        <v>5547</v>
      </c>
      <c r="C1710" s="13" t="s">
        <v>1304</v>
      </c>
      <c r="D1710" s="13" t="s">
        <v>6968</v>
      </c>
      <c r="E1710" s="13" t="s">
        <v>674</v>
      </c>
      <c r="F1710" s="373">
        <f t="shared" si="726"/>
        <v>26.67</v>
      </c>
      <c r="G1710" s="430">
        <v>26.67</v>
      </c>
      <c r="H1710" s="399">
        <f t="shared" si="727"/>
        <v>21.34</v>
      </c>
      <c r="I1710" s="576"/>
      <c r="J1710" s="549" t="s">
        <v>5804</v>
      </c>
      <c r="K1710" s="11"/>
      <c r="L1710"/>
      <c r="M1710" s="37">
        <f t="shared" si="728"/>
        <v>26.67</v>
      </c>
      <c r="N1710" s="29">
        <v>11.67</v>
      </c>
      <c r="O1710" s="149"/>
      <c r="P1710" s="144"/>
      <c r="Q1710" s="145" t="s">
        <v>1017</v>
      </c>
      <c r="S1710" s="145" t="s">
        <v>4179</v>
      </c>
      <c r="T1710" s="145" t="s">
        <v>4179</v>
      </c>
      <c r="U1710" s="146" t="s">
        <v>1017</v>
      </c>
      <c r="W1710" s="147"/>
      <c r="X1710" s="147"/>
      <c r="AA1710" s="147"/>
      <c r="AB1710" s="145" t="s">
        <v>1017</v>
      </c>
      <c r="AD1710" s="147"/>
      <c r="AE1710" s="148" t="s">
        <v>1017</v>
      </c>
      <c r="AF1710" s="147"/>
      <c r="AG1710" s="147"/>
      <c r="AH1710" s="166" t="str">
        <f t="shared" si="731"/>
        <v/>
      </c>
      <c r="AI1710" s="168" t="str">
        <f t="shared" si="720"/>
        <v/>
      </c>
      <c r="AJ1710" s="168" t="str">
        <f t="shared" si="721"/>
        <v/>
      </c>
      <c r="AK1710" s="168" t="str">
        <f t="shared" si="722"/>
        <v/>
      </c>
      <c r="AL1710" s="168" t="str">
        <f t="shared" si="723"/>
        <v/>
      </c>
      <c r="AM1710" s="168" t="str">
        <f t="shared" si="724"/>
        <v/>
      </c>
      <c r="AN1710" s="167" t="str">
        <f t="shared" si="707"/>
        <v/>
      </c>
      <c r="AO1710" s="167" t="str">
        <f t="shared" si="708"/>
        <v/>
      </c>
      <c r="AP1710" s="167" t="str">
        <f t="shared" si="709"/>
        <v/>
      </c>
      <c r="AQ1710" s="169" t="str">
        <f t="shared" si="710"/>
        <v/>
      </c>
      <c r="AR1710" s="170" t="str">
        <f t="shared" si="711"/>
        <v>BiK81LbK09y-07</v>
      </c>
      <c r="AS1710" s="169" t="str">
        <f t="shared" si="712"/>
        <v/>
      </c>
      <c r="AT1710">
        <f t="shared" si="713"/>
        <v>14</v>
      </c>
      <c r="AU1710" s="170" t="str">
        <f t="shared" si="714"/>
        <v>0-0,15 MW, Bonusregeln L, y, b und K erstmals 2009</v>
      </c>
      <c r="AV1710" s="169" t="str">
        <f t="shared" si="715"/>
        <v/>
      </c>
      <c r="AW1710" s="170" t="str">
        <f t="shared" si="716"/>
        <v>Anteil KWK, erstmals 2009</v>
      </c>
      <c r="AX1710" s="169" t="str">
        <f t="shared" si="717"/>
        <v/>
      </c>
      <c r="AY1710" t="str">
        <f t="shared" si="718"/>
        <v/>
      </c>
      <c r="AZ1710" t="str">
        <f t="shared" si="719"/>
        <v/>
      </c>
    </row>
    <row r="1711" spans="1:52" s="145" customFormat="1" x14ac:dyDescent="0.35">
      <c r="A1711" s="497" t="s">
        <v>4961</v>
      </c>
      <c r="B1711" s="13" t="s">
        <v>5547</v>
      </c>
      <c r="C1711" s="13" t="s">
        <v>1304</v>
      </c>
      <c r="D1711" s="13" t="s">
        <v>6969</v>
      </c>
      <c r="E1711" s="13" t="s">
        <v>3566</v>
      </c>
      <c r="F1711" s="373">
        <f t="shared" si="726"/>
        <v>26.64</v>
      </c>
      <c r="G1711" s="430">
        <v>26.64</v>
      </c>
      <c r="H1711" s="399">
        <f t="shared" si="727"/>
        <v>21.31</v>
      </c>
      <c r="I1711" s="576"/>
      <c r="J1711" s="549" t="s">
        <v>5804</v>
      </c>
      <c r="K1711" s="11"/>
      <c r="L1711"/>
      <c r="M1711" s="37">
        <f t="shared" si="728"/>
        <v>26.64</v>
      </c>
      <c r="N1711" s="29">
        <v>11.67</v>
      </c>
      <c r="O1711" s="149"/>
      <c r="P1711" s="144"/>
      <c r="R1711" s="145" t="s">
        <v>1017</v>
      </c>
      <c r="S1711" s="145" t="s">
        <v>4179</v>
      </c>
      <c r="T1711" s="145" t="s">
        <v>4179</v>
      </c>
      <c r="U1711" s="146" t="s">
        <v>1017</v>
      </c>
      <c r="W1711" s="147"/>
      <c r="X1711" s="147"/>
      <c r="AA1711" s="147"/>
      <c r="AB1711" s="145" t="s">
        <v>1017</v>
      </c>
      <c r="AD1711" s="147"/>
      <c r="AE1711" s="148" t="s">
        <v>1017</v>
      </c>
      <c r="AF1711" s="147"/>
      <c r="AG1711" s="147"/>
      <c r="AH1711" s="166" t="str">
        <f t="shared" si="731"/>
        <v>2010</v>
      </c>
      <c r="AI1711" s="168" t="str">
        <f t="shared" si="720"/>
        <v/>
      </c>
      <c r="AJ1711" s="168" t="str">
        <f t="shared" si="721"/>
        <v/>
      </c>
      <c r="AK1711" s="168" t="str">
        <f t="shared" si="722"/>
        <v/>
      </c>
      <c r="AL1711" s="168" t="str">
        <f t="shared" si="723"/>
        <v/>
      </c>
      <c r="AM1711" s="168" t="str">
        <f t="shared" si="724"/>
        <v/>
      </c>
      <c r="AN1711" s="167" t="str">
        <f t="shared" si="707"/>
        <v>2010</v>
      </c>
      <c r="AO1711" s="167" t="str">
        <f t="shared" si="708"/>
        <v>2010</v>
      </c>
      <c r="AP1711" s="167" t="str">
        <f t="shared" si="709"/>
        <v>2010</v>
      </c>
      <c r="AQ1711" s="169" t="str">
        <f t="shared" si="710"/>
        <v/>
      </c>
      <c r="AR1711" s="170" t="str">
        <f t="shared" si="711"/>
        <v>BiK81LbK10y-07</v>
      </c>
      <c r="AS1711" s="169" t="str">
        <f t="shared" si="712"/>
        <v/>
      </c>
      <c r="AT1711">
        <f t="shared" si="713"/>
        <v>14</v>
      </c>
      <c r="AU1711" s="170" t="str">
        <f t="shared" si="714"/>
        <v>0-0,15 MW, Bonusregeln L, y, b und K erstmals 2010</v>
      </c>
      <c r="AV1711" s="169" t="str">
        <f t="shared" si="715"/>
        <v/>
      </c>
      <c r="AW1711" s="170" t="str">
        <f t="shared" si="716"/>
        <v>Anteil KWK, erstmals 2010</v>
      </c>
      <c r="AX1711" s="169" t="str">
        <f t="shared" si="717"/>
        <v/>
      </c>
      <c r="AY1711" t="str">
        <f t="shared" si="718"/>
        <v/>
      </c>
      <c r="AZ1711" t="str">
        <f t="shared" si="719"/>
        <v/>
      </c>
    </row>
    <row r="1712" spans="1:52" s="145" customFormat="1" x14ac:dyDescent="0.35">
      <c r="A1712" s="497" t="s">
        <v>3398</v>
      </c>
      <c r="B1712" s="13" t="s">
        <v>5547</v>
      </c>
      <c r="C1712" s="13" t="s">
        <v>1304</v>
      </c>
      <c r="D1712" s="13" t="s">
        <v>6970</v>
      </c>
      <c r="E1712" s="13" t="s">
        <v>3054</v>
      </c>
      <c r="F1712" s="373">
        <f t="shared" si="726"/>
        <v>26.61</v>
      </c>
      <c r="G1712" s="430">
        <v>26.61</v>
      </c>
      <c r="H1712" s="399">
        <f t="shared" si="727"/>
        <v>21.29</v>
      </c>
      <c r="I1712" s="576"/>
      <c r="J1712" s="549" t="s">
        <v>5804</v>
      </c>
      <c r="K1712" s="11"/>
      <c r="L1712"/>
      <c r="M1712" s="37">
        <f t="shared" si="728"/>
        <v>26.61</v>
      </c>
      <c r="N1712" s="29">
        <v>11.67</v>
      </c>
      <c r="O1712" s="149"/>
      <c r="P1712" s="144"/>
      <c r="S1712" s="145" t="s">
        <v>1017</v>
      </c>
      <c r="T1712" s="145" t="s">
        <v>4179</v>
      </c>
      <c r="U1712" s="146" t="s">
        <v>1017</v>
      </c>
      <c r="W1712" s="147"/>
      <c r="X1712" s="147"/>
      <c r="AA1712" s="147"/>
      <c r="AB1712" s="145" t="s">
        <v>1017</v>
      </c>
      <c r="AD1712" s="147"/>
      <c r="AE1712" s="148" t="s">
        <v>1017</v>
      </c>
      <c r="AF1712" s="147"/>
      <c r="AG1712" s="147"/>
      <c r="AH1712" s="166" t="str">
        <f t="shared" si="731"/>
        <v>2011</v>
      </c>
      <c r="AI1712" s="168" t="str">
        <f t="shared" si="720"/>
        <v/>
      </c>
      <c r="AJ1712" s="168" t="str">
        <f t="shared" si="721"/>
        <v/>
      </c>
      <c r="AK1712" s="168" t="str">
        <f t="shared" si="722"/>
        <v/>
      </c>
      <c r="AL1712" s="168" t="str">
        <f t="shared" si="723"/>
        <v/>
      </c>
      <c r="AM1712" s="168" t="str">
        <f t="shared" si="724"/>
        <v/>
      </c>
      <c r="AN1712" s="167" t="str">
        <f t="shared" si="707"/>
        <v>2011</v>
      </c>
      <c r="AO1712" s="167" t="str">
        <f t="shared" si="708"/>
        <v>2011</v>
      </c>
      <c r="AP1712" s="167" t="str">
        <f t="shared" si="709"/>
        <v>2011</v>
      </c>
      <c r="AQ1712" s="169" t="str">
        <f t="shared" si="710"/>
        <v/>
      </c>
      <c r="AR1712" s="170" t="str">
        <f t="shared" si="711"/>
        <v>BiK81LbK11y-07</v>
      </c>
      <c r="AS1712" s="169" t="str">
        <f t="shared" si="712"/>
        <v/>
      </c>
      <c r="AT1712">
        <f t="shared" si="713"/>
        <v>14</v>
      </c>
      <c r="AU1712" s="170" t="str">
        <f t="shared" si="714"/>
        <v>0-0,15 MW, Bonusregeln L, y, b und K erstmals 2011</v>
      </c>
      <c r="AV1712" s="169" t="str">
        <f t="shared" si="715"/>
        <v/>
      </c>
      <c r="AW1712" s="170" t="str">
        <f t="shared" si="716"/>
        <v>Anteil KWK, erstmals 2011</v>
      </c>
      <c r="AX1712" s="169" t="str">
        <f t="shared" si="717"/>
        <v/>
      </c>
      <c r="AY1712" t="str">
        <f t="shared" si="718"/>
        <v>x</v>
      </c>
      <c r="AZ1712" t="str">
        <f t="shared" si="719"/>
        <v/>
      </c>
    </row>
    <row r="1713" spans="1:52" s="145" customFormat="1" x14ac:dyDescent="0.35">
      <c r="A1713" s="511" t="s">
        <v>1831</v>
      </c>
      <c r="B1713" s="173" t="s">
        <v>5547</v>
      </c>
      <c r="C1713" s="173" t="s">
        <v>1304</v>
      </c>
      <c r="D1713" s="173" t="s">
        <v>6971</v>
      </c>
      <c r="E1713" s="173" t="s">
        <v>1980</v>
      </c>
      <c r="F1713" s="374">
        <f t="shared" si="726"/>
        <v>26.58</v>
      </c>
      <c r="G1713" s="431">
        <v>26.58</v>
      </c>
      <c r="H1713" s="400">
        <f t="shared" si="727"/>
        <v>21.26</v>
      </c>
      <c r="I1713" s="577"/>
      <c r="J1713" s="549" t="s">
        <v>5804</v>
      </c>
      <c r="K1713" s="11"/>
      <c r="L1713"/>
      <c r="M1713" s="37">
        <f t="shared" si="728"/>
        <v>26.58</v>
      </c>
      <c r="N1713" s="29">
        <v>11.67</v>
      </c>
      <c r="O1713" s="149"/>
      <c r="P1713" s="144"/>
      <c r="S1713" s="145" t="s">
        <v>4179</v>
      </c>
      <c r="T1713" s="145" t="s">
        <v>1017</v>
      </c>
      <c r="U1713" s="146" t="s">
        <v>1017</v>
      </c>
      <c r="W1713" s="147"/>
      <c r="X1713" s="147"/>
      <c r="AA1713" s="147"/>
      <c r="AB1713" s="145" t="s">
        <v>1017</v>
      </c>
      <c r="AD1713" s="147"/>
      <c r="AE1713" s="148" t="s">
        <v>1017</v>
      </c>
      <c r="AF1713" s="147"/>
      <c r="AG1713" s="147"/>
      <c r="AH1713" s="171" t="s">
        <v>4178</v>
      </c>
      <c r="AI1713" s="168" t="str">
        <f t="shared" si="720"/>
        <v/>
      </c>
      <c r="AJ1713" s="168" t="str">
        <f t="shared" si="721"/>
        <v/>
      </c>
      <c r="AK1713" s="168" t="str">
        <f t="shared" si="722"/>
        <v/>
      </c>
      <c r="AL1713" s="168" t="str">
        <f t="shared" si="723"/>
        <v/>
      </c>
      <c r="AM1713" s="168" t="str">
        <f t="shared" si="724"/>
        <v/>
      </c>
      <c r="AN1713" s="167" t="str">
        <f t="shared" si="707"/>
        <v>2012</v>
      </c>
      <c r="AO1713" s="167" t="str">
        <f t="shared" si="708"/>
        <v>2012</v>
      </c>
      <c r="AP1713" s="167" t="str">
        <f t="shared" si="709"/>
        <v>2012</v>
      </c>
      <c r="AQ1713" s="169" t="str">
        <f t="shared" si="710"/>
        <v/>
      </c>
      <c r="AR1713" s="170" t="str">
        <f t="shared" si="711"/>
        <v>BiK81LbK12y-07</v>
      </c>
      <c r="AS1713" s="169" t="str">
        <f t="shared" si="712"/>
        <v/>
      </c>
      <c r="AT1713">
        <f t="shared" si="713"/>
        <v>14</v>
      </c>
      <c r="AU1713" s="170" t="str">
        <f t="shared" si="714"/>
        <v>0-0,15 MW, Bonusregeln L, y, b und K erstmals 2012</v>
      </c>
      <c r="AV1713" s="169" t="str">
        <f t="shared" si="715"/>
        <v/>
      </c>
      <c r="AW1713" s="170" t="str">
        <f t="shared" si="716"/>
        <v>Anteil KWK, erstmals 2012</v>
      </c>
      <c r="AX1713" s="169" t="str">
        <f t="shared" si="717"/>
        <v/>
      </c>
      <c r="AY1713" t="str">
        <f t="shared" si="718"/>
        <v/>
      </c>
      <c r="AZ1713" t="str">
        <f t="shared" si="719"/>
        <v>x</v>
      </c>
    </row>
    <row r="1714" spans="1:52" s="145" customFormat="1" x14ac:dyDescent="0.35">
      <c r="A1714" s="497" t="s">
        <v>4489</v>
      </c>
      <c r="B1714" s="13" t="s">
        <v>5547</v>
      </c>
      <c r="C1714" s="13" t="s">
        <v>1304</v>
      </c>
      <c r="D1714" s="13" t="s">
        <v>6972</v>
      </c>
      <c r="E1714" s="13" t="s">
        <v>4809</v>
      </c>
      <c r="F1714" s="373">
        <f t="shared" si="726"/>
        <v>26.67</v>
      </c>
      <c r="G1714" s="430">
        <v>26.67</v>
      </c>
      <c r="H1714" s="399">
        <f t="shared" si="727"/>
        <v>21.34</v>
      </c>
      <c r="I1714" s="576"/>
      <c r="J1714" s="549" t="s">
        <v>5804</v>
      </c>
      <c r="K1714" s="11"/>
      <c r="L1714"/>
      <c r="M1714" s="37">
        <f t="shared" si="728"/>
        <v>26.67</v>
      </c>
      <c r="N1714" s="29">
        <v>11.67</v>
      </c>
      <c r="O1714" s="149"/>
      <c r="P1714" s="144"/>
      <c r="S1714" s="145" t="s">
        <v>4179</v>
      </c>
      <c r="T1714" s="145" t="s">
        <v>4179</v>
      </c>
      <c r="U1714" s="146"/>
      <c r="W1714" s="147"/>
      <c r="X1714" s="147"/>
      <c r="AA1714" s="147"/>
      <c r="AC1714" s="145" t="s">
        <v>1017</v>
      </c>
      <c r="AD1714" s="147"/>
      <c r="AE1714" s="148" t="s">
        <v>1017</v>
      </c>
      <c r="AF1714" s="147"/>
      <c r="AG1714" s="147"/>
      <c r="AH1714" s="166" t="str">
        <f t="shared" ref="AH1714:AH1719" si="732">IF(ISERROR(SEARCH("K erstmals 201",D1714)),"",RIGHT(D1714,4))</f>
        <v/>
      </c>
      <c r="AI1714" s="168" t="str">
        <f t="shared" si="720"/>
        <v/>
      </c>
      <c r="AJ1714" s="168" t="str">
        <f t="shared" si="721"/>
        <v/>
      </c>
      <c r="AK1714" s="168" t="str">
        <f t="shared" si="722"/>
        <v/>
      </c>
      <c r="AL1714" s="168" t="str">
        <f t="shared" si="723"/>
        <v/>
      </c>
      <c r="AM1714" s="168" t="str">
        <f t="shared" si="724"/>
        <v/>
      </c>
      <c r="AN1714" s="167" t="str">
        <f t="shared" si="707"/>
        <v/>
      </c>
      <c r="AO1714" s="167" t="str">
        <f t="shared" si="708"/>
        <v/>
      </c>
      <c r="AP1714" s="167" t="str">
        <f t="shared" si="709"/>
        <v/>
      </c>
      <c r="AQ1714" s="169" t="str">
        <f t="shared" si="710"/>
        <v/>
      </c>
      <c r="AR1714" s="170" t="str">
        <f t="shared" si="711"/>
        <v>BiK81X1b----07</v>
      </c>
      <c r="AS1714" s="169" t="str">
        <f t="shared" si="712"/>
        <v/>
      </c>
      <c r="AT1714">
        <f t="shared" si="713"/>
        <v>14</v>
      </c>
      <c r="AU1714" s="170" t="str">
        <f t="shared" si="714"/>
        <v>0-0,15 MW, Bonusregeln X1, b</v>
      </c>
      <c r="AV1714" s="169" t="str">
        <f t="shared" si="715"/>
        <v/>
      </c>
      <c r="AW1714" s="170" t="str">
        <f t="shared" si="716"/>
        <v>Anteil Nicht-KWK</v>
      </c>
      <c r="AX1714" s="169" t="str">
        <f t="shared" si="717"/>
        <v/>
      </c>
      <c r="AY1714" t="str">
        <f t="shared" si="718"/>
        <v/>
      </c>
      <c r="AZ1714" t="str">
        <f t="shared" si="719"/>
        <v/>
      </c>
    </row>
    <row r="1715" spans="1:52" s="145" customFormat="1" x14ac:dyDescent="0.35">
      <c r="A1715" s="497" t="s">
        <v>2222</v>
      </c>
      <c r="B1715" s="13" t="s">
        <v>5547</v>
      </c>
      <c r="C1715" s="13" t="s">
        <v>1304</v>
      </c>
      <c r="D1715" s="13" t="s">
        <v>6973</v>
      </c>
      <c r="E1715" s="13" t="s">
        <v>4811</v>
      </c>
      <c r="F1715" s="373">
        <f t="shared" si="726"/>
        <v>28.67</v>
      </c>
      <c r="G1715" s="430">
        <v>28.67</v>
      </c>
      <c r="H1715" s="399">
        <f t="shared" si="727"/>
        <v>22.94</v>
      </c>
      <c r="I1715" s="576"/>
      <c r="J1715" s="549" t="s">
        <v>5804</v>
      </c>
      <c r="K1715" s="11"/>
      <c r="L1715"/>
      <c r="M1715" s="37">
        <f t="shared" si="728"/>
        <v>28.67</v>
      </c>
      <c r="N1715" s="29">
        <v>11.67</v>
      </c>
      <c r="O1715" s="149" t="s">
        <v>1017</v>
      </c>
      <c r="P1715" s="144"/>
      <c r="S1715" s="145" t="s">
        <v>4179</v>
      </c>
      <c r="T1715" s="145" t="s">
        <v>4179</v>
      </c>
      <c r="U1715" s="146"/>
      <c r="W1715" s="147"/>
      <c r="X1715" s="147"/>
      <c r="AA1715" s="147"/>
      <c r="AC1715" s="145" t="s">
        <v>1017</v>
      </c>
      <c r="AD1715" s="147"/>
      <c r="AE1715" s="148" t="s">
        <v>1017</v>
      </c>
      <c r="AF1715" s="147"/>
      <c r="AG1715" s="147"/>
      <c r="AH1715" s="166" t="str">
        <f t="shared" si="732"/>
        <v/>
      </c>
      <c r="AI1715" s="168" t="str">
        <f t="shared" si="720"/>
        <v/>
      </c>
      <c r="AJ1715" s="168" t="str">
        <f t="shared" si="721"/>
        <v/>
      </c>
      <c r="AK1715" s="168" t="str">
        <f t="shared" si="722"/>
        <v/>
      </c>
      <c r="AL1715" s="168" t="str">
        <f t="shared" si="723"/>
        <v/>
      </c>
      <c r="AM1715" s="168" t="str">
        <f t="shared" si="724"/>
        <v/>
      </c>
      <c r="AN1715" s="167" t="str">
        <f t="shared" si="707"/>
        <v/>
      </c>
      <c r="AO1715" s="167" t="str">
        <f t="shared" si="708"/>
        <v/>
      </c>
      <c r="AP1715" s="167" t="str">
        <f t="shared" si="709"/>
        <v/>
      </c>
      <c r="AQ1715" s="169" t="str">
        <f t="shared" si="710"/>
        <v/>
      </c>
      <c r="AR1715" s="170" t="str">
        <f t="shared" si="711"/>
        <v>BiK81X1bKWK-07</v>
      </c>
      <c r="AS1715" s="169" t="str">
        <f t="shared" si="712"/>
        <v/>
      </c>
      <c r="AT1715">
        <f t="shared" si="713"/>
        <v>14</v>
      </c>
      <c r="AU1715" s="170" t="str">
        <f t="shared" si="714"/>
        <v>0-0,15 MW, Bonusregeln X1, b und KWK</v>
      </c>
      <c r="AV1715" s="169" t="str">
        <f t="shared" si="715"/>
        <v/>
      </c>
      <c r="AW1715" s="170" t="str">
        <f t="shared" si="716"/>
        <v>Anteil KWK</v>
      </c>
      <c r="AX1715" s="169" t="str">
        <f t="shared" si="717"/>
        <v/>
      </c>
      <c r="AY1715" t="str">
        <f t="shared" si="718"/>
        <v/>
      </c>
      <c r="AZ1715" t="str">
        <f t="shared" si="719"/>
        <v/>
      </c>
    </row>
    <row r="1716" spans="1:52" s="145" customFormat="1" x14ac:dyDescent="0.35">
      <c r="A1716" s="497" t="s">
        <v>2223</v>
      </c>
      <c r="B1716" s="13" t="s">
        <v>5547</v>
      </c>
      <c r="C1716" s="13" t="s">
        <v>1304</v>
      </c>
      <c r="D1716" s="13" t="s">
        <v>6974</v>
      </c>
      <c r="E1716" s="13" t="s">
        <v>4330</v>
      </c>
      <c r="F1716" s="373">
        <f t="shared" si="726"/>
        <v>29.67</v>
      </c>
      <c r="G1716" s="430">
        <v>29.67</v>
      </c>
      <c r="H1716" s="399">
        <f t="shared" si="727"/>
        <v>23.74</v>
      </c>
      <c r="I1716" s="576"/>
      <c r="J1716" s="549" t="s">
        <v>5804</v>
      </c>
      <c r="K1716" s="11"/>
      <c r="L1716"/>
      <c r="M1716" s="37">
        <f t="shared" si="728"/>
        <v>29.67</v>
      </c>
      <c r="N1716" s="29">
        <v>11.67</v>
      </c>
      <c r="O1716" s="149"/>
      <c r="P1716" s="145" t="s">
        <v>1017</v>
      </c>
      <c r="S1716" s="145" t="s">
        <v>4179</v>
      </c>
      <c r="T1716" s="145" t="s">
        <v>4179</v>
      </c>
      <c r="U1716" s="146"/>
      <c r="W1716" s="147"/>
      <c r="X1716" s="147"/>
      <c r="AA1716" s="147"/>
      <c r="AC1716" s="145" t="s">
        <v>1017</v>
      </c>
      <c r="AD1716" s="147"/>
      <c r="AE1716" s="148" t="s">
        <v>1017</v>
      </c>
      <c r="AF1716" s="147"/>
      <c r="AG1716" s="147"/>
      <c r="AH1716" s="166" t="str">
        <f t="shared" si="732"/>
        <v/>
      </c>
      <c r="AI1716" s="168" t="str">
        <f t="shared" si="720"/>
        <v/>
      </c>
      <c r="AJ1716" s="168" t="str">
        <f t="shared" si="721"/>
        <v/>
      </c>
      <c r="AK1716" s="168" t="str">
        <f t="shared" si="722"/>
        <v/>
      </c>
      <c r="AL1716" s="168" t="str">
        <f t="shared" si="723"/>
        <v/>
      </c>
      <c r="AM1716" s="168" t="str">
        <f t="shared" si="724"/>
        <v/>
      </c>
      <c r="AN1716" s="167" t="str">
        <f t="shared" si="707"/>
        <v/>
      </c>
      <c r="AO1716" s="167" t="str">
        <f t="shared" si="708"/>
        <v/>
      </c>
      <c r="AP1716" s="167" t="str">
        <f t="shared" si="709"/>
        <v/>
      </c>
      <c r="AQ1716" s="169" t="str">
        <f t="shared" si="710"/>
        <v/>
      </c>
      <c r="AR1716" s="170" t="str">
        <f t="shared" si="711"/>
        <v>BiK81X1bKA3-07</v>
      </c>
      <c r="AS1716" s="169" t="str">
        <f t="shared" si="712"/>
        <v/>
      </c>
      <c r="AT1716">
        <f t="shared" si="713"/>
        <v>14</v>
      </c>
      <c r="AU1716" s="170" t="str">
        <f t="shared" si="714"/>
        <v>0-0,15 MW, Bonusregeln X1, b und K wenn Anlage 3 erfüllt</v>
      </c>
      <c r="AV1716" s="169" t="str">
        <f t="shared" si="715"/>
        <v/>
      </c>
      <c r="AW1716" s="170" t="str">
        <f t="shared" si="716"/>
        <v>Anteil KWK gemäß Anlage 3</v>
      </c>
      <c r="AX1716" s="169" t="str">
        <f t="shared" si="717"/>
        <v/>
      </c>
      <c r="AY1716" t="str">
        <f t="shared" si="718"/>
        <v/>
      </c>
      <c r="AZ1716" t="str">
        <f t="shared" si="719"/>
        <v/>
      </c>
    </row>
    <row r="1717" spans="1:52" s="145" customFormat="1" x14ac:dyDescent="0.35">
      <c r="A1717" s="497" t="s">
        <v>4817</v>
      </c>
      <c r="B1717" s="13" t="s">
        <v>5547</v>
      </c>
      <c r="C1717" s="13" t="s">
        <v>1304</v>
      </c>
      <c r="D1717" s="13" t="s">
        <v>6975</v>
      </c>
      <c r="E1717" s="13" t="s">
        <v>674</v>
      </c>
      <c r="F1717" s="373">
        <f t="shared" si="726"/>
        <v>29.67</v>
      </c>
      <c r="G1717" s="430">
        <v>29.67</v>
      </c>
      <c r="H1717" s="399">
        <f t="shared" si="727"/>
        <v>23.74</v>
      </c>
      <c r="I1717" s="576"/>
      <c r="J1717" s="549" t="s">
        <v>5804</v>
      </c>
      <c r="K1717" s="11"/>
      <c r="L1717"/>
      <c r="M1717" s="37">
        <f t="shared" si="728"/>
        <v>29.67</v>
      </c>
      <c r="N1717" s="29">
        <v>11.67</v>
      </c>
      <c r="O1717" s="149"/>
      <c r="P1717" s="144"/>
      <c r="Q1717" s="145" t="s">
        <v>1017</v>
      </c>
      <c r="S1717" s="145" t="s">
        <v>4179</v>
      </c>
      <c r="T1717" s="145" t="s">
        <v>4179</v>
      </c>
      <c r="U1717" s="146"/>
      <c r="W1717" s="147"/>
      <c r="X1717" s="147"/>
      <c r="AA1717" s="147"/>
      <c r="AC1717" s="145" t="s">
        <v>1017</v>
      </c>
      <c r="AD1717" s="147"/>
      <c r="AE1717" s="148" t="s">
        <v>1017</v>
      </c>
      <c r="AF1717" s="147"/>
      <c r="AG1717" s="147"/>
      <c r="AH1717" s="166" t="str">
        <f t="shared" si="732"/>
        <v/>
      </c>
      <c r="AI1717" s="168" t="str">
        <f t="shared" si="720"/>
        <v/>
      </c>
      <c r="AJ1717" s="168" t="str">
        <f t="shared" si="721"/>
        <v/>
      </c>
      <c r="AK1717" s="168" t="str">
        <f t="shared" si="722"/>
        <v/>
      </c>
      <c r="AL1717" s="168" t="str">
        <f t="shared" si="723"/>
        <v/>
      </c>
      <c r="AM1717" s="168" t="str">
        <f t="shared" si="724"/>
        <v/>
      </c>
      <c r="AN1717" s="167" t="str">
        <f t="shared" si="707"/>
        <v/>
      </c>
      <c r="AO1717" s="167" t="str">
        <f t="shared" si="708"/>
        <v/>
      </c>
      <c r="AP1717" s="167" t="str">
        <f t="shared" si="709"/>
        <v/>
      </c>
      <c r="AQ1717" s="169" t="str">
        <f t="shared" si="710"/>
        <v/>
      </c>
      <c r="AR1717" s="170" t="str">
        <f t="shared" si="711"/>
        <v>BiK81X1bK09-07</v>
      </c>
      <c r="AS1717" s="169" t="str">
        <f t="shared" si="712"/>
        <v/>
      </c>
      <c r="AT1717">
        <f t="shared" si="713"/>
        <v>14</v>
      </c>
      <c r="AU1717" s="170" t="str">
        <f t="shared" si="714"/>
        <v>0-0,15 MW, Bonusregeln X1, b und K erstmals 2009</v>
      </c>
      <c r="AV1717" s="169" t="str">
        <f t="shared" si="715"/>
        <v/>
      </c>
      <c r="AW1717" s="170" t="str">
        <f t="shared" si="716"/>
        <v>Anteil KWK, erstmals 2009</v>
      </c>
      <c r="AX1717" s="169" t="str">
        <f t="shared" si="717"/>
        <v/>
      </c>
      <c r="AY1717" t="str">
        <f t="shared" si="718"/>
        <v/>
      </c>
      <c r="AZ1717" t="str">
        <f t="shared" si="719"/>
        <v/>
      </c>
    </row>
    <row r="1718" spans="1:52" s="145" customFormat="1" x14ac:dyDescent="0.35">
      <c r="A1718" s="497" t="s">
        <v>4962</v>
      </c>
      <c r="B1718" s="13" t="s">
        <v>5547</v>
      </c>
      <c r="C1718" s="13" t="s">
        <v>1304</v>
      </c>
      <c r="D1718" s="13" t="s">
        <v>6976</v>
      </c>
      <c r="E1718" s="13" t="s">
        <v>3566</v>
      </c>
      <c r="F1718" s="373">
        <f t="shared" si="726"/>
        <v>29.64</v>
      </c>
      <c r="G1718" s="430">
        <v>29.64</v>
      </c>
      <c r="H1718" s="399">
        <f t="shared" si="727"/>
        <v>23.71</v>
      </c>
      <c r="I1718" s="576"/>
      <c r="J1718" s="549" t="s">
        <v>5804</v>
      </c>
      <c r="K1718" s="11"/>
      <c r="L1718"/>
      <c r="M1718" s="37">
        <f t="shared" si="728"/>
        <v>29.64</v>
      </c>
      <c r="N1718" s="29">
        <v>11.67</v>
      </c>
      <c r="O1718" s="149"/>
      <c r="P1718" s="144"/>
      <c r="R1718" s="145" t="s">
        <v>1017</v>
      </c>
      <c r="S1718" s="145" t="s">
        <v>4179</v>
      </c>
      <c r="T1718" s="145" t="s">
        <v>4179</v>
      </c>
      <c r="U1718" s="146"/>
      <c r="W1718" s="147"/>
      <c r="X1718" s="147"/>
      <c r="AA1718" s="147"/>
      <c r="AC1718" s="145" t="s">
        <v>1017</v>
      </c>
      <c r="AD1718" s="147"/>
      <c r="AE1718" s="148" t="s">
        <v>1017</v>
      </c>
      <c r="AF1718" s="147"/>
      <c r="AG1718" s="147"/>
      <c r="AH1718" s="166" t="str">
        <f t="shared" si="732"/>
        <v>2010</v>
      </c>
      <c r="AI1718" s="168" t="str">
        <f t="shared" si="720"/>
        <v/>
      </c>
      <c r="AJ1718" s="168" t="str">
        <f t="shared" si="721"/>
        <v/>
      </c>
      <c r="AK1718" s="168" t="str">
        <f t="shared" si="722"/>
        <v/>
      </c>
      <c r="AL1718" s="168" t="str">
        <f t="shared" si="723"/>
        <v/>
      </c>
      <c r="AM1718" s="168" t="str">
        <f t="shared" si="724"/>
        <v/>
      </c>
      <c r="AN1718" s="167" t="str">
        <f t="shared" si="707"/>
        <v>2010</v>
      </c>
      <c r="AO1718" s="167" t="str">
        <f t="shared" si="708"/>
        <v>2010</v>
      </c>
      <c r="AP1718" s="167" t="str">
        <f t="shared" si="709"/>
        <v>2010</v>
      </c>
      <c r="AQ1718" s="169" t="str">
        <f t="shared" si="710"/>
        <v/>
      </c>
      <c r="AR1718" s="170" t="str">
        <f t="shared" si="711"/>
        <v>BiK81X1bK10-07</v>
      </c>
      <c r="AS1718" s="169" t="str">
        <f t="shared" si="712"/>
        <v/>
      </c>
      <c r="AT1718">
        <f t="shared" si="713"/>
        <v>14</v>
      </c>
      <c r="AU1718" s="170" t="str">
        <f t="shared" si="714"/>
        <v>0-0,15 MW, Bonusregeln X1, b und K erstmals 2010</v>
      </c>
      <c r="AV1718" s="169" t="str">
        <f t="shared" si="715"/>
        <v/>
      </c>
      <c r="AW1718" s="170" t="str">
        <f t="shared" si="716"/>
        <v>Anteil KWK, erstmals 2010</v>
      </c>
      <c r="AX1718" s="169" t="str">
        <f t="shared" si="717"/>
        <v/>
      </c>
      <c r="AY1718" t="str">
        <f t="shared" si="718"/>
        <v/>
      </c>
      <c r="AZ1718" t="str">
        <f t="shared" si="719"/>
        <v/>
      </c>
    </row>
    <row r="1719" spans="1:52" s="145" customFormat="1" x14ac:dyDescent="0.35">
      <c r="A1719" s="497" t="s">
        <v>3399</v>
      </c>
      <c r="B1719" s="13" t="s">
        <v>5547</v>
      </c>
      <c r="C1719" s="13" t="s">
        <v>1304</v>
      </c>
      <c r="D1719" s="13" t="s">
        <v>6977</v>
      </c>
      <c r="E1719" s="13" t="s">
        <v>3054</v>
      </c>
      <c r="F1719" s="373">
        <f t="shared" si="726"/>
        <v>29.61</v>
      </c>
      <c r="G1719" s="430">
        <v>29.61</v>
      </c>
      <c r="H1719" s="399">
        <f t="shared" si="727"/>
        <v>23.69</v>
      </c>
      <c r="I1719" s="576"/>
      <c r="J1719" s="549" t="s">
        <v>5804</v>
      </c>
      <c r="K1719" s="11"/>
      <c r="L1719"/>
      <c r="M1719" s="37">
        <f t="shared" si="728"/>
        <v>29.61</v>
      </c>
      <c r="N1719" s="29">
        <v>11.67</v>
      </c>
      <c r="O1719" s="149"/>
      <c r="P1719" s="144"/>
      <c r="S1719" s="145" t="s">
        <v>1017</v>
      </c>
      <c r="T1719" s="145" t="s">
        <v>4179</v>
      </c>
      <c r="U1719" s="146"/>
      <c r="W1719" s="147"/>
      <c r="X1719" s="147"/>
      <c r="AA1719" s="147"/>
      <c r="AC1719" s="145" t="s">
        <v>1017</v>
      </c>
      <c r="AD1719" s="147"/>
      <c r="AE1719" s="148" t="s">
        <v>1017</v>
      </c>
      <c r="AF1719" s="147"/>
      <c r="AG1719" s="147"/>
      <c r="AH1719" s="166" t="str">
        <f t="shared" si="732"/>
        <v>2011</v>
      </c>
      <c r="AI1719" s="168" t="str">
        <f t="shared" si="720"/>
        <v/>
      </c>
      <c r="AJ1719" s="168" t="str">
        <f t="shared" si="721"/>
        <v/>
      </c>
      <c r="AK1719" s="168" t="str">
        <f t="shared" si="722"/>
        <v/>
      </c>
      <c r="AL1719" s="168" t="str">
        <f t="shared" si="723"/>
        <v/>
      </c>
      <c r="AM1719" s="168" t="str">
        <f t="shared" si="724"/>
        <v/>
      </c>
      <c r="AN1719" s="167" t="str">
        <f t="shared" si="707"/>
        <v>2011</v>
      </c>
      <c r="AO1719" s="167" t="str">
        <f t="shared" si="708"/>
        <v>2011</v>
      </c>
      <c r="AP1719" s="167" t="str">
        <f t="shared" si="709"/>
        <v>2011</v>
      </c>
      <c r="AQ1719" s="169" t="str">
        <f t="shared" si="710"/>
        <v/>
      </c>
      <c r="AR1719" s="170" t="str">
        <f t="shared" si="711"/>
        <v>BiK81X1bK11-07</v>
      </c>
      <c r="AS1719" s="169" t="str">
        <f t="shared" si="712"/>
        <v/>
      </c>
      <c r="AT1719">
        <f t="shared" si="713"/>
        <v>14</v>
      </c>
      <c r="AU1719" s="170" t="str">
        <f t="shared" si="714"/>
        <v>0-0,15 MW, Bonusregeln X1, b und K erstmals 2011</v>
      </c>
      <c r="AV1719" s="169" t="str">
        <f t="shared" si="715"/>
        <v/>
      </c>
      <c r="AW1719" s="170" t="str">
        <f t="shared" si="716"/>
        <v>Anteil KWK, erstmals 2011</v>
      </c>
      <c r="AX1719" s="169" t="str">
        <f t="shared" si="717"/>
        <v/>
      </c>
      <c r="AY1719" t="str">
        <f t="shared" si="718"/>
        <v>x</v>
      </c>
      <c r="AZ1719" t="str">
        <f t="shared" si="719"/>
        <v/>
      </c>
    </row>
    <row r="1720" spans="1:52" s="145" customFormat="1" x14ac:dyDescent="0.35">
      <c r="A1720" s="511" t="s">
        <v>1832</v>
      </c>
      <c r="B1720" s="173" t="s">
        <v>5547</v>
      </c>
      <c r="C1720" s="173" t="s">
        <v>1304</v>
      </c>
      <c r="D1720" s="173" t="s">
        <v>6978</v>
      </c>
      <c r="E1720" s="173" t="s">
        <v>1980</v>
      </c>
      <c r="F1720" s="374">
        <f t="shared" si="726"/>
        <v>29.58</v>
      </c>
      <c r="G1720" s="431">
        <v>29.58</v>
      </c>
      <c r="H1720" s="400">
        <f t="shared" si="727"/>
        <v>23.66</v>
      </c>
      <c r="I1720" s="577"/>
      <c r="J1720" s="549" t="s">
        <v>5804</v>
      </c>
      <c r="K1720" s="11"/>
      <c r="L1720"/>
      <c r="M1720" s="37">
        <f t="shared" si="728"/>
        <v>29.58</v>
      </c>
      <c r="N1720" s="29">
        <v>11.67</v>
      </c>
      <c r="O1720" s="149"/>
      <c r="P1720" s="144"/>
      <c r="S1720" s="145" t="s">
        <v>4179</v>
      </c>
      <c r="T1720" s="145" t="s">
        <v>1017</v>
      </c>
      <c r="U1720" s="146"/>
      <c r="W1720" s="147"/>
      <c r="X1720" s="147"/>
      <c r="AA1720" s="147"/>
      <c r="AC1720" s="145" t="s">
        <v>1017</v>
      </c>
      <c r="AD1720" s="147"/>
      <c r="AE1720" s="148" t="s">
        <v>1017</v>
      </c>
      <c r="AF1720" s="147"/>
      <c r="AG1720" s="147"/>
      <c r="AH1720" s="171" t="s">
        <v>4178</v>
      </c>
      <c r="AI1720" s="168" t="str">
        <f t="shared" si="720"/>
        <v/>
      </c>
      <c r="AJ1720" s="168" t="str">
        <f t="shared" si="721"/>
        <v/>
      </c>
      <c r="AK1720" s="168" t="str">
        <f t="shared" si="722"/>
        <v/>
      </c>
      <c r="AL1720" s="168" t="str">
        <f t="shared" si="723"/>
        <v/>
      </c>
      <c r="AM1720" s="168" t="str">
        <f t="shared" si="724"/>
        <v/>
      </c>
      <c r="AN1720" s="167" t="str">
        <f t="shared" si="707"/>
        <v>2012</v>
      </c>
      <c r="AO1720" s="167" t="str">
        <f t="shared" si="708"/>
        <v>2012</v>
      </c>
      <c r="AP1720" s="167" t="str">
        <f t="shared" si="709"/>
        <v>2012</v>
      </c>
      <c r="AQ1720" s="169" t="str">
        <f t="shared" si="710"/>
        <v/>
      </c>
      <c r="AR1720" s="170" t="str">
        <f t="shared" si="711"/>
        <v>BiK81X1bK12-07</v>
      </c>
      <c r="AS1720" s="169" t="str">
        <f t="shared" si="712"/>
        <v/>
      </c>
      <c r="AT1720">
        <f t="shared" si="713"/>
        <v>14</v>
      </c>
      <c r="AU1720" s="170" t="str">
        <f t="shared" si="714"/>
        <v>0-0,15 MW, Bonusregeln X1, b und K erstmals 2012</v>
      </c>
      <c r="AV1720" s="169" t="str">
        <f t="shared" si="715"/>
        <v/>
      </c>
      <c r="AW1720" s="170" t="str">
        <f t="shared" si="716"/>
        <v>Anteil KWK, erstmals 2012</v>
      </c>
      <c r="AX1720" s="169" t="str">
        <f t="shared" si="717"/>
        <v/>
      </c>
      <c r="AY1720" t="str">
        <f t="shared" si="718"/>
        <v/>
      </c>
      <c r="AZ1720" t="str">
        <f t="shared" si="719"/>
        <v>x</v>
      </c>
    </row>
    <row r="1721" spans="1:52" s="145" customFormat="1" x14ac:dyDescent="0.35">
      <c r="A1721" s="497" t="s">
        <v>2097</v>
      </c>
      <c r="B1721" s="13" t="s">
        <v>5547</v>
      </c>
      <c r="C1721" s="13" t="s">
        <v>1304</v>
      </c>
      <c r="D1721" s="13" t="s">
        <v>6979</v>
      </c>
      <c r="E1721" s="13" t="s">
        <v>4809</v>
      </c>
      <c r="F1721" s="373">
        <f t="shared" si="726"/>
        <v>27.67</v>
      </c>
      <c r="G1721" s="430">
        <v>27.67</v>
      </c>
      <c r="H1721" s="399">
        <f t="shared" si="727"/>
        <v>22.14</v>
      </c>
      <c r="I1721" s="576"/>
      <c r="J1721" s="549" t="s">
        <v>5804</v>
      </c>
      <c r="K1721" s="11"/>
      <c r="L1721"/>
      <c r="M1721" s="37">
        <f t="shared" si="728"/>
        <v>27.67</v>
      </c>
      <c r="N1721" s="29">
        <v>11.67</v>
      </c>
      <c r="O1721" s="149"/>
      <c r="P1721" s="144"/>
      <c r="S1721" s="145" t="s">
        <v>4179</v>
      </c>
      <c r="T1721" s="145" t="s">
        <v>4179</v>
      </c>
      <c r="U1721" s="146" t="s">
        <v>1017</v>
      </c>
      <c r="W1721" s="147"/>
      <c r="X1721" s="147"/>
      <c r="AA1721" s="147"/>
      <c r="AC1721" s="145" t="s">
        <v>1017</v>
      </c>
      <c r="AD1721" s="147"/>
      <c r="AE1721" s="148" t="s">
        <v>1017</v>
      </c>
      <c r="AF1721" s="147"/>
      <c r="AG1721" s="147"/>
      <c r="AH1721" s="166" t="str">
        <f t="shared" ref="AH1721:AH1726" si="733">IF(ISERROR(SEARCH("K erstmals 201",D1721)),"",RIGHT(D1721,4))</f>
        <v/>
      </c>
      <c r="AI1721" s="168" t="str">
        <f t="shared" si="720"/>
        <v/>
      </c>
      <c r="AJ1721" s="168" t="str">
        <f t="shared" si="721"/>
        <v/>
      </c>
      <c r="AK1721" s="168" t="str">
        <f t="shared" si="722"/>
        <v/>
      </c>
      <c r="AL1721" s="168" t="str">
        <f t="shared" si="723"/>
        <v/>
      </c>
      <c r="AM1721" s="168" t="str">
        <f t="shared" si="724"/>
        <v/>
      </c>
      <c r="AN1721" s="167" t="str">
        <f t="shared" si="707"/>
        <v/>
      </c>
      <c r="AO1721" s="167" t="str">
        <f t="shared" si="708"/>
        <v/>
      </c>
      <c r="AP1721" s="167" t="str">
        <f t="shared" si="709"/>
        <v/>
      </c>
      <c r="AQ1721" s="169" t="str">
        <f t="shared" si="710"/>
        <v/>
      </c>
      <c r="AR1721" s="170" t="str">
        <f t="shared" si="711"/>
        <v>BiK81X1by---07</v>
      </c>
      <c r="AS1721" s="169" t="str">
        <f t="shared" si="712"/>
        <v/>
      </c>
      <c r="AT1721">
        <f t="shared" si="713"/>
        <v>14</v>
      </c>
      <c r="AU1721" s="170" t="str">
        <f t="shared" si="714"/>
        <v>0-0,15 MW, Bonusregeln X1, y, b</v>
      </c>
      <c r="AV1721" s="169" t="str">
        <f t="shared" si="715"/>
        <v/>
      </c>
      <c r="AW1721" s="170" t="str">
        <f t="shared" si="716"/>
        <v>Anteil Nicht-KWK</v>
      </c>
      <c r="AX1721" s="169" t="str">
        <f t="shared" si="717"/>
        <v/>
      </c>
      <c r="AY1721" t="str">
        <f t="shared" si="718"/>
        <v/>
      </c>
      <c r="AZ1721" t="str">
        <f t="shared" si="719"/>
        <v/>
      </c>
    </row>
    <row r="1722" spans="1:52" s="145" customFormat="1" x14ac:dyDescent="0.35">
      <c r="A1722" s="497" t="s">
        <v>2098</v>
      </c>
      <c r="B1722" s="13" t="s">
        <v>5547</v>
      </c>
      <c r="C1722" s="13" t="s">
        <v>1304</v>
      </c>
      <c r="D1722" s="13" t="s">
        <v>6980</v>
      </c>
      <c r="E1722" s="13" t="s">
        <v>4811</v>
      </c>
      <c r="F1722" s="373">
        <f t="shared" si="726"/>
        <v>29.67</v>
      </c>
      <c r="G1722" s="430">
        <v>29.67</v>
      </c>
      <c r="H1722" s="399">
        <f t="shared" si="727"/>
        <v>23.74</v>
      </c>
      <c r="I1722" s="576"/>
      <c r="J1722" s="549" t="s">
        <v>5804</v>
      </c>
      <c r="K1722" s="11"/>
      <c r="L1722"/>
      <c r="M1722" s="37">
        <f t="shared" si="728"/>
        <v>29.67</v>
      </c>
      <c r="N1722" s="29">
        <v>11.67</v>
      </c>
      <c r="O1722" s="149" t="s">
        <v>1017</v>
      </c>
      <c r="P1722" s="144"/>
      <c r="S1722" s="145" t="s">
        <v>4179</v>
      </c>
      <c r="T1722" s="145" t="s">
        <v>4179</v>
      </c>
      <c r="U1722" s="146" t="s">
        <v>1017</v>
      </c>
      <c r="W1722" s="147"/>
      <c r="X1722" s="147"/>
      <c r="AA1722" s="147"/>
      <c r="AC1722" s="145" t="s">
        <v>1017</v>
      </c>
      <c r="AD1722" s="147"/>
      <c r="AE1722" s="148" t="s">
        <v>1017</v>
      </c>
      <c r="AF1722" s="147"/>
      <c r="AG1722" s="147"/>
      <c r="AH1722" s="166" t="str">
        <f t="shared" si="733"/>
        <v/>
      </c>
      <c r="AI1722" s="168" t="str">
        <f t="shared" si="720"/>
        <v/>
      </c>
      <c r="AJ1722" s="168" t="str">
        <f t="shared" si="721"/>
        <v/>
      </c>
      <c r="AK1722" s="168" t="str">
        <f t="shared" si="722"/>
        <v/>
      </c>
      <c r="AL1722" s="168" t="str">
        <f t="shared" si="723"/>
        <v/>
      </c>
      <c r="AM1722" s="168" t="str">
        <f t="shared" si="724"/>
        <v/>
      </c>
      <c r="AN1722" s="167" t="str">
        <f t="shared" si="707"/>
        <v/>
      </c>
      <c r="AO1722" s="167" t="str">
        <f t="shared" si="708"/>
        <v/>
      </c>
      <c r="AP1722" s="167" t="str">
        <f t="shared" si="709"/>
        <v/>
      </c>
      <c r="AQ1722" s="169" t="str">
        <f t="shared" si="710"/>
        <v/>
      </c>
      <c r="AR1722" s="170" t="str">
        <f t="shared" si="711"/>
        <v>BiK81X1bKWKy07</v>
      </c>
      <c r="AS1722" s="169" t="str">
        <f t="shared" si="712"/>
        <v/>
      </c>
      <c r="AT1722">
        <f t="shared" si="713"/>
        <v>14</v>
      </c>
      <c r="AU1722" s="170" t="str">
        <f t="shared" si="714"/>
        <v>0-0,15 MW, Bonusregeln X1, y, b und KWK</v>
      </c>
      <c r="AV1722" s="169" t="str">
        <f t="shared" si="715"/>
        <v/>
      </c>
      <c r="AW1722" s="170" t="str">
        <f t="shared" si="716"/>
        <v>Anteil KWK</v>
      </c>
      <c r="AX1722" s="169" t="str">
        <f t="shared" si="717"/>
        <v/>
      </c>
      <c r="AY1722" t="str">
        <f t="shared" si="718"/>
        <v/>
      </c>
      <c r="AZ1722" t="str">
        <f t="shared" si="719"/>
        <v/>
      </c>
    </row>
    <row r="1723" spans="1:52" s="145" customFormat="1" x14ac:dyDescent="0.35">
      <c r="A1723" s="497" t="s">
        <v>2099</v>
      </c>
      <c r="B1723" s="13" t="s">
        <v>5547</v>
      </c>
      <c r="C1723" s="13" t="s">
        <v>1304</v>
      </c>
      <c r="D1723" s="88" t="s">
        <v>6981</v>
      </c>
      <c r="E1723" s="13" t="s">
        <v>4330</v>
      </c>
      <c r="F1723" s="373">
        <f t="shared" si="726"/>
        <v>30.67</v>
      </c>
      <c r="G1723" s="430">
        <v>30.67</v>
      </c>
      <c r="H1723" s="399">
        <f t="shared" si="727"/>
        <v>24.54</v>
      </c>
      <c r="I1723" s="576"/>
      <c r="J1723" s="549" t="s">
        <v>5804</v>
      </c>
      <c r="K1723" s="11"/>
      <c r="L1723"/>
      <c r="M1723" s="37">
        <f t="shared" si="728"/>
        <v>30.67</v>
      </c>
      <c r="N1723" s="29">
        <v>11.67</v>
      </c>
      <c r="O1723" s="149"/>
      <c r="P1723" s="145" t="s">
        <v>1017</v>
      </c>
      <c r="S1723" s="145" t="s">
        <v>4179</v>
      </c>
      <c r="T1723" s="145" t="s">
        <v>4179</v>
      </c>
      <c r="U1723" s="146" t="s">
        <v>1017</v>
      </c>
      <c r="W1723" s="147"/>
      <c r="X1723" s="147"/>
      <c r="AA1723" s="147"/>
      <c r="AC1723" s="145" t="s">
        <v>1017</v>
      </c>
      <c r="AD1723" s="147"/>
      <c r="AE1723" s="148" t="s">
        <v>1017</v>
      </c>
      <c r="AF1723" s="147"/>
      <c r="AG1723" s="147"/>
      <c r="AH1723" s="166" t="str">
        <f t="shared" si="733"/>
        <v/>
      </c>
      <c r="AI1723" s="168" t="str">
        <f t="shared" si="720"/>
        <v/>
      </c>
      <c r="AJ1723" s="168" t="str">
        <f t="shared" si="721"/>
        <v/>
      </c>
      <c r="AK1723" s="168" t="str">
        <f t="shared" si="722"/>
        <v/>
      </c>
      <c r="AL1723" s="168" t="str">
        <f t="shared" si="723"/>
        <v/>
      </c>
      <c r="AM1723" s="168" t="str">
        <f t="shared" si="724"/>
        <v/>
      </c>
      <c r="AN1723" s="167" t="str">
        <f t="shared" si="707"/>
        <v/>
      </c>
      <c r="AO1723" s="167" t="str">
        <f t="shared" si="708"/>
        <v/>
      </c>
      <c r="AP1723" s="167" t="str">
        <f t="shared" si="709"/>
        <v/>
      </c>
      <c r="AQ1723" s="169" t="str">
        <f t="shared" si="710"/>
        <v/>
      </c>
      <c r="AR1723" s="170" t="str">
        <f t="shared" si="711"/>
        <v>BiK81X1bKA3y07</v>
      </c>
      <c r="AS1723" s="169" t="str">
        <f t="shared" si="712"/>
        <v/>
      </c>
      <c r="AT1723">
        <f t="shared" si="713"/>
        <v>14</v>
      </c>
      <c r="AU1723" s="170" t="str">
        <f t="shared" si="714"/>
        <v>0-0,15 MW, Bonusregeln X1, y, b und K wenn Anlage 3 erfüllt</v>
      </c>
      <c r="AV1723" s="169" t="str">
        <f t="shared" si="715"/>
        <v/>
      </c>
      <c r="AW1723" s="170" t="str">
        <f t="shared" si="716"/>
        <v>Anteil KWK gemäß Anlage 3</v>
      </c>
      <c r="AX1723" s="169" t="str">
        <f t="shared" si="717"/>
        <v/>
      </c>
      <c r="AY1723" t="str">
        <f t="shared" si="718"/>
        <v/>
      </c>
      <c r="AZ1723" t="str">
        <f t="shared" si="719"/>
        <v/>
      </c>
    </row>
    <row r="1724" spans="1:52" s="145" customFormat="1" x14ac:dyDescent="0.35">
      <c r="A1724" s="497" t="s">
        <v>2100</v>
      </c>
      <c r="B1724" s="13" t="s">
        <v>5547</v>
      </c>
      <c r="C1724" s="13" t="s">
        <v>1304</v>
      </c>
      <c r="D1724" s="13" t="s">
        <v>6982</v>
      </c>
      <c r="E1724" s="13" t="s">
        <v>674</v>
      </c>
      <c r="F1724" s="373">
        <f t="shared" si="726"/>
        <v>30.67</v>
      </c>
      <c r="G1724" s="430">
        <v>30.67</v>
      </c>
      <c r="H1724" s="399">
        <f t="shared" si="727"/>
        <v>24.54</v>
      </c>
      <c r="I1724" s="576"/>
      <c r="J1724" s="549" t="s">
        <v>5804</v>
      </c>
      <c r="K1724" s="11"/>
      <c r="L1724"/>
      <c r="M1724" s="37">
        <f t="shared" si="728"/>
        <v>30.67</v>
      </c>
      <c r="N1724" s="29">
        <v>11.67</v>
      </c>
      <c r="O1724" s="149"/>
      <c r="P1724" s="144"/>
      <c r="Q1724" s="145" t="s">
        <v>1017</v>
      </c>
      <c r="S1724" s="145" t="s">
        <v>4179</v>
      </c>
      <c r="T1724" s="145" t="s">
        <v>4179</v>
      </c>
      <c r="U1724" s="146" t="s">
        <v>1017</v>
      </c>
      <c r="W1724" s="147"/>
      <c r="X1724" s="147"/>
      <c r="AA1724" s="147"/>
      <c r="AC1724" s="145" t="s">
        <v>1017</v>
      </c>
      <c r="AD1724" s="147"/>
      <c r="AE1724" s="148" t="s">
        <v>1017</v>
      </c>
      <c r="AF1724" s="147"/>
      <c r="AG1724" s="147"/>
      <c r="AH1724" s="166" t="str">
        <f t="shared" si="733"/>
        <v/>
      </c>
      <c r="AI1724" s="168" t="str">
        <f t="shared" si="720"/>
        <v/>
      </c>
      <c r="AJ1724" s="168" t="str">
        <f t="shared" si="721"/>
        <v/>
      </c>
      <c r="AK1724" s="168" t="str">
        <f t="shared" si="722"/>
        <v/>
      </c>
      <c r="AL1724" s="168" t="str">
        <f t="shared" si="723"/>
        <v/>
      </c>
      <c r="AM1724" s="168" t="str">
        <f t="shared" si="724"/>
        <v/>
      </c>
      <c r="AN1724" s="167" t="str">
        <f t="shared" si="707"/>
        <v/>
      </c>
      <c r="AO1724" s="167" t="str">
        <f t="shared" si="708"/>
        <v/>
      </c>
      <c r="AP1724" s="167" t="str">
        <f t="shared" si="709"/>
        <v/>
      </c>
      <c r="AQ1724" s="169" t="str">
        <f t="shared" si="710"/>
        <v/>
      </c>
      <c r="AR1724" s="170" t="str">
        <f t="shared" si="711"/>
        <v>BiK81X1bK09y07</v>
      </c>
      <c r="AS1724" s="169" t="str">
        <f t="shared" si="712"/>
        <v/>
      </c>
      <c r="AT1724">
        <f t="shared" si="713"/>
        <v>14</v>
      </c>
      <c r="AU1724" s="170" t="str">
        <f t="shared" si="714"/>
        <v>0-0,15 MW, Bonusregeln X1, y, b und K erstmals 2009</v>
      </c>
      <c r="AV1724" s="169" t="str">
        <f t="shared" si="715"/>
        <v/>
      </c>
      <c r="AW1724" s="170" t="str">
        <f t="shared" si="716"/>
        <v>Anteil KWK, erstmals 2009</v>
      </c>
      <c r="AX1724" s="169" t="str">
        <f t="shared" si="717"/>
        <v/>
      </c>
      <c r="AY1724" t="str">
        <f t="shared" si="718"/>
        <v/>
      </c>
      <c r="AZ1724" t="str">
        <f t="shared" si="719"/>
        <v/>
      </c>
    </row>
    <row r="1725" spans="1:52" s="145" customFormat="1" x14ac:dyDescent="0.35">
      <c r="A1725" s="497" t="s">
        <v>4963</v>
      </c>
      <c r="B1725" s="13" t="s">
        <v>5547</v>
      </c>
      <c r="C1725" s="13" t="s">
        <v>1304</v>
      </c>
      <c r="D1725" s="13" t="s">
        <v>6983</v>
      </c>
      <c r="E1725" s="13" t="s">
        <v>3566</v>
      </c>
      <c r="F1725" s="373">
        <f t="shared" si="726"/>
        <v>30.64</v>
      </c>
      <c r="G1725" s="430">
        <v>30.64</v>
      </c>
      <c r="H1725" s="399">
        <f t="shared" si="727"/>
        <v>24.51</v>
      </c>
      <c r="I1725" s="576"/>
      <c r="J1725" s="549" t="s">
        <v>5804</v>
      </c>
      <c r="K1725" s="11"/>
      <c r="L1725"/>
      <c r="M1725" s="37">
        <f t="shared" si="728"/>
        <v>30.64</v>
      </c>
      <c r="N1725" s="29">
        <v>11.67</v>
      </c>
      <c r="O1725" s="149"/>
      <c r="P1725" s="144"/>
      <c r="R1725" s="145" t="s">
        <v>1017</v>
      </c>
      <c r="S1725" s="145" t="s">
        <v>4179</v>
      </c>
      <c r="T1725" s="145" t="s">
        <v>4179</v>
      </c>
      <c r="U1725" s="146" t="s">
        <v>1017</v>
      </c>
      <c r="W1725" s="147"/>
      <c r="X1725" s="147"/>
      <c r="AA1725" s="147"/>
      <c r="AC1725" s="145" t="s">
        <v>1017</v>
      </c>
      <c r="AD1725" s="147"/>
      <c r="AE1725" s="148" t="s">
        <v>1017</v>
      </c>
      <c r="AF1725" s="147"/>
      <c r="AG1725" s="147"/>
      <c r="AH1725" s="166" t="str">
        <f t="shared" si="733"/>
        <v>2010</v>
      </c>
      <c r="AI1725" s="168" t="str">
        <f t="shared" si="720"/>
        <v/>
      </c>
      <c r="AJ1725" s="168" t="str">
        <f t="shared" si="721"/>
        <v/>
      </c>
      <c r="AK1725" s="168" t="str">
        <f t="shared" si="722"/>
        <v/>
      </c>
      <c r="AL1725" s="168" t="str">
        <f t="shared" si="723"/>
        <v/>
      </c>
      <c r="AM1725" s="168" t="str">
        <f t="shared" si="724"/>
        <v/>
      </c>
      <c r="AN1725" s="167" t="str">
        <f t="shared" si="707"/>
        <v>2010</v>
      </c>
      <c r="AO1725" s="167" t="str">
        <f t="shared" si="708"/>
        <v>2010</v>
      </c>
      <c r="AP1725" s="167" t="str">
        <f t="shared" si="709"/>
        <v>2010</v>
      </c>
      <c r="AQ1725" s="169" t="str">
        <f t="shared" si="710"/>
        <v/>
      </c>
      <c r="AR1725" s="170" t="str">
        <f t="shared" si="711"/>
        <v>BiK81X1bK10y07</v>
      </c>
      <c r="AS1725" s="169" t="str">
        <f t="shared" si="712"/>
        <v/>
      </c>
      <c r="AT1725">
        <f t="shared" si="713"/>
        <v>14</v>
      </c>
      <c r="AU1725" s="170" t="str">
        <f t="shared" si="714"/>
        <v>0-0,15 MW, Bonusregeln X1, y, b und K erstmals 2010</v>
      </c>
      <c r="AV1725" s="169" t="str">
        <f t="shared" si="715"/>
        <v/>
      </c>
      <c r="AW1725" s="170" t="str">
        <f t="shared" si="716"/>
        <v>Anteil KWK, erstmals 2010</v>
      </c>
      <c r="AX1725" s="169" t="str">
        <f t="shared" si="717"/>
        <v/>
      </c>
      <c r="AY1725" t="str">
        <f t="shared" si="718"/>
        <v/>
      </c>
      <c r="AZ1725" t="str">
        <f t="shared" si="719"/>
        <v/>
      </c>
    </row>
    <row r="1726" spans="1:52" s="145" customFormat="1" x14ac:dyDescent="0.35">
      <c r="A1726" s="497" t="s">
        <v>3400</v>
      </c>
      <c r="B1726" s="13" t="s">
        <v>5547</v>
      </c>
      <c r="C1726" s="13" t="s">
        <v>1304</v>
      </c>
      <c r="D1726" s="13" t="s">
        <v>6984</v>
      </c>
      <c r="E1726" s="13" t="s">
        <v>3054</v>
      </c>
      <c r="F1726" s="373">
        <f t="shared" si="726"/>
        <v>30.61</v>
      </c>
      <c r="G1726" s="430">
        <v>30.61</v>
      </c>
      <c r="H1726" s="399">
        <f t="shared" si="727"/>
        <v>24.49</v>
      </c>
      <c r="I1726" s="576"/>
      <c r="J1726" s="549" t="s">
        <v>5804</v>
      </c>
      <c r="K1726" s="11"/>
      <c r="L1726"/>
      <c r="M1726" s="37">
        <f t="shared" si="728"/>
        <v>30.61</v>
      </c>
      <c r="N1726" s="29">
        <v>11.67</v>
      </c>
      <c r="O1726" s="149"/>
      <c r="P1726" s="144"/>
      <c r="S1726" s="145" t="s">
        <v>1017</v>
      </c>
      <c r="T1726" s="145" t="s">
        <v>4179</v>
      </c>
      <c r="U1726" s="146" t="s">
        <v>1017</v>
      </c>
      <c r="W1726" s="147"/>
      <c r="X1726" s="147"/>
      <c r="AA1726" s="147"/>
      <c r="AC1726" s="145" t="s">
        <v>1017</v>
      </c>
      <c r="AD1726" s="147"/>
      <c r="AE1726" s="148" t="s">
        <v>1017</v>
      </c>
      <c r="AF1726" s="147"/>
      <c r="AG1726" s="147"/>
      <c r="AH1726" s="166" t="str">
        <f t="shared" si="733"/>
        <v>2011</v>
      </c>
      <c r="AI1726" s="168" t="str">
        <f t="shared" si="720"/>
        <v/>
      </c>
      <c r="AJ1726" s="168" t="str">
        <f t="shared" si="721"/>
        <v/>
      </c>
      <c r="AK1726" s="168" t="str">
        <f t="shared" si="722"/>
        <v/>
      </c>
      <c r="AL1726" s="168" t="str">
        <f t="shared" si="723"/>
        <v/>
      </c>
      <c r="AM1726" s="168" t="str">
        <f t="shared" si="724"/>
        <v/>
      </c>
      <c r="AN1726" s="167" t="str">
        <f t="shared" si="707"/>
        <v>2011</v>
      </c>
      <c r="AO1726" s="167" t="str">
        <f t="shared" si="708"/>
        <v>2011</v>
      </c>
      <c r="AP1726" s="167" t="str">
        <f t="shared" si="709"/>
        <v>2011</v>
      </c>
      <c r="AQ1726" s="169" t="str">
        <f t="shared" si="710"/>
        <v/>
      </c>
      <c r="AR1726" s="170" t="str">
        <f t="shared" si="711"/>
        <v>BiK81X1bK11y07</v>
      </c>
      <c r="AS1726" s="169" t="str">
        <f t="shared" si="712"/>
        <v/>
      </c>
      <c r="AT1726">
        <f t="shared" si="713"/>
        <v>14</v>
      </c>
      <c r="AU1726" s="170" t="str">
        <f t="shared" si="714"/>
        <v>0-0,15 MW, Bonusregeln X1, y, b und K erstmals 2011</v>
      </c>
      <c r="AV1726" s="169" t="str">
        <f t="shared" si="715"/>
        <v/>
      </c>
      <c r="AW1726" s="170" t="str">
        <f t="shared" si="716"/>
        <v>Anteil KWK, erstmals 2011</v>
      </c>
      <c r="AX1726" s="169" t="str">
        <f t="shared" si="717"/>
        <v/>
      </c>
      <c r="AY1726" t="str">
        <f t="shared" si="718"/>
        <v>x</v>
      </c>
      <c r="AZ1726" t="str">
        <f t="shared" si="719"/>
        <v/>
      </c>
    </row>
    <row r="1727" spans="1:52" s="145" customFormat="1" x14ac:dyDescent="0.35">
      <c r="A1727" s="511" t="s">
        <v>1833</v>
      </c>
      <c r="B1727" s="173" t="s">
        <v>5547</v>
      </c>
      <c r="C1727" s="173" t="s">
        <v>1304</v>
      </c>
      <c r="D1727" s="173" t="s">
        <v>6985</v>
      </c>
      <c r="E1727" s="173" t="s">
        <v>1980</v>
      </c>
      <c r="F1727" s="374">
        <f t="shared" si="726"/>
        <v>30.58</v>
      </c>
      <c r="G1727" s="431">
        <v>30.58</v>
      </c>
      <c r="H1727" s="400">
        <f t="shared" si="727"/>
        <v>24.46</v>
      </c>
      <c r="I1727" s="577"/>
      <c r="J1727" s="549" t="s">
        <v>5804</v>
      </c>
      <c r="K1727" s="11"/>
      <c r="L1727"/>
      <c r="M1727" s="37">
        <f t="shared" si="728"/>
        <v>30.58</v>
      </c>
      <c r="N1727" s="29">
        <v>11.67</v>
      </c>
      <c r="O1727" s="149"/>
      <c r="P1727" s="144"/>
      <c r="S1727" s="145" t="s">
        <v>4179</v>
      </c>
      <c r="T1727" s="145" t="s">
        <v>1017</v>
      </c>
      <c r="U1727" s="146" t="s">
        <v>1017</v>
      </c>
      <c r="W1727" s="147"/>
      <c r="X1727" s="147"/>
      <c r="AA1727" s="147"/>
      <c r="AC1727" s="145" t="s">
        <v>1017</v>
      </c>
      <c r="AD1727" s="147"/>
      <c r="AE1727" s="148" t="s">
        <v>1017</v>
      </c>
      <c r="AF1727" s="147"/>
      <c r="AG1727" s="147"/>
      <c r="AH1727" s="171" t="s">
        <v>4178</v>
      </c>
      <c r="AI1727" s="168" t="str">
        <f t="shared" si="720"/>
        <v/>
      </c>
      <c r="AJ1727" s="168" t="str">
        <f t="shared" si="721"/>
        <v/>
      </c>
      <c r="AK1727" s="168" t="str">
        <f t="shared" si="722"/>
        <v/>
      </c>
      <c r="AL1727" s="168" t="str">
        <f t="shared" si="723"/>
        <v/>
      </c>
      <c r="AM1727" s="168" t="str">
        <f t="shared" si="724"/>
        <v/>
      </c>
      <c r="AN1727" s="167" t="str">
        <f t="shared" si="707"/>
        <v>2012</v>
      </c>
      <c r="AO1727" s="167" t="str">
        <f t="shared" si="708"/>
        <v>2012</v>
      </c>
      <c r="AP1727" s="167" t="str">
        <f t="shared" si="709"/>
        <v>2012</v>
      </c>
      <c r="AQ1727" s="169" t="str">
        <f t="shared" si="710"/>
        <v/>
      </c>
      <c r="AR1727" s="170" t="str">
        <f t="shared" si="711"/>
        <v>BiK81X1bK12y07</v>
      </c>
      <c r="AS1727" s="169" t="str">
        <f t="shared" si="712"/>
        <v/>
      </c>
      <c r="AT1727">
        <f t="shared" si="713"/>
        <v>14</v>
      </c>
      <c r="AU1727" s="170" t="str">
        <f t="shared" si="714"/>
        <v>0-0,15 MW, Bonusregeln X1, y, b und K erstmals 2012</v>
      </c>
      <c r="AV1727" s="169" t="str">
        <f t="shared" si="715"/>
        <v/>
      </c>
      <c r="AW1727" s="170" t="str">
        <f t="shared" si="716"/>
        <v>Anteil KWK, erstmals 2012</v>
      </c>
      <c r="AX1727" s="169" t="str">
        <f t="shared" si="717"/>
        <v/>
      </c>
      <c r="AY1727" t="str">
        <f t="shared" si="718"/>
        <v/>
      </c>
      <c r="AZ1727" t="str">
        <f t="shared" si="719"/>
        <v>x</v>
      </c>
    </row>
    <row r="1728" spans="1:52" s="145" customFormat="1" x14ac:dyDescent="0.35">
      <c r="A1728" s="496" t="s">
        <v>541</v>
      </c>
      <c r="B1728" s="1" t="s">
        <v>5547</v>
      </c>
      <c r="C1728" s="1" t="s">
        <v>1304</v>
      </c>
      <c r="D1728" s="1" t="s">
        <v>1779</v>
      </c>
      <c r="E1728" s="1" t="s">
        <v>4809</v>
      </c>
      <c r="F1728" s="375">
        <f t="shared" si="726"/>
        <v>9.4600000000000009</v>
      </c>
      <c r="G1728" s="432">
        <v>9.4600000000000009</v>
      </c>
      <c r="H1728" s="401">
        <f t="shared" si="727"/>
        <v>7.57</v>
      </c>
      <c r="I1728" s="578"/>
      <c r="J1728" s="549" t="s">
        <v>5804</v>
      </c>
      <c r="K1728" s="11"/>
      <c r="L1728"/>
      <c r="M1728" s="37">
        <f t="shared" si="728"/>
        <v>9.4600000000000009</v>
      </c>
      <c r="N1728" s="29">
        <v>9.4600000000000009</v>
      </c>
      <c r="O1728" s="41"/>
      <c r="P1728" s="11"/>
      <c r="Q1728"/>
      <c r="R1728"/>
      <c r="S1728" t="s">
        <v>4179</v>
      </c>
      <c r="T1728" s="145" t="s">
        <v>4179</v>
      </c>
      <c r="U1728" s="42"/>
      <c r="V1728"/>
      <c r="W1728" s="50"/>
      <c r="X1728" s="50"/>
      <c r="Y1728"/>
      <c r="Z1728" s="50"/>
      <c r="AA1728"/>
      <c r="AB1728"/>
      <c r="AC1728" s="50"/>
      <c r="AD1728"/>
      <c r="AE1728" s="75"/>
      <c r="AF1728" s="50"/>
      <c r="AG1728" s="50"/>
      <c r="AH1728" s="166" t="str">
        <f t="shared" ref="AH1728:AH1733" si="734">IF(ISERROR(SEARCH("K erstmals 201",D1728)),"",RIGHT(D1728,4))</f>
        <v/>
      </c>
      <c r="AI1728" s="168" t="str">
        <f t="shared" si="720"/>
        <v/>
      </c>
      <c r="AJ1728" s="168" t="str">
        <f t="shared" si="721"/>
        <v/>
      </c>
      <c r="AK1728" s="168" t="str">
        <f t="shared" si="722"/>
        <v/>
      </c>
      <c r="AL1728" s="168" t="str">
        <f t="shared" si="723"/>
        <v/>
      </c>
      <c r="AM1728" s="168" t="str">
        <f t="shared" si="724"/>
        <v/>
      </c>
      <c r="AN1728" s="167" t="str">
        <f t="shared" si="707"/>
        <v/>
      </c>
      <c r="AO1728" s="167" t="str">
        <f t="shared" si="708"/>
        <v/>
      </c>
      <c r="AP1728" s="167" t="str">
        <f t="shared" si="709"/>
        <v/>
      </c>
      <c r="AQ1728" s="169" t="str">
        <f t="shared" si="710"/>
        <v/>
      </c>
      <c r="AR1728" s="170" t="str">
        <f t="shared" si="711"/>
        <v>BiK82-------07</v>
      </c>
      <c r="AS1728" s="169" t="str">
        <f t="shared" si="712"/>
        <v/>
      </c>
      <c r="AT1728">
        <f t="shared" si="713"/>
        <v>14</v>
      </c>
      <c r="AU1728" s="170" t="str">
        <f t="shared" si="714"/>
        <v>0,15-0,5 MW</v>
      </c>
      <c r="AV1728" s="169" t="str">
        <f t="shared" si="715"/>
        <v/>
      </c>
      <c r="AW1728" s="170" t="str">
        <f t="shared" si="716"/>
        <v>Anteil Nicht-KWK</v>
      </c>
      <c r="AX1728" s="169" t="str">
        <f t="shared" si="717"/>
        <v/>
      </c>
      <c r="AY1728" t="str">
        <f t="shared" si="718"/>
        <v/>
      </c>
      <c r="AZ1728" t="str">
        <f t="shared" si="719"/>
        <v/>
      </c>
    </row>
    <row r="1729" spans="1:52" s="145" customFormat="1" x14ac:dyDescent="0.35">
      <c r="A1729" s="496" t="s">
        <v>542</v>
      </c>
      <c r="B1729" s="1" t="s">
        <v>5547</v>
      </c>
      <c r="C1729" s="1" t="s">
        <v>1304</v>
      </c>
      <c r="D1729" s="1" t="s">
        <v>7086</v>
      </c>
      <c r="E1729" s="1" t="s">
        <v>4811</v>
      </c>
      <c r="F1729" s="375">
        <f t="shared" si="726"/>
        <v>11.46</v>
      </c>
      <c r="G1729" s="432">
        <v>11.46</v>
      </c>
      <c r="H1729" s="401">
        <f t="shared" si="727"/>
        <v>9.17</v>
      </c>
      <c r="I1729" s="578"/>
      <c r="J1729" s="549" t="s">
        <v>5804</v>
      </c>
      <c r="K1729" s="11"/>
      <c r="L1729"/>
      <c r="M1729" s="37">
        <f t="shared" si="728"/>
        <v>11.46</v>
      </c>
      <c r="N1729" s="29">
        <v>9.4600000000000009</v>
      </c>
      <c r="O1729" s="41" t="s">
        <v>1017</v>
      </c>
      <c r="P1729" s="11"/>
      <c r="Q1729"/>
      <c r="R1729"/>
      <c r="S1729" t="s">
        <v>4179</v>
      </c>
      <c r="T1729" s="145" t="s">
        <v>4179</v>
      </c>
      <c r="U1729" s="42"/>
      <c r="V1729"/>
      <c r="W1729" s="50"/>
      <c r="X1729" s="50"/>
      <c r="Y1729"/>
      <c r="Z1729" s="50"/>
      <c r="AA1729"/>
      <c r="AB1729"/>
      <c r="AC1729" s="50"/>
      <c r="AD1729"/>
      <c r="AE1729" s="75"/>
      <c r="AF1729" s="50"/>
      <c r="AG1729" s="50"/>
      <c r="AH1729" s="166" t="str">
        <f t="shared" si="734"/>
        <v/>
      </c>
      <c r="AI1729" s="168" t="str">
        <f t="shared" si="720"/>
        <v/>
      </c>
      <c r="AJ1729" s="168" t="str">
        <f t="shared" si="721"/>
        <v/>
      </c>
      <c r="AK1729" s="168" t="str">
        <f t="shared" si="722"/>
        <v/>
      </c>
      <c r="AL1729" s="168" t="str">
        <f t="shared" si="723"/>
        <v/>
      </c>
      <c r="AM1729" s="168" t="str">
        <f t="shared" si="724"/>
        <v/>
      </c>
      <c r="AN1729" s="167" t="str">
        <f t="shared" si="707"/>
        <v/>
      </c>
      <c r="AO1729" s="167" t="str">
        <f t="shared" si="708"/>
        <v/>
      </c>
      <c r="AP1729" s="167" t="str">
        <f t="shared" si="709"/>
        <v/>
      </c>
      <c r="AQ1729" s="169" t="str">
        <f t="shared" si="710"/>
        <v/>
      </c>
      <c r="AR1729" s="170" t="str">
        <f t="shared" si="711"/>
        <v>BiK82KWK----07</v>
      </c>
      <c r="AS1729" s="169" t="str">
        <f t="shared" si="712"/>
        <v/>
      </c>
      <c r="AT1729">
        <f t="shared" si="713"/>
        <v>14</v>
      </c>
      <c r="AU1729" s="170" t="str">
        <f t="shared" si="714"/>
        <v>0,15-0,5 MW, Bonusregel KWK</v>
      </c>
      <c r="AV1729" s="169" t="str">
        <f t="shared" si="715"/>
        <v/>
      </c>
      <c r="AW1729" s="170" t="str">
        <f t="shared" si="716"/>
        <v>Anteil KWK</v>
      </c>
      <c r="AX1729" s="169" t="str">
        <f t="shared" si="717"/>
        <v/>
      </c>
      <c r="AY1729" t="str">
        <f t="shared" si="718"/>
        <v/>
      </c>
      <c r="AZ1729" t="str">
        <f t="shared" si="719"/>
        <v/>
      </c>
    </row>
    <row r="1730" spans="1:52" s="145" customFormat="1" x14ac:dyDescent="0.35">
      <c r="A1730" s="497" t="s">
        <v>4361</v>
      </c>
      <c r="B1730" s="13" t="s">
        <v>5547</v>
      </c>
      <c r="C1730" s="13" t="s">
        <v>1304</v>
      </c>
      <c r="D1730" s="13" t="s">
        <v>7087</v>
      </c>
      <c r="E1730" s="13" t="s">
        <v>4330</v>
      </c>
      <c r="F1730" s="373">
        <f t="shared" si="726"/>
        <v>12.46</v>
      </c>
      <c r="G1730" s="430">
        <v>12.46</v>
      </c>
      <c r="H1730" s="399">
        <f t="shared" si="727"/>
        <v>9.9700000000000006</v>
      </c>
      <c r="I1730" s="576"/>
      <c r="J1730" s="549" t="s">
        <v>5804</v>
      </c>
      <c r="K1730" s="11"/>
      <c r="L1730"/>
      <c r="M1730" s="37">
        <f t="shared" si="728"/>
        <v>12.46</v>
      </c>
      <c r="N1730" s="29">
        <v>9.4600000000000009</v>
      </c>
      <c r="O1730" s="41"/>
      <c r="P1730" t="s">
        <v>1017</v>
      </c>
      <c r="Q1730"/>
      <c r="R1730"/>
      <c r="S1730" t="s">
        <v>4179</v>
      </c>
      <c r="T1730" s="145" t="s">
        <v>4179</v>
      </c>
      <c r="U1730" s="42"/>
      <c r="V1730"/>
      <c r="W1730" s="50"/>
      <c r="X1730" s="50"/>
      <c r="Y1730"/>
      <c r="Z1730" s="50"/>
      <c r="AA1730"/>
      <c r="AB1730"/>
      <c r="AC1730" s="50"/>
      <c r="AD1730"/>
      <c r="AE1730" s="75"/>
      <c r="AF1730" s="50"/>
      <c r="AG1730" s="50"/>
      <c r="AH1730" s="166" t="str">
        <f t="shared" si="734"/>
        <v/>
      </c>
      <c r="AI1730" s="168" t="str">
        <f t="shared" si="720"/>
        <v/>
      </c>
      <c r="AJ1730" s="168" t="str">
        <f t="shared" si="721"/>
        <v/>
      </c>
      <c r="AK1730" s="168" t="str">
        <f t="shared" si="722"/>
        <v/>
      </c>
      <c r="AL1730" s="168" t="str">
        <f t="shared" si="723"/>
        <v/>
      </c>
      <c r="AM1730" s="168" t="str">
        <f t="shared" si="724"/>
        <v/>
      </c>
      <c r="AN1730" s="167" t="str">
        <f t="shared" si="707"/>
        <v/>
      </c>
      <c r="AO1730" s="167" t="str">
        <f t="shared" si="708"/>
        <v/>
      </c>
      <c r="AP1730" s="167" t="str">
        <f t="shared" si="709"/>
        <v/>
      </c>
      <c r="AQ1730" s="169" t="str">
        <f t="shared" si="710"/>
        <v/>
      </c>
      <c r="AR1730" s="170" t="str">
        <f t="shared" si="711"/>
        <v>BiK82KA3----07</v>
      </c>
      <c r="AS1730" s="169" t="str">
        <f t="shared" si="712"/>
        <v/>
      </c>
      <c r="AT1730">
        <f t="shared" si="713"/>
        <v>14</v>
      </c>
      <c r="AU1730" s="170" t="str">
        <f t="shared" si="714"/>
        <v>0,15-0,5 MW, Bonusregel K wenn Anlage 3 erfüllt</v>
      </c>
      <c r="AV1730" s="169" t="str">
        <f t="shared" si="715"/>
        <v/>
      </c>
      <c r="AW1730" s="170" t="str">
        <f t="shared" si="716"/>
        <v>Anteil KWK gemäß Anlage 3</v>
      </c>
      <c r="AX1730" s="169" t="str">
        <f t="shared" si="717"/>
        <v/>
      </c>
      <c r="AY1730" t="str">
        <f t="shared" si="718"/>
        <v/>
      </c>
      <c r="AZ1730" t="str">
        <f t="shared" si="719"/>
        <v/>
      </c>
    </row>
    <row r="1731" spans="1:52" s="145" customFormat="1" x14ac:dyDescent="0.35">
      <c r="A1731" s="497" t="s">
        <v>890</v>
      </c>
      <c r="B1731" s="13" t="s">
        <v>5547</v>
      </c>
      <c r="C1731" s="13" t="s">
        <v>1304</v>
      </c>
      <c r="D1731" s="13" t="s">
        <v>7088</v>
      </c>
      <c r="E1731" s="13" t="s">
        <v>674</v>
      </c>
      <c r="F1731" s="373">
        <f t="shared" si="726"/>
        <v>12.46</v>
      </c>
      <c r="G1731" s="430">
        <v>12.46</v>
      </c>
      <c r="H1731" s="399">
        <f t="shared" si="727"/>
        <v>9.9700000000000006</v>
      </c>
      <c r="I1731" s="576"/>
      <c r="J1731" s="549" t="s">
        <v>5804</v>
      </c>
      <c r="K1731" s="11"/>
      <c r="L1731"/>
      <c r="M1731" s="37">
        <f t="shared" si="728"/>
        <v>12.46</v>
      </c>
      <c r="N1731" s="29">
        <v>9.4600000000000009</v>
      </c>
      <c r="O1731" s="41"/>
      <c r="P1731" s="11"/>
      <c r="Q1731" t="s">
        <v>1017</v>
      </c>
      <c r="R1731"/>
      <c r="S1731" t="s">
        <v>4179</v>
      </c>
      <c r="T1731" s="145" t="s">
        <v>4179</v>
      </c>
      <c r="U1731" s="42"/>
      <c r="V1731"/>
      <c r="W1731" s="50"/>
      <c r="X1731" s="50"/>
      <c r="Y1731"/>
      <c r="Z1731" s="50"/>
      <c r="AA1731"/>
      <c r="AB1731"/>
      <c r="AC1731" s="50"/>
      <c r="AD1731"/>
      <c r="AE1731" s="75"/>
      <c r="AF1731" s="50"/>
      <c r="AG1731" s="50"/>
      <c r="AH1731" s="166" t="str">
        <f t="shared" si="734"/>
        <v/>
      </c>
      <c r="AI1731" s="168" t="str">
        <f t="shared" si="720"/>
        <v/>
      </c>
      <c r="AJ1731" s="168" t="str">
        <f t="shared" si="721"/>
        <v/>
      </c>
      <c r="AK1731" s="168" t="str">
        <f t="shared" si="722"/>
        <v/>
      </c>
      <c r="AL1731" s="168" t="str">
        <f t="shared" si="723"/>
        <v/>
      </c>
      <c r="AM1731" s="168" t="str">
        <f t="shared" si="724"/>
        <v/>
      </c>
      <c r="AN1731" s="167" t="str">
        <f t="shared" si="707"/>
        <v/>
      </c>
      <c r="AO1731" s="167" t="str">
        <f t="shared" si="708"/>
        <v/>
      </c>
      <c r="AP1731" s="167" t="str">
        <f t="shared" si="709"/>
        <v/>
      </c>
      <c r="AQ1731" s="169" t="str">
        <f t="shared" si="710"/>
        <v/>
      </c>
      <c r="AR1731" s="170" t="str">
        <f t="shared" si="711"/>
        <v>BiK82K09----07</v>
      </c>
      <c r="AS1731" s="169" t="str">
        <f t="shared" si="712"/>
        <v/>
      </c>
      <c r="AT1731">
        <f t="shared" si="713"/>
        <v>14</v>
      </c>
      <c r="AU1731" s="170" t="str">
        <f t="shared" si="714"/>
        <v>0,15-0,5 MW, Bonusregel K erstmals 2009</v>
      </c>
      <c r="AV1731" s="169" t="str">
        <f t="shared" si="715"/>
        <v/>
      </c>
      <c r="AW1731" s="170" t="str">
        <f t="shared" si="716"/>
        <v>Anteil KWK, erstmals 2009</v>
      </c>
      <c r="AX1731" s="169" t="str">
        <f t="shared" si="717"/>
        <v/>
      </c>
      <c r="AY1731" t="str">
        <f t="shared" si="718"/>
        <v/>
      </c>
      <c r="AZ1731" t="str">
        <f t="shared" si="719"/>
        <v/>
      </c>
    </row>
    <row r="1732" spans="1:52" s="145" customFormat="1" x14ac:dyDescent="0.35">
      <c r="A1732" s="497" t="s">
        <v>4964</v>
      </c>
      <c r="B1732" s="13" t="s">
        <v>5547</v>
      </c>
      <c r="C1732" s="13" t="s">
        <v>1304</v>
      </c>
      <c r="D1732" s="13" t="s">
        <v>7089</v>
      </c>
      <c r="E1732" s="13" t="s">
        <v>3566</v>
      </c>
      <c r="F1732" s="373">
        <f t="shared" si="726"/>
        <v>12.430000000000001</v>
      </c>
      <c r="G1732" s="430">
        <v>12.430000000000001</v>
      </c>
      <c r="H1732" s="399">
        <f t="shared" si="727"/>
        <v>9.94</v>
      </c>
      <c r="I1732" s="576"/>
      <c r="J1732" s="549" t="s">
        <v>5804</v>
      </c>
      <c r="K1732" s="11"/>
      <c r="L1732"/>
      <c r="M1732" s="37">
        <f t="shared" si="728"/>
        <v>12.430000000000001</v>
      </c>
      <c r="N1732" s="29">
        <v>9.4600000000000009</v>
      </c>
      <c r="O1732" s="41"/>
      <c r="P1732" s="11"/>
      <c r="Q1732"/>
      <c r="R1732" t="s">
        <v>1017</v>
      </c>
      <c r="S1732" t="s">
        <v>4179</v>
      </c>
      <c r="T1732" s="145" t="s">
        <v>4179</v>
      </c>
      <c r="U1732" s="42"/>
      <c r="V1732"/>
      <c r="W1732" s="50"/>
      <c r="X1732" s="50"/>
      <c r="Y1732"/>
      <c r="Z1732" s="50"/>
      <c r="AA1732"/>
      <c r="AB1732"/>
      <c r="AC1732" s="50"/>
      <c r="AD1732"/>
      <c r="AE1732" s="75"/>
      <c r="AF1732" s="50"/>
      <c r="AG1732" s="50"/>
      <c r="AH1732" s="166" t="str">
        <f t="shared" si="734"/>
        <v>2010</v>
      </c>
      <c r="AI1732" s="168" t="str">
        <f t="shared" si="720"/>
        <v/>
      </c>
      <c r="AJ1732" s="168" t="str">
        <f t="shared" si="721"/>
        <v/>
      </c>
      <c r="AK1732" s="168" t="str">
        <f t="shared" si="722"/>
        <v/>
      </c>
      <c r="AL1732" s="168" t="str">
        <f t="shared" si="723"/>
        <v/>
      </c>
      <c r="AM1732" s="168" t="str">
        <f t="shared" si="724"/>
        <v/>
      </c>
      <c r="AN1732" s="167" t="str">
        <f t="shared" si="707"/>
        <v>2010</v>
      </c>
      <c r="AO1732" s="167" t="str">
        <f t="shared" si="708"/>
        <v>2010</v>
      </c>
      <c r="AP1732" s="167" t="str">
        <f t="shared" si="709"/>
        <v>2010</v>
      </c>
      <c r="AQ1732" s="169" t="str">
        <f t="shared" si="710"/>
        <v/>
      </c>
      <c r="AR1732" s="170" t="str">
        <f t="shared" si="711"/>
        <v>BiK82K10----07</v>
      </c>
      <c r="AS1732" s="169" t="str">
        <f t="shared" si="712"/>
        <v/>
      </c>
      <c r="AT1732">
        <f t="shared" si="713"/>
        <v>14</v>
      </c>
      <c r="AU1732" s="170" t="str">
        <f t="shared" si="714"/>
        <v>0,15-0,5 MW, Bonusregel K erstmals 2010</v>
      </c>
      <c r="AV1732" s="169" t="str">
        <f t="shared" si="715"/>
        <v/>
      </c>
      <c r="AW1732" s="170" t="str">
        <f t="shared" si="716"/>
        <v>Anteil KWK, erstmals 2010</v>
      </c>
      <c r="AX1732" s="169" t="str">
        <f t="shared" si="717"/>
        <v/>
      </c>
      <c r="AY1732" t="str">
        <f t="shared" si="718"/>
        <v/>
      </c>
      <c r="AZ1732" t="str">
        <f t="shared" si="719"/>
        <v/>
      </c>
    </row>
    <row r="1733" spans="1:52" s="145" customFormat="1" x14ac:dyDescent="0.35">
      <c r="A1733" s="497" t="s">
        <v>3401</v>
      </c>
      <c r="B1733" s="13" t="s">
        <v>5547</v>
      </c>
      <c r="C1733" s="13" t="s">
        <v>1304</v>
      </c>
      <c r="D1733" s="13" t="s">
        <v>7090</v>
      </c>
      <c r="E1733" s="13" t="s">
        <v>3054</v>
      </c>
      <c r="F1733" s="373">
        <f t="shared" si="726"/>
        <v>12.4</v>
      </c>
      <c r="G1733" s="430">
        <v>12.4</v>
      </c>
      <c r="H1733" s="399">
        <f t="shared" si="727"/>
        <v>9.92</v>
      </c>
      <c r="I1733" s="576"/>
      <c r="J1733" s="549" t="s">
        <v>5804</v>
      </c>
      <c r="K1733" s="11"/>
      <c r="L1733"/>
      <c r="M1733" s="37">
        <f t="shared" si="728"/>
        <v>12.4</v>
      </c>
      <c r="N1733" s="29">
        <v>9.4600000000000009</v>
      </c>
      <c r="O1733" s="41"/>
      <c r="P1733" s="11"/>
      <c r="Q1733"/>
      <c r="R1733"/>
      <c r="S1733" t="s">
        <v>1017</v>
      </c>
      <c r="T1733" s="145" t="s">
        <v>4179</v>
      </c>
      <c r="U1733" s="42"/>
      <c r="V1733"/>
      <c r="W1733" s="50"/>
      <c r="X1733" s="50"/>
      <c r="Y1733"/>
      <c r="Z1733" s="50"/>
      <c r="AA1733"/>
      <c r="AB1733"/>
      <c r="AC1733" s="50"/>
      <c r="AD1733"/>
      <c r="AE1733" s="75"/>
      <c r="AF1733" s="50"/>
      <c r="AG1733" s="50"/>
      <c r="AH1733" s="166" t="str">
        <f t="shared" si="734"/>
        <v>2011</v>
      </c>
      <c r="AI1733" s="168" t="str">
        <f t="shared" si="720"/>
        <v/>
      </c>
      <c r="AJ1733" s="168" t="str">
        <f t="shared" si="721"/>
        <v/>
      </c>
      <c r="AK1733" s="168" t="str">
        <f t="shared" si="722"/>
        <v/>
      </c>
      <c r="AL1733" s="168" t="str">
        <f t="shared" si="723"/>
        <v/>
      </c>
      <c r="AM1733" s="168" t="str">
        <f t="shared" si="724"/>
        <v/>
      </c>
      <c r="AN1733" s="167" t="str">
        <f t="shared" si="707"/>
        <v>2011</v>
      </c>
      <c r="AO1733" s="167" t="str">
        <f t="shared" si="708"/>
        <v>2011</v>
      </c>
      <c r="AP1733" s="167" t="str">
        <f t="shared" si="709"/>
        <v>2011</v>
      </c>
      <c r="AQ1733" s="169" t="str">
        <f t="shared" si="710"/>
        <v/>
      </c>
      <c r="AR1733" s="170" t="str">
        <f t="shared" si="711"/>
        <v>BiK82K11----07</v>
      </c>
      <c r="AS1733" s="169" t="str">
        <f t="shared" si="712"/>
        <v/>
      </c>
      <c r="AT1733">
        <f t="shared" si="713"/>
        <v>14</v>
      </c>
      <c r="AU1733" s="170" t="str">
        <f t="shared" si="714"/>
        <v>0,15-0,5 MW, Bonusregel K erstmals 2011</v>
      </c>
      <c r="AV1733" s="169" t="str">
        <f t="shared" si="715"/>
        <v/>
      </c>
      <c r="AW1733" s="170" t="str">
        <f t="shared" si="716"/>
        <v>Anteil KWK, erstmals 2011</v>
      </c>
      <c r="AX1733" s="169" t="str">
        <f t="shared" si="717"/>
        <v/>
      </c>
      <c r="AY1733" t="str">
        <f t="shared" si="718"/>
        <v>x</v>
      </c>
      <c r="AZ1733" t="str">
        <f t="shared" si="719"/>
        <v/>
      </c>
    </row>
    <row r="1734" spans="1:52" s="145" customFormat="1" x14ac:dyDescent="0.35">
      <c r="A1734" s="511" t="s">
        <v>1834</v>
      </c>
      <c r="B1734" s="173" t="s">
        <v>5547</v>
      </c>
      <c r="C1734" s="173" t="s">
        <v>1304</v>
      </c>
      <c r="D1734" s="173" t="s">
        <v>7091</v>
      </c>
      <c r="E1734" s="173" t="s">
        <v>1980</v>
      </c>
      <c r="F1734" s="374">
        <f t="shared" si="726"/>
        <v>12.370000000000001</v>
      </c>
      <c r="G1734" s="431">
        <v>12.370000000000001</v>
      </c>
      <c r="H1734" s="400">
        <f t="shared" si="727"/>
        <v>9.9</v>
      </c>
      <c r="I1734" s="577"/>
      <c r="J1734" s="549" t="s">
        <v>5804</v>
      </c>
      <c r="K1734" s="11"/>
      <c r="L1734"/>
      <c r="M1734" s="37">
        <f t="shared" si="728"/>
        <v>12.370000000000001</v>
      </c>
      <c r="N1734" s="29">
        <v>9.4600000000000009</v>
      </c>
      <c r="O1734" s="41"/>
      <c r="P1734" s="11"/>
      <c r="Q1734"/>
      <c r="R1734"/>
      <c r="S1734" t="s">
        <v>4179</v>
      </c>
      <c r="T1734" s="145" t="s">
        <v>1017</v>
      </c>
      <c r="U1734" s="42"/>
      <c r="V1734"/>
      <c r="W1734" s="50"/>
      <c r="X1734" s="50"/>
      <c r="Y1734"/>
      <c r="Z1734" s="50"/>
      <c r="AA1734"/>
      <c r="AB1734"/>
      <c r="AC1734" s="50"/>
      <c r="AD1734"/>
      <c r="AE1734" s="75"/>
      <c r="AF1734" s="50"/>
      <c r="AG1734" s="50"/>
      <c r="AH1734" s="171" t="s">
        <v>4178</v>
      </c>
      <c r="AI1734" s="168" t="str">
        <f t="shared" si="720"/>
        <v/>
      </c>
      <c r="AJ1734" s="168" t="str">
        <f t="shared" si="721"/>
        <v/>
      </c>
      <c r="AK1734" s="168" t="str">
        <f t="shared" si="722"/>
        <v/>
      </c>
      <c r="AL1734" s="168" t="str">
        <f t="shared" si="723"/>
        <v/>
      </c>
      <c r="AM1734" s="168" t="str">
        <f t="shared" si="724"/>
        <v/>
      </c>
      <c r="AN1734" s="167" t="str">
        <f t="shared" si="707"/>
        <v>2012</v>
      </c>
      <c r="AO1734" s="167" t="str">
        <f t="shared" si="708"/>
        <v>2012</v>
      </c>
      <c r="AP1734" s="167" t="str">
        <f t="shared" si="709"/>
        <v>2012</v>
      </c>
      <c r="AQ1734" s="169" t="str">
        <f t="shared" si="710"/>
        <v/>
      </c>
      <c r="AR1734" s="170" t="str">
        <f t="shared" si="711"/>
        <v>BiK82K12----07</v>
      </c>
      <c r="AS1734" s="169" t="str">
        <f t="shared" si="712"/>
        <v/>
      </c>
      <c r="AT1734">
        <f t="shared" si="713"/>
        <v>14</v>
      </c>
      <c r="AU1734" s="170" t="str">
        <f t="shared" si="714"/>
        <v>0,15-0,5 MW, Bonusregel K erstmals 2012</v>
      </c>
      <c r="AV1734" s="169" t="str">
        <f t="shared" si="715"/>
        <v/>
      </c>
      <c r="AW1734" s="170" t="str">
        <f t="shared" si="716"/>
        <v>Anteil KWK, erstmals 2012</v>
      </c>
      <c r="AX1734" s="169" t="str">
        <f t="shared" si="717"/>
        <v/>
      </c>
      <c r="AY1734" t="str">
        <f t="shared" si="718"/>
        <v/>
      </c>
      <c r="AZ1734" t="str">
        <f t="shared" si="719"/>
        <v>x</v>
      </c>
    </row>
    <row r="1735" spans="1:52" x14ac:dyDescent="0.35">
      <c r="A1735" s="497" t="s">
        <v>3638</v>
      </c>
      <c r="B1735" s="13" t="s">
        <v>5547</v>
      </c>
      <c r="C1735" s="13" t="s">
        <v>1304</v>
      </c>
      <c r="D1735" s="13" t="s">
        <v>7092</v>
      </c>
      <c r="E1735" s="13" t="s">
        <v>4809</v>
      </c>
      <c r="F1735" s="373">
        <f t="shared" si="726"/>
        <v>10.46</v>
      </c>
      <c r="G1735" s="430">
        <v>10.46</v>
      </c>
      <c r="H1735" s="399">
        <f t="shared" si="727"/>
        <v>8.3699999999999992</v>
      </c>
      <c r="I1735" s="576"/>
      <c r="J1735" s="549" t="s">
        <v>5804</v>
      </c>
      <c r="K1735" s="11"/>
      <c r="M1735" s="37">
        <f t="shared" si="728"/>
        <v>10.46</v>
      </c>
      <c r="N1735" s="29">
        <v>9.4600000000000009</v>
      </c>
      <c r="O1735" s="41"/>
      <c r="P1735" s="11"/>
      <c r="S1735" t="s">
        <v>4179</v>
      </c>
      <c r="T1735" t="s">
        <v>4179</v>
      </c>
      <c r="U1735" s="42" t="s">
        <v>1017</v>
      </c>
      <c r="W1735" s="50"/>
      <c r="X1735" s="50"/>
      <c r="Z1735" s="50"/>
      <c r="AC1735" s="50"/>
      <c r="AE1735" s="75"/>
      <c r="AF1735" s="50"/>
      <c r="AG1735" s="50"/>
      <c r="AH1735" s="166" t="str">
        <f t="shared" ref="AH1735:AH1740" si="735">IF(ISERROR(SEARCH("K erstmals 201",D1735)),"",RIGHT(D1735,4))</f>
        <v/>
      </c>
      <c r="AI1735" s="168" t="str">
        <f t="shared" si="720"/>
        <v/>
      </c>
      <c r="AJ1735" s="168" t="str">
        <f t="shared" si="721"/>
        <v/>
      </c>
      <c r="AK1735" s="168" t="str">
        <f t="shared" si="722"/>
        <v/>
      </c>
      <c r="AL1735" s="168" t="str">
        <f t="shared" si="723"/>
        <v/>
      </c>
      <c r="AM1735" s="168" t="str">
        <f t="shared" si="724"/>
        <v/>
      </c>
      <c r="AN1735" s="167" t="str">
        <f t="shared" si="707"/>
        <v/>
      </c>
      <c r="AO1735" s="167" t="str">
        <f t="shared" si="708"/>
        <v/>
      </c>
      <c r="AP1735" s="167" t="str">
        <f t="shared" si="709"/>
        <v/>
      </c>
      <c r="AQ1735" s="169" t="str">
        <f t="shared" si="710"/>
        <v/>
      </c>
      <c r="AR1735" s="170" t="str">
        <f t="shared" si="711"/>
        <v>BiK82y------07</v>
      </c>
      <c r="AS1735" s="169" t="str">
        <f t="shared" si="712"/>
        <v/>
      </c>
      <c r="AT1735">
        <f t="shared" si="713"/>
        <v>14</v>
      </c>
      <c r="AU1735" s="170" t="str">
        <f t="shared" si="714"/>
        <v>0,15-0,5 MW, Bonusregel y</v>
      </c>
      <c r="AV1735" s="169" t="str">
        <f t="shared" si="715"/>
        <v/>
      </c>
      <c r="AW1735" s="170" t="str">
        <f t="shared" si="716"/>
        <v>Anteil Nicht-KWK</v>
      </c>
      <c r="AX1735" s="169" t="str">
        <f t="shared" si="717"/>
        <v/>
      </c>
      <c r="AY1735" t="str">
        <f t="shared" si="718"/>
        <v/>
      </c>
      <c r="AZ1735" t="str">
        <f t="shared" si="719"/>
        <v/>
      </c>
    </row>
    <row r="1736" spans="1:52" x14ac:dyDescent="0.35">
      <c r="A1736" s="497" t="s">
        <v>3999</v>
      </c>
      <c r="B1736" s="13" t="s">
        <v>5547</v>
      </c>
      <c r="C1736" s="13" t="s">
        <v>1304</v>
      </c>
      <c r="D1736" s="13" t="s">
        <v>7093</v>
      </c>
      <c r="E1736" s="13" t="s">
        <v>4811</v>
      </c>
      <c r="F1736" s="373">
        <f t="shared" si="726"/>
        <v>12.46</v>
      </c>
      <c r="G1736" s="430">
        <v>12.46</v>
      </c>
      <c r="H1736" s="399">
        <f t="shared" si="727"/>
        <v>9.9700000000000006</v>
      </c>
      <c r="I1736" s="576"/>
      <c r="J1736" s="549" t="s">
        <v>5804</v>
      </c>
      <c r="K1736" s="11"/>
      <c r="M1736" s="37">
        <f t="shared" si="728"/>
        <v>12.46</v>
      </c>
      <c r="N1736" s="29">
        <v>9.4600000000000009</v>
      </c>
      <c r="O1736" s="41" t="s">
        <v>1017</v>
      </c>
      <c r="P1736" s="11"/>
      <c r="S1736" t="s">
        <v>4179</v>
      </c>
      <c r="T1736" t="s">
        <v>4179</v>
      </c>
      <c r="U1736" s="42" t="s">
        <v>1017</v>
      </c>
      <c r="W1736" s="50"/>
      <c r="X1736" s="50"/>
      <c r="Z1736" s="50"/>
      <c r="AC1736" s="50"/>
      <c r="AE1736" s="75"/>
      <c r="AF1736" s="50"/>
      <c r="AG1736" s="50"/>
      <c r="AH1736" s="166" t="str">
        <f t="shared" si="735"/>
        <v/>
      </c>
      <c r="AI1736" s="168" t="str">
        <f t="shared" si="720"/>
        <v/>
      </c>
      <c r="AJ1736" s="168" t="str">
        <f t="shared" si="721"/>
        <v/>
      </c>
      <c r="AK1736" s="168" t="str">
        <f t="shared" si="722"/>
        <v/>
      </c>
      <c r="AL1736" s="168" t="str">
        <f t="shared" si="723"/>
        <v/>
      </c>
      <c r="AM1736" s="168" t="str">
        <f t="shared" si="724"/>
        <v/>
      </c>
      <c r="AN1736" s="167" t="str">
        <f t="shared" si="707"/>
        <v/>
      </c>
      <c r="AO1736" s="167" t="str">
        <f t="shared" si="708"/>
        <v/>
      </c>
      <c r="AP1736" s="167" t="str">
        <f t="shared" si="709"/>
        <v/>
      </c>
      <c r="AQ1736" s="169" t="str">
        <f t="shared" si="710"/>
        <v/>
      </c>
      <c r="AR1736" s="170" t="str">
        <f t="shared" si="711"/>
        <v>BiK82KWKy---07</v>
      </c>
      <c r="AS1736" s="169" t="str">
        <f t="shared" si="712"/>
        <v/>
      </c>
      <c r="AT1736">
        <f t="shared" si="713"/>
        <v>14</v>
      </c>
      <c r="AU1736" s="170" t="str">
        <f t="shared" si="714"/>
        <v>0,15-0,5 MW, Bonusregeln y und KWK</v>
      </c>
      <c r="AV1736" s="169" t="str">
        <f t="shared" si="715"/>
        <v/>
      </c>
      <c r="AW1736" s="170" t="str">
        <f t="shared" si="716"/>
        <v>Anteil KWK</v>
      </c>
      <c r="AX1736" s="169" t="str">
        <f t="shared" si="717"/>
        <v/>
      </c>
      <c r="AY1736" t="str">
        <f t="shared" si="718"/>
        <v/>
      </c>
      <c r="AZ1736" t="str">
        <f t="shared" si="719"/>
        <v/>
      </c>
    </row>
    <row r="1737" spans="1:52" x14ac:dyDescent="0.35">
      <c r="A1737" s="497" t="s">
        <v>4000</v>
      </c>
      <c r="B1737" s="13" t="s">
        <v>5547</v>
      </c>
      <c r="C1737" s="13" t="s">
        <v>1304</v>
      </c>
      <c r="D1737" s="13" t="s">
        <v>7094</v>
      </c>
      <c r="E1737" s="13" t="s">
        <v>4330</v>
      </c>
      <c r="F1737" s="373">
        <f t="shared" si="726"/>
        <v>13.46</v>
      </c>
      <c r="G1737" s="430">
        <v>13.46</v>
      </c>
      <c r="H1737" s="399">
        <f t="shared" si="727"/>
        <v>10.77</v>
      </c>
      <c r="I1737" s="576"/>
      <c r="J1737" s="549" t="s">
        <v>5804</v>
      </c>
      <c r="K1737" s="11"/>
      <c r="M1737" s="37">
        <f t="shared" si="728"/>
        <v>13.46</v>
      </c>
      <c r="N1737" s="29">
        <v>9.4600000000000009</v>
      </c>
      <c r="O1737" s="41"/>
      <c r="P1737" t="s">
        <v>1017</v>
      </c>
      <c r="S1737" t="s">
        <v>4179</v>
      </c>
      <c r="T1737" t="s">
        <v>4179</v>
      </c>
      <c r="U1737" s="42" t="s">
        <v>1017</v>
      </c>
      <c r="W1737" s="50"/>
      <c r="X1737" s="50"/>
      <c r="Z1737" s="50"/>
      <c r="AC1737" s="50"/>
      <c r="AE1737" s="75"/>
      <c r="AF1737" s="50"/>
      <c r="AG1737" s="50"/>
      <c r="AH1737" s="166" t="str">
        <f t="shared" si="735"/>
        <v/>
      </c>
      <c r="AI1737" s="168" t="str">
        <f t="shared" si="720"/>
        <v/>
      </c>
      <c r="AJ1737" s="168" t="str">
        <f t="shared" si="721"/>
        <v/>
      </c>
      <c r="AK1737" s="168" t="str">
        <f t="shared" si="722"/>
        <v/>
      </c>
      <c r="AL1737" s="168" t="str">
        <f t="shared" si="723"/>
        <v/>
      </c>
      <c r="AM1737" s="168" t="str">
        <f t="shared" si="724"/>
        <v/>
      </c>
      <c r="AN1737" s="167" t="str">
        <f t="shared" si="707"/>
        <v/>
      </c>
      <c r="AO1737" s="167" t="str">
        <f t="shared" si="708"/>
        <v/>
      </c>
      <c r="AP1737" s="167" t="str">
        <f t="shared" si="709"/>
        <v/>
      </c>
      <c r="AQ1737" s="169" t="str">
        <f t="shared" si="710"/>
        <v/>
      </c>
      <c r="AR1737" s="170" t="str">
        <f t="shared" si="711"/>
        <v>BiK82KA3y---07</v>
      </c>
      <c r="AS1737" s="169" t="str">
        <f t="shared" si="712"/>
        <v/>
      </c>
      <c r="AT1737">
        <f t="shared" si="713"/>
        <v>14</v>
      </c>
      <c r="AU1737" s="170" t="str">
        <f t="shared" si="714"/>
        <v>0,15-0,5 MW, Bonusregeln y und K wenn Anlage 3 erfüllt</v>
      </c>
      <c r="AV1737" s="169" t="str">
        <f t="shared" si="715"/>
        <v/>
      </c>
      <c r="AW1737" s="170" t="str">
        <f t="shared" si="716"/>
        <v>Anteil KWK gemäß Anlage 3</v>
      </c>
      <c r="AX1737" s="169" t="str">
        <f t="shared" si="717"/>
        <v/>
      </c>
      <c r="AY1737" t="str">
        <f t="shared" si="718"/>
        <v/>
      </c>
      <c r="AZ1737" t="str">
        <f t="shared" si="719"/>
        <v/>
      </c>
    </row>
    <row r="1738" spans="1:52" x14ac:dyDescent="0.35">
      <c r="A1738" s="497" t="s">
        <v>4001</v>
      </c>
      <c r="B1738" s="13" t="s">
        <v>5547</v>
      </c>
      <c r="C1738" s="13" t="s">
        <v>1304</v>
      </c>
      <c r="D1738" s="13" t="s">
        <v>7095</v>
      </c>
      <c r="E1738" s="13" t="s">
        <v>674</v>
      </c>
      <c r="F1738" s="373">
        <f t="shared" si="726"/>
        <v>13.46</v>
      </c>
      <c r="G1738" s="430">
        <v>13.46</v>
      </c>
      <c r="H1738" s="399">
        <f t="shared" si="727"/>
        <v>10.77</v>
      </c>
      <c r="I1738" s="576"/>
      <c r="J1738" s="549" t="s">
        <v>5804</v>
      </c>
      <c r="K1738" s="11"/>
      <c r="M1738" s="37">
        <f t="shared" si="728"/>
        <v>13.46</v>
      </c>
      <c r="N1738" s="29">
        <v>9.4600000000000009</v>
      </c>
      <c r="O1738" s="41"/>
      <c r="P1738" s="11"/>
      <c r="Q1738" t="s">
        <v>1017</v>
      </c>
      <c r="S1738" t="s">
        <v>4179</v>
      </c>
      <c r="T1738" t="s">
        <v>4179</v>
      </c>
      <c r="U1738" s="42" t="s">
        <v>1017</v>
      </c>
      <c r="W1738" s="50"/>
      <c r="X1738" s="50"/>
      <c r="Z1738" s="50"/>
      <c r="AC1738" s="50"/>
      <c r="AE1738" s="75"/>
      <c r="AF1738" s="50"/>
      <c r="AG1738" s="50"/>
      <c r="AH1738" s="166" t="str">
        <f t="shared" si="735"/>
        <v/>
      </c>
      <c r="AI1738" s="168" t="str">
        <f t="shared" si="720"/>
        <v/>
      </c>
      <c r="AJ1738" s="168" t="str">
        <f t="shared" si="721"/>
        <v/>
      </c>
      <c r="AK1738" s="168" t="str">
        <f t="shared" si="722"/>
        <v/>
      </c>
      <c r="AL1738" s="168" t="str">
        <f t="shared" si="723"/>
        <v/>
      </c>
      <c r="AM1738" s="168" t="str">
        <f t="shared" si="724"/>
        <v/>
      </c>
      <c r="AN1738" s="167" t="str">
        <f t="shared" si="707"/>
        <v/>
      </c>
      <c r="AO1738" s="167" t="str">
        <f t="shared" si="708"/>
        <v/>
      </c>
      <c r="AP1738" s="167" t="str">
        <f t="shared" si="709"/>
        <v/>
      </c>
      <c r="AQ1738" s="169" t="str">
        <f t="shared" si="710"/>
        <v/>
      </c>
      <c r="AR1738" s="170" t="str">
        <f t="shared" si="711"/>
        <v>BiK82K09y---07</v>
      </c>
      <c r="AS1738" s="169" t="str">
        <f t="shared" si="712"/>
        <v/>
      </c>
      <c r="AT1738">
        <f t="shared" si="713"/>
        <v>14</v>
      </c>
      <c r="AU1738" s="170" t="str">
        <f t="shared" si="714"/>
        <v>0,15-0,5 MW, Bonusregeln y und K erstmals 2009</v>
      </c>
      <c r="AV1738" s="169" t="str">
        <f t="shared" si="715"/>
        <v/>
      </c>
      <c r="AW1738" s="170" t="str">
        <f t="shared" si="716"/>
        <v>Anteil KWK, erstmals 2009</v>
      </c>
      <c r="AX1738" s="169" t="str">
        <f t="shared" si="717"/>
        <v/>
      </c>
      <c r="AY1738" t="str">
        <f t="shared" si="718"/>
        <v/>
      </c>
      <c r="AZ1738" t="str">
        <f t="shared" si="719"/>
        <v/>
      </c>
    </row>
    <row r="1739" spans="1:52" x14ac:dyDescent="0.35">
      <c r="A1739" s="497" t="s">
        <v>4965</v>
      </c>
      <c r="B1739" s="13" t="s">
        <v>5547</v>
      </c>
      <c r="C1739" s="13" t="s">
        <v>1304</v>
      </c>
      <c r="D1739" s="13" t="s">
        <v>7096</v>
      </c>
      <c r="E1739" s="13" t="s">
        <v>3566</v>
      </c>
      <c r="F1739" s="373">
        <f t="shared" si="726"/>
        <v>13.430000000000001</v>
      </c>
      <c r="G1739" s="430">
        <v>13.430000000000001</v>
      </c>
      <c r="H1739" s="399">
        <f t="shared" si="727"/>
        <v>10.74</v>
      </c>
      <c r="I1739" s="576"/>
      <c r="J1739" s="549" t="s">
        <v>5804</v>
      </c>
      <c r="K1739" s="11"/>
      <c r="M1739" s="37">
        <f t="shared" si="728"/>
        <v>13.430000000000001</v>
      </c>
      <c r="N1739" s="29">
        <v>9.4600000000000009</v>
      </c>
      <c r="O1739" s="41"/>
      <c r="P1739" s="11"/>
      <c r="R1739" t="s">
        <v>1017</v>
      </c>
      <c r="S1739" t="s">
        <v>4179</v>
      </c>
      <c r="T1739" t="s">
        <v>4179</v>
      </c>
      <c r="U1739" s="42" t="s">
        <v>1017</v>
      </c>
      <c r="W1739" s="50"/>
      <c r="X1739" s="50"/>
      <c r="Z1739" s="50"/>
      <c r="AC1739" s="50"/>
      <c r="AE1739" s="75"/>
      <c r="AF1739" s="50"/>
      <c r="AG1739" s="50"/>
      <c r="AH1739" s="166" t="str">
        <f t="shared" si="735"/>
        <v>2010</v>
      </c>
      <c r="AI1739" s="168" t="str">
        <f t="shared" si="720"/>
        <v/>
      </c>
      <c r="AJ1739" s="168" t="str">
        <f t="shared" si="721"/>
        <v/>
      </c>
      <c r="AK1739" s="168" t="str">
        <f t="shared" si="722"/>
        <v/>
      </c>
      <c r="AL1739" s="168" t="str">
        <f t="shared" si="723"/>
        <v/>
      </c>
      <c r="AM1739" s="168" t="str">
        <f t="shared" si="724"/>
        <v/>
      </c>
      <c r="AN1739" s="167" t="str">
        <f t="shared" si="707"/>
        <v>2010</v>
      </c>
      <c r="AO1739" s="167" t="str">
        <f t="shared" si="708"/>
        <v>2010</v>
      </c>
      <c r="AP1739" s="167" t="str">
        <f t="shared" si="709"/>
        <v>2010</v>
      </c>
      <c r="AQ1739" s="169" t="str">
        <f t="shared" si="710"/>
        <v/>
      </c>
      <c r="AR1739" s="170" t="str">
        <f t="shared" si="711"/>
        <v>BiK82K10y---07</v>
      </c>
      <c r="AS1739" s="169" t="str">
        <f t="shared" si="712"/>
        <v/>
      </c>
      <c r="AT1739">
        <f t="shared" si="713"/>
        <v>14</v>
      </c>
      <c r="AU1739" s="170" t="str">
        <f t="shared" si="714"/>
        <v>0,15-0,5 MW, Bonusregeln y und K erstmals 2010</v>
      </c>
      <c r="AV1739" s="169" t="str">
        <f t="shared" si="715"/>
        <v/>
      </c>
      <c r="AW1739" s="170" t="str">
        <f t="shared" si="716"/>
        <v>Anteil KWK, erstmals 2010</v>
      </c>
      <c r="AX1739" s="169" t="str">
        <f t="shared" si="717"/>
        <v/>
      </c>
      <c r="AY1739" t="str">
        <f t="shared" si="718"/>
        <v/>
      </c>
      <c r="AZ1739" t="str">
        <f t="shared" si="719"/>
        <v/>
      </c>
    </row>
    <row r="1740" spans="1:52" x14ac:dyDescent="0.35">
      <c r="A1740" s="497" t="s">
        <v>3402</v>
      </c>
      <c r="B1740" s="13" t="s">
        <v>5547</v>
      </c>
      <c r="C1740" s="13" t="s">
        <v>1304</v>
      </c>
      <c r="D1740" s="13" t="s">
        <v>7097</v>
      </c>
      <c r="E1740" s="13" t="s">
        <v>3054</v>
      </c>
      <c r="F1740" s="373">
        <f t="shared" si="726"/>
        <v>13.4</v>
      </c>
      <c r="G1740" s="430">
        <v>13.4</v>
      </c>
      <c r="H1740" s="399">
        <f t="shared" si="727"/>
        <v>10.72</v>
      </c>
      <c r="I1740" s="576"/>
      <c r="J1740" s="549" t="s">
        <v>5804</v>
      </c>
      <c r="K1740" s="11"/>
      <c r="M1740" s="37">
        <f t="shared" si="728"/>
        <v>13.4</v>
      </c>
      <c r="N1740" s="29">
        <v>9.4600000000000009</v>
      </c>
      <c r="O1740" s="41"/>
      <c r="P1740" s="11"/>
      <c r="S1740" t="s">
        <v>1017</v>
      </c>
      <c r="T1740" t="s">
        <v>4179</v>
      </c>
      <c r="U1740" s="42" t="s">
        <v>1017</v>
      </c>
      <c r="W1740" s="50"/>
      <c r="X1740" s="50"/>
      <c r="Z1740" s="50"/>
      <c r="AC1740" s="50"/>
      <c r="AE1740" s="75"/>
      <c r="AF1740" s="50"/>
      <c r="AG1740" s="50"/>
      <c r="AH1740" s="166" t="str">
        <f t="shared" si="735"/>
        <v>2011</v>
      </c>
      <c r="AI1740" s="168" t="str">
        <f t="shared" si="720"/>
        <v/>
      </c>
      <c r="AJ1740" s="168" t="str">
        <f t="shared" si="721"/>
        <v/>
      </c>
      <c r="AK1740" s="168" t="str">
        <f t="shared" si="722"/>
        <v/>
      </c>
      <c r="AL1740" s="168" t="str">
        <f t="shared" si="723"/>
        <v/>
      </c>
      <c r="AM1740" s="168" t="str">
        <f t="shared" si="724"/>
        <v/>
      </c>
      <c r="AN1740" s="167" t="str">
        <f t="shared" si="707"/>
        <v>2011</v>
      </c>
      <c r="AO1740" s="167" t="str">
        <f t="shared" si="708"/>
        <v>2011</v>
      </c>
      <c r="AP1740" s="167" t="str">
        <f t="shared" si="709"/>
        <v>2011</v>
      </c>
      <c r="AQ1740" s="169" t="str">
        <f t="shared" si="710"/>
        <v/>
      </c>
      <c r="AR1740" s="170" t="str">
        <f t="shared" si="711"/>
        <v>BiK82K11y---07</v>
      </c>
      <c r="AS1740" s="169" t="str">
        <f t="shared" si="712"/>
        <v/>
      </c>
      <c r="AT1740">
        <f t="shared" si="713"/>
        <v>14</v>
      </c>
      <c r="AU1740" s="170" t="str">
        <f t="shared" si="714"/>
        <v>0,15-0,5 MW, Bonusregeln y und K erstmals 2011</v>
      </c>
      <c r="AV1740" s="169" t="str">
        <f t="shared" si="715"/>
        <v/>
      </c>
      <c r="AW1740" s="170" t="str">
        <f t="shared" si="716"/>
        <v>Anteil KWK, erstmals 2011</v>
      </c>
      <c r="AX1740" s="169" t="str">
        <f t="shared" si="717"/>
        <v/>
      </c>
      <c r="AY1740" t="str">
        <f t="shared" si="718"/>
        <v>x</v>
      </c>
      <c r="AZ1740" t="str">
        <f t="shared" si="719"/>
        <v/>
      </c>
    </row>
    <row r="1741" spans="1:52" x14ac:dyDescent="0.35">
      <c r="A1741" s="511" t="s">
        <v>1835</v>
      </c>
      <c r="B1741" s="173" t="s">
        <v>5547</v>
      </c>
      <c r="C1741" s="173" t="s">
        <v>1304</v>
      </c>
      <c r="D1741" s="173" t="s">
        <v>7098</v>
      </c>
      <c r="E1741" s="173" t="s">
        <v>1980</v>
      </c>
      <c r="F1741" s="374">
        <f t="shared" si="726"/>
        <v>13.370000000000001</v>
      </c>
      <c r="G1741" s="431">
        <v>13.370000000000001</v>
      </c>
      <c r="H1741" s="400">
        <f t="shared" si="727"/>
        <v>10.7</v>
      </c>
      <c r="I1741" s="577"/>
      <c r="J1741" s="549" t="s">
        <v>5804</v>
      </c>
      <c r="K1741" s="11"/>
      <c r="M1741" s="37">
        <f t="shared" si="728"/>
        <v>13.370000000000001</v>
      </c>
      <c r="N1741" s="29">
        <v>9.4600000000000009</v>
      </c>
      <c r="O1741" s="41"/>
      <c r="P1741" s="11"/>
      <c r="S1741" t="s">
        <v>4179</v>
      </c>
      <c r="T1741" t="s">
        <v>1017</v>
      </c>
      <c r="U1741" s="42" t="s">
        <v>1017</v>
      </c>
      <c r="W1741" s="50"/>
      <c r="X1741" s="50"/>
      <c r="Z1741" s="50"/>
      <c r="AC1741" s="50"/>
      <c r="AE1741" s="75"/>
      <c r="AF1741" s="50"/>
      <c r="AG1741" s="50"/>
      <c r="AH1741" s="171" t="s">
        <v>4178</v>
      </c>
      <c r="AI1741" s="168" t="str">
        <f t="shared" si="720"/>
        <v/>
      </c>
      <c r="AJ1741" s="168" t="str">
        <f t="shared" si="721"/>
        <v/>
      </c>
      <c r="AK1741" s="168" t="str">
        <f t="shared" si="722"/>
        <v/>
      </c>
      <c r="AL1741" s="168" t="str">
        <f t="shared" si="723"/>
        <v/>
      </c>
      <c r="AM1741" s="168" t="str">
        <f t="shared" si="724"/>
        <v/>
      </c>
      <c r="AN1741" s="167" t="str">
        <f t="shared" si="707"/>
        <v>2012</v>
      </c>
      <c r="AO1741" s="167" t="str">
        <f t="shared" si="708"/>
        <v>2012</v>
      </c>
      <c r="AP1741" s="167" t="str">
        <f t="shared" si="709"/>
        <v>2012</v>
      </c>
      <c r="AQ1741" s="169" t="str">
        <f t="shared" si="710"/>
        <v/>
      </c>
      <c r="AR1741" s="170" t="str">
        <f t="shared" si="711"/>
        <v>BiK82K12y---07</v>
      </c>
      <c r="AS1741" s="169" t="str">
        <f t="shared" si="712"/>
        <v/>
      </c>
      <c r="AT1741">
        <f t="shared" si="713"/>
        <v>14</v>
      </c>
      <c r="AU1741" s="170" t="str">
        <f t="shared" si="714"/>
        <v>0,15-0,5 MW, Bonusregeln y und K erstmals 2012</v>
      </c>
      <c r="AV1741" s="169" t="str">
        <f t="shared" si="715"/>
        <v/>
      </c>
      <c r="AW1741" s="170" t="str">
        <f t="shared" si="716"/>
        <v>Anteil KWK, erstmals 2012</v>
      </c>
      <c r="AX1741" s="169" t="str">
        <f t="shared" si="717"/>
        <v/>
      </c>
      <c r="AY1741" t="str">
        <f t="shared" si="718"/>
        <v/>
      </c>
      <c r="AZ1741" t="str">
        <f t="shared" si="719"/>
        <v>x</v>
      </c>
    </row>
    <row r="1742" spans="1:52" x14ac:dyDescent="0.35">
      <c r="A1742" s="496" t="s">
        <v>543</v>
      </c>
      <c r="B1742" s="1" t="s">
        <v>5547</v>
      </c>
      <c r="C1742" s="1" t="s">
        <v>1304</v>
      </c>
      <c r="D1742" s="1" t="s">
        <v>7099</v>
      </c>
      <c r="E1742" s="1" t="s">
        <v>4809</v>
      </c>
      <c r="F1742" s="375">
        <f t="shared" si="726"/>
        <v>15.46</v>
      </c>
      <c r="G1742" s="432">
        <v>15.46</v>
      </c>
      <c r="H1742" s="401">
        <f t="shared" si="727"/>
        <v>12.37</v>
      </c>
      <c r="I1742" s="578"/>
      <c r="J1742" s="549" t="s">
        <v>5804</v>
      </c>
      <c r="K1742" s="11"/>
      <c r="M1742" s="37">
        <f t="shared" si="728"/>
        <v>15.46</v>
      </c>
      <c r="N1742" s="29">
        <v>9.4600000000000009</v>
      </c>
      <c r="O1742" s="41"/>
      <c r="P1742" s="11"/>
      <c r="S1742" t="s">
        <v>4179</v>
      </c>
      <c r="T1742" t="s">
        <v>4179</v>
      </c>
      <c r="U1742" s="42"/>
      <c r="V1742" t="s">
        <v>1017</v>
      </c>
      <c r="W1742" s="50"/>
      <c r="X1742" s="50"/>
      <c r="Z1742" s="50"/>
      <c r="AC1742" s="50"/>
      <c r="AE1742" s="75"/>
      <c r="AF1742" s="50"/>
      <c r="AG1742" s="50"/>
      <c r="AH1742" s="166" t="str">
        <f t="shared" ref="AH1742:AH1747" si="736">IF(ISERROR(SEARCH("K erstmals 201",D1742)),"",RIGHT(D1742,4))</f>
        <v/>
      </c>
      <c r="AI1742" s="168" t="str">
        <f t="shared" si="720"/>
        <v/>
      </c>
      <c r="AJ1742" s="168" t="str">
        <f t="shared" si="721"/>
        <v/>
      </c>
      <c r="AK1742" s="168" t="str">
        <f t="shared" si="722"/>
        <v/>
      </c>
      <c r="AL1742" s="168" t="str">
        <f t="shared" si="723"/>
        <v/>
      </c>
      <c r="AM1742" s="168" t="str">
        <f t="shared" si="724"/>
        <v/>
      </c>
      <c r="AN1742" s="167" t="str">
        <f t="shared" si="707"/>
        <v/>
      </c>
      <c r="AO1742" s="167" t="str">
        <f t="shared" si="708"/>
        <v/>
      </c>
      <c r="AP1742" s="167" t="str">
        <f t="shared" si="709"/>
        <v/>
      </c>
      <c r="AQ1742" s="169" t="str">
        <f t="shared" si="710"/>
        <v/>
      </c>
      <c r="AR1742" s="170" t="str">
        <f t="shared" si="711"/>
        <v>BiK82a1-----07</v>
      </c>
      <c r="AS1742" s="169" t="str">
        <f t="shared" si="712"/>
        <v/>
      </c>
      <c r="AT1742">
        <f t="shared" si="713"/>
        <v>14</v>
      </c>
      <c r="AU1742" s="170" t="str">
        <f t="shared" si="714"/>
        <v>0,15-0,5 MW, Bonusregel a1</v>
      </c>
      <c r="AV1742" s="169" t="str">
        <f t="shared" si="715"/>
        <v/>
      </c>
      <c r="AW1742" s="170" t="str">
        <f t="shared" si="716"/>
        <v>Anteil Nicht-KWK</v>
      </c>
      <c r="AX1742" s="169" t="str">
        <f t="shared" si="717"/>
        <v/>
      </c>
      <c r="AY1742" t="str">
        <f t="shared" si="718"/>
        <v/>
      </c>
      <c r="AZ1742" t="str">
        <f t="shared" si="719"/>
        <v/>
      </c>
    </row>
    <row r="1743" spans="1:52" x14ac:dyDescent="0.35">
      <c r="A1743" s="496" t="s">
        <v>544</v>
      </c>
      <c r="B1743" s="1" t="s">
        <v>5547</v>
      </c>
      <c r="C1743" s="1" t="s">
        <v>1304</v>
      </c>
      <c r="D1743" s="1" t="s">
        <v>7212</v>
      </c>
      <c r="E1743" s="1" t="s">
        <v>4811</v>
      </c>
      <c r="F1743" s="375">
        <f t="shared" si="726"/>
        <v>17.46</v>
      </c>
      <c r="G1743" s="432">
        <v>17.46</v>
      </c>
      <c r="H1743" s="401">
        <f t="shared" si="727"/>
        <v>13.97</v>
      </c>
      <c r="I1743" s="578"/>
      <c r="J1743" s="549" t="s">
        <v>5804</v>
      </c>
      <c r="K1743" s="11"/>
      <c r="M1743" s="37">
        <f t="shared" si="728"/>
        <v>17.46</v>
      </c>
      <c r="N1743" s="29">
        <v>9.4600000000000009</v>
      </c>
      <c r="O1743" s="41" t="s">
        <v>1017</v>
      </c>
      <c r="P1743" s="11"/>
      <c r="S1743" t="s">
        <v>4179</v>
      </c>
      <c r="T1743" t="s">
        <v>4179</v>
      </c>
      <c r="U1743" s="42"/>
      <c r="V1743" t="s">
        <v>1017</v>
      </c>
      <c r="W1743" s="50"/>
      <c r="X1743" s="50"/>
      <c r="Z1743" s="50"/>
      <c r="AC1743" s="50"/>
      <c r="AE1743" s="75"/>
      <c r="AF1743" s="50"/>
      <c r="AG1743" s="50"/>
      <c r="AH1743" s="166" t="str">
        <f t="shared" si="736"/>
        <v/>
      </c>
      <c r="AI1743" s="168" t="str">
        <f t="shared" si="720"/>
        <v/>
      </c>
      <c r="AJ1743" s="168" t="str">
        <f t="shared" si="721"/>
        <v/>
      </c>
      <c r="AK1743" s="168" t="str">
        <f t="shared" si="722"/>
        <v/>
      </c>
      <c r="AL1743" s="168" t="str">
        <f t="shared" si="723"/>
        <v/>
      </c>
      <c r="AM1743" s="168" t="str">
        <f t="shared" si="724"/>
        <v/>
      </c>
      <c r="AN1743" s="167" t="str">
        <f t="shared" si="707"/>
        <v/>
      </c>
      <c r="AO1743" s="167" t="str">
        <f t="shared" si="708"/>
        <v/>
      </c>
      <c r="AP1743" s="167" t="str">
        <f t="shared" si="709"/>
        <v/>
      </c>
      <c r="AQ1743" s="169" t="str">
        <f t="shared" si="710"/>
        <v/>
      </c>
      <c r="AR1743" s="170" t="str">
        <f t="shared" si="711"/>
        <v>BiK82a1KWK--07</v>
      </c>
      <c r="AS1743" s="169" t="str">
        <f t="shared" si="712"/>
        <v/>
      </c>
      <c r="AT1743">
        <f t="shared" si="713"/>
        <v>14</v>
      </c>
      <c r="AU1743" s="170" t="str">
        <f t="shared" si="714"/>
        <v>0,15-0,5 MW, Bonusregeln a1 und KWK</v>
      </c>
      <c r="AV1743" s="169" t="str">
        <f t="shared" si="715"/>
        <v/>
      </c>
      <c r="AW1743" s="170" t="str">
        <f t="shared" si="716"/>
        <v>Anteil KWK</v>
      </c>
      <c r="AX1743" s="169" t="str">
        <f t="shared" si="717"/>
        <v/>
      </c>
      <c r="AY1743" t="str">
        <f t="shared" si="718"/>
        <v/>
      </c>
      <c r="AZ1743" t="str">
        <f t="shared" si="719"/>
        <v/>
      </c>
    </row>
    <row r="1744" spans="1:52" x14ac:dyDescent="0.35">
      <c r="A1744" s="497" t="s">
        <v>4362</v>
      </c>
      <c r="B1744" s="13" t="s">
        <v>5547</v>
      </c>
      <c r="C1744" s="13" t="s">
        <v>1304</v>
      </c>
      <c r="D1744" s="13" t="s">
        <v>7101</v>
      </c>
      <c r="E1744" s="13" t="s">
        <v>4330</v>
      </c>
      <c r="F1744" s="373">
        <f t="shared" si="726"/>
        <v>18.46</v>
      </c>
      <c r="G1744" s="430">
        <v>18.46</v>
      </c>
      <c r="H1744" s="399">
        <f t="shared" si="727"/>
        <v>14.77</v>
      </c>
      <c r="I1744" s="576"/>
      <c r="J1744" s="549" t="s">
        <v>5804</v>
      </c>
      <c r="K1744" s="11"/>
      <c r="M1744" s="37">
        <f t="shared" si="728"/>
        <v>18.46</v>
      </c>
      <c r="N1744" s="29">
        <v>9.4600000000000009</v>
      </c>
      <c r="O1744" s="41"/>
      <c r="P1744" t="s">
        <v>1017</v>
      </c>
      <c r="S1744" t="s">
        <v>4179</v>
      </c>
      <c r="T1744" t="s">
        <v>4179</v>
      </c>
      <c r="U1744" s="42"/>
      <c r="V1744" t="s">
        <v>1017</v>
      </c>
      <c r="W1744" s="50"/>
      <c r="X1744" s="50"/>
      <c r="Z1744" s="50"/>
      <c r="AC1744" s="50"/>
      <c r="AE1744" s="75"/>
      <c r="AF1744" s="50"/>
      <c r="AG1744" s="50"/>
      <c r="AH1744" s="166" t="str">
        <f t="shared" si="736"/>
        <v/>
      </c>
      <c r="AI1744" s="168" t="str">
        <f t="shared" si="720"/>
        <v/>
      </c>
      <c r="AJ1744" s="168" t="str">
        <f t="shared" si="721"/>
        <v/>
      </c>
      <c r="AK1744" s="168" t="str">
        <f t="shared" si="722"/>
        <v/>
      </c>
      <c r="AL1744" s="168" t="str">
        <f t="shared" si="723"/>
        <v/>
      </c>
      <c r="AM1744" s="168" t="str">
        <f t="shared" si="724"/>
        <v/>
      </c>
      <c r="AN1744" s="167" t="str">
        <f t="shared" ref="AN1744:AN1807" si="737">IF(ISERROR(SEARCH("K1",A1744)),"","20"&amp;MID(A1744,SEARCH("K1",A1744)+1,2))</f>
        <v/>
      </c>
      <c r="AO1744" s="167" t="str">
        <f t="shared" ref="AO1744:AO1807" si="738">IF(ISERROR(SEARCH("erstmals 201",E1744)),"",MID(E1744,SEARCH("erstmals ",E1744)+9,4))</f>
        <v/>
      </c>
      <c r="AP1744" s="167" t="str">
        <f t="shared" ref="AP1744:AP1807" si="739">IF(R1744="x","2010",IF(S1744="x","2011",IF(T1744="x","2012","")))</f>
        <v/>
      </c>
      <c r="AQ1744" s="169" t="str">
        <f t="shared" ref="AQ1744:AQ1807" si="740">IF(OR(AH1744&lt;&gt;AN1744,AH1744&lt;&gt;AO1744,AH1744&lt;&gt;AP1744),"DIFF","")</f>
        <v/>
      </c>
      <c r="AR1744" s="170" t="str">
        <f t="shared" ref="AR1744:AR1807" si="741">IF(A1744="","",IF(ISERROR(SEARCH("K1",A1744)),A1744,LEFT(A1744,SEARCH("K1",A1744)+1)&amp;RIGHT(AH1744,1)&amp;MID(A1744,SEARCH("K1",A1744)+3,14)))</f>
        <v>BiK82a1KA3--07</v>
      </c>
      <c r="AS1744" s="169" t="str">
        <f t="shared" ref="AS1744:AS1807" si="742">IF(OR(A1744&lt;&gt;AR1744),"DIFF","")</f>
        <v/>
      </c>
      <c r="AT1744">
        <f t="shared" ref="AT1744:AT1807" si="743">LEN(AR1744)</f>
        <v>14</v>
      </c>
      <c r="AU1744" s="170" t="str">
        <f t="shared" ref="AU1744:AU1807" si="744">IF(D1744="","",IF(OR(A1744="",ISERROR(SEARCH("erstmals 201",D1744))),D1744,LEFT(D1744,SEARCH("erstmals 201",D1744)+8) &amp; AH1744 &amp; MID(D1744,SEARCH("erstmals 201",D1744)+13,255)))</f>
        <v>0,15-0,5 MW, Bonusregeln a1 und K wenn Anlage 3 erfüllt</v>
      </c>
      <c r="AV1744" s="169" t="str">
        <f t="shared" ref="AV1744:AV1807" si="745">IF(OR(D1744&lt;&gt;AU1744),"DIFF","")</f>
        <v/>
      </c>
      <c r="AW1744" s="170" t="str">
        <f t="shared" ref="AW1744:AW1807" si="746">IF(E1744="","",IF(OR(E1744="",ISERROR(SEARCH("erstmals 201",E1744))),E1744,LEFT(E1744,SEARCH("erstmals 201",E1744)+8) &amp; AH1744 &amp; MID(E1744,SEARCH("erstmals 201",E1744)+13,255)))</f>
        <v>Anteil KWK gemäß Anlage 3</v>
      </c>
      <c r="AX1744" s="169" t="str">
        <f t="shared" ref="AX1744:AX1807" si="747">IF(OR(E1744&lt;&gt;AW1744),"DIFF","")</f>
        <v/>
      </c>
      <c r="AY1744" t="str">
        <f t="shared" ref="AY1744:AY1807" si="748">IF(AH1744="2011","x",IF(AH1744="2012","","" &amp; S1744))</f>
        <v/>
      </c>
      <c r="AZ1744" t="str">
        <f t="shared" ref="AZ1744:AZ1807" si="749">IF(AH1744="2012","x",IF(AH1744="2011","","" &amp; T1744))</f>
        <v/>
      </c>
    </row>
    <row r="1745" spans="1:52" x14ac:dyDescent="0.35">
      <c r="A1745" s="497" t="s">
        <v>891</v>
      </c>
      <c r="B1745" s="13" t="s">
        <v>5547</v>
      </c>
      <c r="C1745" s="13" t="s">
        <v>1304</v>
      </c>
      <c r="D1745" s="13" t="s">
        <v>7102</v>
      </c>
      <c r="E1745" s="13" t="s">
        <v>674</v>
      </c>
      <c r="F1745" s="373">
        <f t="shared" si="726"/>
        <v>18.46</v>
      </c>
      <c r="G1745" s="430">
        <v>18.46</v>
      </c>
      <c r="H1745" s="399">
        <f t="shared" si="727"/>
        <v>14.77</v>
      </c>
      <c r="I1745" s="576"/>
      <c r="J1745" s="549" t="s">
        <v>5804</v>
      </c>
      <c r="K1745" s="11"/>
      <c r="M1745" s="37">
        <f t="shared" si="728"/>
        <v>18.46</v>
      </c>
      <c r="N1745" s="29">
        <v>9.4600000000000009</v>
      </c>
      <c r="O1745" s="41"/>
      <c r="P1745" s="11"/>
      <c r="Q1745" t="s">
        <v>1017</v>
      </c>
      <c r="S1745" t="s">
        <v>4179</v>
      </c>
      <c r="T1745" t="s">
        <v>4179</v>
      </c>
      <c r="U1745" s="42"/>
      <c r="V1745" t="s">
        <v>1017</v>
      </c>
      <c r="W1745" s="50"/>
      <c r="X1745" s="50"/>
      <c r="Z1745" s="50"/>
      <c r="AC1745" s="50"/>
      <c r="AE1745" s="75"/>
      <c r="AF1745" s="50"/>
      <c r="AG1745" s="50"/>
      <c r="AH1745" s="166" t="str">
        <f t="shared" si="736"/>
        <v/>
      </c>
      <c r="AI1745" s="168" t="str">
        <f t="shared" si="720"/>
        <v/>
      </c>
      <c r="AJ1745" s="168" t="str">
        <f t="shared" si="721"/>
        <v/>
      </c>
      <c r="AK1745" s="168" t="str">
        <f t="shared" si="722"/>
        <v/>
      </c>
      <c r="AL1745" s="168" t="str">
        <f t="shared" si="723"/>
        <v/>
      </c>
      <c r="AM1745" s="168" t="str">
        <f t="shared" si="724"/>
        <v/>
      </c>
      <c r="AN1745" s="167" t="str">
        <f t="shared" si="737"/>
        <v/>
      </c>
      <c r="AO1745" s="167" t="str">
        <f t="shared" si="738"/>
        <v/>
      </c>
      <c r="AP1745" s="167" t="str">
        <f t="shared" si="739"/>
        <v/>
      </c>
      <c r="AQ1745" s="169" t="str">
        <f t="shared" si="740"/>
        <v/>
      </c>
      <c r="AR1745" s="170" t="str">
        <f t="shared" si="741"/>
        <v>BiK82a1K09--07</v>
      </c>
      <c r="AS1745" s="169" t="str">
        <f t="shared" si="742"/>
        <v/>
      </c>
      <c r="AT1745">
        <f t="shared" si="743"/>
        <v>14</v>
      </c>
      <c r="AU1745" s="170" t="str">
        <f t="shared" si="744"/>
        <v>0,15-0,5 MW, Bonusregeln a1 und K erstmals 2009</v>
      </c>
      <c r="AV1745" s="169" t="str">
        <f t="shared" si="745"/>
        <v/>
      </c>
      <c r="AW1745" s="170" t="str">
        <f t="shared" si="746"/>
        <v>Anteil KWK, erstmals 2009</v>
      </c>
      <c r="AX1745" s="169" t="str">
        <f t="shared" si="747"/>
        <v/>
      </c>
      <c r="AY1745" t="str">
        <f t="shared" si="748"/>
        <v/>
      </c>
      <c r="AZ1745" t="str">
        <f t="shared" si="749"/>
        <v/>
      </c>
    </row>
    <row r="1746" spans="1:52" x14ac:dyDescent="0.35">
      <c r="A1746" s="497" t="s">
        <v>4966</v>
      </c>
      <c r="B1746" s="13" t="s">
        <v>5547</v>
      </c>
      <c r="C1746" s="13" t="s">
        <v>1304</v>
      </c>
      <c r="D1746" s="13" t="s">
        <v>7103</v>
      </c>
      <c r="E1746" s="13" t="s">
        <v>3566</v>
      </c>
      <c r="F1746" s="373">
        <f t="shared" si="726"/>
        <v>18.43</v>
      </c>
      <c r="G1746" s="430">
        <v>18.43</v>
      </c>
      <c r="H1746" s="399">
        <f t="shared" si="727"/>
        <v>14.74</v>
      </c>
      <c r="I1746" s="576"/>
      <c r="J1746" s="549" t="s">
        <v>5804</v>
      </c>
      <c r="K1746" s="11"/>
      <c r="M1746" s="37">
        <f t="shared" si="728"/>
        <v>18.43</v>
      </c>
      <c r="N1746" s="29">
        <v>9.4600000000000009</v>
      </c>
      <c r="O1746" s="41"/>
      <c r="P1746" s="11"/>
      <c r="R1746" t="s">
        <v>1017</v>
      </c>
      <c r="S1746" t="s">
        <v>4179</v>
      </c>
      <c r="T1746" t="s">
        <v>4179</v>
      </c>
      <c r="U1746" s="42"/>
      <c r="V1746" t="s">
        <v>1017</v>
      </c>
      <c r="W1746" s="50"/>
      <c r="X1746" s="50"/>
      <c r="Z1746" s="50"/>
      <c r="AC1746" s="50"/>
      <c r="AE1746" s="75"/>
      <c r="AF1746" s="50"/>
      <c r="AG1746" s="50"/>
      <c r="AH1746" s="166" t="str">
        <f t="shared" si="736"/>
        <v>2010</v>
      </c>
      <c r="AI1746" s="168" t="str">
        <f t="shared" si="720"/>
        <v/>
      </c>
      <c r="AJ1746" s="168" t="str">
        <f t="shared" si="721"/>
        <v/>
      </c>
      <c r="AK1746" s="168" t="str">
        <f t="shared" si="722"/>
        <v/>
      </c>
      <c r="AL1746" s="168" t="str">
        <f t="shared" si="723"/>
        <v/>
      </c>
      <c r="AM1746" s="168" t="str">
        <f t="shared" si="724"/>
        <v/>
      </c>
      <c r="AN1746" s="167" t="str">
        <f t="shared" si="737"/>
        <v>2010</v>
      </c>
      <c r="AO1746" s="167" t="str">
        <f t="shared" si="738"/>
        <v>2010</v>
      </c>
      <c r="AP1746" s="167" t="str">
        <f t="shared" si="739"/>
        <v>2010</v>
      </c>
      <c r="AQ1746" s="169" t="str">
        <f t="shared" si="740"/>
        <v/>
      </c>
      <c r="AR1746" s="170" t="str">
        <f t="shared" si="741"/>
        <v>BiK82a1K10--07</v>
      </c>
      <c r="AS1746" s="169" t="str">
        <f t="shared" si="742"/>
        <v/>
      </c>
      <c r="AT1746">
        <f t="shared" si="743"/>
        <v>14</v>
      </c>
      <c r="AU1746" s="170" t="str">
        <f t="shared" si="744"/>
        <v>0,15-0,5 MW, Bonusregeln a1 und K erstmals 2010</v>
      </c>
      <c r="AV1746" s="169" t="str">
        <f t="shared" si="745"/>
        <v/>
      </c>
      <c r="AW1746" s="170" t="str">
        <f t="shared" si="746"/>
        <v>Anteil KWK, erstmals 2010</v>
      </c>
      <c r="AX1746" s="169" t="str">
        <f t="shared" si="747"/>
        <v/>
      </c>
      <c r="AY1746" t="str">
        <f t="shared" si="748"/>
        <v/>
      </c>
      <c r="AZ1746" t="str">
        <f t="shared" si="749"/>
        <v/>
      </c>
    </row>
    <row r="1747" spans="1:52" x14ac:dyDescent="0.35">
      <c r="A1747" s="497" t="s">
        <v>3403</v>
      </c>
      <c r="B1747" s="13" t="s">
        <v>5547</v>
      </c>
      <c r="C1747" s="13" t="s">
        <v>1304</v>
      </c>
      <c r="D1747" s="13" t="s">
        <v>7104</v>
      </c>
      <c r="E1747" s="13" t="s">
        <v>3054</v>
      </c>
      <c r="F1747" s="373">
        <f t="shared" si="726"/>
        <v>18.399999999999999</v>
      </c>
      <c r="G1747" s="430">
        <v>18.399999999999999</v>
      </c>
      <c r="H1747" s="399">
        <f t="shared" si="727"/>
        <v>14.72</v>
      </c>
      <c r="I1747" s="576"/>
      <c r="J1747" s="549" t="s">
        <v>5804</v>
      </c>
      <c r="K1747" s="11"/>
      <c r="M1747" s="37">
        <f t="shared" si="728"/>
        <v>18.399999999999999</v>
      </c>
      <c r="N1747" s="29">
        <v>9.4600000000000009</v>
      </c>
      <c r="O1747" s="41"/>
      <c r="P1747" s="11"/>
      <c r="S1747" t="s">
        <v>1017</v>
      </c>
      <c r="T1747" t="s">
        <v>4179</v>
      </c>
      <c r="U1747" s="42"/>
      <c r="V1747" t="s">
        <v>1017</v>
      </c>
      <c r="W1747" s="50"/>
      <c r="X1747" s="50"/>
      <c r="Z1747" s="50"/>
      <c r="AC1747" s="50"/>
      <c r="AE1747" s="75"/>
      <c r="AF1747" s="50"/>
      <c r="AG1747" s="50"/>
      <c r="AH1747" s="166" t="str">
        <f t="shared" si="736"/>
        <v>2011</v>
      </c>
      <c r="AI1747" s="168" t="str">
        <f t="shared" ref="AI1747:AI1810" si="750">IF(AND($AH1747&lt;&gt;"",AH1747 =AH1746),"Gleich","")</f>
        <v/>
      </c>
      <c r="AJ1747" s="168" t="str">
        <f t="shared" ref="AJ1747:AJ1810" si="751">IF(AND($AH1747&lt;&gt;"",A1747 =A1746),"Gleich","")</f>
        <v/>
      </c>
      <c r="AK1747" s="168" t="str">
        <f t="shared" ref="AK1747:AK1810" si="752">IF(AND($AH1747&lt;&gt;"",D1747 =D1746),"Gleich","")</f>
        <v/>
      </c>
      <c r="AL1747" s="168" t="str">
        <f t="shared" ref="AL1747:AL1810" si="753">IF(AND($AH1747&lt;&gt;"",E1747 =E1746),"Gleich","")</f>
        <v/>
      </c>
      <c r="AM1747" s="168" t="str">
        <f t="shared" ref="AM1747:AM1810" si="754">IF(AND($AH1747&lt;&gt;"",F1747 =F1746),"Gleich","")</f>
        <v/>
      </c>
      <c r="AN1747" s="167" t="str">
        <f t="shared" si="737"/>
        <v>2011</v>
      </c>
      <c r="AO1747" s="167" t="str">
        <f t="shared" si="738"/>
        <v>2011</v>
      </c>
      <c r="AP1747" s="167" t="str">
        <f t="shared" si="739"/>
        <v>2011</v>
      </c>
      <c r="AQ1747" s="169" t="str">
        <f t="shared" si="740"/>
        <v/>
      </c>
      <c r="AR1747" s="170" t="str">
        <f t="shared" si="741"/>
        <v>BiK82a1K11--07</v>
      </c>
      <c r="AS1747" s="169" t="str">
        <f t="shared" si="742"/>
        <v/>
      </c>
      <c r="AT1747">
        <f t="shared" si="743"/>
        <v>14</v>
      </c>
      <c r="AU1747" s="170" t="str">
        <f t="shared" si="744"/>
        <v>0,15-0,5 MW, Bonusregeln a1 und K erstmals 2011</v>
      </c>
      <c r="AV1747" s="169" t="str">
        <f t="shared" si="745"/>
        <v/>
      </c>
      <c r="AW1747" s="170" t="str">
        <f t="shared" si="746"/>
        <v>Anteil KWK, erstmals 2011</v>
      </c>
      <c r="AX1747" s="169" t="str">
        <f t="shared" si="747"/>
        <v/>
      </c>
      <c r="AY1747" t="str">
        <f t="shared" si="748"/>
        <v>x</v>
      </c>
      <c r="AZ1747" t="str">
        <f t="shared" si="749"/>
        <v/>
      </c>
    </row>
    <row r="1748" spans="1:52" x14ac:dyDescent="0.35">
      <c r="A1748" s="511" t="s">
        <v>1836</v>
      </c>
      <c r="B1748" s="173" t="s">
        <v>5547</v>
      </c>
      <c r="C1748" s="173" t="s">
        <v>1304</v>
      </c>
      <c r="D1748" s="173" t="s">
        <v>7105</v>
      </c>
      <c r="E1748" s="173" t="s">
        <v>1980</v>
      </c>
      <c r="F1748" s="374">
        <f t="shared" si="726"/>
        <v>18.37</v>
      </c>
      <c r="G1748" s="431">
        <v>18.37</v>
      </c>
      <c r="H1748" s="400">
        <f t="shared" si="727"/>
        <v>14.7</v>
      </c>
      <c r="I1748" s="577"/>
      <c r="J1748" s="549" t="s">
        <v>5804</v>
      </c>
      <c r="K1748" s="11"/>
      <c r="M1748" s="37">
        <f t="shared" si="728"/>
        <v>18.37</v>
      </c>
      <c r="N1748" s="29">
        <v>9.4600000000000009</v>
      </c>
      <c r="O1748" s="41"/>
      <c r="P1748" s="11"/>
      <c r="S1748" t="s">
        <v>4179</v>
      </c>
      <c r="T1748" t="s">
        <v>1017</v>
      </c>
      <c r="U1748" s="42"/>
      <c r="V1748" t="s">
        <v>1017</v>
      </c>
      <c r="W1748" s="50"/>
      <c r="X1748" s="50"/>
      <c r="Z1748" s="50"/>
      <c r="AC1748" s="50"/>
      <c r="AE1748" s="75"/>
      <c r="AF1748" s="50"/>
      <c r="AG1748" s="50"/>
      <c r="AH1748" s="171" t="s">
        <v>4178</v>
      </c>
      <c r="AI1748" s="168" t="str">
        <f t="shared" si="750"/>
        <v/>
      </c>
      <c r="AJ1748" s="168" t="str">
        <f t="shared" si="751"/>
        <v/>
      </c>
      <c r="AK1748" s="168" t="str">
        <f t="shared" si="752"/>
        <v/>
      </c>
      <c r="AL1748" s="168" t="str">
        <f t="shared" si="753"/>
        <v/>
      </c>
      <c r="AM1748" s="168" t="str">
        <f t="shared" si="754"/>
        <v/>
      </c>
      <c r="AN1748" s="167" t="str">
        <f t="shared" si="737"/>
        <v>2012</v>
      </c>
      <c r="AO1748" s="167" t="str">
        <f t="shared" si="738"/>
        <v>2012</v>
      </c>
      <c r="AP1748" s="167" t="str">
        <f t="shared" si="739"/>
        <v>2012</v>
      </c>
      <c r="AQ1748" s="169" t="str">
        <f t="shared" si="740"/>
        <v/>
      </c>
      <c r="AR1748" s="170" t="str">
        <f t="shared" si="741"/>
        <v>BiK82a1K12--07</v>
      </c>
      <c r="AS1748" s="169" t="str">
        <f t="shared" si="742"/>
        <v/>
      </c>
      <c r="AT1748">
        <f t="shared" si="743"/>
        <v>14</v>
      </c>
      <c r="AU1748" s="170" t="str">
        <f t="shared" si="744"/>
        <v>0,15-0,5 MW, Bonusregeln a1 und K erstmals 2012</v>
      </c>
      <c r="AV1748" s="169" t="str">
        <f t="shared" si="745"/>
        <v/>
      </c>
      <c r="AW1748" s="170" t="str">
        <f t="shared" si="746"/>
        <v>Anteil KWK, erstmals 2012</v>
      </c>
      <c r="AX1748" s="169" t="str">
        <f t="shared" si="747"/>
        <v/>
      </c>
      <c r="AY1748" t="str">
        <f t="shared" si="748"/>
        <v/>
      </c>
      <c r="AZ1748" t="str">
        <f t="shared" si="749"/>
        <v>x</v>
      </c>
    </row>
    <row r="1749" spans="1:52" x14ac:dyDescent="0.35">
      <c r="A1749" s="497" t="s">
        <v>4002</v>
      </c>
      <c r="B1749" s="13" t="s">
        <v>5547</v>
      </c>
      <c r="C1749" s="13" t="s">
        <v>1304</v>
      </c>
      <c r="D1749" s="13" t="s">
        <v>7106</v>
      </c>
      <c r="E1749" s="13" t="s">
        <v>4809</v>
      </c>
      <c r="F1749" s="373">
        <f t="shared" si="726"/>
        <v>16.46</v>
      </c>
      <c r="G1749" s="430">
        <v>16.46</v>
      </c>
      <c r="H1749" s="399">
        <f t="shared" si="727"/>
        <v>13.17</v>
      </c>
      <c r="I1749" s="576"/>
      <c r="J1749" s="549" t="s">
        <v>5804</v>
      </c>
      <c r="K1749" s="11"/>
      <c r="M1749" s="37">
        <f t="shared" si="728"/>
        <v>16.46</v>
      </c>
      <c r="N1749" s="29">
        <v>9.4600000000000009</v>
      </c>
      <c r="O1749" s="41"/>
      <c r="P1749" s="11"/>
      <c r="S1749" t="s">
        <v>4179</v>
      </c>
      <c r="T1749" t="s">
        <v>4179</v>
      </c>
      <c r="U1749" s="42" t="s">
        <v>1017</v>
      </c>
      <c r="V1749" t="s">
        <v>1017</v>
      </c>
      <c r="W1749" s="50"/>
      <c r="X1749" s="50"/>
      <c r="Z1749" s="50"/>
      <c r="AC1749" s="50"/>
      <c r="AE1749" s="75"/>
      <c r="AF1749" s="50"/>
      <c r="AG1749" s="50"/>
      <c r="AH1749" s="166" t="str">
        <f t="shared" ref="AH1749:AH1754" si="755">IF(ISERROR(SEARCH("K erstmals 201",D1749)),"",RIGHT(D1749,4))</f>
        <v/>
      </c>
      <c r="AI1749" s="168" t="str">
        <f t="shared" si="750"/>
        <v/>
      </c>
      <c r="AJ1749" s="168" t="str">
        <f t="shared" si="751"/>
        <v/>
      </c>
      <c r="AK1749" s="168" t="str">
        <f t="shared" si="752"/>
        <v/>
      </c>
      <c r="AL1749" s="168" t="str">
        <f t="shared" si="753"/>
        <v/>
      </c>
      <c r="AM1749" s="168" t="str">
        <f t="shared" si="754"/>
        <v/>
      </c>
      <c r="AN1749" s="167" t="str">
        <f t="shared" si="737"/>
        <v/>
      </c>
      <c r="AO1749" s="167" t="str">
        <f t="shared" si="738"/>
        <v/>
      </c>
      <c r="AP1749" s="167" t="str">
        <f t="shared" si="739"/>
        <v/>
      </c>
      <c r="AQ1749" s="169" t="str">
        <f t="shared" si="740"/>
        <v/>
      </c>
      <c r="AR1749" s="170" t="str">
        <f t="shared" si="741"/>
        <v>BiK82a1y----07</v>
      </c>
      <c r="AS1749" s="169" t="str">
        <f t="shared" si="742"/>
        <v/>
      </c>
      <c r="AT1749">
        <f t="shared" si="743"/>
        <v>14</v>
      </c>
      <c r="AU1749" s="170" t="str">
        <f t="shared" si="744"/>
        <v>0,15-0,5 MW, Bonusregeln a1, y</v>
      </c>
      <c r="AV1749" s="169" t="str">
        <f t="shared" si="745"/>
        <v/>
      </c>
      <c r="AW1749" s="170" t="str">
        <f t="shared" si="746"/>
        <v>Anteil Nicht-KWK</v>
      </c>
      <c r="AX1749" s="169" t="str">
        <f t="shared" si="747"/>
        <v/>
      </c>
      <c r="AY1749" t="str">
        <f t="shared" si="748"/>
        <v/>
      </c>
      <c r="AZ1749" t="str">
        <f t="shared" si="749"/>
        <v/>
      </c>
    </row>
    <row r="1750" spans="1:52" x14ac:dyDescent="0.35">
      <c r="A1750" s="497" t="s">
        <v>4003</v>
      </c>
      <c r="B1750" s="13" t="s">
        <v>5547</v>
      </c>
      <c r="C1750" s="13" t="s">
        <v>1304</v>
      </c>
      <c r="D1750" s="13" t="s">
        <v>7107</v>
      </c>
      <c r="E1750" s="13" t="s">
        <v>4811</v>
      </c>
      <c r="F1750" s="373">
        <f t="shared" si="726"/>
        <v>18.46</v>
      </c>
      <c r="G1750" s="430">
        <v>18.46</v>
      </c>
      <c r="H1750" s="399">
        <f t="shared" si="727"/>
        <v>14.77</v>
      </c>
      <c r="I1750" s="576"/>
      <c r="J1750" s="549" t="s">
        <v>5804</v>
      </c>
      <c r="K1750" s="11"/>
      <c r="M1750" s="37">
        <f t="shared" si="728"/>
        <v>18.46</v>
      </c>
      <c r="N1750" s="29">
        <v>9.4600000000000009</v>
      </c>
      <c r="O1750" s="41" t="s">
        <v>1017</v>
      </c>
      <c r="P1750" s="11"/>
      <c r="S1750" t="s">
        <v>4179</v>
      </c>
      <c r="T1750" t="s">
        <v>4179</v>
      </c>
      <c r="U1750" s="42" t="s">
        <v>1017</v>
      </c>
      <c r="V1750" t="s">
        <v>1017</v>
      </c>
      <c r="W1750" s="50"/>
      <c r="X1750" s="50"/>
      <c r="Z1750" s="50"/>
      <c r="AC1750" s="50"/>
      <c r="AE1750" s="75"/>
      <c r="AF1750" s="50"/>
      <c r="AG1750" s="50"/>
      <c r="AH1750" s="166" t="str">
        <f t="shared" si="755"/>
        <v/>
      </c>
      <c r="AI1750" s="168" t="str">
        <f t="shared" si="750"/>
        <v/>
      </c>
      <c r="AJ1750" s="168" t="str">
        <f t="shared" si="751"/>
        <v/>
      </c>
      <c r="AK1750" s="168" t="str">
        <f t="shared" si="752"/>
        <v/>
      </c>
      <c r="AL1750" s="168" t="str">
        <f t="shared" si="753"/>
        <v/>
      </c>
      <c r="AM1750" s="168" t="str">
        <f t="shared" si="754"/>
        <v/>
      </c>
      <c r="AN1750" s="167" t="str">
        <f t="shared" si="737"/>
        <v/>
      </c>
      <c r="AO1750" s="167" t="str">
        <f t="shared" si="738"/>
        <v/>
      </c>
      <c r="AP1750" s="167" t="str">
        <f t="shared" si="739"/>
        <v/>
      </c>
      <c r="AQ1750" s="169" t="str">
        <f t="shared" si="740"/>
        <v/>
      </c>
      <c r="AR1750" s="170" t="str">
        <f t="shared" si="741"/>
        <v>BiK82a1KWKy-07</v>
      </c>
      <c r="AS1750" s="169" t="str">
        <f t="shared" si="742"/>
        <v/>
      </c>
      <c r="AT1750">
        <f t="shared" si="743"/>
        <v>14</v>
      </c>
      <c r="AU1750" s="170" t="str">
        <f t="shared" si="744"/>
        <v>0,15-0,5 MW, Bonusregeln a1, y und KWK</v>
      </c>
      <c r="AV1750" s="169" t="str">
        <f t="shared" si="745"/>
        <v/>
      </c>
      <c r="AW1750" s="170" t="str">
        <f t="shared" si="746"/>
        <v>Anteil KWK</v>
      </c>
      <c r="AX1750" s="169" t="str">
        <f t="shared" si="747"/>
        <v/>
      </c>
      <c r="AY1750" t="str">
        <f t="shared" si="748"/>
        <v/>
      </c>
      <c r="AZ1750" t="str">
        <f t="shared" si="749"/>
        <v/>
      </c>
    </row>
    <row r="1751" spans="1:52" x14ac:dyDescent="0.35">
      <c r="A1751" s="497" t="s">
        <v>4004</v>
      </c>
      <c r="B1751" s="13" t="s">
        <v>5547</v>
      </c>
      <c r="C1751" s="13" t="s">
        <v>1304</v>
      </c>
      <c r="D1751" s="13" t="s">
        <v>7108</v>
      </c>
      <c r="E1751" s="13" t="s">
        <v>4330</v>
      </c>
      <c r="F1751" s="373">
        <f t="shared" si="726"/>
        <v>19.46</v>
      </c>
      <c r="G1751" s="430">
        <v>19.46</v>
      </c>
      <c r="H1751" s="399">
        <f t="shared" si="727"/>
        <v>15.57</v>
      </c>
      <c r="I1751" s="576"/>
      <c r="J1751" s="549" t="s">
        <v>5804</v>
      </c>
      <c r="K1751" s="11"/>
      <c r="M1751" s="37">
        <f t="shared" si="728"/>
        <v>19.46</v>
      </c>
      <c r="N1751" s="29">
        <v>9.4600000000000009</v>
      </c>
      <c r="O1751" s="41"/>
      <c r="P1751" t="s">
        <v>1017</v>
      </c>
      <c r="S1751" t="s">
        <v>4179</v>
      </c>
      <c r="T1751" t="s">
        <v>4179</v>
      </c>
      <c r="U1751" s="42" t="s">
        <v>1017</v>
      </c>
      <c r="V1751" t="s">
        <v>1017</v>
      </c>
      <c r="W1751" s="50"/>
      <c r="X1751" s="50"/>
      <c r="Z1751" s="50"/>
      <c r="AC1751" s="50"/>
      <c r="AE1751" s="75"/>
      <c r="AF1751" s="50"/>
      <c r="AG1751" s="50"/>
      <c r="AH1751" s="166" t="str">
        <f t="shared" si="755"/>
        <v/>
      </c>
      <c r="AI1751" s="168" t="str">
        <f t="shared" si="750"/>
        <v/>
      </c>
      <c r="AJ1751" s="168" t="str">
        <f t="shared" si="751"/>
        <v/>
      </c>
      <c r="AK1751" s="168" t="str">
        <f t="shared" si="752"/>
        <v/>
      </c>
      <c r="AL1751" s="168" t="str">
        <f t="shared" si="753"/>
        <v/>
      </c>
      <c r="AM1751" s="168" t="str">
        <f t="shared" si="754"/>
        <v/>
      </c>
      <c r="AN1751" s="167" t="str">
        <f t="shared" si="737"/>
        <v/>
      </c>
      <c r="AO1751" s="167" t="str">
        <f t="shared" si="738"/>
        <v/>
      </c>
      <c r="AP1751" s="167" t="str">
        <f t="shared" si="739"/>
        <v/>
      </c>
      <c r="AQ1751" s="169" t="str">
        <f t="shared" si="740"/>
        <v/>
      </c>
      <c r="AR1751" s="170" t="str">
        <f t="shared" si="741"/>
        <v>BiK82a1KA3y-07</v>
      </c>
      <c r="AS1751" s="169" t="str">
        <f t="shared" si="742"/>
        <v/>
      </c>
      <c r="AT1751">
        <f t="shared" si="743"/>
        <v>14</v>
      </c>
      <c r="AU1751" s="170" t="str">
        <f t="shared" si="744"/>
        <v>0,15-0,5 MW, Bonusregeln a1, y und K wenn Anlage 3 erfüllt</v>
      </c>
      <c r="AV1751" s="169" t="str">
        <f t="shared" si="745"/>
        <v/>
      </c>
      <c r="AW1751" s="170" t="str">
        <f t="shared" si="746"/>
        <v>Anteil KWK gemäß Anlage 3</v>
      </c>
      <c r="AX1751" s="169" t="str">
        <f t="shared" si="747"/>
        <v/>
      </c>
      <c r="AY1751" t="str">
        <f t="shared" si="748"/>
        <v/>
      </c>
      <c r="AZ1751" t="str">
        <f t="shared" si="749"/>
        <v/>
      </c>
    </row>
    <row r="1752" spans="1:52" x14ac:dyDescent="0.35">
      <c r="A1752" s="497" t="s">
        <v>4005</v>
      </c>
      <c r="B1752" s="13" t="s">
        <v>5547</v>
      </c>
      <c r="C1752" s="13" t="s">
        <v>1304</v>
      </c>
      <c r="D1752" s="13" t="s">
        <v>7109</v>
      </c>
      <c r="E1752" s="13" t="s">
        <v>674</v>
      </c>
      <c r="F1752" s="373">
        <f t="shared" ref="F1752:F1815" si="756">M1752</f>
        <v>19.46</v>
      </c>
      <c r="G1752" s="430">
        <v>19.46</v>
      </c>
      <c r="H1752" s="399">
        <f t="shared" ref="H1752:H1815" si="757">IF(ISNUMBER(G1752),ROUND(0.8*G1752,2),"")</f>
        <v>15.57</v>
      </c>
      <c r="I1752" s="576"/>
      <c r="J1752" s="549" t="s">
        <v>5804</v>
      </c>
      <c r="K1752" s="11"/>
      <c r="M1752" s="37">
        <f t="shared" ref="M1752:M1815" si="758">N1752+SUMIF(O1752:AG1752,"x",O$1559:AG$1559)</f>
        <v>19.46</v>
      </c>
      <c r="N1752" s="29">
        <v>9.4600000000000009</v>
      </c>
      <c r="O1752" s="41"/>
      <c r="P1752" s="11"/>
      <c r="Q1752" t="s">
        <v>1017</v>
      </c>
      <c r="S1752" t="s">
        <v>4179</v>
      </c>
      <c r="T1752" t="s">
        <v>4179</v>
      </c>
      <c r="U1752" s="42" t="s">
        <v>1017</v>
      </c>
      <c r="V1752" t="s">
        <v>1017</v>
      </c>
      <c r="W1752" s="50"/>
      <c r="X1752" s="50"/>
      <c r="Z1752" s="50"/>
      <c r="AC1752" s="50"/>
      <c r="AE1752" s="75"/>
      <c r="AF1752" s="50"/>
      <c r="AG1752" s="50"/>
      <c r="AH1752" s="166" t="str">
        <f t="shared" si="755"/>
        <v/>
      </c>
      <c r="AI1752" s="168" t="str">
        <f t="shared" si="750"/>
        <v/>
      </c>
      <c r="AJ1752" s="168" t="str">
        <f t="shared" si="751"/>
        <v/>
      </c>
      <c r="AK1752" s="168" t="str">
        <f t="shared" si="752"/>
        <v/>
      </c>
      <c r="AL1752" s="168" t="str">
        <f t="shared" si="753"/>
        <v/>
      </c>
      <c r="AM1752" s="168" t="str">
        <f t="shared" si="754"/>
        <v/>
      </c>
      <c r="AN1752" s="167" t="str">
        <f t="shared" si="737"/>
        <v/>
      </c>
      <c r="AO1752" s="167" t="str">
        <f t="shared" si="738"/>
        <v/>
      </c>
      <c r="AP1752" s="167" t="str">
        <f t="shared" si="739"/>
        <v/>
      </c>
      <c r="AQ1752" s="169" t="str">
        <f t="shared" si="740"/>
        <v/>
      </c>
      <c r="AR1752" s="170" t="str">
        <f t="shared" si="741"/>
        <v>BiK82a1K09y-07</v>
      </c>
      <c r="AS1752" s="169" t="str">
        <f t="shared" si="742"/>
        <v/>
      </c>
      <c r="AT1752">
        <f t="shared" si="743"/>
        <v>14</v>
      </c>
      <c r="AU1752" s="170" t="str">
        <f t="shared" si="744"/>
        <v>0,15-0,5 MW, Bonusregeln a1, y und K erstmals 2009</v>
      </c>
      <c r="AV1752" s="169" t="str">
        <f t="shared" si="745"/>
        <v/>
      </c>
      <c r="AW1752" s="170" t="str">
        <f t="shared" si="746"/>
        <v>Anteil KWK, erstmals 2009</v>
      </c>
      <c r="AX1752" s="169" t="str">
        <f t="shared" si="747"/>
        <v/>
      </c>
      <c r="AY1752" t="str">
        <f t="shared" si="748"/>
        <v/>
      </c>
      <c r="AZ1752" t="str">
        <f t="shared" si="749"/>
        <v/>
      </c>
    </row>
    <row r="1753" spans="1:52" x14ac:dyDescent="0.35">
      <c r="A1753" s="497" t="s">
        <v>4967</v>
      </c>
      <c r="B1753" s="13" t="s">
        <v>5547</v>
      </c>
      <c r="C1753" s="13" t="s">
        <v>1304</v>
      </c>
      <c r="D1753" s="13" t="s">
        <v>7110</v>
      </c>
      <c r="E1753" s="13" t="s">
        <v>3566</v>
      </c>
      <c r="F1753" s="373">
        <f t="shared" si="756"/>
        <v>19.43</v>
      </c>
      <c r="G1753" s="430">
        <v>19.43</v>
      </c>
      <c r="H1753" s="399">
        <f t="shared" si="757"/>
        <v>15.54</v>
      </c>
      <c r="I1753" s="576"/>
      <c r="J1753" s="549" t="s">
        <v>5804</v>
      </c>
      <c r="K1753" s="11"/>
      <c r="M1753" s="37">
        <f t="shared" si="758"/>
        <v>19.43</v>
      </c>
      <c r="N1753" s="29">
        <v>9.4600000000000009</v>
      </c>
      <c r="O1753" s="41"/>
      <c r="P1753" s="11"/>
      <c r="R1753" t="s">
        <v>1017</v>
      </c>
      <c r="S1753" t="s">
        <v>4179</v>
      </c>
      <c r="T1753" t="s">
        <v>4179</v>
      </c>
      <c r="U1753" s="42" t="s">
        <v>1017</v>
      </c>
      <c r="V1753" t="s">
        <v>1017</v>
      </c>
      <c r="W1753" s="50"/>
      <c r="X1753" s="50"/>
      <c r="Z1753" s="50"/>
      <c r="AC1753" s="50"/>
      <c r="AE1753" s="75"/>
      <c r="AF1753" s="50"/>
      <c r="AG1753" s="50"/>
      <c r="AH1753" s="166" t="str">
        <f t="shared" si="755"/>
        <v>2010</v>
      </c>
      <c r="AI1753" s="168" t="str">
        <f t="shared" si="750"/>
        <v/>
      </c>
      <c r="AJ1753" s="168" t="str">
        <f t="shared" si="751"/>
        <v/>
      </c>
      <c r="AK1753" s="168" t="str">
        <f t="shared" si="752"/>
        <v/>
      </c>
      <c r="AL1753" s="168" t="str">
        <f t="shared" si="753"/>
        <v/>
      </c>
      <c r="AM1753" s="168" t="str">
        <f t="shared" si="754"/>
        <v/>
      </c>
      <c r="AN1753" s="167" t="str">
        <f t="shared" si="737"/>
        <v>2010</v>
      </c>
      <c r="AO1753" s="167" t="str">
        <f t="shared" si="738"/>
        <v>2010</v>
      </c>
      <c r="AP1753" s="167" t="str">
        <f t="shared" si="739"/>
        <v>2010</v>
      </c>
      <c r="AQ1753" s="169" t="str">
        <f t="shared" si="740"/>
        <v/>
      </c>
      <c r="AR1753" s="170" t="str">
        <f t="shared" si="741"/>
        <v>BiK82a1K10y-07</v>
      </c>
      <c r="AS1753" s="169" t="str">
        <f t="shared" si="742"/>
        <v/>
      </c>
      <c r="AT1753">
        <f t="shared" si="743"/>
        <v>14</v>
      </c>
      <c r="AU1753" s="170" t="str">
        <f t="shared" si="744"/>
        <v>0,15-0,5 MW, Bonusregeln a1, y und K erstmals 2010</v>
      </c>
      <c r="AV1753" s="169" t="str">
        <f t="shared" si="745"/>
        <v/>
      </c>
      <c r="AW1753" s="170" t="str">
        <f t="shared" si="746"/>
        <v>Anteil KWK, erstmals 2010</v>
      </c>
      <c r="AX1753" s="169" t="str">
        <f t="shared" si="747"/>
        <v/>
      </c>
      <c r="AY1753" t="str">
        <f t="shared" si="748"/>
        <v/>
      </c>
      <c r="AZ1753" t="str">
        <f t="shared" si="749"/>
        <v/>
      </c>
    </row>
    <row r="1754" spans="1:52" x14ac:dyDescent="0.35">
      <c r="A1754" s="497" t="s">
        <v>3404</v>
      </c>
      <c r="B1754" s="13" t="s">
        <v>5547</v>
      </c>
      <c r="C1754" s="13" t="s">
        <v>1304</v>
      </c>
      <c r="D1754" s="13" t="s">
        <v>7111</v>
      </c>
      <c r="E1754" s="13" t="s">
        <v>3054</v>
      </c>
      <c r="F1754" s="373">
        <f t="shared" si="756"/>
        <v>19.399999999999999</v>
      </c>
      <c r="G1754" s="430">
        <v>19.399999999999999</v>
      </c>
      <c r="H1754" s="399">
        <f t="shared" si="757"/>
        <v>15.52</v>
      </c>
      <c r="I1754" s="576"/>
      <c r="J1754" s="549" t="s">
        <v>5804</v>
      </c>
      <c r="K1754" s="11"/>
      <c r="M1754" s="37">
        <f t="shared" si="758"/>
        <v>19.399999999999999</v>
      </c>
      <c r="N1754" s="29">
        <v>9.4600000000000009</v>
      </c>
      <c r="O1754" s="41"/>
      <c r="P1754" s="11"/>
      <c r="S1754" t="s">
        <v>1017</v>
      </c>
      <c r="T1754" t="s">
        <v>4179</v>
      </c>
      <c r="U1754" s="42" t="s">
        <v>1017</v>
      </c>
      <c r="V1754" t="s">
        <v>1017</v>
      </c>
      <c r="W1754" s="50"/>
      <c r="X1754" s="50"/>
      <c r="Z1754" s="50"/>
      <c r="AC1754" s="50"/>
      <c r="AE1754" s="75"/>
      <c r="AF1754" s="50"/>
      <c r="AG1754" s="50"/>
      <c r="AH1754" s="166" t="str">
        <f t="shared" si="755"/>
        <v>2011</v>
      </c>
      <c r="AI1754" s="168" t="str">
        <f t="shared" si="750"/>
        <v/>
      </c>
      <c r="AJ1754" s="168" t="str">
        <f t="shared" si="751"/>
        <v/>
      </c>
      <c r="AK1754" s="168" t="str">
        <f t="shared" si="752"/>
        <v/>
      </c>
      <c r="AL1754" s="168" t="str">
        <f t="shared" si="753"/>
        <v/>
      </c>
      <c r="AM1754" s="168" t="str">
        <f t="shared" si="754"/>
        <v/>
      </c>
      <c r="AN1754" s="167" t="str">
        <f t="shared" si="737"/>
        <v>2011</v>
      </c>
      <c r="AO1754" s="167" t="str">
        <f t="shared" si="738"/>
        <v>2011</v>
      </c>
      <c r="AP1754" s="167" t="str">
        <f t="shared" si="739"/>
        <v>2011</v>
      </c>
      <c r="AQ1754" s="169" t="str">
        <f t="shared" si="740"/>
        <v/>
      </c>
      <c r="AR1754" s="170" t="str">
        <f t="shared" si="741"/>
        <v>BiK82a1K11y-07</v>
      </c>
      <c r="AS1754" s="169" t="str">
        <f t="shared" si="742"/>
        <v/>
      </c>
      <c r="AT1754">
        <f t="shared" si="743"/>
        <v>14</v>
      </c>
      <c r="AU1754" s="170" t="str">
        <f t="shared" si="744"/>
        <v>0,15-0,5 MW, Bonusregeln a1, y und K erstmals 2011</v>
      </c>
      <c r="AV1754" s="169" t="str">
        <f t="shared" si="745"/>
        <v/>
      </c>
      <c r="AW1754" s="170" t="str">
        <f t="shared" si="746"/>
        <v>Anteil KWK, erstmals 2011</v>
      </c>
      <c r="AX1754" s="169" t="str">
        <f t="shared" si="747"/>
        <v/>
      </c>
      <c r="AY1754" t="str">
        <f t="shared" si="748"/>
        <v>x</v>
      </c>
      <c r="AZ1754" t="str">
        <f t="shared" si="749"/>
        <v/>
      </c>
    </row>
    <row r="1755" spans="1:52" x14ac:dyDescent="0.35">
      <c r="A1755" s="511" t="s">
        <v>1837</v>
      </c>
      <c r="B1755" s="173" t="s">
        <v>5547</v>
      </c>
      <c r="C1755" s="173" t="s">
        <v>1304</v>
      </c>
      <c r="D1755" s="173" t="s">
        <v>7112</v>
      </c>
      <c r="E1755" s="173" t="s">
        <v>1980</v>
      </c>
      <c r="F1755" s="374">
        <f t="shared" si="756"/>
        <v>19.37</v>
      </c>
      <c r="G1755" s="431">
        <v>19.37</v>
      </c>
      <c r="H1755" s="400">
        <f t="shared" si="757"/>
        <v>15.5</v>
      </c>
      <c r="I1755" s="577"/>
      <c r="J1755" s="549" t="s">
        <v>5804</v>
      </c>
      <c r="K1755" s="11"/>
      <c r="M1755" s="37">
        <f t="shared" si="758"/>
        <v>19.37</v>
      </c>
      <c r="N1755" s="29">
        <v>9.4600000000000009</v>
      </c>
      <c r="O1755" s="41"/>
      <c r="P1755" s="11"/>
      <c r="S1755" t="s">
        <v>4179</v>
      </c>
      <c r="T1755" t="s">
        <v>1017</v>
      </c>
      <c r="U1755" s="42" t="s">
        <v>1017</v>
      </c>
      <c r="V1755" t="s">
        <v>1017</v>
      </c>
      <c r="W1755" s="50"/>
      <c r="X1755" s="50"/>
      <c r="Z1755" s="50"/>
      <c r="AC1755" s="50"/>
      <c r="AE1755" s="75"/>
      <c r="AF1755" s="50"/>
      <c r="AG1755" s="50"/>
      <c r="AH1755" s="171" t="s">
        <v>4178</v>
      </c>
      <c r="AI1755" s="168" t="str">
        <f t="shared" si="750"/>
        <v/>
      </c>
      <c r="AJ1755" s="168" t="str">
        <f t="shared" si="751"/>
        <v/>
      </c>
      <c r="AK1755" s="168" t="str">
        <f t="shared" si="752"/>
        <v/>
      </c>
      <c r="AL1755" s="168" t="str">
        <f t="shared" si="753"/>
        <v/>
      </c>
      <c r="AM1755" s="168" t="str">
        <f t="shared" si="754"/>
        <v/>
      </c>
      <c r="AN1755" s="167" t="str">
        <f t="shared" si="737"/>
        <v>2012</v>
      </c>
      <c r="AO1755" s="167" t="str">
        <f t="shared" si="738"/>
        <v>2012</v>
      </c>
      <c r="AP1755" s="167" t="str">
        <f t="shared" si="739"/>
        <v>2012</v>
      </c>
      <c r="AQ1755" s="169" t="str">
        <f t="shared" si="740"/>
        <v/>
      </c>
      <c r="AR1755" s="170" t="str">
        <f t="shared" si="741"/>
        <v>BiK82a1K12y-07</v>
      </c>
      <c r="AS1755" s="169" t="str">
        <f t="shared" si="742"/>
        <v/>
      </c>
      <c r="AT1755">
        <f t="shared" si="743"/>
        <v>14</v>
      </c>
      <c r="AU1755" s="170" t="str">
        <f t="shared" si="744"/>
        <v>0,15-0,5 MW, Bonusregeln a1, y und K erstmals 2012</v>
      </c>
      <c r="AV1755" s="169" t="str">
        <f t="shared" si="745"/>
        <v/>
      </c>
      <c r="AW1755" s="170" t="str">
        <f t="shared" si="746"/>
        <v>Anteil KWK, erstmals 2012</v>
      </c>
      <c r="AX1755" s="169" t="str">
        <f t="shared" si="747"/>
        <v/>
      </c>
      <c r="AY1755" t="str">
        <f t="shared" si="748"/>
        <v/>
      </c>
      <c r="AZ1755" t="str">
        <f t="shared" si="749"/>
        <v>x</v>
      </c>
    </row>
    <row r="1756" spans="1:52" x14ac:dyDescent="0.35">
      <c r="A1756" s="497" t="s">
        <v>4818</v>
      </c>
      <c r="B1756" s="13" t="s">
        <v>5547</v>
      </c>
      <c r="C1756" s="13" t="s">
        <v>1304</v>
      </c>
      <c r="D1756" s="13" t="s">
        <v>7029</v>
      </c>
      <c r="E1756" s="13" t="s">
        <v>4809</v>
      </c>
      <c r="F1756" s="373">
        <f t="shared" si="756"/>
        <v>16.46</v>
      </c>
      <c r="G1756" s="430">
        <v>16.46</v>
      </c>
      <c r="H1756" s="399">
        <f t="shared" si="757"/>
        <v>13.17</v>
      </c>
      <c r="I1756" s="576"/>
      <c r="J1756" s="549" t="s">
        <v>5804</v>
      </c>
      <c r="K1756" s="11"/>
      <c r="M1756" s="37">
        <f t="shared" si="758"/>
        <v>16.46</v>
      </c>
      <c r="N1756" s="29">
        <v>9.4600000000000009</v>
      </c>
      <c r="O1756" s="149"/>
      <c r="P1756" s="144"/>
      <c r="Q1756" s="145"/>
      <c r="R1756" s="145"/>
      <c r="S1756" s="145" t="s">
        <v>4179</v>
      </c>
      <c r="T1756" t="s">
        <v>4179</v>
      </c>
      <c r="U1756" s="146"/>
      <c r="V1756" s="145"/>
      <c r="W1756" s="147"/>
      <c r="X1756" s="147"/>
      <c r="Y1756" s="145" t="s">
        <v>1017</v>
      </c>
      <c r="Z1756" s="147"/>
      <c r="AA1756" s="145"/>
      <c r="AB1756" s="145"/>
      <c r="AC1756" s="147"/>
      <c r="AD1756" s="145"/>
      <c r="AE1756" s="148"/>
      <c r="AF1756" s="147"/>
      <c r="AG1756" s="147"/>
      <c r="AH1756" s="166" t="str">
        <f t="shared" ref="AH1756:AH1761" si="759">IF(ISERROR(SEARCH("K erstmals 201",D1756)),"",RIGHT(D1756,4))</f>
        <v/>
      </c>
      <c r="AI1756" s="168" t="str">
        <f t="shared" si="750"/>
        <v/>
      </c>
      <c r="AJ1756" s="168" t="str">
        <f t="shared" si="751"/>
        <v/>
      </c>
      <c r="AK1756" s="168" t="str">
        <f t="shared" si="752"/>
        <v/>
      </c>
      <c r="AL1756" s="168" t="str">
        <f t="shared" si="753"/>
        <v/>
      </c>
      <c r="AM1756" s="168" t="str">
        <f t="shared" si="754"/>
        <v/>
      </c>
      <c r="AN1756" s="167" t="str">
        <f t="shared" si="737"/>
        <v/>
      </c>
      <c r="AO1756" s="167" t="str">
        <f t="shared" si="738"/>
        <v/>
      </c>
      <c r="AP1756" s="167" t="str">
        <f t="shared" si="739"/>
        <v/>
      </c>
      <c r="AQ1756" s="169" t="str">
        <f t="shared" si="740"/>
        <v/>
      </c>
      <c r="AR1756" s="170" t="str">
        <f t="shared" si="741"/>
        <v>BiK82G------07</v>
      </c>
      <c r="AS1756" s="169" t="str">
        <f t="shared" si="742"/>
        <v/>
      </c>
      <c r="AT1756">
        <f t="shared" si="743"/>
        <v>14</v>
      </c>
      <c r="AU1756" s="170" t="str">
        <f t="shared" si="744"/>
        <v>0,15-0,5 MW, Bonusregel G</v>
      </c>
      <c r="AV1756" s="169" t="str">
        <f t="shared" si="745"/>
        <v/>
      </c>
      <c r="AW1756" s="170" t="str">
        <f t="shared" si="746"/>
        <v>Anteil Nicht-KWK</v>
      </c>
      <c r="AX1756" s="169" t="str">
        <f t="shared" si="747"/>
        <v/>
      </c>
      <c r="AY1756" t="str">
        <f t="shared" si="748"/>
        <v/>
      </c>
      <c r="AZ1756" t="str">
        <f t="shared" si="749"/>
        <v/>
      </c>
    </row>
    <row r="1757" spans="1:52" x14ac:dyDescent="0.35">
      <c r="A1757" s="497" t="s">
        <v>4819</v>
      </c>
      <c r="B1757" s="13" t="s">
        <v>5547</v>
      </c>
      <c r="C1757" s="13" t="s">
        <v>1304</v>
      </c>
      <c r="D1757" s="13" t="s">
        <v>7113</v>
      </c>
      <c r="E1757" s="13" t="s">
        <v>4811</v>
      </c>
      <c r="F1757" s="373">
        <f t="shared" si="756"/>
        <v>18.46</v>
      </c>
      <c r="G1757" s="430">
        <v>18.46</v>
      </c>
      <c r="H1757" s="399">
        <f t="shared" si="757"/>
        <v>14.77</v>
      </c>
      <c r="I1757" s="576"/>
      <c r="J1757" s="549" t="s">
        <v>5804</v>
      </c>
      <c r="K1757" s="11"/>
      <c r="M1757" s="37">
        <f t="shared" si="758"/>
        <v>18.46</v>
      </c>
      <c r="N1757" s="29">
        <v>9.4600000000000009</v>
      </c>
      <c r="O1757" s="149" t="s">
        <v>1017</v>
      </c>
      <c r="P1757" s="144"/>
      <c r="Q1757" s="145"/>
      <c r="R1757" s="145"/>
      <c r="S1757" s="145" t="s">
        <v>4179</v>
      </c>
      <c r="T1757" t="s">
        <v>4179</v>
      </c>
      <c r="U1757" s="146"/>
      <c r="V1757" s="145"/>
      <c r="W1757" s="147"/>
      <c r="X1757" s="147"/>
      <c r="Y1757" s="145" t="s">
        <v>1017</v>
      </c>
      <c r="Z1757" s="147"/>
      <c r="AA1757" s="145"/>
      <c r="AB1757" s="145"/>
      <c r="AC1757" s="147"/>
      <c r="AD1757" s="145"/>
      <c r="AE1757" s="148"/>
      <c r="AF1757" s="147"/>
      <c r="AG1757" s="147"/>
      <c r="AH1757" s="166" t="str">
        <f t="shared" si="759"/>
        <v/>
      </c>
      <c r="AI1757" s="168" t="str">
        <f t="shared" si="750"/>
        <v/>
      </c>
      <c r="AJ1757" s="168" t="str">
        <f t="shared" si="751"/>
        <v/>
      </c>
      <c r="AK1757" s="168" t="str">
        <f t="shared" si="752"/>
        <v/>
      </c>
      <c r="AL1757" s="168" t="str">
        <f t="shared" si="753"/>
        <v/>
      </c>
      <c r="AM1757" s="168" t="str">
        <f t="shared" si="754"/>
        <v/>
      </c>
      <c r="AN1757" s="167" t="str">
        <f t="shared" si="737"/>
        <v/>
      </c>
      <c r="AO1757" s="167" t="str">
        <f t="shared" si="738"/>
        <v/>
      </c>
      <c r="AP1757" s="167" t="str">
        <f t="shared" si="739"/>
        <v/>
      </c>
      <c r="AQ1757" s="169" t="str">
        <f t="shared" si="740"/>
        <v/>
      </c>
      <c r="AR1757" s="170" t="str">
        <f t="shared" si="741"/>
        <v>BiK82GKWK---07</v>
      </c>
      <c r="AS1757" s="169" t="str">
        <f t="shared" si="742"/>
        <v/>
      </c>
      <c r="AT1757">
        <f t="shared" si="743"/>
        <v>14</v>
      </c>
      <c r="AU1757" s="170" t="str">
        <f t="shared" si="744"/>
        <v>0,15-0,5 MW, Bonusregeln G und KWK</v>
      </c>
      <c r="AV1757" s="169" t="str">
        <f t="shared" si="745"/>
        <v/>
      </c>
      <c r="AW1757" s="170" t="str">
        <f t="shared" si="746"/>
        <v>Anteil KWK</v>
      </c>
      <c r="AX1757" s="169" t="str">
        <f t="shared" si="747"/>
        <v/>
      </c>
      <c r="AY1757" t="str">
        <f t="shared" si="748"/>
        <v/>
      </c>
      <c r="AZ1757" t="str">
        <f t="shared" si="749"/>
        <v/>
      </c>
    </row>
    <row r="1758" spans="1:52" s="145" customFormat="1" x14ac:dyDescent="0.35">
      <c r="A1758" s="497" t="s">
        <v>4820</v>
      </c>
      <c r="B1758" s="13" t="s">
        <v>5547</v>
      </c>
      <c r="C1758" s="13" t="s">
        <v>1304</v>
      </c>
      <c r="D1758" s="13" t="s">
        <v>7030</v>
      </c>
      <c r="E1758" s="13" t="s">
        <v>4330</v>
      </c>
      <c r="F1758" s="373">
        <f t="shared" si="756"/>
        <v>19.46</v>
      </c>
      <c r="G1758" s="430">
        <v>19.46</v>
      </c>
      <c r="H1758" s="399">
        <f t="shared" si="757"/>
        <v>15.57</v>
      </c>
      <c r="I1758" s="576"/>
      <c r="J1758" s="549" t="s">
        <v>5804</v>
      </c>
      <c r="K1758" s="11"/>
      <c r="L1758"/>
      <c r="M1758" s="37">
        <f t="shared" si="758"/>
        <v>19.46</v>
      </c>
      <c r="N1758" s="29">
        <v>9.4600000000000009</v>
      </c>
      <c r="O1758" s="149"/>
      <c r="P1758" s="145" t="s">
        <v>1017</v>
      </c>
      <c r="S1758" s="145" t="s">
        <v>4179</v>
      </c>
      <c r="T1758" s="145" t="s">
        <v>4179</v>
      </c>
      <c r="U1758" s="146"/>
      <c r="W1758" s="147"/>
      <c r="X1758" s="147"/>
      <c r="Y1758" s="145" t="s">
        <v>1017</v>
      </c>
      <c r="Z1758" s="147"/>
      <c r="AC1758" s="147"/>
      <c r="AE1758" s="148"/>
      <c r="AF1758" s="147"/>
      <c r="AG1758" s="147"/>
      <c r="AH1758" s="166" t="str">
        <f t="shared" si="759"/>
        <v/>
      </c>
      <c r="AI1758" s="168" t="str">
        <f t="shared" si="750"/>
        <v/>
      </c>
      <c r="AJ1758" s="168" t="str">
        <f t="shared" si="751"/>
        <v/>
      </c>
      <c r="AK1758" s="168" t="str">
        <f t="shared" si="752"/>
        <v/>
      </c>
      <c r="AL1758" s="168" t="str">
        <f t="shared" si="753"/>
        <v/>
      </c>
      <c r="AM1758" s="168" t="str">
        <f t="shared" si="754"/>
        <v/>
      </c>
      <c r="AN1758" s="167" t="str">
        <f t="shared" si="737"/>
        <v/>
      </c>
      <c r="AO1758" s="167" t="str">
        <f t="shared" si="738"/>
        <v/>
      </c>
      <c r="AP1758" s="167" t="str">
        <f t="shared" si="739"/>
        <v/>
      </c>
      <c r="AQ1758" s="169" t="str">
        <f t="shared" si="740"/>
        <v/>
      </c>
      <c r="AR1758" s="170" t="str">
        <f t="shared" si="741"/>
        <v>BiK82GKA3---07</v>
      </c>
      <c r="AS1758" s="169" t="str">
        <f t="shared" si="742"/>
        <v/>
      </c>
      <c r="AT1758">
        <f t="shared" si="743"/>
        <v>14</v>
      </c>
      <c r="AU1758" s="170" t="str">
        <f t="shared" si="744"/>
        <v>0,15-0,5 MW, Bonusregeln G und K wenn Anlage 3 erfüllt</v>
      </c>
      <c r="AV1758" s="169" t="str">
        <f t="shared" si="745"/>
        <v/>
      </c>
      <c r="AW1758" s="170" t="str">
        <f t="shared" si="746"/>
        <v>Anteil KWK gemäß Anlage 3</v>
      </c>
      <c r="AX1758" s="169" t="str">
        <f t="shared" si="747"/>
        <v/>
      </c>
      <c r="AY1758" t="str">
        <f t="shared" si="748"/>
        <v/>
      </c>
      <c r="AZ1758" t="str">
        <f t="shared" si="749"/>
        <v/>
      </c>
    </row>
    <row r="1759" spans="1:52" s="145" customFormat="1" x14ac:dyDescent="0.35">
      <c r="A1759" s="497" t="s">
        <v>4821</v>
      </c>
      <c r="B1759" s="13" t="s">
        <v>5547</v>
      </c>
      <c r="C1759" s="13" t="s">
        <v>1304</v>
      </c>
      <c r="D1759" s="13" t="s">
        <v>7031</v>
      </c>
      <c r="E1759" s="13" t="s">
        <v>674</v>
      </c>
      <c r="F1759" s="373">
        <f t="shared" si="756"/>
        <v>19.46</v>
      </c>
      <c r="G1759" s="430">
        <v>19.46</v>
      </c>
      <c r="H1759" s="399">
        <f t="shared" si="757"/>
        <v>15.57</v>
      </c>
      <c r="I1759" s="576"/>
      <c r="J1759" s="549" t="s">
        <v>5804</v>
      </c>
      <c r="K1759" s="11"/>
      <c r="L1759"/>
      <c r="M1759" s="37">
        <f t="shared" si="758"/>
        <v>19.46</v>
      </c>
      <c r="N1759" s="29">
        <v>9.4600000000000009</v>
      </c>
      <c r="O1759" s="149"/>
      <c r="P1759" s="144"/>
      <c r="Q1759" s="145" t="s">
        <v>1017</v>
      </c>
      <c r="S1759" s="145" t="s">
        <v>4179</v>
      </c>
      <c r="T1759" s="145" t="s">
        <v>4179</v>
      </c>
      <c r="U1759" s="146"/>
      <c r="W1759" s="147"/>
      <c r="X1759" s="147"/>
      <c r="Y1759" s="145" t="s">
        <v>1017</v>
      </c>
      <c r="Z1759" s="147"/>
      <c r="AC1759" s="147"/>
      <c r="AE1759" s="148"/>
      <c r="AF1759" s="147"/>
      <c r="AG1759" s="147"/>
      <c r="AH1759" s="166" t="str">
        <f t="shared" si="759"/>
        <v/>
      </c>
      <c r="AI1759" s="168" t="str">
        <f t="shared" si="750"/>
        <v/>
      </c>
      <c r="AJ1759" s="168" t="str">
        <f t="shared" si="751"/>
        <v/>
      </c>
      <c r="AK1759" s="168" t="str">
        <f t="shared" si="752"/>
        <v/>
      </c>
      <c r="AL1759" s="168" t="str">
        <f t="shared" si="753"/>
        <v/>
      </c>
      <c r="AM1759" s="168" t="str">
        <f t="shared" si="754"/>
        <v/>
      </c>
      <c r="AN1759" s="167" t="str">
        <f t="shared" si="737"/>
        <v/>
      </c>
      <c r="AO1759" s="167" t="str">
        <f t="shared" si="738"/>
        <v/>
      </c>
      <c r="AP1759" s="167" t="str">
        <f t="shared" si="739"/>
        <v/>
      </c>
      <c r="AQ1759" s="169" t="str">
        <f t="shared" si="740"/>
        <v/>
      </c>
      <c r="AR1759" s="170" t="str">
        <f t="shared" si="741"/>
        <v>BiK82GK09---07</v>
      </c>
      <c r="AS1759" s="169" t="str">
        <f t="shared" si="742"/>
        <v/>
      </c>
      <c r="AT1759">
        <f t="shared" si="743"/>
        <v>14</v>
      </c>
      <c r="AU1759" s="170" t="str">
        <f t="shared" si="744"/>
        <v>0,15-0,5 MW, Bonusregeln G und K erstmals 2009</v>
      </c>
      <c r="AV1759" s="169" t="str">
        <f t="shared" si="745"/>
        <v/>
      </c>
      <c r="AW1759" s="170" t="str">
        <f t="shared" si="746"/>
        <v>Anteil KWK, erstmals 2009</v>
      </c>
      <c r="AX1759" s="169" t="str">
        <f t="shared" si="747"/>
        <v/>
      </c>
      <c r="AY1759" t="str">
        <f t="shared" si="748"/>
        <v/>
      </c>
      <c r="AZ1759" t="str">
        <f t="shared" si="749"/>
        <v/>
      </c>
    </row>
    <row r="1760" spans="1:52" s="145" customFormat="1" x14ac:dyDescent="0.35">
      <c r="A1760" s="497" t="s">
        <v>4968</v>
      </c>
      <c r="B1760" s="13" t="s">
        <v>5547</v>
      </c>
      <c r="C1760" s="13" t="s">
        <v>1304</v>
      </c>
      <c r="D1760" s="13" t="s">
        <v>7032</v>
      </c>
      <c r="E1760" s="13" t="s">
        <v>3566</v>
      </c>
      <c r="F1760" s="373">
        <f t="shared" si="756"/>
        <v>19.43</v>
      </c>
      <c r="G1760" s="430">
        <v>19.43</v>
      </c>
      <c r="H1760" s="399">
        <f t="shared" si="757"/>
        <v>15.54</v>
      </c>
      <c r="I1760" s="576"/>
      <c r="J1760" s="549" t="s">
        <v>5804</v>
      </c>
      <c r="K1760" s="11"/>
      <c r="L1760"/>
      <c r="M1760" s="37">
        <f t="shared" si="758"/>
        <v>19.43</v>
      </c>
      <c r="N1760" s="29">
        <v>9.4600000000000009</v>
      </c>
      <c r="O1760" s="149"/>
      <c r="P1760" s="144"/>
      <c r="R1760" s="145" t="s">
        <v>1017</v>
      </c>
      <c r="S1760" s="145" t="s">
        <v>4179</v>
      </c>
      <c r="T1760" s="145" t="s">
        <v>4179</v>
      </c>
      <c r="U1760" s="146"/>
      <c r="W1760" s="147"/>
      <c r="X1760" s="147"/>
      <c r="Y1760" s="145" t="s">
        <v>1017</v>
      </c>
      <c r="Z1760" s="147"/>
      <c r="AC1760" s="147"/>
      <c r="AE1760" s="148"/>
      <c r="AF1760" s="147"/>
      <c r="AG1760" s="147"/>
      <c r="AH1760" s="166" t="str">
        <f t="shared" si="759"/>
        <v>2010</v>
      </c>
      <c r="AI1760" s="168" t="str">
        <f t="shared" si="750"/>
        <v/>
      </c>
      <c r="AJ1760" s="168" t="str">
        <f t="shared" si="751"/>
        <v/>
      </c>
      <c r="AK1760" s="168" t="str">
        <f t="shared" si="752"/>
        <v/>
      </c>
      <c r="AL1760" s="168" t="str">
        <f t="shared" si="753"/>
        <v/>
      </c>
      <c r="AM1760" s="168" t="str">
        <f t="shared" si="754"/>
        <v/>
      </c>
      <c r="AN1760" s="167" t="str">
        <f t="shared" si="737"/>
        <v>2010</v>
      </c>
      <c r="AO1760" s="167" t="str">
        <f t="shared" si="738"/>
        <v>2010</v>
      </c>
      <c r="AP1760" s="167" t="str">
        <f t="shared" si="739"/>
        <v>2010</v>
      </c>
      <c r="AQ1760" s="169" t="str">
        <f t="shared" si="740"/>
        <v/>
      </c>
      <c r="AR1760" s="170" t="str">
        <f t="shared" si="741"/>
        <v>BiK82GK10---07</v>
      </c>
      <c r="AS1760" s="169" t="str">
        <f t="shared" si="742"/>
        <v/>
      </c>
      <c r="AT1760">
        <f t="shared" si="743"/>
        <v>14</v>
      </c>
      <c r="AU1760" s="170" t="str">
        <f t="shared" si="744"/>
        <v>0,15-0,5 MW, Bonusregeln G und K erstmals 2010</v>
      </c>
      <c r="AV1760" s="169" t="str">
        <f t="shared" si="745"/>
        <v/>
      </c>
      <c r="AW1760" s="170" t="str">
        <f t="shared" si="746"/>
        <v>Anteil KWK, erstmals 2010</v>
      </c>
      <c r="AX1760" s="169" t="str">
        <f t="shared" si="747"/>
        <v/>
      </c>
      <c r="AY1760" t="str">
        <f t="shared" si="748"/>
        <v/>
      </c>
      <c r="AZ1760" t="str">
        <f t="shared" si="749"/>
        <v/>
      </c>
    </row>
    <row r="1761" spans="1:52" s="145" customFormat="1" x14ac:dyDescent="0.35">
      <c r="A1761" s="497" t="s">
        <v>3405</v>
      </c>
      <c r="B1761" s="13" t="s">
        <v>5547</v>
      </c>
      <c r="C1761" s="13" t="s">
        <v>1304</v>
      </c>
      <c r="D1761" s="13" t="s">
        <v>7033</v>
      </c>
      <c r="E1761" s="13" t="s">
        <v>3054</v>
      </c>
      <c r="F1761" s="373">
        <f t="shared" si="756"/>
        <v>19.399999999999999</v>
      </c>
      <c r="G1761" s="430">
        <v>19.399999999999999</v>
      </c>
      <c r="H1761" s="399">
        <f t="shared" si="757"/>
        <v>15.52</v>
      </c>
      <c r="I1761" s="576"/>
      <c r="J1761" s="549" t="s">
        <v>5804</v>
      </c>
      <c r="K1761" s="11"/>
      <c r="L1761"/>
      <c r="M1761" s="37">
        <f t="shared" si="758"/>
        <v>19.399999999999999</v>
      </c>
      <c r="N1761" s="29">
        <v>9.4600000000000009</v>
      </c>
      <c r="O1761" s="149"/>
      <c r="P1761" s="144"/>
      <c r="S1761" s="145" t="s">
        <v>1017</v>
      </c>
      <c r="T1761" s="145" t="s">
        <v>4179</v>
      </c>
      <c r="U1761" s="146"/>
      <c r="W1761" s="147"/>
      <c r="X1761" s="147"/>
      <c r="Y1761" s="145" t="s">
        <v>1017</v>
      </c>
      <c r="Z1761" s="147"/>
      <c r="AC1761" s="147"/>
      <c r="AE1761" s="148"/>
      <c r="AF1761" s="147"/>
      <c r="AG1761" s="147"/>
      <c r="AH1761" s="166" t="str">
        <f t="shared" si="759"/>
        <v>2011</v>
      </c>
      <c r="AI1761" s="168" t="str">
        <f t="shared" si="750"/>
        <v/>
      </c>
      <c r="AJ1761" s="168" t="str">
        <f t="shared" si="751"/>
        <v/>
      </c>
      <c r="AK1761" s="168" t="str">
        <f t="shared" si="752"/>
        <v/>
      </c>
      <c r="AL1761" s="168" t="str">
        <f t="shared" si="753"/>
        <v/>
      </c>
      <c r="AM1761" s="168" t="str">
        <f t="shared" si="754"/>
        <v/>
      </c>
      <c r="AN1761" s="167" t="str">
        <f t="shared" si="737"/>
        <v>2011</v>
      </c>
      <c r="AO1761" s="167" t="str">
        <f t="shared" si="738"/>
        <v>2011</v>
      </c>
      <c r="AP1761" s="167" t="str">
        <f t="shared" si="739"/>
        <v>2011</v>
      </c>
      <c r="AQ1761" s="169" t="str">
        <f t="shared" si="740"/>
        <v/>
      </c>
      <c r="AR1761" s="170" t="str">
        <f t="shared" si="741"/>
        <v>BiK82GK11---07</v>
      </c>
      <c r="AS1761" s="169" t="str">
        <f t="shared" si="742"/>
        <v/>
      </c>
      <c r="AT1761">
        <f t="shared" si="743"/>
        <v>14</v>
      </c>
      <c r="AU1761" s="170" t="str">
        <f t="shared" si="744"/>
        <v>0,15-0,5 MW, Bonusregeln G und K erstmals 2011</v>
      </c>
      <c r="AV1761" s="169" t="str">
        <f t="shared" si="745"/>
        <v/>
      </c>
      <c r="AW1761" s="170" t="str">
        <f t="shared" si="746"/>
        <v>Anteil KWK, erstmals 2011</v>
      </c>
      <c r="AX1761" s="169" t="str">
        <f t="shared" si="747"/>
        <v/>
      </c>
      <c r="AY1761" t="str">
        <f t="shared" si="748"/>
        <v>x</v>
      </c>
      <c r="AZ1761" t="str">
        <f t="shared" si="749"/>
        <v/>
      </c>
    </row>
    <row r="1762" spans="1:52" s="145" customFormat="1" x14ac:dyDescent="0.35">
      <c r="A1762" s="511" t="s">
        <v>1838</v>
      </c>
      <c r="B1762" s="173" t="s">
        <v>5547</v>
      </c>
      <c r="C1762" s="173" t="s">
        <v>1304</v>
      </c>
      <c r="D1762" s="173" t="s">
        <v>7034</v>
      </c>
      <c r="E1762" s="173" t="s">
        <v>1980</v>
      </c>
      <c r="F1762" s="374">
        <f t="shared" si="756"/>
        <v>19.37</v>
      </c>
      <c r="G1762" s="431">
        <v>19.37</v>
      </c>
      <c r="H1762" s="400">
        <f t="shared" si="757"/>
        <v>15.5</v>
      </c>
      <c r="I1762" s="577"/>
      <c r="J1762" s="549" t="s">
        <v>5804</v>
      </c>
      <c r="K1762" s="11"/>
      <c r="L1762"/>
      <c r="M1762" s="37">
        <f t="shared" si="758"/>
        <v>19.37</v>
      </c>
      <c r="N1762" s="29">
        <v>9.4600000000000009</v>
      </c>
      <c r="O1762" s="149"/>
      <c r="P1762" s="144"/>
      <c r="S1762" s="145" t="s">
        <v>4179</v>
      </c>
      <c r="T1762" s="145" t="s">
        <v>1017</v>
      </c>
      <c r="U1762" s="146"/>
      <c r="W1762" s="147"/>
      <c r="X1762" s="147"/>
      <c r="Y1762" s="145" t="s">
        <v>1017</v>
      </c>
      <c r="Z1762" s="147"/>
      <c r="AC1762" s="147"/>
      <c r="AE1762" s="148"/>
      <c r="AF1762" s="147"/>
      <c r="AG1762" s="147"/>
      <c r="AH1762" s="171" t="s">
        <v>4178</v>
      </c>
      <c r="AI1762" s="168" t="str">
        <f t="shared" si="750"/>
        <v/>
      </c>
      <c r="AJ1762" s="168" t="str">
        <f t="shared" si="751"/>
        <v/>
      </c>
      <c r="AK1762" s="168" t="str">
        <f t="shared" si="752"/>
        <v/>
      </c>
      <c r="AL1762" s="168" t="str">
        <f t="shared" si="753"/>
        <v/>
      </c>
      <c r="AM1762" s="168" t="str">
        <f t="shared" si="754"/>
        <v/>
      </c>
      <c r="AN1762" s="167" t="str">
        <f t="shared" si="737"/>
        <v>2012</v>
      </c>
      <c r="AO1762" s="167" t="str">
        <f t="shared" si="738"/>
        <v>2012</v>
      </c>
      <c r="AP1762" s="167" t="str">
        <f t="shared" si="739"/>
        <v>2012</v>
      </c>
      <c r="AQ1762" s="169" t="str">
        <f t="shared" si="740"/>
        <v/>
      </c>
      <c r="AR1762" s="170" t="str">
        <f t="shared" si="741"/>
        <v>BiK82GK12---07</v>
      </c>
      <c r="AS1762" s="169" t="str">
        <f t="shared" si="742"/>
        <v/>
      </c>
      <c r="AT1762">
        <f t="shared" si="743"/>
        <v>14</v>
      </c>
      <c r="AU1762" s="170" t="str">
        <f t="shared" si="744"/>
        <v>0,15-0,5 MW, Bonusregeln G und K erstmals 2012</v>
      </c>
      <c r="AV1762" s="169" t="str">
        <f t="shared" si="745"/>
        <v/>
      </c>
      <c r="AW1762" s="170" t="str">
        <f t="shared" si="746"/>
        <v>Anteil KWK, erstmals 2012</v>
      </c>
      <c r="AX1762" s="169" t="str">
        <f t="shared" si="747"/>
        <v/>
      </c>
      <c r="AY1762" t="str">
        <f t="shared" si="748"/>
        <v/>
      </c>
      <c r="AZ1762" t="str">
        <f t="shared" si="749"/>
        <v>x</v>
      </c>
    </row>
    <row r="1763" spans="1:52" s="145" customFormat="1" x14ac:dyDescent="0.35">
      <c r="A1763" s="497" t="s">
        <v>4822</v>
      </c>
      <c r="B1763" s="13" t="s">
        <v>5547</v>
      </c>
      <c r="C1763" s="13" t="s">
        <v>1304</v>
      </c>
      <c r="D1763" s="13" t="s">
        <v>7035</v>
      </c>
      <c r="E1763" s="13" t="s">
        <v>4809</v>
      </c>
      <c r="F1763" s="373">
        <f t="shared" si="756"/>
        <v>17.46</v>
      </c>
      <c r="G1763" s="430">
        <v>17.46</v>
      </c>
      <c r="H1763" s="399">
        <f t="shared" si="757"/>
        <v>13.97</v>
      </c>
      <c r="I1763" s="576"/>
      <c r="J1763" s="549" t="s">
        <v>5804</v>
      </c>
      <c r="K1763" s="11"/>
      <c r="L1763"/>
      <c r="M1763" s="37">
        <f t="shared" si="758"/>
        <v>17.46</v>
      </c>
      <c r="N1763" s="29">
        <v>9.4600000000000009</v>
      </c>
      <c r="O1763" s="149"/>
      <c r="P1763" s="144"/>
      <c r="S1763" s="145" t="s">
        <v>4179</v>
      </c>
      <c r="T1763" s="145" t="s">
        <v>4179</v>
      </c>
      <c r="U1763" s="146" t="s">
        <v>1017</v>
      </c>
      <c r="W1763" s="147"/>
      <c r="X1763" s="147"/>
      <c r="Y1763" s="145" t="s">
        <v>1017</v>
      </c>
      <c r="Z1763" s="147"/>
      <c r="AC1763" s="147"/>
      <c r="AE1763" s="148"/>
      <c r="AF1763" s="147"/>
      <c r="AG1763" s="147"/>
      <c r="AH1763" s="166" t="str">
        <f t="shared" ref="AH1763:AH1768" si="760">IF(ISERROR(SEARCH("K erstmals 201",D1763)),"",RIGHT(D1763,4))</f>
        <v/>
      </c>
      <c r="AI1763" s="168" t="str">
        <f t="shared" si="750"/>
        <v/>
      </c>
      <c r="AJ1763" s="168" t="str">
        <f t="shared" si="751"/>
        <v/>
      </c>
      <c r="AK1763" s="168" t="str">
        <f t="shared" si="752"/>
        <v/>
      </c>
      <c r="AL1763" s="168" t="str">
        <f t="shared" si="753"/>
        <v/>
      </c>
      <c r="AM1763" s="168" t="str">
        <f t="shared" si="754"/>
        <v/>
      </c>
      <c r="AN1763" s="167" t="str">
        <f t="shared" si="737"/>
        <v/>
      </c>
      <c r="AO1763" s="167" t="str">
        <f t="shared" si="738"/>
        <v/>
      </c>
      <c r="AP1763" s="167" t="str">
        <f t="shared" si="739"/>
        <v/>
      </c>
      <c r="AQ1763" s="169" t="str">
        <f t="shared" si="740"/>
        <v/>
      </c>
      <c r="AR1763" s="170" t="str">
        <f t="shared" si="741"/>
        <v>BiK82Gy-----07</v>
      </c>
      <c r="AS1763" s="169" t="str">
        <f t="shared" si="742"/>
        <v/>
      </c>
      <c r="AT1763">
        <f t="shared" si="743"/>
        <v>14</v>
      </c>
      <c r="AU1763" s="170" t="str">
        <f t="shared" si="744"/>
        <v>0,15-0,5 MW, Bonusregel G, y</v>
      </c>
      <c r="AV1763" s="169" t="str">
        <f t="shared" si="745"/>
        <v/>
      </c>
      <c r="AW1763" s="170" t="str">
        <f t="shared" si="746"/>
        <v>Anteil Nicht-KWK</v>
      </c>
      <c r="AX1763" s="169" t="str">
        <f t="shared" si="747"/>
        <v/>
      </c>
      <c r="AY1763" t="str">
        <f t="shared" si="748"/>
        <v/>
      </c>
      <c r="AZ1763" t="str">
        <f t="shared" si="749"/>
        <v/>
      </c>
    </row>
    <row r="1764" spans="1:52" s="145" customFormat="1" x14ac:dyDescent="0.35">
      <c r="A1764" s="497" t="s">
        <v>4823</v>
      </c>
      <c r="B1764" s="13" t="s">
        <v>5547</v>
      </c>
      <c r="C1764" s="13" t="s">
        <v>1304</v>
      </c>
      <c r="D1764" s="13" t="s">
        <v>7114</v>
      </c>
      <c r="E1764" s="13" t="s">
        <v>4811</v>
      </c>
      <c r="F1764" s="373">
        <f t="shared" si="756"/>
        <v>19.46</v>
      </c>
      <c r="G1764" s="430">
        <v>19.46</v>
      </c>
      <c r="H1764" s="399">
        <f t="shared" si="757"/>
        <v>15.57</v>
      </c>
      <c r="I1764" s="576"/>
      <c r="J1764" s="549" t="s">
        <v>5804</v>
      </c>
      <c r="K1764" s="11"/>
      <c r="L1764"/>
      <c r="M1764" s="37">
        <f t="shared" si="758"/>
        <v>19.46</v>
      </c>
      <c r="N1764" s="29">
        <v>9.4600000000000009</v>
      </c>
      <c r="O1764" s="149" t="s">
        <v>1017</v>
      </c>
      <c r="P1764" s="144"/>
      <c r="S1764" s="145" t="s">
        <v>4179</v>
      </c>
      <c r="T1764" s="145" t="s">
        <v>4179</v>
      </c>
      <c r="U1764" s="146" t="s">
        <v>1017</v>
      </c>
      <c r="W1764" s="147"/>
      <c r="X1764" s="147"/>
      <c r="Y1764" s="145" t="s">
        <v>1017</v>
      </c>
      <c r="Z1764" s="147"/>
      <c r="AC1764" s="147"/>
      <c r="AE1764" s="148"/>
      <c r="AF1764" s="147"/>
      <c r="AG1764" s="147"/>
      <c r="AH1764" s="166" t="str">
        <f t="shared" si="760"/>
        <v/>
      </c>
      <c r="AI1764" s="168" t="str">
        <f t="shared" si="750"/>
        <v/>
      </c>
      <c r="AJ1764" s="168" t="str">
        <f t="shared" si="751"/>
        <v/>
      </c>
      <c r="AK1764" s="168" t="str">
        <f t="shared" si="752"/>
        <v/>
      </c>
      <c r="AL1764" s="168" t="str">
        <f t="shared" si="753"/>
        <v/>
      </c>
      <c r="AM1764" s="168" t="str">
        <f t="shared" si="754"/>
        <v/>
      </c>
      <c r="AN1764" s="167" t="str">
        <f t="shared" si="737"/>
        <v/>
      </c>
      <c r="AO1764" s="167" t="str">
        <f t="shared" si="738"/>
        <v/>
      </c>
      <c r="AP1764" s="167" t="str">
        <f t="shared" si="739"/>
        <v/>
      </c>
      <c r="AQ1764" s="169" t="str">
        <f t="shared" si="740"/>
        <v/>
      </c>
      <c r="AR1764" s="170" t="str">
        <f t="shared" si="741"/>
        <v>BiK82GKWKy--07</v>
      </c>
      <c r="AS1764" s="169" t="str">
        <f t="shared" si="742"/>
        <v/>
      </c>
      <c r="AT1764">
        <f t="shared" si="743"/>
        <v>14</v>
      </c>
      <c r="AU1764" s="170" t="str">
        <f t="shared" si="744"/>
        <v>0,15-0,5 MW, Bonusregeln G, y und KWK</v>
      </c>
      <c r="AV1764" s="169" t="str">
        <f t="shared" si="745"/>
        <v/>
      </c>
      <c r="AW1764" s="170" t="str">
        <f t="shared" si="746"/>
        <v>Anteil KWK</v>
      </c>
      <c r="AX1764" s="169" t="str">
        <f t="shared" si="747"/>
        <v/>
      </c>
      <c r="AY1764" t="str">
        <f t="shared" si="748"/>
        <v/>
      </c>
      <c r="AZ1764" t="str">
        <f t="shared" si="749"/>
        <v/>
      </c>
    </row>
    <row r="1765" spans="1:52" s="145" customFormat="1" x14ac:dyDescent="0.35">
      <c r="A1765" s="497" t="s">
        <v>4824</v>
      </c>
      <c r="B1765" s="13" t="s">
        <v>5547</v>
      </c>
      <c r="C1765" s="13" t="s">
        <v>1304</v>
      </c>
      <c r="D1765" s="88" t="s">
        <v>7036</v>
      </c>
      <c r="E1765" s="13" t="s">
        <v>4330</v>
      </c>
      <c r="F1765" s="373">
        <f t="shared" si="756"/>
        <v>20.46</v>
      </c>
      <c r="G1765" s="430">
        <v>20.46</v>
      </c>
      <c r="H1765" s="399">
        <f t="shared" si="757"/>
        <v>16.37</v>
      </c>
      <c r="I1765" s="576"/>
      <c r="J1765" s="549" t="s">
        <v>5804</v>
      </c>
      <c r="K1765" s="11"/>
      <c r="L1765"/>
      <c r="M1765" s="37">
        <f t="shared" si="758"/>
        <v>20.46</v>
      </c>
      <c r="N1765" s="29">
        <v>9.4600000000000009</v>
      </c>
      <c r="O1765" s="149"/>
      <c r="P1765" s="145" t="s">
        <v>1017</v>
      </c>
      <c r="S1765" s="145" t="s">
        <v>4179</v>
      </c>
      <c r="T1765" s="145" t="s">
        <v>4179</v>
      </c>
      <c r="U1765" s="146" t="s">
        <v>1017</v>
      </c>
      <c r="W1765" s="147"/>
      <c r="X1765" s="147"/>
      <c r="Y1765" s="145" t="s">
        <v>1017</v>
      </c>
      <c r="Z1765" s="147"/>
      <c r="AC1765" s="147"/>
      <c r="AE1765" s="148"/>
      <c r="AF1765" s="147"/>
      <c r="AG1765" s="147"/>
      <c r="AH1765" s="166" t="str">
        <f t="shared" si="760"/>
        <v/>
      </c>
      <c r="AI1765" s="168" t="str">
        <f t="shared" si="750"/>
        <v/>
      </c>
      <c r="AJ1765" s="168" t="str">
        <f t="shared" si="751"/>
        <v/>
      </c>
      <c r="AK1765" s="168" t="str">
        <f t="shared" si="752"/>
        <v/>
      </c>
      <c r="AL1765" s="168" t="str">
        <f t="shared" si="753"/>
        <v/>
      </c>
      <c r="AM1765" s="168" t="str">
        <f t="shared" si="754"/>
        <v/>
      </c>
      <c r="AN1765" s="167" t="str">
        <f t="shared" si="737"/>
        <v/>
      </c>
      <c r="AO1765" s="167" t="str">
        <f t="shared" si="738"/>
        <v/>
      </c>
      <c r="AP1765" s="167" t="str">
        <f t="shared" si="739"/>
        <v/>
      </c>
      <c r="AQ1765" s="169" t="str">
        <f t="shared" si="740"/>
        <v/>
      </c>
      <c r="AR1765" s="170" t="str">
        <f t="shared" si="741"/>
        <v>BiK82GKA3y--07</v>
      </c>
      <c r="AS1765" s="169" t="str">
        <f t="shared" si="742"/>
        <v/>
      </c>
      <c r="AT1765">
        <f t="shared" si="743"/>
        <v>14</v>
      </c>
      <c r="AU1765" s="170" t="str">
        <f t="shared" si="744"/>
        <v>0,15-0,5 MW, Bonusregeln G, y und K wenn Anlage 3 erfüllt</v>
      </c>
      <c r="AV1765" s="169" t="str">
        <f t="shared" si="745"/>
        <v/>
      </c>
      <c r="AW1765" s="170" t="str">
        <f t="shared" si="746"/>
        <v>Anteil KWK gemäß Anlage 3</v>
      </c>
      <c r="AX1765" s="169" t="str">
        <f t="shared" si="747"/>
        <v/>
      </c>
      <c r="AY1765" t="str">
        <f t="shared" si="748"/>
        <v/>
      </c>
      <c r="AZ1765" t="str">
        <f t="shared" si="749"/>
        <v/>
      </c>
    </row>
    <row r="1766" spans="1:52" s="145" customFormat="1" x14ac:dyDescent="0.35">
      <c r="A1766" s="497" t="s">
        <v>4825</v>
      </c>
      <c r="B1766" s="13" t="s">
        <v>5547</v>
      </c>
      <c r="C1766" s="13" t="s">
        <v>1304</v>
      </c>
      <c r="D1766" s="13" t="s">
        <v>7037</v>
      </c>
      <c r="E1766" s="13" t="s">
        <v>674</v>
      </c>
      <c r="F1766" s="373">
        <f t="shared" si="756"/>
        <v>20.46</v>
      </c>
      <c r="G1766" s="430">
        <v>20.46</v>
      </c>
      <c r="H1766" s="399">
        <f t="shared" si="757"/>
        <v>16.37</v>
      </c>
      <c r="I1766" s="576"/>
      <c r="J1766" s="549" t="s">
        <v>5804</v>
      </c>
      <c r="K1766" s="11"/>
      <c r="L1766"/>
      <c r="M1766" s="37">
        <f t="shared" si="758"/>
        <v>20.46</v>
      </c>
      <c r="N1766" s="29">
        <v>9.4600000000000009</v>
      </c>
      <c r="O1766" s="149"/>
      <c r="P1766" s="144"/>
      <c r="Q1766" s="145" t="s">
        <v>1017</v>
      </c>
      <c r="S1766" s="145" t="s">
        <v>4179</v>
      </c>
      <c r="T1766" s="145" t="s">
        <v>4179</v>
      </c>
      <c r="U1766" s="146" t="s">
        <v>1017</v>
      </c>
      <c r="W1766" s="147"/>
      <c r="X1766" s="147"/>
      <c r="Y1766" s="145" t="s">
        <v>1017</v>
      </c>
      <c r="Z1766" s="147"/>
      <c r="AC1766" s="147"/>
      <c r="AE1766" s="148"/>
      <c r="AF1766" s="147"/>
      <c r="AG1766" s="147"/>
      <c r="AH1766" s="166" t="str">
        <f t="shared" si="760"/>
        <v/>
      </c>
      <c r="AI1766" s="168" t="str">
        <f t="shared" si="750"/>
        <v/>
      </c>
      <c r="AJ1766" s="168" t="str">
        <f t="shared" si="751"/>
        <v/>
      </c>
      <c r="AK1766" s="168" t="str">
        <f t="shared" si="752"/>
        <v/>
      </c>
      <c r="AL1766" s="168" t="str">
        <f t="shared" si="753"/>
        <v/>
      </c>
      <c r="AM1766" s="168" t="str">
        <f t="shared" si="754"/>
        <v/>
      </c>
      <c r="AN1766" s="167" t="str">
        <f t="shared" si="737"/>
        <v/>
      </c>
      <c r="AO1766" s="167" t="str">
        <f t="shared" si="738"/>
        <v/>
      </c>
      <c r="AP1766" s="167" t="str">
        <f t="shared" si="739"/>
        <v/>
      </c>
      <c r="AQ1766" s="169" t="str">
        <f t="shared" si="740"/>
        <v/>
      </c>
      <c r="AR1766" s="170" t="str">
        <f t="shared" si="741"/>
        <v>BiK82GK09y--07</v>
      </c>
      <c r="AS1766" s="169" t="str">
        <f t="shared" si="742"/>
        <v/>
      </c>
      <c r="AT1766">
        <f t="shared" si="743"/>
        <v>14</v>
      </c>
      <c r="AU1766" s="170" t="str">
        <f t="shared" si="744"/>
        <v>0,15-0,5 MW, Bonusregeln G, y und K erstmals 2009</v>
      </c>
      <c r="AV1766" s="169" t="str">
        <f t="shared" si="745"/>
        <v/>
      </c>
      <c r="AW1766" s="170" t="str">
        <f t="shared" si="746"/>
        <v>Anteil KWK, erstmals 2009</v>
      </c>
      <c r="AX1766" s="169" t="str">
        <f t="shared" si="747"/>
        <v/>
      </c>
      <c r="AY1766" t="str">
        <f t="shared" si="748"/>
        <v/>
      </c>
      <c r="AZ1766" t="str">
        <f t="shared" si="749"/>
        <v/>
      </c>
    </row>
    <row r="1767" spans="1:52" s="145" customFormat="1" x14ac:dyDescent="0.35">
      <c r="A1767" s="497" t="s">
        <v>4969</v>
      </c>
      <c r="B1767" s="13" t="s">
        <v>5547</v>
      </c>
      <c r="C1767" s="13" t="s">
        <v>1304</v>
      </c>
      <c r="D1767" s="13" t="s">
        <v>7038</v>
      </c>
      <c r="E1767" s="13" t="s">
        <v>3566</v>
      </c>
      <c r="F1767" s="373">
        <f t="shared" si="756"/>
        <v>20.43</v>
      </c>
      <c r="G1767" s="430">
        <v>20.43</v>
      </c>
      <c r="H1767" s="399">
        <f t="shared" si="757"/>
        <v>16.34</v>
      </c>
      <c r="I1767" s="576"/>
      <c r="J1767" s="549" t="s">
        <v>5804</v>
      </c>
      <c r="K1767" s="11"/>
      <c r="L1767"/>
      <c r="M1767" s="37">
        <f t="shared" si="758"/>
        <v>20.43</v>
      </c>
      <c r="N1767" s="29">
        <v>9.4600000000000009</v>
      </c>
      <c r="O1767" s="149"/>
      <c r="P1767" s="144"/>
      <c r="R1767" s="145" t="s">
        <v>1017</v>
      </c>
      <c r="S1767" s="145" t="s">
        <v>4179</v>
      </c>
      <c r="T1767" s="145" t="s">
        <v>4179</v>
      </c>
      <c r="U1767" s="146" t="s">
        <v>1017</v>
      </c>
      <c r="W1767" s="147"/>
      <c r="X1767" s="147"/>
      <c r="Y1767" s="145" t="s">
        <v>1017</v>
      </c>
      <c r="Z1767" s="147"/>
      <c r="AC1767" s="147"/>
      <c r="AE1767" s="148"/>
      <c r="AF1767" s="147"/>
      <c r="AG1767" s="147"/>
      <c r="AH1767" s="166" t="str">
        <f t="shared" si="760"/>
        <v>2010</v>
      </c>
      <c r="AI1767" s="168" t="str">
        <f t="shared" si="750"/>
        <v/>
      </c>
      <c r="AJ1767" s="168" t="str">
        <f t="shared" si="751"/>
        <v/>
      </c>
      <c r="AK1767" s="168" t="str">
        <f t="shared" si="752"/>
        <v/>
      </c>
      <c r="AL1767" s="168" t="str">
        <f t="shared" si="753"/>
        <v/>
      </c>
      <c r="AM1767" s="168" t="str">
        <f t="shared" si="754"/>
        <v/>
      </c>
      <c r="AN1767" s="167" t="str">
        <f t="shared" si="737"/>
        <v>2010</v>
      </c>
      <c r="AO1767" s="167" t="str">
        <f t="shared" si="738"/>
        <v>2010</v>
      </c>
      <c r="AP1767" s="167" t="str">
        <f t="shared" si="739"/>
        <v>2010</v>
      </c>
      <c r="AQ1767" s="169" t="str">
        <f t="shared" si="740"/>
        <v/>
      </c>
      <c r="AR1767" s="170" t="str">
        <f t="shared" si="741"/>
        <v>BiK82GK10y--07</v>
      </c>
      <c r="AS1767" s="169" t="str">
        <f t="shared" si="742"/>
        <v/>
      </c>
      <c r="AT1767">
        <f t="shared" si="743"/>
        <v>14</v>
      </c>
      <c r="AU1767" s="170" t="str">
        <f t="shared" si="744"/>
        <v>0,15-0,5 MW, Bonusregeln G, y und K erstmals 2010</v>
      </c>
      <c r="AV1767" s="169" t="str">
        <f t="shared" si="745"/>
        <v/>
      </c>
      <c r="AW1767" s="170" t="str">
        <f t="shared" si="746"/>
        <v>Anteil KWK, erstmals 2010</v>
      </c>
      <c r="AX1767" s="169" t="str">
        <f t="shared" si="747"/>
        <v/>
      </c>
      <c r="AY1767" t="str">
        <f t="shared" si="748"/>
        <v/>
      </c>
      <c r="AZ1767" t="str">
        <f t="shared" si="749"/>
        <v/>
      </c>
    </row>
    <row r="1768" spans="1:52" s="145" customFormat="1" x14ac:dyDescent="0.35">
      <c r="A1768" s="497" t="s">
        <v>3406</v>
      </c>
      <c r="B1768" s="13" t="s">
        <v>5547</v>
      </c>
      <c r="C1768" s="13" t="s">
        <v>1304</v>
      </c>
      <c r="D1768" s="13" t="s">
        <v>7039</v>
      </c>
      <c r="E1768" s="13" t="s">
        <v>3054</v>
      </c>
      <c r="F1768" s="373">
        <f t="shared" si="756"/>
        <v>20.399999999999999</v>
      </c>
      <c r="G1768" s="430">
        <v>20.399999999999999</v>
      </c>
      <c r="H1768" s="399">
        <f t="shared" si="757"/>
        <v>16.32</v>
      </c>
      <c r="I1768" s="576"/>
      <c r="J1768" s="549" t="s">
        <v>5804</v>
      </c>
      <c r="K1768" s="11"/>
      <c r="L1768"/>
      <c r="M1768" s="37">
        <f t="shared" si="758"/>
        <v>20.399999999999999</v>
      </c>
      <c r="N1768" s="29">
        <v>9.4600000000000009</v>
      </c>
      <c r="O1768" s="149"/>
      <c r="P1768" s="144"/>
      <c r="S1768" s="145" t="s">
        <v>1017</v>
      </c>
      <c r="T1768" s="145" t="s">
        <v>4179</v>
      </c>
      <c r="U1768" s="146" t="s">
        <v>1017</v>
      </c>
      <c r="W1768" s="147"/>
      <c r="X1768" s="147"/>
      <c r="Y1768" s="145" t="s">
        <v>1017</v>
      </c>
      <c r="Z1768" s="147"/>
      <c r="AC1768" s="147"/>
      <c r="AE1768" s="148"/>
      <c r="AF1768" s="147"/>
      <c r="AG1768" s="147"/>
      <c r="AH1768" s="166" t="str">
        <f t="shared" si="760"/>
        <v>2011</v>
      </c>
      <c r="AI1768" s="168" t="str">
        <f t="shared" si="750"/>
        <v/>
      </c>
      <c r="AJ1768" s="168" t="str">
        <f t="shared" si="751"/>
        <v/>
      </c>
      <c r="AK1768" s="168" t="str">
        <f t="shared" si="752"/>
        <v/>
      </c>
      <c r="AL1768" s="168" t="str">
        <f t="shared" si="753"/>
        <v/>
      </c>
      <c r="AM1768" s="168" t="str">
        <f t="shared" si="754"/>
        <v/>
      </c>
      <c r="AN1768" s="167" t="str">
        <f t="shared" si="737"/>
        <v>2011</v>
      </c>
      <c r="AO1768" s="167" t="str">
        <f t="shared" si="738"/>
        <v>2011</v>
      </c>
      <c r="AP1768" s="167" t="str">
        <f t="shared" si="739"/>
        <v>2011</v>
      </c>
      <c r="AQ1768" s="169" t="str">
        <f t="shared" si="740"/>
        <v/>
      </c>
      <c r="AR1768" s="170" t="str">
        <f t="shared" si="741"/>
        <v>BiK82GK11y--07</v>
      </c>
      <c r="AS1768" s="169" t="str">
        <f t="shared" si="742"/>
        <v/>
      </c>
      <c r="AT1768">
        <f t="shared" si="743"/>
        <v>14</v>
      </c>
      <c r="AU1768" s="170" t="str">
        <f t="shared" si="744"/>
        <v>0,15-0,5 MW, Bonusregeln G, y und K erstmals 2011</v>
      </c>
      <c r="AV1768" s="169" t="str">
        <f t="shared" si="745"/>
        <v/>
      </c>
      <c r="AW1768" s="170" t="str">
        <f t="shared" si="746"/>
        <v>Anteil KWK, erstmals 2011</v>
      </c>
      <c r="AX1768" s="169" t="str">
        <f t="shared" si="747"/>
        <v/>
      </c>
      <c r="AY1768" t="str">
        <f t="shared" si="748"/>
        <v>x</v>
      </c>
      <c r="AZ1768" t="str">
        <f t="shared" si="749"/>
        <v/>
      </c>
    </row>
    <row r="1769" spans="1:52" s="145" customFormat="1" x14ac:dyDescent="0.35">
      <c r="A1769" s="511" t="s">
        <v>1839</v>
      </c>
      <c r="B1769" s="173" t="s">
        <v>5547</v>
      </c>
      <c r="C1769" s="173" t="s">
        <v>1304</v>
      </c>
      <c r="D1769" s="173" t="s">
        <v>7040</v>
      </c>
      <c r="E1769" s="173" t="s">
        <v>1980</v>
      </c>
      <c r="F1769" s="374">
        <f t="shared" si="756"/>
        <v>20.37</v>
      </c>
      <c r="G1769" s="431">
        <v>20.37</v>
      </c>
      <c r="H1769" s="400">
        <f t="shared" si="757"/>
        <v>16.3</v>
      </c>
      <c r="I1769" s="577"/>
      <c r="J1769" s="549" t="s">
        <v>5804</v>
      </c>
      <c r="K1769" s="11"/>
      <c r="L1769"/>
      <c r="M1769" s="37">
        <f t="shared" si="758"/>
        <v>20.37</v>
      </c>
      <c r="N1769" s="29">
        <v>9.4600000000000009</v>
      </c>
      <c r="O1769" s="149"/>
      <c r="P1769" s="144"/>
      <c r="S1769" s="145" t="s">
        <v>4179</v>
      </c>
      <c r="T1769" s="145" t="s">
        <v>1017</v>
      </c>
      <c r="U1769" s="146" t="s">
        <v>1017</v>
      </c>
      <c r="W1769" s="147"/>
      <c r="X1769" s="147"/>
      <c r="Y1769" s="145" t="s">
        <v>1017</v>
      </c>
      <c r="Z1769" s="147"/>
      <c r="AC1769" s="147"/>
      <c r="AE1769" s="148"/>
      <c r="AF1769" s="147"/>
      <c r="AG1769" s="147"/>
      <c r="AH1769" s="171" t="s">
        <v>4178</v>
      </c>
      <c r="AI1769" s="168" t="str">
        <f t="shared" si="750"/>
        <v/>
      </c>
      <c r="AJ1769" s="168" t="str">
        <f t="shared" si="751"/>
        <v/>
      </c>
      <c r="AK1769" s="168" t="str">
        <f t="shared" si="752"/>
        <v/>
      </c>
      <c r="AL1769" s="168" t="str">
        <f t="shared" si="753"/>
        <v/>
      </c>
      <c r="AM1769" s="168" t="str">
        <f t="shared" si="754"/>
        <v/>
      </c>
      <c r="AN1769" s="167" t="str">
        <f t="shared" si="737"/>
        <v>2012</v>
      </c>
      <c r="AO1769" s="167" t="str">
        <f t="shared" si="738"/>
        <v>2012</v>
      </c>
      <c r="AP1769" s="167" t="str">
        <f t="shared" si="739"/>
        <v>2012</v>
      </c>
      <c r="AQ1769" s="169" t="str">
        <f t="shared" si="740"/>
        <v/>
      </c>
      <c r="AR1769" s="170" t="str">
        <f t="shared" si="741"/>
        <v>BiK82GK12y--07</v>
      </c>
      <c r="AS1769" s="169" t="str">
        <f t="shared" si="742"/>
        <v/>
      </c>
      <c r="AT1769">
        <f t="shared" si="743"/>
        <v>14</v>
      </c>
      <c r="AU1769" s="170" t="str">
        <f t="shared" si="744"/>
        <v>0,15-0,5 MW, Bonusregeln G, y und K erstmals 2012</v>
      </c>
      <c r="AV1769" s="169" t="str">
        <f t="shared" si="745"/>
        <v/>
      </c>
      <c r="AW1769" s="170" t="str">
        <f t="shared" si="746"/>
        <v>Anteil KWK, erstmals 2012</v>
      </c>
      <c r="AX1769" s="169" t="str">
        <f t="shared" si="747"/>
        <v/>
      </c>
      <c r="AY1769" t="str">
        <f t="shared" si="748"/>
        <v/>
      </c>
      <c r="AZ1769" t="str">
        <f t="shared" si="749"/>
        <v>x</v>
      </c>
    </row>
    <row r="1770" spans="1:52" s="145" customFormat="1" x14ac:dyDescent="0.35">
      <c r="A1770" s="497" t="s">
        <v>4826</v>
      </c>
      <c r="B1770" s="13" t="s">
        <v>5547</v>
      </c>
      <c r="C1770" s="13" t="s">
        <v>1304</v>
      </c>
      <c r="D1770" s="13" t="s">
        <v>7041</v>
      </c>
      <c r="E1770" s="13" t="s">
        <v>4809</v>
      </c>
      <c r="F1770" s="373">
        <f t="shared" si="756"/>
        <v>17.46</v>
      </c>
      <c r="G1770" s="430">
        <v>17.46</v>
      </c>
      <c r="H1770" s="399">
        <f t="shared" si="757"/>
        <v>13.97</v>
      </c>
      <c r="I1770" s="576"/>
      <c r="J1770" s="549" t="s">
        <v>5804</v>
      </c>
      <c r="K1770" s="11"/>
      <c r="L1770"/>
      <c r="M1770" s="37">
        <f t="shared" si="758"/>
        <v>17.46</v>
      </c>
      <c r="N1770" s="29">
        <v>9.4600000000000009</v>
      </c>
      <c r="O1770" s="149"/>
      <c r="P1770" s="144"/>
      <c r="S1770" s="145" t="s">
        <v>4179</v>
      </c>
      <c r="T1770" s="145" t="s">
        <v>4179</v>
      </c>
      <c r="U1770" s="146"/>
      <c r="W1770" s="147"/>
      <c r="X1770" s="147"/>
      <c r="Z1770" s="147"/>
      <c r="AA1770" s="145" t="s">
        <v>1017</v>
      </c>
      <c r="AC1770" s="147"/>
      <c r="AE1770" s="148"/>
      <c r="AF1770" s="147"/>
      <c r="AG1770" s="147"/>
      <c r="AH1770" s="166" t="str">
        <f t="shared" ref="AH1770:AH1775" si="761">IF(ISERROR(SEARCH("K erstmals 201",D1770)),"",RIGHT(D1770,4))</f>
        <v/>
      </c>
      <c r="AI1770" s="168" t="str">
        <f t="shared" si="750"/>
        <v/>
      </c>
      <c r="AJ1770" s="168" t="str">
        <f t="shared" si="751"/>
        <v/>
      </c>
      <c r="AK1770" s="168" t="str">
        <f t="shared" si="752"/>
        <v/>
      </c>
      <c r="AL1770" s="168" t="str">
        <f t="shared" si="753"/>
        <v/>
      </c>
      <c r="AM1770" s="168" t="str">
        <f t="shared" si="754"/>
        <v/>
      </c>
      <c r="AN1770" s="167" t="str">
        <f t="shared" si="737"/>
        <v/>
      </c>
      <c r="AO1770" s="167" t="str">
        <f t="shared" si="738"/>
        <v/>
      </c>
      <c r="AP1770" s="167" t="str">
        <f t="shared" si="739"/>
        <v/>
      </c>
      <c r="AQ1770" s="169" t="str">
        <f t="shared" si="740"/>
        <v/>
      </c>
      <c r="AR1770" s="170" t="str">
        <f t="shared" si="741"/>
        <v>BiK82M2-----07</v>
      </c>
      <c r="AS1770" s="169" t="str">
        <f t="shared" si="742"/>
        <v/>
      </c>
      <c r="AT1770">
        <f t="shared" si="743"/>
        <v>14</v>
      </c>
      <c r="AU1770" s="170" t="str">
        <f t="shared" si="744"/>
        <v>0,15-0,5 MW, Bonusregel M2</v>
      </c>
      <c r="AV1770" s="169" t="str">
        <f t="shared" si="745"/>
        <v/>
      </c>
      <c r="AW1770" s="170" t="str">
        <f t="shared" si="746"/>
        <v>Anteil Nicht-KWK</v>
      </c>
      <c r="AX1770" s="169" t="str">
        <f t="shared" si="747"/>
        <v/>
      </c>
      <c r="AY1770" t="str">
        <f t="shared" si="748"/>
        <v/>
      </c>
      <c r="AZ1770" t="str">
        <f t="shared" si="749"/>
        <v/>
      </c>
    </row>
    <row r="1771" spans="1:52" s="145" customFormat="1" x14ac:dyDescent="0.35">
      <c r="A1771" s="497" t="s">
        <v>4827</v>
      </c>
      <c r="B1771" s="13" t="s">
        <v>5547</v>
      </c>
      <c r="C1771" s="13" t="s">
        <v>1304</v>
      </c>
      <c r="D1771" s="13" t="s">
        <v>7115</v>
      </c>
      <c r="E1771" s="13" t="s">
        <v>4811</v>
      </c>
      <c r="F1771" s="373">
        <f t="shared" si="756"/>
        <v>19.46</v>
      </c>
      <c r="G1771" s="430">
        <v>19.46</v>
      </c>
      <c r="H1771" s="399">
        <f t="shared" si="757"/>
        <v>15.57</v>
      </c>
      <c r="I1771" s="576"/>
      <c r="J1771" s="549" t="s">
        <v>5804</v>
      </c>
      <c r="K1771" s="11"/>
      <c r="L1771"/>
      <c r="M1771" s="37">
        <f t="shared" si="758"/>
        <v>19.46</v>
      </c>
      <c r="N1771" s="29">
        <v>9.4600000000000009</v>
      </c>
      <c r="O1771" s="149" t="s">
        <v>1017</v>
      </c>
      <c r="P1771" s="144"/>
      <c r="S1771" s="145" t="s">
        <v>4179</v>
      </c>
      <c r="T1771" s="145" t="s">
        <v>4179</v>
      </c>
      <c r="U1771" s="146"/>
      <c r="W1771" s="147"/>
      <c r="X1771" s="147"/>
      <c r="Z1771" s="147"/>
      <c r="AA1771" s="145" t="s">
        <v>1017</v>
      </c>
      <c r="AC1771" s="147"/>
      <c r="AE1771" s="148"/>
      <c r="AF1771" s="147"/>
      <c r="AG1771" s="147"/>
      <c r="AH1771" s="166" t="str">
        <f t="shared" si="761"/>
        <v/>
      </c>
      <c r="AI1771" s="168" t="str">
        <f t="shared" si="750"/>
        <v/>
      </c>
      <c r="AJ1771" s="168" t="str">
        <f t="shared" si="751"/>
        <v/>
      </c>
      <c r="AK1771" s="168" t="str">
        <f t="shared" si="752"/>
        <v/>
      </c>
      <c r="AL1771" s="168" t="str">
        <f t="shared" si="753"/>
        <v/>
      </c>
      <c r="AM1771" s="168" t="str">
        <f t="shared" si="754"/>
        <v/>
      </c>
      <c r="AN1771" s="167" t="str">
        <f t="shared" si="737"/>
        <v/>
      </c>
      <c r="AO1771" s="167" t="str">
        <f t="shared" si="738"/>
        <v/>
      </c>
      <c r="AP1771" s="167" t="str">
        <f t="shared" si="739"/>
        <v/>
      </c>
      <c r="AQ1771" s="169" t="str">
        <f t="shared" si="740"/>
        <v/>
      </c>
      <c r="AR1771" s="170" t="str">
        <f t="shared" si="741"/>
        <v>BiK82M2KWK--07</v>
      </c>
      <c r="AS1771" s="169" t="str">
        <f t="shared" si="742"/>
        <v/>
      </c>
      <c r="AT1771">
        <f t="shared" si="743"/>
        <v>14</v>
      </c>
      <c r="AU1771" s="170" t="str">
        <f t="shared" si="744"/>
        <v>0,15-0,5 MW, Bonusregeln M2 und KWK</v>
      </c>
      <c r="AV1771" s="169" t="str">
        <f t="shared" si="745"/>
        <v/>
      </c>
      <c r="AW1771" s="170" t="str">
        <f t="shared" si="746"/>
        <v>Anteil KWK</v>
      </c>
      <c r="AX1771" s="169" t="str">
        <f t="shared" si="747"/>
        <v/>
      </c>
      <c r="AY1771" t="str">
        <f t="shared" si="748"/>
        <v/>
      </c>
      <c r="AZ1771" t="str">
        <f t="shared" si="749"/>
        <v/>
      </c>
    </row>
    <row r="1772" spans="1:52" s="145" customFormat="1" x14ac:dyDescent="0.35">
      <c r="A1772" s="497" t="s">
        <v>4828</v>
      </c>
      <c r="B1772" s="13" t="s">
        <v>5547</v>
      </c>
      <c r="C1772" s="13" t="s">
        <v>1304</v>
      </c>
      <c r="D1772" s="13" t="s">
        <v>7042</v>
      </c>
      <c r="E1772" s="13" t="s">
        <v>4330</v>
      </c>
      <c r="F1772" s="373">
        <f t="shared" si="756"/>
        <v>20.46</v>
      </c>
      <c r="G1772" s="430">
        <v>20.46</v>
      </c>
      <c r="H1772" s="399">
        <f t="shared" si="757"/>
        <v>16.37</v>
      </c>
      <c r="I1772" s="576"/>
      <c r="J1772" s="549" t="s">
        <v>5804</v>
      </c>
      <c r="K1772" s="11"/>
      <c r="L1772"/>
      <c r="M1772" s="37">
        <f t="shared" si="758"/>
        <v>20.46</v>
      </c>
      <c r="N1772" s="29">
        <v>9.4600000000000009</v>
      </c>
      <c r="O1772" s="149"/>
      <c r="P1772" s="145" t="s">
        <v>1017</v>
      </c>
      <c r="S1772" s="145" t="s">
        <v>4179</v>
      </c>
      <c r="T1772" s="145" t="s">
        <v>4179</v>
      </c>
      <c r="U1772" s="146"/>
      <c r="W1772" s="147"/>
      <c r="X1772" s="147"/>
      <c r="Z1772" s="147"/>
      <c r="AA1772" s="145" t="s">
        <v>1017</v>
      </c>
      <c r="AC1772" s="147"/>
      <c r="AE1772" s="148"/>
      <c r="AF1772" s="147"/>
      <c r="AG1772" s="147"/>
      <c r="AH1772" s="166" t="str">
        <f t="shared" si="761"/>
        <v/>
      </c>
      <c r="AI1772" s="168" t="str">
        <f t="shared" si="750"/>
        <v/>
      </c>
      <c r="AJ1772" s="168" t="str">
        <f t="shared" si="751"/>
        <v/>
      </c>
      <c r="AK1772" s="168" t="str">
        <f t="shared" si="752"/>
        <v/>
      </c>
      <c r="AL1772" s="168" t="str">
        <f t="shared" si="753"/>
        <v/>
      </c>
      <c r="AM1772" s="168" t="str">
        <f t="shared" si="754"/>
        <v/>
      </c>
      <c r="AN1772" s="167" t="str">
        <f t="shared" si="737"/>
        <v/>
      </c>
      <c r="AO1772" s="167" t="str">
        <f t="shared" si="738"/>
        <v/>
      </c>
      <c r="AP1772" s="167" t="str">
        <f t="shared" si="739"/>
        <v/>
      </c>
      <c r="AQ1772" s="169" t="str">
        <f t="shared" si="740"/>
        <v/>
      </c>
      <c r="AR1772" s="170" t="str">
        <f t="shared" si="741"/>
        <v>BiK82M2KA3--07</v>
      </c>
      <c r="AS1772" s="169" t="str">
        <f t="shared" si="742"/>
        <v/>
      </c>
      <c r="AT1772">
        <f t="shared" si="743"/>
        <v>14</v>
      </c>
      <c r="AU1772" s="170" t="str">
        <f t="shared" si="744"/>
        <v>0,15-0,5 MW, Bonusregeln M2 und K wenn Anlage 3 erfüllt</v>
      </c>
      <c r="AV1772" s="169" t="str">
        <f t="shared" si="745"/>
        <v/>
      </c>
      <c r="AW1772" s="170" t="str">
        <f t="shared" si="746"/>
        <v>Anteil KWK gemäß Anlage 3</v>
      </c>
      <c r="AX1772" s="169" t="str">
        <f t="shared" si="747"/>
        <v/>
      </c>
      <c r="AY1772" t="str">
        <f t="shared" si="748"/>
        <v/>
      </c>
      <c r="AZ1772" t="str">
        <f t="shared" si="749"/>
        <v/>
      </c>
    </row>
    <row r="1773" spans="1:52" s="145" customFormat="1" x14ac:dyDescent="0.35">
      <c r="A1773" s="497" t="s">
        <v>4829</v>
      </c>
      <c r="B1773" s="13" t="s">
        <v>5547</v>
      </c>
      <c r="C1773" s="13" t="s">
        <v>1304</v>
      </c>
      <c r="D1773" s="13" t="s">
        <v>7116</v>
      </c>
      <c r="E1773" s="13" t="s">
        <v>674</v>
      </c>
      <c r="F1773" s="373">
        <f t="shared" si="756"/>
        <v>20.46</v>
      </c>
      <c r="G1773" s="430">
        <v>20.46</v>
      </c>
      <c r="H1773" s="399">
        <f t="shared" si="757"/>
        <v>16.37</v>
      </c>
      <c r="I1773" s="576"/>
      <c r="J1773" s="549" t="s">
        <v>5804</v>
      </c>
      <c r="K1773" s="11"/>
      <c r="L1773"/>
      <c r="M1773" s="37">
        <f t="shared" si="758"/>
        <v>20.46</v>
      </c>
      <c r="N1773" s="29">
        <v>9.4600000000000009</v>
      </c>
      <c r="O1773" s="149"/>
      <c r="P1773" s="144"/>
      <c r="Q1773" s="145" t="s">
        <v>1017</v>
      </c>
      <c r="S1773" s="145" t="s">
        <v>4179</v>
      </c>
      <c r="T1773" s="145" t="s">
        <v>4179</v>
      </c>
      <c r="U1773" s="146"/>
      <c r="W1773" s="147"/>
      <c r="X1773" s="147"/>
      <c r="Z1773" s="147"/>
      <c r="AA1773" s="145" t="s">
        <v>1017</v>
      </c>
      <c r="AC1773" s="147"/>
      <c r="AE1773" s="148"/>
      <c r="AF1773" s="147"/>
      <c r="AG1773" s="147"/>
      <c r="AH1773" s="166" t="str">
        <f t="shared" si="761"/>
        <v/>
      </c>
      <c r="AI1773" s="168" t="str">
        <f t="shared" si="750"/>
        <v/>
      </c>
      <c r="AJ1773" s="168" t="str">
        <f t="shared" si="751"/>
        <v/>
      </c>
      <c r="AK1773" s="168" t="str">
        <f t="shared" si="752"/>
        <v/>
      </c>
      <c r="AL1773" s="168" t="str">
        <f t="shared" si="753"/>
        <v/>
      </c>
      <c r="AM1773" s="168" t="str">
        <f t="shared" si="754"/>
        <v/>
      </c>
      <c r="AN1773" s="167" t="str">
        <f t="shared" si="737"/>
        <v/>
      </c>
      <c r="AO1773" s="167" t="str">
        <f t="shared" si="738"/>
        <v/>
      </c>
      <c r="AP1773" s="167" t="str">
        <f t="shared" si="739"/>
        <v/>
      </c>
      <c r="AQ1773" s="169" t="str">
        <f t="shared" si="740"/>
        <v/>
      </c>
      <c r="AR1773" s="170" t="str">
        <f t="shared" si="741"/>
        <v>BiK82M2K09--07</v>
      </c>
      <c r="AS1773" s="169" t="str">
        <f t="shared" si="742"/>
        <v/>
      </c>
      <c r="AT1773">
        <f t="shared" si="743"/>
        <v>14</v>
      </c>
      <c r="AU1773" s="170" t="str">
        <f t="shared" si="744"/>
        <v>0,15-0,5 MW, Bonusregeln M2, K erstmals 2009</v>
      </c>
      <c r="AV1773" s="169" t="str">
        <f t="shared" si="745"/>
        <v/>
      </c>
      <c r="AW1773" s="170" t="str">
        <f t="shared" si="746"/>
        <v>Anteil KWK, erstmals 2009</v>
      </c>
      <c r="AX1773" s="169" t="str">
        <f t="shared" si="747"/>
        <v/>
      </c>
      <c r="AY1773" t="str">
        <f t="shared" si="748"/>
        <v/>
      </c>
      <c r="AZ1773" t="str">
        <f t="shared" si="749"/>
        <v/>
      </c>
    </row>
    <row r="1774" spans="1:52" s="145" customFormat="1" x14ac:dyDescent="0.35">
      <c r="A1774" s="497" t="s">
        <v>4970</v>
      </c>
      <c r="B1774" s="13" t="s">
        <v>5547</v>
      </c>
      <c r="C1774" s="13" t="s">
        <v>1304</v>
      </c>
      <c r="D1774" s="13" t="s">
        <v>7117</v>
      </c>
      <c r="E1774" s="13" t="s">
        <v>3566</v>
      </c>
      <c r="F1774" s="373">
        <f t="shared" si="756"/>
        <v>20.43</v>
      </c>
      <c r="G1774" s="430">
        <v>20.43</v>
      </c>
      <c r="H1774" s="399">
        <f t="shared" si="757"/>
        <v>16.34</v>
      </c>
      <c r="I1774" s="576"/>
      <c r="J1774" s="549" t="s">
        <v>5804</v>
      </c>
      <c r="K1774" s="11"/>
      <c r="L1774"/>
      <c r="M1774" s="37">
        <f t="shared" si="758"/>
        <v>20.43</v>
      </c>
      <c r="N1774" s="29">
        <v>9.4600000000000009</v>
      </c>
      <c r="O1774" s="149"/>
      <c r="P1774" s="144"/>
      <c r="R1774" s="145" t="s">
        <v>1017</v>
      </c>
      <c r="S1774" s="145" t="s">
        <v>4179</v>
      </c>
      <c r="T1774" s="145" t="s">
        <v>4179</v>
      </c>
      <c r="U1774" s="146"/>
      <c r="W1774" s="147"/>
      <c r="X1774" s="147"/>
      <c r="Z1774" s="147"/>
      <c r="AA1774" s="145" t="s">
        <v>1017</v>
      </c>
      <c r="AC1774" s="147"/>
      <c r="AE1774" s="148"/>
      <c r="AF1774" s="147"/>
      <c r="AG1774" s="147"/>
      <c r="AH1774" s="166" t="str">
        <f t="shared" si="761"/>
        <v>2010</v>
      </c>
      <c r="AI1774" s="168" t="str">
        <f t="shared" si="750"/>
        <v/>
      </c>
      <c r="AJ1774" s="168" t="str">
        <f t="shared" si="751"/>
        <v/>
      </c>
      <c r="AK1774" s="168" t="str">
        <f t="shared" si="752"/>
        <v/>
      </c>
      <c r="AL1774" s="168" t="str">
        <f t="shared" si="753"/>
        <v/>
      </c>
      <c r="AM1774" s="168" t="str">
        <f t="shared" si="754"/>
        <v/>
      </c>
      <c r="AN1774" s="167" t="str">
        <f t="shared" si="737"/>
        <v>2010</v>
      </c>
      <c r="AO1774" s="167" t="str">
        <f t="shared" si="738"/>
        <v>2010</v>
      </c>
      <c r="AP1774" s="167" t="str">
        <f t="shared" si="739"/>
        <v>2010</v>
      </c>
      <c r="AQ1774" s="169" t="str">
        <f t="shared" si="740"/>
        <v/>
      </c>
      <c r="AR1774" s="170" t="str">
        <f t="shared" si="741"/>
        <v>BiK82M2K10--07</v>
      </c>
      <c r="AS1774" s="169" t="str">
        <f t="shared" si="742"/>
        <v/>
      </c>
      <c r="AT1774">
        <f t="shared" si="743"/>
        <v>14</v>
      </c>
      <c r="AU1774" s="170" t="str">
        <f t="shared" si="744"/>
        <v>0,15-0,5 MW, Bonusregeln M2, K erstmals 2010</v>
      </c>
      <c r="AV1774" s="169" t="str">
        <f t="shared" si="745"/>
        <v/>
      </c>
      <c r="AW1774" s="170" t="str">
        <f t="shared" si="746"/>
        <v>Anteil KWK, erstmals 2010</v>
      </c>
      <c r="AX1774" s="169" t="str">
        <f t="shared" si="747"/>
        <v/>
      </c>
      <c r="AY1774" t="str">
        <f t="shared" si="748"/>
        <v/>
      </c>
      <c r="AZ1774" t="str">
        <f t="shared" si="749"/>
        <v/>
      </c>
    </row>
    <row r="1775" spans="1:52" s="145" customFormat="1" x14ac:dyDescent="0.35">
      <c r="A1775" s="497" t="s">
        <v>3407</v>
      </c>
      <c r="B1775" s="13" t="s">
        <v>5547</v>
      </c>
      <c r="C1775" s="13" t="s">
        <v>1304</v>
      </c>
      <c r="D1775" s="13" t="s">
        <v>7118</v>
      </c>
      <c r="E1775" s="13" t="s">
        <v>3054</v>
      </c>
      <c r="F1775" s="373">
        <f t="shared" si="756"/>
        <v>20.399999999999999</v>
      </c>
      <c r="G1775" s="430">
        <v>20.399999999999999</v>
      </c>
      <c r="H1775" s="399">
        <f t="shared" si="757"/>
        <v>16.32</v>
      </c>
      <c r="I1775" s="576"/>
      <c r="J1775" s="549" t="s">
        <v>5804</v>
      </c>
      <c r="K1775" s="11"/>
      <c r="L1775"/>
      <c r="M1775" s="37">
        <f t="shared" si="758"/>
        <v>20.399999999999999</v>
      </c>
      <c r="N1775" s="29">
        <v>9.4600000000000009</v>
      </c>
      <c r="O1775" s="149"/>
      <c r="P1775" s="144"/>
      <c r="S1775" s="145" t="s">
        <v>1017</v>
      </c>
      <c r="T1775" s="145" t="s">
        <v>4179</v>
      </c>
      <c r="U1775" s="146"/>
      <c r="W1775" s="147"/>
      <c r="X1775" s="147"/>
      <c r="Z1775" s="147"/>
      <c r="AA1775" s="145" t="s">
        <v>1017</v>
      </c>
      <c r="AC1775" s="147"/>
      <c r="AE1775" s="148"/>
      <c r="AF1775" s="147"/>
      <c r="AG1775" s="147"/>
      <c r="AH1775" s="166" t="str">
        <f t="shared" si="761"/>
        <v>2011</v>
      </c>
      <c r="AI1775" s="168" t="str">
        <f t="shared" si="750"/>
        <v/>
      </c>
      <c r="AJ1775" s="168" t="str">
        <f t="shared" si="751"/>
        <v/>
      </c>
      <c r="AK1775" s="168" t="str">
        <f t="shared" si="752"/>
        <v/>
      </c>
      <c r="AL1775" s="168" t="str">
        <f t="shared" si="753"/>
        <v/>
      </c>
      <c r="AM1775" s="168" t="str">
        <f t="shared" si="754"/>
        <v/>
      </c>
      <c r="AN1775" s="167" t="str">
        <f t="shared" si="737"/>
        <v>2011</v>
      </c>
      <c r="AO1775" s="167" t="str">
        <f t="shared" si="738"/>
        <v>2011</v>
      </c>
      <c r="AP1775" s="167" t="str">
        <f t="shared" si="739"/>
        <v>2011</v>
      </c>
      <c r="AQ1775" s="169" t="str">
        <f t="shared" si="740"/>
        <v/>
      </c>
      <c r="AR1775" s="170" t="str">
        <f t="shared" si="741"/>
        <v>BiK82M2K11--07</v>
      </c>
      <c r="AS1775" s="169" t="str">
        <f t="shared" si="742"/>
        <v/>
      </c>
      <c r="AT1775">
        <f t="shared" si="743"/>
        <v>14</v>
      </c>
      <c r="AU1775" s="170" t="str">
        <f t="shared" si="744"/>
        <v>0,15-0,5 MW, Bonusregeln M2, K erstmals 2011</v>
      </c>
      <c r="AV1775" s="169" t="str">
        <f t="shared" si="745"/>
        <v/>
      </c>
      <c r="AW1775" s="170" t="str">
        <f t="shared" si="746"/>
        <v>Anteil KWK, erstmals 2011</v>
      </c>
      <c r="AX1775" s="169" t="str">
        <f t="shared" si="747"/>
        <v/>
      </c>
      <c r="AY1775" t="str">
        <f t="shared" si="748"/>
        <v>x</v>
      </c>
      <c r="AZ1775" t="str">
        <f t="shared" si="749"/>
        <v/>
      </c>
    </row>
    <row r="1776" spans="1:52" s="145" customFormat="1" x14ac:dyDescent="0.35">
      <c r="A1776" s="511" t="s">
        <v>1840</v>
      </c>
      <c r="B1776" s="173" t="s">
        <v>5547</v>
      </c>
      <c r="C1776" s="173" t="s">
        <v>1304</v>
      </c>
      <c r="D1776" s="173" t="s">
        <v>7119</v>
      </c>
      <c r="E1776" s="173" t="s">
        <v>1980</v>
      </c>
      <c r="F1776" s="374">
        <f t="shared" si="756"/>
        <v>20.37</v>
      </c>
      <c r="G1776" s="431">
        <v>20.37</v>
      </c>
      <c r="H1776" s="400">
        <f t="shared" si="757"/>
        <v>16.3</v>
      </c>
      <c r="I1776" s="577"/>
      <c r="J1776" s="549" t="s">
        <v>5804</v>
      </c>
      <c r="K1776" s="11"/>
      <c r="L1776"/>
      <c r="M1776" s="37">
        <f t="shared" si="758"/>
        <v>20.37</v>
      </c>
      <c r="N1776" s="29">
        <v>9.4600000000000009</v>
      </c>
      <c r="O1776" s="149"/>
      <c r="P1776" s="144"/>
      <c r="S1776" s="145" t="s">
        <v>4179</v>
      </c>
      <c r="T1776" s="145" t="s">
        <v>1017</v>
      </c>
      <c r="U1776" s="146"/>
      <c r="W1776" s="147"/>
      <c r="X1776" s="147"/>
      <c r="Z1776" s="147"/>
      <c r="AA1776" s="145" t="s">
        <v>1017</v>
      </c>
      <c r="AC1776" s="147"/>
      <c r="AE1776" s="148"/>
      <c r="AF1776" s="147"/>
      <c r="AG1776" s="147"/>
      <c r="AH1776" s="171" t="s">
        <v>4178</v>
      </c>
      <c r="AI1776" s="168" t="str">
        <f t="shared" si="750"/>
        <v/>
      </c>
      <c r="AJ1776" s="168" t="str">
        <f t="shared" si="751"/>
        <v/>
      </c>
      <c r="AK1776" s="168" t="str">
        <f t="shared" si="752"/>
        <v/>
      </c>
      <c r="AL1776" s="168" t="str">
        <f t="shared" si="753"/>
        <v/>
      </c>
      <c r="AM1776" s="168" t="str">
        <f t="shared" si="754"/>
        <v/>
      </c>
      <c r="AN1776" s="167" t="str">
        <f t="shared" si="737"/>
        <v>2012</v>
      </c>
      <c r="AO1776" s="167" t="str">
        <f t="shared" si="738"/>
        <v>2012</v>
      </c>
      <c r="AP1776" s="167" t="str">
        <f t="shared" si="739"/>
        <v>2012</v>
      </c>
      <c r="AQ1776" s="169" t="str">
        <f t="shared" si="740"/>
        <v/>
      </c>
      <c r="AR1776" s="170" t="str">
        <f t="shared" si="741"/>
        <v>BiK82M2K12--07</v>
      </c>
      <c r="AS1776" s="169" t="str">
        <f t="shared" si="742"/>
        <v/>
      </c>
      <c r="AT1776">
        <f t="shared" si="743"/>
        <v>14</v>
      </c>
      <c r="AU1776" s="170" t="str">
        <f t="shared" si="744"/>
        <v>0,15-0,5 MW, Bonusregeln M2, K erstmals 2012</v>
      </c>
      <c r="AV1776" s="169" t="str">
        <f t="shared" si="745"/>
        <v/>
      </c>
      <c r="AW1776" s="170" t="str">
        <f t="shared" si="746"/>
        <v>Anteil KWK, erstmals 2012</v>
      </c>
      <c r="AX1776" s="169" t="str">
        <f t="shared" si="747"/>
        <v/>
      </c>
      <c r="AY1776" t="str">
        <f t="shared" si="748"/>
        <v/>
      </c>
      <c r="AZ1776" t="str">
        <f t="shared" si="749"/>
        <v>x</v>
      </c>
    </row>
    <row r="1777" spans="1:52" s="145" customFormat="1" x14ac:dyDescent="0.35">
      <c r="A1777" s="497" t="s">
        <v>4830</v>
      </c>
      <c r="B1777" s="13" t="s">
        <v>5547</v>
      </c>
      <c r="C1777" s="13" t="s">
        <v>1304</v>
      </c>
      <c r="D1777" s="13" t="s">
        <v>7047</v>
      </c>
      <c r="E1777" s="13" t="s">
        <v>4809</v>
      </c>
      <c r="F1777" s="373">
        <f t="shared" si="756"/>
        <v>18.46</v>
      </c>
      <c r="G1777" s="430">
        <v>18.46</v>
      </c>
      <c r="H1777" s="399">
        <f t="shared" si="757"/>
        <v>14.77</v>
      </c>
      <c r="I1777" s="576"/>
      <c r="J1777" s="549" t="s">
        <v>5804</v>
      </c>
      <c r="K1777" s="11"/>
      <c r="L1777"/>
      <c r="M1777" s="37">
        <f t="shared" si="758"/>
        <v>18.46</v>
      </c>
      <c r="N1777" s="29">
        <v>9.4600000000000009</v>
      </c>
      <c r="O1777" s="149"/>
      <c r="P1777" s="144"/>
      <c r="S1777" s="145" t="s">
        <v>4179</v>
      </c>
      <c r="T1777" s="145" t="s">
        <v>4179</v>
      </c>
      <c r="U1777" s="146" t="s">
        <v>1017</v>
      </c>
      <c r="W1777" s="147"/>
      <c r="X1777" s="147"/>
      <c r="Z1777" s="147"/>
      <c r="AA1777" s="145" t="s">
        <v>1017</v>
      </c>
      <c r="AC1777" s="147"/>
      <c r="AE1777" s="148"/>
      <c r="AF1777" s="147"/>
      <c r="AG1777" s="147"/>
      <c r="AH1777" s="166" t="str">
        <f t="shared" ref="AH1777:AH1782" si="762">IF(ISERROR(SEARCH("K erstmals 201",D1777)),"",RIGHT(D1777,4))</f>
        <v/>
      </c>
      <c r="AI1777" s="168" t="str">
        <f t="shared" si="750"/>
        <v/>
      </c>
      <c r="AJ1777" s="168" t="str">
        <f t="shared" si="751"/>
        <v/>
      </c>
      <c r="AK1777" s="168" t="str">
        <f t="shared" si="752"/>
        <v/>
      </c>
      <c r="AL1777" s="168" t="str">
        <f t="shared" si="753"/>
        <v/>
      </c>
      <c r="AM1777" s="168" t="str">
        <f t="shared" si="754"/>
        <v/>
      </c>
      <c r="AN1777" s="167" t="str">
        <f t="shared" si="737"/>
        <v/>
      </c>
      <c r="AO1777" s="167" t="str">
        <f t="shared" si="738"/>
        <v/>
      </c>
      <c r="AP1777" s="167" t="str">
        <f t="shared" si="739"/>
        <v/>
      </c>
      <c r="AQ1777" s="169" t="str">
        <f t="shared" si="740"/>
        <v/>
      </c>
      <c r="AR1777" s="170" t="str">
        <f t="shared" si="741"/>
        <v>BiK82M2y----07</v>
      </c>
      <c r="AS1777" s="169" t="str">
        <f t="shared" si="742"/>
        <v/>
      </c>
      <c r="AT1777">
        <f t="shared" si="743"/>
        <v>14</v>
      </c>
      <c r="AU1777" s="170" t="str">
        <f t="shared" si="744"/>
        <v>0,15-0,5 MW, Bonusregeln M2, y</v>
      </c>
      <c r="AV1777" s="169" t="str">
        <f t="shared" si="745"/>
        <v/>
      </c>
      <c r="AW1777" s="170" t="str">
        <f t="shared" si="746"/>
        <v>Anteil Nicht-KWK</v>
      </c>
      <c r="AX1777" s="169" t="str">
        <f t="shared" si="747"/>
        <v/>
      </c>
      <c r="AY1777" t="str">
        <f t="shared" si="748"/>
        <v/>
      </c>
      <c r="AZ1777" t="str">
        <f t="shared" si="749"/>
        <v/>
      </c>
    </row>
    <row r="1778" spans="1:52" s="145" customFormat="1" x14ac:dyDescent="0.35">
      <c r="A1778" s="497" t="s">
        <v>4831</v>
      </c>
      <c r="B1778" s="13" t="s">
        <v>5547</v>
      </c>
      <c r="C1778" s="13" t="s">
        <v>1304</v>
      </c>
      <c r="D1778" s="13" t="s">
        <v>7120</v>
      </c>
      <c r="E1778" s="13" t="s">
        <v>4811</v>
      </c>
      <c r="F1778" s="373">
        <f t="shared" si="756"/>
        <v>20.46</v>
      </c>
      <c r="G1778" s="430">
        <v>20.46</v>
      </c>
      <c r="H1778" s="399">
        <f t="shared" si="757"/>
        <v>16.37</v>
      </c>
      <c r="I1778" s="576"/>
      <c r="J1778" s="549" t="s">
        <v>5804</v>
      </c>
      <c r="K1778" s="11"/>
      <c r="L1778"/>
      <c r="M1778" s="37">
        <f t="shared" si="758"/>
        <v>20.46</v>
      </c>
      <c r="N1778" s="29">
        <v>9.4600000000000009</v>
      </c>
      <c r="O1778" s="149" t="s">
        <v>1017</v>
      </c>
      <c r="P1778" s="144"/>
      <c r="S1778" s="145" t="s">
        <v>4179</v>
      </c>
      <c r="T1778" s="145" t="s">
        <v>4179</v>
      </c>
      <c r="U1778" s="146" t="s">
        <v>1017</v>
      </c>
      <c r="W1778" s="147"/>
      <c r="X1778" s="147"/>
      <c r="Z1778" s="147"/>
      <c r="AA1778" s="145" t="s">
        <v>1017</v>
      </c>
      <c r="AC1778" s="147"/>
      <c r="AE1778" s="148"/>
      <c r="AF1778" s="147"/>
      <c r="AG1778" s="147"/>
      <c r="AH1778" s="166" t="str">
        <f t="shared" si="762"/>
        <v/>
      </c>
      <c r="AI1778" s="168" t="str">
        <f t="shared" si="750"/>
        <v/>
      </c>
      <c r="AJ1778" s="168" t="str">
        <f t="shared" si="751"/>
        <v/>
      </c>
      <c r="AK1778" s="168" t="str">
        <f t="shared" si="752"/>
        <v/>
      </c>
      <c r="AL1778" s="168" t="str">
        <f t="shared" si="753"/>
        <v/>
      </c>
      <c r="AM1778" s="168" t="str">
        <f t="shared" si="754"/>
        <v/>
      </c>
      <c r="AN1778" s="167" t="str">
        <f t="shared" si="737"/>
        <v/>
      </c>
      <c r="AO1778" s="167" t="str">
        <f t="shared" si="738"/>
        <v/>
      </c>
      <c r="AP1778" s="167" t="str">
        <f t="shared" si="739"/>
        <v/>
      </c>
      <c r="AQ1778" s="169" t="str">
        <f t="shared" si="740"/>
        <v/>
      </c>
      <c r="AR1778" s="170" t="str">
        <f t="shared" si="741"/>
        <v>BiK82M2KWKy-07</v>
      </c>
      <c r="AS1778" s="169" t="str">
        <f t="shared" si="742"/>
        <v/>
      </c>
      <c r="AT1778">
        <f t="shared" si="743"/>
        <v>14</v>
      </c>
      <c r="AU1778" s="170" t="str">
        <f t="shared" si="744"/>
        <v>0,15-0,5 MW, Bonusregeln M2, y und KWK</v>
      </c>
      <c r="AV1778" s="169" t="str">
        <f t="shared" si="745"/>
        <v/>
      </c>
      <c r="AW1778" s="170" t="str">
        <f t="shared" si="746"/>
        <v>Anteil KWK</v>
      </c>
      <c r="AX1778" s="169" t="str">
        <f t="shared" si="747"/>
        <v/>
      </c>
      <c r="AY1778" t="str">
        <f t="shared" si="748"/>
        <v/>
      </c>
      <c r="AZ1778" t="str">
        <f t="shared" si="749"/>
        <v/>
      </c>
    </row>
    <row r="1779" spans="1:52" s="145" customFormat="1" x14ac:dyDescent="0.35">
      <c r="A1779" s="497" t="s">
        <v>4832</v>
      </c>
      <c r="B1779" s="13" t="s">
        <v>5547</v>
      </c>
      <c r="C1779" s="13" t="s">
        <v>1304</v>
      </c>
      <c r="D1779" s="88" t="s">
        <v>7048</v>
      </c>
      <c r="E1779" s="13" t="s">
        <v>4330</v>
      </c>
      <c r="F1779" s="373">
        <f t="shared" si="756"/>
        <v>21.46</v>
      </c>
      <c r="G1779" s="430">
        <v>21.46</v>
      </c>
      <c r="H1779" s="399">
        <f t="shared" si="757"/>
        <v>17.170000000000002</v>
      </c>
      <c r="I1779" s="576"/>
      <c r="J1779" s="549" t="s">
        <v>5804</v>
      </c>
      <c r="K1779" s="11"/>
      <c r="L1779"/>
      <c r="M1779" s="37">
        <f t="shared" si="758"/>
        <v>21.46</v>
      </c>
      <c r="N1779" s="29">
        <v>9.4600000000000009</v>
      </c>
      <c r="O1779" s="149"/>
      <c r="P1779" s="145" t="s">
        <v>1017</v>
      </c>
      <c r="S1779" s="145" t="s">
        <v>4179</v>
      </c>
      <c r="T1779" s="145" t="s">
        <v>4179</v>
      </c>
      <c r="U1779" s="146" t="s">
        <v>1017</v>
      </c>
      <c r="W1779" s="147"/>
      <c r="X1779" s="147"/>
      <c r="Z1779" s="147"/>
      <c r="AA1779" s="145" t="s">
        <v>1017</v>
      </c>
      <c r="AC1779" s="147"/>
      <c r="AE1779" s="148"/>
      <c r="AF1779" s="147"/>
      <c r="AG1779" s="147"/>
      <c r="AH1779" s="166" t="str">
        <f t="shared" si="762"/>
        <v/>
      </c>
      <c r="AI1779" s="168" t="str">
        <f t="shared" si="750"/>
        <v/>
      </c>
      <c r="AJ1779" s="168" t="str">
        <f t="shared" si="751"/>
        <v/>
      </c>
      <c r="AK1779" s="168" t="str">
        <f t="shared" si="752"/>
        <v/>
      </c>
      <c r="AL1779" s="168" t="str">
        <f t="shared" si="753"/>
        <v/>
      </c>
      <c r="AM1779" s="168" t="str">
        <f t="shared" si="754"/>
        <v/>
      </c>
      <c r="AN1779" s="167" t="str">
        <f t="shared" si="737"/>
        <v/>
      </c>
      <c r="AO1779" s="167" t="str">
        <f t="shared" si="738"/>
        <v/>
      </c>
      <c r="AP1779" s="167" t="str">
        <f t="shared" si="739"/>
        <v/>
      </c>
      <c r="AQ1779" s="169" t="str">
        <f t="shared" si="740"/>
        <v/>
      </c>
      <c r="AR1779" s="170" t="str">
        <f t="shared" si="741"/>
        <v>BiK82M2KA3y-07</v>
      </c>
      <c r="AS1779" s="169" t="str">
        <f t="shared" si="742"/>
        <v/>
      </c>
      <c r="AT1779">
        <f t="shared" si="743"/>
        <v>14</v>
      </c>
      <c r="AU1779" s="170" t="str">
        <f t="shared" si="744"/>
        <v>0,15-0,5 MW, Bonusregeln M2, y und K wenn Anlage 3 erfüllt</v>
      </c>
      <c r="AV1779" s="169" t="str">
        <f t="shared" si="745"/>
        <v/>
      </c>
      <c r="AW1779" s="170" t="str">
        <f t="shared" si="746"/>
        <v>Anteil KWK gemäß Anlage 3</v>
      </c>
      <c r="AX1779" s="169" t="str">
        <f t="shared" si="747"/>
        <v/>
      </c>
      <c r="AY1779" t="str">
        <f t="shared" si="748"/>
        <v/>
      </c>
      <c r="AZ1779" t="str">
        <f t="shared" si="749"/>
        <v/>
      </c>
    </row>
    <row r="1780" spans="1:52" s="145" customFormat="1" x14ac:dyDescent="0.35">
      <c r="A1780" s="497" t="s">
        <v>4833</v>
      </c>
      <c r="B1780" s="13" t="s">
        <v>5547</v>
      </c>
      <c r="C1780" s="13" t="s">
        <v>1304</v>
      </c>
      <c r="D1780" s="13" t="s">
        <v>7049</v>
      </c>
      <c r="E1780" s="13" t="s">
        <v>674</v>
      </c>
      <c r="F1780" s="373">
        <f t="shared" si="756"/>
        <v>21.46</v>
      </c>
      <c r="G1780" s="430">
        <v>21.46</v>
      </c>
      <c r="H1780" s="399">
        <f t="shared" si="757"/>
        <v>17.170000000000002</v>
      </c>
      <c r="I1780" s="576"/>
      <c r="J1780" s="549" t="s">
        <v>5804</v>
      </c>
      <c r="K1780" s="11"/>
      <c r="L1780"/>
      <c r="M1780" s="37">
        <f t="shared" si="758"/>
        <v>21.46</v>
      </c>
      <c r="N1780" s="29">
        <v>9.4600000000000009</v>
      </c>
      <c r="O1780" s="149"/>
      <c r="P1780" s="144"/>
      <c r="Q1780" s="145" t="s">
        <v>1017</v>
      </c>
      <c r="S1780" s="145" t="s">
        <v>4179</v>
      </c>
      <c r="T1780" s="145" t="s">
        <v>4179</v>
      </c>
      <c r="U1780" s="146" t="s">
        <v>1017</v>
      </c>
      <c r="W1780" s="147"/>
      <c r="X1780" s="147"/>
      <c r="Z1780" s="147"/>
      <c r="AA1780" s="145" t="s">
        <v>1017</v>
      </c>
      <c r="AC1780" s="147"/>
      <c r="AE1780" s="148"/>
      <c r="AF1780" s="147"/>
      <c r="AG1780" s="147"/>
      <c r="AH1780" s="166" t="str">
        <f t="shared" si="762"/>
        <v/>
      </c>
      <c r="AI1780" s="168" t="str">
        <f t="shared" si="750"/>
        <v/>
      </c>
      <c r="AJ1780" s="168" t="str">
        <f t="shared" si="751"/>
        <v/>
      </c>
      <c r="AK1780" s="168" t="str">
        <f t="shared" si="752"/>
        <v/>
      </c>
      <c r="AL1780" s="168" t="str">
        <f t="shared" si="753"/>
        <v/>
      </c>
      <c r="AM1780" s="168" t="str">
        <f t="shared" si="754"/>
        <v/>
      </c>
      <c r="AN1780" s="167" t="str">
        <f t="shared" si="737"/>
        <v/>
      </c>
      <c r="AO1780" s="167" t="str">
        <f t="shared" si="738"/>
        <v/>
      </c>
      <c r="AP1780" s="167" t="str">
        <f t="shared" si="739"/>
        <v/>
      </c>
      <c r="AQ1780" s="169" t="str">
        <f t="shared" si="740"/>
        <v/>
      </c>
      <c r="AR1780" s="170" t="str">
        <f t="shared" si="741"/>
        <v>BiK82M2K09y-07</v>
      </c>
      <c r="AS1780" s="169" t="str">
        <f t="shared" si="742"/>
        <v/>
      </c>
      <c r="AT1780">
        <f t="shared" si="743"/>
        <v>14</v>
      </c>
      <c r="AU1780" s="170" t="str">
        <f t="shared" si="744"/>
        <v>0,15-0,5 MW, Bonusregeln M2, y und K erstmals 2009</v>
      </c>
      <c r="AV1780" s="169" t="str">
        <f t="shared" si="745"/>
        <v/>
      </c>
      <c r="AW1780" s="170" t="str">
        <f t="shared" si="746"/>
        <v>Anteil KWK, erstmals 2009</v>
      </c>
      <c r="AX1780" s="169" t="str">
        <f t="shared" si="747"/>
        <v/>
      </c>
      <c r="AY1780" t="str">
        <f t="shared" si="748"/>
        <v/>
      </c>
      <c r="AZ1780" t="str">
        <f t="shared" si="749"/>
        <v/>
      </c>
    </row>
    <row r="1781" spans="1:52" s="145" customFormat="1" x14ac:dyDescent="0.35">
      <c r="A1781" s="497" t="s">
        <v>4971</v>
      </c>
      <c r="B1781" s="13" t="s">
        <v>5547</v>
      </c>
      <c r="C1781" s="13" t="s">
        <v>1304</v>
      </c>
      <c r="D1781" s="13" t="s">
        <v>7050</v>
      </c>
      <c r="E1781" s="13" t="s">
        <v>3566</v>
      </c>
      <c r="F1781" s="373">
        <f t="shared" si="756"/>
        <v>21.43</v>
      </c>
      <c r="G1781" s="430">
        <v>21.43</v>
      </c>
      <c r="H1781" s="399">
        <f t="shared" si="757"/>
        <v>17.14</v>
      </c>
      <c r="I1781" s="576"/>
      <c r="J1781" s="549" t="s">
        <v>5804</v>
      </c>
      <c r="K1781" s="11"/>
      <c r="L1781"/>
      <c r="M1781" s="37">
        <f t="shared" si="758"/>
        <v>21.43</v>
      </c>
      <c r="N1781" s="29">
        <v>9.4600000000000009</v>
      </c>
      <c r="O1781" s="149"/>
      <c r="P1781" s="144"/>
      <c r="R1781" s="145" t="s">
        <v>1017</v>
      </c>
      <c r="S1781" s="145" t="s">
        <v>4179</v>
      </c>
      <c r="T1781" s="145" t="s">
        <v>4179</v>
      </c>
      <c r="U1781" s="146" t="s">
        <v>1017</v>
      </c>
      <c r="W1781" s="147"/>
      <c r="X1781" s="147"/>
      <c r="Z1781" s="147"/>
      <c r="AA1781" s="145" t="s">
        <v>1017</v>
      </c>
      <c r="AC1781" s="147"/>
      <c r="AE1781" s="148"/>
      <c r="AF1781" s="147"/>
      <c r="AG1781" s="147"/>
      <c r="AH1781" s="166" t="str">
        <f t="shared" si="762"/>
        <v>2010</v>
      </c>
      <c r="AI1781" s="168" t="str">
        <f t="shared" si="750"/>
        <v/>
      </c>
      <c r="AJ1781" s="168" t="str">
        <f t="shared" si="751"/>
        <v/>
      </c>
      <c r="AK1781" s="168" t="str">
        <f t="shared" si="752"/>
        <v/>
      </c>
      <c r="AL1781" s="168" t="str">
        <f t="shared" si="753"/>
        <v/>
      </c>
      <c r="AM1781" s="168" t="str">
        <f t="shared" si="754"/>
        <v/>
      </c>
      <c r="AN1781" s="167" t="str">
        <f t="shared" si="737"/>
        <v>2010</v>
      </c>
      <c r="AO1781" s="167" t="str">
        <f t="shared" si="738"/>
        <v>2010</v>
      </c>
      <c r="AP1781" s="167" t="str">
        <f t="shared" si="739"/>
        <v>2010</v>
      </c>
      <c r="AQ1781" s="169" t="str">
        <f t="shared" si="740"/>
        <v/>
      </c>
      <c r="AR1781" s="170" t="str">
        <f t="shared" si="741"/>
        <v>BiK82M2K10y-07</v>
      </c>
      <c r="AS1781" s="169" t="str">
        <f t="shared" si="742"/>
        <v/>
      </c>
      <c r="AT1781">
        <f t="shared" si="743"/>
        <v>14</v>
      </c>
      <c r="AU1781" s="170" t="str">
        <f t="shared" si="744"/>
        <v>0,15-0,5 MW, Bonusregeln M2, y und K erstmals 2010</v>
      </c>
      <c r="AV1781" s="169" t="str">
        <f t="shared" si="745"/>
        <v/>
      </c>
      <c r="AW1781" s="170" t="str">
        <f t="shared" si="746"/>
        <v>Anteil KWK, erstmals 2010</v>
      </c>
      <c r="AX1781" s="169" t="str">
        <f t="shared" si="747"/>
        <v/>
      </c>
      <c r="AY1781" t="str">
        <f t="shared" si="748"/>
        <v/>
      </c>
      <c r="AZ1781" t="str">
        <f t="shared" si="749"/>
        <v/>
      </c>
    </row>
    <row r="1782" spans="1:52" s="145" customFormat="1" x14ac:dyDescent="0.35">
      <c r="A1782" s="497" t="s">
        <v>3408</v>
      </c>
      <c r="B1782" s="13" t="s">
        <v>5547</v>
      </c>
      <c r="C1782" s="13" t="s">
        <v>1304</v>
      </c>
      <c r="D1782" s="13" t="s">
        <v>7051</v>
      </c>
      <c r="E1782" s="13" t="s">
        <v>3054</v>
      </c>
      <c r="F1782" s="373">
        <f t="shared" si="756"/>
        <v>21.4</v>
      </c>
      <c r="G1782" s="430">
        <v>21.4</v>
      </c>
      <c r="H1782" s="399">
        <f t="shared" si="757"/>
        <v>17.12</v>
      </c>
      <c r="I1782" s="576"/>
      <c r="J1782" s="549" t="s">
        <v>5804</v>
      </c>
      <c r="K1782" s="11"/>
      <c r="L1782"/>
      <c r="M1782" s="37">
        <f t="shared" si="758"/>
        <v>21.4</v>
      </c>
      <c r="N1782" s="29">
        <v>9.4600000000000009</v>
      </c>
      <c r="O1782" s="149"/>
      <c r="P1782" s="144"/>
      <c r="S1782" s="145" t="s">
        <v>1017</v>
      </c>
      <c r="T1782" s="145" t="s">
        <v>4179</v>
      </c>
      <c r="U1782" s="146" t="s">
        <v>1017</v>
      </c>
      <c r="W1782" s="147"/>
      <c r="X1782" s="147"/>
      <c r="Z1782" s="147"/>
      <c r="AA1782" s="145" t="s">
        <v>1017</v>
      </c>
      <c r="AC1782" s="147"/>
      <c r="AE1782" s="148"/>
      <c r="AF1782" s="147"/>
      <c r="AG1782" s="147"/>
      <c r="AH1782" s="166" t="str">
        <f t="shared" si="762"/>
        <v>2011</v>
      </c>
      <c r="AI1782" s="168" t="str">
        <f t="shared" si="750"/>
        <v/>
      </c>
      <c r="AJ1782" s="168" t="str">
        <f t="shared" si="751"/>
        <v/>
      </c>
      <c r="AK1782" s="168" t="str">
        <f t="shared" si="752"/>
        <v/>
      </c>
      <c r="AL1782" s="168" t="str">
        <f t="shared" si="753"/>
        <v/>
      </c>
      <c r="AM1782" s="168" t="str">
        <f t="shared" si="754"/>
        <v/>
      </c>
      <c r="AN1782" s="167" t="str">
        <f t="shared" si="737"/>
        <v>2011</v>
      </c>
      <c r="AO1782" s="167" t="str">
        <f t="shared" si="738"/>
        <v>2011</v>
      </c>
      <c r="AP1782" s="167" t="str">
        <f t="shared" si="739"/>
        <v>2011</v>
      </c>
      <c r="AQ1782" s="169" t="str">
        <f t="shared" si="740"/>
        <v/>
      </c>
      <c r="AR1782" s="170" t="str">
        <f t="shared" si="741"/>
        <v>BiK82M2K11y-07</v>
      </c>
      <c r="AS1782" s="169" t="str">
        <f t="shared" si="742"/>
        <v/>
      </c>
      <c r="AT1782">
        <f t="shared" si="743"/>
        <v>14</v>
      </c>
      <c r="AU1782" s="170" t="str">
        <f t="shared" si="744"/>
        <v>0,15-0,5 MW, Bonusregeln M2, y und K erstmals 2011</v>
      </c>
      <c r="AV1782" s="169" t="str">
        <f t="shared" si="745"/>
        <v/>
      </c>
      <c r="AW1782" s="170" t="str">
        <f t="shared" si="746"/>
        <v>Anteil KWK, erstmals 2011</v>
      </c>
      <c r="AX1782" s="169" t="str">
        <f t="shared" si="747"/>
        <v/>
      </c>
      <c r="AY1782" t="str">
        <f t="shared" si="748"/>
        <v>x</v>
      </c>
      <c r="AZ1782" t="str">
        <f t="shared" si="749"/>
        <v/>
      </c>
    </row>
    <row r="1783" spans="1:52" s="145" customFormat="1" x14ac:dyDescent="0.35">
      <c r="A1783" s="511" t="s">
        <v>1841</v>
      </c>
      <c r="B1783" s="173" t="s">
        <v>5547</v>
      </c>
      <c r="C1783" s="173" t="s">
        <v>1304</v>
      </c>
      <c r="D1783" s="173" t="s">
        <v>7052</v>
      </c>
      <c r="E1783" s="173" t="s">
        <v>1980</v>
      </c>
      <c r="F1783" s="374">
        <f t="shared" si="756"/>
        <v>21.37</v>
      </c>
      <c r="G1783" s="431">
        <v>21.37</v>
      </c>
      <c r="H1783" s="400">
        <f t="shared" si="757"/>
        <v>17.100000000000001</v>
      </c>
      <c r="I1783" s="577"/>
      <c r="J1783" s="549" t="s">
        <v>5804</v>
      </c>
      <c r="K1783" s="11"/>
      <c r="L1783"/>
      <c r="M1783" s="37">
        <f t="shared" si="758"/>
        <v>21.37</v>
      </c>
      <c r="N1783" s="29">
        <v>9.4600000000000009</v>
      </c>
      <c r="O1783" s="149"/>
      <c r="P1783" s="144"/>
      <c r="S1783" s="145" t="s">
        <v>4179</v>
      </c>
      <c r="T1783" s="145" t="s">
        <v>1017</v>
      </c>
      <c r="U1783" s="146" t="s">
        <v>1017</v>
      </c>
      <c r="W1783" s="147"/>
      <c r="X1783" s="147"/>
      <c r="Z1783" s="147"/>
      <c r="AA1783" s="145" t="s">
        <v>1017</v>
      </c>
      <c r="AC1783" s="147"/>
      <c r="AE1783" s="148"/>
      <c r="AF1783" s="147"/>
      <c r="AG1783" s="147"/>
      <c r="AH1783" s="171" t="s">
        <v>4178</v>
      </c>
      <c r="AI1783" s="168" t="str">
        <f t="shared" si="750"/>
        <v/>
      </c>
      <c r="AJ1783" s="168" t="str">
        <f t="shared" si="751"/>
        <v/>
      </c>
      <c r="AK1783" s="168" t="str">
        <f t="shared" si="752"/>
        <v/>
      </c>
      <c r="AL1783" s="168" t="str">
        <f t="shared" si="753"/>
        <v/>
      </c>
      <c r="AM1783" s="168" t="str">
        <f t="shared" si="754"/>
        <v/>
      </c>
      <c r="AN1783" s="167" t="str">
        <f t="shared" si="737"/>
        <v>2012</v>
      </c>
      <c r="AO1783" s="167" t="str">
        <f t="shared" si="738"/>
        <v>2012</v>
      </c>
      <c r="AP1783" s="167" t="str">
        <f t="shared" si="739"/>
        <v>2012</v>
      </c>
      <c r="AQ1783" s="169" t="str">
        <f t="shared" si="740"/>
        <v/>
      </c>
      <c r="AR1783" s="170" t="str">
        <f t="shared" si="741"/>
        <v>BiK82M2K12y-07</v>
      </c>
      <c r="AS1783" s="169" t="str">
        <f t="shared" si="742"/>
        <v/>
      </c>
      <c r="AT1783">
        <f t="shared" si="743"/>
        <v>14</v>
      </c>
      <c r="AU1783" s="170" t="str">
        <f t="shared" si="744"/>
        <v>0,15-0,5 MW, Bonusregeln M2, y und K erstmals 2012</v>
      </c>
      <c r="AV1783" s="169" t="str">
        <f t="shared" si="745"/>
        <v/>
      </c>
      <c r="AW1783" s="170" t="str">
        <f t="shared" si="746"/>
        <v>Anteil KWK, erstmals 2012</v>
      </c>
      <c r="AX1783" s="169" t="str">
        <f t="shared" si="747"/>
        <v/>
      </c>
      <c r="AY1783" t="str">
        <f t="shared" si="748"/>
        <v/>
      </c>
      <c r="AZ1783" t="str">
        <f t="shared" si="749"/>
        <v>x</v>
      </c>
    </row>
    <row r="1784" spans="1:52" s="145" customFormat="1" x14ac:dyDescent="0.35">
      <c r="A1784" s="497" t="s">
        <v>4834</v>
      </c>
      <c r="B1784" s="13" t="s">
        <v>5547</v>
      </c>
      <c r="C1784" s="13" t="s">
        <v>1304</v>
      </c>
      <c r="D1784" s="13" t="s">
        <v>7053</v>
      </c>
      <c r="E1784" s="13" t="s">
        <v>4809</v>
      </c>
      <c r="F1784" s="373">
        <f t="shared" si="756"/>
        <v>18.46</v>
      </c>
      <c r="G1784" s="430">
        <v>18.46</v>
      </c>
      <c r="H1784" s="399">
        <f t="shared" si="757"/>
        <v>14.77</v>
      </c>
      <c r="I1784" s="576"/>
      <c r="J1784" s="549" t="s">
        <v>5804</v>
      </c>
      <c r="K1784" s="11"/>
      <c r="L1784"/>
      <c r="M1784" s="37">
        <f t="shared" si="758"/>
        <v>18.46</v>
      </c>
      <c r="N1784" s="29">
        <v>9.4600000000000009</v>
      </c>
      <c r="O1784" s="149"/>
      <c r="P1784" s="144"/>
      <c r="S1784" s="145" t="s">
        <v>4179</v>
      </c>
      <c r="T1784" s="145" t="s">
        <v>4179</v>
      </c>
      <c r="U1784" s="146"/>
      <c r="W1784" s="147"/>
      <c r="X1784" s="147"/>
      <c r="Z1784" s="147"/>
      <c r="AB1784" s="145" t="s">
        <v>1017</v>
      </c>
      <c r="AC1784" s="147"/>
      <c r="AE1784" s="148"/>
      <c r="AF1784" s="147"/>
      <c r="AG1784" s="147"/>
      <c r="AH1784" s="166" t="str">
        <f t="shared" ref="AH1784:AH1789" si="763">IF(ISERROR(SEARCH("K erstmals 201",D1784)),"",RIGHT(D1784,4))</f>
        <v/>
      </c>
      <c r="AI1784" s="168" t="str">
        <f t="shared" si="750"/>
        <v/>
      </c>
      <c r="AJ1784" s="168" t="str">
        <f t="shared" si="751"/>
        <v/>
      </c>
      <c r="AK1784" s="168" t="str">
        <f t="shared" si="752"/>
        <v/>
      </c>
      <c r="AL1784" s="168" t="str">
        <f t="shared" si="753"/>
        <v/>
      </c>
      <c r="AM1784" s="168" t="str">
        <f t="shared" si="754"/>
        <v/>
      </c>
      <c r="AN1784" s="167" t="str">
        <f t="shared" si="737"/>
        <v/>
      </c>
      <c r="AO1784" s="167" t="str">
        <f t="shared" si="738"/>
        <v/>
      </c>
      <c r="AP1784" s="167" t="str">
        <f t="shared" si="739"/>
        <v/>
      </c>
      <c r="AQ1784" s="169" t="str">
        <f t="shared" si="740"/>
        <v/>
      </c>
      <c r="AR1784" s="170" t="str">
        <f t="shared" si="741"/>
        <v>BiK82L------07</v>
      </c>
      <c r="AS1784" s="169" t="str">
        <f t="shared" si="742"/>
        <v/>
      </c>
      <c r="AT1784">
        <f t="shared" si="743"/>
        <v>14</v>
      </c>
      <c r="AU1784" s="170" t="str">
        <f t="shared" si="744"/>
        <v>0,15-0,5 MW, Bonusregel L</v>
      </c>
      <c r="AV1784" s="169" t="str">
        <f t="shared" si="745"/>
        <v/>
      </c>
      <c r="AW1784" s="170" t="str">
        <f t="shared" si="746"/>
        <v>Anteil Nicht-KWK</v>
      </c>
      <c r="AX1784" s="169" t="str">
        <f t="shared" si="747"/>
        <v/>
      </c>
      <c r="AY1784" t="str">
        <f t="shared" si="748"/>
        <v/>
      </c>
      <c r="AZ1784" t="str">
        <f t="shared" si="749"/>
        <v/>
      </c>
    </row>
    <row r="1785" spans="1:52" s="145" customFormat="1" x14ac:dyDescent="0.35">
      <c r="A1785" s="497" t="s">
        <v>4556</v>
      </c>
      <c r="B1785" s="13" t="s">
        <v>5547</v>
      </c>
      <c r="C1785" s="13" t="s">
        <v>1304</v>
      </c>
      <c r="D1785" s="13" t="s">
        <v>7121</v>
      </c>
      <c r="E1785" s="13" t="s">
        <v>4811</v>
      </c>
      <c r="F1785" s="373">
        <f t="shared" si="756"/>
        <v>20.46</v>
      </c>
      <c r="G1785" s="430">
        <v>20.46</v>
      </c>
      <c r="H1785" s="399">
        <f t="shared" si="757"/>
        <v>16.37</v>
      </c>
      <c r="I1785" s="576"/>
      <c r="J1785" s="549" t="s">
        <v>5804</v>
      </c>
      <c r="K1785" s="11"/>
      <c r="L1785"/>
      <c r="M1785" s="37">
        <f t="shared" si="758"/>
        <v>20.46</v>
      </c>
      <c r="N1785" s="29">
        <v>9.4600000000000009</v>
      </c>
      <c r="O1785" s="149" t="s">
        <v>1017</v>
      </c>
      <c r="P1785" s="144"/>
      <c r="S1785" s="145" t="s">
        <v>4179</v>
      </c>
      <c r="T1785" s="145" t="s">
        <v>4179</v>
      </c>
      <c r="U1785" s="146"/>
      <c r="W1785" s="147"/>
      <c r="X1785" s="147"/>
      <c r="Z1785" s="147"/>
      <c r="AB1785" s="145" t="s">
        <v>1017</v>
      </c>
      <c r="AC1785" s="147"/>
      <c r="AE1785" s="148"/>
      <c r="AF1785" s="147"/>
      <c r="AG1785" s="147"/>
      <c r="AH1785" s="166" t="str">
        <f t="shared" si="763"/>
        <v/>
      </c>
      <c r="AI1785" s="168" t="str">
        <f t="shared" si="750"/>
        <v/>
      </c>
      <c r="AJ1785" s="168" t="str">
        <f t="shared" si="751"/>
        <v/>
      </c>
      <c r="AK1785" s="168" t="str">
        <f t="shared" si="752"/>
        <v/>
      </c>
      <c r="AL1785" s="168" t="str">
        <f t="shared" si="753"/>
        <v/>
      </c>
      <c r="AM1785" s="168" t="str">
        <f t="shared" si="754"/>
        <v/>
      </c>
      <c r="AN1785" s="167" t="str">
        <f t="shared" si="737"/>
        <v/>
      </c>
      <c r="AO1785" s="167" t="str">
        <f t="shared" si="738"/>
        <v/>
      </c>
      <c r="AP1785" s="167" t="str">
        <f t="shared" si="739"/>
        <v/>
      </c>
      <c r="AQ1785" s="169" t="str">
        <f t="shared" si="740"/>
        <v/>
      </c>
      <c r="AR1785" s="170" t="str">
        <f t="shared" si="741"/>
        <v>BiK82LKWK---07</v>
      </c>
      <c r="AS1785" s="169" t="str">
        <f t="shared" si="742"/>
        <v/>
      </c>
      <c r="AT1785">
        <f t="shared" si="743"/>
        <v>14</v>
      </c>
      <c r="AU1785" s="170" t="str">
        <f t="shared" si="744"/>
        <v>0,15-0,5 MW, Bonusregeln L und KWK</v>
      </c>
      <c r="AV1785" s="169" t="str">
        <f t="shared" si="745"/>
        <v/>
      </c>
      <c r="AW1785" s="170" t="str">
        <f t="shared" si="746"/>
        <v>Anteil KWK</v>
      </c>
      <c r="AX1785" s="169" t="str">
        <f t="shared" si="747"/>
        <v/>
      </c>
      <c r="AY1785" t="str">
        <f t="shared" si="748"/>
        <v/>
      </c>
      <c r="AZ1785" t="str">
        <f t="shared" si="749"/>
        <v/>
      </c>
    </row>
    <row r="1786" spans="1:52" s="145" customFormat="1" x14ac:dyDescent="0.35">
      <c r="A1786" s="497" t="s">
        <v>4557</v>
      </c>
      <c r="B1786" s="13" t="s">
        <v>5547</v>
      </c>
      <c r="C1786" s="13" t="s">
        <v>1304</v>
      </c>
      <c r="D1786" s="13" t="s">
        <v>7054</v>
      </c>
      <c r="E1786" s="13" t="s">
        <v>4330</v>
      </c>
      <c r="F1786" s="373">
        <f t="shared" si="756"/>
        <v>21.46</v>
      </c>
      <c r="G1786" s="430">
        <v>21.46</v>
      </c>
      <c r="H1786" s="399">
        <f t="shared" si="757"/>
        <v>17.170000000000002</v>
      </c>
      <c r="I1786" s="576"/>
      <c r="J1786" s="549" t="s">
        <v>5804</v>
      </c>
      <c r="K1786" s="11"/>
      <c r="L1786"/>
      <c r="M1786" s="37">
        <f t="shared" si="758"/>
        <v>21.46</v>
      </c>
      <c r="N1786" s="29">
        <v>9.4600000000000009</v>
      </c>
      <c r="O1786" s="149"/>
      <c r="P1786" s="145" t="s">
        <v>1017</v>
      </c>
      <c r="S1786" s="145" t="s">
        <v>4179</v>
      </c>
      <c r="T1786" s="145" t="s">
        <v>4179</v>
      </c>
      <c r="U1786" s="146"/>
      <c r="W1786" s="147"/>
      <c r="X1786" s="147"/>
      <c r="Z1786" s="147"/>
      <c r="AB1786" s="145" t="s">
        <v>1017</v>
      </c>
      <c r="AC1786" s="147"/>
      <c r="AE1786" s="148"/>
      <c r="AF1786" s="147"/>
      <c r="AG1786" s="147"/>
      <c r="AH1786" s="166" t="str">
        <f t="shared" si="763"/>
        <v/>
      </c>
      <c r="AI1786" s="168" t="str">
        <f t="shared" si="750"/>
        <v/>
      </c>
      <c r="AJ1786" s="168" t="str">
        <f t="shared" si="751"/>
        <v/>
      </c>
      <c r="AK1786" s="168" t="str">
        <f t="shared" si="752"/>
        <v/>
      </c>
      <c r="AL1786" s="168" t="str">
        <f t="shared" si="753"/>
        <v/>
      </c>
      <c r="AM1786" s="168" t="str">
        <f t="shared" si="754"/>
        <v/>
      </c>
      <c r="AN1786" s="167" t="str">
        <f t="shared" si="737"/>
        <v/>
      </c>
      <c r="AO1786" s="167" t="str">
        <f t="shared" si="738"/>
        <v/>
      </c>
      <c r="AP1786" s="167" t="str">
        <f t="shared" si="739"/>
        <v/>
      </c>
      <c r="AQ1786" s="169" t="str">
        <f t="shared" si="740"/>
        <v/>
      </c>
      <c r="AR1786" s="170" t="str">
        <f t="shared" si="741"/>
        <v>BiK82LKA3---07</v>
      </c>
      <c r="AS1786" s="169" t="str">
        <f t="shared" si="742"/>
        <v/>
      </c>
      <c r="AT1786">
        <f t="shared" si="743"/>
        <v>14</v>
      </c>
      <c r="AU1786" s="170" t="str">
        <f t="shared" si="744"/>
        <v>0,15-0,5 MW, Bonusregeln L und K wenn Anlage 3 erfüllt</v>
      </c>
      <c r="AV1786" s="169" t="str">
        <f t="shared" si="745"/>
        <v/>
      </c>
      <c r="AW1786" s="170" t="str">
        <f t="shared" si="746"/>
        <v>Anteil KWK gemäß Anlage 3</v>
      </c>
      <c r="AX1786" s="169" t="str">
        <f t="shared" si="747"/>
        <v/>
      </c>
      <c r="AY1786" t="str">
        <f t="shared" si="748"/>
        <v/>
      </c>
      <c r="AZ1786" t="str">
        <f t="shared" si="749"/>
        <v/>
      </c>
    </row>
    <row r="1787" spans="1:52" s="145" customFormat="1" x14ac:dyDescent="0.35">
      <c r="A1787" s="497" t="s">
        <v>4558</v>
      </c>
      <c r="B1787" s="13" t="s">
        <v>5547</v>
      </c>
      <c r="C1787" s="13" t="s">
        <v>1304</v>
      </c>
      <c r="D1787" s="13" t="s">
        <v>7055</v>
      </c>
      <c r="E1787" s="13" t="s">
        <v>674</v>
      </c>
      <c r="F1787" s="373">
        <f t="shared" si="756"/>
        <v>21.46</v>
      </c>
      <c r="G1787" s="430">
        <v>21.46</v>
      </c>
      <c r="H1787" s="399">
        <f t="shared" si="757"/>
        <v>17.170000000000002</v>
      </c>
      <c r="I1787" s="576"/>
      <c r="J1787" s="549" t="s">
        <v>5804</v>
      </c>
      <c r="K1787" s="11"/>
      <c r="L1787"/>
      <c r="M1787" s="37">
        <f t="shared" si="758"/>
        <v>21.46</v>
      </c>
      <c r="N1787" s="29">
        <v>9.4600000000000009</v>
      </c>
      <c r="O1787" s="149"/>
      <c r="P1787" s="144"/>
      <c r="Q1787" s="145" t="s">
        <v>1017</v>
      </c>
      <c r="S1787" s="145" t="s">
        <v>4179</v>
      </c>
      <c r="T1787" s="145" t="s">
        <v>4179</v>
      </c>
      <c r="U1787" s="146"/>
      <c r="W1787" s="147"/>
      <c r="X1787" s="147"/>
      <c r="Z1787" s="147"/>
      <c r="AB1787" s="145" t="s">
        <v>1017</v>
      </c>
      <c r="AC1787" s="147"/>
      <c r="AE1787" s="148"/>
      <c r="AF1787" s="147"/>
      <c r="AG1787" s="147"/>
      <c r="AH1787" s="166" t="str">
        <f t="shared" si="763"/>
        <v/>
      </c>
      <c r="AI1787" s="168" t="str">
        <f t="shared" si="750"/>
        <v/>
      </c>
      <c r="AJ1787" s="168" t="str">
        <f t="shared" si="751"/>
        <v/>
      </c>
      <c r="AK1787" s="168" t="str">
        <f t="shared" si="752"/>
        <v/>
      </c>
      <c r="AL1787" s="168" t="str">
        <f t="shared" si="753"/>
        <v/>
      </c>
      <c r="AM1787" s="168" t="str">
        <f t="shared" si="754"/>
        <v/>
      </c>
      <c r="AN1787" s="167" t="str">
        <f t="shared" si="737"/>
        <v/>
      </c>
      <c r="AO1787" s="167" t="str">
        <f t="shared" si="738"/>
        <v/>
      </c>
      <c r="AP1787" s="167" t="str">
        <f t="shared" si="739"/>
        <v/>
      </c>
      <c r="AQ1787" s="169" t="str">
        <f t="shared" si="740"/>
        <v/>
      </c>
      <c r="AR1787" s="170" t="str">
        <f t="shared" si="741"/>
        <v>BiK82LK09---07</v>
      </c>
      <c r="AS1787" s="169" t="str">
        <f t="shared" si="742"/>
        <v/>
      </c>
      <c r="AT1787">
        <f t="shared" si="743"/>
        <v>14</v>
      </c>
      <c r="AU1787" s="170" t="str">
        <f t="shared" si="744"/>
        <v>0,15-0,5 MW, Bonusregeln L und K erstmals 2009</v>
      </c>
      <c r="AV1787" s="169" t="str">
        <f t="shared" si="745"/>
        <v/>
      </c>
      <c r="AW1787" s="170" t="str">
        <f t="shared" si="746"/>
        <v>Anteil KWK, erstmals 2009</v>
      </c>
      <c r="AX1787" s="169" t="str">
        <f t="shared" si="747"/>
        <v/>
      </c>
      <c r="AY1787" t="str">
        <f t="shared" si="748"/>
        <v/>
      </c>
      <c r="AZ1787" t="str">
        <f t="shared" si="749"/>
        <v/>
      </c>
    </row>
    <row r="1788" spans="1:52" s="145" customFormat="1" x14ac:dyDescent="0.35">
      <c r="A1788" s="497" t="s">
        <v>4972</v>
      </c>
      <c r="B1788" s="13" t="s">
        <v>5547</v>
      </c>
      <c r="C1788" s="13" t="s">
        <v>1304</v>
      </c>
      <c r="D1788" s="13" t="s">
        <v>7056</v>
      </c>
      <c r="E1788" s="13" t="s">
        <v>3566</v>
      </c>
      <c r="F1788" s="373">
        <f t="shared" si="756"/>
        <v>21.43</v>
      </c>
      <c r="G1788" s="430">
        <v>21.43</v>
      </c>
      <c r="H1788" s="399">
        <f t="shared" si="757"/>
        <v>17.14</v>
      </c>
      <c r="I1788" s="576"/>
      <c r="J1788" s="549" t="s">
        <v>5804</v>
      </c>
      <c r="K1788" s="11"/>
      <c r="L1788"/>
      <c r="M1788" s="37">
        <f t="shared" si="758"/>
        <v>21.43</v>
      </c>
      <c r="N1788" s="29">
        <v>9.4600000000000009</v>
      </c>
      <c r="O1788" s="149"/>
      <c r="P1788" s="144"/>
      <c r="R1788" s="145" t="s">
        <v>1017</v>
      </c>
      <c r="S1788" s="145" t="s">
        <v>4179</v>
      </c>
      <c r="T1788" s="145" t="s">
        <v>4179</v>
      </c>
      <c r="U1788" s="146"/>
      <c r="W1788" s="147"/>
      <c r="X1788" s="147"/>
      <c r="Z1788" s="147"/>
      <c r="AB1788" s="145" t="s">
        <v>1017</v>
      </c>
      <c r="AC1788" s="147"/>
      <c r="AE1788" s="148"/>
      <c r="AF1788" s="147"/>
      <c r="AG1788" s="147"/>
      <c r="AH1788" s="166" t="str">
        <f t="shared" si="763"/>
        <v>2010</v>
      </c>
      <c r="AI1788" s="168" t="str">
        <f t="shared" si="750"/>
        <v/>
      </c>
      <c r="AJ1788" s="168" t="str">
        <f t="shared" si="751"/>
        <v/>
      </c>
      <c r="AK1788" s="168" t="str">
        <f t="shared" si="752"/>
        <v/>
      </c>
      <c r="AL1788" s="168" t="str">
        <f t="shared" si="753"/>
        <v/>
      </c>
      <c r="AM1788" s="168" t="str">
        <f t="shared" si="754"/>
        <v/>
      </c>
      <c r="AN1788" s="167" t="str">
        <f t="shared" si="737"/>
        <v>2010</v>
      </c>
      <c r="AO1788" s="167" t="str">
        <f t="shared" si="738"/>
        <v>2010</v>
      </c>
      <c r="AP1788" s="167" t="str">
        <f t="shared" si="739"/>
        <v>2010</v>
      </c>
      <c r="AQ1788" s="169" t="str">
        <f t="shared" si="740"/>
        <v/>
      </c>
      <c r="AR1788" s="170" t="str">
        <f t="shared" si="741"/>
        <v>BiK82LK10---07</v>
      </c>
      <c r="AS1788" s="169" t="str">
        <f t="shared" si="742"/>
        <v/>
      </c>
      <c r="AT1788">
        <f t="shared" si="743"/>
        <v>14</v>
      </c>
      <c r="AU1788" s="170" t="str">
        <f t="shared" si="744"/>
        <v>0,15-0,5 MW, Bonusregeln L und K erstmals 2010</v>
      </c>
      <c r="AV1788" s="169" t="str">
        <f t="shared" si="745"/>
        <v/>
      </c>
      <c r="AW1788" s="170" t="str">
        <f t="shared" si="746"/>
        <v>Anteil KWK, erstmals 2010</v>
      </c>
      <c r="AX1788" s="169" t="str">
        <f t="shared" si="747"/>
        <v/>
      </c>
      <c r="AY1788" t="str">
        <f t="shared" si="748"/>
        <v/>
      </c>
      <c r="AZ1788" t="str">
        <f t="shared" si="749"/>
        <v/>
      </c>
    </row>
    <row r="1789" spans="1:52" s="145" customFormat="1" x14ac:dyDescent="0.35">
      <c r="A1789" s="497" t="s">
        <v>3409</v>
      </c>
      <c r="B1789" s="13" t="s">
        <v>5547</v>
      </c>
      <c r="C1789" s="13" t="s">
        <v>1304</v>
      </c>
      <c r="D1789" s="13" t="s">
        <v>7057</v>
      </c>
      <c r="E1789" s="13" t="s">
        <v>3054</v>
      </c>
      <c r="F1789" s="373">
        <f t="shared" si="756"/>
        <v>21.4</v>
      </c>
      <c r="G1789" s="430">
        <v>21.4</v>
      </c>
      <c r="H1789" s="399">
        <f t="shared" si="757"/>
        <v>17.12</v>
      </c>
      <c r="I1789" s="576"/>
      <c r="J1789" s="549" t="s">
        <v>5804</v>
      </c>
      <c r="K1789" s="11"/>
      <c r="L1789"/>
      <c r="M1789" s="37">
        <f t="shared" si="758"/>
        <v>21.4</v>
      </c>
      <c r="N1789" s="29">
        <v>9.4600000000000009</v>
      </c>
      <c r="O1789" s="149"/>
      <c r="P1789" s="144"/>
      <c r="S1789" s="145" t="s">
        <v>1017</v>
      </c>
      <c r="T1789" s="145" t="s">
        <v>4179</v>
      </c>
      <c r="U1789" s="146"/>
      <c r="W1789" s="147"/>
      <c r="X1789" s="147"/>
      <c r="Z1789" s="147"/>
      <c r="AB1789" s="145" t="s">
        <v>1017</v>
      </c>
      <c r="AC1789" s="147"/>
      <c r="AE1789" s="148"/>
      <c r="AF1789" s="147"/>
      <c r="AG1789" s="147"/>
      <c r="AH1789" s="166" t="str">
        <f t="shared" si="763"/>
        <v>2011</v>
      </c>
      <c r="AI1789" s="168" t="str">
        <f t="shared" si="750"/>
        <v/>
      </c>
      <c r="AJ1789" s="168" t="str">
        <f t="shared" si="751"/>
        <v/>
      </c>
      <c r="AK1789" s="168" t="str">
        <f t="shared" si="752"/>
        <v/>
      </c>
      <c r="AL1789" s="168" t="str">
        <f t="shared" si="753"/>
        <v/>
      </c>
      <c r="AM1789" s="168" t="str">
        <f t="shared" si="754"/>
        <v/>
      </c>
      <c r="AN1789" s="167" t="str">
        <f t="shared" si="737"/>
        <v>2011</v>
      </c>
      <c r="AO1789" s="167" t="str">
        <f t="shared" si="738"/>
        <v>2011</v>
      </c>
      <c r="AP1789" s="167" t="str">
        <f t="shared" si="739"/>
        <v>2011</v>
      </c>
      <c r="AQ1789" s="169" t="str">
        <f t="shared" si="740"/>
        <v/>
      </c>
      <c r="AR1789" s="170" t="str">
        <f t="shared" si="741"/>
        <v>BiK82LK11---07</v>
      </c>
      <c r="AS1789" s="169" t="str">
        <f t="shared" si="742"/>
        <v/>
      </c>
      <c r="AT1789">
        <f t="shared" si="743"/>
        <v>14</v>
      </c>
      <c r="AU1789" s="170" t="str">
        <f t="shared" si="744"/>
        <v>0,15-0,5 MW, Bonusregeln L und K erstmals 2011</v>
      </c>
      <c r="AV1789" s="169" t="str">
        <f t="shared" si="745"/>
        <v/>
      </c>
      <c r="AW1789" s="170" t="str">
        <f t="shared" si="746"/>
        <v>Anteil KWK, erstmals 2011</v>
      </c>
      <c r="AX1789" s="169" t="str">
        <f t="shared" si="747"/>
        <v/>
      </c>
      <c r="AY1789" t="str">
        <f t="shared" si="748"/>
        <v>x</v>
      </c>
      <c r="AZ1789" t="str">
        <f t="shared" si="749"/>
        <v/>
      </c>
    </row>
    <row r="1790" spans="1:52" s="145" customFormat="1" x14ac:dyDescent="0.35">
      <c r="A1790" s="511" t="s">
        <v>1842</v>
      </c>
      <c r="B1790" s="173" t="s">
        <v>5547</v>
      </c>
      <c r="C1790" s="173" t="s">
        <v>1304</v>
      </c>
      <c r="D1790" s="173" t="s">
        <v>7058</v>
      </c>
      <c r="E1790" s="173" t="s">
        <v>1980</v>
      </c>
      <c r="F1790" s="374">
        <f t="shared" si="756"/>
        <v>21.37</v>
      </c>
      <c r="G1790" s="431">
        <v>21.37</v>
      </c>
      <c r="H1790" s="400">
        <f t="shared" si="757"/>
        <v>17.100000000000001</v>
      </c>
      <c r="I1790" s="577"/>
      <c r="J1790" s="549" t="s">
        <v>5804</v>
      </c>
      <c r="K1790" s="11"/>
      <c r="L1790"/>
      <c r="M1790" s="37">
        <f t="shared" si="758"/>
        <v>21.37</v>
      </c>
      <c r="N1790" s="29">
        <v>9.4600000000000009</v>
      </c>
      <c r="O1790" s="149"/>
      <c r="P1790" s="144"/>
      <c r="S1790" s="145" t="s">
        <v>4179</v>
      </c>
      <c r="T1790" s="145" t="s">
        <v>1017</v>
      </c>
      <c r="U1790" s="146"/>
      <c r="W1790" s="147"/>
      <c r="X1790" s="147"/>
      <c r="Z1790" s="147"/>
      <c r="AB1790" s="145" t="s">
        <v>1017</v>
      </c>
      <c r="AC1790" s="147"/>
      <c r="AE1790" s="148"/>
      <c r="AF1790" s="147"/>
      <c r="AG1790" s="147"/>
      <c r="AH1790" s="171" t="s">
        <v>4178</v>
      </c>
      <c r="AI1790" s="168" t="str">
        <f t="shared" si="750"/>
        <v/>
      </c>
      <c r="AJ1790" s="168" t="str">
        <f t="shared" si="751"/>
        <v/>
      </c>
      <c r="AK1790" s="168" t="str">
        <f t="shared" si="752"/>
        <v/>
      </c>
      <c r="AL1790" s="168" t="str">
        <f t="shared" si="753"/>
        <v/>
      </c>
      <c r="AM1790" s="168" t="str">
        <f t="shared" si="754"/>
        <v/>
      </c>
      <c r="AN1790" s="167" t="str">
        <f t="shared" si="737"/>
        <v>2012</v>
      </c>
      <c r="AO1790" s="167" t="str">
        <f t="shared" si="738"/>
        <v>2012</v>
      </c>
      <c r="AP1790" s="167" t="str">
        <f t="shared" si="739"/>
        <v>2012</v>
      </c>
      <c r="AQ1790" s="169" t="str">
        <f t="shared" si="740"/>
        <v/>
      </c>
      <c r="AR1790" s="170" t="str">
        <f t="shared" si="741"/>
        <v>BiK82LK12---07</v>
      </c>
      <c r="AS1790" s="169" t="str">
        <f t="shared" si="742"/>
        <v/>
      </c>
      <c r="AT1790">
        <f t="shared" si="743"/>
        <v>14</v>
      </c>
      <c r="AU1790" s="170" t="str">
        <f t="shared" si="744"/>
        <v>0,15-0,5 MW, Bonusregeln L und K erstmals 2012</v>
      </c>
      <c r="AV1790" s="169" t="str">
        <f t="shared" si="745"/>
        <v/>
      </c>
      <c r="AW1790" s="170" t="str">
        <f t="shared" si="746"/>
        <v>Anteil KWK, erstmals 2012</v>
      </c>
      <c r="AX1790" s="169" t="str">
        <f t="shared" si="747"/>
        <v/>
      </c>
      <c r="AY1790" t="str">
        <f t="shared" si="748"/>
        <v/>
      </c>
      <c r="AZ1790" t="str">
        <f t="shared" si="749"/>
        <v>x</v>
      </c>
    </row>
    <row r="1791" spans="1:52" s="145" customFormat="1" x14ac:dyDescent="0.35">
      <c r="A1791" s="497" t="s">
        <v>4559</v>
      </c>
      <c r="B1791" s="13" t="s">
        <v>5547</v>
      </c>
      <c r="C1791" s="13" t="s">
        <v>1304</v>
      </c>
      <c r="D1791" s="13" t="s">
        <v>7059</v>
      </c>
      <c r="E1791" s="13" t="s">
        <v>4809</v>
      </c>
      <c r="F1791" s="373">
        <f t="shared" si="756"/>
        <v>19.46</v>
      </c>
      <c r="G1791" s="430">
        <v>19.46</v>
      </c>
      <c r="H1791" s="399">
        <f t="shared" si="757"/>
        <v>15.57</v>
      </c>
      <c r="I1791" s="576"/>
      <c r="J1791" s="549" t="s">
        <v>5804</v>
      </c>
      <c r="K1791" s="11"/>
      <c r="L1791"/>
      <c r="M1791" s="37">
        <f t="shared" si="758"/>
        <v>19.46</v>
      </c>
      <c r="N1791" s="29">
        <v>9.4600000000000009</v>
      </c>
      <c r="O1791" s="149"/>
      <c r="P1791" s="144"/>
      <c r="S1791" s="145" t="s">
        <v>4179</v>
      </c>
      <c r="T1791" s="145" t="s">
        <v>4179</v>
      </c>
      <c r="U1791" s="146" t="s">
        <v>1017</v>
      </c>
      <c r="W1791" s="147"/>
      <c r="X1791" s="147"/>
      <c r="Z1791" s="147"/>
      <c r="AB1791" s="145" t="s">
        <v>1017</v>
      </c>
      <c r="AC1791" s="147"/>
      <c r="AE1791" s="148"/>
      <c r="AF1791" s="147"/>
      <c r="AG1791" s="147"/>
      <c r="AH1791" s="166" t="str">
        <f t="shared" ref="AH1791:AH1796" si="764">IF(ISERROR(SEARCH("K erstmals 201",D1791)),"",RIGHT(D1791,4))</f>
        <v/>
      </c>
      <c r="AI1791" s="168" t="str">
        <f t="shared" si="750"/>
        <v/>
      </c>
      <c r="AJ1791" s="168" t="str">
        <f t="shared" si="751"/>
        <v/>
      </c>
      <c r="AK1791" s="168" t="str">
        <f t="shared" si="752"/>
        <v/>
      </c>
      <c r="AL1791" s="168" t="str">
        <f t="shared" si="753"/>
        <v/>
      </c>
      <c r="AM1791" s="168" t="str">
        <f t="shared" si="754"/>
        <v/>
      </c>
      <c r="AN1791" s="167" t="str">
        <f t="shared" si="737"/>
        <v/>
      </c>
      <c r="AO1791" s="167" t="str">
        <f t="shared" si="738"/>
        <v/>
      </c>
      <c r="AP1791" s="167" t="str">
        <f t="shared" si="739"/>
        <v/>
      </c>
      <c r="AQ1791" s="169" t="str">
        <f t="shared" si="740"/>
        <v/>
      </c>
      <c r="AR1791" s="170" t="str">
        <f t="shared" si="741"/>
        <v>BiK82Ly-----07</v>
      </c>
      <c r="AS1791" s="169" t="str">
        <f t="shared" si="742"/>
        <v/>
      </c>
      <c r="AT1791">
        <f t="shared" si="743"/>
        <v>14</v>
      </c>
      <c r="AU1791" s="170" t="str">
        <f t="shared" si="744"/>
        <v>0,15-0,5 MW, Bonusregeln L, y</v>
      </c>
      <c r="AV1791" s="169" t="str">
        <f t="shared" si="745"/>
        <v/>
      </c>
      <c r="AW1791" s="170" t="str">
        <f t="shared" si="746"/>
        <v>Anteil Nicht-KWK</v>
      </c>
      <c r="AX1791" s="169" t="str">
        <f t="shared" si="747"/>
        <v/>
      </c>
      <c r="AY1791" t="str">
        <f t="shared" si="748"/>
        <v/>
      </c>
      <c r="AZ1791" t="str">
        <f t="shared" si="749"/>
        <v/>
      </c>
    </row>
    <row r="1792" spans="1:52" s="145" customFormat="1" x14ac:dyDescent="0.35">
      <c r="A1792" s="497" t="s">
        <v>4560</v>
      </c>
      <c r="B1792" s="13" t="s">
        <v>5547</v>
      </c>
      <c r="C1792" s="13" t="s">
        <v>1304</v>
      </c>
      <c r="D1792" s="13" t="s">
        <v>7122</v>
      </c>
      <c r="E1792" s="13" t="s">
        <v>4811</v>
      </c>
      <c r="F1792" s="373">
        <f t="shared" si="756"/>
        <v>21.46</v>
      </c>
      <c r="G1792" s="430">
        <v>21.46</v>
      </c>
      <c r="H1792" s="399">
        <f t="shared" si="757"/>
        <v>17.170000000000002</v>
      </c>
      <c r="I1792" s="576"/>
      <c r="J1792" s="549" t="s">
        <v>5804</v>
      </c>
      <c r="K1792" s="11"/>
      <c r="L1792"/>
      <c r="M1792" s="37">
        <f t="shared" si="758"/>
        <v>21.46</v>
      </c>
      <c r="N1792" s="29">
        <v>9.4600000000000009</v>
      </c>
      <c r="O1792" s="149" t="s">
        <v>1017</v>
      </c>
      <c r="P1792" s="144"/>
      <c r="S1792" s="145" t="s">
        <v>4179</v>
      </c>
      <c r="T1792" s="145" t="s">
        <v>4179</v>
      </c>
      <c r="U1792" s="146" t="s">
        <v>1017</v>
      </c>
      <c r="W1792" s="147"/>
      <c r="X1792" s="147"/>
      <c r="Z1792" s="147"/>
      <c r="AB1792" s="145" t="s">
        <v>1017</v>
      </c>
      <c r="AC1792" s="147"/>
      <c r="AE1792" s="148"/>
      <c r="AF1792" s="147"/>
      <c r="AG1792" s="147"/>
      <c r="AH1792" s="166" t="str">
        <f t="shared" si="764"/>
        <v/>
      </c>
      <c r="AI1792" s="168" t="str">
        <f t="shared" si="750"/>
        <v/>
      </c>
      <c r="AJ1792" s="168" t="str">
        <f t="shared" si="751"/>
        <v/>
      </c>
      <c r="AK1792" s="168" t="str">
        <f t="shared" si="752"/>
        <v/>
      </c>
      <c r="AL1792" s="168" t="str">
        <f t="shared" si="753"/>
        <v/>
      </c>
      <c r="AM1792" s="168" t="str">
        <f t="shared" si="754"/>
        <v/>
      </c>
      <c r="AN1792" s="167" t="str">
        <f t="shared" si="737"/>
        <v/>
      </c>
      <c r="AO1792" s="167" t="str">
        <f t="shared" si="738"/>
        <v/>
      </c>
      <c r="AP1792" s="167" t="str">
        <f t="shared" si="739"/>
        <v/>
      </c>
      <c r="AQ1792" s="169" t="str">
        <f t="shared" si="740"/>
        <v/>
      </c>
      <c r="AR1792" s="170" t="str">
        <f t="shared" si="741"/>
        <v>BiK82LKWKy--07</v>
      </c>
      <c r="AS1792" s="169" t="str">
        <f t="shared" si="742"/>
        <v/>
      </c>
      <c r="AT1792">
        <f t="shared" si="743"/>
        <v>14</v>
      </c>
      <c r="AU1792" s="170" t="str">
        <f t="shared" si="744"/>
        <v>0,15-0,5 MW, Bonusregeln L, y und KWK</v>
      </c>
      <c r="AV1792" s="169" t="str">
        <f t="shared" si="745"/>
        <v/>
      </c>
      <c r="AW1792" s="170" t="str">
        <f t="shared" si="746"/>
        <v>Anteil KWK</v>
      </c>
      <c r="AX1792" s="169" t="str">
        <f t="shared" si="747"/>
        <v/>
      </c>
      <c r="AY1792" t="str">
        <f t="shared" si="748"/>
        <v/>
      </c>
      <c r="AZ1792" t="str">
        <f t="shared" si="749"/>
        <v/>
      </c>
    </row>
    <row r="1793" spans="1:52" s="145" customFormat="1" x14ac:dyDescent="0.35">
      <c r="A1793" s="497" t="s">
        <v>4561</v>
      </c>
      <c r="B1793" s="13" t="s">
        <v>5547</v>
      </c>
      <c r="C1793" s="13" t="s">
        <v>1304</v>
      </c>
      <c r="D1793" s="88" t="s">
        <v>7060</v>
      </c>
      <c r="E1793" s="13" t="s">
        <v>4330</v>
      </c>
      <c r="F1793" s="373">
        <f t="shared" si="756"/>
        <v>22.46</v>
      </c>
      <c r="G1793" s="430">
        <v>22.46</v>
      </c>
      <c r="H1793" s="399">
        <f t="shared" si="757"/>
        <v>17.97</v>
      </c>
      <c r="I1793" s="576"/>
      <c r="J1793" s="549" t="s">
        <v>5804</v>
      </c>
      <c r="K1793" s="11"/>
      <c r="L1793"/>
      <c r="M1793" s="37">
        <f t="shared" si="758"/>
        <v>22.46</v>
      </c>
      <c r="N1793" s="29">
        <v>9.4600000000000009</v>
      </c>
      <c r="O1793" s="149"/>
      <c r="P1793" s="145" t="s">
        <v>1017</v>
      </c>
      <c r="S1793" s="145" t="s">
        <v>4179</v>
      </c>
      <c r="T1793" s="145" t="s">
        <v>4179</v>
      </c>
      <c r="U1793" s="146" t="s">
        <v>1017</v>
      </c>
      <c r="W1793" s="147"/>
      <c r="X1793" s="147"/>
      <c r="Z1793" s="147"/>
      <c r="AB1793" s="145" t="s">
        <v>1017</v>
      </c>
      <c r="AC1793" s="147"/>
      <c r="AE1793" s="148"/>
      <c r="AF1793" s="147"/>
      <c r="AG1793" s="147"/>
      <c r="AH1793" s="166" t="str">
        <f t="shared" si="764"/>
        <v/>
      </c>
      <c r="AI1793" s="168" t="str">
        <f t="shared" si="750"/>
        <v/>
      </c>
      <c r="AJ1793" s="168" t="str">
        <f t="shared" si="751"/>
        <v/>
      </c>
      <c r="AK1793" s="168" t="str">
        <f t="shared" si="752"/>
        <v/>
      </c>
      <c r="AL1793" s="168" t="str">
        <f t="shared" si="753"/>
        <v/>
      </c>
      <c r="AM1793" s="168" t="str">
        <f t="shared" si="754"/>
        <v/>
      </c>
      <c r="AN1793" s="167" t="str">
        <f t="shared" si="737"/>
        <v/>
      </c>
      <c r="AO1793" s="167" t="str">
        <f t="shared" si="738"/>
        <v/>
      </c>
      <c r="AP1793" s="167" t="str">
        <f t="shared" si="739"/>
        <v/>
      </c>
      <c r="AQ1793" s="169" t="str">
        <f t="shared" si="740"/>
        <v/>
      </c>
      <c r="AR1793" s="170" t="str">
        <f t="shared" si="741"/>
        <v>BiK82LKA3y--07</v>
      </c>
      <c r="AS1793" s="169" t="str">
        <f t="shared" si="742"/>
        <v/>
      </c>
      <c r="AT1793">
        <f t="shared" si="743"/>
        <v>14</v>
      </c>
      <c r="AU1793" s="170" t="str">
        <f t="shared" si="744"/>
        <v>0,15-0,5 MW, Bonusregeln L, y und K wenn Anlage 3 erfüllt</v>
      </c>
      <c r="AV1793" s="169" t="str">
        <f t="shared" si="745"/>
        <v/>
      </c>
      <c r="AW1793" s="170" t="str">
        <f t="shared" si="746"/>
        <v>Anteil KWK gemäß Anlage 3</v>
      </c>
      <c r="AX1793" s="169" t="str">
        <f t="shared" si="747"/>
        <v/>
      </c>
      <c r="AY1793" t="str">
        <f t="shared" si="748"/>
        <v/>
      </c>
      <c r="AZ1793" t="str">
        <f t="shared" si="749"/>
        <v/>
      </c>
    </row>
    <row r="1794" spans="1:52" s="145" customFormat="1" x14ac:dyDescent="0.35">
      <c r="A1794" s="497" t="s">
        <v>4562</v>
      </c>
      <c r="B1794" s="13" t="s">
        <v>5547</v>
      </c>
      <c r="C1794" s="13" t="s">
        <v>1304</v>
      </c>
      <c r="D1794" s="13" t="s">
        <v>7061</v>
      </c>
      <c r="E1794" s="13" t="s">
        <v>674</v>
      </c>
      <c r="F1794" s="373">
        <f t="shared" si="756"/>
        <v>22.46</v>
      </c>
      <c r="G1794" s="430">
        <v>22.46</v>
      </c>
      <c r="H1794" s="399">
        <f t="shared" si="757"/>
        <v>17.97</v>
      </c>
      <c r="I1794" s="576"/>
      <c r="J1794" s="549" t="s">
        <v>5804</v>
      </c>
      <c r="K1794" s="11"/>
      <c r="L1794"/>
      <c r="M1794" s="37">
        <f t="shared" si="758"/>
        <v>22.46</v>
      </c>
      <c r="N1794" s="29">
        <v>9.4600000000000009</v>
      </c>
      <c r="O1794" s="149"/>
      <c r="P1794" s="144"/>
      <c r="Q1794" s="145" t="s">
        <v>1017</v>
      </c>
      <c r="S1794" s="145" t="s">
        <v>4179</v>
      </c>
      <c r="T1794" s="145" t="s">
        <v>4179</v>
      </c>
      <c r="U1794" s="146" t="s">
        <v>1017</v>
      </c>
      <c r="W1794" s="147"/>
      <c r="X1794" s="147"/>
      <c r="Z1794" s="147"/>
      <c r="AB1794" s="145" t="s">
        <v>1017</v>
      </c>
      <c r="AC1794" s="147"/>
      <c r="AE1794" s="148"/>
      <c r="AF1794" s="147"/>
      <c r="AG1794" s="147"/>
      <c r="AH1794" s="166" t="str">
        <f t="shared" si="764"/>
        <v/>
      </c>
      <c r="AI1794" s="168" t="str">
        <f t="shared" si="750"/>
        <v/>
      </c>
      <c r="AJ1794" s="168" t="str">
        <f t="shared" si="751"/>
        <v/>
      </c>
      <c r="AK1794" s="168" t="str">
        <f t="shared" si="752"/>
        <v/>
      </c>
      <c r="AL1794" s="168" t="str">
        <f t="shared" si="753"/>
        <v/>
      </c>
      <c r="AM1794" s="168" t="str">
        <f t="shared" si="754"/>
        <v/>
      </c>
      <c r="AN1794" s="167" t="str">
        <f t="shared" si="737"/>
        <v/>
      </c>
      <c r="AO1794" s="167" t="str">
        <f t="shared" si="738"/>
        <v/>
      </c>
      <c r="AP1794" s="167" t="str">
        <f t="shared" si="739"/>
        <v/>
      </c>
      <c r="AQ1794" s="169" t="str">
        <f t="shared" si="740"/>
        <v/>
      </c>
      <c r="AR1794" s="170" t="str">
        <f t="shared" si="741"/>
        <v>BiK82LK09y--07</v>
      </c>
      <c r="AS1794" s="169" t="str">
        <f t="shared" si="742"/>
        <v/>
      </c>
      <c r="AT1794">
        <f t="shared" si="743"/>
        <v>14</v>
      </c>
      <c r="AU1794" s="170" t="str">
        <f t="shared" si="744"/>
        <v>0,15-0,5 MW, Bonusregeln L, y und K erstmals 2009</v>
      </c>
      <c r="AV1794" s="169" t="str">
        <f t="shared" si="745"/>
        <v/>
      </c>
      <c r="AW1794" s="170" t="str">
        <f t="shared" si="746"/>
        <v>Anteil KWK, erstmals 2009</v>
      </c>
      <c r="AX1794" s="169" t="str">
        <f t="shared" si="747"/>
        <v/>
      </c>
      <c r="AY1794" t="str">
        <f t="shared" si="748"/>
        <v/>
      </c>
      <c r="AZ1794" t="str">
        <f t="shared" si="749"/>
        <v/>
      </c>
    </row>
    <row r="1795" spans="1:52" s="145" customFormat="1" x14ac:dyDescent="0.35">
      <c r="A1795" s="497" t="s">
        <v>4973</v>
      </c>
      <c r="B1795" s="13" t="s">
        <v>5547</v>
      </c>
      <c r="C1795" s="13" t="s">
        <v>1304</v>
      </c>
      <c r="D1795" s="13" t="s">
        <v>7062</v>
      </c>
      <c r="E1795" s="13" t="s">
        <v>3566</v>
      </c>
      <c r="F1795" s="373">
        <f t="shared" si="756"/>
        <v>22.43</v>
      </c>
      <c r="G1795" s="430">
        <v>22.43</v>
      </c>
      <c r="H1795" s="399">
        <f t="shared" si="757"/>
        <v>17.940000000000001</v>
      </c>
      <c r="I1795" s="576"/>
      <c r="J1795" s="549" t="s">
        <v>5804</v>
      </c>
      <c r="K1795" s="11"/>
      <c r="L1795"/>
      <c r="M1795" s="37">
        <f t="shared" si="758"/>
        <v>22.43</v>
      </c>
      <c r="N1795" s="29">
        <v>9.4600000000000009</v>
      </c>
      <c r="O1795" s="149"/>
      <c r="P1795" s="144"/>
      <c r="R1795" s="145" t="s">
        <v>1017</v>
      </c>
      <c r="S1795" s="145" t="s">
        <v>4179</v>
      </c>
      <c r="T1795" s="145" t="s">
        <v>4179</v>
      </c>
      <c r="U1795" s="146" t="s">
        <v>1017</v>
      </c>
      <c r="W1795" s="147"/>
      <c r="X1795" s="147"/>
      <c r="Z1795" s="147"/>
      <c r="AB1795" s="145" t="s">
        <v>1017</v>
      </c>
      <c r="AC1795" s="147"/>
      <c r="AE1795" s="148"/>
      <c r="AF1795" s="147"/>
      <c r="AG1795" s="147"/>
      <c r="AH1795" s="166" t="str">
        <f t="shared" si="764"/>
        <v>2010</v>
      </c>
      <c r="AI1795" s="168" t="str">
        <f t="shared" si="750"/>
        <v/>
      </c>
      <c r="AJ1795" s="168" t="str">
        <f t="shared" si="751"/>
        <v/>
      </c>
      <c r="AK1795" s="168" t="str">
        <f t="shared" si="752"/>
        <v/>
      </c>
      <c r="AL1795" s="168" t="str">
        <f t="shared" si="753"/>
        <v/>
      </c>
      <c r="AM1795" s="168" t="str">
        <f t="shared" si="754"/>
        <v/>
      </c>
      <c r="AN1795" s="167" t="str">
        <f t="shared" si="737"/>
        <v>2010</v>
      </c>
      <c r="AO1795" s="167" t="str">
        <f t="shared" si="738"/>
        <v>2010</v>
      </c>
      <c r="AP1795" s="167" t="str">
        <f t="shared" si="739"/>
        <v>2010</v>
      </c>
      <c r="AQ1795" s="169" t="str">
        <f t="shared" si="740"/>
        <v/>
      </c>
      <c r="AR1795" s="170" t="str">
        <f t="shared" si="741"/>
        <v>BiK82LK10y--07</v>
      </c>
      <c r="AS1795" s="169" t="str">
        <f t="shared" si="742"/>
        <v/>
      </c>
      <c r="AT1795">
        <f t="shared" si="743"/>
        <v>14</v>
      </c>
      <c r="AU1795" s="170" t="str">
        <f t="shared" si="744"/>
        <v>0,15-0,5 MW, Bonusregeln L, y und K erstmals 2010</v>
      </c>
      <c r="AV1795" s="169" t="str">
        <f t="shared" si="745"/>
        <v/>
      </c>
      <c r="AW1795" s="170" t="str">
        <f t="shared" si="746"/>
        <v>Anteil KWK, erstmals 2010</v>
      </c>
      <c r="AX1795" s="169" t="str">
        <f t="shared" si="747"/>
        <v/>
      </c>
      <c r="AY1795" t="str">
        <f t="shared" si="748"/>
        <v/>
      </c>
      <c r="AZ1795" t="str">
        <f t="shared" si="749"/>
        <v/>
      </c>
    </row>
    <row r="1796" spans="1:52" s="145" customFormat="1" x14ac:dyDescent="0.35">
      <c r="A1796" s="497" t="s">
        <v>3410</v>
      </c>
      <c r="B1796" s="13" t="s">
        <v>5547</v>
      </c>
      <c r="C1796" s="13" t="s">
        <v>1304</v>
      </c>
      <c r="D1796" s="13" t="s">
        <v>7063</v>
      </c>
      <c r="E1796" s="13" t="s">
        <v>3054</v>
      </c>
      <c r="F1796" s="373">
        <f t="shared" si="756"/>
        <v>22.4</v>
      </c>
      <c r="G1796" s="430">
        <v>22.4</v>
      </c>
      <c r="H1796" s="399">
        <f t="shared" si="757"/>
        <v>17.920000000000002</v>
      </c>
      <c r="I1796" s="576"/>
      <c r="J1796" s="549" t="s">
        <v>5804</v>
      </c>
      <c r="K1796" s="11"/>
      <c r="L1796"/>
      <c r="M1796" s="37">
        <f t="shared" si="758"/>
        <v>22.4</v>
      </c>
      <c r="N1796" s="29">
        <v>9.4600000000000009</v>
      </c>
      <c r="O1796" s="149"/>
      <c r="P1796" s="144"/>
      <c r="S1796" s="145" t="s">
        <v>1017</v>
      </c>
      <c r="T1796" s="145" t="s">
        <v>4179</v>
      </c>
      <c r="U1796" s="146" t="s">
        <v>1017</v>
      </c>
      <c r="W1796" s="147"/>
      <c r="X1796" s="147"/>
      <c r="Z1796" s="147"/>
      <c r="AB1796" s="145" t="s">
        <v>1017</v>
      </c>
      <c r="AC1796" s="147"/>
      <c r="AE1796" s="148"/>
      <c r="AF1796" s="147"/>
      <c r="AG1796" s="147"/>
      <c r="AH1796" s="166" t="str">
        <f t="shared" si="764"/>
        <v>2011</v>
      </c>
      <c r="AI1796" s="168" t="str">
        <f t="shared" si="750"/>
        <v/>
      </c>
      <c r="AJ1796" s="168" t="str">
        <f t="shared" si="751"/>
        <v/>
      </c>
      <c r="AK1796" s="168" t="str">
        <f t="shared" si="752"/>
        <v/>
      </c>
      <c r="AL1796" s="168" t="str">
        <f t="shared" si="753"/>
        <v/>
      </c>
      <c r="AM1796" s="168" t="str">
        <f t="shared" si="754"/>
        <v/>
      </c>
      <c r="AN1796" s="167" t="str">
        <f t="shared" si="737"/>
        <v>2011</v>
      </c>
      <c r="AO1796" s="167" t="str">
        <f t="shared" si="738"/>
        <v>2011</v>
      </c>
      <c r="AP1796" s="167" t="str">
        <f t="shared" si="739"/>
        <v>2011</v>
      </c>
      <c r="AQ1796" s="169" t="str">
        <f t="shared" si="740"/>
        <v/>
      </c>
      <c r="AR1796" s="170" t="str">
        <f t="shared" si="741"/>
        <v>BiK82LK11y--07</v>
      </c>
      <c r="AS1796" s="169" t="str">
        <f t="shared" si="742"/>
        <v/>
      </c>
      <c r="AT1796">
        <f t="shared" si="743"/>
        <v>14</v>
      </c>
      <c r="AU1796" s="170" t="str">
        <f t="shared" si="744"/>
        <v>0,15-0,5 MW, Bonusregeln L, y und K erstmals 2011</v>
      </c>
      <c r="AV1796" s="169" t="str">
        <f t="shared" si="745"/>
        <v/>
      </c>
      <c r="AW1796" s="170" t="str">
        <f t="shared" si="746"/>
        <v>Anteil KWK, erstmals 2011</v>
      </c>
      <c r="AX1796" s="169" t="str">
        <f t="shared" si="747"/>
        <v/>
      </c>
      <c r="AY1796" t="str">
        <f t="shared" si="748"/>
        <v>x</v>
      </c>
      <c r="AZ1796" t="str">
        <f t="shared" si="749"/>
        <v/>
      </c>
    </row>
    <row r="1797" spans="1:52" s="145" customFormat="1" x14ac:dyDescent="0.35">
      <c r="A1797" s="511" t="s">
        <v>1843</v>
      </c>
      <c r="B1797" s="173" t="s">
        <v>5547</v>
      </c>
      <c r="C1797" s="173" t="s">
        <v>1304</v>
      </c>
      <c r="D1797" s="173" t="s">
        <v>7064</v>
      </c>
      <c r="E1797" s="173" t="s">
        <v>1980</v>
      </c>
      <c r="F1797" s="374">
        <f t="shared" si="756"/>
        <v>22.37</v>
      </c>
      <c r="G1797" s="431">
        <v>22.37</v>
      </c>
      <c r="H1797" s="400">
        <f t="shared" si="757"/>
        <v>17.899999999999999</v>
      </c>
      <c r="I1797" s="577"/>
      <c r="J1797" s="549" t="s">
        <v>5804</v>
      </c>
      <c r="K1797" s="11"/>
      <c r="L1797"/>
      <c r="M1797" s="37">
        <f t="shared" si="758"/>
        <v>22.37</v>
      </c>
      <c r="N1797" s="29">
        <v>9.4600000000000009</v>
      </c>
      <c r="O1797" s="149"/>
      <c r="P1797" s="144"/>
      <c r="S1797" s="145" t="s">
        <v>4179</v>
      </c>
      <c r="T1797" s="145" t="s">
        <v>1017</v>
      </c>
      <c r="U1797" s="146" t="s">
        <v>1017</v>
      </c>
      <c r="W1797" s="147"/>
      <c r="X1797" s="147"/>
      <c r="Z1797" s="147"/>
      <c r="AB1797" s="145" t="s">
        <v>1017</v>
      </c>
      <c r="AC1797" s="147"/>
      <c r="AE1797" s="148"/>
      <c r="AF1797" s="147"/>
      <c r="AG1797" s="147"/>
      <c r="AH1797" s="171" t="s">
        <v>4178</v>
      </c>
      <c r="AI1797" s="168" t="str">
        <f t="shared" si="750"/>
        <v/>
      </c>
      <c r="AJ1797" s="168" t="str">
        <f t="shared" si="751"/>
        <v/>
      </c>
      <c r="AK1797" s="168" t="str">
        <f t="shared" si="752"/>
        <v/>
      </c>
      <c r="AL1797" s="168" t="str">
        <f t="shared" si="753"/>
        <v/>
      </c>
      <c r="AM1797" s="168" t="str">
        <f t="shared" si="754"/>
        <v/>
      </c>
      <c r="AN1797" s="167" t="str">
        <f t="shared" si="737"/>
        <v>2012</v>
      </c>
      <c r="AO1797" s="167" t="str">
        <f t="shared" si="738"/>
        <v>2012</v>
      </c>
      <c r="AP1797" s="167" t="str">
        <f t="shared" si="739"/>
        <v>2012</v>
      </c>
      <c r="AQ1797" s="169" t="str">
        <f t="shared" si="740"/>
        <v/>
      </c>
      <c r="AR1797" s="170" t="str">
        <f t="shared" si="741"/>
        <v>BiK82LK12y--07</v>
      </c>
      <c r="AS1797" s="169" t="str">
        <f t="shared" si="742"/>
        <v/>
      </c>
      <c r="AT1797">
        <f t="shared" si="743"/>
        <v>14</v>
      </c>
      <c r="AU1797" s="170" t="str">
        <f t="shared" si="744"/>
        <v>0,15-0,5 MW, Bonusregeln L, y und K erstmals 2012</v>
      </c>
      <c r="AV1797" s="169" t="str">
        <f t="shared" si="745"/>
        <v/>
      </c>
      <c r="AW1797" s="170" t="str">
        <f t="shared" si="746"/>
        <v>Anteil KWK, erstmals 2012</v>
      </c>
      <c r="AX1797" s="169" t="str">
        <f t="shared" si="747"/>
        <v/>
      </c>
      <c r="AY1797" t="str">
        <f t="shared" si="748"/>
        <v/>
      </c>
      <c r="AZ1797" t="str">
        <f t="shared" si="749"/>
        <v>x</v>
      </c>
    </row>
    <row r="1798" spans="1:52" s="145" customFormat="1" x14ac:dyDescent="0.35">
      <c r="A1798" s="497" t="s">
        <v>4563</v>
      </c>
      <c r="B1798" s="13" t="s">
        <v>5547</v>
      </c>
      <c r="C1798" s="13" t="s">
        <v>1304</v>
      </c>
      <c r="D1798" s="13" t="s">
        <v>7065</v>
      </c>
      <c r="E1798" s="13" t="s">
        <v>4809</v>
      </c>
      <c r="F1798" s="373">
        <f t="shared" si="756"/>
        <v>19.46</v>
      </c>
      <c r="G1798" s="430">
        <v>19.46</v>
      </c>
      <c r="H1798" s="399">
        <f t="shared" si="757"/>
        <v>15.57</v>
      </c>
      <c r="I1798" s="576"/>
      <c r="J1798" s="549" t="s">
        <v>5804</v>
      </c>
      <c r="K1798" s="11"/>
      <c r="L1798"/>
      <c r="M1798" s="37">
        <f t="shared" si="758"/>
        <v>19.46</v>
      </c>
      <c r="N1798" s="29">
        <v>9.4600000000000009</v>
      </c>
      <c r="O1798" s="149"/>
      <c r="P1798" s="144"/>
      <c r="S1798" s="145" t="s">
        <v>4179</v>
      </c>
      <c r="T1798" s="145" t="s">
        <v>4179</v>
      </c>
      <c r="U1798" s="146"/>
      <c r="W1798" s="147"/>
      <c r="X1798" s="147"/>
      <c r="Z1798" s="147"/>
      <c r="AC1798" s="147"/>
      <c r="AD1798" s="145" t="s">
        <v>1017</v>
      </c>
      <c r="AE1798" s="148"/>
      <c r="AF1798" s="147"/>
      <c r="AG1798" s="147"/>
      <c r="AH1798" s="166" t="str">
        <f t="shared" ref="AH1798:AH1803" si="765">IF(ISERROR(SEARCH("K erstmals 201",D1798)),"",RIGHT(D1798,4))</f>
        <v/>
      </c>
      <c r="AI1798" s="168" t="str">
        <f t="shared" si="750"/>
        <v/>
      </c>
      <c r="AJ1798" s="168" t="str">
        <f t="shared" si="751"/>
        <v/>
      </c>
      <c r="AK1798" s="168" t="str">
        <f t="shared" si="752"/>
        <v/>
      </c>
      <c r="AL1798" s="168" t="str">
        <f t="shared" si="753"/>
        <v/>
      </c>
      <c r="AM1798" s="168" t="str">
        <f t="shared" si="754"/>
        <v/>
      </c>
      <c r="AN1798" s="167" t="str">
        <f t="shared" si="737"/>
        <v/>
      </c>
      <c r="AO1798" s="167" t="str">
        <f t="shared" si="738"/>
        <v/>
      </c>
      <c r="AP1798" s="167" t="str">
        <f t="shared" si="739"/>
        <v/>
      </c>
      <c r="AQ1798" s="169" t="str">
        <f t="shared" si="740"/>
        <v/>
      </c>
      <c r="AR1798" s="170" t="str">
        <f t="shared" si="741"/>
        <v>BiK82X2-----07</v>
      </c>
      <c r="AS1798" s="169" t="str">
        <f t="shared" si="742"/>
        <v/>
      </c>
      <c r="AT1798">
        <f t="shared" si="743"/>
        <v>14</v>
      </c>
      <c r="AU1798" s="170" t="str">
        <f t="shared" si="744"/>
        <v>0,15-0,5 MW, Bonusregel X2</v>
      </c>
      <c r="AV1798" s="169" t="str">
        <f t="shared" si="745"/>
        <v/>
      </c>
      <c r="AW1798" s="170" t="str">
        <f t="shared" si="746"/>
        <v>Anteil Nicht-KWK</v>
      </c>
      <c r="AX1798" s="169" t="str">
        <f t="shared" si="747"/>
        <v/>
      </c>
      <c r="AY1798" t="str">
        <f t="shared" si="748"/>
        <v/>
      </c>
      <c r="AZ1798" t="str">
        <f t="shared" si="749"/>
        <v/>
      </c>
    </row>
    <row r="1799" spans="1:52" s="145" customFormat="1" x14ac:dyDescent="0.35">
      <c r="A1799" s="497" t="s">
        <v>4564</v>
      </c>
      <c r="B1799" s="13" t="s">
        <v>5547</v>
      </c>
      <c r="C1799" s="13" t="s">
        <v>1304</v>
      </c>
      <c r="D1799" s="13" t="s">
        <v>7123</v>
      </c>
      <c r="E1799" s="13" t="s">
        <v>4811</v>
      </c>
      <c r="F1799" s="373">
        <f t="shared" si="756"/>
        <v>21.46</v>
      </c>
      <c r="G1799" s="430">
        <v>21.46</v>
      </c>
      <c r="H1799" s="399">
        <f t="shared" si="757"/>
        <v>17.170000000000002</v>
      </c>
      <c r="I1799" s="576"/>
      <c r="J1799" s="549" t="s">
        <v>5804</v>
      </c>
      <c r="K1799" s="11"/>
      <c r="L1799"/>
      <c r="M1799" s="37">
        <f t="shared" si="758"/>
        <v>21.46</v>
      </c>
      <c r="N1799" s="29">
        <v>9.4600000000000009</v>
      </c>
      <c r="O1799" s="149" t="s">
        <v>1017</v>
      </c>
      <c r="P1799" s="144"/>
      <c r="S1799" s="145" t="s">
        <v>4179</v>
      </c>
      <c r="T1799" s="145" t="s">
        <v>4179</v>
      </c>
      <c r="U1799" s="146"/>
      <c r="W1799" s="147"/>
      <c r="X1799" s="147"/>
      <c r="Z1799" s="147"/>
      <c r="AC1799" s="147"/>
      <c r="AD1799" s="145" t="s">
        <v>1017</v>
      </c>
      <c r="AE1799" s="148"/>
      <c r="AF1799" s="147"/>
      <c r="AG1799" s="147"/>
      <c r="AH1799" s="166" t="str">
        <f t="shared" si="765"/>
        <v/>
      </c>
      <c r="AI1799" s="168" t="str">
        <f t="shared" si="750"/>
        <v/>
      </c>
      <c r="AJ1799" s="168" t="str">
        <f t="shared" si="751"/>
        <v/>
      </c>
      <c r="AK1799" s="168" t="str">
        <f t="shared" si="752"/>
        <v/>
      </c>
      <c r="AL1799" s="168" t="str">
        <f t="shared" si="753"/>
        <v/>
      </c>
      <c r="AM1799" s="168" t="str">
        <f t="shared" si="754"/>
        <v/>
      </c>
      <c r="AN1799" s="167" t="str">
        <f t="shared" si="737"/>
        <v/>
      </c>
      <c r="AO1799" s="167" t="str">
        <f t="shared" si="738"/>
        <v/>
      </c>
      <c r="AP1799" s="167" t="str">
        <f t="shared" si="739"/>
        <v/>
      </c>
      <c r="AQ1799" s="169" t="str">
        <f t="shared" si="740"/>
        <v/>
      </c>
      <c r="AR1799" s="170" t="str">
        <f t="shared" si="741"/>
        <v>BiK82X2KWK--07</v>
      </c>
      <c r="AS1799" s="169" t="str">
        <f t="shared" si="742"/>
        <v/>
      </c>
      <c r="AT1799">
        <f t="shared" si="743"/>
        <v>14</v>
      </c>
      <c r="AU1799" s="170" t="str">
        <f t="shared" si="744"/>
        <v>0,15-0,5 MW, Bonusregeln X2 und KWK</v>
      </c>
      <c r="AV1799" s="169" t="str">
        <f t="shared" si="745"/>
        <v/>
      </c>
      <c r="AW1799" s="170" t="str">
        <f t="shared" si="746"/>
        <v>Anteil KWK</v>
      </c>
      <c r="AX1799" s="169" t="str">
        <f t="shared" si="747"/>
        <v/>
      </c>
      <c r="AY1799" t="str">
        <f t="shared" si="748"/>
        <v/>
      </c>
      <c r="AZ1799" t="str">
        <f t="shared" si="749"/>
        <v/>
      </c>
    </row>
    <row r="1800" spans="1:52" s="145" customFormat="1" x14ac:dyDescent="0.35">
      <c r="A1800" s="497" t="s">
        <v>4565</v>
      </c>
      <c r="B1800" s="13" t="s">
        <v>5547</v>
      </c>
      <c r="C1800" s="13" t="s">
        <v>1304</v>
      </c>
      <c r="D1800" s="13" t="s">
        <v>7066</v>
      </c>
      <c r="E1800" s="13" t="s">
        <v>4330</v>
      </c>
      <c r="F1800" s="373">
        <f t="shared" si="756"/>
        <v>22.46</v>
      </c>
      <c r="G1800" s="430">
        <v>22.46</v>
      </c>
      <c r="H1800" s="399">
        <f t="shared" si="757"/>
        <v>17.97</v>
      </c>
      <c r="I1800" s="576"/>
      <c r="J1800" s="549" t="s">
        <v>5804</v>
      </c>
      <c r="K1800" s="11"/>
      <c r="L1800"/>
      <c r="M1800" s="37">
        <f t="shared" si="758"/>
        <v>22.46</v>
      </c>
      <c r="N1800" s="29">
        <v>9.4600000000000009</v>
      </c>
      <c r="O1800" s="149"/>
      <c r="P1800" s="145" t="s">
        <v>1017</v>
      </c>
      <c r="S1800" s="145" t="s">
        <v>4179</v>
      </c>
      <c r="T1800" s="145" t="s">
        <v>4179</v>
      </c>
      <c r="U1800" s="146"/>
      <c r="W1800" s="147"/>
      <c r="X1800" s="147"/>
      <c r="Z1800" s="147"/>
      <c r="AC1800" s="147"/>
      <c r="AD1800" s="145" t="s">
        <v>1017</v>
      </c>
      <c r="AE1800" s="148"/>
      <c r="AF1800" s="147"/>
      <c r="AG1800" s="147"/>
      <c r="AH1800" s="166" t="str">
        <f t="shared" si="765"/>
        <v/>
      </c>
      <c r="AI1800" s="168" t="str">
        <f t="shared" si="750"/>
        <v/>
      </c>
      <c r="AJ1800" s="168" t="str">
        <f t="shared" si="751"/>
        <v/>
      </c>
      <c r="AK1800" s="168" t="str">
        <f t="shared" si="752"/>
        <v/>
      </c>
      <c r="AL1800" s="168" t="str">
        <f t="shared" si="753"/>
        <v/>
      </c>
      <c r="AM1800" s="168" t="str">
        <f t="shared" si="754"/>
        <v/>
      </c>
      <c r="AN1800" s="167" t="str">
        <f t="shared" si="737"/>
        <v/>
      </c>
      <c r="AO1800" s="167" t="str">
        <f t="shared" si="738"/>
        <v/>
      </c>
      <c r="AP1800" s="167" t="str">
        <f t="shared" si="739"/>
        <v/>
      </c>
      <c r="AQ1800" s="169" t="str">
        <f t="shared" si="740"/>
        <v/>
      </c>
      <c r="AR1800" s="170" t="str">
        <f t="shared" si="741"/>
        <v>BiK82X2KA3--07</v>
      </c>
      <c r="AS1800" s="169" t="str">
        <f t="shared" si="742"/>
        <v/>
      </c>
      <c r="AT1800">
        <f t="shared" si="743"/>
        <v>14</v>
      </c>
      <c r="AU1800" s="170" t="str">
        <f t="shared" si="744"/>
        <v>0,15-0,5 MW, Bonusregeln X2 und K wenn Anlage 3 erfüllt</v>
      </c>
      <c r="AV1800" s="169" t="str">
        <f t="shared" si="745"/>
        <v/>
      </c>
      <c r="AW1800" s="170" t="str">
        <f t="shared" si="746"/>
        <v>Anteil KWK gemäß Anlage 3</v>
      </c>
      <c r="AX1800" s="169" t="str">
        <f t="shared" si="747"/>
        <v/>
      </c>
      <c r="AY1800" t="str">
        <f t="shared" si="748"/>
        <v/>
      </c>
      <c r="AZ1800" t="str">
        <f t="shared" si="749"/>
        <v/>
      </c>
    </row>
    <row r="1801" spans="1:52" s="145" customFormat="1" x14ac:dyDescent="0.35">
      <c r="A1801" s="497" t="s">
        <v>3040</v>
      </c>
      <c r="B1801" s="13" t="s">
        <v>5547</v>
      </c>
      <c r="C1801" s="13" t="s">
        <v>1304</v>
      </c>
      <c r="D1801" s="13" t="s">
        <v>7067</v>
      </c>
      <c r="E1801" s="13" t="s">
        <v>674</v>
      </c>
      <c r="F1801" s="373">
        <f t="shared" si="756"/>
        <v>22.46</v>
      </c>
      <c r="G1801" s="430">
        <v>22.46</v>
      </c>
      <c r="H1801" s="399">
        <f t="shared" si="757"/>
        <v>17.97</v>
      </c>
      <c r="I1801" s="576"/>
      <c r="J1801" s="549" t="s">
        <v>5804</v>
      </c>
      <c r="K1801" s="11"/>
      <c r="L1801"/>
      <c r="M1801" s="37">
        <f t="shared" si="758"/>
        <v>22.46</v>
      </c>
      <c r="N1801" s="29">
        <v>9.4600000000000009</v>
      </c>
      <c r="O1801" s="149"/>
      <c r="P1801" s="144"/>
      <c r="Q1801" s="145" t="s">
        <v>1017</v>
      </c>
      <c r="S1801" s="145" t="s">
        <v>4179</v>
      </c>
      <c r="T1801" s="145" t="s">
        <v>4179</v>
      </c>
      <c r="U1801" s="146"/>
      <c r="W1801" s="147"/>
      <c r="X1801" s="147"/>
      <c r="Z1801" s="147"/>
      <c r="AC1801" s="147"/>
      <c r="AD1801" s="145" t="s">
        <v>1017</v>
      </c>
      <c r="AE1801" s="148"/>
      <c r="AF1801" s="147"/>
      <c r="AG1801" s="147"/>
      <c r="AH1801" s="166" t="str">
        <f t="shared" si="765"/>
        <v/>
      </c>
      <c r="AI1801" s="168" t="str">
        <f t="shared" si="750"/>
        <v/>
      </c>
      <c r="AJ1801" s="168" t="str">
        <f t="shared" si="751"/>
        <v/>
      </c>
      <c r="AK1801" s="168" t="str">
        <f t="shared" si="752"/>
        <v/>
      </c>
      <c r="AL1801" s="168" t="str">
        <f t="shared" si="753"/>
        <v/>
      </c>
      <c r="AM1801" s="168" t="str">
        <f t="shared" si="754"/>
        <v/>
      </c>
      <c r="AN1801" s="167" t="str">
        <f t="shared" si="737"/>
        <v/>
      </c>
      <c r="AO1801" s="167" t="str">
        <f t="shared" si="738"/>
        <v/>
      </c>
      <c r="AP1801" s="167" t="str">
        <f t="shared" si="739"/>
        <v/>
      </c>
      <c r="AQ1801" s="169" t="str">
        <f t="shared" si="740"/>
        <v/>
      </c>
      <c r="AR1801" s="170" t="str">
        <f t="shared" si="741"/>
        <v>BiK82X2K09--07</v>
      </c>
      <c r="AS1801" s="169" t="str">
        <f t="shared" si="742"/>
        <v/>
      </c>
      <c r="AT1801">
        <f t="shared" si="743"/>
        <v>14</v>
      </c>
      <c r="AU1801" s="170" t="str">
        <f t="shared" si="744"/>
        <v>0,15-0,5 MW, Bonusregeln X2 und K erstmals 2009</v>
      </c>
      <c r="AV1801" s="169" t="str">
        <f t="shared" si="745"/>
        <v/>
      </c>
      <c r="AW1801" s="170" t="str">
        <f t="shared" si="746"/>
        <v>Anteil KWK, erstmals 2009</v>
      </c>
      <c r="AX1801" s="169" t="str">
        <f t="shared" si="747"/>
        <v/>
      </c>
      <c r="AY1801" t="str">
        <f t="shared" si="748"/>
        <v/>
      </c>
      <c r="AZ1801" t="str">
        <f t="shared" si="749"/>
        <v/>
      </c>
    </row>
    <row r="1802" spans="1:52" s="145" customFormat="1" x14ac:dyDescent="0.35">
      <c r="A1802" s="497" t="s">
        <v>4974</v>
      </c>
      <c r="B1802" s="13" t="s">
        <v>5547</v>
      </c>
      <c r="C1802" s="13" t="s">
        <v>1304</v>
      </c>
      <c r="D1802" s="13" t="s">
        <v>7068</v>
      </c>
      <c r="E1802" s="13" t="s">
        <v>3566</v>
      </c>
      <c r="F1802" s="373">
        <f t="shared" si="756"/>
        <v>22.43</v>
      </c>
      <c r="G1802" s="430">
        <v>22.43</v>
      </c>
      <c r="H1802" s="399">
        <f t="shared" si="757"/>
        <v>17.940000000000001</v>
      </c>
      <c r="I1802" s="576"/>
      <c r="J1802" s="549" t="s">
        <v>5804</v>
      </c>
      <c r="K1802" s="11"/>
      <c r="L1802"/>
      <c r="M1802" s="37">
        <f t="shared" si="758"/>
        <v>22.43</v>
      </c>
      <c r="N1802" s="29">
        <v>9.4600000000000009</v>
      </c>
      <c r="O1802" s="149"/>
      <c r="P1802" s="144"/>
      <c r="R1802" s="145" t="s">
        <v>1017</v>
      </c>
      <c r="S1802" s="145" t="s">
        <v>4179</v>
      </c>
      <c r="T1802" s="145" t="s">
        <v>4179</v>
      </c>
      <c r="U1802" s="146"/>
      <c r="W1802" s="147"/>
      <c r="X1802" s="147"/>
      <c r="Z1802" s="147"/>
      <c r="AC1802" s="147"/>
      <c r="AD1802" s="145" t="s">
        <v>1017</v>
      </c>
      <c r="AE1802" s="148"/>
      <c r="AF1802" s="147"/>
      <c r="AG1802" s="147"/>
      <c r="AH1802" s="166" t="str">
        <f t="shared" si="765"/>
        <v>2010</v>
      </c>
      <c r="AI1802" s="168" t="str">
        <f t="shared" si="750"/>
        <v/>
      </c>
      <c r="AJ1802" s="168" t="str">
        <f t="shared" si="751"/>
        <v/>
      </c>
      <c r="AK1802" s="168" t="str">
        <f t="shared" si="752"/>
        <v/>
      </c>
      <c r="AL1802" s="168" t="str">
        <f t="shared" si="753"/>
        <v/>
      </c>
      <c r="AM1802" s="168" t="str">
        <f t="shared" si="754"/>
        <v/>
      </c>
      <c r="AN1802" s="167" t="str">
        <f t="shared" si="737"/>
        <v>2010</v>
      </c>
      <c r="AO1802" s="167" t="str">
        <f t="shared" si="738"/>
        <v>2010</v>
      </c>
      <c r="AP1802" s="167" t="str">
        <f t="shared" si="739"/>
        <v>2010</v>
      </c>
      <c r="AQ1802" s="169" t="str">
        <f t="shared" si="740"/>
        <v/>
      </c>
      <c r="AR1802" s="170" t="str">
        <f t="shared" si="741"/>
        <v>BiK82X2K10--07</v>
      </c>
      <c r="AS1802" s="169" t="str">
        <f t="shared" si="742"/>
        <v/>
      </c>
      <c r="AT1802">
        <f t="shared" si="743"/>
        <v>14</v>
      </c>
      <c r="AU1802" s="170" t="str">
        <f t="shared" si="744"/>
        <v>0,15-0,5 MW, Bonusregeln X2 und K erstmals 2010</v>
      </c>
      <c r="AV1802" s="169" t="str">
        <f t="shared" si="745"/>
        <v/>
      </c>
      <c r="AW1802" s="170" t="str">
        <f t="shared" si="746"/>
        <v>Anteil KWK, erstmals 2010</v>
      </c>
      <c r="AX1802" s="169" t="str">
        <f t="shared" si="747"/>
        <v/>
      </c>
      <c r="AY1802" t="str">
        <f t="shared" si="748"/>
        <v/>
      </c>
      <c r="AZ1802" t="str">
        <f t="shared" si="749"/>
        <v/>
      </c>
    </row>
    <row r="1803" spans="1:52" s="145" customFormat="1" x14ac:dyDescent="0.35">
      <c r="A1803" s="497" t="s">
        <v>3411</v>
      </c>
      <c r="B1803" s="13" t="s">
        <v>5547</v>
      </c>
      <c r="C1803" s="13" t="s">
        <v>1304</v>
      </c>
      <c r="D1803" s="13" t="s">
        <v>7069</v>
      </c>
      <c r="E1803" s="13" t="s">
        <v>3054</v>
      </c>
      <c r="F1803" s="373">
        <f t="shared" si="756"/>
        <v>22.4</v>
      </c>
      <c r="G1803" s="430">
        <v>22.4</v>
      </c>
      <c r="H1803" s="399">
        <f t="shared" si="757"/>
        <v>17.920000000000002</v>
      </c>
      <c r="I1803" s="576"/>
      <c r="J1803" s="549" t="s">
        <v>5804</v>
      </c>
      <c r="K1803" s="11"/>
      <c r="L1803"/>
      <c r="M1803" s="37">
        <f t="shared" si="758"/>
        <v>22.4</v>
      </c>
      <c r="N1803" s="29">
        <v>9.4600000000000009</v>
      </c>
      <c r="O1803" s="149"/>
      <c r="P1803" s="144"/>
      <c r="S1803" s="145" t="s">
        <v>1017</v>
      </c>
      <c r="T1803" s="145" t="s">
        <v>4179</v>
      </c>
      <c r="U1803" s="146"/>
      <c r="W1803" s="147"/>
      <c r="X1803" s="147"/>
      <c r="Z1803" s="147"/>
      <c r="AC1803" s="147"/>
      <c r="AD1803" s="145" t="s">
        <v>1017</v>
      </c>
      <c r="AE1803" s="148"/>
      <c r="AF1803" s="147"/>
      <c r="AG1803" s="147"/>
      <c r="AH1803" s="166" t="str">
        <f t="shared" si="765"/>
        <v>2011</v>
      </c>
      <c r="AI1803" s="168" t="str">
        <f t="shared" si="750"/>
        <v/>
      </c>
      <c r="AJ1803" s="168" t="str">
        <f t="shared" si="751"/>
        <v/>
      </c>
      <c r="AK1803" s="168" t="str">
        <f t="shared" si="752"/>
        <v/>
      </c>
      <c r="AL1803" s="168" t="str">
        <f t="shared" si="753"/>
        <v/>
      </c>
      <c r="AM1803" s="168" t="str">
        <f t="shared" si="754"/>
        <v/>
      </c>
      <c r="AN1803" s="167" t="str">
        <f t="shared" si="737"/>
        <v>2011</v>
      </c>
      <c r="AO1803" s="167" t="str">
        <f t="shared" si="738"/>
        <v>2011</v>
      </c>
      <c r="AP1803" s="167" t="str">
        <f t="shared" si="739"/>
        <v>2011</v>
      </c>
      <c r="AQ1803" s="169" t="str">
        <f t="shared" si="740"/>
        <v/>
      </c>
      <c r="AR1803" s="170" t="str">
        <f t="shared" si="741"/>
        <v>BiK82X2K11--07</v>
      </c>
      <c r="AS1803" s="169" t="str">
        <f t="shared" si="742"/>
        <v/>
      </c>
      <c r="AT1803">
        <f t="shared" si="743"/>
        <v>14</v>
      </c>
      <c r="AU1803" s="170" t="str">
        <f t="shared" si="744"/>
        <v>0,15-0,5 MW, Bonusregeln X2 und K erstmals 2011</v>
      </c>
      <c r="AV1803" s="169" t="str">
        <f t="shared" si="745"/>
        <v/>
      </c>
      <c r="AW1803" s="170" t="str">
        <f t="shared" si="746"/>
        <v>Anteil KWK, erstmals 2011</v>
      </c>
      <c r="AX1803" s="169" t="str">
        <f t="shared" si="747"/>
        <v/>
      </c>
      <c r="AY1803" t="str">
        <f t="shared" si="748"/>
        <v>x</v>
      </c>
      <c r="AZ1803" t="str">
        <f t="shared" si="749"/>
        <v/>
      </c>
    </row>
    <row r="1804" spans="1:52" s="145" customFormat="1" x14ac:dyDescent="0.35">
      <c r="A1804" s="511" t="s">
        <v>1844</v>
      </c>
      <c r="B1804" s="173" t="s">
        <v>5547</v>
      </c>
      <c r="C1804" s="173" t="s">
        <v>1304</v>
      </c>
      <c r="D1804" s="173" t="s">
        <v>7070</v>
      </c>
      <c r="E1804" s="173" t="s">
        <v>1980</v>
      </c>
      <c r="F1804" s="374">
        <f t="shared" si="756"/>
        <v>22.37</v>
      </c>
      <c r="G1804" s="431">
        <v>22.37</v>
      </c>
      <c r="H1804" s="400">
        <f t="shared" si="757"/>
        <v>17.899999999999999</v>
      </c>
      <c r="I1804" s="577"/>
      <c r="J1804" s="549" t="s">
        <v>5804</v>
      </c>
      <c r="K1804" s="11"/>
      <c r="L1804"/>
      <c r="M1804" s="37">
        <f t="shared" si="758"/>
        <v>22.37</v>
      </c>
      <c r="N1804" s="29">
        <v>9.4600000000000009</v>
      </c>
      <c r="O1804" s="149"/>
      <c r="P1804" s="144"/>
      <c r="S1804" s="145" t="s">
        <v>4179</v>
      </c>
      <c r="T1804" s="145" t="s">
        <v>1017</v>
      </c>
      <c r="U1804" s="146"/>
      <c r="W1804" s="147"/>
      <c r="X1804" s="147"/>
      <c r="Z1804" s="147"/>
      <c r="AC1804" s="147"/>
      <c r="AD1804" s="145" t="s">
        <v>1017</v>
      </c>
      <c r="AE1804" s="148"/>
      <c r="AF1804" s="147"/>
      <c r="AG1804" s="147"/>
      <c r="AH1804" s="171" t="s">
        <v>4178</v>
      </c>
      <c r="AI1804" s="168" t="str">
        <f t="shared" si="750"/>
        <v/>
      </c>
      <c r="AJ1804" s="168" t="str">
        <f t="shared" si="751"/>
        <v/>
      </c>
      <c r="AK1804" s="168" t="str">
        <f t="shared" si="752"/>
        <v/>
      </c>
      <c r="AL1804" s="168" t="str">
        <f t="shared" si="753"/>
        <v/>
      </c>
      <c r="AM1804" s="168" t="str">
        <f t="shared" si="754"/>
        <v/>
      </c>
      <c r="AN1804" s="167" t="str">
        <f t="shared" si="737"/>
        <v>2012</v>
      </c>
      <c r="AO1804" s="167" t="str">
        <f t="shared" si="738"/>
        <v>2012</v>
      </c>
      <c r="AP1804" s="167" t="str">
        <f t="shared" si="739"/>
        <v>2012</v>
      </c>
      <c r="AQ1804" s="169" t="str">
        <f t="shared" si="740"/>
        <v/>
      </c>
      <c r="AR1804" s="170" t="str">
        <f t="shared" si="741"/>
        <v>BiK82X2K12--07</v>
      </c>
      <c r="AS1804" s="169" t="str">
        <f t="shared" si="742"/>
        <v/>
      </c>
      <c r="AT1804">
        <f t="shared" si="743"/>
        <v>14</v>
      </c>
      <c r="AU1804" s="170" t="str">
        <f t="shared" si="744"/>
        <v>0,15-0,5 MW, Bonusregeln X2 und K erstmals 2012</v>
      </c>
      <c r="AV1804" s="169" t="str">
        <f t="shared" si="745"/>
        <v/>
      </c>
      <c r="AW1804" s="170" t="str">
        <f t="shared" si="746"/>
        <v>Anteil KWK, erstmals 2012</v>
      </c>
      <c r="AX1804" s="169" t="str">
        <f t="shared" si="747"/>
        <v/>
      </c>
      <c r="AY1804" t="str">
        <f t="shared" si="748"/>
        <v/>
      </c>
      <c r="AZ1804" t="str">
        <f t="shared" si="749"/>
        <v>x</v>
      </c>
    </row>
    <row r="1805" spans="1:52" x14ac:dyDescent="0.35">
      <c r="A1805" s="497" t="s">
        <v>3041</v>
      </c>
      <c r="B1805" s="13" t="s">
        <v>5547</v>
      </c>
      <c r="C1805" s="13" t="s">
        <v>1304</v>
      </c>
      <c r="D1805" s="13" t="s">
        <v>7071</v>
      </c>
      <c r="E1805" s="13" t="s">
        <v>4809</v>
      </c>
      <c r="F1805" s="373">
        <f t="shared" si="756"/>
        <v>20.46</v>
      </c>
      <c r="G1805" s="430">
        <v>20.46</v>
      </c>
      <c r="H1805" s="399">
        <f t="shared" si="757"/>
        <v>16.37</v>
      </c>
      <c r="I1805" s="576"/>
      <c r="J1805" s="549" t="s">
        <v>5804</v>
      </c>
      <c r="K1805" s="11"/>
      <c r="M1805" s="37">
        <f t="shared" si="758"/>
        <v>20.46</v>
      </c>
      <c r="N1805" s="29">
        <v>9.4600000000000009</v>
      </c>
      <c r="O1805" s="149"/>
      <c r="P1805" s="144"/>
      <c r="Q1805" s="145"/>
      <c r="R1805" s="145"/>
      <c r="S1805" s="145" t="s">
        <v>4179</v>
      </c>
      <c r="T1805" t="s">
        <v>4179</v>
      </c>
      <c r="U1805" s="146" t="s">
        <v>1017</v>
      </c>
      <c r="V1805" s="145"/>
      <c r="W1805" s="147"/>
      <c r="X1805" s="147"/>
      <c r="Y1805" s="145"/>
      <c r="Z1805" s="147"/>
      <c r="AA1805" s="145"/>
      <c r="AB1805" s="145"/>
      <c r="AC1805" s="147"/>
      <c r="AD1805" s="145" t="s">
        <v>1017</v>
      </c>
      <c r="AE1805" s="148"/>
      <c r="AF1805" s="147"/>
      <c r="AG1805" s="147"/>
      <c r="AH1805" s="166" t="str">
        <f t="shared" ref="AH1805:AH1810" si="766">IF(ISERROR(SEARCH("K erstmals 201",D1805)),"",RIGHT(D1805,4))</f>
        <v/>
      </c>
      <c r="AI1805" s="168" t="str">
        <f t="shared" si="750"/>
        <v/>
      </c>
      <c r="AJ1805" s="168" t="str">
        <f t="shared" si="751"/>
        <v/>
      </c>
      <c r="AK1805" s="168" t="str">
        <f t="shared" si="752"/>
        <v/>
      </c>
      <c r="AL1805" s="168" t="str">
        <f t="shared" si="753"/>
        <v/>
      </c>
      <c r="AM1805" s="168" t="str">
        <f t="shared" si="754"/>
        <v/>
      </c>
      <c r="AN1805" s="167" t="str">
        <f t="shared" si="737"/>
        <v/>
      </c>
      <c r="AO1805" s="167" t="str">
        <f t="shared" si="738"/>
        <v/>
      </c>
      <c r="AP1805" s="167" t="str">
        <f t="shared" si="739"/>
        <v/>
      </c>
      <c r="AQ1805" s="169" t="str">
        <f t="shared" si="740"/>
        <v/>
      </c>
      <c r="AR1805" s="170" t="str">
        <f t="shared" si="741"/>
        <v>BiK82X2y----07</v>
      </c>
      <c r="AS1805" s="169" t="str">
        <f t="shared" si="742"/>
        <v/>
      </c>
      <c r="AT1805">
        <f t="shared" si="743"/>
        <v>14</v>
      </c>
      <c r="AU1805" s="170" t="str">
        <f t="shared" si="744"/>
        <v>0,15-0,5 MW, Bonusregeln X2, y</v>
      </c>
      <c r="AV1805" s="169" t="str">
        <f t="shared" si="745"/>
        <v/>
      </c>
      <c r="AW1805" s="170" t="str">
        <f t="shared" si="746"/>
        <v>Anteil Nicht-KWK</v>
      </c>
      <c r="AX1805" s="169" t="str">
        <f t="shared" si="747"/>
        <v/>
      </c>
      <c r="AY1805" t="str">
        <f t="shared" si="748"/>
        <v/>
      </c>
      <c r="AZ1805" t="str">
        <f t="shared" si="749"/>
        <v/>
      </c>
    </row>
    <row r="1806" spans="1:52" x14ac:dyDescent="0.35">
      <c r="A1806" s="497" t="s">
        <v>3042</v>
      </c>
      <c r="B1806" s="13" t="s">
        <v>5547</v>
      </c>
      <c r="C1806" s="13" t="s">
        <v>1304</v>
      </c>
      <c r="D1806" s="13" t="s">
        <v>7124</v>
      </c>
      <c r="E1806" s="13" t="s">
        <v>4811</v>
      </c>
      <c r="F1806" s="373">
        <f t="shared" si="756"/>
        <v>22.46</v>
      </c>
      <c r="G1806" s="430">
        <v>22.46</v>
      </c>
      <c r="H1806" s="399">
        <f t="shared" si="757"/>
        <v>17.97</v>
      </c>
      <c r="I1806" s="576"/>
      <c r="J1806" s="549" t="s">
        <v>5804</v>
      </c>
      <c r="K1806" s="11"/>
      <c r="M1806" s="37">
        <f t="shared" si="758"/>
        <v>22.46</v>
      </c>
      <c r="N1806" s="29">
        <v>9.4600000000000009</v>
      </c>
      <c r="O1806" s="149" t="s">
        <v>1017</v>
      </c>
      <c r="P1806" s="144"/>
      <c r="Q1806" s="145"/>
      <c r="R1806" s="145"/>
      <c r="S1806" s="145" t="s">
        <v>4179</v>
      </c>
      <c r="T1806" t="s">
        <v>4179</v>
      </c>
      <c r="U1806" s="146" t="s">
        <v>1017</v>
      </c>
      <c r="V1806" s="145"/>
      <c r="W1806" s="147"/>
      <c r="X1806" s="147"/>
      <c r="Y1806" s="145"/>
      <c r="Z1806" s="147"/>
      <c r="AA1806" s="145"/>
      <c r="AB1806" s="145"/>
      <c r="AC1806" s="147"/>
      <c r="AD1806" s="145" t="s">
        <v>1017</v>
      </c>
      <c r="AE1806" s="148"/>
      <c r="AF1806" s="147"/>
      <c r="AG1806" s="147"/>
      <c r="AH1806" s="166" t="str">
        <f t="shared" si="766"/>
        <v/>
      </c>
      <c r="AI1806" s="168" t="str">
        <f t="shared" si="750"/>
        <v/>
      </c>
      <c r="AJ1806" s="168" t="str">
        <f t="shared" si="751"/>
        <v/>
      </c>
      <c r="AK1806" s="168" t="str">
        <f t="shared" si="752"/>
        <v/>
      </c>
      <c r="AL1806" s="168" t="str">
        <f t="shared" si="753"/>
        <v/>
      </c>
      <c r="AM1806" s="168" t="str">
        <f t="shared" si="754"/>
        <v/>
      </c>
      <c r="AN1806" s="167" t="str">
        <f t="shared" si="737"/>
        <v/>
      </c>
      <c r="AO1806" s="167" t="str">
        <f t="shared" si="738"/>
        <v/>
      </c>
      <c r="AP1806" s="167" t="str">
        <f t="shared" si="739"/>
        <v/>
      </c>
      <c r="AQ1806" s="169" t="str">
        <f t="shared" si="740"/>
        <v/>
      </c>
      <c r="AR1806" s="170" t="str">
        <f t="shared" si="741"/>
        <v>BiK82X2KWKy-07</v>
      </c>
      <c r="AS1806" s="169" t="str">
        <f t="shared" si="742"/>
        <v/>
      </c>
      <c r="AT1806">
        <f t="shared" si="743"/>
        <v>14</v>
      </c>
      <c r="AU1806" s="170" t="str">
        <f t="shared" si="744"/>
        <v>0,15-0,5 MW, Bonusregeln X2, y und KWK</v>
      </c>
      <c r="AV1806" s="169" t="str">
        <f t="shared" si="745"/>
        <v/>
      </c>
      <c r="AW1806" s="170" t="str">
        <f t="shared" si="746"/>
        <v>Anteil KWK</v>
      </c>
      <c r="AX1806" s="169" t="str">
        <f t="shared" si="747"/>
        <v/>
      </c>
      <c r="AY1806" t="str">
        <f t="shared" si="748"/>
        <v/>
      </c>
      <c r="AZ1806" t="str">
        <f t="shared" si="749"/>
        <v/>
      </c>
    </row>
    <row r="1807" spans="1:52" x14ac:dyDescent="0.35">
      <c r="A1807" s="497" t="s">
        <v>3043</v>
      </c>
      <c r="B1807" s="13" t="s">
        <v>5547</v>
      </c>
      <c r="C1807" s="13" t="s">
        <v>1304</v>
      </c>
      <c r="D1807" s="88" t="s">
        <v>7072</v>
      </c>
      <c r="E1807" s="13" t="s">
        <v>4330</v>
      </c>
      <c r="F1807" s="373">
        <f t="shared" si="756"/>
        <v>23.46</v>
      </c>
      <c r="G1807" s="430">
        <v>23.46</v>
      </c>
      <c r="H1807" s="399">
        <f t="shared" si="757"/>
        <v>18.77</v>
      </c>
      <c r="I1807" s="576"/>
      <c r="J1807" s="549" t="s">
        <v>5804</v>
      </c>
      <c r="K1807" s="11"/>
      <c r="M1807" s="37">
        <f t="shared" si="758"/>
        <v>23.46</v>
      </c>
      <c r="N1807" s="29">
        <v>9.4600000000000009</v>
      </c>
      <c r="O1807" s="149"/>
      <c r="P1807" s="145" t="s">
        <v>1017</v>
      </c>
      <c r="Q1807" s="145"/>
      <c r="R1807" s="145"/>
      <c r="S1807" s="145" t="s">
        <v>4179</v>
      </c>
      <c r="T1807" t="s">
        <v>4179</v>
      </c>
      <c r="U1807" s="146" t="s">
        <v>1017</v>
      </c>
      <c r="V1807" s="145"/>
      <c r="W1807" s="147"/>
      <c r="X1807" s="147"/>
      <c r="Y1807" s="145"/>
      <c r="Z1807" s="147"/>
      <c r="AA1807" s="145"/>
      <c r="AB1807" s="145"/>
      <c r="AC1807" s="147"/>
      <c r="AD1807" s="145" t="s">
        <v>1017</v>
      </c>
      <c r="AE1807" s="148"/>
      <c r="AF1807" s="147"/>
      <c r="AG1807" s="147"/>
      <c r="AH1807" s="166" t="str">
        <f t="shared" si="766"/>
        <v/>
      </c>
      <c r="AI1807" s="168" t="str">
        <f t="shared" si="750"/>
        <v/>
      </c>
      <c r="AJ1807" s="168" t="str">
        <f t="shared" si="751"/>
        <v/>
      </c>
      <c r="AK1807" s="168" t="str">
        <f t="shared" si="752"/>
        <v/>
      </c>
      <c r="AL1807" s="168" t="str">
        <f t="shared" si="753"/>
        <v/>
      </c>
      <c r="AM1807" s="168" t="str">
        <f t="shared" si="754"/>
        <v/>
      </c>
      <c r="AN1807" s="167" t="str">
        <f t="shared" si="737"/>
        <v/>
      </c>
      <c r="AO1807" s="167" t="str">
        <f t="shared" si="738"/>
        <v/>
      </c>
      <c r="AP1807" s="167" t="str">
        <f t="shared" si="739"/>
        <v/>
      </c>
      <c r="AQ1807" s="169" t="str">
        <f t="shared" si="740"/>
        <v/>
      </c>
      <c r="AR1807" s="170" t="str">
        <f t="shared" si="741"/>
        <v>BiK82X2KA3y-07</v>
      </c>
      <c r="AS1807" s="169" t="str">
        <f t="shared" si="742"/>
        <v/>
      </c>
      <c r="AT1807">
        <f t="shared" si="743"/>
        <v>14</v>
      </c>
      <c r="AU1807" s="170" t="str">
        <f t="shared" si="744"/>
        <v>0,15-0,5 MW, Bonusregeln X2, y und K wenn Anlage 3 erfüllt</v>
      </c>
      <c r="AV1807" s="169" t="str">
        <f t="shared" si="745"/>
        <v/>
      </c>
      <c r="AW1807" s="170" t="str">
        <f t="shared" si="746"/>
        <v>Anteil KWK gemäß Anlage 3</v>
      </c>
      <c r="AX1807" s="169" t="str">
        <f t="shared" si="747"/>
        <v/>
      </c>
      <c r="AY1807" t="str">
        <f t="shared" si="748"/>
        <v/>
      </c>
      <c r="AZ1807" t="str">
        <f t="shared" si="749"/>
        <v/>
      </c>
    </row>
    <row r="1808" spans="1:52" x14ac:dyDescent="0.35">
      <c r="A1808" s="497" t="s">
        <v>3044</v>
      </c>
      <c r="B1808" s="13" t="s">
        <v>5547</v>
      </c>
      <c r="C1808" s="13" t="s">
        <v>1304</v>
      </c>
      <c r="D1808" s="13" t="s">
        <v>7073</v>
      </c>
      <c r="E1808" s="13" t="s">
        <v>674</v>
      </c>
      <c r="F1808" s="373">
        <f t="shared" si="756"/>
        <v>23.46</v>
      </c>
      <c r="G1808" s="430">
        <v>23.46</v>
      </c>
      <c r="H1808" s="399">
        <f t="shared" si="757"/>
        <v>18.77</v>
      </c>
      <c r="I1808" s="576"/>
      <c r="J1808" s="549" t="s">
        <v>5804</v>
      </c>
      <c r="K1808" s="11"/>
      <c r="M1808" s="37">
        <f t="shared" si="758"/>
        <v>23.46</v>
      </c>
      <c r="N1808" s="29">
        <v>9.4600000000000009</v>
      </c>
      <c r="O1808" s="149"/>
      <c r="P1808" s="144"/>
      <c r="Q1808" s="145" t="s">
        <v>1017</v>
      </c>
      <c r="R1808" s="145"/>
      <c r="S1808" s="145" t="s">
        <v>4179</v>
      </c>
      <c r="T1808" t="s">
        <v>4179</v>
      </c>
      <c r="U1808" s="146" t="s">
        <v>1017</v>
      </c>
      <c r="V1808" s="145"/>
      <c r="W1808" s="147"/>
      <c r="X1808" s="147"/>
      <c r="Y1808" s="145"/>
      <c r="Z1808" s="147"/>
      <c r="AA1808" s="145"/>
      <c r="AB1808" s="145"/>
      <c r="AC1808" s="147"/>
      <c r="AD1808" s="145" t="s">
        <v>1017</v>
      </c>
      <c r="AE1808" s="148"/>
      <c r="AF1808" s="147"/>
      <c r="AG1808" s="147"/>
      <c r="AH1808" s="166" t="str">
        <f t="shared" si="766"/>
        <v/>
      </c>
      <c r="AI1808" s="168" t="str">
        <f t="shared" si="750"/>
        <v/>
      </c>
      <c r="AJ1808" s="168" t="str">
        <f t="shared" si="751"/>
        <v/>
      </c>
      <c r="AK1808" s="168" t="str">
        <f t="shared" si="752"/>
        <v/>
      </c>
      <c r="AL1808" s="168" t="str">
        <f t="shared" si="753"/>
        <v/>
      </c>
      <c r="AM1808" s="168" t="str">
        <f t="shared" si="754"/>
        <v/>
      </c>
      <c r="AN1808" s="167" t="str">
        <f t="shared" ref="AN1808:AN1871" si="767">IF(ISERROR(SEARCH("K1",A1808)),"","20"&amp;MID(A1808,SEARCH("K1",A1808)+1,2))</f>
        <v/>
      </c>
      <c r="AO1808" s="167" t="str">
        <f t="shared" ref="AO1808:AO1871" si="768">IF(ISERROR(SEARCH("erstmals 201",E1808)),"",MID(E1808,SEARCH("erstmals ",E1808)+9,4))</f>
        <v/>
      </c>
      <c r="AP1808" s="167" t="str">
        <f t="shared" ref="AP1808:AP1871" si="769">IF(R1808="x","2010",IF(S1808="x","2011",IF(T1808="x","2012","")))</f>
        <v/>
      </c>
      <c r="AQ1808" s="169" t="str">
        <f t="shared" ref="AQ1808:AQ1871" si="770">IF(OR(AH1808&lt;&gt;AN1808,AH1808&lt;&gt;AO1808,AH1808&lt;&gt;AP1808),"DIFF","")</f>
        <v/>
      </c>
      <c r="AR1808" s="170" t="str">
        <f t="shared" ref="AR1808:AR1871" si="771">IF(A1808="","",IF(ISERROR(SEARCH("K1",A1808)),A1808,LEFT(A1808,SEARCH("K1",A1808)+1)&amp;RIGHT(AH1808,1)&amp;MID(A1808,SEARCH("K1",A1808)+3,14)))</f>
        <v>BiK82X2K09y-07</v>
      </c>
      <c r="AS1808" s="169" t="str">
        <f t="shared" ref="AS1808:AS1871" si="772">IF(OR(A1808&lt;&gt;AR1808),"DIFF","")</f>
        <v/>
      </c>
      <c r="AT1808">
        <f t="shared" ref="AT1808:AT1871" si="773">LEN(AR1808)</f>
        <v>14</v>
      </c>
      <c r="AU1808" s="170" t="str">
        <f t="shared" ref="AU1808:AU1871" si="774">IF(D1808="","",IF(OR(A1808="",ISERROR(SEARCH("erstmals 201",D1808))),D1808,LEFT(D1808,SEARCH("erstmals 201",D1808)+8) &amp; AH1808 &amp; MID(D1808,SEARCH("erstmals 201",D1808)+13,255)))</f>
        <v>0,15-0,5 MW, Bonusregeln X2, y und K erstmals 2009</v>
      </c>
      <c r="AV1808" s="169" t="str">
        <f t="shared" ref="AV1808:AV1871" si="775">IF(OR(D1808&lt;&gt;AU1808),"DIFF","")</f>
        <v/>
      </c>
      <c r="AW1808" s="170" t="str">
        <f t="shared" ref="AW1808:AW1871" si="776">IF(E1808="","",IF(OR(E1808="",ISERROR(SEARCH("erstmals 201",E1808))),E1808,LEFT(E1808,SEARCH("erstmals 201",E1808)+8) &amp; AH1808 &amp; MID(E1808,SEARCH("erstmals 201",E1808)+13,255)))</f>
        <v>Anteil KWK, erstmals 2009</v>
      </c>
      <c r="AX1808" s="169" t="str">
        <f t="shared" ref="AX1808:AX1871" si="777">IF(OR(E1808&lt;&gt;AW1808),"DIFF","")</f>
        <v/>
      </c>
      <c r="AY1808" t="str">
        <f t="shared" ref="AY1808:AY1871" si="778">IF(AH1808="2011","x",IF(AH1808="2012","","" &amp; S1808))</f>
        <v/>
      </c>
      <c r="AZ1808" t="str">
        <f t="shared" ref="AZ1808:AZ1871" si="779">IF(AH1808="2012","x",IF(AH1808="2011","","" &amp; T1808))</f>
        <v/>
      </c>
    </row>
    <row r="1809" spans="1:52" x14ac:dyDescent="0.35">
      <c r="A1809" s="497" t="s">
        <v>3136</v>
      </c>
      <c r="B1809" s="13" t="s">
        <v>5547</v>
      </c>
      <c r="C1809" s="13" t="s">
        <v>1304</v>
      </c>
      <c r="D1809" s="13" t="s">
        <v>7074</v>
      </c>
      <c r="E1809" s="13" t="s">
        <v>3566</v>
      </c>
      <c r="F1809" s="373">
        <f t="shared" si="756"/>
        <v>23.43</v>
      </c>
      <c r="G1809" s="430">
        <v>23.43</v>
      </c>
      <c r="H1809" s="399">
        <f t="shared" si="757"/>
        <v>18.739999999999998</v>
      </c>
      <c r="I1809" s="576"/>
      <c r="J1809" s="549" t="s">
        <v>5804</v>
      </c>
      <c r="K1809" s="11"/>
      <c r="M1809" s="37">
        <f t="shared" si="758"/>
        <v>23.43</v>
      </c>
      <c r="N1809" s="29">
        <v>9.4600000000000009</v>
      </c>
      <c r="O1809" s="149"/>
      <c r="P1809" s="144"/>
      <c r="Q1809" s="145"/>
      <c r="R1809" s="145" t="s">
        <v>1017</v>
      </c>
      <c r="S1809" s="145" t="s">
        <v>4179</v>
      </c>
      <c r="T1809" t="s">
        <v>4179</v>
      </c>
      <c r="U1809" s="146" t="s">
        <v>1017</v>
      </c>
      <c r="V1809" s="145"/>
      <c r="W1809" s="147"/>
      <c r="X1809" s="147"/>
      <c r="Y1809" s="145"/>
      <c r="Z1809" s="147"/>
      <c r="AA1809" s="145"/>
      <c r="AB1809" s="145"/>
      <c r="AC1809" s="147"/>
      <c r="AD1809" s="145" t="s">
        <v>1017</v>
      </c>
      <c r="AE1809" s="148"/>
      <c r="AF1809" s="147"/>
      <c r="AG1809" s="147"/>
      <c r="AH1809" s="166" t="str">
        <f t="shared" si="766"/>
        <v>2010</v>
      </c>
      <c r="AI1809" s="168" t="str">
        <f t="shared" si="750"/>
        <v/>
      </c>
      <c r="AJ1809" s="168" t="str">
        <f t="shared" si="751"/>
        <v/>
      </c>
      <c r="AK1809" s="168" t="str">
        <f t="shared" si="752"/>
        <v/>
      </c>
      <c r="AL1809" s="168" t="str">
        <f t="shared" si="753"/>
        <v/>
      </c>
      <c r="AM1809" s="168" t="str">
        <f t="shared" si="754"/>
        <v/>
      </c>
      <c r="AN1809" s="167" t="str">
        <f t="shared" si="767"/>
        <v>2010</v>
      </c>
      <c r="AO1809" s="167" t="str">
        <f t="shared" si="768"/>
        <v>2010</v>
      </c>
      <c r="AP1809" s="167" t="str">
        <f t="shared" si="769"/>
        <v>2010</v>
      </c>
      <c r="AQ1809" s="169" t="str">
        <f t="shared" si="770"/>
        <v/>
      </c>
      <c r="AR1809" s="170" t="str">
        <f t="shared" si="771"/>
        <v>BiK82X2K10y-07</v>
      </c>
      <c r="AS1809" s="169" t="str">
        <f t="shared" si="772"/>
        <v/>
      </c>
      <c r="AT1809">
        <f t="shared" si="773"/>
        <v>14</v>
      </c>
      <c r="AU1809" s="170" t="str">
        <f t="shared" si="774"/>
        <v>0,15-0,5 MW, Bonusregeln X2, y und K erstmals 2010</v>
      </c>
      <c r="AV1809" s="169" t="str">
        <f t="shared" si="775"/>
        <v/>
      </c>
      <c r="AW1809" s="170" t="str">
        <f t="shared" si="776"/>
        <v>Anteil KWK, erstmals 2010</v>
      </c>
      <c r="AX1809" s="169" t="str">
        <f t="shared" si="777"/>
        <v/>
      </c>
      <c r="AY1809" t="str">
        <f t="shared" si="778"/>
        <v/>
      </c>
      <c r="AZ1809" t="str">
        <f t="shared" si="779"/>
        <v/>
      </c>
    </row>
    <row r="1810" spans="1:52" x14ac:dyDescent="0.35">
      <c r="A1810" s="497" t="s">
        <v>3412</v>
      </c>
      <c r="B1810" s="13" t="s">
        <v>5547</v>
      </c>
      <c r="C1810" s="13" t="s">
        <v>1304</v>
      </c>
      <c r="D1810" s="13" t="s">
        <v>7075</v>
      </c>
      <c r="E1810" s="13" t="s">
        <v>3054</v>
      </c>
      <c r="F1810" s="373">
        <f t="shared" si="756"/>
        <v>23.4</v>
      </c>
      <c r="G1810" s="430">
        <v>23.4</v>
      </c>
      <c r="H1810" s="399">
        <f t="shared" si="757"/>
        <v>18.72</v>
      </c>
      <c r="I1810" s="576"/>
      <c r="J1810" s="549" t="s">
        <v>5804</v>
      </c>
      <c r="K1810" s="11"/>
      <c r="M1810" s="37">
        <f t="shared" si="758"/>
        <v>23.4</v>
      </c>
      <c r="N1810" s="29">
        <v>9.4600000000000009</v>
      </c>
      <c r="O1810" s="149"/>
      <c r="P1810" s="144"/>
      <c r="Q1810" s="145"/>
      <c r="R1810" s="145"/>
      <c r="S1810" s="145" t="s">
        <v>1017</v>
      </c>
      <c r="T1810" t="s">
        <v>4179</v>
      </c>
      <c r="U1810" s="146" t="s">
        <v>1017</v>
      </c>
      <c r="V1810" s="145"/>
      <c r="W1810" s="147"/>
      <c r="X1810" s="147"/>
      <c r="Y1810" s="145"/>
      <c r="Z1810" s="147"/>
      <c r="AA1810" s="145"/>
      <c r="AB1810" s="145"/>
      <c r="AC1810" s="147"/>
      <c r="AD1810" s="145" t="s">
        <v>1017</v>
      </c>
      <c r="AE1810" s="148"/>
      <c r="AF1810" s="147"/>
      <c r="AG1810" s="147"/>
      <c r="AH1810" s="166" t="str">
        <f t="shared" si="766"/>
        <v>2011</v>
      </c>
      <c r="AI1810" s="168" t="str">
        <f t="shared" si="750"/>
        <v/>
      </c>
      <c r="AJ1810" s="168" t="str">
        <f t="shared" si="751"/>
        <v/>
      </c>
      <c r="AK1810" s="168" t="str">
        <f t="shared" si="752"/>
        <v/>
      </c>
      <c r="AL1810" s="168" t="str">
        <f t="shared" si="753"/>
        <v/>
      </c>
      <c r="AM1810" s="168" t="str">
        <f t="shared" si="754"/>
        <v/>
      </c>
      <c r="AN1810" s="167" t="str">
        <f t="shared" si="767"/>
        <v>2011</v>
      </c>
      <c r="AO1810" s="167" t="str">
        <f t="shared" si="768"/>
        <v>2011</v>
      </c>
      <c r="AP1810" s="167" t="str">
        <f t="shared" si="769"/>
        <v>2011</v>
      </c>
      <c r="AQ1810" s="169" t="str">
        <f t="shared" si="770"/>
        <v/>
      </c>
      <c r="AR1810" s="170" t="str">
        <f t="shared" si="771"/>
        <v>BiK82X2K11y-07</v>
      </c>
      <c r="AS1810" s="169" t="str">
        <f t="shared" si="772"/>
        <v/>
      </c>
      <c r="AT1810">
        <f t="shared" si="773"/>
        <v>14</v>
      </c>
      <c r="AU1810" s="170" t="str">
        <f t="shared" si="774"/>
        <v>0,15-0,5 MW, Bonusregeln X2, y und K erstmals 2011</v>
      </c>
      <c r="AV1810" s="169" t="str">
        <f t="shared" si="775"/>
        <v/>
      </c>
      <c r="AW1810" s="170" t="str">
        <f t="shared" si="776"/>
        <v>Anteil KWK, erstmals 2011</v>
      </c>
      <c r="AX1810" s="169" t="str">
        <f t="shared" si="777"/>
        <v/>
      </c>
      <c r="AY1810" t="str">
        <f t="shared" si="778"/>
        <v>x</v>
      </c>
      <c r="AZ1810" t="str">
        <f t="shared" si="779"/>
        <v/>
      </c>
    </row>
    <row r="1811" spans="1:52" x14ac:dyDescent="0.35">
      <c r="A1811" s="511" t="s">
        <v>1845</v>
      </c>
      <c r="B1811" s="173" t="s">
        <v>5547</v>
      </c>
      <c r="C1811" s="173" t="s">
        <v>1304</v>
      </c>
      <c r="D1811" s="173" t="s">
        <v>7076</v>
      </c>
      <c r="E1811" s="173" t="s">
        <v>1980</v>
      </c>
      <c r="F1811" s="374">
        <f t="shared" si="756"/>
        <v>23.37</v>
      </c>
      <c r="G1811" s="431">
        <v>23.37</v>
      </c>
      <c r="H1811" s="400">
        <f t="shared" si="757"/>
        <v>18.7</v>
      </c>
      <c r="I1811" s="577"/>
      <c r="J1811" s="549" t="s">
        <v>5804</v>
      </c>
      <c r="K1811" s="11"/>
      <c r="M1811" s="37">
        <f t="shared" si="758"/>
        <v>23.37</v>
      </c>
      <c r="N1811" s="29">
        <v>9.4600000000000009</v>
      </c>
      <c r="O1811" s="149"/>
      <c r="P1811" s="144"/>
      <c r="Q1811" s="145"/>
      <c r="R1811" s="145"/>
      <c r="S1811" s="145" t="s">
        <v>4179</v>
      </c>
      <c r="T1811" t="s">
        <v>1017</v>
      </c>
      <c r="U1811" s="146" t="s">
        <v>1017</v>
      </c>
      <c r="V1811" s="145"/>
      <c r="W1811" s="147"/>
      <c r="X1811" s="147"/>
      <c r="Y1811" s="145"/>
      <c r="Z1811" s="147"/>
      <c r="AA1811" s="145"/>
      <c r="AB1811" s="145"/>
      <c r="AC1811" s="147"/>
      <c r="AD1811" s="145" t="s">
        <v>1017</v>
      </c>
      <c r="AE1811" s="148"/>
      <c r="AF1811" s="147"/>
      <c r="AG1811" s="147"/>
      <c r="AH1811" s="171" t="s">
        <v>4178</v>
      </c>
      <c r="AI1811" s="168" t="str">
        <f t="shared" ref="AI1811:AI1874" si="780">IF(AND($AH1811&lt;&gt;"",AH1811 =AH1810),"Gleich","")</f>
        <v/>
      </c>
      <c r="AJ1811" s="168" t="str">
        <f t="shared" ref="AJ1811:AJ1874" si="781">IF(AND($AH1811&lt;&gt;"",A1811 =A1810),"Gleich","")</f>
        <v/>
      </c>
      <c r="AK1811" s="168" t="str">
        <f t="shared" ref="AK1811:AK1874" si="782">IF(AND($AH1811&lt;&gt;"",D1811 =D1810),"Gleich","")</f>
        <v/>
      </c>
      <c r="AL1811" s="168" t="str">
        <f t="shared" ref="AL1811:AL1874" si="783">IF(AND($AH1811&lt;&gt;"",E1811 =E1810),"Gleich","")</f>
        <v/>
      </c>
      <c r="AM1811" s="168" t="str">
        <f t="shared" ref="AM1811:AM1874" si="784">IF(AND($AH1811&lt;&gt;"",F1811 =F1810),"Gleich","")</f>
        <v/>
      </c>
      <c r="AN1811" s="167" t="str">
        <f t="shared" si="767"/>
        <v>2012</v>
      </c>
      <c r="AO1811" s="167" t="str">
        <f t="shared" si="768"/>
        <v>2012</v>
      </c>
      <c r="AP1811" s="167" t="str">
        <f t="shared" si="769"/>
        <v>2012</v>
      </c>
      <c r="AQ1811" s="169" t="str">
        <f t="shared" si="770"/>
        <v/>
      </c>
      <c r="AR1811" s="170" t="str">
        <f t="shared" si="771"/>
        <v>BiK82X2K12y-07</v>
      </c>
      <c r="AS1811" s="169" t="str">
        <f t="shared" si="772"/>
        <v/>
      </c>
      <c r="AT1811">
        <f t="shared" si="773"/>
        <v>14</v>
      </c>
      <c r="AU1811" s="170" t="str">
        <f t="shared" si="774"/>
        <v>0,15-0,5 MW, Bonusregeln X2, y und K erstmals 2012</v>
      </c>
      <c r="AV1811" s="169" t="str">
        <f t="shared" si="775"/>
        <v/>
      </c>
      <c r="AW1811" s="170" t="str">
        <f t="shared" si="776"/>
        <v>Anteil KWK, erstmals 2012</v>
      </c>
      <c r="AX1811" s="169" t="str">
        <f t="shared" si="777"/>
        <v/>
      </c>
      <c r="AY1811" t="str">
        <f t="shared" si="778"/>
        <v/>
      </c>
      <c r="AZ1811" t="str">
        <f t="shared" si="779"/>
        <v>x</v>
      </c>
    </row>
    <row r="1812" spans="1:52" x14ac:dyDescent="0.35">
      <c r="A1812" s="496" t="s">
        <v>545</v>
      </c>
      <c r="B1812" s="1" t="s">
        <v>5547</v>
      </c>
      <c r="C1812" s="1" t="s">
        <v>1304</v>
      </c>
      <c r="D1812" s="1" t="s">
        <v>7125</v>
      </c>
      <c r="E1812" s="1" t="s">
        <v>4809</v>
      </c>
      <c r="F1812" s="375">
        <f t="shared" si="756"/>
        <v>11.46</v>
      </c>
      <c r="G1812" s="432">
        <v>11.46</v>
      </c>
      <c r="H1812" s="401">
        <f t="shared" si="757"/>
        <v>9.17</v>
      </c>
      <c r="I1812" s="578"/>
      <c r="J1812" s="549" t="s">
        <v>5804</v>
      </c>
      <c r="K1812" s="11"/>
      <c r="M1812" s="37">
        <f t="shared" si="758"/>
        <v>11.46</v>
      </c>
      <c r="N1812" s="29">
        <v>9.4600000000000009</v>
      </c>
      <c r="O1812" s="41"/>
      <c r="P1812" s="11"/>
      <c r="S1812" t="s">
        <v>4179</v>
      </c>
      <c r="T1812" t="s">
        <v>4179</v>
      </c>
      <c r="U1812" s="42"/>
      <c r="W1812" s="50"/>
      <c r="X1812" s="50"/>
      <c r="Z1812" s="50"/>
      <c r="AC1812" s="50"/>
      <c r="AE1812" s="75" t="s">
        <v>1017</v>
      </c>
      <c r="AF1812" s="50"/>
      <c r="AG1812" s="50"/>
      <c r="AH1812" s="166" t="str">
        <f t="shared" ref="AH1812:AH1817" si="785">IF(ISERROR(SEARCH("K erstmals 201",D1812)),"",RIGHT(D1812,4))</f>
        <v/>
      </c>
      <c r="AI1812" s="168" t="str">
        <f t="shared" si="780"/>
        <v/>
      </c>
      <c r="AJ1812" s="168" t="str">
        <f t="shared" si="781"/>
        <v/>
      </c>
      <c r="AK1812" s="168" t="str">
        <f t="shared" si="782"/>
        <v/>
      </c>
      <c r="AL1812" s="168" t="str">
        <f t="shared" si="783"/>
        <v/>
      </c>
      <c r="AM1812" s="168" t="str">
        <f t="shared" si="784"/>
        <v/>
      </c>
      <c r="AN1812" s="167" t="str">
        <f t="shared" si="767"/>
        <v/>
      </c>
      <c r="AO1812" s="167" t="str">
        <f t="shared" si="768"/>
        <v/>
      </c>
      <c r="AP1812" s="167" t="str">
        <f t="shared" si="769"/>
        <v/>
      </c>
      <c r="AQ1812" s="169" t="str">
        <f t="shared" si="770"/>
        <v/>
      </c>
      <c r="AR1812" s="170" t="str">
        <f t="shared" si="771"/>
        <v>BiK82b------07</v>
      </c>
      <c r="AS1812" s="169" t="str">
        <f t="shared" si="772"/>
        <v/>
      </c>
      <c r="AT1812">
        <f t="shared" si="773"/>
        <v>14</v>
      </c>
      <c r="AU1812" s="170" t="str">
        <f t="shared" si="774"/>
        <v>0,15-0,5 MW, Bonusregel b</v>
      </c>
      <c r="AV1812" s="169" t="str">
        <f t="shared" si="775"/>
        <v/>
      </c>
      <c r="AW1812" s="170" t="str">
        <f t="shared" si="776"/>
        <v>Anteil Nicht-KWK</v>
      </c>
      <c r="AX1812" s="169" t="str">
        <f t="shared" si="777"/>
        <v/>
      </c>
      <c r="AY1812" t="str">
        <f t="shared" si="778"/>
        <v/>
      </c>
      <c r="AZ1812" t="str">
        <f t="shared" si="779"/>
        <v/>
      </c>
    </row>
    <row r="1813" spans="1:52" x14ac:dyDescent="0.35">
      <c r="A1813" s="496" t="s">
        <v>546</v>
      </c>
      <c r="B1813" s="1" t="s">
        <v>5547</v>
      </c>
      <c r="C1813" s="1" t="s">
        <v>1304</v>
      </c>
      <c r="D1813" s="1" t="s">
        <v>7126</v>
      </c>
      <c r="E1813" s="1" t="s">
        <v>4811</v>
      </c>
      <c r="F1813" s="375">
        <f t="shared" si="756"/>
        <v>13.46</v>
      </c>
      <c r="G1813" s="432">
        <v>13.46</v>
      </c>
      <c r="H1813" s="401">
        <f t="shared" si="757"/>
        <v>10.77</v>
      </c>
      <c r="I1813" s="578"/>
      <c r="J1813" s="549" t="s">
        <v>5804</v>
      </c>
      <c r="K1813" s="11"/>
      <c r="M1813" s="37">
        <f t="shared" si="758"/>
        <v>13.46</v>
      </c>
      <c r="N1813" s="29">
        <v>9.4600000000000009</v>
      </c>
      <c r="O1813" s="41" t="s">
        <v>1017</v>
      </c>
      <c r="P1813" s="11"/>
      <c r="S1813" t="s">
        <v>4179</v>
      </c>
      <c r="T1813" t="s">
        <v>4179</v>
      </c>
      <c r="U1813" s="42"/>
      <c r="W1813" s="50"/>
      <c r="X1813" s="50"/>
      <c r="Z1813" s="50"/>
      <c r="AC1813" s="50"/>
      <c r="AE1813" s="75" t="s">
        <v>1017</v>
      </c>
      <c r="AF1813" s="50"/>
      <c r="AG1813" s="50"/>
      <c r="AH1813" s="166" t="str">
        <f t="shared" si="785"/>
        <v/>
      </c>
      <c r="AI1813" s="168" t="str">
        <f t="shared" si="780"/>
        <v/>
      </c>
      <c r="AJ1813" s="168" t="str">
        <f t="shared" si="781"/>
        <v/>
      </c>
      <c r="AK1813" s="168" t="str">
        <f t="shared" si="782"/>
        <v/>
      </c>
      <c r="AL1813" s="168" t="str">
        <f t="shared" si="783"/>
        <v/>
      </c>
      <c r="AM1813" s="168" t="str">
        <f t="shared" si="784"/>
        <v/>
      </c>
      <c r="AN1813" s="167" t="str">
        <f t="shared" si="767"/>
        <v/>
      </c>
      <c r="AO1813" s="167" t="str">
        <f t="shared" si="768"/>
        <v/>
      </c>
      <c r="AP1813" s="167" t="str">
        <f t="shared" si="769"/>
        <v/>
      </c>
      <c r="AQ1813" s="169" t="str">
        <f t="shared" si="770"/>
        <v/>
      </c>
      <c r="AR1813" s="170" t="str">
        <f t="shared" si="771"/>
        <v>BiK82bKWK---07</v>
      </c>
      <c r="AS1813" s="169" t="str">
        <f t="shared" si="772"/>
        <v/>
      </c>
      <c r="AT1813">
        <f t="shared" si="773"/>
        <v>14</v>
      </c>
      <c r="AU1813" s="170" t="str">
        <f t="shared" si="774"/>
        <v>0,15-0,5 MW, Bonusregeln b und KWK</v>
      </c>
      <c r="AV1813" s="169" t="str">
        <f t="shared" si="775"/>
        <v/>
      </c>
      <c r="AW1813" s="170" t="str">
        <f t="shared" si="776"/>
        <v>Anteil KWK</v>
      </c>
      <c r="AX1813" s="169" t="str">
        <f t="shared" si="777"/>
        <v/>
      </c>
      <c r="AY1813" t="str">
        <f t="shared" si="778"/>
        <v/>
      </c>
      <c r="AZ1813" t="str">
        <f t="shared" si="779"/>
        <v/>
      </c>
    </row>
    <row r="1814" spans="1:52" x14ac:dyDescent="0.35">
      <c r="A1814" s="497" t="s">
        <v>4363</v>
      </c>
      <c r="B1814" s="13" t="s">
        <v>5547</v>
      </c>
      <c r="C1814" s="13" t="s">
        <v>1304</v>
      </c>
      <c r="D1814" s="13" t="s">
        <v>7127</v>
      </c>
      <c r="E1814" s="13" t="s">
        <v>4330</v>
      </c>
      <c r="F1814" s="373">
        <f t="shared" si="756"/>
        <v>14.46</v>
      </c>
      <c r="G1814" s="430">
        <v>14.46</v>
      </c>
      <c r="H1814" s="399">
        <f t="shared" si="757"/>
        <v>11.57</v>
      </c>
      <c r="I1814" s="576"/>
      <c r="J1814" s="549" t="s">
        <v>5804</v>
      </c>
      <c r="K1814" s="11"/>
      <c r="M1814" s="37">
        <f t="shared" si="758"/>
        <v>14.46</v>
      </c>
      <c r="N1814" s="29">
        <v>9.4600000000000009</v>
      </c>
      <c r="O1814" s="41"/>
      <c r="P1814" t="s">
        <v>1017</v>
      </c>
      <c r="S1814" t="s">
        <v>4179</v>
      </c>
      <c r="T1814" t="s">
        <v>4179</v>
      </c>
      <c r="U1814" s="42"/>
      <c r="W1814" s="50"/>
      <c r="X1814" s="50"/>
      <c r="Z1814" s="50"/>
      <c r="AC1814" s="50"/>
      <c r="AE1814" s="75" t="s">
        <v>1017</v>
      </c>
      <c r="AF1814" s="50"/>
      <c r="AG1814" s="50"/>
      <c r="AH1814" s="166" t="str">
        <f t="shared" si="785"/>
        <v/>
      </c>
      <c r="AI1814" s="168" t="str">
        <f t="shared" si="780"/>
        <v/>
      </c>
      <c r="AJ1814" s="168" t="str">
        <f t="shared" si="781"/>
        <v/>
      </c>
      <c r="AK1814" s="168" t="str">
        <f t="shared" si="782"/>
        <v/>
      </c>
      <c r="AL1814" s="168" t="str">
        <f t="shared" si="783"/>
        <v/>
      </c>
      <c r="AM1814" s="168" t="str">
        <f t="shared" si="784"/>
        <v/>
      </c>
      <c r="AN1814" s="167" t="str">
        <f t="shared" si="767"/>
        <v/>
      </c>
      <c r="AO1814" s="167" t="str">
        <f t="shared" si="768"/>
        <v/>
      </c>
      <c r="AP1814" s="167" t="str">
        <f t="shared" si="769"/>
        <v/>
      </c>
      <c r="AQ1814" s="169" t="str">
        <f t="shared" si="770"/>
        <v/>
      </c>
      <c r="AR1814" s="170" t="str">
        <f t="shared" si="771"/>
        <v>BiK82bKA3---07</v>
      </c>
      <c r="AS1814" s="169" t="str">
        <f t="shared" si="772"/>
        <v/>
      </c>
      <c r="AT1814">
        <f t="shared" si="773"/>
        <v>14</v>
      </c>
      <c r="AU1814" s="170" t="str">
        <f t="shared" si="774"/>
        <v>0,15-0,5 MW, Bonusregeln b und K wenn Anlage 3 erfüllt</v>
      </c>
      <c r="AV1814" s="169" t="str">
        <f t="shared" si="775"/>
        <v/>
      </c>
      <c r="AW1814" s="170" t="str">
        <f t="shared" si="776"/>
        <v>Anteil KWK gemäß Anlage 3</v>
      </c>
      <c r="AX1814" s="169" t="str">
        <f t="shared" si="777"/>
        <v/>
      </c>
      <c r="AY1814" t="str">
        <f t="shared" si="778"/>
        <v/>
      </c>
      <c r="AZ1814" t="str">
        <f t="shared" si="779"/>
        <v/>
      </c>
    </row>
    <row r="1815" spans="1:52" x14ac:dyDescent="0.35">
      <c r="A1815" s="497" t="s">
        <v>892</v>
      </c>
      <c r="B1815" s="13" t="s">
        <v>5547</v>
      </c>
      <c r="C1815" s="13" t="s">
        <v>1304</v>
      </c>
      <c r="D1815" s="13" t="s">
        <v>7128</v>
      </c>
      <c r="E1815" s="13" t="s">
        <v>674</v>
      </c>
      <c r="F1815" s="373">
        <f t="shared" si="756"/>
        <v>14.46</v>
      </c>
      <c r="G1815" s="430">
        <v>14.46</v>
      </c>
      <c r="H1815" s="399">
        <f t="shared" si="757"/>
        <v>11.57</v>
      </c>
      <c r="I1815" s="576"/>
      <c r="J1815" s="549" t="s">
        <v>5804</v>
      </c>
      <c r="K1815" s="11"/>
      <c r="M1815" s="37">
        <f t="shared" si="758"/>
        <v>14.46</v>
      </c>
      <c r="N1815" s="29">
        <v>9.4600000000000009</v>
      </c>
      <c r="O1815" s="41"/>
      <c r="P1815" s="11"/>
      <c r="Q1815" t="s">
        <v>1017</v>
      </c>
      <c r="S1815" t="s">
        <v>4179</v>
      </c>
      <c r="T1815" t="s">
        <v>4179</v>
      </c>
      <c r="U1815" s="42"/>
      <c r="W1815" s="50"/>
      <c r="X1815" s="50"/>
      <c r="Z1815" s="50"/>
      <c r="AC1815" s="50"/>
      <c r="AE1815" s="75" t="s">
        <v>1017</v>
      </c>
      <c r="AF1815" s="50"/>
      <c r="AG1815" s="50"/>
      <c r="AH1815" s="166" t="str">
        <f t="shared" si="785"/>
        <v/>
      </c>
      <c r="AI1815" s="168" t="str">
        <f t="shared" si="780"/>
        <v/>
      </c>
      <c r="AJ1815" s="168" t="str">
        <f t="shared" si="781"/>
        <v/>
      </c>
      <c r="AK1815" s="168" t="str">
        <f t="shared" si="782"/>
        <v/>
      </c>
      <c r="AL1815" s="168" t="str">
        <f t="shared" si="783"/>
        <v/>
      </c>
      <c r="AM1815" s="168" t="str">
        <f t="shared" si="784"/>
        <v/>
      </c>
      <c r="AN1815" s="167" t="str">
        <f t="shared" si="767"/>
        <v/>
      </c>
      <c r="AO1815" s="167" t="str">
        <f t="shared" si="768"/>
        <v/>
      </c>
      <c r="AP1815" s="167" t="str">
        <f t="shared" si="769"/>
        <v/>
      </c>
      <c r="AQ1815" s="169" t="str">
        <f t="shared" si="770"/>
        <v/>
      </c>
      <c r="AR1815" s="170" t="str">
        <f t="shared" si="771"/>
        <v>BiK82bK09---07</v>
      </c>
      <c r="AS1815" s="169" t="str">
        <f t="shared" si="772"/>
        <v/>
      </c>
      <c r="AT1815">
        <f t="shared" si="773"/>
        <v>14</v>
      </c>
      <c r="AU1815" s="170" t="str">
        <f t="shared" si="774"/>
        <v>0,15-0,5 MW, Bonusregeln b und K erstmals 2009</v>
      </c>
      <c r="AV1815" s="169" t="str">
        <f t="shared" si="775"/>
        <v/>
      </c>
      <c r="AW1815" s="170" t="str">
        <f t="shared" si="776"/>
        <v>Anteil KWK, erstmals 2009</v>
      </c>
      <c r="AX1815" s="169" t="str">
        <f t="shared" si="777"/>
        <v/>
      </c>
      <c r="AY1815" t="str">
        <f t="shared" si="778"/>
        <v/>
      </c>
      <c r="AZ1815" t="str">
        <f t="shared" si="779"/>
        <v/>
      </c>
    </row>
    <row r="1816" spans="1:52" x14ac:dyDescent="0.35">
      <c r="A1816" s="497" t="s">
        <v>3137</v>
      </c>
      <c r="B1816" s="13" t="s">
        <v>5547</v>
      </c>
      <c r="C1816" s="13" t="s">
        <v>1304</v>
      </c>
      <c r="D1816" s="13" t="s">
        <v>7129</v>
      </c>
      <c r="E1816" s="13" t="s">
        <v>3566</v>
      </c>
      <c r="F1816" s="373">
        <f t="shared" ref="F1816:F1879" si="786">M1816</f>
        <v>14.430000000000001</v>
      </c>
      <c r="G1816" s="430">
        <v>14.430000000000001</v>
      </c>
      <c r="H1816" s="399">
        <f t="shared" ref="H1816:H1879" si="787">IF(ISNUMBER(G1816),ROUND(0.8*G1816,2),"")</f>
        <v>11.54</v>
      </c>
      <c r="I1816" s="576"/>
      <c r="J1816" s="549" t="s">
        <v>5804</v>
      </c>
      <c r="K1816" s="11"/>
      <c r="M1816" s="37">
        <f t="shared" ref="M1816:M1879" si="788">N1816+SUMIF(O1816:AG1816,"x",O$1559:AG$1559)</f>
        <v>14.430000000000001</v>
      </c>
      <c r="N1816" s="29">
        <v>9.4600000000000009</v>
      </c>
      <c r="O1816" s="41"/>
      <c r="P1816" s="11"/>
      <c r="R1816" t="s">
        <v>1017</v>
      </c>
      <c r="S1816" t="s">
        <v>4179</v>
      </c>
      <c r="T1816" t="s">
        <v>4179</v>
      </c>
      <c r="U1816" s="42"/>
      <c r="W1816" s="50"/>
      <c r="X1816" s="50"/>
      <c r="Z1816" s="50"/>
      <c r="AC1816" s="50"/>
      <c r="AE1816" s="75" t="s">
        <v>1017</v>
      </c>
      <c r="AF1816" s="50"/>
      <c r="AG1816" s="50"/>
      <c r="AH1816" s="166" t="str">
        <f t="shared" si="785"/>
        <v>2010</v>
      </c>
      <c r="AI1816" s="168" t="str">
        <f t="shared" si="780"/>
        <v/>
      </c>
      <c r="AJ1816" s="168" t="str">
        <f t="shared" si="781"/>
        <v/>
      </c>
      <c r="AK1816" s="168" t="str">
        <f t="shared" si="782"/>
        <v/>
      </c>
      <c r="AL1816" s="168" t="str">
        <f t="shared" si="783"/>
        <v/>
      </c>
      <c r="AM1816" s="168" t="str">
        <f t="shared" si="784"/>
        <v/>
      </c>
      <c r="AN1816" s="167" t="str">
        <f t="shared" si="767"/>
        <v>2010</v>
      </c>
      <c r="AO1816" s="167" t="str">
        <f t="shared" si="768"/>
        <v>2010</v>
      </c>
      <c r="AP1816" s="167" t="str">
        <f t="shared" si="769"/>
        <v>2010</v>
      </c>
      <c r="AQ1816" s="169" t="str">
        <f t="shared" si="770"/>
        <v/>
      </c>
      <c r="AR1816" s="170" t="str">
        <f t="shared" si="771"/>
        <v>BiK82bK10---07</v>
      </c>
      <c r="AS1816" s="169" t="str">
        <f t="shared" si="772"/>
        <v/>
      </c>
      <c r="AT1816">
        <f t="shared" si="773"/>
        <v>14</v>
      </c>
      <c r="AU1816" s="170" t="str">
        <f t="shared" si="774"/>
        <v>0,15-0,5 MW, Bonusregeln b und K erstmals 2010</v>
      </c>
      <c r="AV1816" s="169" t="str">
        <f t="shared" si="775"/>
        <v/>
      </c>
      <c r="AW1816" s="170" t="str">
        <f t="shared" si="776"/>
        <v>Anteil KWK, erstmals 2010</v>
      </c>
      <c r="AX1816" s="169" t="str">
        <f t="shared" si="777"/>
        <v/>
      </c>
      <c r="AY1816" t="str">
        <f t="shared" si="778"/>
        <v/>
      </c>
      <c r="AZ1816" t="str">
        <f t="shared" si="779"/>
        <v/>
      </c>
    </row>
    <row r="1817" spans="1:52" x14ac:dyDescent="0.35">
      <c r="A1817" s="497" t="s">
        <v>3413</v>
      </c>
      <c r="B1817" s="13" t="s">
        <v>5547</v>
      </c>
      <c r="C1817" s="13" t="s">
        <v>1304</v>
      </c>
      <c r="D1817" s="13" t="s">
        <v>7130</v>
      </c>
      <c r="E1817" s="13" t="s">
        <v>3054</v>
      </c>
      <c r="F1817" s="373">
        <f t="shared" si="786"/>
        <v>14.4</v>
      </c>
      <c r="G1817" s="430">
        <v>14.4</v>
      </c>
      <c r="H1817" s="399">
        <f t="shared" si="787"/>
        <v>11.52</v>
      </c>
      <c r="I1817" s="576"/>
      <c r="J1817" s="549" t="s">
        <v>5804</v>
      </c>
      <c r="K1817" s="11"/>
      <c r="M1817" s="37">
        <f t="shared" si="788"/>
        <v>14.4</v>
      </c>
      <c r="N1817" s="29">
        <v>9.4600000000000009</v>
      </c>
      <c r="O1817" s="41"/>
      <c r="P1817" s="11"/>
      <c r="S1817" t="s">
        <v>1017</v>
      </c>
      <c r="T1817" t="s">
        <v>4179</v>
      </c>
      <c r="U1817" s="42"/>
      <c r="W1817" s="50"/>
      <c r="X1817" s="50"/>
      <c r="Z1817" s="50"/>
      <c r="AC1817" s="50"/>
      <c r="AE1817" s="75" t="s">
        <v>1017</v>
      </c>
      <c r="AF1817" s="50"/>
      <c r="AG1817" s="50"/>
      <c r="AH1817" s="166" t="str">
        <f t="shared" si="785"/>
        <v>2011</v>
      </c>
      <c r="AI1817" s="168" t="str">
        <f t="shared" si="780"/>
        <v/>
      </c>
      <c r="AJ1817" s="168" t="str">
        <f t="shared" si="781"/>
        <v/>
      </c>
      <c r="AK1817" s="168" t="str">
        <f t="shared" si="782"/>
        <v/>
      </c>
      <c r="AL1817" s="168" t="str">
        <f t="shared" si="783"/>
        <v/>
      </c>
      <c r="AM1817" s="168" t="str">
        <f t="shared" si="784"/>
        <v/>
      </c>
      <c r="AN1817" s="167" t="str">
        <f t="shared" si="767"/>
        <v>2011</v>
      </c>
      <c r="AO1817" s="167" t="str">
        <f t="shared" si="768"/>
        <v>2011</v>
      </c>
      <c r="AP1817" s="167" t="str">
        <f t="shared" si="769"/>
        <v>2011</v>
      </c>
      <c r="AQ1817" s="169" t="str">
        <f t="shared" si="770"/>
        <v/>
      </c>
      <c r="AR1817" s="170" t="str">
        <f t="shared" si="771"/>
        <v>BiK82bK11---07</v>
      </c>
      <c r="AS1817" s="169" t="str">
        <f t="shared" si="772"/>
        <v/>
      </c>
      <c r="AT1817">
        <f t="shared" si="773"/>
        <v>14</v>
      </c>
      <c r="AU1817" s="170" t="str">
        <f t="shared" si="774"/>
        <v>0,15-0,5 MW, Bonusregeln b und K erstmals 2011</v>
      </c>
      <c r="AV1817" s="169" t="str">
        <f t="shared" si="775"/>
        <v/>
      </c>
      <c r="AW1817" s="170" t="str">
        <f t="shared" si="776"/>
        <v>Anteil KWK, erstmals 2011</v>
      </c>
      <c r="AX1817" s="169" t="str">
        <f t="shared" si="777"/>
        <v/>
      </c>
      <c r="AY1817" t="str">
        <f t="shared" si="778"/>
        <v>x</v>
      </c>
      <c r="AZ1817" t="str">
        <f t="shared" si="779"/>
        <v/>
      </c>
    </row>
    <row r="1818" spans="1:52" x14ac:dyDescent="0.35">
      <c r="A1818" s="511" t="s">
        <v>1846</v>
      </c>
      <c r="B1818" s="173" t="s">
        <v>5547</v>
      </c>
      <c r="C1818" s="173" t="s">
        <v>1304</v>
      </c>
      <c r="D1818" s="173" t="s">
        <v>7131</v>
      </c>
      <c r="E1818" s="173" t="s">
        <v>1980</v>
      </c>
      <c r="F1818" s="374">
        <f t="shared" si="786"/>
        <v>14.370000000000001</v>
      </c>
      <c r="G1818" s="431">
        <v>14.370000000000001</v>
      </c>
      <c r="H1818" s="400">
        <f t="shared" si="787"/>
        <v>11.5</v>
      </c>
      <c r="I1818" s="577"/>
      <c r="J1818" s="549" t="s">
        <v>5804</v>
      </c>
      <c r="K1818" s="11"/>
      <c r="M1818" s="37">
        <f t="shared" si="788"/>
        <v>14.370000000000001</v>
      </c>
      <c r="N1818" s="29">
        <v>9.4600000000000009</v>
      </c>
      <c r="O1818" s="41"/>
      <c r="P1818" s="11"/>
      <c r="S1818" t="s">
        <v>4179</v>
      </c>
      <c r="T1818" t="s">
        <v>1017</v>
      </c>
      <c r="U1818" s="42"/>
      <c r="W1818" s="50"/>
      <c r="X1818" s="50"/>
      <c r="Z1818" s="50"/>
      <c r="AC1818" s="50"/>
      <c r="AE1818" s="75" t="s">
        <v>1017</v>
      </c>
      <c r="AF1818" s="50"/>
      <c r="AG1818" s="50"/>
      <c r="AH1818" s="171" t="s">
        <v>4178</v>
      </c>
      <c r="AI1818" s="168" t="str">
        <f t="shared" si="780"/>
        <v/>
      </c>
      <c r="AJ1818" s="168" t="str">
        <f t="shared" si="781"/>
        <v/>
      </c>
      <c r="AK1818" s="168" t="str">
        <f t="shared" si="782"/>
        <v/>
      </c>
      <c r="AL1818" s="168" t="str">
        <f t="shared" si="783"/>
        <v/>
      </c>
      <c r="AM1818" s="168" t="str">
        <f t="shared" si="784"/>
        <v/>
      </c>
      <c r="AN1818" s="167" t="str">
        <f t="shared" si="767"/>
        <v>2012</v>
      </c>
      <c r="AO1818" s="167" t="str">
        <f t="shared" si="768"/>
        <v>2012</v>
      </c>
      <c r="AP1818" s="167" t="str">
        <f t="shared" si="769"/>
        <v>2012</v>
      </c>
      <c r="AQ1818" s="169" t="str">
        <f t="shared" si="770"/>
        <v/>
      </c>
      <c r="AR1818" s="170" t="str">
        <f t="shared" si="771"/>
        <v>BiK82bK12---07</v>
      </c>
      <c r="AS1818" s="169" t="str">
        <f t="shared" si="772"/>
        <v/>
      </c>
      <c r="AT1818">
        <f t="shared" si="773"/>
        <v>14</v>
      </c>
      <c r="AU1818" s="170" t="str">
        <f t="shared" si="774"/>
        <v>0,15-0,5 MW, Bonusregeln b und K erstmals 2012</v>
      </c>
      <c r="AV1818" s="169" t="str">
        <f t="shared" si="775"/>
        <v/>
      </c>
      <c r="AW1818" s="170" t="str">
        <f t="shared" si="776"/>
        <v>Anteil KWK, erstmals 2012</v>
      </c>
      <c r="AX1818" s="169" t="str">
        <f t="shared" si="777"/>
        <v/>
      </c>
      <c r="AY1818" t="str">
        <f t="shared" si="778"/>
        <v/>
      </c>
      <c r="AZ1818" t="str">
        <f t="shared" si="779"/>
        <v>x</v>
      </c>
    </row>
    <row r="1819" spans="1:52" x14ac:dyDescent="0.35">
      <c r="A1819" s="497" t="s">
        <v>4010</v>
      </c>
      <c r="B1819" s="13" t="s">
        <v>5547</v>
      </c>
      <c r="C1819" s="13" t="s">
        <v>1304</v>
      </c>
      <c r="D1819" s="13" t="s">
        <v>7132</v>
      </c>
      <c r="E1819" s="13" t="s">
        <v>4809</v>
      </c>
      <c r="F1819" s="373">
        <f t="shared" si="786"/>
        <v>12.46</v>
      </c>
      <c r="G1819" s="430">
        <v>12.46</v>
      </c>
      <c r="H1819" s="399">
        <f t="shared" si="787"/>
        <v>9.9700000000000006</v>
      </c>
      <c r="I1819" s="576"/>
      <c r="J1819" s="549" t="s">
        <v>5804</v>
      </c>
      <c r="K1819" s="11"/>
      <c r="M1819" s="37">
        <f t="shared" si="788"/>
        <v>12.46</v>
      </c>
      <c r="N1819" s="29">
        <v>9.4600000000000009</v>
      </c>
      <c r="O1819" s="41"/>
      <c r="P1819" s="11"/>
      <c r="S1819" t="s">
        <v>4179</v>
      </c>
      <c r="T1819" t="s">
        <v>4179</v>
      </c>
      <c r="U1819" s="42" t="s">
        <v>1017</v>
      </c>
      <c r="W1819" s="50"/>
      <c r="X1819" s="50"/>
      <c r="Z1819" s="50"/>
      <c r="AC1819" s="50"/>
      <c r="AE1819" s="75" t="s">
        <v>1017</v>
      </c>
      <c r="AF1819" s="50"/>
      <c r="AG1819" s="50"/>
      <c r="AH1819" s="166" t="str">
        <f t="shared" ref="AH1819:AH1824" si="789">IF(ISERROR(SEARCH("K erstmals 201",D1819)),"",RIGHT(D1819,4))</f>
        <v/>
      </c>
      <c r="AI1819" s="168" t="str">
        <f t="shared" si="780"/>
        <v/>
      </c>
      <c r="AJ1819" s="168" t="str">
        <f t="shared" si="781"/>
        <v/>
      </c>
      <c r="AK1819" s="168" t="str">
        <f t="shared" si="782"/>
        <v/>
      </c>
      <c r="AL1819" s="168" t="str">
        <f t="shared" si="783"/>
        <v/>
      </c>
      <c r="AM1819" s="168" t="str">
        <f t="shared" si="784"/>
        <v/>
      </c>
      <c r="AN1819" s="167" t="str">
        <f t="shared" si="767"/>
        <v/>
      </c>
      <c r="AO1819" s="167" t="str">
        <f t="shared" si="768"/>
        <v/>
      </c>
      <c r="AP1819" s="167" t="str">
        <f t="shared" si="769"/>
        <v/>
      </c>
      <c r="AQ1819" s="169" t="str">
        <f t="shared" si="770"/>
        <v/>
      </c>
      <c r="AR1819" s="170" t="str">
        <f t="shared" si="771"/>
        <v>BiK82by-----07</v>
      </c>
      <c r="AS1819" s="169" t="str">
        <f t="shared" si="772"/>
        <v/>
      </c>
      <c r="AT1819">
        <f t="shared" si="773"/>
        <v>14</v>
      </c>
      <c r="AU1819" s="170" t="str">
        <f t="shared" si="774"/>
        <v>0,15-0,5 MW, Bonusregeln b, y</v>
      </c>
      <c r="AV1819" s="169" t="str">
        <f t="shared" si="775"/>
        <v/>
      </c>
      <c r="AW1819" s="170" t="str">
        <f t="shared" si="776"/>
        <v>Anteil Nicht-KWK</v>
      </c>
      <c r="AX1819" s="169" t="str">
        <f t="shared" si="777"/>
        <v/>
      </c>
      <c r="AY1819" t="str">
        <f t="shared" si="778"/>
        <v/>
      </c>
      <c r="AZ1819" t="str">
        <f t="shared" si="779"/>
        <v/>
      </c>
    </row>
    <row r="1820" spans="1:52" x14ac:dyDescent="0.35">
      <c r="A1820" s="497" t="s">
        <v>4011</v>
      </c>
      <c r="B1820" s="13" t="s">
        <v>5547</v>
      </c>
      <c r="C1820" s="13" t="s">
        <v>1304</v>
      </c>
      <c r="D1820" s="13" t="s">
        <v>7133</v>
      </c>
      <c r="E1820" s="13" t="s">
        <v>4811</v>
      </c>
      <c r="F1820" s="373">
        <f t="shared" si="786"/>
        <v>14.46</v>
      </c>
      <c r="G1820" s="430">
        <v>14.46</v>
      </c>
      <c r="H1820" s="399">
        <f t="shared" si="787"/>
        <v>11.57</v>
      </c>
      <c r="I1820" s="576"/>
      <c r="J1820" s="549" t="s">
        <v>5804</v>
      </c>
      <c r="K1820" s="11"/>
      <c r="M1820" s="37">
        <f t="shared" si="788"/>
        <v>14.46</v>
      </c>
      <c r="N1820" s="29">
        <v>9.4600000000000009</v>
      </c>
      <c r="O1820" s="41" t="s">
        <v>1017</v>
      </c>
      <c r="P1820" s="11"/>
      <c r="S1820" t="s">
        <v>4179</v>
      </c>
      <c r="T1820" t="s">
        <v>4179</v>
      </c>
      <c r="U1820" s="42" t="s">
        <v>1017</v>
      </c>
      <c r="W1820" s="50"/>
      <c r="X1820" s="50"/>
      <c r="Z1820" s="50"/>
      <c r="AC1820" s="50"/>
      <c r="AE1820" s="75" t="s">
        <v>1017</v>
      </c>
      <c r="AF1820" s="50"/>
      <c r="AG1820" s="50"/>
      <c r="AH1820" s="166" t="str">
        <f t="shared" si="789"/>
        <v/>
      </c>
      <c r="AI1820" s="168" t="str">
        <f t="shared" si="780"/>
        <v/>
      </c>
      <c r="AJ1820" s="168" t="str">
        <f t="shared" si="781"/>
        <v/>
      </c>
      <c r="AK1820" s="168" t="str">
        <f t="shared" si="782"/>
        <v/>
      </c>
      <c r="AL1820" s="168" t="str">
        <f t="shared" si="783"/>
        <v/>
      </c>
      <c r="AM1820" s="168" t="str">
        <f t="shared" si="784"/>
        <v/>
      </c>
      <c r="AN1820" s="167" t="str">
        <f t="shared" si="767"/>
        <v/>
      </c>
      <c r="AO1820" s="167" t="str">
        <f t="shared" si="768"/>
        <v/>
      </c>
      <c r="AP1820" s="167" t="str">
        <f t="shared" si="769"/>
        <v/>
      </c>
      <c r="AQ1820" s="169" t="str">
        <f t="shared" si="770"/>
        <v/>
      </c>
      <c r="AR1820" s="170" t="str">
        <f t="shared" si="771"/>
        <v>BiK82bKWKy--07</v>
      </c>
      <c r="AS1820" s="169" t="str">
        <f t="shared" si="772"/>
        <v/>
      </c>
      <c r="AT1820">
        <f t="shared" si="773"/>
        <v>14</v>
      </c>
      <c r="AU1820" s="170" t="str">
        <f t="shared" si="774"/>
        <v>0,15-0,5 MW, Bonusregeln b, y und KWK</v>
      </c>
      <c r="AV1820" s="169" t="str">
        <f t="shared" si="775"/>
        <v/>
      </c>
      <c r="AW1820" s="170" t="str">
        <f t="shared" si="776"/>
        <v>Anteil KWK</v>
      </c>
      <c r="AX1820" s="169" t="str">
        <f t="shared" si="777"/>
        <v/>
      </c>
      <c r="AY1820" t="str">
        <f t="shared" si="778"/>
        <v/>
      </c>
      <c r="AZ1820" t="str">
        <f t="shared" si="779"/>
        <v/>
      </c>
    </row>
    <row r="1821" spans="1:52" x14ac:dyDescent="0.35">
      <c r="A1821" s="497" t="s">
        <v>4012</v>
      </c>
      <c r="B1821" s="13" t="s">
        <v>5547</v>
      </c>
      <c r="C1821" s="13" t="s">
        <v>1304</v>
      </c>
      <c r="D1821" s="13" t="s">
        <v>7134</v>
      </c>
      <c r="E1821" s="13" t="s">
        <v>4330</v>
      </c>
      <c r="F1821" s="373">
        <f t="shared" si="786"/>
        <v>15.46</v>
      </c>
      <c r="G1821" s="430">
        <v>15.46</v>
      </c>
      <c r="H1821" s="399">
        <f t="shared" si="787"/>
        <v>12.37</v>
      </c>
      <c r="I1821" s="576"/>
      <c r="J1821" s="549" t="s">
        <v>5804</v>
      </c>
      <c r="K1821" s="11"/>
      <c r="M1821" s="37">
        <f t="shared" si="788"/>
        <v>15.46</v>
      </c>
      <c r="N1821" s="29">
        <v>9.4600000000000009</v>
      </c>
      <c r="O1821" s="41"/>
      <c r="P1821" t="s">
        <v>1017</v>
      </c>
      <c r="S1821" t="s">
        <v>4179</v>
      </c>
      <c r="T1821" t="s">
        <v>4179</v>
      </c>
      <c r="U1821" s="42" t="s">
        <v>1017</v>
      </c>
      <c r="W1821" s="50"/>
      <c r="X1821" s="50"/>
      <c r="Z1821" s="50"/>
      <c r="AC1821" s="50"/>
      <c r="AE1821" s="75" t="s">
        <v>1017</v>
      </c>
      <c r="AF1821" s="50"/>
      <c r="AG1821" s="50"/>
      <c r="AH1821" s="166" t="str">
        <f t="shared" si="789"/>
        <v/>
      </c>
      <c r="AI1821" s="168" t="str">
        <f t="shared" si="780"/>
        <v/>
      </c>
      <c r="AJ1821" s="168" t="str">
        <f t="shared" si="781"/>
        <v/>
      </c>
      <c r="AK1821" s="168" t="str">
        <f t="shared" si="782"/>
        <v/>
      </c>
      <c r="AL1821" s="168" t="str">
        <f t="shared" si="783"/>
        <v/>
      </c>
      <c r="AM1821" s="168" t="str">
        <f t="shared" si="784"/>
        <v/>
      </c>
      <c r="AN1821" s="167" t="str">
        <f t="shared" si="767"/>
        <v/>
      </c>
      <c r="AO1821" s="167" t="str">
        <f t="shared" si="768"/>
        <v/>
      </c>
      <c r="AP1821" s="167" t="str">
        <f t="shared" si="769"/>
        <v/>
      </c>
      <c r="AQ1821" s="169" t="str">
        <f t="shared" si="770"/>
        <v/>
      </c>
      <c r="AR1821" s="170" t="str">
        <f t="shared" si="771"/>
        <v>BiK82bKA3y--07</v>
      </c>
      <c r="AS1821" s="169" t="str">
        <f t="shared" si="772"/>
        <v/>
      </c>
      <c r="AT1821">
        <f t="shared" si="773"/>
        <v>14</v>
      </c>
      <c r="AU1821" s="170" t="str">
        <f t="shared" si="774"/>
        <v>0,15-0,5 MW, Bonusregeln b, y und K wenn Anlage 3 erfüllt</v>
      </c>
      <c r="AV1821" s="169" t="str">
        <f t="shared" si="775"/>
        <v/>
      </c>
      <c r="AW1821" s="170" t="str">
        <f t="shared" si="776"/>
        <v>Anteil KWK gemäß Anlage 3</v>
      </c>
      <c r="AX1821" s="169" t="str">
        <f t="shared" si="777"/>
        <v/>
      </c>
      <c r="AY1821" t="str">
        <f t="shared" si="778"/>
        <v/>
      </c>
      <c r="AZ1821" t="str">
        <f t="shared" si="779"/>
        <v/>
      </c>
    </row>
    <row r="1822" spans="1:52" x14ac:dyDescent="0.35">
      <c r="A1822" s="497" t="s">
        <v>4013</v>
      </c>
      <c r="B1822" s="13" t="s">
        <v>5547</v>
      </c>
      <c r="C1822" s="13" t="s">
        <v>1304</v>
      </c>
      <c r="D1822" s="13" t="s">
        <v>7135</v>
      </c>
      <c r="E1822" s="13" t="s">
        <v>674</v>
      </c>
      <c r="F1822" s="373">
        <f t="shared" si="786"/>
        <v>15.46</v>
      </c>
      <c r="G1822" s="430">
        <v>15.46</v>
      </c>
      <c r="H1822" s="399">
        <f t="shared" si="787"/>
        <v>12.37</v>
      </c>
      <c r="I1822" s="576"/>
      <c r="J1822" s="549" t="s">
        <v>5804</v>
      </c>
      <c r="K1822" s="11"/>
      <c r="M1822" s="37">
        <f t="shared" si="788"/>
        <v>15.46</v>
      </c>
      <c r="N1822" s="29">
        <v>9.4600000000000009</v>
      </c>
      <c r="O1822" s="41"/>
      <c r="P1822" s="11"/>
      <c r="Q1822" t="s">
        <v>1017</v>
      </c>
      <c r="S1822" t="s">
        <v>4179</v>
      </c>
      <c r="T1822" t="s">
        <v>4179</v>
      </c>
      <c r="U1822" s="42" t="s">
        <v>1017</v>
      </c>
      <c r="W1822" s="50"/>
      <c r="X1822" s="50"/>
      <c r="Z1822" s="50"/>
      <c r="AC1822" s="50"/>
      <c r="AE1822" s="75" t="s">
        <v>1017</v>
      </c>
      <c r="AF1822" s="50"/>
      <c r="AG1822" s="50"/>
      <c r="AH1822" s="166" t="str">
        <f t="shared" si="789"/>
        <v/>
      </c>
      <c r="AI1822" s="168" t="str">
        <f t="shared" si="780"/>
        <v/>
      </c>
      <c r="AJ1822" s="168" t="str">
        <f t="shared" si="781"/>
        <v/>
      </c>
      <c r="AK1822" s="168" t="str">
        <f t="shared" si="782"/>
        <v/>
      </c>
      <c r="AL1822" s="168" t="str">
        <f t="shared" si="783"/>
        <v/>
      </c>
      <c r="AM1822" s="168" t="str">
        <f t="shared" si="784"/>
        <v/>
      </c>
      <c r="AN1822" s="167" t="str">
        <f t="shared" si="767"/>
        <v/>
      </c>
      <c r="AO1822" s="167" t="str">
        <f t="shared" si="768"/>
        <v/>
      </c>
      <c r="AP1822" s="167" t="str">
        <f t="shared" si="769"/>
        <v/>
      </c>
      <c r="AQ1822" s="169" t="str">
        <f t="shared" si="770"/>
        <v/>
      </c>
      <c r="AR1822" s="170" t="str">
        <f t="shared" si="771"/>
        <v>BiK82bK09y--07</v>
      </c>
      <c r="AS1822" s="169" t="str">
        <f t="shared" si="772"/>
        <v/>
      </c>
      <c r="AT1822">
        <f t="shared" si="773"/>
        <v>14</v>
      </c>
      <c r="AU1822" s="170" t="str">
        <f t="shared" si="774"/>
        <v>0,15-0,5 MW, Bonusregeln b, y und K erstmals 2009</v>
      </c>
      <c r="AV1822" s="169" t="str">
        <f t="shared" si="775"/>
        <v/>
      </c>
      <c r="AW1822" s="170" t="str">
        <f t="shared" si="776"/>
        <v>Anteil KWK, erstmals 2009</v>
      </c>
      <c r="AX1822" s="169" t="str">
        <f t="shared" si="777"/>
        <v/>
      </c>
      <c r="AY1822" t="str">
        <f t="shared" si="778"/>
        <v/>
      </c>
      <c r="AZ1822" t="str">
        <f t="shared" si="779"/>
        <v/>
      </c>
    </row>
    <row r="1823" spans="1:52" x14ac:dyDescent="0.35">
      <c r="A1823" s="497" t="s">
        <v>3138</v>
      </c>
      <c r="B1823" s="13" t="s">
        <v>5547</v>
      </c>
      <c r="C1823" s="13" t="s">
        <v>1304</v>
      </c>
      <c r="D1823" s="13" t="s">
        <v>7136</v>
      </c>
      <c r="E1823" s="13" t="s">
        <v>3566</v>
      </c>
      <c r="F1823" s="373">
        <f t="shared" si="786"/>
        <v>15.430000000000001</v>
      </c>
      <c r="G1823" s="430">
        <v>15.430000000000001</v>
      </c>
      <c r="H1823" s="399">
        <f t="shared" si="787"/>
        <v>12.34</v>
      </c>
      <c r="I1823" s="576"/>
      <c r="J1823" s="549" t="s">
        <v>5804</v>
      </c>
      <c r="K1823" s="11"/>
      <c r="M1823" s="37">
        <f t="shared" si="788"/>
        <v>15.430000000000001</v>
      </c>
      <c r="N1823" s="29">
        <v>9.4600000000000009</v>
      </c>
      <c r="O1823" s="41"/>
      <c r="P1823" s="11"/>
      <c r="R1823" t="s">
        <v>1017</v>
      </c>
      <c r="S1823" t="s">
        <v>4179</v>
      </c>
      <c r="T1823" t="s">
        <v>4179</v>
      </c>
      <c r="U1823" s="42" t="s">
        <v>1017</v>
      </c>
      <c r="W1823" s="50"/>
      <c r="X1823" s="50"/>
      <c r="Z1823" s="50"/>
      <c r="AC1823" s="50"/>
      <c r="AE1823" s="75" t="s">
        <v>1017</v>
      </c>
      <c r="AF1823" s="50"/>
      <c r="AG1823" s="50"/>
      <c r="AH1823" s="166" t="str">
        <f t="shared" si="789"/>
        <v>2010</v>
      </c>
      <c r="AI1823" s="168" t="str">
        <f t="shared" si="780"/>
        <v/>
      </c>
      <c r="AJ1823" s="168" t="str">
        <f t="shared" si="781"/>
        <v/>
      </c>
      <c r="AK1823" s="168" t="str">
        <f t="shared" si="782"/>
        <v/>
      </c>
      <c r="AL1823" s="168" t="str">
        <f t="shared" si="783"/>
        <v/>
      </c>
      <c r="AM1823" s="168" t="str">
        <f t="shared" si="784"/>
        <v/>
      </c>
      <c r="AN1823" s="167" t="str">
        <f t="shared" si="767"/>
        <v>2010</v>
      </c>
      <c r="AO1823" s="167" t="str">
        <f t="shared" si="768"/>
        <v>2010</v>
      </c>
      <c r="AP1823" s="167" t="str">
        <f t="shared" si="769"/>
        <v>2010</v>
      </c>
      <c r="AQ1823" s="169" t="str">
        <f t="shared" si="770"/>
        <v/>
      </c>
      <c r="AR1823" s="170" t="str">
        <f t="shared" si="771"/>
        <v>BiK82bK10y--07</v>
      </c>
      <c r="AS1823" s="169" t="str">
        <f t="shared" si="772"/>
        <v/>
      </c>
      <c r="AT1823">
        <f t="shared" si="773"/>
        <v>14</v>
      </c>
      <c r="AU1823" s="170" t="str">
        <f t="shared" si="774"/>
        <v>0,15-0,5 MW, Bonusregeln b, y und K erstmals 2010</v>
      </c>
      <c r="AV1823" s="169" t="str">
        <f t="shared" si="775"/>
        <v/>
      </c>
      <c r="AW1823" s="170" t="str">
        <f t="shared" si="776"/>
        <v>Anteil KWK, erstmals 2010</v>
      </c>
      <c r="AX1823" s="169" t="str">
        <f t="shared" si="777"/>
        <v/>
      </c>
      <c r="AY1823" t="str">
        <f t="shared" si="778"/>
        <v/>
      </c>
      <c r="AZ1823" t="str">
        <f t="shared" si="779"/>
        <v/>
      </c>
    </row>
    <row r="1824" spans="1:52" x14ac:dyDescent="0.35">
      <c r="A1824" s="497" t="s">
        <v>3414</v>
      </c>
      <c r="B1824" s="13" t="s">
        <v>5547</v>
      </c>
      <c r="C1824" s="13" t="s">
        <v>1304</v>
      </c>
      <c r="D1824" s="13" t="s">
        <v>7137</v>
      </c>
      <c r="E1824" s="13" t="s">
        <v>3054</v>
      </c>
      <c r="F1824" s="373">
        <f t="shared" si="786"/>
        <v>15.4</v>
      </c>
      <c r="G1824" s="430">
        <v>15.4</v>
      </c>
      <c r="H1824" s="399">
        <f t="shared" si="787"/>
        <v>12.32</v>
      </c>
      <c r="I1824" s="576"/>
      <c r="J1824" s="549" t="s">
        <v>5804</v>
      </c>
      <c r="K1824" s="11"/>
      <c r="M1824" s="37">
        <f t="shared" si="788"/>
        <v>15.4</v>
      </c>
      <c r="N1824" s="29">
        <v>9.4600000000000009</v>
      </c>
      <c r="O1824" s="41"/>
      <c r="P1824" s="11"/>
      <c r="S1824" t="s">
        <v>1017</v>
      </c>
      <c r="T1824" t="s">
        <v>4179</v>
      </c>
      <c r="U1824" s="42" t="s">
        <v>1017</v>
      </c>
      <c r="W1824" s="50"/>
      <c r="X1824" s="50"/>
      <c r="Z1824" s="50"/>
      <c r="AC1824" s="50"/>
      <c r="AE1824" s="75" t="s">
        <v>1017</v>
      </c>
      <c r="AF1824" s="50"/>
      <c r="AG1824" s="50"/>
      <c r="AH1824" s="166" t="str">
        <f t="shared" si="789"/>
        <v>2011</v>
      </c>
      <c r="AI1824" s="168" t="str">
        <f t="shared" si="780"/>
        <v/>
      </c>
      <c r="AJ1824" s="168" t="str">
        <f t="shared" si="781"/>
        <v/>
      </c>
      <c r="AK1824" s="168" t="str">
        <f t="shared" si="782"/>
        <v/>
      </c>
      <c r="AL1824" s="168" t="str">
        <f t="shared" si="783"/>
        <v/>
      </c>
      <c r="AM1824" s="168" t="str">
        <f t="shared" si="784"/>
        <v/>
      </c>
      <c r="AN1824" s="167" t="str">
        <f t="shared" si="767"/>
        <v>2011</v>
      </c>
      <c r="AO1824" s="167" t="str">
        <f t="shared" si="768"/>
        <v>2011</v>
      </c>
      <c r="AP1824" s="167" t="str">
        <f t="shared" si="769"/>
        <v>2011</v>
      </c>
      <c r="AQ1824" s="169" t="str">
        <f t="shared" si="770"/>
        <v/>
      </c>
      <c r="AR1824" s="170" t="str">
        <f t="shared" si="771"/>
        <v>BiK82bK11y--07</v>
      </c>
      <c r="AS1824" s="169" t="str">
        <f t="shared" si="772"/>
        <v/>
      </c>
      <c r="AT1824">
        <f t="shared" si="773"/>
        <v>14</v>
      </c>
      <c r="AU1824" s="170" t="str">
        <f t="shared" si="774"/>
        <v>0,15-0,5 MW, Bonusregeln b, y und K erstmals 2011</v>
      </c>
      <c r="AV1824" s="169" t="str">
        <f t="shared" si="775"/>
        <v/>
      </c>
      <c r="AW1824" s="170" t="str">
        <f t="shared" si="776"/>
        <v>Anteil KWK, erstmals 2011</v>
      </c>
      <c r="AX1824" s="169" t="str">
        <f t="shared" si="777"/>
        <v/>
      </c>
      <c r="AY1824" t="str">
        <f t="shared" si="778"/>
        <v>x</v>
      </c>
      <c r="AZ1824" t="str">
        <f t="shared" si="779"/>
        <v/>
      </c>
    </row>
    <row r="1825" spans="1:52" x14ac:dyDescent="0.35">
      <c r="A1825" s="511" t="s">
        <v>1847</v>
      </c>
      <c r="B1825" s="173" t="s">
        <v>5547</v>
      </c>
      <c r="C1825" s="173" t="s">
        <v>1304</v>
      </c>
      <c r="D1825" s="173" t="s">
        <v>7138</v>
      </c>
      <c r="E1825" s="173" t="s">
        <v>1980</v>
      </c>
      <c r="F1825" s="374">
        <f t="shared" si="786"/>
        <v>15.370000000000001</v>
      </c>
      <c r="G1825" s="431">
        <v>15.370000000000001</v>
      </c>
      <c r="H1825" s="400">
        <f t="shared" si="787"/>
        <v>12.3</v>
      </c>
      <c r="I1825" s="577"/>
      <c r="J1825" s="549" t="s">
        <v>5804</v>
      </c>
      <c r="K1825" s="11"/>
      <c r="M1825" s="37">
        <f t="shared" si="788"/>
        <v>15.370000000000001</v>
      </c>
      <c r="N1825" s="29">
        <v>9.4600000000000009</v>
      </c>
      <c r="O1825" s="41"/>
      <c r="P1825" s="11"/>
      <c r="S1825" t="s">
        <v>4179</v>
      </c>
      <c r="T1825" t="s">
        <v>1017</v>
      </c>
      <c r="U1825" s="42" t="s">
        <v>1017</v>
      </c>
      <c r="W1825" s="50"/>
      <c r="X1825" s="50"/>
      <c r="Z1825" s="50"/>
      <c r="AC1825" s="50"/>
      <c r="AE1825" s="75" t="s">
        <v>1017</v>
      </c>
      <c r="AF1825" s="50"/>
      <c r="AG1825" s="50"/>
      <c r="AH1825" s="171" t="s">
        <v>4178</v>
      </c>
      <c r="AI1825" s="168" t="str">
        <f t="shared" si="780"/>
        <v/>
      </c>
      <c r="AJ1825" s="168" t="str">
        <f t="shared" si="781"/>
        <v/>
      </c>
      <c r="AK1825" s="168" t="str">
        <f t="shared" si="782"/>
        <v/>
      </c>
      <c r="AL1825" s="168" t="str">
        <f t="shared" si="783"/>
        <v/>
      </c>
      <c r="AM1825" s="168" t="str">
        <f t="shared" si="784"/>
        <v/>
      </c>
      <c r="AN1825" s="167" t="str">
        <f t="shared" si="767"/>
        <v>2012</v>
      </c>
      <c r="AO1825" s="167" t="str">
        <f t="shared" si="768"/>
        <v>2012</v>
      </c>
      <c r="AP1825" s="167" t="str">
        <f t="shared" si="769"/>
        <v>2012</v>
      </c>
      <c r="AQ1825" s="169" t="str">
        <f t="shared" si="770"/>
        <v/>
      </c>
      <c r="AR1825" s="170" t="str">
        <f t="shared" si="771"/>
        <v>BiK82bK12y--07</v>
      </c>
      <c r="AS1825" s="169" t="str">
        <f t="shared" si="772"/>
        <v/>
      </c>
      <c r="AT1825">
        <f t="shared" si="773"/>
        <v>14</v>
      </c>
      <c r="AU1825" s="170" t="str">
        <f t="shared" si="774"/>
        <v>0,15-0,5 MW, Bonusregeln b, y und K erstmals 2012</v>
      </c>
      <c r="AV1825" s="169" t="str">
        <f t="shared" si="775"/>
        <v/>
      </c>
      <c r="AW1825" s="170" t="str">
        <f t="shared" si="776"/>
        <v>Anteil KWK, erstmals 2012</v>
      </c>
      <c r="AX1825" s="169" t="str">
        <f t="shared" si="777"/>
        <v/>
      </c>
      <c r="AY1825" t="str">
        <f t="shared" si="778"/>
        <v/>
      </c>
      <c r="AZ1825" t="str">
        <f t="shared" si="779"/>
        <v>x</v>
      </c>
    </row>
    <row r="1826" spans="1:52" x14ac:dyDescent="0.35">
      <c r="A1826" s="496" t="s">
        <v>547</v>
      </c>
      <c r="B1826" s="1" t="s">
        <v>5547</v>
      </c>
      <c r="C1826" s="1" t="s">
        <v>1304</v>
      </c>
      <c r="D1826" s="1" t="s">
        <v>7139</v>
      </c>
      <c r="E1826" s="1" t="s">
        <v>4809</v>
      </c>
      <c r="F1826" s="375">
        <f t="shared" si="786"/>
        <v>17.46</v>
      </c>
      <c r="G1826" s="432">
        <v>17.46</v>
      </c>
      <c r="H1826" s="401">
        <f t="shared" si="787"/>
        <v>13.97</v>
      </c>
      <c r="I1826" s="578"/>
      <c r="J1826" s="549" t="s">
        <v>5804</v>
      </c>
      <c r="K1826" s="11"/>
      <c r="M1826" s="37">
        <f t="shared" si="788"/>
        <v>17.46</v>
      </c>
      <c r="N1826" s="29">
        <v>9.4600000000000009</v>
      </c>
      <c r="O1826" s="41"/>
      <c r="P1826" s="11"/>
      <c r="S1826" t="s">
        <v>4179</v>
      </c>
      <c r="T1826" t="s">
        <v>4179</v>
      </c>
      <c r="U1826" s="42"/>
      <c r="V1826" t="s">
        <v>1017</v>
      </c>
      <c r="W1826" s="50"/>
      <c r="X1826" s="50"/>
      <c r="Z1826" s="50"/>
      <c r="AC1826" s="50"/>
      <c r="AE1826" s="75" t="s">
        <v>1017</v>
      </c>
      <c r="AF1826" s="50"/>
      <c r="AG1826" s="50"/>
      <c r="AH1826" s="166" t="str">
        <f t="shared" ref="AH1826:AH1831" si="790">IF(ISERROR(SEARCH("K erstmals 201",D1826)),"",RIGHT(D1826,4))</f>
        <v/>
      </c>
      <c r="AI1826" s="168" t="str">
        <f t="shared" si="780"/>
        <v/>
      </c>
      <c r="AJ1826" s="168" t="str">
        <f t="shared" si="781"/>
        <v/>
      </c>
      <c r="AK1826" s="168" t="str">
        <f t="shared" si="782"/>
        <v/>
      </c>
      <c r="AL1826" s="168" t="str">
        <f t="shared" si="783"/>
        <v/>
      </c>
      <c r="AM1826" s="168" t="str">
        <f t="shared" si="784"/>
        <v/>
      </c>
      <c r="AN1826" s="167" t="str">
        <f t="shared" si="767"/>
        <v/>
      </c>
      <c r="AO1826" s="167" t="str">
        <f t="shared" si="768"/>
        <v/>
      </c>
      <c r="AP1826" s="167" t="str">
        <f t="shared" si="769"/>
        <v/>
      </c>
      <c r="AQ1826" s="169" t="str">
        <f t="shared" si="770"/>
        <v/>
      </c>
      <c r="AR1826" s="170" t="str">
        <f t="shared" si="771"/>
        <v>BiK82a1b----07</v>
      </c>
      <c r="AS1826" s="169" t="str">
        <f t="shared" si="772"/>
        <v/>
      </c>
      <c r="AT1826">
        <f t="shared" si="773"/>
        <v>14</v>
      </c>
      <c r="AU1826" s="170" t="str">
        <f t="shared" si="774"/>
        <v>0,15-0,5 MW, Bonusregeln a1 und b</v>
      </c>
      <c r="AV1826" s="169" t="str">
        <f t="shared" si="775"/>
        <v/>
      </c>
      <c r="AW1826" s="170" t="str">
        <f t="shared" si="776"/>
        <v>Anteil Nicht-KWK</v>
      </c>
      <c r="AX1826" s="169" t="str">
        <f t="shared" si="777"/>
        <v/>
      </c>
      <c r="AY1826" t="str">
        <f t="shared" si="778"/>
        <v/>
      </c>
      <c r="AZ1826" t="str">
        <f t="shared" si="779"/>
        <v/>
      </c>
    </row>
    <row r="1827" spans="1:52" x14ac:dyDescent="0.35">
      <c r="A1827" s="496" t="s">
        <v>548</v>
      </c>
      <c r="B1827" s="1" t="s">
        <v>5547</v>
      </c>
      <c r="C1827" s="1" t="s">
        <v>1304</v>
      </c>
      <c r="D1827" s="1" t="s">
        <v>7140</v>
      </c>
      <c r="E1827" s="1" t="s">
        <v>4811</v>
      </c>
      <c r="F1827" s="375">
        <f t="shared" si="786"/>
        <v>19.46</v>
      </c>
      <c r="G1827" s="432">
        <v>19.46</v>
      </c>
      <c r="H1827" s="401">
        <f t="shared" si="787"/>
        <v>15.57</v>
      </c>
      <c r="I1827" s="578"/>
      <c r="J1827" s="549" t="s">
        <v>5804</v>
      </c>
      <c r="K1827" s="11"/>
      <c r="M1827" s="37">
        <f t="shared" si="788"/>
        <v>19.46</v>
      </c>
      <c r="N1827" s="29">
        <v>9.4600000000000009</v>
      </c>
      <c r="O1827" s="41" t="s">
        <v>1017</v>
      </c>
      <c r="P1827" s="11"/>
      <c r="S1827" t="s">
        <v>4179</v>
      </c>
      <c r="T1827" t="s">
        <v>4179</v>
      </c>
      <c r="U1827" s="42"/>
      <c r="V1827" t="s">
        <v>1017</v>
      </c>
      <c r="W1827" s="50"/>
      <c r="X1827" s="50"/>
      <c r="Z1827" s="50"/>
      <c r="AC1827" s="50"/>
      <c r="AE1827" s="75" t="s">
        <v>1017</v>
      </c>
      <c r="AF1827" s="50"/>
      <c r="AG1827" s="50"/>
      <c r="AH1827" s="166" t="str">
        <f t="shared" si="790"/>
        <v/>
      </c>
      <c r="AI1827" s="168" t="str">
        <f t="shared" si="780"/>
        <v/>
      </c>
      <c r="AJ1827" s="168" t="str">
        <f t="shared" si="781"/>
        <v/>
      </c>
      <c r="AK1827" s="168" t="str">
        <f t="shared" si="782"/>
        <v/>
      </c>
      <c r="AL1827" s="168" t="str">
        <f t="shared" si="783"/>
        <v/>
      </c>
      <c r="AM1827" s="168" t="str">
        <f t="shared" si="784"/>
        <v/>
      </c>
      <c r="AN1827" s="167" t="str">
        <f t="shared" si="767"/>
        <v/>
      </c>
      <c r="AO1827" s="167" t="str">
        <f t="shared" si="768"/>
        <v/>
      </c>
      <c r="AP1827" s="167" t="str">
        <f t="shared" si="769"/>
        <v/>
      </c>
      <c r="AQ1827" s="169" t="str">
        <f t="shared" si="770"/>
        <v/>
      </c>
      <c r="AR1827" s="170" t="str">
        <f t="shared" si="771"/>
        <v>BiK82a1bKWK-07</v>
      </c>
      <c r="AS1827" s="169" t="str">
        <f t="shared" si="772"/>
        <v/>
      </c>
      <c r="AT1827">
        <f t="shared" si="773"/>
        <v>14</v>
      </c>
      <c r="AU1827" s="170" t="str">
        <f t="shared" si="774"/>
        <v>0,15-0,5 MW, Bonusregeln a1, b und KWK</v>
      </c>
      <c r="AV1827" s="169" t="str">
        <f t="shared" si="775"/>
        <v/>
      </c>
      <c r="AW1827" s="170" t="str">
        <f t="shared" si="776"/>
        <v>Anteil KWK</v>
      </c>
      <c r="AX1827" s="169" t="str">
        <f t="shared" si="777"/>
        <v/>
      </c>
      <c r="AY1827" t="str">
        <f t="shared" si="778"/>
        <v/>
      </c>
      <c r="AZ1827" t="str">
        <f t="shared" si="779"/>
        <v/>
      </c>
    </row>
    <row r="1828" spans="1:52" s="145" customFormat="1" x14ac:dyDescent="0.35">
      <c r="A1828" s="497" t="s">
        <v>4364</v>
      </c>
      <c r="B1828" s="13" t="s">
        <v>5547</v>
      </c>
      <c r="C1828" s="13" t="s">
        <v>1304</v>
      </c>
      <c r="D1828" s="13" t="s">
        <v>7141</v>
      </c>
      <c r="E1828" s="13" t="s">
        <v>4330</v>
      </c>
      <c r="F1828" s="373">
        <f t="shared" si="786"/>
        <v>20.46</v>
      </c>
      <c r="G1828" s="430">
        <v>20.46</v>
      </c>
      <c r="H1828" s="399">
        <f t="shared" si="787"/>
        <v>16.37</v>
      </c>
      <c r="I1828" s="576"/>
      <c r="J1828" s="549" t="s">
        <v>5804</v>
      </c>
      <c r="K1828" s="11"/>
      <c r="L1828"/>
      <c r="M1828" s="37">
        <f t="shared" si="788"/>
        <v>20.46</v>
      </c>
      <c r="N1828" s="29">
        <v>9.4600000000000009</v>
      </c>
      <c r="O1828" s="41"/>
      <c r="P1828" t="s">
        <v>1017</v>
      </c>
      <c r="Q1828"/>
      <c r="R1828"/>
      <c r="S1828" t="s">
        <v>4179</v>
      </c>
      <c r="T1828" s="145" t="s">
        <v>4179</v>
      </c>
      <c r="U1828" s="42"/>
      <c r="V1828" t="s">
        <v>1017</v>
      </c>
      <c r="W1828" s="50"/>
      <c r="X1828" s="50"/>
      <c r="Y1828"/>
      <c r="Z1828" s="50"/>
      <c r="AA1828"/>
      <c r="AB1828"/>
      <c r="AC1828" s="50"/>
      <c r="AD1828"/>
      <c r="AE1828" s="75" t="s">
        <v>1017</v>
      </c>
      <c r="AF1828" s="50"/>
      <c r="AG1828" s="50"/>
      <c r="AH1828" s="166" t="str">
        <f t="shared" si="790"/>
        <v/>
      </c>
      <c r="AI1828" s="168" t="str">
        <f t="shared" si="780"/>
        <v/>
      </c>
      <c r="AJ1828" s="168" t="str">
        <f t="shared" si="781"/>
        <v/>
      </c>
      <c r="AK1828" s="168" t="str">
        <f t="shared" si="782"/>
        <v/>
      </c>
      <c r="AL1828" s="168" t="str">
        <f t="shared" si="783"/>
        <v/>
      </c>
      <c r="AM1828" s="168" t="str">
        <f t="shared" si="784"/>
        <v/>
      </c>
      <c r="AN1828" s="167" t="str">
        <f t="shared" si="767"/>
        <v/>
      </c>
      <c r="AO1828" s="167" t="str">
        <f t="shared" si="768"/>
        <v/>
      </c>
      <c r="AP1828" s="167" t="str">
        <f t="shared" si="769"/>
        <v/>
      </c>
      <c r="AQ1828" s="169" t="str">
        <f t="shared" si="770"/>
        <v/>
      </c>
      <c r="AR1828" s="170" t="str">
        <f t="shared" si="771"/>
        <v>BiK82a1bKA3-07</v>
      </c>
      <c r="AS1828" s="169" t="str">
        <f t="shared" si="772"/>
        <v/>
      </c>
      <c r="AT1828">
        <f t="shared" si="773"/>
        <v>14</v>
      </c>
      <c r="AU1828" s="170" t="str">
        <f t="shared" si="774"/>
        <v>0,15-0,5 MW, Bonusregeln a1, b und K wenn Anlage 3 erfüllt</v>
      </c>
      <c r="AV1828" s="169" t="str">
        <f t="shared" si="775"/>
        <v/>
      </c>
      <c r="AW1828" s="170" t="str">
        <f t="shared" si="776"/>
        <v>Anteil KWK gemäß Anlage 3</v>
      </c>
      <c r="AX1828" s="169" t="str">
        <f t="shared" si="777"/>
        <v/>
      </c>
      <c r="AY1828" t="str">
        <f t="shared" si="778"/>
        <v/>
      </c>
      <c r="AZ1828" t="str">
        <f t="shared" si="779"/>
        <v/>
      </c>
    </row>
    <row r="1829" spans="1:52" s="145" customFormat="1" x14ac:dyDescent="0.35">
      <c r="A1829" s="497" t="s">
        <v>893</v>
      </c>
      <c r="B1829" s="13" t="s">
        <v>5547</v>
      </c>
      <c r="C1829" s="13" t="s">
        <v>1304</v>
      </c>
      <c r="D1829" s="13" t="s">
        <v>7142</v>
      </c>
      <c r="E1829" s="13" t="s">
        <v>674</v>
      </c>
      <c r="F1829" s="373">
        <f t="shared" si="786"/>
        <v>20.46</v>
      </c>
      <c r="G1829" s="430">
        <v>20.46</v>
      </c>
      <c r="H1829" s="399">
        <f t="shared" si="787"/>
        <v>16.37</v>
      </c>
      <c r="I1829" s="576"/>
      <c r="J1829" s="549" t="s">
        <v>5804</v>
      </c>
      <c r="K1829" s="11"/>
      <c r="L1829"/>
      <c r="M1829" s="37">
        <f t="shared" si="788"/>
        <v>20.46</v>
      </c>
      <c r="N1829" s="29">
        <v>9.4600000000000009</v>
      </c>
      <c r="O1829" s="41"/>
      <c r="P1829" s="11"/>
      <c r="Q1829" t="s">
        <v>1017</v>
      </c>
      <c r="R1829"/>
      <c r="S1829" t="s">
        <v>4179</v>
      </c>
      <c r="T1829" s="145" t="s">
        <v>4179</v>
      </c>
      <c r="U1829" s="42"/>
      <c r="V1829" t="s">
        <v>1017</v>
      </c>
      <c r="W1829" s="50"/>
      <c r="X1829" s="50"/>
      <c r="Y1829"/>
      <c r="Z1829" s="50"/>
      <c r="AA1829"/>
      <c r="AB1829"/>
      <c r="AC1829" s="50"/>
      <c r="AD1829"/>
      <c r="AE1829" s="75" t="s">
        <v>1017</v>
      </c>
      <c r="AF1829" s="50"/>
      <c r="AG1829" s="50"/>
      <c r="AH1829" s="166" t="str">
        <f t="shared" si="790"/>
        <v/>
      </c>
      <c r="AI1829" s="168" t="str">
        <f t="shared" si="780"/>
        <v/>
      </c>
      <c r="AJ1829" s="168" t="str">
        <f t="shared" si="781"/>
        <v/>
      </c>
      <c r="AK1829" s="168" t="str">
        <f t="shared" si="782"/>
        <v/>
      </c>
      <c r="AL1829" s="168" t="str">
        <f t="shared" si="783"/>
        <v/>
      </c>
      <c r="AM1829" s="168" t="str">
        <f t="shared" si="784"/>
        <v/>
      </c>
      <c r="AN1829" s="167" t="str">
        <f t="shared" si="767"/>
        <v/>
      </c>
      <c r="AO1829" s="167" t="str">
        <f t="shared" si="768"/>
        <v/>
      </c>
      <c r="AP1829" s="167" t="str">
        <f t="shared" si="769"/>
        <v/>
      </c>
      <c r="AQ1829" s="169" t="str">
        <f t="shared" si="770"/>
        <v/>
      </c>
      <c r="AR1829" s="170" t="str">
        <f t="shared" si="771"/>
        <v>BiK82a1bK09-07</v>
      </c>
      <c r="AS1829" s="169" t="str">
        <f t="shared" si="772"/>
        <v/>
      </c>
      <c r="AT1829">
        <f t="shared" si="773"/>
        <v>14</v>
      </c>
      <c r="AU1829" s="170" t="str">
        <f t="shared" si="774"/>
        <v>0,15-0,5 MW, Bonusregeln a1, b und K erstmals 2009</v>
      </c>
      <c r="AV1829" s="169" t="str">
        <f t="shared" si="775"/>
        <v/>
      </c>
      <c r="AW1829" s="170" t="str">
        <f t="shared" si="776"/>
        <v>Anteil KWK, erstmals 2009</v>
      </c>
      <c r="AX1829" s="169" t="str">
        <f t="shared" si="777"/>
        <v/>
      </c>
      <c r="AY1829" t="str">
        <f t="shared" si="778"/>
        <v/>
      </c>
      <c r="AZ1829" t="str">
        <f t="shared" si="779"/>
        <v/>
      </c>
    </row>
    <row r="1830" spans="1:52" s="145" customFormat="1" x14ac:dyDescent="0.35">
      <c r="A1830" s="497" t="s">
        <v>3139</v>
      </c>
      <c r="B1830" s="13" t="s">
        <v>5547</v>
      </c>
      <c r="C1830" s="13" t="s">
        <v>1304</v>
      </c>
      <c r="D1830" s="13" t="s">
        <v>7143</v>
      </c>
      <c r="E1830" s="13" t="s">
        <v>3566</v>
      </c>
      <c r="F1830" s="373">
        <f t="shared" si="786"/>
        <v>20.43</v>
      </c>
      <c r="G1830" s="430">
        <v>20.43</v>
      </c>
      <c r="H1830" s="399">
        <f t="shared" si="787"/>
        <v>16.34</v>
      </c>
      <c r="I1830" s="576"/>
      <c r="J1830" s="549" t="s">
        <v>5804</v>
      </c>
      <c r="K1830" s="11"/>
      <c r="L1830"/>
      <c r="M1830" s="37">
        <f t="shared" si="788"/>
        <v>20.43</v>
      </c>
      <c r="N1830" s="29">
        <v>9.4600000000000009</v>
      </c>
      <c r="O1830" s="41"/>
      <c r="P1830" s="11"/>
      <c r="Q1830"/>
      <c r="R1830" t="s">
        <v>1017</v>
      </c>
      <c r="S1830" t="s">
        <v>4179</v>
      </c>
      <c r="T1830" s="145" t="s">
        <v>4179</v>
      </c>
      <c r="U1830" s="42"/>
      <c r="V1830" t="s">
        <v>1017</v>
      </c>
      <c r="W1830" s="50"/>
      <c r="X1830" s="50"/>
      <c r="Y1830"/>
      <c r="Z1830" s="50"/>
      <c r="AA1830"/>
      <c r="AB1830"/>
      <c r="AC1830" s="50"/>
      <c r="AD1830"/>
      <c r="AE1830" s="75" t="s">
        <v>1017</v>
      </c>
      <c r="AF1830" s="50"/>
      <c r="AG1830" s="50"/>
      <c r="AH1830" s="166" t="str">
        <f t="shared" si="790"/>
        <v>2010</v>
      </c>
      <c r="AI1830" s="168" t="str">
        <f t="shared" si="780"/>
        <v/>
      </c>
      <c r="AJ1830" s="168" t="str">
        <f t="shared" si="781"/>
        <v/>
      </c>
      <c r="AK1830" s="168" t="str">
        <f t="shared" si="782"/>
        <v/>
      </c>
      <c r="AL1830" s="168" t="str">
        <f t="shared" si="783"/>
        <v/>
      </c>
      <c r="AM1830" s="168" t="str">
        <f t="shared" si="784"/>
        <v/>
      </c>
      <c r="AN1830" s="167" t="str">
        <f t="shared" si="767"/>
        <v>2010</v>
      </c>
      <c r="AO1830" s="167" t="str">
        <f t="shared" si="768"/>
        <v>2010</v>
      </c>
      <c r="AP1830" s="167" t="str">
        <f t="shared" si="769"/>
        <v>2010</v>
      </c>
      <c r="AQ1830" s="169" t="str">
        <f t="shared" si="770"/>
        <v/>
      </c>
      <c r="AR1830" s="170" t="str">
        <f t="shared" si="771"/>
        <v>BiK82a1bK10-07</v>
      </c>
      <c r="AS1830" s="169" t="str">
        <f t="shared" si="772"/>
        <v/>
      </c>
      <c r="AT1830">
        <f t="shared" si="773"/>
        <v>14</v>
      </c>
      <c r="AU1830" s="170" t="str">
        <f t="shared" si="774"/>
        <v>0,15-0,5 MW, Bonusregeln a1, b und K erstmals 2010</v>
      </c>
      <c r="AV1830" s="169" t="str">
        <f t="shared" si="775"/>
        <v/>
      </c>
      <c r="AW1830" s="170" t="str">
        <f t="shared" si="776"/>
        <v>Anteil KWK, erstmals 2010</v>
      </c>
      <c r="AX1830" s="169" t="str">
        <f t="shared" si="777"/>
        <v/>
      </c>
      <c r="AY1830" t="str">
        <f t="shared" si="778"/>
        <v/>
      </c>
      <c r="AZ1830" t="str">
        <f t="shared" si="779"/>
        <v/>
      </c>
    </row>
    <row r="1831" spans="1:52" s="145" customFormat="1" x14ac:dyDescent="0.35">
      <c r="A1831" s="497" t="s">
        <v>3415</v>
      </c>
      <c r="B1831" s="13" t="s">
        <v>5547</v>
      </c>
      <c r="C1831" s="13" t="s">
        <v>1304</v>
      </c>
      <c r="D1831" s="13" t="s">
        <v>7144</v>
      </c>
      <c r="E1831" s="13" t="s">
        <v>3054</v>
      </c>
      <c r="F1831" s="373">
        <f t="shared" si="786"/>
        <v>20.399999999999999</v>
      </c>
      <c r="G1831" s="430">
        <v>20.399999999999999</v>
      </c>
      <c r="H1831" s="399">
        <f t="shared" si="787"/>
        <v>16.32</v>
      </c>
      <c r="I1831" s="576"/>
      <c r="J1831" s="549" t="s">
        <v>5804</v>
      </c>
      <c r="K1831" s="11"/>
      <c r="L1831"/>
      <c r="M1831" s="37">
        <f t="shared" si="788"/>
        <v>20.399999999999999</v>
      </c>
      <c r="N1831" s="29">
        <v>9.4600000000000009</v>
      </c>
      <c r="O1831" s="41"/>
      <c r="P1831" s="11"/>
      <c r="Q1831"/>
      <c r="R1831"/>
      <c r="S1831" t="s">
        <v>1017</v>
      </c>
      <c r="T1831" s="145" t="s">
        <v>4179</v>
      </c>
      <c r="U1831" s="42"/>
      <c r="V1831" t="s">
        <v>1017</v>
      </c>
      <c r="W1831" s="50"/>
      <c r="X1831" s="50"/>
      <c r="Y1831"/>
      <c r="Z1831" s="50"/>
      <c r="AA1831"/>
      <c r="AB1831"/>
      <c r="AC1831" s="50"/>
      <c r="AD1831"/>
      <c r="AE1831" s="75" t="s">
        <v>1017</v>
      </c>
      <c r="AF1831" s="50"/>
      <c r="AG1831" s="50"/>
      <c r="AH1831" s="166" t="str">
        <f t="shared" si="790"/>
        <v>2011</v>
      </c>
      <c r="AI1831" s="168" t="str">
        <f t="shared" si="780"/>
        <v/>
      </c>
      <c r="AJ1831" s="168" t="str">
        <f t="shared" si="781"/>
        <v/>
      </c>
      <c r="AK1831" s="168" t="str">
        <f t="shared" si="782"/>
        <v/>
      </c>
      <c r="AL1831" s="168" t="str">
        <f t="shared" si="783"/>
        <v/>
      </c>
      <c r="AM1831" s="168" t="str">
        <f t="shared" si="784"/>
        <v/>
      </c>
      <c r="AN1831" s="167" t="str">
        <f t="shared" si="767"/>
        <v>2011</v>
      </c>
      <c r="AO1831" s="167" t="str">
        <f t="shared" si="768"/>
        <v>2011</v>
      </c>
      <c r="AP1831" s="167" t="str">
        <f t="shared" si="769"/>
        <v>2011</v>
      </c>
      <c r="AQ1831" s="169" t="str">
        <f t="shared" si="770"/>
        <v/>
      </c>
      <c r="AR1831" s="170" t="str">
        <f t="shared" si="771"/>
        <v>BiK82a1bK11-07</v>
      </c>
      <c r="AS1831" s="169" t="str">
        <f t="shared" si="772"/>
        <v/>
      </c>
      <c r="AT1831">
        <f t="shared" si="773"/>
        <v>14</v>
      </c>
      <c r="AU1831" s="170" t="str">
        <f t="shared" si="774"/>
        <v>0,15-0,5 MW, Bonusregeln a1, b und K erstmals 2011</v>
      </c>
      <c r="AV1831" s="169" t="str">
        <f t="shared" si="775"/>
        <v/>
      </c>
      <c r="AW1831" s="170" t="str">
        <f t="shared" si="776"/>
        <v>Anteil KWK, erstmals 2011</v>
      </c>
      <c r="AX1831" s="169" t="str">
        <f t="shared" si="777"/>
        <v/>
      </c>
      <c r="AY1831" t="str">
        <f t="shared" si="778"/>
        <v>x</v>
      </c>
      <c r="AZ1831" t="str">
        <f t="shared" si="779"/>
        <v/>
      </c>
    </row>
    <row r="1832" spans="1:52" s="145" customFormat="1" x14ac:dyDescent="0.35">
      <c r="A1832" s="511" t="s">
        <v>1848</v>
      </c>
      <c r="B1832" s="173" t="s">
        <v>5547</v>
      </c>
      <c r="C1832" s="173" t="s">
        <v>1304</v>
      </c>
      <c r="D1832" s="173" t="s">
        <v>7145</v>
      </c>
      <c r="E1832" s="173" t="s">
        <v>1980</v>
      </c>
      <c r="F1832" s="374">
        <f t="shared" si="786"/>
        <v>20.37</v>
      </c>
      <c r="G1832" s="431">
        <v>20.37</v>
      </c>
      <c r="H1832" s="400">
        <f t="shared" si="787"/>
        <v>16.3</v>
      </c>
      <c r="I1832" s="577"/>
      <c r="J1832" s="549" t="s">
        <v>5804</v>
      </c>
      <c r="K1832" s="11"/>
      <c r="L1832"/>
      <c r="M1832" s="37">
        <f t="shared" si="788"/>
        <v>20.37</v>
      </c>
      <c r="N1832" s="29">
        <v>9.4600000000000009</v>
      </c>
      <c r="O1832" s="41"/>
      <c r="P1832" s="11"/>
      <c r="Q1832"/>
      <c r="R1832"/>
      <c r="S1832" t="s">
        <v>4179</v>
      </c>
      <c r="T1832" s="145" t="s">
        <v>1017</v>
      </c>
      <c r="U1832" s="42"/>
      <c r="V1832" t="s">
        <v>1017</v>
      </c>
      <c r="W1832" s="50"/>
      <c r="X1832" s="50"/>
      <c r="Y1832"/>
      <c r="Z1832" s="50"/>
      <c r="AA1832"/>
      <c r="AB1832"/>
      <c r="AC1832" s="50"/>
      <c r="AD1832"/>
      <c r="AE1832" s="75" t="s">
        <v>1017</v>
      </c>
      <c r="AF1832" s="50"/>
      <c r="AG1832" s="50"/>
      <c r="AH1832" s="171" t="s">
        <v>4178</v>
      </c>
      <c r="AI1832" s="168" t="str">
        <f t="shared" si="780"/>
        <v/>
      </c>
      <c r="AJ1832" s="168" t="str">
        <f t="shared" si="781"/>
        <v/>
      </c>
      <c r="AK1832" s="168" t="str">
        <f t="shared" si="782"/>
        <v/>
      </c>
      <c r="AL1832" s="168" t="str">
        <f t="shared" si="783"/>
        <v/>
      </c>
      <c r="AM1832" s="168" t="str">
        <f t="shared" si="784"/>
        <v/>
      </c>
      <c r="AN1832" s="167" t="str">
        <f t="shared" si="767"/>
        <v>2012</v>
      </c>
      <c r="AO1832" s="167" t="str">
        <f t="shared" si="768"/>
        <v>2012</v>
      </c>
      <c r="AP1832" s="167" t="str">
        <f t="shared" si="769"/>
        <v>2012</v>
      </c>
      <c r="AQ1832" s="169" t="str">
        <f t="shared" si="770"/>
        <v/>
      </c>
      <c r="AR1832" s="170" t="str">
        <f t="shared" si="771"/>
        <v>BiK82a1bK12-07</v>
      </c>
      <c r="AS1832" s="169" t="str">
        <f t="shared" si="772"/>
        <v/>
      </c>
      <c r="AT1832">
        <f t="shared" si="773"/>
        <v>14</v>
      </c>
      <c r="AU1832" s="170" t="str">
        <f t="shared" si="774"/>
        <v>0,15-0,5 MW, Bonusregeln a1, b und K erstmals 2012</v>
      </c>
      <c r="AV1832" s="169" t="str">
        <f t="shared" si="775"/>
        <v/>
      </c>
      <c r="AW1832" s="170" t="str">
        <f t="shared" si="776"/>
        <v>Anteil KWK, erstmals 2012</v>
      </c>
      <c r="AX1832" s="169" t="str">
        <f t="shared" si="777"/>
        <v/>
      </c>
      <c r="AY1832" t="str">
        <f t="shared" si="778"/>
        <v/>
      </c>
      <c r="AZ1832" t="str">
        <f t="shared" si="779"/>
        <v>x</v>
      </c>
    </row>
    <row r="1833" spans="1:52" s="145" customFormat="1" x14ac:dyDescent="0.35">
      <c r="A1833" s="497" t="s">
        <v>4014</v>
      </c>
      <c r="B1833" s="13" t="s">
        <v>5547</v>
      </c>
      <c r="C1833" s="13" t="s">
        <v>1304</v>
      </c>
      <c r="D1833" s="13" t="s">
        <v>7146</v>
      </c>
      <c r="E1833" s="13" t="s">
        <v>4809</v>
      </c>
      <c r="F1833" s="373">
        <f t="shared" si="786"/>
        <v>18.46</v>
      </c>
      <c r="G1833" s="430">
        <v>18.46</v>
      </c>
      <c r="H1833" s="399">
        <f t="shared" si="787"/>
        <v>14.77</v>
      </c>
      <c r="I1833" s="576"/>
      <c r="J1833" s="549" t="s">
        <v>5804</v>
      </c>
      <c r="K1833" s="11"/>
      <c r="L1833"/>
      <c r="M1833" s="37">
        <f t="shared" si="788"/>
        <v>18.46</v>
      </c>
      <c r="N1833" s="29">
        <v>9.4600000000000009</v>
      </c>
      <c r="O1833" s="41"/>
      <c r="P1833" s="11"/>
      <c r="Q1833"/>
      <c r="R1833"/>
      <c r="S1833" t="s">
        <v>4179</v>
      </c>
      <c r="T1833" s="145" t="s">
        <v>4179</v>
      </c>
      <c r="U1833" s="42" t="s">
        <v>1017</v>
      </c>
      <c r="V1833" t="s">
        <v>1017</v>
      </c>
      <c r="W1833" s="50"/>
      <c r="X1833" s="50"/>
      <c r="Y1833"/>
      <c r="Z1833" s="50"/>
      <c r="AA1833"/>
      <c r="AB1833"/>
      <c r="AC1833" s="50"/>
      <c r="AD1833"/>
      <c r="AE1833" s="75" t="s">
        <v>1017</v>
      </c>
      <c r="AF1833" s="50"/>
      <c r="AG1833" s="50"/>
      <c r="AH1833" s="166" t="str">
        <f t="shared" ref="AH1833:AH1838" si="791">IF(ISERROR(SEARCH("K erstmals 201",D1833)),"",RIGHT(D1833,4))</f>
        <v/>
      </c>
      <c r="AI1833" s="168" t="str">
        <f t="shared" si="780"/>
        <v/>
      </c>
      <c r="AJ1833" s="168" t="str">
        <f t="shared" si="781"/>
        <v/>
      </c>
      <c r="AK1833" s="168" t="str">
        <f t="shared" si="782"/>
        <v/>
      </c>
      <c r="AL1833" s="168" t="str">
        <f t="shared" si="783"/>
        <v/>
      </c>
      <c r="AM1833" s="168" t="str">
        <f t="shared" si="784"/>
        <v/>
      </c>
      <c r="AN1833" s="167" t="str">
        <f t="shared" si="767"/>
        <v/>
      </c>
      <c r="AO1833" s="167" t="str">
        <f t="shared" si="768"/>
        <v/>
      </c>
      <c r="AP1833" s="167" t="str">
        <f t="shared" si="769"/>
        <v/>
      </c>
      <c r="AQ1833" s="169" t="str">
        <f t="shared" si="770"/>
        <v/>
      </c>
      <c r="AR1833" s="170" t="str">
        <f t="shared" si="771"/>
        <v>BiK82a1by---07</v>
      </c>
      <c r="AS1833" s="169" t="str">
        <f t="shared" si="772"/>
        <v/>
      </c>
      <c r="AT1833">
        <f t="shared" si="773"/>
        <v>14</v>
      </c>
      <c r="AU1833" s="170" t="str">
        <f t="shared" si="774"/>
        <v>0,15-0,5 MW, Bonusregeln a1, b, y</v>
      </c>
      <c r="AV1833" s="169" t="str">
        <f t="shared" si="775"/>
        <v/>
      </c>
      <c r="AW1833" s="170" t="str">
        <f t="shared" si="776"/>
        <v>Anteil Nicht-KWK</v>
      </c>
      <c r="AX1833" s="169" t="str">
        <f t="shared" si="777"/>
        <v/>
      </c>
      <c r="AY1833" t="str">
        <f t="shared" si="778"/>
        <v/>
      </c>
      <c r="AZ1833" t="str">
        <f t="shared" si="779"/>
        <v/>
      </c>
    </row>
    <row r="1834" spans="1:52" s="145" customFormat="1" x14ac:dyDescent="0.35">
      <c r="A1834" s="497" t="s">
        <v>4015</v>
      </c>
      <c r="B1834" s="13" t="s">
        <v>5547</v>
      </c>
      <c r="C1834" s="13" t="s">
        <v>1304</v>
      </c>
      <c r="D1834" s="13" t="s">
        <v>7147</v>
      </c>
      <c r="E1834" s="13" t="s">
        <v>4811</v>
      </c>
      <c r="F1834" s="373">
        <f t="shared" si="786"/>
        <v>20.46</v>
      </c>
      <c r="G1834" s="430">
        <v>20.46</v>
      </c>
      <c r="H1834" s="399">
        <f t="shared" si="787"/>
        <v>16.37</v>
      </c>
      <c r="I1834" s="576"/>
      <c r="J1834" s="549" t="s">
        <v>5804</v>
      </c>
      <c r="K1834" s="11"/>
      <c r="L1834"/>
      <c r="M1834" s="37">
        <f t="shared" si="788"/>
        <v>20.46</v>
      </c>
      <c r="N1834" s="29">
        <v>9.4600000000000009</v>
      </c>
      <c r="O1834" s="41" t="s">
        <v>1017</v>
      </c>
      <c r="P1834" s="11"/>
      <c r="Q1834"/>
      <c r="R1834"/>
      <c r="S1834" t="s">
        <v>4179</v>
      </c>
      <c r="T1834" s="145" t="s">
        <v>4179</v>
      </c>
      <c r="U1834" s="42" t="s">
        <v>1017</v>
      </c>
      <c r="V1834" t="s">
        <v>1017</v>
      </c>
      <c r="W1834" s="50"/>
      <c r="X1834" s="50"/>
      <c r="Y1834"/>
      <c r="Z1834" s="50"/>
      <c r="AA1834"/>
      <c r="AB1834"/>
      <c r="AC1834" s="50"/>
      <c r="AD1834"/>
      <c r="AE1834" s="75" t="s">
        <v>1017</v>
      </c>
      <c r="AF1834" s="50"/>
      <c r="AG1834" s="50"/>
      <c r="AH1834" s="166" t="str">
        <f t="shared" si="791"/>
        <v/>
      </c>
      <c r="AI1834" s="168" t="str">
        <f t="shared" si="780"/>
        <v/>
      </c>
      <c r="AJ1834" s="168" t="str">
        <f t="shared" si="781"/>
        <v/>
      </c>
      <c r="AK1834" s="168" t="str">
        <f t="shared" si="782"/>
        <v/>
      </c>
      <c r="AL1834" s="168" t="str">
        <f t="shared" si="783"/>
        <v/>
      </c>
      <c r="AM1834" s="168" t="str">
        <f t="shared" si="784"/>
        <v/>
      </c>
      <c r="AN1834" s="167" t="str">
        <f t="shared" si="767"/>
        <v/>
      </c>
      <c r="AO1834" s="167" t="str">
        <f t="shared" si="768"/>
        <v/>
      </c>
      <c r="AP1834" s="167" t="str">
        <f t="shared" si="769"/>
        <v/>
      </c>
      <c r="AQ1834" s="169" t="str">
        <f t="shared" si="770"/>
        <v/>
      </c>
      <c r="AR1834" s="170" t="str">
        <f t="shared" si="771"/>
        <v>BiK82a1bKWKy07</v>
      </c>
      <c r="AS1834" s="169" t="str">
        <f t="shared" si="772"/>
        <v/>
      </c>
      <c r="AT1834">
        <f t="shared" si="773"/>
        <v>14</v>
      </c>
      <c r="AU1834" s="170" t="str">
        <f t="shared" si="774"/>
        <v>0,15-0,5 MW, Bonusregeln a1, b, y und KWK</v>
      </c>
      <c r="AV1834" s="169" t="str">
        <f t="shared" si="775"/>
        <v/>
      </c>
      <c r="AW1834" s="170" t="str">
        <f t="shared" si="776"/>
        <v>Anteil KWK</v>
      </c>
      <c r="AX1834" s="169" t="str">
        <f t="shared" si="777"/>
        <v/>
      </c>
      <c r="AY1834" t="str">
        <f t="shared" si="778"/>
        <v/>
      </c>
      <c r="AZ1834" t="str">
        <f t="shared" si="779"/>
        <v/>
      </c>
    </row>
    <row r="1835" spans="1:52" s="145" customFormat="1" x14ac:dyDescent="0.35">
      <c r="A1835" s="497" t="s">
        <v>4016</v>
      </c>
      <c r="B1835" s="13" t="s">
        <v>5547</v>
      </c>
      <c r="C1835" s="13" t="s">
        <v>1304</v>
      </c>
      <c r="D1835" s="13" t="s">
        <v>7148</v>
      </c>
      <c r="E1835" s="13" t="s">
        <v>4330</v>
      </c>
      <c r="F1835" s="373">
        <f t="shared" si="786"/>
        <v>21.46</v>
      </c>
      <c r="G1835" s="430">
        <v>21.46</v>
      </c>
      <c r="H1835" s="399">
        <f t="shared" si="787"/>
        <v>17.170000000000002</v>
      </c>
      <c r="I1835" s="576"/>
      <c r="J1835" s="549" t="s">
        <v>5804</v>
      </c>
      <c r="K1835" s="11"/>
      <c r="L1835"/>
      <c r="M1835" s="37">
        <f t="shared" si="788"/>
        <v>21.46</v>
      </c>
      <c r="N1835" s="29">
        <v>9.4600000000000009</v>
      </c>
      <c r="O1835" s="41"/>
      <c r="P1835" t="s">
        <v>1017</v>
      </c>
      <c r="Q1835"/>
      <c r="R1835"/>
      <c r="S1835" t="s">
        <v>4179</v>
      </c>
      <c r="T1835" s="145" t="s">
        <v>4179</v>
      </c>
      <c r="U1835" s="42" t="s">
        <v>1017</v>
      </c>
      <c r="V1835" t="s">
        <v>1017</v>
      </c>
      <c r="W1835" s="50"/>
      <c r="X1835" s="50"/>
      <c r="Y1835"/>
      <c r="Z1835" s="50"/>
      <c r="AA1835"/>
      <c r="AB1835"/>
      <c r="AC1835" s="50"/>
      <c r="AD1835"/>
      <c r="AE1835" s="75" t="s">
        <v>1017</v>
      </c>
      <c r="AF1835" s="50"/>
      <c r="AG1835" s="50"/>
      <c r="AH1835" s="166" t="str">
        <f t="shared" si="791"/>
        <v/>
      </c>
      <c r="AI1835" s="168" t="str">
        <f t="shared" si="780"/>
        <v/>
      </c>
      <c r="AJ1835" s="168" t="str">
        <f t="shared" si="781"/>
        <v/>
      </c>
      <c r="AK1835" s="168" t="str">
        <f t="shared" si="782"/>
        <v/>
      </c>
      <c r="AL1835" s="168" t="str">
        <f t="shared" si="783"/>
        <v/>
      </c>
      <c r="AM1835" s="168" t="str">
        <f t="shared" si="784"/>
        <v/>
      </c>
      <c r="AN1835" s="167" t="str">
        <f t="shared" si="767"/>
        <v/>
      </c>
      <c r="AO1835" s="167" t="str">
        <f t="shared" si="768"/>
        <v/>
      </c>
      <c r="AP1835" s="167" t="str">
        <f t="shared" si="769"/>
        <v/>
      </c>
      <c r="AQ1835" s="169" t="str">
        <f t="shared" si="770"/>
        <v/>
      </c>
      <c r="AR1835" s="170" t="str">
        <f t="shared" si="771"/>
        <v>BiK82a1bKA3y07</v>
      </c>
      <c r="AS1835" s="169" t="str">
        <f t="shared" si="772"/>
        <v/>
      </c>
      <c r="AT1835">
        <f t="shared" si="773"/>
        <v>14</v>
      </c>
      <c r="AU1835" s="170" t="str">
        <f t="shared" si="774"/>
        <v>0,15-0,5 MW, Bonusregeln a1, b, y und K wenn Anlage 3 erfüllt</v>
      </c>
      <c r="AV1835" s="169" t="str">
        <f t="shared" si="775"/>
        <v/>
      </c>
      <c r="AW1835" s="170" t="str">
        <f t="shared" si="776"/>
        <v>Anteil KWK gemäß Anlage 3</v>
      </c>
      <c r="AX1835" s="169" t="str">
        <f t="shared" si="777"/>
        <v/>
      </c>
      <c r="AY1835" t="str">
        <f t="shared" si="778"/>
        <v/>
      </c>
      <c r="AZ1835" t="str">
        <f t="shared" si="779"/>
        <v/>
      </c>
    </row>
    <row r="1836" spans="1:52" s="145" customFormat="1" x14ac:dyDescent="0.35">
      <c r="A1836" s="497" t="s">
        <v>4017</v>
      </c>
      <c r="B1836" s="13" t="s">
        <v>5547</v>
      </c>
      <c r="C1836" s="13" t="s">
        <v>1304</v>
      </c>
      <c r="D1836" s="13" t="s">
        <v>7149</v>
      </c>
      <c r="E1836" s="13" t="s">
        <v>674</v>
      </c>
      <c r="F1836" s="373">
        <f t="shared" si="786"/>
        <v>21.46</v>
      </c>
      <c r="G1836" s="430">
        <v>21.46</v>
      </c>
      <c r="H1836" s="399">
        <f t="shared" si="787"/>
        <v>17.170000000000002</v>
      </c>
      <c r="I1836" s="576"/>
      <c r="J1836" s="549" t="s">
        <v>5804</v>
      </c>
      <c r="K1836" s="11"/>
      <c r="L1836"/>
      <c r="M1836" s="37">
        <f t="shared" si="788"/>
        <v>21.46</v>
      </c>
      <c r="N1836" s="29">
        <v>9.4600000000000009</v>
      </c>
      <c r="O1836" s="41"/>
      <c r="P1836" s="11"/>
      <c r="Q1836" t="s">
        <v>1017</v>
      </c>
      <c r="R1836"/>
      <c r="S1836" t="s">
        <v>4179</v>
      </c>
      <c r="T1836" s="145" t="s">
        <v>4179</v>
      </c>
      <c r="U1836" s="42" t="s">
        <v>1017</v>
      </c>
      <c r="V1836" t="s">
        <v>1017</v>
      </c>
      <c r="W1836" s="50"/>
      <c r="X1836" s="50"/>
      <c r="Y1836"/>
      <c r="Z1836" s="50"/>
      <c r="AA1836"/>
      <c r="AB1836"/>
      <c r="AC1836" s="50"/>
      <c r="AD1836"/>
      <c r="AE1836" s="75" t="s">
        <v>1017</v>
      </c>
      <c r="AF1836" s="50"/>
      <c r="AG1836" s="50"/>
      <c r="AH1836" s="166" t="str">
        <f t="shared" si="791"/>
        <v/>
      </c>
      <c r="AI1836" s="168" t="str">
        <f t="shared" si="780"/>
        <v/>
      </c>
      <c r="AJ1836" s="168" t="str">
        <f t="shared" si="781"/>
        <v/>
      </c>
      <c r="AK1836" s="168" t="str">
        <f t="shared" si="782"/>
        <v/>
      </c>
      <c r="AL1836" s="168" t="str">
        <f t="shared" si="783"/>
        <v/>
      </c>
      <c r="AM1836" s="168" t="str">
        <f t="shared" si="784"/>
        <v/>
      </c>
      <c r="AN1836" s="167" t="str">
        <f t="shared" si="767"/>
        <v/>
      </c>
      <c r="AO1836" s="167" t="str">
        <f t="shared" si="768"/>
        <v/>
      </c>
      <c r="AP1836" s="167" t="str">
        <f t="shared" si="769"/>
        <v/>
      </c>
      <c r="AQ1836" s="169" t="str">
        <f t="shared" si="770"/>
        <v/>
      </c>
      <c r="AR1836" s="170" t="str">
        <f t="shared" si="771"/>
        <v>BiK82a1bK09y07</v>
      </c>
      <c r="AS1836" s="169" t="str">
        <f t="shared" si="772"/>
        <v/>
      </c>
      <c r="AT1836">
        <f t="shared" si="773"/>
        <v>14</v>
      </c>
      <c r="AU1836" s="170" t="str">
        <f t="shared" si="774"/>
        <v>0,15-0,5 MW, Bonusregeln a1, b, y und K erstmals 2009</v>
      </c>
      <c r="AV1836" s="169" t="str">
        <f t="shared" si="775"/>
        <v/>
      </c>
      <c r="AW1836" s="170" t="str">
        <f t="shared" si="776"/>
        <v>Anteil KWK, erstmals 2009</v>
      </c>
      <c r="AX1836" s="169" t="str">
        <f t="shared" si="777"/>
        <v/>
      </c>
      <c r="AY1836" t="str">
        <f t="shared" si="778"/>
        <v/>
      </c>
      <c r="AZ1836" t="str">
        <f t="shared" si="779"/>
        <v/>
      </c>
    </row>
    <row r="1837" spans="1:52" s="145" customFormat="1" x14ac:dyDescent="0.35">
      <c r="A1837" s="497" t="s">
        <v>3140</v>
      </c>
      <c r="B1837" s="13" t="s">
        <v>5547</v>
      </c>
      <c r="C1837" s="13" t="s">
        <v>1304</v>
      </c>
      <c r="D1837" s="13" t="s">
        <v>7150</v>
      </c>
      <c r="E1837" s="13" t="s">
        <v>3566</v>
      </c>
      <c r="F1837" s="373">
        <f t="shared" si="786"/>
        <v>21.43</v>
      </c>
      <c r="G1837" s="430">
        <v>21.43</v>
      </c>
      <c r="H1837" s="399">
        <f t="shared" si="787"/>
        <v>17.14</v>
      </c>
      <c r="I1837" s="576"/>
      <c r="J1837" s="549" t="s">
        <v>5804</v>
      </c>
      <c r="K1837" s="11"/>
      <c r="L1837"/>
      <c r="M1837" s="37">
        <f t="shared" si="788"/>
        <v>21.43</v>
      </c>
      <c r="N1837" s="29">
        <v>9.4600000000000009</v>
      </c>
      <c r="O1837" s="41"/>
      <c r="P1837" s="11"/>
      <c r="Q1837"/>
      <c r="R1837" t="s">
        <v>1017</v>
      </c>
      <c r="S1837" t="s">
        <v>4179</v>
      </c>
      <c r="T1837" s="145" t="s">
        <v>4179</v>
      </c>
      <c r="U1837" s="42" t="s">
        <v>1017</v>
      </c>
      <c r="V1837" t="s">
        <v>1017</v>
      </c>
      <c r="W1837" s="50"/>
      <c r="X1837" s="50"/>
      <c r="Y1837"/>
      <c r="Z1837" s="50"/>
      <c r="AA1837"/>
      <c r="AB1837"/>
      <c r="AC1837" s="50"/>
      <c r="AD1837"/>
      <c r="AE1837" s="75" t="s">
        <v>1017</v>
      </c>
      <c r="AF1837" s="50"/>
      <c r="AG1837" s="50"/>
      <c r="AH1837" s="166" t="str">
        <f t="shared" si="791"/>
        <v>2010</v>
      </c>
      <c r="AI1837" s="168" t="str">
        <f t="shared" si="780"/>
        <v/>
      </c>
      <c r="AJ1837" s="168" t="str">
        <f t="shared" si="781"/>
        <v/>
      </c>
      <c r="AK1837" s="168" t="str">
        <f t="shared" si="782"/>
        <v/>
      </c>
      <c r="AL1837" s="168" t="str">
        <f t="shared" si="783"/>
        <v/>
      </c>
      <c r="AM1837" s="168" t="str">
        <f t="shared" si="784"/>
        <v/>
      </c>
      <c r="AN1837" s="167" t="str">
        <f t="shared" si="767"/>
        <v>2010</v>
      </c>
      <c r="AO1837" s="167" t="str">
        <f t="shared" si="768"/>
        <v>2010</v>
      </c>
      <c r="AP1837" s="167" t="str">
        <f t="shared" si="769"/>
        <v>2010</v>
      </c>
      <c r="AQ1837" s="169" t="str">
        <f t="shared" si="770"/>
        <v/>
      </c>
      <c r="AR1837" s="170" t="str">
        <f t="shared" si="771"/>
        <v>BiK82a1bK10y07</v>
      </c>
      <c r="AS1837" s="169" t="str">
        <f t="shared" si="772"/>
        <v/>
      </c>
      <c r="AT1837">
        <f t="shared" si="773"/>
        <v>14</v>
      </c>
      <c r="AU1837" s="170" t="str">
        <f t="shared" si="774"/>
        <v>0,15-0,5 MW, Bonusregeln a1, b, y und K erstmals 2010</v>
      </c>
      <c r="AV1837" s="169" t="str">
        <f t="shared" si="775"/>
        <v/>
      </c>
      <c r="AW1837" s="170" t="str">
        <f t="shared" si="776"/>
        <v>Anteil KWK, erstmals 2010</v>
      </c>
      <c r="AX1837" s="169" t="str">
        <f t="shared" si="777"/>
        <v/>
      </c>
      <c r="AY1837" t="str">
        <f t="shared" si="778"/>
        <v/>
      </c>
      <c r="AZ1837" t="str">
        <f t="shared" si="779"/>
        <v/>
      </c>
    </row>
    <row r="1838" spans="1:52" s="145" customFormat="1" x14ac:dyDescent="0.35">
      <c r="A1838" s="497" t="s">
        <v>3416</v>
      </c>
      <c r="B1838" s="13" t="s">
        <v>5547</v>
      </c>
      <c r="C1838" s="13" t="s">
        <v>1304</v>
      </c>
      <c r="D1838" s="13" t="s">
        <v>7151</v>
      </c>
      <c r="E1838" s="13" t="s">
        <v>3054</v>
      </c>
      <c r="F1838" s="373">
        <f t="shared" si="786"/>
        <v>21.4</v>
      </c>
      <c r="G1838" s="430">
        <v>21.4</v>
      </c>
      <c r="H1838" s="399">
        <f t="shared" si="787"/>
        <v>17.12</v>
      </c>
      <c r="I1838" s="576"/>
      <c r="J1838" s="549" t="s">
        <v>5804</v>
      </c>
      <c r="K1838" s="11"/>
      <c r="L1838"/>
      <c r="M1838" s="37">
        <f t="shared" si="788"/>
        <v>21.4</v>
      </c>
      <c r="N1838" s="29">
        <v>9.4600000000000009</v>
      </c>
      <c r="O1838" s="41"/>
      <c r="P1838" s="11"/>
      <c r="Q1838"/>
      <c r="R1838"/>
      <c r="S1838" t="s">
        <v>1017</v>
      </c>
      <c r="T1838" s="145" t="s">
        <v>4179</v>
      </c>
      <c r="U1838" s="42" t="s">
        <v>1017</v>
      </c>
      <c r="V1838" t="s">
        <v>1017</v>
      </c>
      <c r="W1838" s="50"/>
      <c r="X1838" s="50"/>
      <c r="Y1838"/>
      <c r="Z1838" s="50"/>
      <c r="AA1838"/>
      <c r="AB1838"/>
      <c r="AC1838" s="50"/>
      <c r="AD1838"/>
      <c r="AE1838" s="75" t="s">
        <v>1017</v>
      </c>
      <c r="AF1838" s="50"/>
      <c r="AG1838" s="50"/>
      <c r="AH1838" s="166" t="str">
        <f t="shared" si="791"/>
        <v>2011</v>
      </c>
      <c r="AI1838" s="168" t="str">
        <f t="shared" si="780"/>
        <v/>
      </c>
      <c r="AJ1838" s="168" t="str">
        <f t="shared" si="781"/>
        <v/>
      </c>
      <c r="AK1838" s="168" t="str">
        <f t="shared" si="782"/>
        <v/>
      </c>
      <c r="AL1838" s="168" t="str">
        <f t="shared" si="783"/>
        <v/>
      </c>
      <c r="AM1838" s="168" t="str">
        <f t="shared" si="784"/>
        <v/>
      </c>
      <c r="AN1838" s="167" t="str">
        <f t="shared" si="767"/>
        <v>2011</v>
      </c>
      <c r="AO1838" s="167" t="str">
        <f t="shared" si="768"/>
        <v>2011</v>
      </c>
      <c r="AP1838" s="167" t="str">
        <f t="shared" si="769"/>
        <v>2011</v>
      </c>
      <c r="AQ1838" s="169" t="str">
        <f t="shared" si="770"/>
        <v/>
      </c>
      <c r="AR1838" s="170" t="str">
        <f t="shared" si="771"/>
        <v>BiK82a1bK11y07</v>
      </c>
      <c r="AS1838" s="169" t="str">
        <f t="shared" si="772"/>
        <v/>
      </c>
      <c r="AT1838">
        <f t="shared" si="773"/>
        <v>14</v>
      </c>
      <c r="AU1838" s="170" t="str">
        <f t="shared" si="774"/>
        <v>0,15-0,5 MW, Bonusregeln a1, b, y und K erstmals 2011</v>
      </c>
      <c r="AV1838" s="169" t="str">
        <f t="shared" si="775"/>
        <v/>
      </c>
      <c r="AW1838" s="170" t="str">
        <f t="shared" si="776"/>
        <v>Anteil KWK, erstmals 2011</v>
      </c>
      <c r="AX1838" s="169" t="str">
        <f t="shared" si="777"/>
        <v/>
      </c>
      <c r="AY1838" t="str">
        <f t="shared" si="778"/>
        <v>x</v>
      </c>
      <c r="AZ1838" t="str">
        <f t="shared" si="779"/>
        <v/>
      </c>
    </row>
    <row r="1839" spans="1:52" s="145" customFormat="1" x14ac:dyDescent="0.35">
      <c r="A1839" s="511" t="s">
        <v>1849</v>
      </c>
      <c r="B1839" s="173" t="s">
        <v>5547</v>
      </c>
      <c r="C1839" s="173" t="s">
        <v>1304</v>
      </c>
      <c r="D1839" s="173" t="s">
        <v>7152</v>
      </c>
      <c r="E1839" s="173" t="s">
        <v>1980</v>
      </c>
      <c r="F1839" s="374">
        <f t="shared" si="786"/>
        <v>21.37</v>
      </c>
      <c r="G1839" s="431">
        <v>21.37</v>
      </c>
      <c r="H1839" s="400">
        <f t="shared" si="787"/>
        <v>17.100000000000001</v>
      </c>
      <c r="I1839" s="577"/>
      <c r="J1839" s="549" t="s">
        <v>5804</v>
      </c>
      <c r="K1839" s="11"/>
      <c r="L1839"/>
      <c r="M1839" s="37">
        <f t="shared" si="788"/>
        <v>21.37</v>
      </c>
      <c r="N1839" s="29">
        <v>9.4600000000000009</v>
      </c>
      <c r="O1839" s="41"/>
      <c r="P1839" s="11"/>
      <c r="Q1839"/>
      <c r="R1839"/>
      <c r="S1839" t="s">
        <v>4179</v>
      </c>
      <c r="T1839" s="145" t="s">
        <v>1017</v>
      </c>
      <c r="U1839" s="42" t="s">
        <v>1017</v>
      </c>
      <c r="V1839" t="s">
        <v>1017</v>
      </c>
      <c r="W1839" s="50"/>
      <c r="X1839" s="50"/>
      <c r="Y1839"/>
      <c r="Z1839" s="50"/>
      <c r="AA1839"/>
      <c r="AB1839"/>
      <c r="AC1839" s="50"/>
      <c r="AD1839"/>
      <c r="AE1839" s="75" t="s">
        <v>1017</v>
      </c>
      <c r="AF1839" s="50"/>
      <c r="AG1839" s="50"/>
      <c r="AH1839" s="171" t="s">
        <v>4178</v>
      </c>
      <c r="AI1839" s="168" t="str">
        <f t="shared" si="780"/>
        <v/>
      </c>
      <c r="AJ1839" s="168" t="str">
        <f t="shared" si="781"/>
        <v/>
      </c>
      <c r="AK1839" s="168" t="str">
        <f t="shared" si="782"/>
        <v/>
      </c>
      <c r="AL1839" s="168" t="str">
        <f t="shared" si="783"/>
        <v/>
      </c>
      <c r="AM1839" s="168" t="str">
        <f t="shared" si="784"/>
        <v/>
      </c>
      <c r="AN1839" s="167" t="str">
        <f t="shared" si="767"/>
        <v>2012</v>
      </c>
      <c r="AO1839" s="167" t="str">
        <f t="shared" si="768"/>
        <v>2012</v>
      </c>
      <c r="AP1839" s="167" t="str">
        <f t="shared" si="769"/>
        <v>2012</v>
      </c>
      <c r="AQ1839" s="169" t="str">
        <f t="shared" si="770"/>
        <v/>
      </c>
      <c r="AR1839" s="170" t="str">
        <f t="shared" si="771"/>
        <v>BiK82a1bK12y07</v>
      </c>
      <c r="AS1839" s="169" t="str">
        <f t="shared" si="772"/>
        <v/>
      </c>
      <c r="AT1839">
        <f t="shared" si="773"/>
        <v>14</v>
      </c>
      <c r="AU1839" s="170" t="str">
        <f t="shared" si="774"/>
        <v>0,15-0,5 MW, Bonusregeln a1, b, y und K erstmals 2012</v>
      </c>
      <c r="AV1839" s="169" t="str">
        <f t="shared" si="775"/>
        <v/>
      </c>
      <c r="AW1839" s="170" t="str">
        <f t="shared" si="776"/>
        <v>Anteil KWK, erstmals 2012</v>
      </c>
      <c r="AX1839" s="169" t="str">
        <f t="shared" si="777"/>
        <v/>
      </c>
      <c r="AY1839" t="str">
        <f t="shared" si="778"/>
        <v/>
      </c>
      <c r="AZ1839" t="str">
        <f t="shared" si="779"/>
        <v>x</v>
      </c>
    </row>
    <row r="1840" spans="1:52" s="145" customFormat="1" x14ac:dyDescent="0.35">
      <c r="A1840" s="497" t="s">
        <v>3045</v>
      </c>
      <c r="B1840" s="13" t="s">
        <v>5547</v>
      </c>
      <c r="C1840" s="13" t="s">
        <v>1304</v>
      </c>
      <c r="D1840" s="13" t="s">
        <v>7153</v>
      </c>
      <c r="E1840" s="13" t="s">
        <v>4809</v>
      </c>
      <c r="F1840" s="373">
        <f t="shared" si="786"/>
        <v>18.46</v>
      </c>
      <c r="G1840" s="430">
        <v>18.46</v>
      </c>
      <c r="H1840" s="399">
        <f t="shared" si="787"/>
        <v>14.77</v>
      </c>
      <c r="I1840" s="576"/>
      <c r="J1840" s="549" t="s">
        <v>5804</v>
      </c>
      <c r="K1840" s="11"/>
      <c r="L1840"/>
      <c r="M1840" s="37">
        <f t="shared" si="788"/>
        <v>18.46</v>
      </c>
      <c r="N1840" s="29">
        <v>9.4600000000000009</v>
      </c>
      <c r="O1840" s="149"/>
      <c r="P1840" s="144"/>
      <c r="S1840" s="145" t="s">
        <v>4179</v>
      </c>
      <c r="T1840" s="145" t="s">
        <v>4179</v>
      </c>
      <c r="U1840" s="146"/>
      <c r="W1840" s="147"/>
      <c r="X1840" s="147"/>
      <c r="Y1840" s="145" t="s">
        <v>1017</v>
      </c>
      <c r="Z1840" s="147"/>
      <c r="AC1840" s="147"/>
      <c r="AE1840" s="148" t="s">
        <v>1017</v>
      </c>
      <c r="AF1840" s="147"/>
      <c r="AG1840" s="147"/>
      <c r="AH1840" s="166" t="str">
        <f t="shared" ref="AH1840:AH1845" si="792">IF(ISERROR(SEARCH("K erstmals 201",D1840)),"",RIGHT(D1840,4))</f>
        <v/>
      </c>
      <c r="AI1840" s="168" t="str">
        <f t="shared" si="780"/>
        <v/>
      </c>
      <c r="AJ1840" s="168" t="str">
        <f t="shared" si="781"/>
        <v/>
      </c>
      <c r="AK1840" s="168" t="str">
        <f t="shared" si="782"/>
        <v/>
      </c>
      <c r="AL1840" s="168" t="str">
        <f t="shared" si="783"/>
        <v/>
      </c>
      <c r="AM1840" s="168" t="str">
        <f t="shared" si="784"/>
        <v/>
      </c>
      <c r="AN1840" s="167" t="str">
        <f t="shared" si="767"/>
        <v/>
      </c>
      <c r="AO1840" s="167" t="str">
        <f t="shared" si="768"/>
        <v/>
      </c>
      <c r="AP1840" s="167" t="str">
        <f t="shared" si="769"/>
        <v/>
      </c>
      <c r="AQ1840" s="169" t="str">
        <f t="shared" si="770"/>
        <v/>
      </c>
      <c r="AR1840" s="170" t="str">
        <f t="shared" si="771"/>
        <v>BiK82Gb-----07</v>
      </c>
      <c r="AS1840" s="169" t="str">
        <f t="shared" si="772"/>
        <v/>
      </c>
      <c r="AT1840">
        <f t="shared" si="773"/>
        <v>14</v>
      </c>
      <c r="AU1840" s="170" t="str">
        <f t="shared" si="774"/>
        <v>0,15-0,5 MW, Bonusregeln G, b</v>
      </c>
      <c r="AV1840" s="169" t="str">
        <f t="shared" si="775"/>
        <v/>
      </c>
      <c r="AW1840" s="170" t="str">
        <f t="shared" si="776"/>
        <v>Anteil Nicht-KWK</v>
      </c>
      <c r="AX1840" s="169" t="str">
        <f t="shared" si="777"/>
        <v/>
      </c>
      <c r="AY1840" t="str">
        <f t="shared" si="778"/>
        <v/>
      </c>
      <c r="AZ1840" t="str">
        <f t="shared" si="779"/>
        <v/>
      </c>
    </row>
    <row r="1841" spans="1:52" s="145" customFormat="1" x14ac:dyDescent="0.35">
      <c r="A1841" s="497" t="s">
        <v>3046</v>
      </c>
      <c r="B1841" s="13" t="s">
        <v>5547</v>
      </c>
      <c r="C1841" s="13" t="s">
        <v>1304</v>
      </c>
      <c r="D1841" s="13" t="s">
        <v>7154</v>
      </c>
      <c r="E1841" s="13" t="s">
        <v>4811</v>
      </c>
      <c r="F1841" s="373">
        <f t="shared" si="786"/>
        <v>20.46</v>
      </c>
      <c r="G1841" s="430">
        <v>20.46</v>
      </c>
      <c r="H1841" s="399">
        <f t="shared" si="787"/>
        <v>16.37</v>
      </c>
      <c r="I1841" s="576"/>
      <c r="J1841" s="549" t="s">
        <v>5804</v>
      </c>
      <c r="K1841" s="11"/>
      <c r="L1841"/>
      <c r="M1841" s="37">
        <f t="shared" si="788"/>
        <v>20.46</v>
      </c>
      <c r="N1841" s="29">
        <v>9.4600000000000009</v>
      </c>
      <c r="O1841" s="149" t="s">
        <v>1017</v>
      </c>
      <c r="P1841" s="144"/>
      <c r="S1841" s="145" t="s">
        <v>4179</v>
      </c>
      <c r="T1841" s="145" t="s">
        <v>4179</v>
      </c>
      <c r="U1841" s="146"/>
      <c r="W1841" s="147"/>
      <c r="X1841" s="147"/>
      <c r="Y1841" s="145" t="s">
        <v>1017</v>
      </c>
      <c r="Z1841" s="147"/>
      <c r="AC1841" s="147"/>
      <c r="AE1841" s="148" t="s">
        <v>1017</v>
      </c>
      <c r="AF1841" s="147"/>
      <c r="AG1841" s="147"/>
      <c r="AH1841" s="166" t="str">
        <f t="shared" si="792"/>
        <v/>
      </c>
      <c r="AI1841" s="168" t="str">
        <f t="shared" si="780"/>
        <v/>
      </c>
      <c r="AJ1841" s="168" t="str">
        <f t="shared" si="781"/>
        <v/>
      </c>
      <c r="AK1841" s="168" t="str">
        <f t="shared" si="782"/>
        <v/>
      </c>
      <c r="AL1841" s="168" t="str">
        <f t="shared" si="783"/>
        <v/>
      </c>
      <c r="AM1841" s="168" t="str">
        <f t="shared" si="784"/>
        <v/>
      </c>
      <c r="AN1841" s="167" t="str">
        <f t="shared" si="767"/>
        <v/>
      </c>
      <c r="AO1841" s="167" t="str">
        <f t="shared" si="768"/>
        <v/>
      </c>
      <c r="AP1841" s="167" t="str">
        <f t="shared" si="769"/>
        <v/>
      </c>
      <c r="AQ1841" s="169" t="str">
        <f t="shared" si="770"/>
        <v/>
      </c>
      <c r="AR1841" s="170" t="str">
        <f t="shared" si="771"/>
        <v>BiK82GbKWK--07</v>
      </c>
      <c r="AS1841" s="169" t="str">
        <f t="shared" si="772"/>
        <v/>
      </c>
      <c r="AT1841">
        <f t="shared" si="773"/>
        <v>14</v>
      </c>
      <c r="AU1841" s="170" t="str">
        <f t="shared" si="774"/>
        <v>0,15-0,5 MW, Bonusregeln G, b und KWK</v>
      </c>
      <c r="AV1841" s="169" t="str">
        <f t="shared" si="775"/>
        <v/>
      </c>
      <c r="AW1841" s="170" t="str">
        <f t="shared" si="776"/>
        <v>Anteil KWK</v>
      </c>
      <c r="AX1841" s="169" t="str">
        <f t="shared" si="777"/>
        <v/>
      </c>
      <c r="AY1841" t="str">
        <f t="shared" si="778"/>
        <v/>
      </c>
      <c r="AZ1841" t="str">
        <f t="shared" si="779"/>
        <v/>
      </c>
    </row>
    <row r="1842" spans="1:52" s="145" customFormat="1" x14ac:dyDescent="0.35">
      <c r="A1842" s="497" t="s">
        <v>3047</v>
      </c>
      <c r="B1842" s="13" t="s">
        <v>5547</v>
      </c>
      <c r="C1842" s="13" t="s">
        <v>1304</v>
      </c>
      <c r="D1842" s="13" t="s">
        <v>7155</v>
      </c>
      <c r="E1842" s="13" t="s">
        <v>4330</v>
      </c>
      <c r="F1842" s="373">
        <f t="shared" si="786"/>
        <v>21.46</v>
      </c>
      <c r="G1842" s="430">
        <v>21.46</v>
      </c>
      <c r="H1842" s="399">
        <f t="shared" si="787"/>
        <v>17.170000000000002</v>
      </c>
      <c r="I1842" s="576"/>
      <c r="J1842" s="549" t="s">
        <v>5804</v>
      </c>
      <c r="K1842" s="11"/>
      <c r="L1842"/>
      <c r="M1842" s="37">
        <f t="shared" si="788"/>
        <v>21.46</v>
      </c>
      <c r="N1842" s="29">
        <v>9.4600000000000009</v>
      </c>
      <c r="O1842" s="149"/>
      <c r="P1842" s="145" t="s">
        <v>1017</v>
      </c>
      <c r="S1842" s="145" t="s">
        <v>4179</v>
      </c>
      <c r="T1842" s="145" t="s">
        <v>4179</v>
      </c>
      <c r="U1842" s="146"/>
      <c r="W1842" s="147"/>
      <c r="X1842" s="147"/>
      <c r="Y1842" s="145" t="s">
        <v>1017</v>
      </c>
      <c r="Z1842" s="147"/>
      <c r="AC1842" s="147"/>
      <c r="AE1842" s="148" t="s">
        <v>1017</v>
      </c>
      <c r="AF1842" s="147"/>
      <c r="AG1842" s="147"/>
      <c r="AH1842" s="166" t="str">
        <f t="shared" si="792"/>
        <v/>
      </c>
      <c r="AI1842" s="168" t="str">
        <f t="shared" si="780"/>
        <v/>
      </c>
      <c r="AJ1842" s="168" t="str">
        <f t="shared" si="781"/>
        <v/>
      </c>
      <c r="AK1842" s="168" t="str">
        <f t="shared" si="782"/>
        <v/>
      </c>
      <c r="AL1842" s="168" t="str">
        <f t="shared" si="783"/>
        <v/>
      </c>
      <c r="AM1842" s="168" t="str">
        <f t="shared" si="784"/>
        <v/>
      </c>
      <c r="AN1842" s="167" t="str">
        <f t="shared" si="767"/>
        <v/>
      </c>
      <c r="AO1842" s="167" t="str">
        <f t="shared" si="768"/>
        <v/>
      </c>
      <c r="AP1842" s="167" t="str">
        <f t="shared" si="769"/>
        <v/>
      </c>
      <c r="AQ1842" s="169" t="str">
        <f t="shared" si="770"/>
        <v/>
      </c>
      <c r="AR1842" s="170" t="str">
        <f t="shared" si="771"/>
        <v>BiK82GbKA3--07</v>
      </c>
      <c r="AS1842" s="169" t="str">
        <f t="shared" si="772"/>
        <v/>
      </c>
      <c r="AT1842">
        <f t="shared" si="773"/>
        <v>14</v>
      </c>
      <c r="AU1842" s="170" t="str">
        <f t="shared" si="774"/>
        <v>0,15-0,5 MW, Bonusregeln G, b und K wenn Anlage 3 erfüllt</v>
      </c>
      <c r="AV1842" s="169" t="str">
        <f t="shared" si="775"/>
        <v/>
      </c>
      <c r="AW1842" s="170" t="str">
        <f t="shared" si="776"/>
        <v>Anteil KWK gemäß Anlage 3</v>
      </c>
      <c r="AX1842" s="169" t="str">
        <f t="shared" si="777"/>
        <v/>
      </c>
      <c r="AY1842" t="str">
        <f t="shared" si="778"/>
        <v/>
      </c>
      <c r="AZ1842" t="str">
        <f t="shared" si="779"/>
        <v/>
      </c>
    </row>
    <row r="1843" spans="1:52" s="145" customFormat="1" x14ac:dyDescent="0.35">
      <c r="A1843" s="497" t="s">
        <v>3048</v>
      </c>
      <c r="B1843" s="13" t="s">
        <v>5547</v>
      </c>
      <c r="C1843" s="13" t="s">
        <v>1304</v>
      </c>
      <c r="D1843" s="13" t="s">
        <v>7156</v>
      </c>
      <c r="E1843" s="13" t="s">
        <v>674</v>
      </c>
      <c r="F1843" s="373">
        <f t="shared" si="786"/>
        <v>21.46</v>
      </c>
      <c r="G1843" s="430">
        <v>21.46</v>
      </c>
      <c r="H1843" s="399">
        <f t="shared" si="787"/>
        <v>17.170000000000002</v>
      </c>
      <c r="I1843" s="576"/>
      <c r="J1843" s="549" t="s">
        <v>5804</v>
      </c>
      <c r="K1843" s="11"/>
      <c r="L1843"/>
      <c r="M1843" s="37">
        <f t="shared" si="788"/>
        <v>21.46</v>
      </c>
      <c r="N1843" s="29">
        <v>9.4600000000000009</v>
      </c>
      <c r="O1843" s="149"/>
      <c r="P1843" s="144"/>
      <c r="Q1843" s="145" t="s">
        <v>1017</v>
      </c>
      <c r="S1843" s="145" t="s">
        <v>4179</v>
      </c>
      <c r="T1843" s="145" t="s">
        <v>4179</v>
      </c>
      <c r="U1843" s="146"/>
      <c r="W1843" s="147"/>
      <c r="X1843" s="147"/>
      <c r="Y1843" s="145" t="s">
        <v>1017</v>
      </c>
      <c r="Z1843" s="147"/>
      <c r="AC1843" s="147"/>
      <c r="AE1843" s="148" t="s">
        <v>1017</v>
      </c>
      <c r="AF1843" s="147"/>
      <c r="AG1843" s="147"/>
      <c r="AH1843" s="166" t="str">
        <f t="shared" si="792"/>
        <v/>
      </c>
      <c r="AI1843" s="168" t="str">
        <f t="shared" si="780"/>
        <v/>
      </c>
      <c r="AJ1843" s="168" t="str">
        <f t="shared" si="781"/>
        <v/>
      </c>
      <c r="AK1843" s="168" t="str">
        <f t="shared" si="782"/>
        <v/>
      </c>
      <c r="AL1843" s="168" t="str">
        <f t="shared" si="783"/>
        <v/>
      </c>
      <c r="AM1843" s="168" t="str">
        <f t="shared" si="784"/>
        <v/>
      </c>
      <c r="AN1843" s="167" t="str">
        <f t="shared" si="767"/>
        <v/>
      </c>
      <c r="AO1843" s="167" t="str">
        <f t="shared" si="768"/>
        <v/>
      </c>
      <c r="AP1843" s="167" t="str">
        <f t="shared" si="769"/>
        <v/>
      </c>
      <c r="AQ1843" s="169" t="str">
        <f t="shared" si="770"/>
        <v/>
      </c>
      <c r="AR1843" s="170" t="str">
        <f t="shared" si="771"/>
        <v>BiK82GbK09--07</v>
      </c>
      <c r="AS1843" s="169" t="str">
        <f t="shared" si="772"/>
        <v/>
      </c>
      <c r="AT1843">
        <f t="shared" si="773"/>
        <v>14</v>
      </c>
      <c r="AU1843" s="170" t="str">
        <f t="shared" si="774"/>
        <v>0,15-0,5 MW, Bonusregeln G, b und K erstmals 2009</v>
      </c>
      <c r="AV1843" s="169" t="str">
        <f t="shared" si="775"/>
        <v/>
      </c>
      <c r="AW1843" s="170" t="str">
        <f t="shared" si="776"/>
        <v>Anteil KWK, erstmals 2009</v>
      </c>
      <c r="AX1843" s="169" t="str">
        <f t="shared" si="777"/>
        <v/>
      </c>
      <c r="AY1843" t="str">
        <f t="shared" si="778"/>
        <v/>
      </c>
      <c r="AZ1843" t="str">
        <f t="shared" si="779"/>
        <v/>
      </c>
    </row>
    <row r="1844" spans="1:52" s="145" customFormat="1" x14ac:dyDescent="0.35">
      <c r="A1844" s="497" t="s">
        <v>3141</v>
      </c>
      <c r="B1844" s="13" t="s">
        <v>5547</v>
      </c>
      <c r="C1844" s="13" t="s">
        <v>1304</v>
      </c>
      <c r="D1844" s="13" t="s">
        <v>7157</v>
      </c>
      <c r="E1844" s="13" t="s">
        <v>3566</v>
      </c>
      <c r="F1844" s="373">
        <f t="shared" si="786"/>
        <v>21.43</v>
      </c>
      <c r="G1844" s="430">
        <v>21.43</v>
      </c>
      <c r="H1844" s="399">
        <f t="shared" si="787"/>
        <v>17.14</v>
      </c>
      <c r="I1844" s="576"/>
      <c r="J1844" s="549" t="s">
        <v>5804</v>
      </c>
      <c r="K1844" s="11"/>
      <c r="L1844"/>
      <c r="M1844" s="37">
        <f t="shared" si="788"/>
        <v>21.43</v>
      </c>
      <c r="N1844" s="29">
        <v>9.4600000000000009</v>
      </c>
      <c r="O1844" s="149"/>
      <c r="P1844" s="144"/>
      <c r="R1844" s="145" t="s">
        <v>1017</v>
      </c>
      <c r="S1844" s="145" t="s">
        <v>4179</v>
      </c>
      <c r="T1844" s="145" t="s">
        <v>4179</v>
      </c>
      <c r="U1844" s="146"/>
      <c r="W1844" s="147"/>
      <c r="X1844" s="147"/>
      <c r="Y1844" s="145" t="s">
        <v>1017</v>
      </c>
      <c r="Z1844" s="147"/>
      <c r="AC1844" s="147"/>
      <c r="AE1844" s="148" t="s">
        <v>1017</v>
      </c>
      <c r="AF1844" s="147"/>
      <c r="AG1844" s="147"/>
      <c r="AH1844" s="166" t="str">
        <f t="shared" si="792"/>
        <v>2010</v>
      </c>
      <c r="AI1844" s="168" t="str">
        <f t="shared" si="780"/>
        <v/>
      </c>
      <c r="AJ1844" s="168" t="str">
        <f t="shared" si="781"/>
        <v/>
      </c>
      <c r="AK1844" s="168" t="str">
        <f t="shared" si="782"/>
        <v/>
      </c>
      <c r="AL1844" s="168" t="str">
        <f t="shared" si="783"/>
        <v/>
      </c>
      <c r="AM1844" s="168" t="str">
        <f t="shared" si="784"/>
        <v/>
      </c>
      <c r="AN1844" s="167" t="str">
        <f t="shared" si="767"/>
        <v>2010</v>
      </c>
      <c r="AO1844" s="167" t="str">
        <f t="shared" si="768"/>
        <v>2010</v>
      </c>
      <c r="AP1844" s="167" t="str">
        <f t="shared" si="769"/>
        <v>2010</v>
      </c>
      <c r="AQ1844" s="169" t="str">
        <f t="shared" si="770"/>
        <v/>
      </c>
      <c r="AR1844" s="170" t="str">
        <f t="shared" si="771"/>
        <v>BiK82GbK10--07</v>
      </c>
      <c r="AS1844" s="169" t="str">
        <f t="shared" si="772"/>
        <v/>
      </c>
      <c r="AT1844">
        <f t="shared" si="773"/>
        <v>14</v>
      </c>
      <c r="AU1844" s="170" t="str">
        <f t="shared" si="774"/>
        <v>0,15-0,5 MW, Bonusregeln G, b und K erstmals 2010</v>
      </c>
      <c r="AV1844" s="169" t="str">
        <f t="shared" si="775"/>
        <v/>
      </c>
      <c r="AW1844" s="170" t="str">
        <f t="shared" si="776"/>
        <v>Anteil KWK, erstmals 2010</v>
      </c>
      <c r="AX1844" s="169" t="str">
        <f t="shared" si="777"/>
        <v/>
      </c>
      <c r="AY1844" t="str">
        <f t="shared" si="778"/>
        <v/>
      </c>
      <c r="AZ1844" t="str">
        <f t="shared" si="779"/>
        <v/>
      </c>
    </row>
    <row r="1845" spans="1:52" s="145" customFormat="1" x14ac:dyDescent="0.35">
      <c r="A1845" s="497" t="s">
        <v>3417</v>
      </c>
      <c r="B1845" s="13" t="s">
        <v>5547</v>
      </c>
      <c r="C1845" s="13" t="s">
        <v>1304</v>
      </c>
      <c r="D1845" s="13" t="s">
        <v>7158</v>
      </c>
      <c r="E1845" s="13" t="s">
        <v>3054</v>
      </c>
      <c r="F1845" s="373">
        <f t="shared" si="786"/>
        <v>21.4</v>
      </c>
      <c r="G1845" s="430">
        <v>21.4</v>
      </c>
      <c r="H1845" s="399">
        <f t="shared" si="787"/>
        <v>17.12</v>
      </c>
      <c r="I1845" s="576"/>
      <c r="J1845" s="549" t="s">
        <v>5804</v>
      </c>
      <c r="K1845" s="11"/>
      <c r="L1845"/>
      <c r="M1845" s="37">
        <f t="shared" si="788"/>
        <v>21.4</v>
      </c>
      <c r="N1845" s="29">
        <v>9.4600000000000009</v>
      </c>
      <c r="O1845" s="149"/>
      <c r="P1845" s="144"/>
      <c r="S1845" s="145" t="s">
        <v>1017</v>
      </c>
      <c r="T1845" s="145" t="s">
        <v>4179</v>
      </c>
      <c r="U1845" s="146"/>
      <c r="W1845" s="147"/>
      <c r="X1845" s="147"/>
      <c r="Y1845" s="145" t="s">
        <v>1017</v>
      </c>
      <c r="Z1845" s="147"/>
      <c r="AC1845" s="147"/>
      <c r="AE1845" s="148" t="s">
        <v>1017</v>
      </c>
      <c r="AF1845" s="147"/>
      <c r="AG1845" s="147"/>
      <c r="AH1845" s="166" t="str">
        <f t="shared" si="792"/>
        <v>2011</v>
      </c>
      <c r="AI1845" s="168" t="str">
        <f t="shared" si="780"/>
        <v/>
      </c>
      <c r="AJ1845" s="168" t="str">
        <f t="shared" si="781"/>
        <v/>
      </c>
      <c r="AK1845" s="168" t="str">
        <f t="shared" si="782"/>
        <v/>
      </c>
      <c r="AL1845" s="168" t="str">
        <f t="shared" si="783"/>
        <v/>
      </c>
      <c r="AM1845" s="168" t="str">
        <f t="shared" si="784"/>
        <v/>
      </c>
      <c r="AN1845" s="167" t="str">
        <f t="shared" si="767"/>
        <v>2011</v>
      </c>
      <c r="AO1845" s="167" t="str">
        <f t="shared" si="768"/>
        <v>2011</v>
      </c>
      <c r="AP1845" s="167" t="str">
        <f t="shared" si="769"/>
        <v>2011</v>
      </c>
      <c r="AQ1845" s="169" t="str">
        <f t="shared" si="770"/>
        <v/>
      </c>
      <c r="AR1845" s="170" t="str">
        <f t="shared" si="771"/>
        <v>BiK82GbK11--07</v>
      </c>
      <c r="AS1845" s="169" t="str">
        <f t="shared" si="772"/>
        <v/>
      </c>
      <c r="AT1845">
        <f t="shared" si="773"/>
        <v>14</v>
      </c>
      <c r="AU1845" s="170" t="str">
        <f t="shared" si="774"/>
        <v>0,15-0,5 MW, Bonusregeln G, b und K erstmals 2011</v>
      </c>
      <c r="AV1845" s="169" t="str">
        <f t="shared" si="775"/>
        <v/>
      </c>
      <c r="AW1845" s="170" t="str">
        <f t="shared" si="776"/>
        <v>Anteil KWK, erstmals 2011</v>
      </c>
      <c r="AX1845" s="169" t="str">
        <f t="shared" si="777"/>
        <v/>
      </c>
      <c r="AY1845" t="str">
        <f t="shared" si="778"/>
        <v>x</v>
      </c>
      <c r="AZ1845" t="str">
        <f t="shared" si="779"/>
        <v/>
      </c>
    </row>
    <row r="1846" spans="1:52" s="145" customFormat="1" x14ac:dyDescent="0.35">
      <c r="A1846" s="511" t="s">
        <v>1850</v>
      </c>
      <c r="B1846" s="173" t="s">
        <v>5547</v>
      </c>
      <c r="C1846" s="173" t="s">
        <v>1304</v>
      </c>
      <c r="D1846" s="173" t="s">
        <v>7159</v>
      </c>
      <c r="E1846" s="173" t="s">
        <v>1980</v>
      </c>
      <c r="F1846" s="374">
        <f t="shared" si="786"/>
        <v>21.37</v>
      </c>
      <c r="G1846" s="431">
        <v>21.37</v>
      </c>
      <c r="H1846" s="400">
        <f t="shared" si="787"/>
        <v>17.100000000000001</v>
      </c>
      <c r="I1846" s="577"/>
      <c r="J1846" s="549" t="s">
        <v>5804</v>
      </c>
      <c r="K1846" s="11"/>
      <c r="L1846"/>
      <c r="M1846" s="37">
        <f t="shared" si="788"/>
        <v>21.37</v>
      </c>
      <c r="N1846" s="29">
        <v>9.4600000000000009</v>
      </c>
      <c r="O1846" s="149"/>
      <c r="P1846" s="144"/>
      <c r="S1846" s="145" t="s">
        <v>4179</v>
      </c>
      <c r="T1846" s="145" t="s">
        <v>1017</v>
      </c>
      <c r="U1846" s="146"/>
      <c r="W1846" s="147"/>
      <c r="X1846" s="147"/>
      <c r="Y1846" s="145" t="s">
        <v>1017</v>
      </c>
      <c r="Z1846" s="147"/>
      <c r="AC1846" s="147"/>
      <c r="AE1846" s="148" t="s">
        <v>1017</v>
      </c>
      <c r="AF1846" s="147"/>
      <c r="AG1846" s="147"/>
      <c r="AH1846" s="171" t="s">
        <v>4178</v>
      </c>
      <c r="AI1846" s="168" t="str">
        <f t="shared" si="780"/>
        <v/>
      </c>
      <c r="AJ1846" s="168" t="str">
        <f t="shared" si="781"/>
        <v/>
      </c>
      <c r="AK1846" s="168" t="str">
        <f t="shared" si="782"/>
        <v/>
      </c>
      <c r="AL1846" s="168" t="str">
        <f t="shared" si="783"/>
        <v/>
      </c>
      <c r="AM1846" s="168" t="str">
        <f t="shared" si="784"/>
        <v/>
      </c>
      <c r="AN1846" s="167" t="str">
        <f t="shared" si="767"/>
        <v>2012</v>
      </c>
      <c r="AO1846" s="167" t="str">
        <f t="shared" si="768"/>
        <v>2012</v>
      </c>
      <c r="AP1846" s="167" t="str">
        <f t="shared" si="769"/>
        <v>2012</v>
      </c>
      <c r="AQ1846" s="169" t="str">
        <f t="shared" si="770"/>
        <v/>
      </c>
      <c r="AR1846" s="170" t="str">
        <f t="shared" si="771"/>
        <v>BiK82GbK12--07</v>
      </c>
      <c r="AS1846" s="169" t="str">
        <f t="shared" si="772"/>
        <v/>
      </c>
      <c r="AT1846">
        <f t="shared" si="773"/>
        <v>14</v>
      </c>
      <c r="AU1846" s="170" t="str">
        <f t="shared" si="774"/>
        <v>0,15-0,5 MW, Bonusregeln G, b und K erstmals 2012</v>
      </c>
      <c r="AV1846" s="169" t="str">
        <f t="shared" si="775"/>
        <v/>
      </c>
      <c r="AW1846" s="170" t="str">
        <f t="shared" si="776"/>
        <v>Anteil KWK, erstmals 2012</v>
      </c>
      <c r="AX1846" s="169" t="str">
        <f t="shared" si="777"/>
        <v/>
      </c>
      <c r="AY1846" t="str">
        <f t="shared" si="778"/>
        <v/>
      </c>
      <c r="AZ1846" t="str">
        <f t="shared" si="779"/>
        <v>x</v>
      </c>
    </row>
    <row r="1847" spans="1:52" s="145" customFormat="1" x14ac:dyDescent="0.35">
      <c r="A1847" s="497" t="s">
        <v>679</v>
      </c>
      <c r="B1847" s="13" t="s">
        <v>5547</v>
      </c>
      <c r="C1847" s="13" t="s">
        <v>1304</v>
      </c>
      <c r="D1847" s="13" t="s">
        <v>7160</v>
      </c>
      <c r="E1847" s="13" t="s">
        <v>4809</v>
      </c>
      <c r="F1847" s="373">
        <f t="shared" si="786"/>
        <v>19.46</v>
      </c>
      <c r="G1847" s="430">
        <v>19.46</v>
      </c>
      <c r="H1847" s="399">
        <f t="shared" si="787"/>
        <v>15.57</v>
      </c>
      <c r="I1847" s="576"/>
      <c r="J1847" s="549" t="s">
        <v>5804</v>
      </c>
      <c r="K1847" s="11"/>
      <c r="L1847"/>
      <c r="M1847" s="37">
        <f t="shared" si="788"/>
        <v>19.46</v>
      </c>
      <c r="N1847" s="29">
        <v>9.4600000000000009</v>
      </c>
      <c r="O1847" s="149"/>
      <c r="P1847" s="144"/>
      <c r="S1847" s="145" t="s">
        <v>4179</v>
      </c>
      <c r="T1847" s="145" t="s">
        <v>4179</v>
      </c>
      <c r="U1847" s="146" t="s">
        <v>1017</v>
      </c>
      <c r="W1847" s="147"/>
      <c r="X1847" s="147"/>
      <c r="Y1847" s="145" t="s">
        <v>1017</v>
      </c>
      <c r="Z1847" s="147"/>
      <c r="AC1847" s="147"/>
      <c r="AE1847" s="148" t="s">
        <v>1017</v>
      </c>
      <c r="AF1847" s="147"/>
      <c r="AG1847" s="147"/>
      <c r="AH1847" s="166" t="str">
        <f t="shared" ref="AH1847:AH1852" si="793">IF(ISERROR(SEARCH("K erstmals 201",D1847)),"",RIGHT(D1847,4))</f>
        <v/>
      </c>
      <c r="AI1847" s="168" t="str">
        <f t="shared" si="780"/>
        <v/>
      </c>
      <c r="AJ1847" s="168" t="str">
        <f t="shared" si="781"/>
        <v/>
      </c>
      <c r="AK1847" s="168" t="str">
        <f t="shared" si="782"/>
        <v/>
      </c>
      <c r="AL1847" s="168" t="str">
        <f t="shared" si="783"/>
        <v/>
      </c>
      <c r="AM1847" s="168" t="str">
        <f t="shared" si="784"/>
        <v/>
      </c>
      <c r="AN1847" s="167" t="str">
        <f t="shared" si="767"/>
        <v/>
      </c>
      <c r="AO1847" s="167" t="str">
        <f t="shared" si="768"/>
        <v/>
      </c>
      <c r="AP1847" s="167" t="str">
        <f t="shared" si="769"/>
        <v/>
      </c>
      <c r="AQ1847" s="169" t="str">
        <f t="shared" si="770"/>
        <v/>
      </c>
      <c r="AR1847" s="170" t="str">
        <f t="shared" si="771"/>
        <v>BiK82Gby----07</v>
      </c>
      <c r="AS1847" s="169" t="str">
        <f t="shared" si="772"/>
        <v/>
      </c>
      <c r="AT1847">
        <f t="shared" si="773"/>
        <v>14</v>
      </c>
      <c r="AU1847" s="170" t="str">
        <f t="shared" si="774"/>
        <v>0,15-0,5 MW, Bonusregeln G, y, b</v>
      </c>
      <c r="AV1847" s="169" t="str">
        <f t="shared" si="775"/>
        <v/>
      </c>
      <c r="AW1847" s="170" t="str">
        <f t="shared" si="776"/>
        <v>Anteil Nicht-KWK</v>
      </c>
      <c r="AX1847" s="169" t="str">
        <f t="shared" si="777"/>
        <v/>
      </c>
      <c r="AY1847" t="str">
        <f t="shared" si="778"/>
        <v/>
      </c>
      <c r="AZ1847" t="str">
        <f t="shared" si="779"/>
        <v/>
      </c>
    </row>
    <row r="1848" spans="1:52" s="145" customFormat="1" x14ac:dyDescent="0.35">
      <c r="A1848" s="497" t="s">
        <v>680</v>
      </c>
      <c r="B1848" s="13" t="s">
        <v>5547</v>
      </c>
      <c r="C1848" s="13" t="s">
        <v>1304</v>
      </c>
      <c r="D1848" s="13" t="s">
        <v>7161</v>
      </c>
      <c r="E1848" s="13" t="s">
        <v>4811</v>
      </c>
      <c r="F1848" s="373">
        <f t="shared" si="786"/>
        <v>21.46</v>
      </c>
      <c r="G1848" s="430">
        <v>21.46</v>
      </c>
      <c r="H1848" s="399">
        <f t="shared" si="787"/>
        <v>17.170000000000002</v>
      </c>
      <c r="I1848" s="576"/>
      <c r="J1848" s="549" t="s">
        <v>5804</v>
      </c>
      <c r="K1848" s="11"/>
      <c r="L1848"/>
      <c r="M1848" s="37">
        <f t="shared" si="788"/>
        <v>21.46</v>
      </c>
      <c r="N1848" s="29">
        <v>9.4600000000000009</v>
      </c>
      <c r="O1848" s="149" t="s">
        <v>1017</v>
      </c>
      <c r="P1848" s="144"/>
      <c r="S1848" s="145" t="s">
        <v>4179</v>
      </c>
      <c r="T1848" s="145" t="s">
        <v>4179</v>
      </c>
      <c r="U1848" s="146" t="s">
        <v>1017</v>
      </c>
      <c r="W1848" s="147"/>
      <c r="X1848" s="147"/>
      <c r="Y1848" s="145" t="s">
        <v>1017</v>
      </c>
      <c r="Z1848" s="147"/>
      <c r="AC1848" s="147"/>
      <c r="AE1848" s="148" t="s">
        <v>1017</v>
      </c>
      <c r="AF1848" s="147"/>
      <c r="AG1848" s="147"/>
      <c r="AH1848" s="166" t="str">
        <f t="shared" si="793"/>
        <v/>
      </c>
      <c r="AI1848" s="168" t="str">
        <f t="shared" si="780"/>
        <v/>
      </c>
      <c r="AJ1848" s="168" t="str">
        <f t="shared" si="781"/>
        <v/>
      </c>
      <c r="AK1848" s="168" t="str">
        <f t="shared" si="782"/>
        <v/>
      </c>
      <c r="AL1848" s="168" t="str">
        <f t="shared" si="783"/>
        <v/>
      </c>
      <c r="AM1848" s="168" t="str">
        <f t="shared" si="784"/>
        <v/>
      </c>
      <c r="AN1848" s="167" t="str">
        <f t="shared" si="767"/>
        <v/>
      </c>
      <c r="AO1848" s="167" t="str">
        <f t="shared" si="768"/>
        <v/>
      </c>
      <c r="AP1848" s="167" t="str">
        <f t="shared" si="769"/>
        <v/>
      </c>
      <c r="AQ1848" s="169" t="str">
        <f t="shared" si="770"/>
        <v/>
      </c>
      <c r="AR1848" s="170" t="str">
        <f t="shared" si="771"/>
        <v>BiK82GbKWKy-07</v>
      </c>
      <c r="AS1848" s="169" t="str">
        <f t="shared" si="772"/>
        <v/>
      </c>
      <c r="AT1848">
        <f t="shared" si="773"/>
        <v>14</v>
      </c>
      <c r="AU1848" s="170" t="str">
        <f t="shared" si="774"/>
        <v>0,15-0,5 MW, Bonusregeln G, y, b und KWK</v>
      </c>
      <c r="AV1848" s="169" t="str">
        <f t="shared" si="775"/>
        <v/>
      </c>
      <c r="AW1848" s="170" t="str">
        <f t="shared" si="776"/>
        <v>Anteil KWK</v>
      </c>
      <c r="AX1848" s="169" t="str">
        <f t="shared" si="777"/>
        <v/>
      </c>
      <c r="AY1848" t="str">
        <f t="shared" si="778"/>
        <v/>
      </c>
      <c r="AZ1848" t="str">
        <f t="shared" si="779"/>
        <v/>
      </c>
    </row>
    <row r="1849" spans="1:52" s="145" customFormat="1" x14ac:dyDescent="0.35">
      <c r="A1849" s="497" t="s">
        <v>681</v>
      </c>
      <c r="B1849" s="13" t="s">
        <v>5547</v>
      </c>
      <c r="C1849" s="13" t="s">
        <v>1304</v>
      </c>
      <c r="D1849" s="88" t="s">
        <v>7162</v>
      </c>
      <c r="E1849" s="13" t="s">
        <v>4330</v>
      </c>
      <c r="F1849" s="373">
        <f t="shared" si="786"/>
        <v>22.46</v>
      </c>
      <c r="G1849" s="430">
        <v>22.46</v>
      </c>
      <c r="H1849" s="399">
        <f t="shared" si="787"/>
        <v>17.97</v>
      </c>
      <c r="I1849" s="576"/>
      <c r="J1849" s="549" t="s">
        <v>5804</v>
      </c>
      <c r="K1849" s="11"/>
      <c r="L1849"/>
      <c r="M1849" s="37">
        <f t="shared" si="788"/>
        <v>22.46</v>
      </c>
      <c r="N1849" s="29">
        <v>9.4600000000000009</v>
      </c>
      <c r="O1849" s="149"/>
      <c r="P1849" s="145" t="s">
        <v>1017</v>
      </c>
      <c r="S1849" s="145" t="s">
        <v>4179</v>
      </c>
      <c r="T1849" s="145" t="s">
        <v>4179</v>
      </c>
      <c r="U1849" s="146" t="s">
        <v>1017</v>
      </c>
      <c r="W1849" s="147"/>
      <c r="X1849" s="147"/>
      <c r="Y1849" s="145" t="s">
        <v>1017</v>
      </c>
      <c r="Z1849" s="147"/>
      <c r="AC1849" s="147"/>
      <c r="AE1849" s="148" t="s">
        <v>1017</v>
      </c>
      <c r="AF1849" s="147"/>
      <c r="AG1849" s="147"/>
      <c r="AH1849" s="166" t="str">
        <f t="shared" si="793"/>
        <v/>
      </c>
      <c r="AI1849" s="168" t="str">
        <f t="shared" si="780"/>
        <v/>
      </c>
      <c r="AJ1849" s="168" t="str">
        <f t="shared" si="781"/>
        <v/>
      </c>
      <c r="AK1849" s="168" t="str">
        <f t="shared" si="782"/>
        <v/>
      </c>
      <c r="AL1849" s="168" t="str">
        <f t="shared" si="783"/>
        <v/>
      </c>
      <c r="AM1849" s="168" t="str">
        <f t="shared" si="784"/>
        <v/>
      </c>
      <c r="AN1849" s="167" t="str">
        <f t="shared" si="767"/>
        <v/>
      </c>
      <c r="AO1849" s="167" t="str">
        <f t="shared" si="768"/>
        <v/>
      </c>
      <c r="AP1849" s="167" t="str">
        <f t="shared" si="769"/>
        <v/>
      </c>
      <c r="AQ1849" s="169" t="str">
        <f t="shared" si="770"/>
        <v/>
      </c>
      <c r="AR1849" s="170" t="str">
        <f t="shared" si="771"/>
        <v>BiK82GbKA3y-07</v>
      </c>
      <c r="AS1849" s="169" t="str">
        <f t="shared" si="772"/>
        <v/>
      </c>
      <c r="AT1849">
        <f t="shared" si="773"/>
        <v>14</v>
      </c>
      <c r="AU1849" s="170" t="str">
        <f t="shared" si="774"/>
        <v>0,15-0,5 MW, Bonusregeln G, y, b und K wenn Anlage 3 erfüllt</v>
      </c>
      <c r="AV1849" s="169" t="str">
        <f t="shared" si="775"/>
        <v/>
      </c>
      <c r="AW1849" s="170" t="str">
        <f t="shared" si="776"/>
        <v>Anteil KWK gemäß Anlage 3</v>
      </c>
      <c r="AX1849" s="169" t="str">
        <f t="shared" si="777"/>
        <v/>
      </c>
      <c r="AY1849" t="str">
        <f t="shared" si="778"/>
        <v/>
      </c>
      <c r="AZ1849" t="str">
        <f t="shared" si="779"/>
        <v/>
      </c>
    </row>
    <row r="1850" spans="1:52" s="145" customFormat="1" x14ac:dyDescent="0.35">
      <c r="A1850" s="497" t="s">
        <v>682</v>
      </c>
      <c r="B1850" s="13" t="s">
        <v>5547</v>
      </c>
      <c r="C1850" s="13" t="s">
        <v>1304</v>
      </c>
      <c r="D1850" s="13" t="s">
        <v>7163</v>
      </c>
      <c r="E1850" s="13" t="s">
        <v>674</v>
      </c>
      <c r="F1850" s="373">
        <f t="shared" si="786"/>
        <v>22.46</v>
      </c>
      <c r="G1850" s="430">
        <v>22.46</v>
      </c>
      <c r="H1850" s="399">
        <f t="shared" si="787"/>
        <v>17.97</v>
      </c>
      <c r="I1850" s="576"/>
      <c r="J1850" s="549" t="s">
        <v>5804</v>
      </c>
      <c r="K1850" s="11"/>
      <c r="L1850"/>
      <c r="M1850" s="37">
        <f t="shared" si="788"/>
        <v>22.46</v>
      </c>
      <c r="N1850" s="29">
        <v>9.4600000000000009</v>
      </c>
      <c r="O1850" s="149"/>
      <c r="P1850" s="144"/>
      <c r="Q1850" s="145" t="s">
        <v>1017</v>
      </c>
      <c r="S1850" s="145" t="s">
        <v>4179</v>
      </c>
      <c r="T1850" s="145" t="s">
        <v>4179</v>
      </c>
      <c r="U1850" s="146" t="s">
        <v>1017</v>
      </c>
      <c r="W1850" s="147"/>
      <c r="X1850" s="147"/>
      <c r="Y1850" s="145" t="s">
        <v>1017</v>
      </c>
      <c r="Z1850" s="147"/>
      <c r="AC1850" s="147"/>
      <c r="AE1850" s="148" t="s">
        <v>1017</v>
      </c>
      <c r="AF1850" s="147"/>
      <c r="AG1850" s="147"/>
      <c r="AH1850" s="166" t="str">
        <f t="shared" si="793"/>
        <v/>
      </c>
      <c r="AI1850" s="168" t="str">
        <f t="shared" si="780"/>
        <v/>
      </c>
      <c r="AJ1850" s="168" t="str">
        <f t="shared" si="781"/>
        <v/>
      </c>
      <c r="AK1850" s="168" t="str">
        <f t="shared" si="782"/>
        <v/>
      </c>
      <c r="AL1850" s="168" t="str">
        <f t="shared" si="783"/>
        <v/>
      </c>
      <c r="AM1850" s="168" t="str">
        <f t="shared" si="784"/>
        <v/>
      </c>
      <c r="AN1850" s="167" t="str">
        <f t="shared" si="767"/>
        <v/>
      </c>
      <c r="AO1850" s="167" t="str">
        <f t="shared" si="768"/>
        <v/>
      </c>
      <c r="AP1850" s="167" t="str">
        <f t="shared" si="769"/>
        <v/>
      </c>
      <c r="AQ1850" s="169" t="str">
        <f t="shared" si="770"/>
        <v/>
      </c>
      <c r="AR1850" s="170" t="str">
        <f t="shared" si="771"/>
        <v>BiK82GbK09y-07</v>
      </c>
      <c r="AS1850" s="169" t="str">
        <f t="shared" si="772"/>
        <v/>
      </c>
      <c r="AT1850">
        <f t="shared" si="773"/>
        <v>14</v>
      </c>
      <c r="AU1850" s="170" t="str">
        <f t="shared" si="774"/>
        <v>0,15-0,5 MW, Bonusregeln G, y, b und K erstmals 2009</v>
      </c>
      <c r="AV1850" s="169" t="str">
        <f t="shared" si="775"/>
        <v/>
      </c>
      <c r="AW1850" s="170" t="str">
        <f t="shared" si="776"/>
        <v>Anteil KWK, erstmals 2009</v>
      </c>
      <c r="AX1850" s="169" t="str">
        <f t="shared" si="777"/>
        <v/>
      </c>
      <c r="AY1850" t="str">
        <f t="shared" si="778"/>
        <v/>
      </c>
      <c r="AZ1850" t="str">
        <f t="shared" si="779"/>
        <v/>
      </c>
    </row>
    <row r="1851" spans="1:52" s="145" customFormat="1" x14ac:dyDescent="0.35">
      <c r="A1851" s="497" t="s">
        <v>3142</v>
      </c>
      <c r="B1851" s="13" t="s">
        <v>5547</v>
      </c>
      <c r="C1851" s="13" t="s">
        <v>1304</v>
      </c>
      <c r="D1851" s="13" t="s">
        <v>7164</v>
      </c>
      <c r="E1851" s="13" t="s">
        <v>3566</v>
      </c>
      <c r="F1851" s="373">
        <f t="shared" si="786"/>
        <v>22.43</v>
      </c>
      <c r="G1851" s="430">
        <v>22.43</v>
      </c>
      <c r="H1851" s="399">
        <f t="shared" si="787"/>
        <v>17.940000000000001</v>
      </c>
      <c r="I1851" s="576"/>
      <c r="J1851" s="549" t="s">
        <v>5804</v>
      </c>
      <c r="K1851" s="11"/>
      <c r="L1851"/>
      <c r="M1851" s="37">
        <f t="shared" si="788"/>
        <v>22.43</v>
      </c>
      <c r="N1851" s="29">
        <v>9.4600000000000009</v>
      </c>
      <c r="O1851" s="149"/>
      <c r="P1851" s="144"/>
      <c r="R1851" s="145" t="s">
        <v>1017</v>
      </c>
      <c r="S1851" s="145" t="s">
        <v>4179</v>
      </c>
      <c r="T1851" s="145" t="s">
        <v>4179</v>
      </c>
      <c r="U1851" s="146" t="s">
        <v>1017</v>
      </c>
      <c r="W1851" s="147"/>
      <c r="X1851" s="147"/>
      <c r="Y1851" s="145" t="s">
        <v>1017</v>
      </c>
      <c r="Z1851" s="147"/>
      <c r="AC1851" s="147"/>
      <c r="AE1851" s="148" t="s">
        <v>1017</v>
      </c>
      <c r="AF1851" s="147"/>
      <c r="AG1851" s="147"/>
      <c r="AH1851" s="166" t="str">
        <f t="shared" si="793"/>
        <v>2010</v>
      </c>
      <c r="AI1851" s="168" t="str">
        <f t="shared" si="780"/>
        <v/>
      </c>
      <c r="AJ1851" s="168" t="str">
        <f t="shared" si="781"/>
        <v/>
      </c>
      <c r="AK1851" s="168" t="str">
        <f t="shared" si="782"/>
        <v/>
      </c>
      <c r="AL1851" s="168" t="str">
        <f t="shared" si="783"/>
        <v/>
      </c>
      <c r="AM1851" s="168" t="str">
        <f t="shared" si="784"/>
        <v/>
      </c>
      <c r="AN1851" s="167" t="str">
        <f t="shared" si="767"/>
        <v>2010</v>
      </c>
      <c r="AO1851" s="167" t="str">
        <f t="shared" si="768"/>
        <v>2010</v>
      </c>
      <c r="AP1851" s="167" t="str">
        <f t="shared" si="769"/>
        <v>2010</v>
      </c>
      <c r="AQ1851" s="169" t="str">
        <f t="shared" si="770"/>
        <v/>
      </c>
      <c r="AR1851" s="170" t="str">
        <f t="shared" si="771"/>
        <v>BiK82GbK10y-07</v>
      </c>
      <c r="AS1851" s="169" t="str">
        <f t="shared" si="772"/>
        <v/>
      </c>
      <c r="AT1851">
        <f t="shared" si="773"/>
        <v>14</v>
      </c>
      <c r="AU1851" s="170" t="str">
        <f t="shared" si="774"/>
        <v>0,15-0,5 MW, Bonusregeln G, y, b und K erstmals 2010</v>
      </c>
      <c r="AV1851" s="169" t="str">
        <f t="shared" si="775"/>
        <v/>
      </c>
      <c r="AW1851" s="170" t="str">
        <f t="shared" si="776"/>
        <v>Anteil KWK, erstmals 2010</v>
      </c>
      <c r="AX1851" s="169" t="str">
        <f t="shared" si="777"/>
        <v/>
      </c>
      <c r="AY1851" t="str">
        <f t="shared" si="778"/>
        <v/>
      </c>
      <c r="AZ1851" t="str">
        <f t="shared" si="779"/>
        <v/>
      </c>
    </row>
    <row r="1852" spans="1:52" s="145" customFormat="1" x14ac:dyDescent="0.35">
      <c r="A1852" s="497" t="s">
        <v>3418</v>
      </c>
      <c r="B1852" s="13" t="s">
        <v>5547</v>
      </c>
      <c r="C1852" s="13" t="s">
        <v>1304</v>
      </c>
      <c r="D1852" s="13" t="s">
        <v>7165</v>
      </c>
      <c r="E1852" s="13" t="s">
        <v>3054</v>
      </c>
      <c r="F1852" s="373">
        <f t="shared" si="786"/>
        <v>22.4</v>
      </c>
      <c r="G1852" s="430">
        <v>22.4</v>
      </c>
      <c r="H1852" s="399">
        <f t="shared" si="787"/>
        <v>17.920000000000002</v>
      </c>
      <c r="I1852" s="576"/>
      <c r="J1852" s="549" t="s">
        <v>5804</v>
      </c>
      <c r="K1852" s="11"/>
      <c r="L1852"/>
      <c r="M1852" s="37">
        <f t="shared" si="788"/>
        <v>22.4</v>
      </c>
      <c r="N1852" s="29">
        <v>9.4600000000000009</v>
      </c>
      <c r="O1852" s="149"/>
      <c r="P1852" s="144"/>
      <c r="S1852" s="145" t="s">
        <v>1017</v>
      </c>
      <c r="T1852" s="145" t="s">
        <v>4179</v>
      </c>
      <c r="U1852" s="146" t="s">
        <v>1017</v>
      </c>
      <c r="W1852" s="147"/>
      <c r="X1852" s="147"/>
      <c r="Y1852" s="145" t="s">
        <v>1017</v>
      </c>
      <c r="Z1852" s="147"/>
      <c r="AC1852" s="147"/>
      <c r="AE1852" s="148" t="s">
        <v>1017</v>
      </c>
      <c r="AF1852" s="147"/>
      <c r="AG1852" s="147"/>
      <c r="AH1852" s="166" t="str">
        <f t="shared" si="793"/>
        <v>2011</v>
      </c>
      <c r="AI1852" s="168" t="str">
        <f t="shared" si="780"/>
        <v/>
      </c>
      <c r="AJ1852" s="168" t="str">
        <f t="shared" si="781"/>
        <v/>
      </c>
      <c r="AK1852" s="168" t="str">
        <f t="shared" si="782"/>
        <v/>
      </c>
      <c r="AL1852" s="168" t="str">
        <f t="shared" si="783"/>
        <v/>
      </c>
      <c r="AM1852" s="168" t="str">
        <f t="shared" si="784"/>
        <v/>
      </c>
      <c r="AN1852" s="167" t="str">
        <f t="shared" si="767"/>
        <v>2011</v>
      </c>
      <c r="AO1852" s="167" t="str">
        <f t="shared" si="768"/>
        <v>2011</v>
      </c>
      <c r="AP1852" s="167" t="str">
        <f t="shared" si="769"/>
        <v>2011</v>
      </c>
      <c r="AQ1852" s="169" t="str">
        <f t="shared" si="770"/>
        <v/>
      </c>
      <c r="AR1852" s="170" t="str">
        <f t="shared" si="771"/>
        <v>BiK82GbK11y-07</v>
      </c>
      <c r="AS1852" s="169" t="str">
        <f t="shared" si="772"/>
        <v/>
      </c>
      <c r="AT1852">
        <f t="shared" si="773"/>
        <v>14</v>
      </c>
      <c r="AU1852" s="170" t="str">
        <f t="shared" si="774"/>
        <v>0,15-0,5 MW, Bonusregeln G, y, b und K erstmals 2011</v>
      </c>
      <c r="AV1852" s="169" t="str">
        <f t="shared" si="775"/>
        <v/>
      </c>
      <c r="AW1852" s="170" t="str">
        <f t="shared" si="776"/>
        <v>Anteil KWK, erstmals 2011</v>
      </c>
      <c r="AX1852" s="169" t="str">
        <f t="shared" si="777"/>
        <v/>
      </c>
      <c r="AY1852" t="str">
        <f t="shared" si="778"/>
        <v>x</v>
      </c>
      <c r="AZ1852" t="str">
        <f t="shared" si="779"/>
        <v/>
      </c>
    </row>
    <row r="1853" spans="1:52" s="145" customFormat="1" x14ac:dyDescent="0.35">
      <c r="A1853" s="511" t="s">
        <v>1851</v>
      </c>
      <c r="B1853" s="173" t="s">
        <v>5547</v>
      </c>
      <c r="C1853" s="173" t="s">
        <v>1304</v>
      </c>
      <c r="D1853" s="173" t="s">
        <v>7166</v>
      </c>
      <c r="E1853" s="173" t="s">
        <v>1980</v>
      </c>
      <c r="F1853" s="374">
        <f t="shared" si="786"/>
        <v>22.37</v>
      </c>
      <c r="G1853" s="431">
        <v>22.37</v>
      </c>
      <c r="H1853" s="400">
        <f t="shared" si="787"/>
        <v>17.899999999999999</v>
      </c>
      <c r="I1853" s="577"/>
      <c r="J1853" s="549" t="s">
        <v>5804</v>
      </c>
      <c r="K1853" s="11"/>
      <c r="L1853"/>
      <c r="M1853" s="37">
        <f t="shared" si="788"/>
        <v>22.37</v>
      </c>
      <c r="N1853" s="29">
        <v>9.4600000000000009</v>
      </c>
      <c r="O1853" s="149"/>
      <c r="P1853" s="144"/>
      <c r="S1853" s="145" t="s">
        <v>4179</v>
      </c>
      <c r="T1853" s="145" t="s">
        <v>1017</v>
      </c>
      <c r="U1853" s="146" t="s">
        <v>1017</v>
      </c>
      <c r="W1853" s="147"/>
      <c r="X1853" s="147"/>
      <c r="Y1853" s="145" t="s">
        <v>1017</v>
      </c>
      <c r="Z1853" s="147"/>
      <c r="AC1853" s="147"/>
      <c r="AE1853" s="148" t="s">
        <v>1017</v>
      </c>
      <c r="AF1853" s="147"/>
      <c r="AG1853" s="147"/>
      <c r="AH1853" s="171" t="s">
        <v>4178</v>
      </c>
      <c r="AI1853" s="168" t="str">
        <f t="shared" si="780"/>
        <v/>
      </c>
      <c r="AJ1853" s="168" t="str">
        <f t="shared" si="781"/>
        <v/>
      </c>
      <c r="AK1853" s="168" t="str">
        <f t="shared" si="782"/>
        <v/>
      </c>
      <c r="AL1853" s="168" t="str">
        <f t="shared" si="783"/>
        <v/>
      </c>
      <c r="AM1853" s="168" t="str">
        <f t="shared" si="784"/>
        <v/>
      </c>
      <c r="AN1853" s="167" t="str">
        <f t="shared" si="767"/>
        <v>2012</v>
      </c>
      <c r="AO1853" s="167" t="str">
        <f t="shared" si="768"/>
        <v>2012</v>
      </c>
      <c r="AP1853" s="167" t="str">
        <f t="shared" si="769"/>
        <v>2012</v>
      </c>
      <c r="AQ1853" s="169" t="str">
        <f t="shared" si="770"/>
        <v/>
      </c>
      <c r="AR1853" s="170" t="str">
        <f t="shared" si="771"/>
        <v>BiK82GbK12y-07</v>
      </c>
      <c r="AS1853" s="169" t="str">
        <f t="shared" si="772"/>
        <v/>
      </c>
      <c r="AT1853">
        <f t="shared" si="773"/>
        <v>14</v>
      </c>
      <c r="AU1853" s="170" t="str">
        <f t="shared" si="774"/>
        <v>0,15-0,5 MW, Bonusregeln G, y, b und K erstmals 2012</v>
      </c>
      <c r="AV1853" s="169" t="str">
        <f t="shared" si="775"/>
        <v/>
      </c>
      <c r="AW1853" s="170" t="str">
        <f t="shared" si="776"/>
        <v>Anteil KWK, erstmals 2012</v>
      </c>
      <c r="AX1853" s="169" t="str">
        <f t="shared" si="777"/>
        <v/>
      </c>
      <c r="AY1853" t="str">
        <f t="shared" si="778"/>
        <v/>
      </c>
      <c r="AZ1853" t="str">
        <f t="shared" si="779"/>
        <v>x</v>
      </c>
    </row>
    <row r="1854" spans="1:52" s="145" customFormat="1" x14ac:dyDescent="0.35">
      <c r="A1854" s="497" t="s">
        <v>4720</v>
      </c>
      <c r="B1854" s="13" t="s">
        <v>5547</v>
      </c>
      <c r="C1854" s="13" t="s">
        <v>1304</v>
      </c>
      <c r="D1854" s="13" t="s">
        <v>7167</v>
      </c>
      <c r="E1854" s="13" t="s">
        <v>4809</v>
      </c>
      <c r="F1854" s="373">
        <f t="shared" si="786"/>
        <v>19.46</v>
      </c>
      <c r="G1854" s="430">
        <v>19.46</v>
      </c>
      <c r="H1854" s="399">
        <f t="shared" si="787"/>
        <v>15.57</v>
      </c>
      <c r="I1854" s="576"/>
      <c r="J1854" s="549" t="s">
        <v>5804</v>
      </c>
      <c r="K1854" s="11"/>
      <c r="L1854"/>
      <c r="M1854" s="37">
        <f t="shared" si="788"/>
        <v>19.46</v>
      </c>
      <c r="N1854" s="29">
        <v>9.4600000000000009</v>
      </c>
      <c r="O1854" s="149"/>
      <c r="P1854" s="144"/>
      <c r="S1854" s="145" t="s">
        <v>4179</v>
      </c>
      <c r="T1854" s="145" t="s">
        <v>4179</v>
      </c>
      <c r="U1854" s="146"/>
      <c r="W1854" s="147"/>
      <c r="X1854" s="147"/>
      <c r="Z1854" s="147"/>
      <c r="AA1854" s="145" t="s">
        <v>1017</v>
      </c>
      <c r="AC1854" s="147"/>
      <c r="AE1854" s="148" t="s">
        <v>1017</v>
      </c>
      <c r="AF1854" s="147"/>
      <c r="AG1854" s="147"/>
      <c r="AH1854" s="166" t="str">
        <f t="shared" ref="AH1854:AH1859" si="794">IF(ISERROR(SEARCH("K erstmals 201",D1854)),"",RIGHT(D1854,4))</f>
        <v/>
      </c>
      <c r="AI1854" s="168" t="str">
        <f t="shared" si="780"/>
        <v/>
      </c>
      <c r="AJ1854" s="168" t="str">
        <f t="shared" si="781"/>
        <v/>
      </c>
      <c r="AK1854" s="168" t="str">
        <f t="shared" si="782"/>
        <v/>
      </c>
      <c r="AL1854" s="168" t="str">
        <f t="shared" si="783"/>
        <v/>
      </c>
      <c r="AM1854" s="168" t="str">
        <f t="shared" si="784"/>
        <v/>
      </c>
      <c r="AN1854" s="167" t="str">
        <f t="shared" si="767"/>
        <v/>
      </c>
      <c r="AO1854" s="167" t="str">
        <f t="shared" si="768"/>
        <v/>
      </c>
      <c r="AP1854" s="167" t="str">
        <f t="shared" si="769"/>
        <v/>
      </c>
      <c r="AQ1854" s="169" t="str">
        <f t="shared" si="770"/>
        <v/>
      </c>
      <c r="AR1854" s="170" t="str">
        <f t="shared" si="771"/>
        <v>BiK82M2b----07</v>
      </c>
      <c r="AS1854" s="169" t="str">
        <f t="shared" si="772"/>
        <v/>
      </c>
      <c r="AT1854">
        <f t="shared" si="773"/>
        <v>14</v>
      </c>
      <c r="AU1854" s="170" t="str">
        <f t="shared" si="774"/>
        <v>0,15-0,5 MW, Bonusregeln M2, b</v>
      </c>
      <c r="AV1854" s="169" t="str">
        <f t="shared" si="775"/>
        <v/>
      </c>
      <c r="AW1854" s="170" t="str">
        <f t="shared" si="776"/>
        <v>Anteil Nicht-KWK</v>
      </c>
      <c r="AX1854" s="169" t="str">
        <f t="shared" si="777"/>
        <v/>
      </c>
      <c r="AY1854" t="str">
        <f t="shared" si="778"/>
        <v/>
      </c>
      <c r="AZ1854" t="str">
        <f t="shared" si="779"/>
        <v/>
      </c>
    </row>
    <row r="1855" spans="1:52" s="145" customFormat="1" x14ac:dyDescent="0.35">
      <c r="A1855" s="497" t="s">
        <v>4721</v>
      </c>
      <c r="B1855" s="13" t="s">
        <v>5547</v>
      </c>
      <c r="C1855" s="13" t="s">
        <v>1304</v>
      </c>
      <c r="D1855" s="13" t="s">
        <v>7168</v>
      </c>
      <c r="E1855" s="13" t="s">
        <v>4811</v>
      </c>
      <c r="F1855" s="373">
        <f t="shared" si="786"/>
        <v>21.46</v>
      </c>
      <c r="G1855" s="430">
        <v>21.46</v>
      </c>
      <c r="H1855" s="399">
        <f t="shared" si="787"/>
        <v>17.170000000000002</v>
      </c>
      <c r="I1855" s="576"/>
      <c r="J1855" s="549" t="s">
        <v>5804</v>
      </c>
      <c r="K1855" s="11"/>
      <c r="L1855"/>
      <c r="M1855" s="37">
        <f t="shared" si="788"/>
        <v>21.46</v>
      </c>
      <c r="N1855" s="29">
        <v>9.4600000000000009</v>
      </c>
      <c r="O1855" s="149" t="s">
        <v>1017</v>
      </c>
      <c r="P1855" s="144"/>
      <c r="S1855" s="145" t="s">
        <v>4179</v>
      </c>
      <c r="T1855" s="145" t="s">
        <v>4179</v>
      </c>
      <c r="U1855" s="146"/>
      <c r="W1855" s="147"/>
      <c r="X1855" s="147"/>
      <c r="Z1855" s="147"/>
      <c r="AA1855" s="145" t="s">
        <v>1017</v>
      </c>
      <c r="AC1855" s="147"/>
      <c r="AE1855" s="148" t="s">
        <v>1017</v>
      </c>
      <c r="AF1855" s="147"/>
      <c r="AG1855" s="147"/>
      <c r="AH1855" s="166" t="str">
        <f t="shared" si="794"/>
        <v/>
      </c>
      <c r="AI1855" s="168" t="str">
        <f t="shared" si="780"/>
        <v/>
      </c>
      <c r="AJ1855" s="168" t="str">
        <f t="shared" si="781"/>
        <v/>
      </c>
      <c r="AK1855" s="168" t="str">
        <f t="shared" si="782"/>
        <v/>
      </c>
      <c r="AL1855" s="168" t="str">
        <f t="shared" si="783"/>
        <v/>
      </c>
      <c r="AM1855" s="168" t="str">
        <f t="shared" si="784"/>
        <v/>
      </c>
      <c r="AN1855" s="167" t="str">
        <f t="shared" si="767"/>
        <v/>
      </c>
      <c r="AO1855" s="167" t="str">
        <f t="shared" si="768"/>
        <v/>
      </c>
      <c r="AP1855" s="167" t="str">
        <f t="shared" si="769"/>
        <v/>
      </c>
      <c r="AQ1855" s="169" t="str">
        <f t="shared" si="770"/>
        <v/>
      </c>
      <c r="AR1855" s="170" t="str">
        <f t="shared" si="771"/>
        <v>BiK82M2bKWK-07</v>
      </c>
      <c r="AS1855" s="169" t="str">
        <f t="shared" si="772"/>
        <v/>
      </c>
      <c r="AT1855">
        <f t="shared" si="773"/>
        <v>14</v>
      </c>
      <c r="AU1855" s="170" t="str">
        <f t="shared" si="774"/>
        <v>0,15-0,5 MW, Bonusregeln M2, b und KWK</v>
      </c>
      <c r="AV1855" s="169" t="str">
        <f t="shared" si="775"/>
        <v/>
      </c>
      <c r="AW1855" s="170" t="str">
        <f t="shared" si="776"/>
        <v>Anteil KWK</v>
      </c>
      <c r="AX1855" s="169" t="str">
        <f t="shared" si="777"/>
        <v/>
      </c>
      <c r="AY1855" t="str">
        <f t="shared" si="778"/>
        <v/>
      </c>
      <c r="AZ1855" t="str">
        <f t="shared" si="779"/>
        <v/>
      </c>
    </row>
    <row r="1856" spans="1:52" s="145" customFormat="1" x14ac:dyDescent="0.35">
      <c r="A1856" s="497" t="s">
        <v>4722</v>
      </c>
      <c r="B1856" s="13" t="s">
        <v>5547</v>
      </c>
      <c r="C1856" s="13" t="s">
        <v>1304</v>
      </c>
      <c r="D1856" s="13" t="s">
        <v>7169</v>
      </c>
      <c r="E1856" s="13" t="s">
        <v>4330</v>
      </c>
      <c r="F1856" s="373">
        <f t="shared" si="786"/>
        <v>22.46</v>
      </c>
      <c r="G1856" s="430">
        <v>22.46</v>
      </c>
      <c r="H1856" s="399">
        <f t="shared" si="787"/>
        <v>17.97</v>
      </c>
      <c r="I1856" s="576"/>
      <c r="J1856" s="549" t="s">
        <v>5804</v>
      </c>
      <c r="K1856" s="11"/>
      <c r="L1856"/>
      <c r="M1856" s="37">
        <f t="shared" si="788"/>
        <v>22.46</v>
      </c>
      <c r="N1856" s="29">
        <v>9.4600000000000009</v>
      </c>
      <c r="O1856" s="149"/>
      <c r="P1856" s="145" t="s">
        <v>1017</v>
      </c>
      <c r="S1856" s="145" t="s">
        <v>4179</v>
      </c>
      <c r="T1856" s="145" t="s">
        <v>4179</v>
      </c>
      <c r="U1856" s="146"/>
      <c r="W1856" s="147"/>
      <c r="X1856" s="147"/>
      <c r="Z1856" s="147"/>
      <c r="AA1856" s="145" t="s">
        <v>1017</v>
      </c>
      <c r="AC1856" s="147"/>
      <c r="AE1856" s="148" t="s">
        <v>1017</v>
      </c>
      <c r="AF1856" s="147"/>
      <c r="AG1856" s="147"/>
      <c r="AH1856" s="166" t="str">
        <f t="shared" si="794"/>
        <v/>
      </c>
      <c r="AI1856" s="168" t="str">
        <f t="shared" si="780"/>
        <v/>
      </c>
      <c r="AJ1856" s="168" t="str">
        <f t="shared" si="781"/>
        <v/>
      </c>
      <c r="AK1856" s="168" t="str">
        <f t="shared" si="782"/>
        <v/>
      </c>
      <c r="AL1856" s="168" t="str">
        <f t="shared" si="783"/>
        <v/>
      </c>
      <c r="AM1856" s="168" t="str">
        <f t="shared" si="784"/>
        <v/>
      </c>
      <c r="AN1856" s="167" t="str">
        <f t="shared" si="767"/>
        <v/>
      </c>
      <c r="AO1856" s="167" t="str">
        <f t="shared" si="768"/>
        <v/>
      </c>
      <c r="AP1856" s="167" t="str">
        <f t="shared" si="769"/>
        <v/>
      </c>
      <c r="AQ1856" s="169" t="str">
        <f t="shared" si="770"/>
        <v/>
      </c>
      <c r="AR1856" s="170" t="str">
        <f t="shared" si="771"/>
        <v>BiK82M2bKA3-07</v>
      </c>
      <c r="AS1856" s="169" t="str">
        <f t="shared" si="772"/>
        <v/>
      </c>
      <c r="AT1856">
        <f t="shared" si="773"/>
        <v>14</v>
      </c>
      <c r="AU1856" s="170" t="str">
        <f t="shared" si="774"/>
        <v>0,15-0,5 MW, Bonusregeln M2, b und K wenn Anlage 3 erfüllt</v>
      </c>
      <c r="AV1856" s="169" t="str">
        <f t="shared" si="775"/>
        <v/>
      </c>
      <c r="AW1856" s="170" t="str">
        <f t="shared" si="776"/>
        <v>Anteil KWK gemäß Anlage 3</v>
      </c>
      <c r="AX1856" s="169" t="str">
        <f t="shared" si="777"/>
        <v/>
      </c>
      <c r="AY1856" t="str">
        <f t="shared" si="778"/>
        <v/>
      </c>
      <c r="AZ1856" t="str">
        <f t="shared" si="779"/>
        <v/>
      </c>
    </row>
    <row r="1857" spans="1:52" s="145" customFormat="1" x14ac:dyDescent="0.35">
      <c r="A1857" s="497" t="s">
        <v>4723</v>
      </c>
      <c r="B1857" s="13" t="s">
        <v>5547</v>
      </c>
      <c r="C1857" s="13" t="s">
        <v>1304</v>
      </c>
      <c r="D1857" s="13" t="s">
        <v>7170</v>
      </c>
      <c r="E1857" s="13" t="s">
        <v>674</v>
      </c>
      <c r="F1857" s="373">
        <f t="shared" si="786"/>
        <v>22.46</v>
      </c>
      <c r="G1857" s="430">
        <v>22.46</v>
      </c>
      <c r="H1857" s="399">
        <f t="shared" si="787"/>
        <v>17.97</v>
      </c>
      <c r="I1857" s="576"/>
      <c r="J1857" s="549" t="s">
        <v>5804</v>
      </c>
      <c r="K1857" s="11"/>
      <c r="L1857"/>
      <c r="M1857" s="37">
        <f t="shared" si="788"/>
        <v>22.46</v>
      </c>
      <c r="N1857" s="29">
        <v>9.4600000000000009</v>
      </c>
      <c r="O1857" s="149"/>
      <c r="P1857" s="144"/>
      <c r="Q1857" s="145" t="s">
        <v>1017</v>
      </c>
      <c r="S1857" s="145" t="s">
        <v>4179</v>
      </c>
      <c r="T1857" s="145" t="s">
        <v>4179</v>
      </c>
      <c r="U1857" s="146"/>
      <c r="W1857" s="147"/>
      <c r="X1857" s="147"/>
      <c r="Z1857" s="147"/>
      <c r="AA1857" s="145" t="s">
        <v>1017</v>
      </c>
      <c r="AC1857" s="147"/>
      <c r="AE1857" s="148" t="s">
        <v>1017</v>
      </c>
      <c r="AF1857" s="147"/>
      <c r="AG1857" s="147"/>
      <c r="AH1857" s="166" t="str">
        <f t="shared" si="794"/>
        <v/>
      </c>
      <c r="AI1857" s="168" t="str">
        <f t="shared" si="780"/>
        <v/>
      </c>
      <c r="AJ1857" s="168" t="str">
        <f t="shared" si="781"/>
        <v/>
      </c>
      <c r="AK1857" s="168" t="str">
        <f t="shared" si="782"/>
        <v/>
      </c>
      <c r="AL1857" s="168" t="str">
        <f t="shared" si="783"/>
        <v/>
      </c>
      <c r="AM1857" s="168" t="str">
        <f t="shared" si="784"/>
        <v/>
      </c>
      <c r="AN1857" s="167" t="str">
        <f t="shared" si="767"/>
        <v/>
      </c>
      <c r="AO1857" s="167" t="str">
        <f t="shared" si="768"/>
        <v/>
      </c>
      <c r="AP1857" s="167" t="str">
        <f t="shared" si="769"/>
        <v/>
      </c>
      <c r="AQ1857" s="169" t="str">
        <f t="shared" si="770"/>
        <v/>
      </c>
      <c r="AR1857" s="170" t="str">
        <f t="shared" si="771"/>
        <v>BiK82M2bK09-07</v>
      </c>
      <c r="AS1857" s="169" t="str">
        <f t="shared" si="772"/>
        <v/>
      </c>
      <c r="AT1857">
        <f t="shared" si="773"/>
        <v>14</v>
      </c>
      <c r="AU1857" s="170" t="str">
        <f t="shared" si="774"/>
        <v>0,15-0,5 MW, Bonusregeln M2, b und K erstmals 2009</v>
      </c>
      <c r="AV1857" s="169" t="str">
        <f t="shared" si="775"/>
        <v/>
      </c>
      <c r="AW1857" s="170" t="str">
        <f t="shared" si="776"/>
        <v>Anteil KWK, erstmals 2009</v>
      </c>
      <c r="AX1857" s="169" t="str">
        <f t="shared" si="777"/>
        <v/>
      </c>
      <c r="AY1857" t="str">
        <f t="shared" si="778"/>
        <v/>
      </c>
      <c r="AZ1857" t="str">
        <f t="shared" si="779"/>
        <v/>
      </c>
    </row>
    <row r="1858" spans="1:52" s="145" customFormat="1" x14ac:dyDescent="0.35">
      <c r="A1858" s="497" t="s">
        <v>3143</v>
      </c>
      <c r="B1858" s="13" t="s">
        <v>5547</v>
      </c>
      <c r="C1858" s="13" t="s">
        <v>1304</v>
      </c>
      <c r="D1858" s="13" t="s">
        <v>7171</v>
      </c>
      <c r="E1858" s="13" t="s">
        <v>3566</v>
      </c>
      <c r="F1858" s="373">
        <f t="shared" si="786"/>
        <v>22.43</v>
      </c>
      <c r="G1858" s="430">
        <v>22.43</v>
      </c>
      <c r="H1858" s="399">
        <f t="shared" si="787"/>
        <v>17.940000000000001</v>
      </c>
      <c r="I1858" s="576"/>
      <c r="J1858" s="549" t="s">
        <v>5804</v>
      </c>
      <c r="K1858" s="11"/>
      <c r="L1858"/>
      <c r="M1858" s="37">
        <f t="shared" si="788"/>
        <v>22.43</v>
      </c>
      <c r="N1858" s="29">
        <v>9.4600000000000009</v>
      </c>
      <c r="O1858" s="149"/>
      <c r="P1858" s="144"/>
      <c r="R1858" s="145" t="s">
        <v>1017</v>
      </c>
      <c r="S1858" s="145" t="s">
        <v>4179</v>
      </c>
      <c r="T1858" s="145" t="s">
        <v>4179</v>
      </c>
      <c r="U1858" s="146"/>
      <c r="W1858" s="147"/>
      <c r="X1858" s="147"/>
      <c r="Z1858" s="147"/>
      <c r="AA1858" s="145" t="s">
        <v>1017</v>
      </c>
      <c r="AC1858" s="147"/>
      <c r="AE1858" s="148" t="s">
        <v>1017</v>
      </c>
      <c r="AF1858" s="147"/>
      <c r="AG1858" s="147"/>
      <c r="AH1858" s="166" t="str">
        <f t="shared" si="794"/>
        <v>2010</v>
      </c>
      <c r="AI1858" s="168" t="str">
        <f t="shared" si="780"/>
        <v/>
      </c>
      <c r="AJ1858" s="168" t="str">
        <f t="shared" si="781"/>
        <v/>
      </c>
      <c r="AK1858" s="168" t="str">
        <f t="shared" si="782"/>
        <v/>
      </c>
      <c r="AL1858" s="168" t="str">
        <f t="shared" si="783"/>
        <v/>
      </c>
      <c r="AM1858" s="168" t="str">
        <f t="shared" si="784"/>
        <v/>
      </c>
      <c r="AN1858" s="167" t="str">
        <f t="shared" si="767"/>
        <v>2010</v>
      </c>
      <c r="AO1858" s="167" t="str">
        <f t="shared" si="768"/>
        <v>2010</v>
      </c>
      <c r="AP1858" s="167" t="str">
        <f t="shared" si="769"/>
        <v>2010</v>
      </c>
      <c r="AQ1858" s="169" t="str">
        <f t="shared" si="770"/>
        <v/>
      </c>
      <c r="AR1858" s="170" t="str">
        <f t="shared" si="771"/>
        <v>BiK82M2bK10-07</v>
      </c>
      <c r="AS1858" s="169" t="str">
        <f t="shared" si="772"/>
        <v/>
      </c>
      <c r="AT1858">
        <f t="shared" si="773"/>
        <v>14</v>
      </c>
      <c r="AU1858" s="170" t="str">
        <f t="shared" si="774"/>
        <v>0,15-0,5 MW, Bonusregeln M2, b und K erstmals 2010</v>
      </c>
      <c r="AV1858" s="169" t="str">
        <f t="shared" si="775"/>
        <v/>
      </c>
      <c r="AW1858" s="170" t="str">
        <f t="shared" si="776"/>
        <v>Anteil KWK, erstmals 2010</v>
      </c>
      <c r="AX1858" s="169" t="str">
        <f t="shared" si="777"/>
        <v/>
      </c>
      <c r="AY1858" t="str">
        <f t="shared" si="778"/>
        <v/>
      </c>
      <c r="AZ1858" t="str">
        <f t="shared" si="779"/>
        <v/>
      </c>
    </row>
    <row r="1859" spans="1:52" s="145" customFormat="1" x14ac:dyDescent="0.35">
      <c r="A1859" s="497" t="s">
        <v>3419</v>
      </c>
      <c r="B1859" s="13" t="s">
        <v>5547</v>
      </c>
      <c r="C1859" s="13" t="s">
        <v>1304</v>
      </c>
      <c r="D1859" s="13" t="s">
        <v>7172</v>
      </c>
      <c r="E1859" s="13" t="s">
        <v>3054</v>
      </c>
      <c r="F1859" s="373">
        <f t="shared" si="786"/>
        <v>22.4</v>
      </c>
      <c r="G1859" s="430">
        <v>22.4</v>
      </c>
      <c r="H1859" s="399">
        <f t="shared" si="787"/>
        <v>17.920000000000002</v>
      </c>
      <c r="I1859" s="576"/>
      <c r="J1859" s="549" t="s">
        <v>5804</v>
      </c>
      <c r="K1859" s="11"/>
      <c r="L1859"/>
      <c r="M1859" s="37">
        <f t="shared" si="788"/>
        <v>22.4</v>
      </c>
      <c r="N1859" s="29">
        <v>9.4600000000000009</v>
      </c>
      <c r="O1859" s="149"/>
      <c r="P1859" s="144"/>
      <c r="S1859" s="145" t="s">
        <v>1017</v>
      </c>
      <c r="T1859" s="145" t="s">
        <v>4179</v>
      </c>
      <c r="U1859" s="146"/>
      <c r="W1859" s="147"/>
      <c r="X1859" s="147"/>
      <c r="Z1859" s="147"/>
      <c r="AA1859" s="145" t="s">
        <v>1017</v>
      </c>
      <c r="AC1859" s="147"/>
      <c r="AE1859" s="148" t="s">
        <v>1017</v>
      </c>
      <c r="AF1859" s="147"/>
      <c r="AG1859" s="147"/>
      <c r="AH1859" s="166" t="str">
        <f t="shared" si="794"/>
        <v>2011</v>
      </c>
      <c r="AI1859" s="168" t="str">
        <f t="shared" si="780"/>
        <v/>
      </c>
      <c r="AJ1859" s="168" t="str">
        <f t="shared" si="781"/>
        <v/>
      </c>
      <c r="AK1859" s="168" t="str">
        <f t="shared" si="782"/>
        <v/>
      </c>
      <c r="AL1859" s="168" t="str">
        <f t="shared" si="783"/>
        <v/>
      </c>
      <c r="AM1859" s="168" t="str">
        <f t="shared" si="784"/>
        <v/>
      </c>
      <c r="AN1859" s="167" t="str">
        <f t="shared" si="767"/>
        <v>2011</v>
      </c>
      <c r="AO1859" s="167" t="str">
        <f t="shared" si="768"/>
        <v>2011</v>
      </c>
      <c r="AP1859" s="167" t="str">
        <f t="shared" si="769"/>
        <v>2011</v>
      </c>
      <c r="AQ1859" s="169" t="str">
        <f t="shared" si="770"/>
        <v/>
      </c>
      <c r="AR1859" s="170" t="str">
        <f t="shared" si="771"/>
        <v>BiK82M2bK11-07</v>
      </c>
      <c r="AS1859" s="169" t="str">
        <f t="shared" si="772"/>
        <v/>
      </c>
      <c r="AT1859">
        <f t="shared" si="773"/>
        <v>14</v>
      </c>
      <c r="AU1859" s="170" t="str">
        <f t="shared" si="774"/>
        <v>0,15-0,5 MW, Bonusregeln M2, b und K erstmals 2011</v>
      </c>
      <c r="AV1859" s="169" t="str">
        <f t="shared" si="775"/>
        <v/>
      </c>
      <c r="AW1859" s="170" t="str">
        <f t="shared" si="776"/>
        <v>Anteil KWK, erstmals 2011</v>
      </c>
      <c r="AX1859" s="169" t="str">
        <f t="shared" si="777"/>
        <v/>
      </c>
      <c r="AY1859" t="str">
        <f t="shared" si="778"/>
        <v>x</v>
      </c>
      <c r="AZ1859" t="str">
        <f t="shared" si="779"/>
        <v/>
      </c>
    </row>
    <row r="1860" spans="1:52" s="145" customFormat="1" x14ac:dyDescent="0.35">
      <c r="A1860" s="511" t="s">
        <v>1852</v>
      </c>
      <c r="B1860" s="173" t="s">
        <v>5547</v>
      </c>
      <c r="C1860" s="173" t="s">
        <v>1304</v>
      </c>
      <c r="D1860" s="173" t="s">
        <v>7173</v>
      </c>
      <c r="E1860" s="173" t="s">
        <v>1980</v>
      </c>
      <c r="F1860" s="374">
        <f t="shared" si="786"/>
        <v>22.37</v>
      </c>
      <c r="G1860" s="431">
        <v>22.37</v>
      </c>
      <c r="H1860" s="400">
        <f t="shared" si="787"/>
        <v>17.899999999999999</v>
      </c>
      <c r="I1860" s="577"/>
      <c r="J1860" s="549" t="s">
        <v>5804</v>
      </c>
      <c r="K1860" s="11"/>
      <c r="L1860"/>
      <c r="M1860" s="37">
        <f t="shared" si="788"/>
        <v>22.37</v>
      </c>
      <c r="N1860" s="29">
        <v>9.4600000000000009</v>
      </c>
      <c r="O1860" s="149"/>
      <c r="P1860" s="144"/>
      <c r="S1860" s="145" t="s">
        <v>4179</v>
      </c>
      <c r="T1860" s="145" t="s">
        <v>1017</v>
      </c>
      <c r="U1860" s="146"/>
      <c r="W1860" s="147"/>
      <c r="X1860" s="147"/>
      <c r="Z1860" s="147"/>
      <c r="AA1860" s="145" t="s">
        <v>1017</v>
      </c>
      <c r="AC1860" s="147"/>
      <c r="AE1860" s="148" t="s">
        <v>1017</v>
      </c>
      <c r="AF1860" s="147"/>
      <c r="AG1860" s="147"/>
      <c r="AH1860" s="171" t="s">
        <v>4178</v>
      </c>
      <c r="AI1860" s="168" t="str">
        <f t="shared" si="780"/>
        <v/>
      </c>
      <c r="AJ1860" s="168" t="str">
        <f t="shared" si="781"/>
        <v/>
      </c>
      <c r="AK1860" s="168" t="str">
        <f t="shared" si="782"/>
        <v/>
      </c>
      <c r="AL1860" s="168" t="str">
        <f t="shared" si="783"/>
        <v/>
      </c>
      <c r="AM1860" s="168" t="str">
        <f t="shared" si="784"/>
        <v/>
      </c>
      <c r="AN1860" s="167" t="str">
        <f t="shared" si="767"/>
        <v>2012</v>
      </c>
      <c r="AO1860" s="167" t="str">
        <f t="shared" si="768"/>
        <v>2012</v>
      </c>
      <c r="AP1860" s="167" t="str">
        <f t="shared" si="769"/>
        <v>2012</v>
      </c>
      <c r="AQ1860" s="169" t="str">
        <f t="shared" si="770"/>
        <v/>
      </c>
      <c r="AR1860" s="170" t="str">
        <f t="shared" si="771"/>
        <v>BiK82M2bK12-07</v>
      </c>
      <c r="AS1860" s="169" t="str">
        <f t="shared" si="772"/>
        <v/>
      </c>
      <c r="AT1860">
        <f t="shared" si="773"/>
        <v>14</v>
      </c>
      <c r="AU1860" s="170" t="str">
        <f t="shared" si="774"/>
        <v>0,15-0,5 MW, Bonusregeln M2, b und K erstmals 2012</v>
      </c>
      <c r="AV1860" s="169" t="str">
        <f t="shared" si="775"/>
        <v/>
      </c>
      <c r="AW1860" s="170" t="str">
        <f t="shared" si="776"/>
        <v>Anteil KWK, erstmals 2012</v>
      </c>
      <c r="AX1860" s="169" t="str">
        <f t="shared" si="777"/>
        <v/>
      </c>
      <c r="AY1860" t="str">
        <f t="shared" si="778"/>
        <v/>
      </c>
      <c r="AZ1860" t="str">
        <f t="shared" si="779"/>
        <v>x</v>
      </c>
    </row>
    <row r="1861" spans="1:52" s="145" customFormat="1" x14ac:dyDescent="0.35">
      <c r="A1861" s="497" t="s">
        <v>4724</v>
      </c>
      <c r="B1861" s="13" t="s">
        <v>5547</v>
      </c>
      <c r="C1861" s="13" t="s">
        <v>1304</v>
      </c>
      <c r="D1861" s="13" t="s">
        <v>7174</v>
      </c>
      <c r="E1861" s="13" t="s">
        <v>4809</v>
      </c>
      <c r="F1861" s="373">
        <f t="shared" si="786"/>
        <v>20.46</v>
      </c>
      <c r="G1861" s="430">
        <v>20.46</v>
      </c>
      <c r="H1861" s="399">
        <f t="shared" si="787"/>
        <v>16.37</v>
      </c>
      <c r="I1861" s="576"/>
      <c r="J1861" s="549" t="s">
        <v>5804</v>
      </c>
      <c r="K1861" s="11"/>
      <c r="L1861"/>
      <c r="M1861" s="37">
        <f t="shared" si="788"/>
        <v>20.46</v>
      </c>
      <c r="N1861" s="29">
        <v>9.4600000000000009</v>
      </c>
      <c r="O1861" s="149"/>
      <c r="P1861" s="144"/>
      <c r="S1861" s="145" t="s">
        <v>4179</v>
      </c>
      <c r="T1861" s="145" t="s">
        <v>4179</v>
      </c>
      <c r="U1861" s="146" t="s">
        <v>1017</v>
      </c>
      <c r="W1861" s="147"/>
      <c r="X1861" s="147"/>
      <c r="Z1861" s="147"/>
      <c r="AA1861" s="145" t="s">
        <v>1017</v>
      </c>
      <c r="AC1861" s="147"/>
      <c r="AE1861" s="148" t="s">
        <v>1017</v>
      </c>
      <c r="AF1861" s="147"/>
      <c r="AG1861" s="147"/>
      <c r="AH1861" s="166" t="str">
        <f t="shared" ref="AH1861:AH1866" si="795">IF(ISERROR(SEARCH("K erstmals 201",D1861)),"",RIGHT(D1861,4))</f>
        <v/>
      </c>
      <c r="AI1861" s="168" t="str">
        <f t="shared" si="780"/>
        <v/>
      </c>
      <c r="AJ1861" s="168" t="str">
        <f t="shared" si="781"/>
        <v/>
      </c>
      <c r="AK1861" s="168" t="str">
        <f t="shared" si="782"/>
        <v/>
      </c>
      <c r="AL1861" s="168" t="str">
        <f t="shared" si="783"/>
        <v/>
      </c>
      <c r="AM1861" s="168" t="str">
        <f t="shared" si="784"/>
        <v/>
      </c>
      <c r="AN1861" s="167" t="str">
        <f t="shared" si="767"/>
        <v/>
      </c>
      <c r="AO1861" s="167" t="str">
        <f t="shared" si="768"/>
        <v/>
      </c>
      <c r="AP1861" s="167" t="str">
        <f t="shared" si="769"/>
        <v/>
      </c>
      <c r="AQ1861" s="169" t="str">
        <f t="shared" si="770"/>
        <v/>
      </c>
      <c r="AR1861" s="170" t="str">
        <f t="shared" si="771"/>
        <v>BiK82M2by---07</v>
      </c>
      <c r="AS1861" s="169" t="str">
        <f t="shared" si="772"/>
        <v/>
      </c>
      <c r="AT1861">
        <f t="shared" si="773"/>
        <v>14</v>
      </c>
      <c r="AU1861" s="170" t="str">
        <f t="shared" si="774"/>
        <v>0,15-0,5 MW, Bonusregeln M2, y, b</v>
      </c>
      <c r="AV1861" s="169" t="str">
        <f t="shared" si="775"/>
        <v/>
      </c>
      <c r="AW1861" s="170" t="str">
        <f t="shared" si="776"/>
        <v>Anteil Nicht-KWK</v>
      </c>
      <c r="AX1861" s="169" t="str">
        <f t="shared" si="777"/>
        <v/>
      </c>
      <c r="AY1861" t="str">
        <f t="shared" si="778"/>
        <v/>
      </c>
      <c r="AZ1861" t="str">
        <f t="shared" si="779"/>
        <v/>
      </c>
    </row>
    <row r="1862" spans="1:52" s="145" customFormat="1" x14ac:dyDescent="0.35">
      <c r="A1862" s="497" t="s">
        <v>4725</v>
      </c>
      <c r="B1862" s="13" t="s">
        <v>5547</v>
      </c>
      <c r="C1862" s="13" t="s">
        <v>1304</v>
      </c>
      <c r="D1862" s="13" t="s">
        <v>7175</v>
      </c>
      <c r="E1862" s="13" t="s">
        <v>4811</v>
      </c>
      <c r="F1862" s="373">
        <f t="shared" si="786"/>
        <v>22.46</v>
      </c>
      <c r="G1862" s="430">
        <v>22.46</v>
      </c>
      <c r="H1862" s="399">
        <f t="shared" si="787"/>
        <v>17.97</v>
      </c>
      <c r="I1862" s="576"/>
      <c r="J1862" s="549" t="s">
        <v>5804</v>
      </c>
      <c r="K1862" s="11"/>
      <c r="L1862"/>
      <c r="M1862" s="37">
        <f t="shared" si="788"/>
        <v>22.46</v>
      </c>
      <c r="N1862" s="29">
        <v>9.4600000000000009</v>
      </c>
      <c r="O1862" s="149" t="s">
        <v>1017</v>
      </c>
      <c r="P1862" s="144"/>
      <c r="S1862" s="145" t="s">
        <v>4179</v>
      </c>
      <c r="T1862" s="145" t="s">
        <v>4179</v>
      </c>
      <c r="U1862" s="146" t="s">
        <v>1017</v>
      </c>
      <c r="W1862" s="147"/>
      <c r="X1862" s="147"/>
      <c r="Z1862" s="147"/>
      <c r="AA1862" s="145" t="s">
        <v>1017</v>
      </c>
      <c r="AC1862" s="147"/>
      <c r="AE1862" s="148" t="s">
        <v>1017</v>
      </c>
      <c r="AF1862" s="147"/>
      <c r="AG1862" s="147"/>
      <c r="AH1862" s="166" t="str">
        <f t="shared" si="795"/>
        <v/>
      </c>
      <c r="AI1862" s="168" t="str">
        <f t="shared" si="780"/>
        <v/>
      </c>
      <c r="AJ1862" s="168" t="str">
        <f t="shared" si="781"/>
        <v/>
      </c>
      <c r="AK1862" s="168" t="str">
        <f t="shared" si="782"/>
        <v/>
      </c>
      <c r="AL1862" s="168" t="str">
        <f t="shared" si="783"/>
        <v/>
      </c>
      <c r="AM1862" s="168" t="str">
        <f t="shared" si="784"/>
        <v/>
      </c>
      <c r="AN1862" s="167" t="str">
        <f t="shared" si="767"/>
        <v/>
      </c>
      <c r="AO1862" s="167" t="str">
        <f t="shared" si="768"/>
        <v/>
      </c>
      <c r="AP1862" s="167" t="str">
        <f t="shared" si="769"/>
        <v/>
      </c>
      <c r="AQ1862" s="169" t="str">
        <f t="shared" si="770"/>
        <v/>
      </c>
      <c r="AR1862" s="170" t="str">
        <f t="shared" si="771"/>
        <v>BiK82M2bKWKy07</v>
      </c>
      <c r="AS1862" s="169" t="str">
        <f t="shared" si="772"/>
        <v/>
      </c>
      <c r="AT1862">
        <f t="shared" si="773"/>
        <v>14</v>
      </c>
      <c r="AU1862" s="170" t="str">
        <f t="shared" si="774"/>
        <v>0,15-0,5 MW, Bonusregeln M2, y, b und KWK</v>
      </c>
      <c r="AV1862" s="169" t="str">
        <f t="shared" si="775"/>
        <v/>
      </c>
      <c r="AW1862" s="170" t="str">
        <f t="shared" si="776"/>
        <v>Anteil KWK</v>
      </c>
      <c r="AX1862" s="169" t="str">
        <f t="shared" si="777"/>
        <v/>
      </c>
      <c r="AY1862" t="str">
        <f t="shared" si="778"/>
        <v/>
      </c>
      <c r="AZ1862" t="str">
        <f t="shared" si="779"/>
        <v/>
      </c>
    </row>
    <row r="1863" spans="1:52" s="145" customFormat="1" x14ac:dyDescent="0.35">
      <c r="A1863" s="497" t="s">
        <v>4726</v>
      </c>
      <c r="B1863" s="13" t="s">
        <v>5547</v>
      </c>
      <c r="C1863" s="13" t="s">
        <v>1304</v>
      </c>
      <c r="D1863" s="88" t="s">
        <v>7176</v>
      </c>
      <c r="E1863" s="13" t="s">
        <v>4330</v>
      </c>
      <c r="F1863" s="373">
        <f t="shared" si="786"/>
        <v>23.46</v>
      </c>
      <c r="G1863" s="430">
        <v>23.46</v>
      </c>
      <c r="H1863" s="399">
        <f t="shared" si="787"/>
        <v>18.77</v>
      </c>
      <c r="I1863" s="576"/>
      <c r="J1863" s="549" t="s">
        <v>5804</v>
      </c>
      <c r="K1863" s="11"/>
      <c r="L1863"/>
      <c r="M1863" s="37">
        <f t="shared" si="788"/>
        <v>23.46</v>
      </c>
      <c r="N1863" s="29">
        <v>9.4600000000000009</v>
      </c>
      <c r="O1863" s="149"/>
      <c r="P1863" s="145" t="s">
        <v>1017</v>
      </c>
      <c r="S1863" s="145" t="s">
        <v>4179</v>
      </c>
      <c r="T1863" s="145" t="s">
        <v>4179</v>
      </c>
      <c r="U1863" s="146" t="s">
        <v>1017</v>
      </c>
      <c r="W1863" s="147"/>
      <c r="X1863" s="147"/>
      <c r="Z1863" s="147"/>
      <c r="AA1863" s="145" t="s">
        <v>1017</v>
      </c>
      <c r="AC1863" s="147"/>
      <c r="AE1863" s="148" t="s">
        <v>1017</v>
      </c>
      <c r="AF1863" s="147"/>
      <c r="AG1863" s="147"/>
      <c r="AH1863" s="166" t="str">
        <f t="shared" si="795"/>
        <v/>
      </c>
      <c r="AI1863" s="168" t="str">
        <f t="shared" si="780"/>
        <v/>
      </c>
      <c r="AJ1863" s="168" t="str">
        <f t="shared" si="781"/>
        <v/>
      </c>
      <c r="AK1863" s="168" t="str">
        <f t="shared" si="782"/>
        <v/>
      </c>
      <c r="AL1863" s="168" t="str">
        <f t="shared" si="783"/>
        <v/>
      </c>
      <c r="AM1863" s="168" t="str">
        <f t="shared" si="784"/>
        <v/>
      </c>
      <c r="AN1863" s="167" t="str">
        <f t="shared" si="767"/>
        <v/>
      </c>
      <c r="AO1863" s="167" t="str">
        <f t="shared" si="768"/>
        <v/>
      </c>
      <c r="AP1863" s="167" t="str">
        <f t="shared" si="769"/>
        <v/>
      </c>
      <c r="AQ1863" s="169" t="str">
        <f t="shared" si="770"/>
        <v/>
      </c>
      <c r="AR1863" s="170" t="str">
        <f t="shared" si="771"/>
        <v>BiK82M2bKA3y07</v>
      </c>
      <c r="AS1863" s="169" t="str">
        <f t="shared" si="772"/>
        <v/>
      </c>
      <c r="AT1863">
        <f t="shared" si="773"/>
        <v>14</v>
      </c>
      <c r="AU1863" s="170" t="str">
        <f t="shared" si="774"/>
        <v>0,15-0,5 MW, Bonusregeln M2, y, b und K wenn Anlage 3 erfüllt</v>
      </c>
      <c r="AV1863" s="169" t="str">
        <f t="shared" si="775"/>
        <v/>
      </c>
      <c r="AW1863" s="170" t="str">
        <f t="shared" si="776"/>
        <v>Anteil KWK gemäß Anlage 3</v>
      </c>
      <c r="AX1863" s="169" t="str">
        <f t="shared" si="777"/>
        <v/>
      </c>
      <c r="AY1863" t="str">
        <f t="shared" si="778"/>
        <v/>
      </c>
      <c r="AZ1863" t="str">
        <f t="shared" si="779"/>
        <v/>
      </c>
    </row>
    <row r="1864" spans="1:52" s="145" customFormat="1" x14ac:dyDescent="0.35">
      <c r="A1864" s="497" t="s">
        <v>4727</v>
      </c>
      <c r="B1864" s="13" t="s">
        <v>5547</v>
      </c>
      <c r="C1864" s="13" t="s">
        <v>1304</v>
      </c>
      <c r="D1864" s="13" t="s">
        <v>7177</v>
      </c>
      <c r="E1864" s="13" t="s">
        <v>674</v>
      </c>
      <c r="F1864" s="373">
        <f t="shared" si="786"/>
        <v>23.46</v>
      </c>
      <c r="G1864" s="430">
        <v>23.46</v>
      </c>
      <c r="H1864" s="399">
        <f t="shared" si="787"/>
        <v>18.77</v>
      </c>
      <c r="I1864" s="576"/>
      <c r="J1864" s="549" t="s">
        <v>5804</v>
      </c>
      <c r="K1864" s="11"/>
      <c r="L1864"/>
      <c r="M1864" s="37">
        <f t="shared" si="788"/>
        <v>23.46</v>
      </c>
      <c r="N1864" s="29">
        <v>9.4600000000000009</v>
      </c>
      <c r="O1864" s="149"/>
      <c r="P1864" s="144"/>
      <c r="Q1864" s="145" t="s">
        <v>1017</v>
      </c>
      <c r="S1864" s="145" t="s">
        <v>4179</v>
      </c>
      <c r="T1864" s="145" t="s">
        <v>4179</v>
      </c>
      <c r="U1864" s="146" t="s">
        <v>1017</v>
      </c>
      <c r="W1864" s="147"/>
      <c r="X1864" s="147"/>
      <c r="Z1864" s="147"/>
      <c r="AA1864" s="145" t="s">
        <v>1017</v>
      </c>
      <c r="AC1864" s="147"/>
      <c r="AE1864" s="148" t="s">
        <v>1017</v>
      </c>
      <c r="AF1864" s="147"/>
      <c r="AG1864" s="147"/>
      <c r="AH1864" s="166" t="str">
        <f t="shared" si="795"/>
        <v/>
      </c>
      <c r="AI1864" s="168" t="str">
        <f t="shared" si="780"/>
        <v/>
      </c>
      <c r="AJ1864" s="168" t="str">
        <f t="shared" si="781"/>
        <v/>
      </c>
      <c r="AK1864" s="168" t="str">
        <f t="shared" si="782"/>
        <v/>
      </c>
      <c r="AL1864" s="168" t="str">
        <f t="shared" si="783"/>
        <v/>
      </c>
      <c r="AM1864" s="168" t="str">
        <f t="shared" si="784"/>
        <v/>
      </c>
      <c r="AN1864" s="167" t="str">
        <f t="shared" si="767"/>
        <v/>
      </c>
      <c r="AO1864" s="167" t="str">
        <f t="shared" si="768"/>
        <v/>
      </c>
      <c r="AP1864" s="167" t="str">
        <f t="shared" si="769"/>
        <v/>
      </c>
      <c r="AQ1864" s="169" t="str">
        <f t="shared" si="770"/>
        <v/>
      </c>
      <c r="AR1864" s="170" t="str">
        <f t="shared" si="771"/>
        <v>BiK82M2bK09y07</v>
      </c>
      <c r="AS1864" s="169" t="str">
        <f t="shared" si="772"/>
        <v/>
      </c>
      <c r="AT1864">
        <f t="shared" si="773"/>
        <v>14</v>
      </c>
      <c r="AU1864" s="170" t="str">
        <f t="shared" si="774"/>
        <v>0,15-0,5 MW, Bonusregeln M2, y, b und K erstmals 2009</v>
      </c>
      <c r="AV1864" s="169" t="str">
        <f t="shared" si="775"/>
        <v/>
      </c>
      <c r="AW1864" s="170" t="str">
        <f t="shared" si="776"/>
        <v>Anteil KWK, erstmals 2009</v>
      </c>
      <c r="AX1864" s="169" t="str">
        <f t="shared" si="777"/>
        <v/>
      </c>
      <c r="AY1864" t="str">
        <f t="shared" si="778"/>
        <v/>
      </c>
      <c r="AZ1864" t="str">
        <f t="shared" si="779"/>
        <v/>
      </c>
    </row>
    <row r="1865" spans="1:52" s="145" customFormat="1" x14ac:dyDescent="0.35">
      <c r="A1865" s="497" t="s">
        <v>3144</v>
      </c>
      <c r="B1865" s="13" t="s">
        <v>5547</v>
      </c>
      <c r="C1865" s="13" t="s">
        <v>1304</v>
      </c>
      <c r="D1865" s="13" t="s">
        <v>7178</v>
      </c>
      <c r="E1865" s="13" t="s">
        <v>3566</v>
      </c>
      <c r="F1865" s="373">
        <f t="shared" si="786"/>
        <v>23.43</v>
      </c>
      <c r="G1865" s="430">
        <v>23.43</v>
      </c>
      <c r="H1865" s="399">
        <f t="shared" si="787"/>
        <v>18.739999999999998</v>
      </c>
      <c r="I1865" s="576"/>
      <c r="J1865" s="549" t="s">
        <v>5804</v>
      </c>
      <c r="K1865" s="11"/>
      <c r="L1865"/>
      <c r="M1865" s="37">
        <f t="shared" si="788"/>
        <v>23.43</v>
      </c>
      <c r="N1865" s="29">
        <v>9.4600000000000009</v>
      </c>
      <c r="O1865" s="149"/>
      <c r="P1865" s="144"/>
      <c r="R1865" s="145" t="s">
        <v>1017</v>
      </c>
      <c r="S1865" s="145" t="s">
        <v>4179</v>
      </c>
      <c r="T1865" s="145" t="s">
        <v>4179</v>
      </c>
      <c r="U1865" s="146" t="s">
        <v>1017</v>
      </c>
      <c r="W1865" s="147"/>
      <c r="X1865" s="147"/>
      <c r="Z1865" s="147"/>
      <c r="AA1865" s="145" t="s">
        <v>1017</v>
      </c>
      <c r="AC1865" s="147"/>
      <c r="AE1865" s="148" t="s">
        <v>1017</v>
      </c>
      <c r="AF1865" s="147"/>
      <c r="AG1865" s="147"/>
      <c r="AH1865" s="166" t="str">
        <f t="shared" si="795"/>
        <v>2010</v>
      </c>
      <c r="AI1865" s="168" t="str">
        <f t="shared" si="780"/>
        <v/>
      </c>
      <c r="AJ1865" s="168" t="str">
        <f t="shared" si="781"/>
        <v/>
      </c>
      <c r="AK1865" s="168" t="str">
        <f t="shared" si="782"/>
        <v/>
      </c>
      <c r="AL1865" s="168" t="str">
        <f t="shared" si="783"/>
        <v/>
      </c>
      <c r="AM1865" s="168" t="str">
        <f t="shared" si="784"/>
        <v/>
      </c>
      <c r="AN1865" s="167" t="str">
        <f t="shared" si="767"/>
        <v>2010</v>
      </c>
      <c r="AO1865" s="167" t="str">
        <f t="shared" si="768"/>
        <v>2010</v>
      </c>
      <c r="AP1865" s="167" t="str">
        <f t="shared" si="769"/>
        <v>2010</v>
      </c>
      <c r="AQ1865" s="169" t="str">
        <f t="shared" si="770"/>
        <v/>
      </c>
      <c r="AR1865" s="170" t="str">
        <f t="shared" si="771"/>
        <v>BiK82M2bK10y07</v>
      </c>
      <c r="AS1865" s="169" t="str">
        <f t="shared" si="772"/>
        <v/>
      </c>
      <c r="AT1865">
        <f t="shared" si="773"/>
        <v>14</v>
      </c>
      <c r="AU1865" s="170" t="str">
        <f t="shared" si="774"/>
        <v>0,15-0,5 MW, Bonusregeln M2, y, b und K erstmals 2010</v>
      </c>
      <c r="AV1865" s="169" t="str">
        <f t="shared" si="775"/>
        <v/>
      </c>
      <c r="AW1865" s="170" t="str">
        <f t="shared" si="776"/>
        <v>Anteil KWK, erstmals 2010</v>
      </c>
      <c r="AX1865" s="169" t="str">
        <f t="shared" si="777"/>
        <v/>
      </c>
      <c r="AY1865" t="str">
        <f t="shared" si="778"/>
        <v/>
      </c>
      <c r="AZ1865" t="str">
        <f t="shared" si="779"/>
        <v/>
      </c>
    </row>
    <row r="1866" spans="1:52" s="145" customFormat="1" x14ac:dyDescent="0.35">
      <c r="A1866" s="497" t="s">
        <v>3420</v>
      </c>
      <c r="B1866" s="13" t="s">
        <v>5547</v>
      </c>
      <c r="C1866" s="13" t="s">
        <v>1304</v>
      </c>
      <c r="D1866" s="13" t="s">
        <v>7179</v>
      </c>
      <c r="E1866" s="13" t="s">
        <v>3054</v>
      </c>
      <c r="F1866" s="373">
        <f t="shared" si="786"/>
        <v>23.4</v>
      </c>
      <c r="G1866" s="430">
        <v>23.4</v>
      </c>
      <c r="H1866" s="399">
        <f t="shared" si="787"/>
        <v>18.72</v>
      </c>
      <c r="I1866" s="576"/>
      <c r="J1866" s="549" t="s">
        <v>5804</v>
      </c>
      <c r="K1866" s="11"/>
      <c r="L1866"/>
      <c r="M1866" s="37">
        <f t="shared" si="788"/>
        <v>23.4</v>
      </c>
      <c r="N1866" s="29">
        <v>9.4600000000000009</v>
      </c>
      <c r="O1866" s="149"/>
      <c r="P1866" s="144"/>
      <c r="S1866" s="145" t="s">
        <v>1017</v>
      </c>
      <c r="T1866" s="145" t="s">
        <v>4179</v>
      </c>
      <c r="U1866" s="146" t="s">
        <v>1017</v>
      </c>
      <c r="W1866" s="147"/>
      <c r="X1866" s="147"/>
      <c r="Z1866" s="147"/>
      <c r="AA1866" s="145" t="s">
        <v>1017</v>
      </c>
      <c r="AC1866" s="147"/>
      <c r="AE1866" s="148" t="s">
        <v>1017</v>
      </c>
      <c r="AF1866" s="147"/>
      <c r="AG1866" s="147"/>
      <c r="AH1866" s="166" t="str">
        <f t="shared" si="795"/>
        <v>2011</v>
      </c>
      <c r="AI1866" s="168" t="str">
        <f t="shared" si="780"/>
        <v/>
      </c>
      <c r="AJ1866" s="168" t="str">
        <f t="shared" si="781"/>
        <v/>
      </c>
      <c r="AK1866" s="168" t="str">
        <f t="shared" si="782"/>
        <v/>
      </c>
      <c r="AL1866" s="168" t="str">
        <f t="shared" si="783"/>
        <v/>
      </c>
      <c r="AM1866" s="168" t="str">
        <f t="shared" si="784"/>
        <v/>
      </c>
      <c r="AN1866" s="167" t="str">
        <f t="shared" si="767"/>
        <v>2011</v>
      </c>
      <c r="AO1866" s="167" t="str">
        <f t="shared" si="768"/>
        <v>2011</v>
      </c>
      <c r="AP1866" s="167" t="str">
        <f t="shared" si="769"/>
        <v>2011</v>
      </c>
      <c r="AQ1866" s="169" t="str">
        <f t="shared" si="770"/>
        <v/>
      </c>
      <c r="AR1866" s="170" t="str">
        <f t="shared" si="771"/>
        <v>BiK82M2bK11y07</v>
      </c>
      <c r="AS1866" s="169" t="str">
        <f t="shared" si="772"/>
        <v/>
      </c>
      <c r="AT1866">
        <f t="shared" si="773"/>
        <v>14</v>
      </c>
      <c r="AU1866" s="170" t="str">
        <f t="shared" si="774"/>
        <v>0,15-0,5 MW, Bonusregeln M2, y, b und K erstmals 2011</v>
      </c>
      <c r="AV1866" s="169" t="str">
        <f t="shared" si="775"/>
        <v/>
      </c>
      <c r="AW1866" s="170" t="str">
        <f t="shared" si="776"/>
        <v>Anteil KWK, erstmals 2011</v>
      </c>
      <c r="AX1866" s="169" t="str">
        <f t="shared" si="777"/>
        <v/>
      </c>
      <c r="AY1866" t="str">
        <f t="shared" si="778"/>
        <v>x</v>
      </c>
      <c r="AZ1866" t="str">
        <f t="shared" si="779"/>
        <v/>
      </c>
    </row>
    <row r="1867" spans="1:52" s="145" customFormat="1" x14ac:dyDescent="0.35">
      <c r="A1867" s="511" t="s">
        <v>1853</v>
      </c>
      <c r="B1867" s="173" t="s">
        <v>5547</v>
      </c>
      <c r="C1867" s="173" t="s">
        <v>1304</v>
      </c>
      <c r="D1867" s="173" t="s">
        <v>7180</v>
      </c>
      <c r="E1867" s="173" t="s">
        <v>1980</v>
      </c>
      <c r="F1867" s="374">
        <f t="shared" si="786"/>
        <v>23.37</v>
      </c>
      <c r="G1867" s="431">
        <v>23.37</v>
      </c>
      <c r="H1867" s="400">
        <f t="shared" si="787"/>
        <v>18.7</v>
      </c>
      <c r="I1867" s="577"/>
      <c r="J1867" s="549" t="s">
        <v>5804</v>
      </c>
      <c r="K1867" s="11"/>
      <c r="L1867"/>
      <c r="M1867" s="37">
        <f t="shared" si="788"/>
        <v>23.37</v>
      </c>
      <c r="N1867" s="29">
        <v>9.4600000000000009</v>
      </c>
      <c r="O1867" s="149"/>
      <c r="P1867" s="144"/>
      <c r="S1867" s="145" t="s">
        <v>4179</v>
      </c>
      <c r="T1867" s="145" t="s">
        <v>1017</v>
      </c>
      <c r="U1867" s="146" t="s">
        <v>1017</v>
      </c>
      <c r="W1867" s="147"/>
      <c r="X1867" s="147"/>
      <c r="Z1867" s="147"/>
      <c r="AA1867" s="145" t="s">
        <v>1017</v>
      </c>
      <c r="AC1867" s="147"/>
      <c r="AE1867" s="148" t="s">
        <v>1017</v>
      </c>
      <c r="AF1867" s="147"/>
      <c r="AG1867" s="147"/>
      <c r="AH1867" s="171" t="s">
        <v>4178</v>
      </c>
      <c r="AI1867" s="168" t="str">
        <f t="shared" si="780"/>
        <v/>
      </c>
      <c r="AJ1867" s="168" t="str">
        <f t="shared" si="781"/>
        <v/>
      </c>
      <c r="AK1867" s="168" t="str">
        <f t="shared" si="782"/>
        <v/>
      </c>
      <c r="AL1867" s="168" t="str">
        <f t="shared" si="783"/>
        <v/>
      </c>
      <c r="AM1867" s="168" t="str">
        <f t="shared" si="784"/>
        <v/>
      </c>
      <c r="AN1867" s="167" t="str">
        <f t="shared" si="767"/>
        <v>2012</v>
      </c>
      <c r="AO1867" s="167" t="str">
        <f t="shared" si="768"/>
        <v>2012</v>
      </c>
      <c r="AP1867" s="167" t="str">
        <f t="shared" si="769"/>
        <v>2012</v>
      </c>
      <c r="AQ1867" s="169" t="str">
        <f t="shared" si="770"/>
        <v/>
      </c>
      <c r="AR1867" s="170" t="str">
        <f t="shared" si="771"/>
        <v>BiK82M2bK12y07</v>
      </c>
      <c r="AS1867" s="169" t="str">
        <f t="shared" si="772"/>
        <v/>
      </c>
      <c r="AT1867">
        <f t="shared" si="773"/>
        <v>14</v>
      </c>
      <c r="AU1867" s="170" t="str">
        <f t="shared" si="774"/>
        <v>0,15-0,5 MW, Bonusregeln M2, y, b und K erstmals 2012</v>
      </c>
      <c r="AV1867" s="169" t="str">
        <f t="shared" si="775"/>
        <v/>
      </c>
      <c r="AW1867" s="170" t="str">
        <f t="shared" si="776"/>
        <v>Anteil KWK, erstmals 2012</v>
      </c>
      <c r="AX1867" s="169" t="str">
        <f t="shared" si="777"/>
        <v/>
      </c>
      <c r="AY1867" t="str">
        <f t="shared" si="778"/>
        <v/>
      </c>
      <c r="AZ1867" t="str">
        <f t="shared" si="779"/>
        <v>x</v>
      </c>
    </row>
    <row r="1868" spans="1:52" s="145" customFormat="1" x14ac:dyDescent="0.35">
      <c r="A1868" s="497" t="s">
        <v>683</v>
      </c>
      <c r="B1868" s="13" t="s">
        <v>5547</v>
      </c>
      <c r="C1868" s="13" t="s">
        <v>1304</v>
      </c>
      <c r="D1868" s="13" t="s">
        <v>7181</v>
      </c>
      <c r="E1868" s="13" t="s">
        <v>4809</v>
      </c>
      <c r="F1868" s="373">
        <f t="shared" si="786"/>
        <v>20.46</v>
      </c>
      <c r="G1868" s="430">
        <v>20.46</v>
      </c>
      <c r="H1868" s="399">
        <f t="shared" si="787"/>
        <v>16.37</v>
      </c>
      <c r="I1868" s="576"/>
      <c r="J1868" s="549" t="s">
        <v>5804</v>
      </c>
      <c r="K1868" s="11"/>
      <c r="L1868"/>
      <c r="M1868" s="37">
        <f t="shared" si="788"/>
        <v>20.46</v>
      </c>
      <c r="N1868" s="29">
        <v>9.4600000000000009</v>
      </c>
      <c r="O1868" s="149"/>
      <c r="P1868" s="144"/>
      <c r="S1868" s="145" t="s">
        <v>4179</v>
      </c>
      <c r="T1868" s="145" t="s">
        <v>4179</v>
      </c>
      <c r="U1868" s="146"/>
      <c r="W1868" s="147"/>
      <c r="X1868" s="147"/>
      <c r="Z1868" s="147"/>
      <c r="AB1868" s="145" t="s">
        <v>1017</v>
      </c>
      <c r="AC1868" s="147"/>
      <c r="AE1868" s="148" t="s">
        <v>1017</v>
      </c>
      <c r="AF1868" s="147"/>
      <c r="AG1868" s="147"/>
      <c r="AH1868" s="166" t="str">
        <f t="shared" ref="AH1868:AH1873" si="796">IF(ISERROR(SEARCH("K erstmals 201",D1868)),"",RIGHT(D1868,4))</f>
        <v/>
      </c>
      <c r="AI1868" s="168" t="str">
        <f t="shared" si="780"/>
        <v/>
      </c>
      <c r="AJ1868" s="168" t="str">
        <f t="shared" si="781"/>
        <v/>
      </c>
      <c r="AK1868" s="168" t="str">
        <f t="shared" si="782"/>
        <v/>
      </c>
      <c r="AL1868" s="168" t="str">
        <f t="shared" si="783"/>
        <v/>
      </c>
      <c r="AM1868" s="168" t="str">
        <f t="shared" si="784"/>
        <v/>
      </c>
      <c r="AN1868" s="167" t="str">
        <f t="shared" si="767"/>
        <v/>
      </c>
      <c r="AO1868" s="167" t="str">
        <f t="shared" si="768"/>
        <v/>
      </c>
      <c r="AP1868" s="167" t="str">
        <f t="shared" si="769"/>
        <v/>
      </c>
      <c r="AQ1868" s="169" t="str">
        <f t="shared" si="770"/>
        <v/>
      </c>
      <c r="AR1868" s="170" t="str">
        <f t="shared" si="771"/>
        <v>BiK82Lb-----07</v>
      </c>
      <c r="AS1868" s="169" t="str">
        <f t="shared" si="772"/>
        <v/>
      </c>
      <c r="AT1868">
        <f t="shared" si="773"/>
        <v>14</v>
      </c>
      <c r="AU1868" s="170" t="str">
        <f t="shared" si="774"/>
        <v>0,15-0,5 MW, Bonusregeln L, b</v>
      </c>
      <c r="AV1868" s="169" t="str">
        <f t="shared" si="775"/>
        <v/>
      </c>
      <c r="AW1868" s="170" t="str">
        <f t="shared" si="776"/>
        <v>Anteil Nicht-KWK</v>
      </c>
      <c r="AX1868" s="169" t="str">
        <f t="shared" si="777"/>
        <v/>
      </c>
      <c r="AY1868" t="str">
        <f t="shared" si="778"/>
        <v/>
      </c>
      <c r="AZ1868" t="str">
        <f t="shared" si="779"/>
        <v/>
      </c>
    </row>
    <row r="1869" spans="1:52" s="145" customFormat="1" x14ac:dyDescent="0.35">
      <c r="A1869" s="497" t="s">
        <v>684</v>
      </c>
      <c r="B1869" s="13" t="s">
        <v>5547</v>
      </c>
      <c r="C1869" s="13" t="s">
        <v>1304</v>
      </c>
      <c r="D1869" s="13" t="s">
        <v>7182</v>
      </c>
      <c r="E1869" s="13" t="s">
        <v>4811</v>
      </c>
      <c r="F1869" s="373">
        <f t="shared" si="786"/>
        <v>22.46</v>
      </c>
      <c r="G1869" s="430">
        <v>22.46</v>
      </c>
      <c r="H1869" s="399">
        <f t="shared" si="787"/>
        <v>17.97</v>
      </c>
      <c r="I1869" s="576"/>
      <c r="J1869" s="549" t="s">
        <v>5804</v>
      </c>
      <c r="K1869" s="11"/>
      <c r="L1869"/>
      <c r="M1869" s="37">
        <f t="shared" si="788"/>
        <v>22.46</v>
      </c>
      <c r="N1869" s="29">
        <v>9.4600000000000009</v>
      </c>
      <c r="O1869" s="149" t="s">
        <v>1017</v>
      </c>
      <c r="P1869" s="144"/>
      <c r="S1869" s="145" t="s">
        <v>4179</v>
      </c>
      <c r="T1869" s="145" t="s">
        <v>4179</v>
      </c>
      <c r="U1869" s="146"/>
      <c r="W1869" s="147"/>
      <c r="X1869" s="147"/>
      <c r="Z1869" s="147"/>
      <c r="AB1869" s="145" t="s">
        <v>1017</v>
      </c>
      <c r="AC1869" s="147"/>
      <c r="AE1869" s="148" t="s">
        <v>1017</v>
      </c>
      <c r="AF1869" s="147"/>
      <c r="AG1869" s="147"/>
      <c r="AH1869" s="166" t="str">
        <f t="shared" si="796"/>
        <v/>
      </c>
      <c r="AI1869" s="168" t="str">
        <f t="shared" si="780"/>
        <v/>
      </c>
      <c r="AJ1869" s="168" t="str">
        <f t="shared" si="781"/>
        <v/>
      </c>
      <c r="AK1869" s="168" t="str">
        <f t="shared" si="782"/>
        <v/>
      </c>
      <c r="AL1869" s="168" t="str">
        <f t="shared" si="783"/>
        <v/>
      </c>
      <c r="AM1869" s="168" t="str">
        <f t="shared" si="784"/>
        <v/>
      </c>
      <c r="AN1869" s="167" t="str">
        <f t="shared" si="767"/>
        <v/>
      </c>
      <c r="AO1869" s="167" t="str">
        <f t="shared" si="768"/>
        <v/>
      </c>
      <c r="AP1869" s="167" t="str">
        <f t="shared" si="769"/>
        <v/>
      </c>
      <c r="AQ1869" s="169" t="str">
        <f t="shared" si="770"/>
        <v/>
      </c>
      <c r="AR1869" s="170" t="str">
        <f t="shared" si="771"/>
        <v>BiK82LbKWK--07</v>
      </c>
      <c r="AS1869" s="169" t="str">
        <f t="shared" si="772"/>
        <v/>
      </c>
      <c r="AT1869">
        <f t="shared" si="773"/>
        <v>14</v>
      </c>
      <c r="AU1869" s="170" t="str">
        <f t="shared" si="774"/>
        <v>0,15-0,5 MW, Bonusregeln L, b und KWK</v>
      </c>
      <c r="AV1869" s="169" t="str">
        <f t="shared" si="775"/>
        <v/>
      </c>
      <c r="AW1869" s="170" t="str">
        <f t="shared" si="776"/>
        <v>Anteil KWK</v>
      </c>
      <c r="AX1869" s="169" t="str">
        <f t="shared" si="777"/>
        <v/>
      </c>
      <c r="AY1869" t="str">
        <f t="shared" si="778"/>
        <v/>
      </c>
      <c r="AZ1869" t="str">
        <f t="shared" si="779"/>
        <v/>
      </c>
    </row>
    <row r="1870" spans="1:52" s="145" customFormat="1" x14ac:dyDescent="0.35">
      <c r="A1870" s="497" t="s">
        <v>685</v>
      </c>
      <c r="B1870" s="13" t="s">
        <v>5547</v>
      </c>
      <c r="C1870" s="13" t="s">
        <v>1304</v>
      </c>
      <c r="D1870" s="13" t="s">
        <v>7183</v>
      </c>
      <c r="E1870" s="13" t="s">
        <v>4330</v>
      </c>
      <c r="F1870" s="373">
        <f t="shared" si="786"/>
        <v>23.46</v>
      </c>
      <c r="G1870" s="430">
        <v>23.46</v>
      </c>
      <c r="H1870" s="399">
        <f t="shared" si="787"/>
        <v>18.77</v>
      </c>
      <c r="I1870" s="576"/>
      <c r="J1870" s="549" t="s">
        <v>5804</v>
      </c>
      <c r="K1870" s="11"/>
      <c r="L1870"/>
      <c r="M1870" s="37">
        <f t="shared" si="788"/>
        <v>23.46</v>
      </c>
      <c r="N1870" s="29">
        <v>9.4600000000000009</v>
      </c>
      <c r="O1870" s="149"/>
      <c r="P1870" s="145" t="s">
        <v>1017</v>
      </c>
      <c r="S1870" s="145" t="s">
        <v>4179</v>
      </c>
      <c r="T1870" s="145" t="s">
        <v>4179</v>
      </c>
      <c r="U1870" s="146"/>
      <c r="W1870" s="147"/>
      <c r="X1870" s="147"/>
      <c r="Z1870" s="147"/>
      <c r="AB1870" s="145" t="s">
        <v>1017</v>
      </c>
      <c r="AC1870" s="147"/>
      <c r="AE1870" s="148" t="s">
        <v>1017</v>
      </c>
      <c r="AF1870" s="147"/>
      <c r="AG1870" s="147"/>
      <c r="AH1870" s="166" t="str">
        <f t="shared" si="796"/>
        <v/>
      </c>
      <c r="AI1870" s="168" t="str">
        <f t="shared" si="780"/>
        <v/>
      </c>
      <c r="AJ1870" s="168" t="str">
        <f t="shared" si="781"/>
        <v/>
      </c>
      <c r="AK1870" s="168" t="str">
        <f t="shared" si="782"/>
        <v/>
      </c>
      <c r="AL1870" s="168" t="str">
        <f t="shared" si="783"/>
        <v/>
      </c>
      <c r="AM1870" s="168" t="str">
        <f t="shared" si="784"/>
        <v/>
      </c>
      <c r="AN1870" s="167" t="str">
        <f t="shared" si="767"/>
        <v/>
      </c>
      <c r="AO1870" s="167" t="str">
        <f t="shared" si="768"/>
        <v/>
      </c>
      <c r="AP1870" s="167" t="str">
        <f t="shared" si="769"/>
        <v/>
      </c>
      <c r="AQ1870" s="169" t="str">
        <f t="shared" si="770"/>
        <v/>
      </c>
      <c r="AR1870" s="170" t="str">
        <f t="shared" si="771"/>
        <v>BiK82LbKA3--07</v>
      </c>
      <c r="AS1870" s="169" t="str">
        <f t="shared" si="772"/>
        <v/>
      </c>
      <c r="AT1870">
        <f t="shared" si="773"/>
        <v>14</v>
      </c>
      <c r="AU1870" s="170" t="str">
        <f t="shared" si="774"/>
        <v>0,15-0,5 MW, Bonusregeln L, b und K wenn Anlage 3 erfüllt</v>
      </c>
      <c r="AV1870" s="169" t="str">
        <f t="shared" si="775"/>
        <v/>
      </c>
      <c r="AW1870" s="170" t="str">
        <f t="shared" si="776"/>
        <v>Anteil KWK gemäß Anlage 3</v>
      </c>
      <c r="AX1870" s="169" t="str">
        <f t="shared" si="777"/>
        <v/>
      </c>
      <c r="AY1870" t="str">
        <f t="shared" si="778"/>
        <v/>
      </c>
      <c r="AZ1870" t="str">
        <f t="shared" si="779"/>
        <v/>
      </c>
    </row>
    <row r="1871" spans="1:52" s="145" customFormat="1" x14ac:dyDescent="0.35">
      <c r="A1871" s="497" t="s">
        <v>686</v>
      </c>
      <c r="B1871" s="13" t="s">
        <v>5547</v>
      </c>
      <c r="C1871" s="13" t="s">
        <v>1304</v>
      </c>
      <c r="D1871" s="13" t="s">
        <v>7184</v>
      </c>
      <c r="E1871" s="13" t="s">
        <v>674</v>
      </c>
      <c r="F1871" s="373">
        <f t="shared" si="786"/>
        <v>23.46</v>
      </c>
      <c r="G1871" s="430">
        <v>23.46</v>
      </c>
      <c r="H1871" s="399">
        <f t="shared" si="787"/>
        <v>18.77</v>
      </c>
      <c r="I1871" s="576"/>
      <c r="J1871" s="549" t="s">
        <v>5804</v>
      </c>
      <c r="K1871" s="11"/>
      <c r="L1871"/>
      <c r="M1871" s="37">
        <f t="shared" si="788"/>
        <v>23.46</v>
      </c>
      <c r="N1871" s="29">
        <v>9.4600000000000009</v>
      </c>
      <c r="O1871" s="149"/>
      <c r="P1871" s="144"/>
      <c r="Q1871" s="145" t="s">
        <v>1017</v>
      </c>
      <c r="S1871" s="145" t="s">
        <v>4179</v>
      </c>
      <c r="T1871" s="145" t="s">
        <v>4179</v>
      </c>
      <c r="U1871" s="146"/>
      <c r="W1871" s="147"/>
      <c r="X1871" s="147"/>
      <c r="Z1871" s="147"/>
      <c r="AB1871" s="145" t="s">
        <v>1017</v>
      </c>
      <c r="AC1871" s="147"/>
      <c r="AE1871" s="148" t="s">
        <v>1017</v>
      </c>
      <c r="AF1871" s="147"/>
      <c r="AG1871" s="147"/>
      <c r="AH1871" s="166" t="str">
        <f t="shared" si="796"/>
        <v/>
      </c>
      <c r="AI1871" s="168" t="str">
        <f t="shared" si="780"/>
        <v/>
      </c>
      <c r="AJ1871" s="168" t="str">
        <f t="shared" si="781"/>
        <v/>
      </c>
      <c r="AK1871" s="168" t="str">
        <f t="shared" si="782"/>
        <v/>
      </c>
      <c r="AL1871" s="168" t="str">
        <f t="shared" si="783"/>
        <v/>
      </c>
      <c r="AM1871" s="168" t="str">
        <f t="shared" si="784"/>
        <v/>
      </c>
      <c r="AN1871" s="167" t="str">
        <f t="shared" si="767"/>
        <v/>
      </c>
      <c r="AO1871" s="167" t="str">
        <f t="shared" si="768"/>
        <v/>
      </c>
      <c r="AP1871" s="167" t="str">
        <f t="shared" si="769"/>
        <v/>
      </c>
      <c r="AQ1871" s="169" t="str">
        <f t="shared" si="770"/>
        <v/>
      </c>
      <c r="AR1871" s="170" t="str">
        <f t="shared" si="771"/>
        <v>BiK82LbK09--07</v>
      </c>
      <c r="AS1871" s="169" t="str">
        <f t="shared" si="772"/>
        <v/>
      </c>
      <c r="AT1871">
        <f t="shared" si="773"/>
        <v>14</v>
      </c>
      <c r="AU1871" s="170" t="str">
        <f t="shared" si="774"/>
        <v>0,15-0,5 MW, Bonusregeln L, b und K erstmals 2009</v>
      </c>
      <c r="AV1871" s="169" t="str">
        <f t="shared" si="775"/>
        <v/>
      </c>
      <c r="AW1871" s="170" t="str">
        <f t="shared" si="776"/>
        <v>Anteil KWK, erstmals 2009</v>
      </c>
      <c r="AX1871" s="169" t="str">
        <f t="shared" si="777"/>
        <v/>
      </c>
      <c r="AY1871" t="str">
        <f t="shared" si="778"/>
        <v/>
      </c>
      <c r="AZ1871" t="str">
        <f t="shared" si="779"/>
        <v/>
      </c>
    </row>
    <row r="1872" spans="1:52" s="145" customFormat="1" x14ac:dyDescent="0.35">
      <c r="A1872" s="497" t="s">
        <v>3145</v>
      </c>
      <c r="B1872" s="13" t="s">
        <v>5547</v>
      </c>
      <c r="C1872" s="13" t="s">
        <v>1304</v>
      </c>
      <c r="D1872" s="13" t="s">
        <v>7185</v>
      </c>
      <c r="E1872" s="13" t="s">
        <v>3566</v>
      </c>
      <c r="F1872" s="373">
        <f t="shared" si="786"/>
        <v>23.43</v>
      </c>
      <c r="G1872" s="430">
        <v>23.43</v>
      </c>
      <c r="H1872" s="399">
        <f t="shared" si="787"/>
        <v>18.739999999999998</v>
      </c>
      <c r="I1872" s="576"/>
      <c r="J1872" s="549" t="s">
        <v>5804</v>
      </c>
      <c r="K1872" s="11"/>
      <c r="L1872"/>
      <c r="M1872" s="37">
        <f t="shared" si="788"/>
        <v>23.43</v>
      </c>
      <c r="N1872" s="29">
        <v>9.4600000000000009</v>
      </c>
      <c r="O1872" s="149"/>
      <c r="P1872" s="144"/>
      <c r="R1872" s="145" t="s">
        <v>1017</v>
      </c>
      <c r="S1872" s="145" t="s">
        <v>4179</v>
      </c>
      <c r="T1872" s="145" t="s">
        <v>4179</v>
      </c>
      <c r="U1872" s="146"/>
      <c r="W1872" s="147"/>
      <c r="X1872" s="147"/>
      <c r="Z1872" s="147"/>
      <c r="AB1872" s="145" t="s">
        <v>1017</v>
      </c>
      <c r="AC1872" s="147"/>
      <c r="AE1872" s="148" t="s">
        <v>1017</v>
      </c>
      <c r="AF1872" s="147"/>
      <c r="AG1872" s="147"/>
      <c r="AH1872" s="166" t="str">
        <f t="shared" si="796"/>
        <v>2010</v>
      </c>
      <c r="AI1872" s="168" t="str">
        <f t="shared" si="780"/>
        <v/>
      </c>
      <c r="AJ1872" s="168" t="str">
        <f t="shared" si="781"/>
        <v/>
      </c>
      <c r="AK1872" s="168" t="str">
        <f t="shared" si="782"/>
        <v/>
      </c>
      <c r="AL1872" s="168" t="str">
        <f t="shared" si="783"/>
        <v/>
      </c>
      <c r="AM1872" s="168" t="str">
        <f t="shared" si="784"/>
        <v/>
      </c>
      <c r="AN1872" s="167" t="str">
        <f t="shared" ref="AN1872:AN1935" si="797">IF(ISERROR(SEARCH("K1",A1872)),"","20"&amp;MID(A1872,SEARCH("K1",A1872)+1,2))</f>
        <v>2010</v>
      </c>
      <c r="AO1872" s="167" t="str">
        <f t="shared" ref="AO1872:AO1935" si="798">IF(ISERROR(SEARCH("erstmals 201",E1872)),"",MID(E1872,SEARCH("erstmals ",E1872)+9,4))</f>
        <v>2010</v>
      </c>
      <c r="AP1872" s="167" t="str">
        <f t="shared" ref="AP1872:AP1935" si="799">IF(R1872="x","2010",IF(S1872="x","2011",IF(T1872="x","2012","")))</f>
        <v>2010</v>
      </c>
      <c r="AQ1872" s="169" t="str">
        <f t="shared" ref="AQ1872:AQ1935" si="800">IF(OR(AH1872&lt;&gt;AN1872,AH1872&lt;&gt;AO1872,AH1872&lt;&gt;AP1872),"DIFF","")</f>
        <v/>
      </c>
      <c r="AR1872" s="170" t="str">
        <f t="shared" ref="AR1872:AR1935" si="801">IF(A1872="","",IF(ISERROR(SEARCH("K1",A1872)),A1872,LEFT(A1872,SEARCH("K1",A1872)+1)&amp;RIGHT(AH1872,1)&amp;MID(A1872,SEARCH("K1",A1872)+3,14)))</f>
        <v>BiK82LbK10--07</v>
      </c>
      <c r="AS1872" s="169" t="str">
        <f t="shared" ref="AS1872:AS1935" si="802">IF(OR(A1872&lt;&gt;AR1872),"DIFF","")</f>
        <v/>
      </c>
      <c r="AT1872">
        <f t="shared" ref="AT1872:AT1935" si="803">LEN(AR1872)</f>
        <v>14</v>
      </c>
      <c r="AU1872" s="170" t="str">
        <f t="shared" ref="AU1872:AU1935" si="804">IF(D1872="","",IF(OR(A1872="",ISERROR(SEARCH("erstmals 201",D1872))),D1872,LEFT(D1872,SEARCH("erstmals 201",D1872)+8) &amp; AH1872 &amp; MID(D1872,SEARCH("erstmals 201",D1872)+13,255)))</f>
        <v>0,15-0,5 MW, Bonusregeln L, b und K erstmals 2010</v>
      </c>
      <c r="AV1872" s="169" t="str">
        <f t="shared" ref="AV1872:AV1935" si="805">IF(OR(D1872&lt;&gt;AU1872),"DIFF","")</f>
        <v/>
      </c>
      <c r="AW1872" s="170" t="str">
        <f t="shared" ref="AW1872:AW1935" si="806">IF(E1872="","",IF(OR(E1872="",ISERROR(SEARCH("erstmals 201",E1872))),E1872,LEFT(E1872,SEARCH("erstmals 201",E1872)+8) &amp; AH1872 &amp; MID(E1872,SEARCH("erstmals 201",E1872)+13,255)))</f>
        <v>Anteil KWK, erstmals 2010</v>
      </c>
      <c r="AX1872" s="169" t="str">
        <f t="shared" ref="AX1872:AX1935" si="807">IF(OR(E1872&lt;&gt;AW1872),"DIFF","")</f>
        <v/>
      </c>
      <c r="AY1872" t="str">
        <f t="shared" ref="AY1872:AY1935" si="808">IF(AH1872="2011","x",IF(AH1872="2012","","" &amp; S1872))</f>
        <v/>
      </c>
      <c r="AZ1872" t="str">
        <f t="shared" ref="AZ1872:AZ1935" si="809">IF(AH1872="2012","x",IF(AH1872="2011","","" &amp; T1872))</f>
        <v/>
      </c>
    </row>
    <row r="1873" spans="1:52" s="145" customFormat="1" x14ac:dyDescent="0.35">
      <c r="A1873" s="497" t="s">
        <v>3421</v>
      </c>
      <c r="B1873" s="13" t="s">
        <v>5547</v>
      </c>
      <c r="C1873" s="13" t="s">
        <v>1304</v>
      </c>
      <c r="D1873" s="13" t="s">
        <v>7186</v>
      </c>
      <c r="E1873" s="13" t="s">
        <v>3054</v>
      </c>
      <c r="F1873" s="373">
        <f t="shared" si="786"/>
        <v>23.4</v>
      </c>
      <c r="G1873" s="430">
        <v>23.4</v>
      </c>
      <c r="H1873" s="399">
        <f t="shared" si="787"/>
        <v>18.72</v>
      </c>
      <c r="I1873" s="576"/>
      <c r="J1873" s="549" t="s">
        <v>5804</v>
      </c>
      <c r="K1873" s="11"/>
      <c r="L1873"/>
      <c r="M1873" s="37">
        <f t="shared" si="788"/>
        <v>23.4</v>
      </c>
      <c r="N1873" s="29">
        <v>9.4600000000000009</v>
      </c>
      <c r="O1873" s="149"/>
      <c r="P1873" s="144"/>
      <c r="S1873" s="145" t="s">
        <v>1017</v>
      </c>
      <c r="T1873" s="145" t="s">
        <v>4179</v>
      </c>
      <c r="U1873" s="146"/>
      <c r="W1873" s="147"/>
      <c r="X1873" s="147"/>
      <c r="Z1873" s="147"/>
      <c r="AB1873" s="145" t="s">
        <v>1017</v>
      </c>
      <c r="AC1873" s="147"/>
      <c r="AE1873" s="148" t="s">
        <v>1017</v>
      </c>
      <c r="AF1873" s="147"/>
      <c r="AG1873" s="147"/>
      <c r="AH1873" s="166" t="str">
        <f t="shared" si="796"/>
        <v>2011</v>
      </c>
      <c r="AI1873" s="168" t="str">
        <f t="shared" si="780"/>
        <v/>
      </c>
      <c r="AJ1873" s="168" t="str">
        <f t="shared" si="781"/>
        <v/>
      </c>
      <c r="AK1873" s="168" t="str">
        <f t="shared" si="782"/>
        <v/>
      </c>
      <c r="AL1873" s="168" t="str">
        <f t="shared" si="783"/>
        <v/>
      </c>
      <c r="AM1873" s="168" t="str">
        <f t="shared" si="784"/>
        <v/>
      </c>
      <c r="AN1873" s="167" t="str">
        <f t="shared" si="797"/>
        <v>2011</v>
      </c>
      <c r="AO1873" s="167" t="str">
        <f t="shared" si="798"/>
        <v>2011</v>
      </c>
      <c r="AP1873" s="167" t="str">
        <f t="shared" si="799"/>
        <v>2011</v>
      </c>
      <c r="AQ1873" s="169" t="str">
        <f t="shared" si="800"/>
        <v/>
      </c>
      <c r="AR1873" s="170" t="str">
        <f t="shared" si="801"/>
        <v>BiK82LbK11--07</v>
      </c>
      <c r="AS1873" s="169" t="str">
        <f t="shared" si="802"/>
        <v/>
      </c>
      <c r="AT1873">
        <f t="shared" si="803"/>
        <v>14</v>
      </c>
      <c r="AU1873" s="170" t="str">
        <f t="shared" si="804"/>
        <v>0,15-0,5 MW, Bonusregeln L, b und K erstmals 2011</v>
      </c>
      <c r="AV1873" s="169" t="str">
        <f t="shared" si="805"/>
        <v/>
      </c>
      <c r="AW1873" s="170" t="str">
        <f t="shared" si="806"/>
        <v>Anteil KWK, erstmals 2011</v>
      </c>
      <c r="AX1873" s="169" t="str">
        <f t="shared" si="807"/>
        <v/>
      </c>
      <c r="AY1873" t="str">
        <f t="shared" si="808"/>
        <v>x</v>
      </c>
      <c r="AZ1873" t="str">
        <f t="shared" si="809"/>
        <v/>
      </c>
    </row>
    <row r="1874" spans="1:52" s="145" customFormat="1" x14ac:dyDescent="0.35">
      <c r="A1874" s="511" t="s">
        <v>1854</v>
      </c>
      <c r="B1874" s="173" t="s">
        <v>5547</v>
      </c>
      <c r="C1874" s="173" t="s">
        <v>1304</v>
      </c>
      <c r="D1874" s="173" t="s">
        <v>7187</v>
      </c>
      <c r="E1874" s="173" t="s">
        <v>1980</v>
      </c>
      <c r="F1874" s="374">
        <f t="shared" si="786"/>
        <v>23.37</v>
      </c>
      <c r="G1874" s="431">
        <v>23.37</v>
      </c>
      <c r="H1874" s="400">
        <f t="shared" si="787"/>
        <v>18.7</v>
      </c>
      <c r="I1874" s="577"/>
      <c r="J1874" s="549" t="s">
        <v>5804</v>
      </c>
      <c r="K1874" s="11"/>
      <c r="L1874"/>
      <c r="M1874" s="37">
        <f t="shared" si="788"/>
        <v>23.37</v>
      </c>
      <c r="N1874" s="29">
        <v>9.4600000000000009</v>
      </c>
      <c r="O1874" s="149"/>
      <c r="P1874" s="144"/>
      <c r="S1874" s="145" t="s">
        <v>4179</v>
      </c>
      <c r="T1874" s="145" t="s">
        <v>1017</v>
      </c>
      <c r="U1874" s="146"/>
      <c r="W1874" s="147"/>
      <c r="X1874" s="147"/>
      <c r="Z1874" s="147"/>
      <c r="AB1874" s="145" t="s">
        <v>1017</v>
      </c>
      <c r="AC1874" s="147"/>
      <c r="AE1874" s="148" t="s">
        <v>1017</v>
      </c>
      <c r="AF1874" s="147"/>
      <c r="AG1874" s="147"/>
      <c r="AH1874" s="171" t="s">
        <v>4178</v>
      </c>
      <c r="AI1874" s="168" t="str">
        <f t="shared" si="780"/>
        <v/>
      </c>
      <c r="AJ1874" s="168" t="str">
        <f t="shared" si="781"/>
        <v/>
      </c>
      <c r="AK1874" s="168" t="str">
        <f t="shared" si="782"/>
        <v/>
      </c>
      <c r="AL1874" s="168" t="str">
        <f t="shared" si="783"/>
        <v/>
      </c>
      <c r="AM1874" s="168" t="str">
        <f t="shared" si="784"/>
        <v/>
      </c>
      <c r="AN1874" s="167" t="str">
        <f t="shared" si="797"/>
        <v>2012</v>
      </c>
      <c r="AO1874" s="167" t="str">
        <f t="shared" si="798"/>
        <v>2012</v>
      </c>
      <c r="AP1874" s="167" t="str">
        <f t="shared" si="799"/>
        <v>2012</v>
      </c>
      <c r="AQ1874" s="169" t="str">
        <f t="shared" si="800"/>
        <v/>
      </c>
      <c r="AR1874" s="170" t="str">
        <f t="shared" si="801"/>
        <v>BiK82LbK12--07</v>
      </c>
      <c r="AS1874" s="169" t="str">
        <f t="shared" si="802"/>
        <v/>
      </c>
      <c r="AT1874">
        <f t="shared" si="803"/>
        <v>14</v>
      </c>
      <c r="AU1874" s="170" t="str">
        <f t="shared" si="804"/>
        <v>0,15-0,5 MW, Bonusregeln L, b und K erstmals 2012</v>
      </c>
      <c r="AV1874" s="169" t="str">
        <f t="shared" si="805"/>
        <v/>
      </c>
      <c r="AW1874" s="170" t="str">
        <f t="shared" si="806"/>
        <v>Anteil KWK, erstmals 2012</v>
      </c>
      <c r="AX1874" s="169" t="str">
        <f t="shared" si="807"/>
        <v/>
      </c>
      <c r="AY1874" t="str">
        <f t="shared" si="808"/>
        <v/>
      </c>
      <c r="AZ1874" t="str">
        <f t="shared" si="809"/>
        <v>x</v>
      </c>
    </row>
    <row r="1875" spans="1:52" x14ac:dyDescent="0.35">
      <c r="A1875" s="497" t="s">
        <v>687</v>
      </c>
      <c r="B1875" s="13" t="s">
        <v>5547</v>
      </c>
      <c r="C1875" s="13" t="s">
        <v>1304</v>
      </c>
      <c r="D1875" s="13" t="s">
        <v>7188</v>
      </c>
      <c r="E1875" s="13" t="s">
        <v>4809</v>
      </c>
      <c r="F1875" s="373">
        <f t="shared" si="786"/>
        <v>21.46</v>
      </c>
      <c r="G1875" s="430">
        <v>21.46</v>
      </c>
      <c r="H1875" s="399">
        <f t="shared" si="787"/>
        <v>17.170000000000002</v>
      </c>
      <c r="I1875" s="576"/>
      <c r="J1875" s="549" t="s">
        <v>5804</v>
      </c>
      <c r="K1875" s="11"/>
      <c r="M1875" s="37">
        <f t="shared" si="788"/>
        <v>21.46</v>
      </c>
      <c r="N1875" s="29">
        <v>9.4600000000000009</v>
      </c>
      <c r="O1875" s="149"/>
      <c r="P1875" s="144"/>
      <c r="Q1875" s="145"/>
      <c r="R1875" s="145"/>
      <c r="S1875" s="145" t="s">
        <v>4179</v>
      </c>
      <c r="T1875" t="s">
        <v>4179</v>
      </c>
      <c r="U1875" s="146" t="s">
        <v>1017</v>
      </c>
      <c r="V1875" s="145"/>
      <c r="W1875" s="147"/>
      <c r="X1875" s="147"/>
      <c r="Y1875" s="145"/>
      <c r="Z1875" s="147"/>
      <c r="AA1875" s="145"/>
      <c r="AB1875" s="145" t="s">
        <v>1017</v>
      </c>
      <c r="AC1875" s="147"/>
      <c r="AD1875" s="145"/>
      <c r="AE1875" s="148" t="s">
        <v>1017</v>
      </c>
      <c r="AF1875" s="147"/>
      <c r="AG1875" s="147"/>
      <c r="AH1875" s="166" t="str">
        <f t="shared" ref="AH1875:AH1880" si="810">IF(ISERROR(SEARCH("K erstmals 201",D1875)),"",RIGHT(D1875,4))</f>
        <v/>
      </c>
      <c r="AI1875" s="168" t="str">
        <f t="shared" ref="AI1875:AI1938" si="811">IF(AND($AH1875&lt;&gt;"",AH1875 =AH1874),"Gleich","")</f>
        <v/>
      </c>
      <c r="AJ1875" s="168" t="str">
        <f t="shared" ref="AJ1875:AJ1942" si="812">IF(AND($AH1875&lt;&gt;"",A1875 =A1874),"Gleich","")</f>
        <v/>
      </c>
      <c r="AK1875" s="168" t="str">
        <f t="shared" ref="AK1875:AK1942" si="813">IF(AND($AH1875&lt;&gt;"",D1875 =D1874),"Gleich","")</f>
        <v/>
      </c>
      <c r="AL1875" s="168" t="str">
        <f t="shared" ref="AL1875:AL1942" si="814">IF(AND($AH1875&lt;&gt;"",E1875 =E1874),"Gleich","")</f>
        <v/>
      </c>
      <c r="AM1875" s="168" t="str">
        <f t="shared" ref="AM1875:AM1942" si="815">IF(AND($AH1875&lt;&gt;"",F1875 =F1874),"Gleich","")</f>
        <v/>
      </c>
      <c r="AN1875" s="167" t="str">
        <f t="shared" si="797"/>
        <v/>
      </c>
      <c r="AO1875" s="167" t="str">
        <f t="shared" si="798"/>
        <v/>
      </c>
      <c r="AP1875" s="167" t="str">
        <f t="shared" si="799"/>
        <v/>
      </c>
      <c r="AQ1875" s="169" t="str">
        <f t="shared" si="800"/>
        <v/>
      </c>
      <c r="AR1875" s="170" t="str">
        <f t="shared" si="801"/>
        <v>BiK82Lby----07</v>
      </c>
      <c r="AS1875" s="169" t="str">
        <f t="shared" si="802"/>
        <v/>
      </c>
      <c r="AT1875">
        <f t="shared" si="803"/>
        <v>14</v>
      </c>
      <c r="AU1875" s="170" t="str">
        <f t="shared" si="804"/>
        <v>0,15-0,5 MW, Bonusregeln L, y, b</v>
      </c>
      <c r="AV1875" s="169" t="str">
        <f t="shared" si="805"/>
        <v/>
      </c>
      <c r="AW1875" s="170" t="str">
        <f t="shared" si="806"/>
        <v>Anteil Nicht-KWK</v>
      </c>
      <c r="AX1875" s="169" t="str">
        <f t="shared" si="807"/>
        <v/>
      </c>
      <c r="AY1875" t="str">
        <f t="shared" si="808"/>
        <v/>
      </c>
      <c r="AZ1875" t="str">
        <f t="shared" si="809"/>
        <v/>
      </c>
    </row>
    <row r="1876" spans="1:52" x14ac:dyDescent="0.35">
      <c r="A1876" s="497" t="s">
        <v>688</v>
      </c>
      <c r="B1876" s="13" t="s">
        <v>5547</v>
      </c>
      <c r="C1876" s="13" t="s">
        <v>1304</v>
      </c>
      <c r="D1876" s="13" t="s">
        <v>7189</v>
      </c>
      <c r="E1876" s="13" t="s">
        <v>4811</v>
      </c>
      <c r="F1876" s="373">
        <f t="shared" si="786"/>
        <v>23.46</v>
      </c>
      <c r="G1876" s="430">
        <v>23.46</v>
      </c>
      <c r="H1876" s="399">
        <f t="shared" si="787"/>
        <v>18.77</v>
      </c>
      <c r="I1876" s="576"/>
      <c r="J1876" s="549" t="s">
        <v>5804</v>
      </c>
      <c r="K1876" s="11"/>
      <c r="M1876" s="37">
        <f t="shared" si="788"/>
        <v>23.46</v>
      </c>
      <c r="N1876" s="29">
        <v>9.4600000000000009</v>
      </c>
      <c r="O1876" s="149" t="s">
        <v>1017</v>
      </c>
      <c r="P1876" s="144"/>
      <c r="Q1876" s="145"/>
      <c r="R1876" s="145"/>
      <c r="S1876" s="145" t="s">
        <v>4179</v>
      </c>
      <c r="T1876" t="s">
        <v>4179</v>
      </c>
      <c r="U1876" s="146" t="s">
        <v>1017</v>
      </c>
      <c r="V1876" s="145"/>
      <c r="W1876" s="147"/>
      <c r="X1876" s="147"/>
      <c r="Y1876" s="145"/>
      <c r="Z1876" s="147"/>
      <c r="AA1876" s="145"/>
      <c r="AB1876" s="145" t="s">
        <v>1017</v>
      </c>
      <c r="AC1876" s="147"/>
      <c r="AD1876" s="145"/>
      <c r="AE1876" s="148" t="s">
        <v>1017</v>
      </c>
      <c r="AF1876" s="147"/>
      <c r="AG1876" s="147"/>
      <c r="AH1876" s="166" t="str">
        <f t="shared" si="810"/>
        <v/>
      </c>
      <c r="AI1876" s="168" t="str">
        <f t="shared" si="811"/>
        <v/>
      </c>
      <c r="AJ1876" s="168" t="str">
        <f t="shared" si="812"/>
        <v/>
      </c>
      <c r="AK1876" s="168" t="str">
        <f t="shared" si="813"/>
        <v/>
      </c>
      <c r="AL1876" s="168" t="str">
        <f t="shared" si="814"/>
        <v/>
      </c>
      <c r="AM1876" s="168" t="str">
        <f t="shared" si="815"/>
        <v/>
      </c>
      <c r="AN1876" s="167" t="str">
        <f t="shared" si="797"/>
        <v/>
      </c>
      <c r="AO1876" s="167" t="str">
        <f t="shared" si="798"/>
        <v/>
      </c>
      <c r="AP1876" s="167" t="str">
        <f t="shared" si="799"/>
        <v/>
      </c>
      <c r="AQ1876" s="169" t="str">
        <f t="shared" si="800"/>
        <v/>
      </c>
      <c r="AR1876" s="170" t="str">
        <f t="shared" si="801"/>
        <v>BiK82LbKWKy-07</v>
      </c>
      <c r="AS1876" s="169" t="str">
        <f t="shared" si="802"/>
        <v/>
      </c>
      <c r="AT1876">
        <f t="shared" si="803"/>
        <v>14</v>
      </c>
      <c r="AU1876" s="170" t="str">
        <f t="shared" si="804"/>
        <v>0,15-0,5 MW, Bonusregeln L, y, b und KWK</v>
      </c>
      <c r="AV1876" s="169" t="str">
        <f t="shared" si="805"/>
        <v/>
      </c>
      <c r="AW1876" s="170" t="str">
        <f t="shared" si="806"/>
        <v>Anteil KWK</v>
      </c>
      <c r="AX1876" s="169" t="str">
        <f t="shared" si="807"/>
        <v/>
      </c>
      <c r="AY1876" t="str">
        <f t="shared" si="808"/>
        <v/>
      </c>
      <c r="AZ1876" t="str">
        <f t="shared" si="809"/>
        <v/>
      </c>
    </row>
    <row r="1877" spans="1:52" x14ac:dyDescent="0.35">
      <c r="A1877" s="497" t="s">
        <v>689</v>
      </c>
      <c r="B1877" s="13" t="s">
        <v>5547</v>
      </c>
      <c r="C1877" s="13" t="s">
        <v>1304</v>
      </c>
      <c r="D1877" s="88" t="s">
        <v>7190</v>
      </c>
      <c r="E1877" s="13" t="s">
        <v>4330</v>
      </c>
      <c r="F1877" s="373">
        <f t="shared" si="786"/>
        <v>24.46</v>
      </c>
      <c r="G1877" s="430">
        <v>24.46</v>
      </c>
      <c r="H1877" s="399">
        <f t="shared" si="787"/>
        <v>19.57</v>
      </c>
      <c r="I1877" s="576"/>
      <c r="J1877" s="549" t="s">
        <v>5804</v>
      </c>
      <c r="K1877" s="11"/>
      <c r="M1877" s="37">
        <f t="shared" si="788"/>
        <v>24.46</v>
      </c>
      <c r="N1877" s="29">
        <v>9.4600000000000009</v>
      </c>
      <c r="O1877" s="149"/>
      <c r="P1877" s="145" t="s">
        <v>1017</v>
      </c>
      <c r="Q1877" s="145"/>
      <c r="R1877" s="145"/>
      <c r="S1877" s="145" t="s">
        <v>4179</v>
      </c>
      <c r="T1877" t="s">
        <v>4179</v>
      </c>
      <c r="U1877" s="146" t="s">
        <v>1017</v>
      </c>
      <c r="V1877" s="145"/>
      <c r="W1877" s="147"/>
      <c r="X1877" s="147"/>
      <c r="Y1877" s="145"/>
      <c r="Z1877" s="147"/>
      <c r="AA1877" s="145"/>
      <c r="AB1877" s="145" t="s">
        <v>1017</v>
      </c>
      <c r="AC1877" s="147"/>
      <c r="AD1877" s="145"/>
      <c r="AE1877" s="148" t="s">
        <v>1017</v>
      </c>
      <c r="AF1877" s="147"/>
      <c r="AG1877" s="147"/>
      <c r="AH1877" s="166" t="str">
        <f t="shared" si="810"/>
        <v/>
      </c>
      <c r="AI1877" s="168" t="str">
        <f t="shared" si="811"/>
        <v/>
      </c>
      <c r="AJ1877" s="168" t="str">
        <f t="shared" si="812"/>
        <v/>
      </c>
      <c r="AK1877" s="168" t="str">
        <f t="shared" si="813"/>
        <v/>
      </c>
      <c r="AL1877" s="168" t="str">
        <f t="shared" si="814"/>
        <v/>
      </c>
      <c r="AM1877" s="168" t="str">
        <f t="shared" si="815"/>
        <v/>
      </c>
      <c r="AN1877" s="167" t="str">
        <f t="shared" si="797"/>
        <v/>
      </c>
      <c r="AO1877" s="167" t="str">
        <f t="shared" si="798"/>
        <v/>
      </c>
      <c r="AP1877" s="167" t="str">
        <f t="shared" si="799"/>
        <v/>
      </c>
      <c r="AQ1877" s="169" t="str">
        <f t="shared" si="800"/>
        <v/>
      </c>
      <c r="AR1877" s="170" t="str">
        <f t="shared" si="801"/>
        <v>BiK82LbKA3y-07</v>
      </c>
      <c r="AS1877" s="169" t="str">
        <f t="shared" si="802"/>
        <v/>
      </c>
      <c r="AT1877">
        <f t="shared" si="803"/>
        <v>14</v>
      </c>
      <c r="AU1877" s="170" t="str">
        <f t="shared" si="804"/>
        <v>0,15-0,5 MW, Bonusregeln L, y, b und K wenn Anlage 3 erfüllt</v>
      </c>
      <c r="AV1877" s="169" t="str">
        <f t="shared" si="805"/>
        <v/>
      </c>
      <c r="AW1877" s="170" t="str">
        <f t="shared" si="806"/>
        <v>Anteil KWK gemäß Anlage 3</v>
      </c>
      <c r="AX1877" s="169" t="str">
        <f t="shared" si="807"/>
        <v/>
      </c>
      <c r="AY1877" t="str">
        <f t="shared" si="808"/>
        <v/>
      </c>
      <c r="AZ1877" t="str">
        <f t="shared" si="809"/>
        <v/>
      </c>
    </row>
    <row r="1878" spans="1:52" x14ac:dyDescent="0.35">
      <c r="A1878" s="497" t="s">
        <v>690</v>
      </c>
      <c r="B1878" s="13" t="s">
        <v>5547</v>
      </c>
      <c r="C1878" s="13" t="s">
        <v>1304</v>
      </c>
      <c r="D1878" s="13" t="s">
        <v>7191</v>
      </c>
      <c r="E1878" s="13" t="s">
        <v>674</v>
      </c>
      <c r="F1878" s="373">
        <f t="shared" si="786"/>
        <v>24.46</v>
      </c>
      <c r="G1878" s="430">
        <v>24.46</v>
      </c>
      <c r="H1878" s="399">
        <f t="shared" si="787"/>
        <v>19.57</v>
      </c>
      <c r="I1878" s="576"/>
      <c r="J1878" s="549" t="s">
        <v>5804</v>
      </c>
      <c r="K1878" s="11"/>
      <c r="M1878" s="37">
        <f t="shared" si="788"/>
        <v>24.46</v>
      </c>
      <c r="N1878" s="29">
        <v>9.4600000000000009</v>
      </c>
      <c r="O1878" s="149"/>
      <c r="P1878" s="144"/>
      <c r="Q1878" s="145" t="s">
        <v>1017</v>
      </c>
      <c r="R1878" s="145"/>
      <c r="S1878" s="145" t="s">
        <v>4179</v>
      </c>
      <c r="T1878" t="s">
        <v>4179</v>
      </c>
      <c r="U1878" s="146" t="s">
        <v>1017</v>
      </c>
      <c r="V1878" s="145"/>
      <c r="W1878" s="147"/>
      <c r="X1878" s="147"/>
      <c r="Y1878" s="145"/>
      <c r="Z1878" s="147"/>
      <c r="AA1878" s="145"/>
      <c r="AB1878" s="145" t="s">
        <v>1017</v>
      </c>
      <c r="AC1878" s="147"/>
      <c r="AD1878" s="145"/>
      <c r="AE1878" s="148" t="s">
        <v>1017</v>
      </c>
      <c r="AF1878" s="147"/>
      <c r="AG1878" s="147"/>
      <c r="AH1878" s="166" t="str">
        <f t="shared" si="810"/>
        <v/>
      </c>
      <c r="AI1878" s="168" t="str">
        <f t="shared" si="811"/>
        <v/>
      </c>
      <c r="AJ1878" s="168" t="str">
        <f t="shared" si="812"/>
        <v/>
      </c>
      <c r="AK1878" s="168" t="str">
        <f t="shared" si="813"/>
        <v/>
      </c>
      <c r="AL1878" s="168" t="str">
        <f t="shared" si="814"/>
        <v/>
      </c>
      <c r="AM1878" s="168" t="str">
        <f t="shared" si="815"/>
        <v/>
      </c>
      <c r="AN1878" s="167" t="str">
        <f t="shared" si="797"/>
        <v/>
      </c>
      <c r="AO1878" s="167" t="str">
        <f t="shared" si="798"/>
        <v/>
      </c>
      <c r="AP1878" s="167" t="str">
        <f t="shared" si="799"/>
        <v/>
      </c>
      <c r="AQ1878" s="169" t="str">
        <f t="shared" si="800"/>
        <v/>
      </c>
      <c r="AR1878" s="170" t="str">
        <f t="shared" si="801"/>
        <v>BiK82LbK09y-07</v>
      </c>
      <c r="AS1878" s="169" t="str">
        <f t="shared" si="802"/>
        <v/>
      </c>
      <c r="AT1878">
        <f t="shared" si="803"/>
        <v>14</v>
      </c>
      <c r="AU1878" s="170" t="str">
        <f t="shared" si="804"/>
        <v>0,15-0,5 MW, Bonusregeln L, y, b und K erstmals 2009</v>
      </c>
      <c r="AV1878" s="169" t="str">
        <f t="shared" si="805"/>
        <v/>
      </c>
      <c r="AW1878" s="170" t="str">
        <f t="shared" si="806"/>
        <v>Anteil KWK, erstmals 2009</v>
      </c>
      <c r="AX1878" s="169" t="str">
        <f t="shared" si="807"/>
        <v/>
      </c>
      <c r="AY1878" t="str">
        <f t="shared" si="808"/>
        <v/>
      </c>
      <c r="AZ1878" t="str">
        <f t="shared" si="809"/>
        <v/>
      </c>
    </row>
    <row r="1879" spans="1:52" x14ac:dyDescent="0.35">
      <c r="A1879" s="497" t="s">
        <v>3146</v>
      </c>
      <c r="B1879" s="13" t="s">
        <v>5547</v>
      </c>
      <c r="C1879" s="13" t="s">
        <v>1304</v>
      </c>
      <c r="D1879" s="13" t="s">
        <v>7192</v>
      </c>
      <c r="E1879" s="13" t="s">
        <v>3566</v>
      </c>
      <c r="F1879" s="373">
        <f t="shared" si="786"/>
        <v>24.43</v>
      </c>
      <c r="G1879" s="430">
        <v>24.43</v>
      </c>
      <c r="H1879" s="399">
        <f t="shared" si="787"/>
        <v>19.54</v>
      </c>
      <c r="I1879" s="576"/>
      <c r="J1879" s="549" t="s">
        <v>5804</v>
      </c>
      <c r="K1879" s="11"/>
      <c r="M1879" s="37">
        <f t="shared" si="788"/>
        <v>24.43</v>
      </c>
      <c r="N1879" s="29">
        <v>9.4600000000000009</v>
      </c>
      <c r="O1879" s="149"/>
      <c r="P1879" s="144"/>
      <c r="Q1879" s="145"/>
      <c r="R1879" s="145" t="s">
        <v>1017</v>
      </c>
      <c r="S1879" s="145" t="s">
        <v>4179</v>
      </c>
      <c r="T1879" t="s">
        <v>4179</v>
      </c>
      <c r="U1879" s="146" t="s">
        <v>1017</v>
      </c>
      <c r="V1879" s="145"/>
      <c r="W1879" s="147"/>
      <c r="X1879" s="147"/>
      <c r="Y1879" s="145"/>
      <c r="Z1879" s="147"/>
      <c r="AA1879" s="145"/>
      <c r="AB1879" s="145" t="s">
        <v>1017</v>
      </c>
      <c r="AC1879" s="147"/>
      <c r="AD1879" s="145"/>
      <c r="AE1879" s="148" t="s">
        <v>1017</v>
      </c>
      <c r="AF1879" s="147"/>
      <c r="AG1879" s="147"/>
      <c r="AH1879" s="166" t="str">
        <f t="shared" si="810"/>
        <v>2010</v>
      </c>
      <c r="AI1879" s="168" t="str">
        <f t="shared" si="811"/>
        <v/>
      </c>
      <c r="AJ1879" s="168" t="str">
        <f t="shared" si="812"/>
        <v/>
      </c>
      <c r="AK1879" s="168" t="str">
        <f t="shared" si="813"/>
        <v/>
      </c>
      <c r="AL1879" s="168" t="str">
        <f t="shared" si="814"/>
        <v/>
      </c>
      <c r="AM1879" s="168" t="str">
        <f t="shared" si="815"/>
        <v/>
      </c>
      <c r="AN1879" s="167" t="str">
        <f t="shared" si="797"/>
        <v>2010</v>
      </c>
      <c r="AO1879" s="167" t="str">
        <f t="shared" si="798"/>
        <v>2010</v>
      </c>
      <c r="AP1879" s="167" t="str">
        <f t="shared" si="799"/>
        <v>2010</v>
      </c>
      <c r="AQ1879" s="169" t="str">
        <f t="shared" si="800"/>
        <v/>
      </c>
      <c r="AR1879" s="170" t="str">
        <f t="shared" si="801"/>
        <v>BiK82LbK10y-07</v>
      </c>
      <c r="AS1879" s="169" t="str">
        <f t="shared" si="802"/>
        <v/>
      </c>
      <c r="AT1879">
        <f t="shared" si="803"/>
        <v>14</v>
      </c>
      <c r="AU1879" s="170" t="str">
        <f t="shared" si="804"/>
        <v>0,15-0,5 MW, Bonusregeln L, y, b und K erstmals 2010</v>
      </c>
      <c r="AV1879" s="169" t="str">
        <f t="shared" si="805"/>
        <v/>
      </c>
      <c r="AW1879" s="170" t="str">
        <f t="shared" si="806"/>
        <v>Anteil KWK, erstmals 2010</v>
      </c>
      <c r="AX1879" s="169" t="str">
        <f t="shared" si="807"/>
        <v/>
      </c>
      <c r="AY1879" t="str">
        <f t="shared" si="808"/>
        <v/>
      </c>
      <c r="AZ1879" t="str">
        <f t="shared" si="809"/>
        <v/>
      </c>
    </row>
    <row r="1880" spans="1:52" x14ac:dyDescent="0.35">
      <c r="A1880" s="497" t="s">
        <v>3422</v>
      </c>
      <c r="B1880" s="13" t="s">
        <v>5547</v>
      </c>
      <c r="C1880" s="13" t="s">
        <v>1304</v>
      </c>
      <c r="D1880" s="13" t="s">
        <v>7193</v>
      </c>
      <c r="E1880" s="13" t="s">
        <v>3054</v>
      </c>
      <c r="F1880" s="373">
        <f t="shared" ref="F1880:F1942" si="816">M1880</f>
        <v>24.4</v>
      </c>
      <c r="G1880" s="430">
        <v>24.4</v>
      </c>
      <c r="H1880" s="399">
        <f t="shared" ref="H1880:H1943" si="817">IF(ISNUMBER(G1880),ROUND(0.8*G1880,2),"")</f>
        <v>19.52</v>
      </c>
      <c r="I1880" s="576"/>
      <c r="J1880" s="549" t="s">
        <v>5804</v>
      </c>
      <c r="K1880" s="11"/>
      <c r="M1880" s="37">
        <f t="shared" ref="M1880:M1942" si="818">N1880+SUMIF(O1880:AG1880,"x",O$1559:AG$1559)</f>
        <v>24.4</v>
      </c>
      <c r="N1880" s="29">
        <v>9.4600000000000009</v>
      </c>
      <c r="O1880" s="149"/>
      <c r="P1880" s="144"/>
      <c r="Q1880" s="145"/>
      <c r="R1880" s="145"/>
      <c r="S1880" s="145" t="s">
        <v>1017</v>
      </c>
      <c r="T1880" t="s">
        <v>4179</v>
      </c>
      <c r="U1880" s="146" t="s">
        <v>1017</v>
      </c>
      <c r="V1880" s="145"/>
      <c r="W1880" s="147"/>
      <c r="X1880" s="147"/>
      <c r="Y1880" s="145"/>
      <c r="Z1880" s="147"/>
      <c r="AA1880" s="145"/>
      <c r="AB1880" s="145" t="s">
        <v>1017</v>
      </c>
      <c r="AC1880" s="147"/>
      <c r="AD1880" s="145"/>
      <c r="AE1880" s="148" t="s">
        <v>1017</v>
      </c>
      <c r="AF1880" s="147"/>
      <c r="AG1880" s="147"/>
      <c r="AH1880" s="166" t="str">
        <f t="shared" si="810"/>
        <v>2011</v>
      </c>
      <c r="AI1880" s="168" t="str">
        <f t="shared" si="811"/>
        <v/>
      </c>
      <c r="AJ1880" s="168" t="str">
        <f t="shared" si="812"/>
        <v/>
      </c>
      <c r="AK1880" s="168" t="str">
        <f t="shared" si="813"/>
        <v/>
      </c>
      <c r="AL1880" s="168" t="str">
        <f t="shared" si="814"/>
        <v/>
      </c>
      <c r="AM1880" s="168" t="str">
        <f t="shared" si="815"/>
        <v/>
      </c>
      <c r="AN1880" s="167" t="str">
        <f t="shared" si="797"/>
        <v>2011</v>
      </c>
      <c r="AO1880" s="167" t="str">
        <f t="shared" si="798"/>
        <v>2011</v>
      </c>
      <c r="AP1880" s="167" t="str">
        <f t="shared" si="799"/>
        <v>2011</v>
      </c>
      <c r="AQ1880" s="169" t="str">
        <f t="shared" si="800"/>
        <v/>
      </c>
      <c r="AR1880" s="170" t="str">
        <f t="shared" si="801"/>
        <v>BiK82LbK11y-07</v>
      </c>
      <c r="AS1880" s="169" t="str">
        <f t="shared" si="802"/>
        <v/>
      </c>
      <c r="AT1880">
        <f t="shared" si="803"/>
        <v>14</v>
      </c>
      <c r="AU1880" s="170" t="str">
        <f t="shared" si="804"/>
        <v>0,15-0,5 MW, Bonusregeln L, y, b und K erstmals 2011</v>
      </c>
      <c r="AV1880" s="169" t="str">
        <f t="shared" si="805"/>
        <v/>
      </c>
      <c r="AW1880" s="170" t="str">
        <f t="shared" si="806"/>
        <v>Anteil KWK, erstmals 2011</v>
      </c>
      <c r="AX1880" s="169" t="str">
        <f t="shared" si="807"/>
        <v/>
      </c>
      <c r="AY1880" t="str">
        <f t="shared" si="808"/>
        <v>x</v>
      </c>
      <c r="AZ1880" t="str">
        <f t="shared" si="809"/>
        <v/>
      </c>
    </row>
    <row r="1881" spans="1:52" x14ac:dyDescent="0.35">
      <c r="A1881" s="511" t="s">
        <v>1855</v>
      </c>
      <c r="B1881" s="173" t="s">
        <v>5547</v>
      </c>
      <c r="C1881" s="173" t="s">
        <v>1304</v>
      </c>
      <c r="D1881" s="173" t="s">
        <v>7194</v>
      </c>
      <c r="E1881" s="173" t="s">
        <v>1980</v>
      </c>
      <c r="F1881" s="374">
        <f t="shared" si="816"/>
        <v>24.37</v>
      </c>
      <c r="G1881" s="431">
        <v>24.37</v>
      </c>
      <c r="H1881" s="400">
        <f t="shared" si="817"/>
        <v>19.5</v>
      </c>
      <c r="I1881" s="577"/>
      <c r="J1881" s="549" t="s">
        <v>5804</v>
      </c>
      <c r="K1881" s="11"/>
      <c r="M1881" s="37">
        <f t="shared" si="818"/>
        <v>24.37</v>
      </c>
      <c r="N1881" s="29">
        <v>9.4600000000000009</v>
      </c>
      <c r="O1881" s="149"/>
      <c r="P1881" s="144"/>
      <c r="Q1881" s="145"/>
      <c r="R1881" s="145"/>
      <c r="S1881" s="145" t="s">
        <v>4179</v>
      </c>
      <c r="T1881" t="s">
        <v>1017</v>
      </c>
      <c r="U1881" s="146" t="s">
        <v>1017</v>
      </c>
      <c r="V1881" s="145"/>
      <c r="W1881" s="147"/>
      <c r="X1881" s="147"/>
      <c r="Y1881" s="145"/>
      <c r="Z1881" s="147"/>
      <c r="AA1881" s="145"/>
      <c r="AB1881" s="145" t="s">
        <v>1017</v>
      </c>
      <c r="AC1881" s="147"/>
      <c r="AD1881" s="145"/>
      <c r="AE1881" s="148" t="s">
        <v>1017</v>
      </c>
      <c r="AF1881" s="147"/>
      <c r="AG1881" s="147"/>
      <c r="AH1881" s="171" t="s">
        <v>4178</v>
      </c>
      <c r="AI1881" s="168" t="str">
        <f t="shared" si="811"/>
        <v/>
      </c>
      <c r="AJ1881" s="168" t="str">
        <f t="shared" si="812"/>
        <v/>
      </c>
      <c r="AK1881" s="168" t="str">
        <f t="shared" si="813"/>
        <v/>
      </c>
      <c r="AL1881" s="168" t="str">
        <f t="shared" si="814"/>
        <v/>
      </c>
      <c r="AM1881" s="168" t="str">
        <f t="shared" si="815"/>
        <v/>
      </c>
      <c r="AN1881" s="167" t="str">
        <f t="shared" si="797"/>
        <v>2012</v>
      </c>
      <c r="AO1881" s="167" t="str">
        <f t="shared" si="798"/>
        <v>2012</v>
      </c>
      <c r="AP1881" s="167" t="str">
        <f t="shared" si="799"/>
        <v>2012</v>
      </c>
      <c r="AQ1881" s="169" t="str">
        <f t="shared" si="800"/>
        <v/>
      </c>
      <c r="AR1881" s="170" t="str">
        <f t="shared" si="801"/>
        <v>BiK82LbK12y-07</v>
      </c>
      <c r="AS1881" s="169" t="str">
        <f t="shared" si="802"/>
        <v/>
      </c>
      <c r="AT1881">
        <f t="shared" si="803"/>
        <v>14</v>
      </c>
      <c r="AU1881" s="170" t="str">
        <f t="shared" si="804"/>
        <v>0,15-0,5 MW, Bonusregeln L, y, b und K erstmals 2012</v>
      </c>
      <c r="AV1881" s="169" t="str">
        <f t="shared" si="805"/>
        <v/>
      </c>
      <c r="AW1881" s="170" t="str">
        <f t="shared" si="806"/>
        <v>Anteil KWK, erstmals 2012</v>
      </c>
      <c r="AX1881" s="169" t="str">
        <f t="shared" si="807"/>
        <v/>
      </c>
      <c r="AY1881" t="str">
        <f t="shared" si="808"/>
        <v/>
      </c>
      <c r="AZ1881" t="str">
        <f t="shared" si="809"/>
        <v>x</v>
      </c>
    </row>
    <row r="1882" spans="1:52" x14ac:dyDescent="0.35">
      <c r="A1882" s="497" t="s">
        <v>4427</v>
      </c>
      <c r="B1882" s="13" t="s">
        <v>5547</v>
      </c>
      <c r="C1882" s="13" t="s">
        <v>1304</v>
      </c>
      <c r="D1882" s="13" t="s">
        <v>7195</v>
      </c>
      <c r="E1882" s="13" t="s">
        <v>4809</v>
      </c>
      <c r="F1882" s="373">
        <f t="shared" si="816"/>
        <v>21.46</v>
      </c>
      <c r="G1882" s="430">
        <v>21.46</v>
      </c>
      <c r="H1882" s="399">
        <f t="shared" si="817"/>
        <v>17.170000000000002</v>
      </c>
      <c r="I1882" s="576"/>
      <c r="J1882" s="549" t="s">
        <v>5804</v>
      </c>
      <c r="K1882" s="11"/>
      <c r="M1882" s="37">
        <f t="shared" si="818"/>
        <v>21.46</v>
      </c>
      <c r="N1882" s="29">
        <v>9.4600000000000009</v>
      </c>
      <c r="O1882" s="149"/>
      <c r="P1882" s="144"/>
      <c r="Q1882" s="145"/>
      <c r="R1882" s="145"/>
      <c r="S1882" s="145" t="s">
        <v>4179</v>
      </c>
      <c r="T1882" t="s">
        <v>4179</v>
      </c>
      <c r="U1882" s="146"/>
      <c r="V1882" s="145"/>
      <c r="W1882" s="147"/>
      <c r="X1882" s="147"/>
      <c r="Y1882" s="145"/>
      <c r="Z1882" s="147"/>
      <c r="AA1882" s="145"/>
      <c r="AB1882" s="145"/>
      <c r="AC1882" s="147"/>
      <c r="AD1882" s="145" t="s">
        <v>1017</v>
      </c>
      <c r="AE1882" s="148" t="s">
        <v>1017</v>
      </c>
      <c r="AF1882" s="147"/>
      <c r="AG1882" s="147"/>
      <c r="AH1882" s="166" t="str">
        <f t="shared" ref="AH1882:AH1887" si="819">IF(ISERROR(SEARCH("K erstmals 201",D1882)),"",RIGHT(D1882,4))</f>
        <v/>
      </c>
      <c r="AI1882" s="168" t="str">
        <f t="shared" si="811"/>
        <v/>
      </c>
      <c r="AJ1882" s="168" t="str">
        <f t="shared" si="812"/>
        <v/>
      </c>
      <c r="AK1882" s="168" t="str">
        <f t="shared" si="813"/>
        <v/>
      </c>
      <c r="AL1882" s="168" t="str">
        <f t="shared" si="814"/>
        <v/>
      </c>
      <c r="AM1882" s="168" t="str">
        <f t="shared" si="815"/>
        <v/>
      </c>
      <c r="AN1882" s="167" t="str">
        <f t="shared" si="797"/>
        <v/>
      </c>
      <c r="AO1882" s="167" t="str">
        <f t="shared" si="798"/>
        <v/>
      </c>
      <c r="AP1882" s="167" t="str">
        <f t="shared" si="799"/>
        <v/>
      </c>
      <c r="AQ1882" s="169" t="str">
        <f t="shared" si="800"/>
        <v/>
      </c>
      <c r="AR1882" s="170" t="str">
        <f t="shared" si="801"/>
        <v>BiK82X2b----07</v>
      </c>
      <c r="AS1882" s="169" t="str">
        <f t="shared" si="802"/>
        <v/>
      </c>
      <c r="AT1882">
        <f t="shared" si="803"/>
        <v>14</v>
      </c>
      <c r="AU1882" s="170" t="str">
        <f t="shared" si="804"/>
        <v>0,15-0,5 MW, Bonusregeln X2, b</v>
      </c>
      <c r="AV1882" s="169" t="str">
        <f t="shared" si="805"/>
        <v/>
      </c>
      <c r="AW1882" s="170" t="str">
        <f t="shared" si="806"/>
        <v>Anteil Nicht-KWK</v>
      </c>
      <c r="AX1882" s="169" t="str">
        <f t="shared" si="807"/>
        <v/>
      </c>
      <c r="AY1882" t="str">
        <f t="shared" si="808"/>
        <v/>
      </c>
      <c r="AZ1882" t="str">
        <f t="shared" si="809"/>
        <v/>
      </c>
    </row>
    <row r="1883" spans="1:52" x14ac:dyDescent="0.35">
      <c r="A1883" s="497" t="s">
        <v>4428</v>
      </c>
      <c r="B1883" s="13" t="s">
        <v>5547</v>
      </c>
      <c r="C1883" s="13" t="s">
        <v>1304</v>
      </c>
      <c r="D1883" s="13" t="s">
        <v>7196</v>
      </c>
      <c r="E1883" s="13" t="s">
        <v>4811</v>
      </c>
      <c r="F1883" s="373">
        <f t="shared" si="816"/>
        <v>23.46</v>
      </c>
      <c r="G1883" s="430">
        <v>23.46</v>
      </c>
      <c r="H1883" s="399">
        <f t="shared" si="817"/>
        <v>18.77</v>
      </c>
      <c r="I1883" s="576"/>
      <c r="J1883" s="549" t="s">
        <v>5804</v>
      </c>
      <c r="K1883" s="11"/>
      <c r="M1883" s="37">
        <f t="shared" si="818"/>
        <v>23.46</v>
      </c>
      <c r="N1883" s="29">
        <v>9.4600000000000009</v>
      </c>
      <c r="O1883" s="149" t="s">
        <v>1017</v>
      </c>
      <c r="P1883" s="144"/>
      <c r="Q1883" s="145"/>
      <c r="R1883" s="145"/>
      <c r="S1883" s="145" t="s">
        <v>4179</v>
      </c>
      <c r="T1883" t="s">
        <v>4179</v>
      </c>
      <c r="U1883" s="146"/>
      <c r="V1883" s="145"/>
      <c r="W1883" s="147"/>
      <c r="X1883" s="147"/>
      <c r="Y1883" s="145"/>
      <c r="Z1883" s="147"/>
      <c r="AA1883" s="145"/>
      <c r="AB1883" s="145"/>
      <c r="AC1883" s="147"/>
      <c r="AD1883" s="145" t="s">
        <v>1017</v>
      </c>
      <c r="AE1883" s="148" t="s">
        <v>1017</v>
      </c>
      <c r="AF1883" s="147"/>
      <c r="AG1883" s="147"/>
      <c r="AH1883" s="166" t="str">
        <f t="shared" si="819"/>
        <v/>
      </c>
      <c r="AI1883" s="168" t="str">
        <f t="shared" si="811"/>
        <v/>
      </c>
      <c r="AJ1883" s="168" t="str">
        <f t="shared" si="812"/>
        <v/>
      </c>
      <c r="AK1883" s="168" t="str">
        <f t="shared" si="813"/>
        <v/>
      </c>
      <c r="AL1883" s="168" t="str">
        <f t="shared" si="814"/>
        <v/>
      </c>
      <c r="AM1883" s="168" t="str">
        <f t="shared" si="815"/>
        <v/>
      </c>
      <c r="AN1883" s="167" t="str">
        <f t="shared" si="797"/>
        <v/>
      </c>
      <c r="AO1883" s="167" t="str">
        <f t="shared" si="798"/>
        <v/>
      </c>
      <c r="AP1883" s="167" t="str">
        <f t="shared" si="799"/>
        <v/>
      </c>
      <c r="AQ1883" s="169" t="str">
        <f t="shared" si="800"/>
        <v/>
      </c>
      <c r="AR1883" s="170" t="str">
        <f t="shared" si="801"/>
        <v>BiK82X2bKWK-07</v>
      </c>
      <c r="AS1883" s="169" t="str">
        <f t="shared" si="802"/>
        <v/>
      </c>
      <c r="AT1883">
        <f t="shared" si="803"/>
        <v>14</v>
      </c>
      <c r="AU1883" s="170" t="str">
        <f t="shared" si="804"/>
        <v>0,15-0,5 MW, Bonusregeln X2, b und KWK</v>
      </c>
      <c r="AV1883" s="169" t="str">
        <f t="shared" si="805"/>
        <v/>
      </c>
      <c r="AW1883" s="170" t="str">
        <f t="shared" si="806"/>
        <v>Anteil KWK</v>
      </c>
      <c r="AX1883" s="169" t="str">
        <f t="shared" si="807"/>
        <v/>
      </c>
      <c r="AY1883" t="str">
        <f t="shared" si="808"/>
        <v/>
      </c>
      <c r="AZ1883" t="str">
        <f t="shared" si="809"/>
        <v/>
      </c>
    </row>
    <row r="1884" spans="1:52" x14ac:dyDescent="0.35">
      <c r="A1884" s="497" t="s">
        <v>4429</v>
      </c>
      <c r="B1884" s="13" t="s">
        <v>5547</v>
      </c>
      <c r="C1884" s="13" t="s">
        <v>1304</v>
      </c>
      <c r="D1884" s="13" t="s">
        <v>7197</v>
      </c>
      <c r="E1884" s="13" t="s">
        <v>4330</v>
      </c>
      <c r="F1884" s="373">
        <f t="shared" si="816"/>
        <v>24.46</v>
      </c>
      <c r="G1884" s="430">
        <v>24.46</v>
      </c>
      <c r="H1884" s="399">
        <f t="shared" si="817"/>
        <v>19.57</v>
      </c>
      <c r="I1884" s="576"/>
      <c r="J1884" s="549" t="s">
        <v>5804</v>
      </c>
      <c r="K1884" s="11"/>
      <c r="M1884" s="37">
        <f t="shared" si="818"/>
        <v>24.46</v>
      </c>
      <c r="N1884" s="29">
        <v>9.4600000000000009</v>
      </c>
      <c r="O1884" s="149"/>
      <c r="P1884" s="145" t="s">
        <v>1017</v>
      </c>
      <c r="Q1884" s="145"/>
      <c r="R1884" s="145"/>
      <c r="S1884" s="145" t="s">
        <v>4179</v>
      </c>
      <c r="T1884" t="s">
        <v>4179</v>
      </c>
      <c r="U1884" s="146"/>
      <c r="V1884" s="145"/>
      <c r="W1884" s="147"/>
      <c r="X1884" s="147"/>
      <c r="Y1884" s="145"/>
      <c r="Z1884" s="147"/>
      <c r="AA1884" s="145"/>
      <c r="AB1884" s="145"/>
      <c r="AC1884" s="147"/>
      <c r="AD1884" s="145" t="s">
        <v>1017</v>
      </c>
      <c r="AE1884" s="148" t="s">
        <v>1017</v>
      </c>
      <c r="AF1884" s="147"/>
      <c r="AG1884" s="147"/>
      <c r="AH1884" s="166" t="str">
        <f t="shared" si="819"/>
        <v/>
      </c>
      <c r="AI1884" s="168" t="str">
        <f t="shared" si="811"/>
        <v/>
      </c>
      <c r="AJ1884" s="168" t="str">
        <f t="shared" si="812"/>
        <v/>
      </c>
      <c r="AK1884" s="168" t="str">
        <f t="shared" si="813"/>
        <v/>
      </c>
      <c r="AL1884" s="168" t="str">
        <f t="shared" si="814"/>
        <v/>
      </c>
      <c r="AM1884" s="168" t="str">
        <f t="shared" si="815"/>
        <v/>
      </c>
      <c r="AN1884" s="167" t="str">
        <f t="shared" si="797"/>
        <v/>
      </c>
      <c r="AO1884" s="167" t="str">
        <f t="shared" si="798"/>
        <v/>
      </c>
      <c r="AP1884" s="167" t="str">
        <f t="shared" si="799"/>
        <v/>
      </c>
      <c r="AQ1884" s="169" t="str">
        <f t="shared" si="800"/>
        <v/>
      </c>
      <c r="AR1884" s="170" t="str">
        <f t="shared" si="801"/>
        <v>BiK82X2bKA3-07</v>
      </c>
      <c r="AS1884" s="169" t="str">
        <f t="shared" si="802"/>
        <v/>
      </c>
      <c r="AT1884">
        <f t="shared" si="803"/>
        <v>14</v>
      </c>
      <c r="AU1884" s="170" t="str">
        <f t="shared" si="804"/>
        <v>0,15-0,5 MW, Bonusregeln X2, b und K wenn Anlage 3 erfüllt</v>
      </c>
      <c r="AV1884" s="169" t="str">
        <f t="shared" si="805"/>
        <v/>
      </c>
      <c r="AW1884" s="170" t="str">
        <f t="shared" si="806"/>
        <v>Anteil KWK gemäß Anlage 3</v>
      </c>
      <c r="AX1884" s="169" t="str">
        <f t="shared" si="807"/>
        <v/>
      </c>
      <c r="AY1884" t="str">
        <f t="shared" si="808"/>
        <v/>
      </c>
      <c r="AZ1884" t="str">
        <f t="shared" si="809"/>
        <v/>
      </c>
    </row>
    <row r="1885" spans="1:52" x14ac:dyDescent="0.35">
      <c r="A1885" s="497" t="s">
        <v>4430</v>
      </c>
      <c r="B1885" s="13" t="s">
        <v>5547</v>
      </c>
      <c r="C1885" s="13" t="s">
        <v>1304</v>
      </c>
      <c r="D1885" s="13" t="s">
        <v>7198</v>
      </c>
      <c r="E1885" s="13" t="s">
        <v>674</v>
      </c>
      <c r="F1885" s="373">
        <f t="shared" si="816"/>
        <v>24.46</v>
      </c>
      <c r="G1885" s="430">
        <v>24.46</v>
      </c>
      <c r="H1885" s="399">
        <f t="shared" si="817"/>
        <v>19.57</v>
      </c>
      <c r="I1885" s="576"/>
      <c r="J1885" s="549" t="s">
        <v>5804</v>
      </c>
      <c r="K1885" s="11"/>
      <c r="M1885" s="37">
        <f t="shared" si="818"/>
        <v>24.46</v>
      </c>
      <c r="N1885" s="29">
        <v>9.4600000000000009</v>
      </c>
      <c r="O1885" s="149"/>
      <c r="P1885" s="144"/>
      <c r="Q1885" s="145" t="s">
        <v>1017</v>
      </c>
      <c r="R1885" s="145"/>
      <c r="S1885" s="145" t="s">
        <v>4179</v>
      </c>
      <c r="T1885" t="s">
        <v>4179</v>
      </c>
      <c r="U1885" s="146"/>
      <c r="V1885" s="145"/>
      <c r="W1885" s="147"/>
      <c r="X1885" s="147"/>
      <c r="Y1885" s="145"/>
      <c r="Z1885" s="147"/>
      <c r="AA1885" s="145"/>
      <c r="AB1885" s="145"/>
      <c r="AC1885" s="147"/>
      <c r="AD1885" s="145" t="s">
        <v>1017</v>
      </c>
      <c r="AE1885" s="148" t="s">
        <v>1017</v>
      </c>
      <c r="AF1885" s="147"/>
      <c r="AG1885" s="147"/>
      <c r="AH1885" s="166" t="str">
        <f t="shared" si="819"/>
        <v/>
      </c>
      <c r="AI1885" s="168" t="str">
        <f t="shared" si="811"/>
        <v/>
      </c>
      <c r="AJ1885" s="168" t="str">
        <f t="shared" si="812"/>
        <v/>
      </c>
      <c r="AK1885" s="168" t="str">
        <f t="shared" si="813"/>
        <v/>
      </c>
      <c r="AL1885" s="168" t="str">
        <f t="shared" si="814"/>
        <v/>
      </c>
      <c r="AM1885" s="168" t="str">
        <f t="shared" si="815"/>
        <v/>
      </c>
      <c r="AN1885" s="167" t="str">
        <f t="shared" si="797"/>
        <v/>
      </c>
      <c r="AO1885" s="167" t="str">
        <f t="shared" si="798"/>
        <v/>
      </c>
      <c r="AP1885" s="167" t="str">
        <f t="shared" si="799"/>
        <v/>
      </c>
      <c r="AQ1885" s="169" t="str">
        <f t="shared" si="800"/>
        <v/>
      </c>
      <c r="AR1885" s="170" t="str">
        <f t="shared" si="801"/>
        <v>BiK82X2bK09-07</v>
      </c>
      <c r="AS1885" s="169" t="str">
        <f t="shared" si="802"/>
        <v/>
      </c>
      <c r="AT1885">
        <f t="shared" si="803"/>
        <v>14</v>
      </c>
      <c r="AU1885" s="170" t="str">
        <f t="shared" si="804"/>
        <v>0,15-0,5 MW, Bonusregeln X2, b und K erstmals 2009</v>
      </c>
      <c r="AV1885" s="169" t="str">
        <f t="shared" si="805"/>
        <v/>
      </c>
      <c r="AW1885" s="170" t="str">
        <f t="shared" si="806"/>
        <v>Anteil KWK, erstmals 2009</v>
      </c>
      <c r="AX1885" s="169" t="str">
        <f t="shared" si="807"/>
        <v/>
      </c>
      <c r="AY1885" t="str">
        <f t="shared" si="808"/>
        <v/>
      </c>
      <c r="AZ1885" t="str">
        <f t="shared" si="809"/>
        <v/>
      </c>
    </row>
    <row r="1886" spans="1:52" x14ac:dyDescent="0.35">
      <c r="A1886" s="497" t="s">
        <v>3147</v>
      </c>
      <c r="B1886" s="13" t="s">
        <v>5547</v>
      </c>
      <c r="C1886" s="13" t="s">
        <v>1304</v>
      </c>
      <c r="D1886" s="13" t="s">
        <v>7199</v>
      </c>
      <c r="E1886" s="13" t="s">
        <v>3566</v>
      </c>
      <c r="F1886" s="373">
        <f t="shared" si="816"/>
        <v>24.43</v>
      </c>
      <c r="G1886" s="430">
        <v>24.43</v>
      </c>
      <c r="H1886" s="399">
        <f t="shared" si="817"/>
        <v>19.54</v>
      </c>
      <c r="I1886" s="576"/>
      <c r="J1886" s="549" t="s">
        <v>5804</v>
      </c>
      <c r="K1886" s="11"/>
      <c r="M1886" s="37">
        <f t="shared" si="818"/>
        <v>24.43</v>
      </c>
      <c r="N1886" s="29">
        <v>9.4600000000000009</v>
      </c>
      <c r="O1886" s="149"/>
      <c r="P1886" s="144"/>
      <c r="Q1886" s="145"/>
      <c r="R1886" s="145" t="s">
        <v>1017</v>
      </c>
      <c r="S1886" s="145" t="s">
        <v>4179</v>
      </c>
      <c r="T1886" t="s">
        <v>4179</v>
      </c>
      <c r="U1886" s="146"/>
      <c r="V1886" s="145"/>
      <c r="W1886" s="147"/>
      <c r="X1886" s="147"/>
      <c r="Y1886" s="145"/>
      <c r="Z1886" s="147"/>
      <c r="AA1886" s="145"/>
      <c r="AB1886" s="145"/>
      <c r="AC1886" s="147"/>
      <c r="AD1886" s="145" t="s">
        <v>1017</v>
      </c>
      <c r="AE1886" s="148" t="s">
        <v>1017</v>
      </c>
      <c r="AF1886" s="147"/>
      <c r="AG1886" s="147"/>
      <c r="AH1886" s="166" t="str">
        <f t="shared" si="819"/>
        <v>2010</v>
      </c>
      <c r="AI1886" s="168" t="str">
        <f t="shared" si="811"/>
        <v/>
      </c>
      <c r="AJ1886" s="168" t="str">
        <f t="shared" si="812"/>
        <v/>
      </c>
      <c r="AK1886" s="168" t="str">
        <f t="shared" si="813"/>
        <v/>
      </c>
      <c r="AL1886" s="168" t="str">
        <f t="shared" si="814"/>
        <v/>
      </c>
      <c r="AM1886" s="168" t="str">
        <f t="shared" si="815"/>
        <v/>
      </c>
      <c r="AN1886" s="167" t="str">
        <f t="shared" si="797"/>
        <v>2010</v>
      </c>
      <c r="AO1886" s="167" t="str">
        <f t="shared" si="798"/>
        <v>2010</v>
      </c>
      <c r="AP1886" s="167" t="str">
        <f t="shared" si="799"/>
        <v>2010</v>
      </c>
      <c r="AQ1886" s="169" t="str">
        <f t="shared" si="800"/>
        <v/>
      </c>
      <c r="AR1886" s="170" t="str">
        <f t="shared" si="801"/>
        <v>BiK82X2bK10-07</v>
      </c>
      <c r="AS1886" s="169" t="str">
        <f t="shared" si="802"/>
        <v/>
      </c>
      <c r="AT1886">
        <f t="shared" si="803"/>
        <v>14</v>
      </c>
      <c r="AU1886" s="170" t="str">
        <f t="shared" si="804"/>
        <v>0,15-0,5 MW, Bonusregeln X2, b und K erstmals 2010</v>
      </c>
      <c r="AV1886" s="169" t="str">
        <f t="shared" si="805"/>
        <v/>
      </c>
      <c r="AW1886" s="170" t="str">
        <f t="shared" si="806"/>
        <v>Anteil KWK, erstmals 2010</v>
      </c>
      <c r="AX1886" s="169" t="str">
        <f t="shared" si="807"/>
        <v/>
      </c>
      <c r="AY1886" t="str">
        <f t="shared" si="808"/>
        <v/>
      </c>
      <c r="AZ1886" t="str">
        <f t="shared" si="809"/>
        <v/>
      </c>
    </row>
    <row r="1887" spans="1:52" x14ac:dyDescent="0.35">
      <c r="A1887" s="497" t="s">
        <v>3423</v>
      </c>
      <c r="B1887" s="13" t="s">
        <v>5547</v>
      </c>
      <c r="C1887" s="13" t="s">
        <v>1304</v>
      </c>
      <c r="D1887" s="13" t="s">
        <v>7200</v>
      </c>
      <c r="E1887" s="13" t="s">
        <v>3054</v>
      </c>
      <c r="F1887" s="373">
        <f t="shared" si="816"/>
        <v>24.4</v>
      </c>
      <c r="G1887" s="430">
        <v>24.4</v>
      </c>
      <c r="H1887" s="399">
        <f t="shared" si="817"/>
        <v>19.52</v>
      </c>
      <c r="I1887" s="576"/>
      <c r="J1887" s="549" t="s">
        <v>5804</v>
      </c>
      <c r="K1887" s="11"/>
      <c r="M1887" s="37">
        <f t="shared" si="818"/>
        <v>24.4</v>
      </c>
      <c r="N1887" s="29">
        <v>9.4600000000000009</v>
      </c>
      <c r="O1887" s="149"/>
      <c r="P1887" s="144"/>
      <c r="Q1887" s="145"/>
      <c r="R1887" s="145"/>
      <c r="S1887" s="145" t="s">
        <v>1017</v>
      </c>
      <c r="T1887" t="s">
        <v>4179</v>
      </c>
      <c r="U1887" s="146"/>
      <c r="V1887" s="145"/>
      <c r="W1887" s="147"/>
      <c r="X1887" s="147"/>
      <c r="Y1887" s="145"/>
      <c r="Z1887" s="147"/>
      <c r="AA1887" s="145"/>
      <c r="AB1887" s="145"/>
      <c r="AC1887" s="147"/>
      <c r="AD1887" s="145" t="s">
        <v>1017</v>
      </c>
      <c r="AE1887" s="148" t="s">
        <v>1017</v>
      </c>
      <c r="AF1887" s="147"/>
      <c r="AG1887" s="147"/>
      <c r="AH1887" s="166" t="str">
        <f t="shared" si="819"/>
        <v>2011</v>
      </c>
      <c r="AI1887" s="168" t="str">
        <f t="shared" si="811"/>
        <v/>
      </c>
      <c r="AJ1887" s="168" t="str">
        <f t="shared" si="812"/>
        <v/>
      </c>
      <c r="AK1887" s="168" t="str">
        <f t="shared" si="813"/>
        <v/>
      </c>
      <c r="AL1887" s="168" t="str">
        <f t="shared" si="814"/>
        <v/>
      </c>
      <c r="AM1887" s="168" t="str">
        <f t="shared" si="815"/>
        <v/>
      </c>
      <c r="AN1887" s="167" t="str">
        <f t="shared" si="797"/>
        <v>2011</v>
      </c>
      <c r="AO1887" s="167" t="str">
        <f t="shared" si="798"/>
        <v>2011</v>
      </c>
      <c r="AP1887" s="167" t="str">
        <f t="shared" si="799"/>
        <v>2011</v>
      </c>
      <c r="AQ1887" s="169" t="str">
        <f t="shared" si="800"/>
        <v/>
      </c>
      <c r="AR1887" s="170" t="str">
        <f t="shared" si="801"/>
        <v>BiK82X2bK11-07</v>
      </c>
      <c r="AS1887" s="169" t="str">
        <f t="shared" si="802"/>
        <v/>
      </c>
      <c r="AT1887">
        <f t="shared" si="803"/>
        <v>14</v>
      </c>
      <c r="AU1887" s="170" t="str">
        <f t="shared" si="804"/>
        <v>0,15-0,5 MW, Bonusregeln X2, b und K erstmals 2011</v>
      </c>
      <c r="AV1887" s="169" t="str">
        <f t="shared" si="805"/>
        <v/>
      </c>
      <c r="AW1887" s="170" t="str">
        <f t="shared" si="806"/>
        <v>Anteil KWK, erstmals 2011</v>
      </c>
      <c r="AX1887" s="169" t="str">
        <f t="shared" si="807"/>
        <v/>
      </c>
      <c r="AY1887" t="str">
        <f t="shared" si="808"/>
        <v>x</v>
      </c>
      <c r="AZ1887" t="str">
        <f t="shared" si="809"/>
        <v/>
      </c>
    </row>
    <row r="1888" spans="1:52" x14ac:dyDescent="0.35">
      <c r="A1888" s="511" t="s">
        <v>1856</v>
      </c>
      <c r="B1888" s="173" t="s">
        <v>5547</v>
      </c>
      <c r="C1888" s="173" t="s">
        <v>1304</v>
      </c>
      <c r="D1888" s="173" t="s">
        <v>7201</v>
      </c>
      <c r="E1888" s="173" t="s">
        <v>1980</v>
      </c>
      <c r="F1888" s="374">
        <f t="shared" si="816"/>
        <v>24.37</v>
      </c>
      <c r="G1888" s="431">
        <v>24.37</v>
      </c>
      <c r="H1888" s="400">
        <f t="shared" si="817"/>
        <v>19.5</v>
      </c>
      <c r="I1888" s="577"/>
      <c r="J1888" s="549" t="s">
        <v>5804</v>
      </c>
      <c r="K1888" s="11"/>
      <c r="M1888" s="37">
        <f t="shared" si="818"/>
        <v>24.37</v>
      </c>
      <c r="N1888" s="29">
        <v>9.4600000000000009</v>
      </c>
      <c r="O1888" s="149"/>
      <c r="P1888" s="144"/>
      <c r="Q1888" s="145"/>
      <c r="R1888" s="145"/>
      <c r="S1888" s="145" t="s">
        <v>4179</v>
      </c>
      <c r="T1888" t="s">
        <v>1017</v>
      </c>
      <c r="U1888" s="146"/>
      <c r="V1888" s="145"/>
      <c r="W1888" s="147"/>
      <c r="X1888" s="147"/>
      <c r="Y1888" s="145"/>
      <c r="Z1888" s="147"/>
      <c r="AA1888" s="145"/>
      <c r="AB1888" s="145"/>
      <c r="AC1888" s="147"/>
      <c r="AD1888" s="145" t="s">
        <v>1017</v>
      </c>
      <c r="AE1888" s="148" t="s">
        <v>1017</v>
      </c>
      <c r="AF1888" s="147"/>
      <c r="AG1888" s="147"/>
      <c r="AH1888" s="171" t="s">
        <v>4178</v>
      </c>
      <c r="AI1888" s="168" t="str">
        <f t="shared" si="811"/>
        <v/>
      </c>
      <c r="AJ1888" s="168" t="str">
        <f t="shared" si="812"/>
        <v/>
      </c>
      <c r="AK1888" s="168" t="str">
        <f t="shared" si="813"/>
        <v/>
      </c>
      <c r="AL1888" s="168" t="str">
        <f t="shared" si="814"/>
        <v/>
      </c>
      <c r="AM1888" s="168" t="str">
        <f t="shared" si="815"/>
        <v/>
      </c>
      <c r="AN1888" s="167" t="str">
        <f t="shared" si="797"/>
        <v>2012</v>
      </c>
      <c r="AO1888" s="167" t="str">
        <f t="shared" si="798"/>
        <v>2012</v>
      </c>
      <c r="AP1888" s="167" t="str">
        <f t="shared" si="799"/>
        <v>2012</v>
      </c>
      <c r="AQ1888" s="169" t="str">
        <f t="shared" si="800"/>
        <v/>
      </c>
      <c r="AR1888" s="170" t="str">
        <f t="shared" si="801"/>
        <v>BiK82X2bK12-07</v>
      </c>
      <c r="AS1888" s="169" t="str">
        <f t="shared" si="802"/>
        <v/>
      </c>
      <c r="AT1888">
        <f t="shared" si="803"/>
        <v>14</v>
      </c>
      <c r="AU1888" s="170" t="str">
        <f t="shared" si="804"/>
        <v>0,15-0,5 MW, Bonusregeln X2, b und K erstmals 2012</v>
      </c>
      <c r="AV1888" s="169" t="str">
        <f t="shared" si="805"/>
        <v/>
      </c>
      <c r="AW1888" s="170" t="str">
        <f t="shared" si="806"/>
        <v>Anteil KWK, erstmals 2012</v>
      </c>
      <c r="AX1888" s="169" t="str">
        <f t="shared" si="807"/>
        <v/>
      </c>
      <c r="AY1888" t="str">
        <f t="shared" si="808"/>
        <v/>
      </c>
      <c r="AZ1888" t="str">
        <f t="shared" si="809"/>
        <v>x</v>
      </c>
    </row>
    <row r="1889" spans="1:52" x14ac:dyDescent="0.35">
      <c r="A1889" s="497" t="s">
        <v>4431</v>
      </c>
      <c r="B1889" s="13" t="s">
        <v>5547</v>
      </c>
      <c r="C1889" s="13" t="s">
        <v>1304</v>
      </c>
      <c r="D1889" s="13" t="s">
        <v>7202</v>
      </c>
      <c r="E1889" s="13" t="s">
        <v>4809</v>
      </c>
      <c r="F1889" s="373">
        <f t="shared" si="816"/>
        <v>22.46</v>
      </c>
      <c r="G1889" s="430">
        <v>22.46</v>
      </c>
      <c r="H1889" s="399">
        <f t="shared" si="817"/>
        <v>17.97</v>
      </c>
      <c r="I1889" s="576"/>
      <c r="J1889" s="549" t="s">
        <v>5804</v>
      </c>
      <c r="K1889" s="11"/>
      <c r="M1889" s="37">
        <f t="shared" si="818"/>
        <v>22.46</v>
      </c>
      <c r="N1889" s="29">
        <v>9.4600000000000009</v>
      </c>
      <c r="O1889" s="149"/>
      <c r="P1889" s="144"/>
      <c r="Q1889" s="145"/>
      <c r="R1889" s="145"/>
      <c r="S1889" s="145" t="s">
        <v>4179</v>
      </c>
      <c r="T1889" t="s">
        <v>4179</v>
      </c>
      <c r="U1889" s="146" t="s">
        <v>1017</v>
      </c>
      <c r="V1889" s="145"/>
      <c r="W1889" s="147"/>
      <c r="X1889" s="147"/>
      <c r="Y1889" s="145"/>
      <c r="Z1889" s="147"/>
      <c r="AA1889" s="145"/>
      <c r="AB1889" s="145"/>
      <c r="AC1889" s="147"/>
      <c r="AD1889" s="145" t="s">
        <v>1017</v>
      </c>
      <c r="AE1889" s="148" t="s">
        <v>1017</v>
      </c>
      <c r="AF1889" s="147"/>
      <c r="AG1889" s="147"/>
      <c r="AH1889" s="166" t="str">
        <f t="shared" ref="AH1889:AH1894" si="820">IF(ISERROR(SEARCH("K erstmals 201",D1889)),"",RIGHT(D1889,4))</f>
        <v/>
      </c>
      <c r="AI1889" s="168" t="str">
        <f t="shared" si="811"/>
        <v/>
      </c>
      <c r="AJ1889" s="168" t="str">
        <f t="shared" si="812"/>
        <v/>
      </c>
      <c r="AK1889" s="168" t="str">
        <f t="shared" si="813"/>
        <v/>
      </c>
      <c r="AL1889" s="168" t="str">
        <f t="shared" si="814"/>
        <v/>
      </c>
      <c r="AM1889" s="168" t="str">
        <f t="shared" si="815"/>
        <v/>
      </c>
      <c r="AN1889" s="167" t="str">
        <f t="shared" si="797"/>
        <v/>
      </c>
      <c r="AO1889" s="167" t="str">
        <f t="shared" si="798"/>
        <v/>
      </c>
      <c r="AP1889" s="167" t="str">
        <f t="shared" si="799"/>
        <v/>
      </c>
      <c r="AQ1889" s="169" t="str">
        <f t="shared" si="800"/>
        <v/>
      </c>
      <c r="AR1889" s="170" t="str">
        <f t="shared" si="801"/>
        <v>BiK82X2by---07</v>
      </c>
      <c r="AS1889" s="169" t="str">
        <f t="shared" si="802"/>
        <v/>
      </c>
      <c r="AT1889">
        <f t="shared" si="803"/>
        <v>14</v>
      </c>
      <c r="AU1889" s="170" t="str">
        <f t="shared" si="804"/>
        <v>0,15-0,5 MW, Bonusregeln X2, y, b</v>
      </c>
      <c r="AV1889" s="169" t="str">
        <f t="shared" si="805"/>
        <v/>
      </c>
      <c r="AW1889" s="170" t="str">
        <f t="shared" si="806"/>
        <v>Anteil Nicht-KWK</v>
      </c>
      <c r="AX1889" s="169" t="str">
        <f t="shared" si="807"/>
        <v/>
      </c>
      <c r="AY1889" t="str">
        <f t="shared" si="808"/>
        <v/>
      </c>
      <c r="AZ1889" t="str">
        <f t="shared" si="809"/>
        <v/>
      </c>
    </row>
    <row r="1890" spans="1:52" x14ac:dyDescent="0.35">
      <c r="A1890" s="497" t="s">
        <v>4432</v>
      </c>
      <c r="B1890" s="13" t="s">
        <v>5547</v>
      </c>
      <c r="C1890" s="13" t="s">
        <v>1304</v>
      </c>
      <c r="D1890" s="13" t="s">
        <v>7203</v>
      </c>
      <c r="E1890" s="13" t="s">
        <v>4811</v>
      </c>
      <c r="F1890" s="373">
        <f t="shared" si="816"/>
        <v>24.46</v>
      </c>
      <c r="G1890" s="430">
        <v>24.46</v>
      </c>
      <c r="H1890" s="399">
        <f t="shared" si="817"/>
        <v>19.57</v>
      </c>
      <c r="I1890" s="576"/>
      <c r="J1890" s="549" t="s">
        <v>5804</v>
      </c>
      <c r="K1890" s="11"/>
      <c r="M1890" s="37">
        <f t="shared" si="818"/>
        <v>24.46</v>
      </c>
      <c r="N1890" s="29">
        <v>9.4600000000000009</v>
      </c>
      <c r="O1890" s="149" t="s">
        <v>1017</v>
      </c>
      <c r="P1890" s="144"/>
      <c r="Q1890" s="145"/>
      <c r="R1890" s="145"/>
      <c r="S1890" s="145" t="s">
        <v>4179</v>
      </c>
      <c r="T1890" t="s">
        <v>4179</v>
      </c>
      <c r="U1890" s="146" t="s">
        <v>1017</v>
      </c>
      <c r="V1890" s="145"/>
      <c r="W1890" s="147"/>
      <c r="X1890" s="147"/>
      <c r="Y1890" s="145"/>
      <c r="Z1890" s="147"/>
      <c r="AA1890" s="145"/>
      <c r="AB1890" s="145"/>
      <c r="AC1890" s="147"/>
      <c r="AD1890" s="145" t="s">
        <v>1017</v>
      </c>
      <c r="AE1890" s="148" t="s">
        <v>1017</v>
      </c>
      <c r="AF1890" s="147"/>
      <c r="AG1890" s="147"/>
      <c r="AH1890" s="166" t="str">
        <f t="shared" si="820"/>
        <v/>
      </c>
      <c r="AI1890" s="168" t="str">
        <f t="shared" si="811"/>
        <v/>
      </c>
      <c r="AJ1890" s="168" t="str">
        <f t="shared" si="812"/>
        <v/>
      </c>
      <c r="AK1890" s="168" t="str">
        <f t="shared" si="813"/>
        <v/>
      </c>
      <c r="AL1890" s="168" t="str">
        <f t="shared" si="814"/>
        <v/>
      </c>
      <c r="AM1890" s="168" t="str">
        <f t="shared" si="815"/>
        <v/>
      </c>
      <c r="AN1890" s="167" t="str">
        <f t="shared" si="797"/>
        <v/>
      </c>
      <c r="AO1890" s="167" t="str">
        <f t="shared" si="798"/>
        <v/>
      </c>
      <c r="AP1890" s="167" t="str">
        <f t="shared" si="799"/>
        <v/>
      </c>
      <c r="AQ1890" s="169" t="str">
        <f t="shared" si="800"/>
        <v/>
      </c>
      <c r="AR1890" s="170" t="str">
        <f t="shared" si="801"/>
        <v>BiK82X2bKWKy07</v>
      </c>
      <c r="AS1890" s="169" t="str">
        <f t="shared" si="802"/>
        <v/>
      </c>
      <c r="AT1890">
        <f t="shared" si="803"/>
        <v>14</v>
      </c>
      <c r="AU1890" s="170" t="str">
        <f t="shared" si="804"/>
        <v>0,15-0,5 MW, Bonusregeln X2, y, b und KWK</v>
      </c>
      <c r="AV1890" s="169" t="str">
        <f t="shared" si="805"/>
        <v/>
      </c>
      <c r="AW1890" s="170" t="str">
        <f t="shared" si="806"/>
        <v>Anteil KWK</v>
      </c>
      <c r="AX1890" s="169" t="str">
        <f t="shared" si="807"/>
        <v/>
      </c>
      <c r="AY1890" t="str">
        <f t="shared" si="808"/>
        <v/>
      </c>
      <c r="AZ1890" t="str">
        <f t="shared" si="809"/>
        <v/>
      </c>
    </row>
    <row r="1891" spans="1:52" x14ac:dyDescent="0.35">
      <c r="A1891" s="497" t="s">
        <v>4433</v>
      </c>
      <c r="B1891" s="13" t="s">
        <v>5547</v>
      </c>
      <c r="C1891" s="13" t="s">
        <v>1304</v>
      </c>
      <c r="D1891" s="88" t="s">
        <v>7204</v>
      </c>
      <c r="E1891" s="13" t="s">
        <v>4330</v>
      </c>
      <c r="F1891" s="373">
        <f t="shared" si="816"/>
        <v>25.46</v>
      </c>
      <c r="G1891" s="430">
        <v>25.46</v>
      </c>
      <c r="H1891" s="399">
        <f t="shared" si="817"/>
        <v>20.37</v>
      </c>
      <c r="I1891" s="576"/>
      <c r="J1891" s="549" t="s">
        <v>5804</v>
      </c>
      <c r="K1891" s="11"/>
      <c r="M1891" s="37">
        <f t="shared" si="818"/>
        <v>25.46</v>
      </c>
      <c r="N1891" s="29">
        <v>9.4600000000000009</v>
      </c>
      <c r="O1891" s="149"/>
      <c r="P1891" s="145" t="s">
        <v>1017</v>
      </c>
      <c r="Q1891" s="145"/>
      <c r="R1891" s="145"/>
      <c r="S1891" s="145" t="s">
        <v>4179</v>
      </c>
      <c r="T1891" t="s">
        <v>4179</v>
      </c>
      <c r="U1891" s="146" t="s">
        <v>1017</v>
      </c>
      <c r="V1891" s="145"/>
      <c r="W1891" s="147"/>
      <c r="X1891" s="147"/>
      <c r="Y1891" s="145"/>
      <c r="Z1891" s="147"/>
      <c r="AA1891" s="145"/>
      <c r="AB1891" s="145"/>
      <c r="AC1891" s="147"/>
      <c r="AD1891" s="145" t="s">
        <v>1017</v>
      </c>
      <c r="AE1891" s="148" t="s">
        <v>1017</v>
      </c>
      <c r="AF1891" s="147"/>
      <c r="AG1891" s="147"/>
      <c r="AH1891" s="166" t="str">
        <f t="shared" si="820"/>
        <v/>
      </c>
      <c r="AI1891" s="168" t="str">
        <f t="shared" si="811"/>
        <v/>
      </c>
      <c r="AJ1891" s="168" t="str">
        <f t="shared" si="812"/>
        <v/>
      </c>
      <c r="AK1891" s="168" t="str">
        <f t="shared" si="813"/>
        <v/>
      </c>
      <c r="AL1891" s="168" t="str">
        <f t="shared" si="814"/>
        <v/>
      </c>
      <c r="AM1891" s="168" t="str">
        <f t="shared" si="815"/>
        <v/>
      </c>
      <c r="AN1891" s="167" t="str">
        <f t="shared" si="797"/>
        <v/>
      </c>
      <c r="AO1891" s="167" t="str">
        <f t="shared" si="798"/>
        <v/>
      </c>
      <c r="AP1891" s="167" t="str">
        <f t="shared" si="799"/>
        <v/>
      </c>
      <c r="AQ1891" s="169" t="str">
        <f t="shared" si="800"/>
        <v/>
      </c>
      <c r="AR1891" s="170" t="str">
        <f t="shared" si="801"/>
        <v>BiK82X2bKA3y07</v>
      </c>
      <c r="AS1891" s="169" t="str">
        <f t="shared" si="802"/>
        <v/>
      </c>
      <c r="AT1891">
        <f t="shared" si="803"/>
        <v>14</v>
      </c>
      <c r="AU1891" s="170" t="str">
        <f t="shared" si="804"/>
        <v>0,15-0,5 MW, Bonusregeln X2, y, b und K wenn Anlage 3 erfüllt</v>
      </c>
      <c r="AV1891" s="169" t="str">
        <f t="shared" si="805"/>
        <v/>
      </c>
      <c r="AW1891" s="170" t="str">
        <f t="shared" si="806"/>
        <v>Anteil KWK gemäß Anlage 3</v>
      </c>
      <c r="AX1891" s="169" t="str">
        <f t="shared" si="807"/>
        <v/>
      </c>
      <c r="AY1891" t="str">
        <f t="shared" si="808"/>
        <v/>
      </c>
      <c r="AZ1891" t="str">
        <f t="shared" si="809"/>
        <v/>
      </c>
    </row>
    <row r="1892" spans="1:52" x14ac:dyDescent="0.35">
      <c r="A1892" s="497" t="s">
        <v>4434</v>
      </c>
      <c r="B1892" s="13" t="s">
        <v>5547</v>
      </c>
      <c r="C1892" s="13" t="s">
        <v>1304</v>
      </c>
      <c r="D1892" s="13" t="s">
        <v>7205</v>
      </c>
      <c r="E1892" s="13" t="s">
        <v>674</v>
      </c>
      <c r="F1892" s="373">
        <f t="shared" si="816"/>
        <v>25.46</v>
      </c>
      <c r="G1892" s="430">
        <v>25.46</v>
      </c>
      <c r="H1892" s="399">
        <f t="shared" si="817"/>
        <v>20.37</v>
      </c>
      <c r="I1892" s="576"/>
      <c r="J1892" s="549" t="s">
        <v>5804</v>
      </c>
      <c r="K1892" s="11"/>
      <c r="M1892" s="37">
        <f t="shared" si="818"/>
        <v>25.46</v>
      </c>
      <c r="N1892" s="29">
        <v>9.4600000000000009</v>
      </c>
      <c r="O1892" s="149"/>
      <c r="P1892" s="144"/>
      <c r="Q1892" s="145" t="s">
        <v>1017</v>
      </c>
      <c r="R1892" s="145"/>
      <c r="S1892" s="145" t="s">
        <v>4179</v>
      </c>
      <c r="T1892" t="s">
        <v>4179</v>
      </c>
      <c r="U1892" s="146" t="s">
        <v>1017</v>
      </c>
      <c r="V1892" s="145"/>
      <c r="W1892" s="147"/>
      <c r="X1892" s="147"/>
      <c r="Y1892" s="145"/>
      <c r="Z1892" s="147"/>
      <c r="AA1892" s="145"/>
      <c r="AB1892" s="145"/>
      <c r="AC1892" s="147"/>
      <c r="AD1892" s="145" t="s">
        <v>1017</v>
      </c>
      <c r="AE1892" s="148" t="s">
        <v>1017</v>
      </c>
      <c r="AF1892" s="147"/>
      <c r="AG1892" s="147"/>
      <c r="AH1892" s="166" t="str">
        <f t="shared" si="820"/>
        <v/>
      </c>
      <c r="AI1892" s="168" t="str">
        <f t="shared" si="811"/>
        <v/>
      </c>
      <c r="AJ1892" s="168" t="str">
        <f t="shared" si="812"/>
        <v/>
      </c>
      <c r="AK1892" s="168" t="str">
        <f t="shared" si="813"/>
        <v/>
      </c>
      <c r="AL1892" s="168" t="str">
        <f t="shared" si="814"/>
        <v/>
      </c>
      <c r="AM1892" s="168" t="str">
        <f t="shared" si="815"/>
        <v/>
      </c>
      <c r="AN1892" s="167" t="str">
        <f t="shared" si="797"/>
        <v/>
      </c>
      <c r="AO1892" s="167" t="str">
        <f t="shared" si="798"/>
        <v/>
      </c>
      <c r="AP1892" s="167" t="str">
        <f t="shared" si="799"/>
        <v/>
      </c>
      <c r="AQ1892" s="169" t="str">
        <f t="shared" si="800"/>
        <v/>
      </c>
      <c r="AR1892" s="170" t="str">
        <f t="shared" si="801"/>
        <v>BiK82X2bK09y07</v>
      </c>
      <c r="AS1892" s="169" t="str">
        <f t="shared" si="802"/>
        <v/>
      </c>
      <c r="AT1892">
        <f t="shared" si="803"/>
        <v>14</v>
      </c>
      <c r="AU1892" s="170" t="str">
        <f t="shared" si="804"/>
        <v>0,15-0,5 MW, Bonusregeln X2, y, b und K erstmals 2009</v>
      </c>
      <c r="AV1892" s="169" t="str">
        <f t="shared" si="805"/>
        <v/>
      </c>
      <c r="AW1892" s="170" t="str">
        <f t="shared" si="806"/>
        <v>Anteil KWK, erstmals 2009</v>
      </c>
      <c r="AX1892" s="169" t="str">
        <f t="shared" si="807"/>
        <v/>
      </c>
      <c r="AY1892" t="str">
        <f t="shared" si="808"/>
        <v/>
      </c>
      <c r="AZ1892" t="str">
        <f t="shared" si="809"/>
        <v/>
      </c>
    </row>
    <row r="1893" spans="1:52" x14ac:dyDescent="0.35">
      <c r="A1893" s="497" t="s">
        <v>3148</v>
      </c>
      <c r="B1893" s="13" t="s">
        <v>5547</v>
      </c>
      <c r="C1893" s="13" t="s">
        <v>1304</v>
      </c>
      <c r="D1893" s="13" t="s">
        <v>7206</v>
      </c>
      <c r="E1893" s="13" t="s">
        <v>3566</v>
      </c>
      <c r="F1893" s="373">
        <f t="shared" si="816"/>
        <v>25.43</v>
      </c>
      <c r="G1893" s="430">
        <v>25.43</v>
      </c>
      <c r="H1893" s="399">
        <f t="shared" si="817"/>
        <v>20.34</v>
      </c>
      <c r="I1893" s="576"/>
      <c r="J1893" s="549" t="s">
        <v>5804</v>
      </c>
      <c r="K1893" s="11"/>
      <c r="M1893" s="37">
        <f t="shared" si="818"/>
        <v>25.43</v>
      </c>
      <c r="N1893" s="29">
        <v>9.4600000000000009</v>
      </c>
      <c r="O1893" s="149"/>
      <c r="P1893" s="144"/>
      <c r="Q1893" s="145"/>
      <c r="R1893" s="145" t="s">
        <v>1017</v>
      </c>
      <c r="S1893" s="145" t="s">
        <v>4179</v>
      </c>
      <c r="T1893" t="s">
        <v>4179</v>
      </c>
      <c r="U1893" s="146" t="s">
        <v>1017</v>
      </c>
      <c r="V1893" s="145"/>
      <c r="W1893" s="147"/>
      <c r="X1893" s="147"/>
      <c r="Y1893" s="145"/>
      <c r="Z1893" s="147"/>
      <c r="AA1893" s="145"/>
      <c r="AB1893" s="145"/>
      <c r="AC1893" s="147"/>
      <c r="AD1893" s="145" t="s">
        <v>1017</v>
      </c>
      <c r="AE1893" s="148" t="s">
        <v>1017</v>
      </c>
      <c r="AF1893" s="147"/>
      <c r="AG1893" s="147"/>
      <c r="AH1893" s="166" t="str">
        <f t="shared" si="820"/>
        <v>2010</v>
      </c>
      <c r="AI1893" s="168" t="str">
        <f t="shared" si="811"/>
        <v/>
      </c>
      <c r="AJ1893" s="168" t="str">
        <f t="shared" si="812"/>
        <v/>
      </c>
      <c r="AK1893" s="168" t="str">
        <f t="shared" si="813"/>
        <v/>
      </c>
      <c r="AL1893" s="168" t="str">
        <f t="shared" si="814"/>
        <v/>
      </c>
      <c r="AM1893" s="168" t="str">
        <f t="shared" si="815"/>
        <v/>
      </c>
      <c r="AN1893" s="167" t="str">
        <f t="shared" si="797"/>
        <v>2010</v>
      </c>
      <c r="AO1893" s="167" t="str">
        <f t="shared" si="798"/>
        <v>2010</v>
      </c>
      <c r="AP1893" s="167" t="str">
        <f t="shared" si="799"/>
        <v>2010</v>
      </c>
      <c r="AQ1893" s="169" t="str">
        <f t="shared" si="800"/>
        <v/>
      </c>
      <c r="AR1893" s="170" t="str">
        <f t="shared" si="801"/>
        <v>BiK82X2bK10y07</v>
      </c>
      <c r="AS1893" s="169" t="str">
        <f t="shared" si="802"/>
        <v/>
      </c>
      <c r="AT1893">
        <f t="shared" si="803"/>
        <v>14</v>
      </c>
      <c r="AU1893" s="170" t="str">
        <f t="shared" si="804"/>
        <v>0,15-0,5 MW, Bonusregeln X2, y, b und K erstmals 2010</v>
      </c>
      <c r="AV1893" s="169" t="str">
        <f t="shared" si="805"/>
        <v/>
      </c>
      <c r="AW1893" s="170" t="str">
        <f t="shared" si="806"/>
        <v>Anteil KWK, erstmals 2010</v>
      </c>
      <c r="AX1893" s="169" t="str">
        <f t="shared" si="807"/>
        <v/>
      </c>
      <c r="AY1893" t="str">
        <f t="shared" si="808"/>
        <v/>
      </c>
      <c r="AZ1893" t="str">
        <f t="shared" si="809"/>
        <v/>
      </c>
    </row>
    <row r="1894" spans="1:52" x14ac:dyDescent="0.35">
      <c r="A1894" s="497" t="s">
        <v>3424</v>
      </c>
      <c r="B1894" s="13" t="s">
        <v>5547</v>
      </c>
      <c r="C1894" s="13" t="s">
        <v>1304</v>
      </c>
      <c r="D1894" s="13" t="s">
        <v>7207</v>
      </c>
      <c r="E1894" s="13" t="s">
        <v>3054</v>
      </c>
      <c r="F1894" s="373">
        <f t="shared" si="816"/>
        <v>25.4</v>
      </c>
      <c r="G1894" s="430">
        <v>25.4</v>
      </c>
      <c r="H1894" s="399">
        <f t="shared" si="817"/>
        <v>20.32</v>
      </c>
      <c r="I1894" s="576"/>
      <c r="J1894" s="549" t="s">
        <v>5804</v>
      </c>
      <c r="K1894" s="11"/>
      <c r="M1894" s="37">
        <f t="shared" si="818"/>
        <v>25.4</v>
      </c>
      <c r="N1894" s="29">
        <v>9.4600000000000009</v>
      </c>
      <c r="O1894" s="149"/>
      <c r="P1894" s="144"/>
      <c r="Q1894" s="145"/>
      <c r="R1894" s="145"/>
      <c r="S1894" s="145" t="s">
        <v>1017</v>
      </c>
      <c r="T1894" t="s">
        <v>4179</v>
      </c>
      <c r="U1894" s="146" t="s">
        <v>1017</v>
      </c>
      <c r="V1894" s="145"/>
      <c r="W1894" s="147"/>
      <c r="X1894" s="147"/>
      <c r="Y1894" s="145"/>
      <c r="Z1894" s="147"/>
      <c r="AA1894" s="145"/>
      <c r="AB1894" s="145"/>
      <c r="AC1894" s="147"/>
      <c r="AD1894" s="145" t="s">
        <v>1017</v>
      </c>
      <c r="AE1894" s="148" t="s">
        <v>1017</v>
      </c>
      <c r="AF1894" s="147"/>
      <c r="AG1894" s="147"/>
      <c r="AH1894" s="166" t="str">
        <f t="shared" si="820"/>
        <v>2011</v>
      </c>
      <c r="AI1894" s="168" t="str">
        <f t="shared" si="811"/>
        <v/>
      </c>
      <c r="AJ1894" s="168" t="str">
        <f t="shared" si="812"/>
        <v/>
      </c>
      <c r="AK1894" s="168" t="str">
        <f t="shared" si="813"/>
        <v/>
      </c>
      <c r="AL1894" s="168" t="str">
        <f t="shared" si="814"/>
        <v/>
      </c>
      <c r="AM1894" s="168" t="str">
        <f t="shared" si="815"/>
        <v/>
      </c>
      <c r="AN1894" s="167" t="str">
        <f t="shared" si="797"/>
        <v>2011</v>
      </c>
      <c r="AO1894" s="167" t="str">
        <f t="shared" si="798"/>
        <v>2011</v>
      </c>
      <c r="AP1894" s="167" t="str">
        <f t="shared" si="799"/>
        <v>2011</v>
      </c>
      <c r="AQ1894" s="169" t="str">
        <f t="shared" si="800"/>
        <v/>
      </c>
      <c r="AR1894" s="170" t="str">
        <f t="shared" si="801"/>
        <v>BiK82X2bK11y07</v>
      </c>
      <c r="AS1894" s="169" t="str">
        <f t="shared" si="802"/>
        <v/>
      </c>
      <c r="AT1894">
        <f t="shared" si="803"/>
        <v>14</v>
      </c>
      <c r="AU1894" s="170" t="str">
        <f t="shared" si="804"/>
        <v>0,15-0,5 MW, Bonusregeln X2, y, b und K erstmals 2011</v>
      </c>
      <c r="AV1894" s="169" t="str">
        <f t="shared" si="805"/>
        <v/>
      </c>
      <c r="AW1894" s="170" t="str">
        <f t="shared" si="806"/>
        <v>Anteil KWK, erstmals 2011</v>
      </c>
      <c r="AX1894" s="169" t="str">
        <f t="shared" si="807"/>
        <v/>
      </c>
      <c r="AY1894" t="str">
        <f t="shared" si="808"/>
        <v>x</v>
      </c>
      <c r="AZ1894" t="str">
        <f t="shared" si="809"/>
        <v/>
      </c>
    </row>
    <row r="1895" spans="1:52" x14ac:dyDescent="0.35">
      <c r="A1895" s="511" t="s">
        <v>1857</v>
      </c>
      <c r="B1895" s="173" t="s">
        <v>5547</v>
      </c>
      <c r="C1895" s="173" t="s">
        <v>1304</v>
      </c>
      <c r="D1895" s="173" t="s">
        <v>7208</v>
      </c>
      <c r="E1895" s="173" t="s">
        <v>1980</v>
      </c>
      <c r="F1895" s="374">
        <f t="shared" si="816"/>
        <v>25.37</v>
      </c>
      <c r="G1895" s="431">
        <v>25.37</v>
      </c>
      <c r="H1895" s="400">
        <f t="shared" si="817"/>
        <v>20.3</v>
      </c>
      <c r="I1895" s="577"/>
      <c r="J1895" s="549" t="s">
        <v>5804</v>
      </c>
      <c r="K1895" s="11"/>
      <c r="M1895" s="37">
        <f t="shared" si="818"/>
        <v>25.37</v>
      </c>
      <c r="N1895" s="29">
        <v>9.4600000000000009</v>
      </c>
      <c r="O1895" s="149"/>
      <c r="P1895" s="144"/>
      <c r="Q1895" s="145"/>
      <c r="R1895" s="145"/>
      <c r="S1895" s="145" t="s">
        <v>4179</v>
      </c>
      <c r="T1895" t="s">
        <v>1017</v>
      </c>
      <c r="U1895" s="146" t="s">
        <v>1017</v>
      </c>
      <c r="V1895" s="145"/>
      <c r="W1895" s="147"/>
      <c r="X1895" s="147"/>
      <c r="Y1895" s="145"/>
      <c r="Z1895" s="147"/>
      <c r="AA1895" s="145"/>
      <c r="AB1895" s="145"/>
      <c r="AC1895" s="147"/>
      <c r="AD1895" s="145" t="s">
        <v>1017</v>
      </c>
      <c r="AE1895" s="148" t="s">
        <v>1017</v>
      </c>
      <c r="AF1895" s="147"/>
      <c r="AG1895" s="147"/>
      <c r="AH1895" s="171" t="s">
        <v>4178</v>
      </c>
      <c r="AI1895" s="168" t="str">
        <f t="shared" si="811"/>
        <v/>
      </c>
      <c r="AJ1895" s="168" t="str">
        <f t="shared" si="812"/>
        <v/>
      </c>
      <c r="AK1895" s="168" t="str">
        <f t="shared" si="813"/>
        <v/>
      </c>
      <c r="AL1895" s="168" t="str">
        <f t="shared" si="814"/>
        <v/>
      </c>
      <c r="AM1895" s="168" t="str">
        <f t="shared" si="815"/>
        <v/>
      </c>
      <c r="AN1895" s="167" t="str">
        <f t="shared" si="797"/>
        <v>2012</v>
      </c>
      <c r="AO1895" s="167" t="str">
        <f t="shared" si="798"/>
        <v>2012</v>
      </c>
      <c r="AP1895" s="167" t="str">
        <f t="shared" si="799"/>
        <v>2012</v>
      </c>
      <c r="AQ1895" s="169" t="str">
        <f t="shared" si="800"/>
        <v/>
      </c>
      <c r="AR1895" s="170" t="str">
        <f t="shared" si="801"/>
        <v>BiK82X2bK12y07</v>
      </c>
      <c r="AS1895" s="169" t="str">
        <f t="shared" si="802"/>
        <v/>
      </c>
      <c r="AT1895">
        <f t="shared" si="803"/>
        <v>14</v>
      </c>
      <c r="AU1895" s="170" t="str">
        <f t="shared" si="804"/>
        <v>0,15-0,5 MW, Bonusregeln X2, y, b und K erstmals 2012</v>
      </c>
      <c r="AV1895" s="169" t="str">
        <f t="shared" si="805"/>
        <v/>
      </c>
      <c r="AW1895" s="170" t="str">
        <f t="shared" si="806"/>
        <v>Anteil KWK, erstmals 2012</v>
      </c>
      <c r="AX1895" s="169" t="str">
        <f t="shared" si="807"/>
        <v/>
      </c>
      <c r="AY1895" t="str">
        <f t="shared" si="808"/>
        <v/>
      </c>
      <c r="AZ1895" t="str">
        <f t="shared" si="809"/>
        <v>x</v>
      </c>
    </row>
    <row r="1896" spans="1:52" x14ac:dyDescent="0.35">
      <c r="A1896" s="496" t="s">
        <v>549</v>
      </c>
      <c r="B1896" s="1" t="s">
        <v>5547</v>
      </c>
      <c r="C1896" s="1" t="s">
        <v>1304</v>
      </c>
      <c r="D1896" s="1" t="s">
        <v>5407</v>
      </c>
      <c r="E1896" s="1" t="s">
        <v>4809</v>
      </c>
      <c r="F1896" s="375">
        <f t="shared" si="816"/>
        <v>8.51</v>
      </c>
      <c r="G1896" s="432">
        <v>8.51</v>
      </c>
      <c r="H1896" s="401">
        <f t="shared" si="817"/>
        <v>6.81</v>
      </c>
      <c r="I1896" s="578"/>
      <c r="J1896" s="549" t="s">
        <v>5804</v>
      </c>
      <c r="K1896" s="11"/>
      <c r="M1896" s="37">
        <f t="shared" si="818"/>
        <v>8.51</v>
      </c>
      <c r="N1896" s="29">
        <v>8.51</v>
      </c>
      <c r="O1896" s="41"/>
      <c r="P1896" s="59"/>
      <c r="S1896" t="s">
        <v>4179</v>
      </c>
      <c r="T1896" t="s">
        <v>4179</v>
      </c>
      <c r="U1896" s="60"/>
      <c r="V1896" s="50"/>
      <c r="Y1896" s="50"/>
      <c r="Z1896" s="50"/>
      <c r="AA1896" s="50"/>
      <c r="AB1896" s="50"/>
      <c r="AC1896" s="50"/>
      <c r="AD1896" s="50"/>
      <c r="AE1896" s="75"/>
      <c r="AF1896" s="50"/>
      <c r="AG1896" s="50"/>
      <c r="AH1896" s="166" t="str">
        <f>IF(ISERROR(SEARCH("K erstmals 201",D1896)),"",RIGHT(D1896,4))</f>
        <v/>
      </c>
      <c r="AI1896" s="168" t="str">
        <f t="shared" si="811"/>
        <v/>
      </c>
      <c r="AJ1896" s="168" t="str">
        <f t="shared" si="812"/>
        <v/>
      </c>
      <c r="AK1896" s="168" t="str">
        <f t="shared" si="813"/>
        <v/>
      </c>
      <c r="AL1896" s="168" t="str">
        <f t="shared" si="814"/>
        <v/>
      </c>
      <c r="AM1896" s="168" t="str">
        <f t="shared" si="815"/>
        <v/>
      </c>
      <c r="AN1896" s="167" t="str">
        <f t="shared" si="797"/>
        <v/>
      </c>
      <c r="AO1896" s="167" t="str">
        <f t="shared" si="798"/>
        <v/>
      </c>
      <c r="AP1896" s="167" t="str">
        <f t="shared" si="799"/>
        <v/>
      </c>
      <c r="AQ1896" s="169" t="str">
        <f t="shared" si="800"/>
        <v/>
      </c>
      <c r="AR1896" s="170" t="str">
        <f t="shared" si="801"/>
        <v>BiK83-------07</v>
      </c>
      <c r="AS1896" s="169" t="str">
        <f t="shared" si="802"/>
        <v/>
      </c>
      <c r="AT1896">
        <f t="shared" si="803"/>
        <v>14</v>
      </c>
      <c r="AU1896" s="170" t="str">
        <f t="shared" si="804"/>
        <v>0,5-5 MW</v>
      </c>
      <c r="AV1896" s="169" t="str">
        <f t="shared" si="805"/>
        <v/>
      </c>
      <c r="AW1896" s="170" t="str">
        <f t="shared" si="806"/>
        <v>Anteil Nicht-KWK</v>
      </c>
      <c r="AX1896" s="169" t="str">
        <f t="shared" si="807"/>
        <v/>
      </c>
      <c r="AY1896" t="str">
        <f t="shared" si="808"/>
        <v/>
      </c>
      <c r="AZ1896" t="str">
        <f t="shared" si="809"/>
        <v/>
      </c>
    </row>
    <row r="1897" spans="1:52" x14ac:dyDescent="0.35">
      <c r="A1897" s="496" t="s">
        <v>550</v>
      </c>
      <c r="B1897" s="1" t="s">
        <v>5547</v>
      </c>
      <c r="C1897" s="1" t="s">
        <v>1304</v>
      </c>
      <c r="D1897" s="1" t="s">
        <v>6769</v>
      </c>
      <c r="E1897" s="1" t="s">
        <v>4811</v>
      </c>
      <c r="F1897" s="375">
        <f t="shared" si="816"/>
        <v>10.51</v>
      </c>
      <c r="G1897" s="432">
        <v>10.51</v>
      </c>
      <c r="H1897" s="401">
        <f t="shared" si="817"/>
        <v>8.41</v>
      </c>
      <c r="I1897" s="578"/>
      <c r="J1897" s="549" t="s">
        <v>5804</v>
      </c>
      <c r="K1897" s="11"/>
      <c r="M1897" s="37">
        <f t="shared" si="818"/>
        <v>10.51</v>
      </c>
      <c r="N1897" s="29">
        <v>8.51</v>
      </c>
      <c r="O1897" s="41" t="s">
        <v>1017</v>
      </c>
      <c r="P1897" s="59"/>
      <c r="S1897" t="s">
        <v>4179</v>
      </c>
      <c r="T1897" t="s">
        <v>4179</v>
      </c>
      <c r="U1897" s="60"/>
      <c r="V1897" s="50"/>
      <c r="Y1897" s="50"/>
      <c r="Z1897" s="50"/>
      <c r="AA1897" s="50"/>
      <c r="AB1897" s="50"/>
      <c r="AC1897" s="50"/>
      <c r="AD1897" s="50"/>
      <c r="AE1897" s="75"/>
      <c r="AF1897" s="50"/>
      <c r="AG1897" s="50"/>
      <c r="AH1897" s="166" t="str">
        <f>IF(ISERROR(SEARCH("K erstmals 201",D1897)),"",RIGHT(D1897,4))</f>
        <v/>
      </c>
      <c r="AI1897" s="168" t="str">
        <f t="shared" si="811"/>
        <v/>
      </c>
      <c r="AJ1897" s="168" t="str">
        <f t="shared" si="812"/>
        <v/>
      </c>
      <c r="AK1897" s="168" t="str">
        <f t="shared" si="813"/>
        <v/>
      </c>
      <c r="AL1897" s="168" t="str">
        <f t="shared" si="814"/>
        <v/>
      </c>
      <c r="AM1897" s="168" t="str">
        <f t="shared" si="815"/>
        <v/>
      </c>
      <c r="AN1897" s="167" t="str">
        <f t="shared" si="797"/>
        <v/>
      </c>
      <c r="AO1897" s="167" t="str">
        <f t="shared" si="798"/>
        <v/>
      </c>
      <c r="AP1897" s="167" t="str">
        <f t="shared" si="799"/>
        <v/>
      </c>
      <c r="AQ1897" s="169" t="str">
        <f t="shared" si="800"/>
        <v/>
      </c>
      <c r="AR1897" s="170" t="str">
        <f t="shared" si="801"/>
        <v>BiK83KWK----07</v>
      </c>
      <c r="AS1897" s="169" t="str">
        <f t="shared" si="802"/>
        <v/>
      </c>
      <c r="AT1897">
        <f t="shared" si="803"/>
        <v>14</v>
      </c>
      <c r="AU1897" s="170" t="str">
        <f t="shared" si="804"/>
        <v>0,5-5 MW, Bonusregel KWK</v>
      </c>
      <c r="AV1897" s="169" t="str">
        <f t="shared" si="805"/>
        <v/>
      </c>
      <c r="AW1897" s="170" t="str">
        <f t="shared" si="806"/>
        <v>Anteil KWK</v>
      </c>
      <c r="AX1897" s="169" t="str">
        <f t="shared" si="807"/>
        <v/>
      </c>
      <c r="AY1897" t="str">
        <f t="shared" si="808"/>
        <v/>
      </c>
      <c r="AZ1897" t="str">
        <f t="shared" si="809"/>
        <v/>
      </c>
    </row>
    <row r="1898" spans="1:52" x14ac:dyDescent="0.35">
      <c r="A1898" s="497" t="s">
        <v>894</v>
      </c>
      <c r="B1898" s="13" t="s">
        <v>5547</v>
      </c>
      <c r="C1898" s="13" t="s">
        <v>1304</v>
      </c>
      <c r="D1898" s="13" t="s">
        <v>6749</v>
      </c>
      <c r="E1898" s="13" t="s">
        <v>674</v>
      </c>
      <c r="F1898" s="373">
        <f t="shared" si="816"/>
        <v>11.51</v>
      </c>
      <c r="G1898" s="430">
        <v>11.51</v>
      </c>
      <c r="H1898" s="399">
        <f t="shared" si="817"/>
        <v>9.2100000000000009</v>
      </c>
      <c r="I1898" s="576"/>
      <c r="J1898" s="549" t="s">
        <v>5804</v>
      </c>
      <c r="K1898" s="11"/>
      <c r="M1898" s="37">
        <f t="shared" si="818"/>
        <v>11.51</v>
      </c>
      <c r="N1898" s="29">
        <v>8.51</v>
      </c>
      <c r="O1898" s="41"/>
      <c r="P1898" s="59"/>
      <c r="Q1898" t="s">
        <v>1017</v>
      </c>
      <c r="S1898" t="s">
        <v>4179</v>
      </c>
      <c r="T1898" t="s">
        <v>4179</v>
      </c>
      <c r="U1898" s="60"/>
      <c r="V1898" s="50"/>
      <c r="Y1898" s="50"/>
      <c r="Z1898" s="50"/>
      <c r="AA1898" s="50"/>
      <c r="AB1898" s="50"/>
      <c r="AC1898" s="50"/>
      <c r="AD1898" s="50"/>
      <c r="AE1898" s="75"/>
      <c r="AF1898" s="50"/>
      <c r="AG1898" s="50"/>
      <c r="AH1898" s="166" t="str">
        <f>IF(ISERROR(SEARCH("K erstmals 201",D1898)),"",RIGHT(D1898,4))</f>
        <v/>
      </c>
      <c r="AI1898" s="168" t="str">
        <f t="shared" si="811"/>
        <v/>
      </c>
      <c r="AJ1898" s="168" t="str">
        <f t="shared" si="812"/>
        <v/>
      </c>
      <c r="AK1898" s="168" t="str">
        <f t="shared" si="813"/>
        <v/>
      </c>
      <c r="AL1898" s="168" t="str">
        <f t="shared" si="814"/>
        <v/>
      </c>
      <c r="AM1898" s="168" t="str">
        <f t="shared" si="815"/>
        <v/>
      </c>
      <c r="AN1898" s="167" t="str">
        <f t="shared" si="797"/>
        <v/>
      </c>
      <c r="AO1898" s="167" t="str">
        <f t="shared" si="798"/>
        <v/>
      </c>
      <c r="AP1898" s="167" t="str">
        <f t="shared" si="799"/>
        <v/>
      </c>
      <c r="AQ1898" s="169" t="str">
        <f t="shared" si="800"/>
        <v/>
      </c>
      <c r="AR1898" s="170" t="str">
        <f t="shared" si="801"/>
        <v>BiK83K09----07</v>
      </c>
      <c r="AS1898" s="169" t="str">
        <f t="shared" si="802"/>
        <v/>
      </c>
      <c r="AT1898">
        <f t="shared" si="803"/>
        <v>14</v>
      </c>
      <c r="AU1898" s="170" t="str">
        <f t="shared" si="804"/>
        <v>0,5-5 MW, Bonusregel K erstmals 2009</v>
      </c>
      <c r="AV1898" s="169" t="str">
        <f t="shared" si="805"/>
        <v/>
      </c>
      <c r="AW1898" s="170" t="str">
        <f t="shared" si="806"/>
        <v>Anteil KWK, erstmals 2009</v>
      </c>
      <c r="AX1898" s="169" t="str">
        <f t="shared" si="807"/>
        <v/>
      </c>
      <c r="AY1898" t="str">
        <f t="shared" si="808"/>
        <v/>
      </c>
      <c r="AZ1898" t="str">
        <f t="shared" si="809"/>
        <v/>
      </c>
    </row>
    <row r="1899" spans="1:52" x14ac:dyDescent="0.35">
      <c r="A1899" s="497" t="s">
        <v>3149</v>
      </c>
      <c r="B1899" s="13" t="s">
        <v>5547</v>
      </c>
      <c r="C1899" s="13" t="s">
        <v>1304</v>
      </c>
      <c r="D1899" s="13" t="s">
        <v>6750</v>
      </c>
      <c r="E1899" s="13" t="s">
        <v>3566</v>
      </c>
      <c r="F1899" s="373">
        <f t="shared" si="816"/>
        <v>11.48</v>
      </c>
      <c r="G1899" s="430">
        <v>11.48</v>
      </c>
      <c r="H1899" s="399">
        <f t="shared" si="817"/>
        <v>9.18</v>
      </c>
      <c r="I1899" s="576"/>
      <c r="J1899" s="549" t="s">
        <v>5804</v>
      </c>
      <c r="K1899" s="11"/>
      <c r="M1899" s="37">
        <f t="shared" si="818"/>
        <v>11.48</v>
      </c>
      <c r="N1899" s="29">
        <v>8.51</v>
      </c>
      <c r="O1899" s="41"/>
      <c r="P1899" s="59"/>
      <c r="R1899" t="s">
        <v>1017</v>
      </c>
      <c r="S1899" t="s">
        <v>4179</v>
      </c>
      <c r="T1899" t="s">
        <v>4179</v>
      </c>
      <c r="U1899" s="60"/>
      <c r="V1899" s="50"/>
      <c r="Y1899" s="50"/>
      <c r="Z1899" s="50"/>
      <c r="AA1899" s="50"/>
      <c r="AB1899" s="50"/>
      <c r="AC1899" s="50"/>
      <c r="AD1899" s="50"/>
      <c r="AE1899" s="75"/>
      <c r="AF1899" s="50"/>
      <c r="AG1899" s="50"/>
      <c r="AH1899" s="166" t="str">
        <f>IF(ISERROR(SEARCH("K erstmals 201",D1899)),"",RIGHT(D1899,4))</f>
        <v>2010</v>
      </c>
      <c r="AI1899" s="168" t="str">
        <f t="shared" si="811"/>
        <v/>
      </c>
      <c r="AJ1899" s="168" t="str">
        <f t="shared" si="812"/>
        <v/>
      </c>
      <c r="AK1899" s="168" t="str">
        <f t="shared" si="813"/>
        <v/>
      </c>
      <c r="AL1899" s="168" t="str">
        <f t="shared" si="814"/>
        <v/>
      </c>
      <c r="AM1899" s="168" t="str">
        <f t="shared" si="815"/>
        <v/>
      </c>
      <c r="AN1899" s="167" t="str">
        <f t="shared" si="797"/>
        <v>2010</v>
      </c>
      <c r="AO1899" s="167" t="str">
        <f t="shared" si="798"/>
        <v>2010</v>
      </c>
      <c r="AP1899" s="167" t="str">
        <f t="shared" si="799"/>
        <v>2010</v>
      </c>
      <c r="AQ1899" s="169" t="str">
        <f t="shared" si="800"/>
        <v/>
      </c>
      <c r="AR1899" s="170" t="str">
        <f t="shared" si="801"/>
        <v>BiK83K10----07</v>
      </c>
      <c r="AS1899" s="169" t="str">
        <f t="shared" si="802"/>
        <v/>
      </c>
      <c r="AT1899">
        <f t="shared" si="803"/>
        <v>14</v>
      </c>
      <c r="AU1899" s="170" t="str">
        <f t="shared" si="804"/>
        <v>0,5-5 MW, Bonusregel K erstmals 2010</v>
      </c>
      <c r="AV1899" s="169" t="str">
        <f t="shared" si="805"/>
        <v/>
      </c>
      <c r="AW1899" s="170" t="str">
        <f t="shared" si="806"/>
        <v>Anteil KWK, erstmals 2010</v>
      </c>
      <c r="AX1899" s="169" t="str">
        <f t="shared" si="807"/>
        <v/>
      </c>
      <c r="AY1899" t="str">
        <f t="shared" si="808"/>
        <v/>
      </c>
      <c r="AZ1899" t="str">
        <f t="shared" si="809"/>
        <v/>
      </c>
    </row>
    <row r="1900" spans="1:52" x14ac:dyDescent="0.35">
      <c r="A1900" s="497" t="s">
        <v>3425</v>
      </c>
      <c r="B1900" s="13" t="s">
        <v>5547</v>
      </c>
      <c r="C1900" s="13" t="s">
        <v>1304</v>
      </c>
      <c r="D1900" s="13" t="s">
        <v>6751</v>
      </c>
      <c r="E1900" s="13" t="s">
        <v>3054</v>
      </c>
      <c r="F1900" s="373">
        <f t="shared" si="816"/>
        <v>11.45</v>
      </c>
      <c r="G1900" s="430">
        <v>11.45</v>
      </c>
      <c r="H1900" s="399">
        <f t="shared" si="817"/>
        <v>9.16</v>
      </c>
      <c r="I1900" s="576"/>
      <c r="J1900" s="549" t="s">
        <v>5804</v>
      </c>
      <c r="K1900" s="11"/>
      <c r="M1900" s="37">
        <f t="shared" si="818"/>
        <v>11.45</v>
      </c>
      <c r="N1900" s="29">
        <v>8.51</v>
      </c>
      <c r="O1900" s="41"/>
      <c r="P1900" s="59"/>
      <c r="S1900" t="s">
        <v>1017</v>
      </c>
      <c r="T1900" t="s">
        <v>4179</v>
      </c>
      <c r="U1900" s="60"/>
      <c r="V1900" s="50"/>
      <c r="Y1900" s="50"/>
      <c r="Z1900" s="50"/>
      <c r="AA1900" s="50"/>
      <c r="AB1900" s="50"/>
      <c r="AC1900" s="50"/>
      <c r="AD1900" s="50"/>
      <c r="AE1900" s="75"/>
      <c r="AF1900" s="50"/>
      <c r="AG1900" s="50"/>
      <c r="AH1900" s="166" t="str">
        <f>IF(ISERROR(SEARCH("K erstmals 201",D1900)),"",RIGHT(D1900,4))</f>
        <v>2011</v>
      </c>
      <c r="AI1900" s="168" t="str">
        <f t="shared" si="811"/>
        <v/>
      </c>
      <c r="AJ1900" s="168" t="str">
        <f t="shared" si="812"/>
        <v/>
      </c>
      <c r="AK1900" s="168" t="str">
        <f t="shared" si="813"/>
        <v/>
      </c>
      <c r="AL1900" s="168" t="str">
        <f t="shared" si="814"/>
        <v/>
      </c>
      <c r="AM1900" s="168" t="str">
        <f t="shared" si="815"/>
        <v/>
      </c>
      <c r="AN1900" s="167" t="str">
        <f t="shared" si="797"/>
        <v>2011</v>
      </c>
      <c r="AO1900" s="167" t="str">
        <f t="shared" si="798"/>
        <v>2011</v>
      </c>
      <c r="AP1900" s="167" t="str">
        <f t="shared" si="799"/>
        <v>2011</v>
      </c>
      <c r="AQ1900" s="169" t="str">
        <f t="shared" si="800"/>
        <v/>
      </c>
      <c r="AR1900" s="170" t="str">
        <f t="shared" si="801"/>
        <v>BiK83K11----07</v>
      </c>
      <c r="AS1900" s="169" t="str">
        <f t="shared" si="802"/>
        <v/>
      </c>
      <c r="AT1900">
        <f t="shared" si="803"/>
        <v>14</v>
      </c>
      <c r="AU1900" s="170" t="str">
        <f t="shared" si="804"/>
        <v>0,5-5 MW, Bonusregel K erstmals 2011</v>
      </c>
      <c r="AV1900" s="169" t="str">
        <f t="shared" si="805"/>
        <v/>
      </c>
      <c r="AW1900" s="170" t="str">
        <f t="shared" si="806"/>
        <v>Anteil KWK, erstmals 2011</v>
      </c>
      <c r="AX1900" s="169" t="str">
        <f t="shared" si="807"/>
        <v/>
      </c>
      <c r="AY1900" t="str">
        <f t="shared" si="808"/>
        <v>x</v>
      </c>
      <c r="AZ1900" t="str">
        <f t="shared" si="809"/>
        <v/>
      </c>
    </row>
    <row r="1901" spans="1:52" x14ac:dyDescent="0.35">
      <c r="A1901" s="511" t="s">
        <v>1858</v>
      </c>
      <c r="B1901" s="173" t="s">
        <v>5547</v>
      </c>
      <c r="C1901" s="173" t="s">
        <v>1304</v>
      </c>
      <c r="D1901" s="173" t="s">
        <v>6752</v>
      </c>
      <c r="E1901" s="173" t="s">
        <v>1980</v>
      </c>
      <c r="F1901" s="374">
        <f t="shared" si="816"/>
        <v>11.42</v>
      </c>
      <c r="G1901" s="431">
        <v>11.42</v>
      </c>
      <c r="H1901" s="400">
        <f t="shared" si="817"/>
        <v>9.14</v>
      </c>
      <c r="I1901" s="577"/>
      <c r="J1901" s="549" t="s">
        <v>5804</v>
      </c>
      <c r="K1901" s="11"/>
      <c r="M1901" s="37">
        <f t="shared" si="818"/>
        <v>11.42</v>
      </c>
      <c r="N1901" s="29">
        <v>8.51</v>
      </c>
      <c r="O1901" s="41"/>
      <c r="P1901" s="59"/>
      <c r="S1901" t="s">
        <v>4179</v>
      </c>
      <c r="T1901" t="s">
        <v>1017</v>
      </c>
      <c r="U1901" s="60"/>
      <c r="V1901" s="50"/>
      <c r="Y1901" s="50"/>
      <c r="Z1901" s="50"/>
      <c r="AA1901" s="50"/>
      <c r="AB1901" s="50"/>
      <c r="AC1901" s="50"/>
      <c r="AD1901" s="50"/>
      <c r="AE1901" s="75"/>
      <c r="AF1901" s="50"/>
      <c r="AG1901" s="50"/>
      <c r="AH1901" s="171" t="s">
        <v>4178</v>
      </c>
      <c r="AI1901" s="168" t="str">
        <f t="shared" si="811"/>
        <v/>
      </c>
      <c r="AJ1901" s="168" t="str">
        <f t="shared" si="812"/>
        <v/>
      </c>
      <c r="AK1901" s="168" t="str">
        <f t="shared" si="813"/>
        <v/>
      </c>
      <c r="AL1901" s="168" t="str">
        <f t="shared" si="814"/>
        <v/>
      </c>
      <c r="AM1901" s="168" t="str">
        <f t="shared" si="815"/>
        <v/>
      </c>
      <c r="AN1901" s="167" t="str">
        <f t="shared" si="797"/>
        <v>2012</v>
      </c>
      <c r="AO1901" s="167" t="str">
        <f t="shared" si="798"/>
        <v>2012</v>
      </c>
      <c r="AP1901" s="167" t="str">
        <f t="shared" si="799"/>
        <v>2012</v>
      </c>
      <c r="AQ1901" s="169" t="str">
        <f t="shared" si="800"/>
        <v/>
      </c>
      <c r="AR1901" s="170" t="str">
        <f t="shared" si="801"/>
        <v>BiK83K12----07</v>
      </c>
      <c r="AS1901" s="169" t="str">
        <f t="shared" si="802"/>
        <v/>
      </c>
      <c r="AT1901">
        <f t="shared" si="803"/>
        <v>14</v>
      </c>
      <c r="AU1901" s="170" t="str">
        <f t="shared" si="804"/>
        <v>0,5-5 MW, Bonusregel K erstmals 2012</v>
      </c>
      <c r="AV1901" s="169" t="str">
        <f t="shared" si="805"/>
        <v/>
      </c>
      <c r="AW1901" s="170" t="str">
        <f t="shared" si="806"/>
        <v>Anteil KWK, erstmals 2012</v>
      </c>
      <c r="AX1901" s="169" t="str">
        <f t="shared" si="807"/>
        <v/>
      </c>
      <c r="AY1901" t="str">
        <f t="shared" si="808"/>
        <v/>
      </c>
      <c r="AZ1901" t="str">
        <f t="shared" si="809"/>
        <v>x</v>
      </c>
    </row>
    <row r="1902" spans="1:52" x14ac:dyDescent="0.35">
      <c r="A1902" s="496" t="s">
        <v>551</v>
      </c>
      <c r="B1902" s="1" t="s">
        <v>5547</v>
      </c>
      <c r="C1902" s="1" t="s">
        <v>1304</v>
      </c>
      <c r="D1902" s="1" t="s">
        <v>598</v>
      </c>
      <c r="E1902" s="1" t="s">
        <v>4809</v>
      </c>
      <c r="F1902" s="375">
        <f t="shared" si="816"/>
        <v>12.51</v>
      </c>
      <c r="G1902" s="432">
        <v>12.51</v>
      </c>
      <c r="H1902" s="401">
        <f t="shared" si="817"/>
        <v>10.01</v>
      </c>
      <c r="I1902" s="578"/>
      <c r="J1902" s="549" t="s">
        <v>5804</v>
      </c>
      <c r="K1902" s="11"/>
      <c r="M1902" s="37">
        <f t="shared" si="818"/>
        <v>12.51</v>
      </c>
      <c r="N1902" s="29">
        <v>8.51</v>
      </c>
      <c r="O1902" s="41"/>
      <c r="P1902" s="59"/>
      <c r="S1902" t="s">
        <v>4179</v>
      </c>
      <c r="T1902" t="s">
        <v>4179</v>
      </c>
      <c r="U1902" s="60"/>
      <c r="V1902" s="50"/>
      <c r="W1902" t="s">
        <v>1017</v>
      </c>
      <c r="Y1902" s="50"/>
      <c r="Z1902" s="50"/>
      <c r="AA1902" s="50"/>
      <c r="AB1902" s="50"/>
      <c r="AC1902" s="50"/>
      <c r="AD1902" s="50"/>
      <c r="AE1902" s="75"/>
      <c r="AF1902" s="50"/>
      <c r="AG1902" s="50"/>
      <c r="AH1902" s="166" t="str">
        <f t="shared" ref="AH1902:AH1912" si="821">IF(ISERROR(SEARCH("K erstmals 201",D1902)),"",RIGHT(D1902,4))</f>
        <v/>
      </c>
      <c r="AI1902" s="168" t="str">
        <f t="shared" si="811"/>
        <v/>
      </c>
      <c r="AJ1902" s="168" t="str">
        <f t="shared" si="812"/>
        <v/>
      </c>
      <c r="AK1902" s="168" t="str">
        <f t="shared" si="813"/>
        <v/>
      </c>
      <c r="AL1902" s="168" t="str">
        <f t="shared" si="814"/>
        <v/>
      </c>
      <c r="AM1902" s="168" t="str">
        <f t="shared" si="815"/>
        <v/>
      </c>
      <c r="AN1902" s="167" t="str">
        <f t="shared" si="797"/>
        <v/>
      </c>
      <c r="AO1902" s="167" t="str">
        <f t="shared" si="798"/>
        <v/>
      </c>
      <c r="AP1902" s="167" t="str">
        <f t="shared" si="799"/>
        <v/>
      </c>
      <c r="AQ1902" s="169" t="str">
        <f t="shared" si="800"/>
        <v/>
      </c>
      <c r="AR1902" s="170" t="str">
        <f t="shared" si="801"/>
        <v>BiK83a2-----07</v>
      </c>
      <c r="AS1902" s="169" t="str">
        <f t="shared" si="802"/>
        <v/>
      </c>
      <c r="AT1902">
        <f t="shared" si="803"/>
        <v>14</v>
      </c>
      <c r="AU1902" s="170" t="str">
        <f t="shared" si="804"/>
        <v>0,5-5 MW, Bonusregel a2</v>
      </c>
      <c r="AV1902" s="169" t="str">
        <f t="shared" si="805"/>
        <v/>
      </c>
      <c r="AW1902" s="170" t="str">
        <f t="shared" si="806"/>
        <v>Anteil Nicht-KWK</v>
      </c>
      <c r="AX1902" s="169" t="str">
        <f t="shared" si="807"/>
        <v/>
      </c>
      <c r="AY1902" t="str">
        <f t="shared" si="808"/>
        <v/>
      </c>
      <c r="AZ1902" t="str">
        <f t="shared" si="809"/>
        <v/>
      </c>
    </row>
    <row r="1903" spans="1:52" x14ac:dyDescent="0.35">
      <c r="A1903" s="496" t="s">
        <v>552</v>
      </c>
      <c r="B1903" s="1" t="s">
        <v>5547</v>
      </c>
      <c r="C1903" s="1" t="s">
        <v>1304</v>
      </c>
      <c r="D1903" s="1" t="s">
        <v>6770</v>
      </c>
      <c r="E1903" s="1" t="s">
        <v>4811</v>
      </c>
      <c r="F1903" s="375">
        <f t="shared" si="816"/>
        <v>14.51</v>
      </c>
      <c r="G1903" s="432">
        <v>14.51</v>
      </c>
      <c r="H1903" s="401">
        <f t="shared" si="817"/>
        <v>11.61</v>
      </c>
      <c r="I1903" s="578"/>
      <c r="J1903" s="549" t="s">
        <v>5804</v>
      </c>
      <c r="K1903" s="11"/>
      <c r="M1903" s="37">
        <f t="shared" si="818"/>
        <v>14.51</v>
      </c>
      <c r="N1903" s="29">
        <v>8.51</v>
      </c>
      <c r="O1903" s="41" t="s">
        <v>1017</v>
      </c>
      <c r="P1903" s="59"/>
      <c r="S1903" t="s">
        <v>4179</v>
      </c>
      <c r="T1903" t="s">
        <v>4179</v>
      </c>
      <c r="U1903" s="60"/>
      <c r="V1903" s="50"/>
      <c r="W1903" t="s">
        <v>1017</v>
      </c>
      <c r="Y1903" s="50"/>
      <c r="Z1903" s="50"/>
      <c r="AA1903" s="50"/>
      <c r="AB1903" s="50"/>
      <c r="AC1903" s="50"/>
      <c r="AD1903" s="50"/>
      <c r="AE1903" s="75"/>
      <c r="AF1903" s="50"/>
      <c r="AG1903" s="50"/>
      <c r="AH1903" s="166" t="str">
        <f t="shared" si="821"/>
        <v/>
      </c>
      <c r="AI1903" s="168" t="str">
        <f t="shared" si="811"/>
        <v/>
      </c>
      <c r="AJ1903" s="168" t="str">
        <f t="shared" si="812"/>
        <v/>
      </c>
      <c r="AK1903" s="168" t="str">
        <f t="shared" si="813"/>
        <v/>
      </c>
      <c r="AL1903" s="168" t="str">
        <f t="shared" si="814"/>
        <v/>
      </c>
      <c r="AM1903" s="168" t="str">
        <f t="shared" si="815"/>
        <v/>
      </c>
      <c r="AN1903" s="167" t="str">
        <f t="shared" si="797"/>
        <v/>
      </c>
      <c r="AO1903" s="167" t="str">
        <f t="shared" si="798"/>
        <v/>
      </c>
      <c r="AP1903" s="167" t="str">
        <f t="shared" si="799"/>
        <v/>
      </c>
      <c r="AQ1903" s="169" t="str">
        <f t="shared" si="800"/>
        <v/>
      </c>
      <c r="AR1903" s="170" t="str">
        <f t="shared" si="801"/>
        <v>BiK83a2KWK--07</v>
      </c>
      <c r="AS1903" s="169" t="str">
        <f t="shared" si="802"/>
        <v/>
      </c>
      <c r="AT1903">
        <f t="shared" si="803"/>
        <v>14</v>
      </c>
      <c r="AU1903" s="170" t="str">
        <f t="shared" si="804"/>
        <v>0,5-5 MW, Bonusregel a2 und KWK</v>
      </c>
      <c r="AV1903" s="169" t="str">
        <f t="shared" si="805"/>
        <v/>
      </c>
      <c r="AW1903" s="170" t="str">
        <f t="shared" si="806"/>
        <v>Anteil KWK</v>
      </c>
      <c r="AX1903" s="169" t="str">
        <f t="shared" si="807"/>
        <v/>
      </c>
      <c r="AY1903" t="str">
        <f t="shared" si="808"/>
        <v/>
      </c>
      <c r="AZ1903" t="str">
        <f t="shared" si="809"/>
        <v/>
      </c>
    </row>
    <row r="1904" spans="1:52" x14ac:dyDescent="0.35">
      <c r="A1904" s="497" t="s">
        <v>895</v>
      </c>
      <c r="B1904" s="13" t="s">
        <v>5547</v>
      </c>
      <c r="C1904" s="13" t="s">
        <v>1304</v>
      </c>
      <c r="D1904" s="13" t="s">
        <v>6771</v>
      </c>
      <c r="E1904" s="13" t="s">
        <v>674</v>
      </c>
      <c r="F1904" s="373">
        <f t="shared" si="816"/>
        <v>15.51</v>
      </c>
      <c r="G1904" s="430">
        <v>15.51</v>
      </c>
      <c r="H1904" s="399">
        <f t="shared" si="817"/>
        <v>12.41</v>
      </c>
      <c r="I1904" s="576"/>
      <c r="J1904" s="549" t="s">
        <v>5804</v>
      </c>
      <c r="K1904" s="11"/>
      <c r="M1904" s="37">
        <f t="shared" si="818"/>
        <v>15.51</v>
      </c>
      <c r="N1904" s="29">
        <v>8.51</v>
      </c>
      <c r="O1904" s="41"/>
      <c r="P1904" s="59"/>
      <c r="Q1904" t="s">
        <v>1017</v>
      </c>
      <c r="S1904" t="s">
        <v>4179</v>
      </c>
      <c r="T1904" t="s">
        <v>4179</v>
      </c>
      <c r="U1904" s="60"/>
      <c r="V1904" s="50"/>
      <c r="W1904" t="s">
        <v>1017</v>
      </c>
      <c r="Y1904" s="50"/>
      <c r="Z1904" s="50"/>
      <c r="AA1904" s="50"/>
      <c r="AB1904" s="50"/>
      <c r="AC1904" s="50"/>
      <c r="AD1904" s="50"/>
      <c r="AE1904" s="75"/>
      <c r="AF1904" s="50"/>
      <c r="AG1904" s="50"/>
      <c r="AH1904" s="166" t="str">
        <f t="shared" si="821"/>
        <v/>
      </c>
      <c r="AI1904" s="168" t="str">
        <f t="shared" si="811"/>
        <v/>
      </c>
      <c r="AJ1904" s="168" t="str">
        <f t="shared" si="812"/>
        <v/>
      </c>
      <c r="AK1904" s="168" t="str">
        <f t="shared" si="813"/>
        <v/>
      </c>
      <c r="AL1904" s="168" t="str">
        <f t="shared" si="814"/>
        <v/>
      </c>
      <c r="AM1904" s="168" t="str">
        <f t="shared" si="815"/>
        <v/>
      </c>
      <c r="AN1904" s="167" t="str">
        <f t="shared" si="797"/>
        <v/>
      </c>
      <c r="AO1904" s="167" t="str">
        <f t="shared" si="798"/>
        <v/>
      </c>
      <c r="AP1904" s="167" t="str">
        <f t="shared" si="799"/>
        <v/>
      </c>
      <c r="AQ1904" s="169" t="str">
        <f t="shared" si="800"/>
        <v/>
      </c>
      <c r="AR1904" s="170" t="str">
        <f t="shared" si="801"/>
        <v>BiK83a2K09--07</v>
      </c>
      <c r="AS1904" s="169" t="str">
        <f t="shared" si="802"/>
        <v/>
      </c>
      <c r="AT1904">
        <f t="shared" si="803"/>
        <v>14</v>
      </c>
      <c r="AU1904" s="170" t="str">
        <f t="shared" si="804"/>
        <v>0,5-5 MW, Bonusregeln a2 und K erstmals 2009</v>
      </c>
      <c r="AV1904" s="169" t="str">
        <f t="shared" si="805"/>
        <v/>
      </c>
      <c r="AW1904" s="170" t="str">
        <f t="shared" si="806"/>
        <v>Anteil KWK, erstmals 2009</v>
      </c>
      <c r="AX1904" s="169" t="str">
        <f t="shared" si="807"/>
        <v/>
      </c>
      <c r="AY1904" t="str">
        <f t="shared" si="808"/>
        <v/>
      </c>
      <c r="AZ1904" t="str">
        <f t="shared" si="809"/>
        <v/>
      </c>
    </row>
    <row r="1905" spans="1:52" x14ac:dyDescent="0.35">
      <c r="A1905" s="497" t="s">
        <v>3150</v>
      </c>
      <c r="B1905" s="13" t="s">
        <v>5547</v>
      </c>
      <c r="C1905" s="13" t="s">
        <v>1304</v>
      </c>
      <c r="D1905" s="13" t="s">
        <v>6772</v>
      </c>
      <c r="E1905" s="13" t="s">
        <v>3566</v>
      </c>
      <c r="F1905" s="373">
        <f t="shared" si="816"/>
        <v>15.48</v>
      </c>
      <c r="G1905" s="430">
        <v>15.48</v>
      </c>
      <c r="H1905" s="399">
        <f t="shared" si="817"/>
        <v>12.38</v>
      </c>
      <c r="I1905" s="576"/>
      <c r="J1905" s="549" t="s">
        <v>5804</v>
      </c>
      <c r="K1905" s="11"/>
      <c r="M1905" s="37">
        <f t="shared" si="818"/>
        <v>15.48</v>
      </c>
      <c r="N1905" s="29">
        <v>8.51</v>
      </c>
      <c r="O1905" s="41"/>
      <c r="P1905" s="59"/>
      <c r="R1905" t="s">
        <v>1017</v>
      </c>
      <c r="S1905" t="s">
        <v>4179</v>
      </c>
      <c r="T1905" t="s">
        <v>4179</v>
      </c>
      <c r="U1905" s="60"/>
      <c r="V1905" s="50"/>
      <c r="W1905" t="s">
        <v>1017</v>
      </c>
      <c r="Y1905" s="50"/>
      <c r="Z1905" s="50"/>
      <c r="AA1905" s="50"/>
      <c r="AB1905" s="50"/>
      <c r="AC1905" s="50"/>
      <c r="AD1905" s="50"/>
      <c r="AE1905" s="75"/>
      <c r="AF1905" s="50"/>
      <c r="AG1905" s="50"/>
      <c r="AH1905" s="166" t="str">
        <f t="shared" si="821"/>
        <v>2010</v>
      </c>
      <c r="AI1905" s="168" t="str">
        <f t="shared" si="811"/>
        <v/>
      </c>
      <c r="AJ1905" s="168" t="str">
        <f t="shared" si="812"/>
        <v/>
      </c>
      <c r="AK1905" s="168" t="str">
        <f t="shared" si="813"/>
        <v/>
      </c>
      <c r="AL1905" s="168" t="str">
        <f t="shared" si="814"/>
        <v/>
      </c>
      <c r="AM1905" s="168" t="str">
        <f t="shared" si="815"/>
        <v/>
      </c>
      <c r="AN1905" s="167" t="str">
        <f t="shared" si="797"/>
        <v>2010</v>
      </c>
      <c r="AO1905" s="167" t="str">
        <f t="shared" si="798"/>
        <v>2010</v>
      </c>
      <c r="AP1905" s="167" t="str">
        <f t="shared" si="799"/>
        <v>2010</v>
      </c>
      <c r="AQ1905" s="169" t="str">
        <f t="shared" si="800"/>
        <v/>
      </c>
      <c r="AR1905" s="170" t="str">
        <f t="shared" si="801"/>
        <v>BiK83a2K10--07</v>
      </c>
      <c r="AS1905" s="169" t="str">
        <f t="shared" si="802"/>
        <v/>
      </c>
      <c r="AT1905">
        <f t="shared" si="803"/>
        <v>14</v>
      </c>
      <c r="AU1905" s="170" t="str">
        <f t="shared" si="804"/>
        <v>0,5-5 MW, Bonusregeln a2 und K erstmals 2010</v>
      </c>
      <c r="AV1905" s="169" t="str">
        <f t="shared" si="805"/>
        <v/>
      </c>
      <c r="AW1905" s="170" t="str">
        <f t="shared" si="806"/>
        <v>Anteil KWK, erstmals 2010</v>
      </c>
      <c r="AX1905" s="169" t="str">
        <f t="shared" si="807"/>
        <v/>
      </c>
      <c r="AY1905" t="str">
        <f t="shared" si="808"/>
        <v/>
      </c>
      <c r="AZ1905" t="str">
        <f t="shared" si="809"/>
        <v/>
      </c>
    </row>
    <row r="1906" spans="1:52" x14ac:dyDescent="0.35">
      <c r="A1906" s="497" t="s">
        <v>3426</v>
      </c>
      <c r="B1906" s="13" t="s">
        <v>5547</v>
      </c>
      <c r="C1906" s="13" t="s">
        <v>1304</v>
      </c>
      <c r="D1906" s="13" t="s">
        <v>6773</v>
      </c>
      <c r="E1906" s="13" t="s">
        <v>3054</v>
      </c>
      <c r="F1906" s="373">
        <f t="shared" si="816"/>
        <v>15.45</v>
      </c>
      <c r="G1906" s="430">
        <v>15.45</v>
      </c>
      <c r="H1906" s="399">
        <f t="shared" si="817"/>
        <v>12.36</v>
      </c>
      <c r="I1906" s="576"/>
      <c r="J1906" s="549" t="s">
        <v>5804</v>
      </c>
      <c r="K1906" s="11"/>
      <c r="M1906" s="37">
        <f t="shared" si="818"/>
        <v>15.45</v>
      </c>
      <c r="N1906" s="29">
        <v>8.51</v>
      </c>
      <c r="O1906" s="41"/>
      <c r="P1906" s="59"/>
      <c r="S1906" t="s">
        <v>1017</v>
      </c>
      <c r="T1906" t="s">
        <v>4179</v>
      </c>
      <c r="U1906" s="60"/>
      <c r="V1906" s="50"/>
      <c r="W1906" t="s">
        <v>1017</v>
      </c>
      <c r="Y1906" s="50"/>
      <c r="Z1906" s="50"/>
      <c r="AA1906" s="50"/>
      <c r="AB1906" s="50"/>
      <c r="AC1906" s="50"/>
      <c r="AD1906" s="50"/>
      <c r="AE1906" s="75"/>
      <c r="AF1906" s="50"/>
      <c r="AG1906" s="50"/>
      <c r="AH1906" s="166" t="str">
        <f t="shared" si="821"/>
        <v>2011</v>
      </c>
      <c r="AI1906" s="168" t="str">
        <f t="shared" si="811"/>
        <v/>
      </c>
      <c r="AJ1906" s="168" t="str">
        <f t="shared" si="812"/>
        <v/>
      </c>
      <c r="AK1906" s="168" t="str">
        <f t="shared" si="813"/>
        <v/>
      </c>
      <c r="AL1906" s="168" t="str">
        <f t="shared" si="814"/>
        <v/>
      </c>
      <c r="AM1906" s="168" t="str">
        <f t="shared" si="815"/>
        <v/>
      </c>
      <c r="AN1906" s="167" t="str">
        <f t="shared" si="797"/>
        <v>2011</v>
      </c>
      <c r="AO1906" s="167" t="str">
        <f t="shared" si="798"/>
        <v>2011</v>
      </c>
      <c r="AP1906" s="167" t="str">
        <f t="shared" si="799"/>
        <v>2011</v>
      </c>
      <c r="AQ1906" s="169" t="str">
        <f t="shared" si="800"/>
        <v/>
      </c>
      <c r="AR1906" s="170" t="str">
        <f t="shared" si="801"/>
        <v>BiK83a2K11--07</v>
      </c>
      <c r="AS1906" s="169" t="str">
        <f t="shared" si="802"/>
        <v/>
      </c>
      <c r="AT1906">
        <f t="shared" si="803"/>
        <v>14</v>
      </c>
      <c r="AU1906" s="170" t="str">
        <f t="shared" si="804"/>
        <v>0,5-5 MW, Bonusregeln a2 und K erstmals 2011</v>
      </c>
      <c r="AV1906" s="169" t="str">
        <f t="shared" si="805"/>
        <v/>
      </c>
      <c r="AW1906" s="170" t="str">
        <f t="shared" si="806"/>
        <v>Anteil KWK, erstmals 2011</v>
      </c>
      <c r="AX1906" s="169" t="str">
        <f t="shared" si="807"/>
        <v/>
      </c>
      <c r="AY1906" t="str">
        <f t="shared" si="808"/>
        <v>x</v>
      </c>
      <c r="AZ1906" t="str">
        <f t="shared" si="809"/>
        <v/>
      </c>
    </row>
    <row r="1907" spans="1:52" x14ac:dyDescent="0.35">
      <c r="A1907" s="511" t="s">
        <v>1859</v>
      </c>
      <c r="B1907" s="173" t="s">
        <v>5547</v>
      </c>
      <c r="C1907" s="173" t="s">
        <v>1304</v>
      </c>
      <c r="D1907" s="173" t="s">
        <v>6774</v>
      </c>
      <c r="E1907" s="173" t="s">
        <v>1980</v>
      </c>
      <c r="F1907" s="374">
        <f t="shared" si="816"/>
        <v>15.42</v>
      </c>
      <c r="G1907" s="431">
        <v>15.42</v>
      </c>
      <c r="H1907" s="400">
        <f t="shared" si="817"/>
        <v>12.34</v>
      </c>
      <c r="I1907" s="577"/>
      <c r="J1907" s="549" t="s">
        <v>5804</v>
      </c>
      <c r="K1907" s="11"/>
      <c r="M1907" s="37">
        <f t="shared" si="818"/>
        <v>15.42</v>
      </c>
      <c r="N1907" s="29">
        <v>8.51</v>
      </c>
      <c r="O1907" s="41"/>
      <c r="P1907" s="59"/>
      <c r="S1907" t="s">
        <v>4179</v>
      </c>
      <c r="T1907" t="s">
        <v>1017</v>
      </c>
      <c r="U1907" s="60"/>
      <c r="V1907" s="50"/>
      <c r="W1907" t="s">
        <v>1017</v>
      </c>
      <c r="Y1907" s="50"/>
      <c r="Z1907" s="50"/>
      <c r="AA1907" s="50"/>
      <c r="AB1907" s="50"/>
      <c r="AC1907" s="50"/>
      <c r="AD1907" s="50"/>
      <c r="AE1907" s="75"/>
      <c r="AF1907" s="50"/>
      <c r="AG1907" s="50"/>
      <c r="AH1907" s="166" t="str">
        <f t="shared" si="821"/>
        <v>2012</v>
      </c>
      <c r="AI1907" s="168" t="str">
        <f t="shared" si="811"/>
        <v/>
      </c>
      <c r="AJ1907" s="168" t="str">
        <f t="shared" si="812"/>
        <v/>
      </c>
      <c r="AK1907" s="168" t="str">
        <f t="shared" si="813"/>
        <v/>
      </c>
      <c r="AL1907" s="168" t="str">
        <f t="shared" si="814"/>
        <v/>
      </c>
      <c r="AM1907" s="168" t="str">
        <f t="shared" si="815"/>
        <v/>
      </c>
      <c r="AN1907" s="167" t="str">
        <f t="shared" si="797"/>
        <v>2012</v>
      </c>
      <c r="AO1907" s="167" t="str">
        <f t="shared" si="798"/>
        <v>2012</v>
      </c>
      <c r="AP1907" s="167" t="str">
        <f t="shared" si="799"/>
        <v>2012</v>
      </c>
      <c r="AQ1907" s="169" t="str">
        <f t="shared" si="800"/>
        <v/>
      </c>
      <c r="AR1907" s="170" t="str">
        <f t="shared" si="801"/>
        <v>BiK83a2K12--07</v>
      </c>
      <c r="AS1907" s="169" t="str">
        <f t="shared" si="802"/>
        <v/>
      </c>
      <c r="AT1907">
        <f t="shared" si="803"/>
        <v>14</v>
      </c>
      <c r="AU1907" s="170" t="str">
        <f t="shared" si="804"/>
        <v>0,5-5 MW, Bonusregeln a2 und K erstmals 2012</v>
      </c>
      <c r="AV1907" s="169" t="str">
        <f t="shared" si="805"/>
        <v/>
      </c>
      <c r="AW1907" s="170" t="str">
        <f t="shared" si="806"/>
        <v>Anteil KWK, erstmals 2012</v>
      </c>
      <c r="AX1907" s="169" t="str">
        <f t="shared" si="807"/>
        <v/>
      </c>
      <c r="AY1907" t="str">
        <f t="shared" si="808"/>
        <v/>
      </c>
      <c r="AZ1907" t="str">
        <f t="shared" si="809"/>
        <v>x</v>
      </c>
    </row>
    <row r="1908" spans="1:52" x14ac:dyDescent="0.35">
      <c r="A1908" s="496" t="s">
        <v>553</v>
      </c>
      <c r="B1908" s="1" t="s">
        <v>5547</v>
      </c>
      <c r="C1908" s="1" t="s">
        <v>1304</v>
      </c>
      <c r="D1908" s="1" t="s">
        <v>6757</v>
      </c>
      <c r="E1908" s="1" t="s">
        <v>4809</v>
      </c>
      <c r="F1908" s="375">
        <f t="shared" si="816"/>
        <v>11.01</v>
      </c>
      <c r="G1908" s="432">
        <v>11.01</v>
      </c>
      <c r="H1908" s="401">
        <f t="shared" si="817"/>
        <v>8.81</v>
      </c>
      <c r="I1908" s="578"/>
      <c r="J1908" s="549" t="s">
        <v>5804</v>
      </c>
      <c r="K1908" s="11"/>
      <c r="M1908" s="37">
        <f t="shared" si="818"/>
        <v>11.01</v>
      </c>
      <c r="N1908" s="29">
        <v>8.51</v>
      </c>
      <c r="O1908" s="41"/>
      <c r="P1908" s="59"/>
      <c r="S1908" t="s">
        <v>4179</v>
      </c>
      <c r="T1908" t="s">
        <v>4179</v>
      </c>
      <c r="U1908" s="60"/>
      <c r="V1908" s="50"/>
      <c r="X1908" t="s">
        <v>1017</v>
      </c>
      <c r="Y1908" s="50"/>
      <c r="Z1908" s="50"/>
      <c r="AA1908" s="50"/>
      <c r="AB1908" s="50"/>
      <c r="AC1908" s="50"/>
      <c r="AD1908" s="50"/>
      <c r="AE1908" s="75"/>
      <c r="AF1908" s="50"/>
      <c r="AG1908" s="50"/>
      <c r="AH1908" s="166" t="str">
        <f t="shared" si="821"/>
        <v/>
      </c>
      <c r="AI1908" s="168" t="str">
        <f t="shared" si="811"/>
        <v/>
      </c>
      <c r="AJ1908" s="168" t="str">
        <f t="shared" si="812"/>
        <v/>
      </c>
      <c r="AK1908" s="168" t="str">
        <f t="shared" si="813"/>
        <v/>
      </c>
      <c r="AL1908" s="168" t="str">
        <f t="shared" si="814"/>
        <v/>
      </c>
      <c r="AM1908" s="168" t="str">
        <f t="shared" si="815"/>
        <v/>
      </c>
      <c r="AN1908" s="167" t="str">
        <f t="shared" si="797"/>
        <v/>
      </c>
      <c r="AO1908" s="167" t="str">
        <f t="shared" si="798"/>
        <v/>
      </c>
      <c r="AP1908" s="167" t="str">
        <f t="shared" si="799"/>
        <v/>
      </c>
      <c r="AQ1908" s="169" t="str">
        <f t="shared" si="800"/>
        <v/>
      </c>
      <c r="AR1908" s="170" t="str">
        <f t="shared" si="801"/>
        <v>BiK83a3-----07</v>
      </c>
      <c r="AS1908" s="169" t="str">
        <f t="shared" si="802"/>
        <v/>
      </c>
      <c r="AT1908">
        <f t="shared" si="803"/>
        <v>14</v>
      </c>
      <c r="AU1908" s="170" t="str">
        <f t="shared" si="804"/>
        <v>0,5-5 MW, Bonusregel a3</v>
      </c>
      <c r="AV1908" s="169" t="str">
        <f t="shared" si="805"/>
        <v/>
      </c>
      <c r="AW1908" s="170" t="str">
        <f t="shared" si="806"/>
        <v>Anteil Nicht-KWK</v>
      </c>
      <c r="AX1908" s="169" t="str">
        <f t="shared" si="807"/>
        <v/>
      </c>
      <c r="AY1908" t="str">
        <f t="shared" si="808"/>
        <v/>
      </c>
      <c r="AZ1908" t="str">
        <f t="shared" si="809"/>
        <v/>
      </c>
    </row>
    <row r="1909" spans="1:52" x14ac:dyDescent="0.35">
      <c r="A1909" s="496" t="s">
        <v>554</v>
      </c>
      <c r="B1909" s="1" t="s">
        <v>5547</v>
      </c>
      <c r="C1909" s="1" t="s">
        <v>1304</v>
      </c>
      <c r="D1909" s="1" t="s">
        <v>6775</v>
      </c>
      <c r="E1909" s="1" t="s">
        <v>4811</v>
      </c>
      <c r="F1909" s="375">
        <f t="shared" si="816"/>
        <v>13.01</v>
      </c>
      <c r="G1909" s="432">
        <v>13.01</v>
      </c>
      <c r="H1909" s="401">
        <f t="shared" si="817"/>
        <v>10.41</v>
      </c>
      <c r="I1909" s="578"/>
      <c r="J1909" s="549" t="s">
        <v>5804</v>
      </c>
      <c r="K1909" s="11"/>
      <c r="M1909" s="37">
        <f t="shared" si="818"/>
        <v>13.01</v>
      </c>
      <c r="N1909" s="29">
        <v>8.51</v>
      </c>
      <c r="O1909" s="41" t="s">
        <v>1017</v>
      </c>
      <c r="P1909" s="59"/>
      <c r="S1909" t="s">
        <v>4179</v>
      </c>
      <c r="T1909" t="s">
        <v>4179</v>
      </c>
      <c r="U1909" s="60"/>
      <c r="V1909" s="50"/>
      <c r="X1909" t="s">
        <v>1017</v>
      </c>
      <c r="Y1909" s="50"/>
      <c r="Z1909" s="50"/>
      <c r="AA1909" s="50"/>
      <c r="AB1909" s="50"/>
      <c r="AC1909" s="50"/>
      <c r="AD1909" s="50"/>
      <c r="AE1909" s="75"/>
      <c r="AF1909" s="50"/>
      <c r="AG1909" s="50"/>
      <c r="AH1909" s="166" t="str">
        <f t="shared" si="821"/>
        <v/>
      </c>
      <c r="AI1909" s="168" t="str">
        <f t="shared" si="811"/>
        <v/>
      </c>
      <c r="AJ1909" s="168" t="str">
        <f t="shared" si="812"/>
        <v/>
      </c>
      <c r="AK1909" s="168" t="str">
        <f t="shared" si="813"/>
        <v/>
      </c>
      <c r="AL1909" s="168" t="str">
        <f t="shared" si="814"/>
        <v/>
      </c>
      <c r="AM1909" s="168" t="str">
        <f t="shared" si="815"/>
        <v/>
      </c>
      <c r="AN1909" s="167" t="str">
        <f t="shared" si="797"/>
        <v/>
      </c>
      <c r="AO1909" s="167" t="str">
        <f t="shared" si="798"/>
        <v/>
      </c>
      <c r="AP1909" s="167" t="str">
        <f t="shared" si="799"/>
        <v/>
      </c>
      <c r="AQ1909" s="169" t="str">
        <f t="shared" si="800"/>
        <v/>
      </c>
      <c r="AR1909" s="170" t="str">
        <f t="shared" si="801"/>
        <v>BiK83a3KWK--07</v>
      </c>
      <c r="AS1909" s="169" t="str">
        <f t="shared" si="802"/>
        <v/>
      </c>
      <c r="AT1909">
        <f t="shared" si="803"/>
        <v>14</v>
      </c>
      <c r="AU1909" s="170" t="str">
        <f t="shared" si="804"/>
        <v>0,5-5 MW, Bonusregel a3 und KWK</v>
      </c>
      <c r="AV1909" s="169" t="str">
        <f t="shared" si="805"/>
        <v/>
      </c>
      <c r="AW1909" s="170" t="str">
        <f t="shared" si="806"/>
        <v>Anteil KWK</v>
      </c>
      <c r="AX1909" s="169" t="str">
        <f t="shared" si="807"/>
        <v/>
      </c>
      <c r="AY1909" t="str">
        <f t="shared" si="808"/>
        <v/>
      </c>
      <c r="AZ1909" t="str">
        <f t="shared" si="809"/>
        <v/>
      </c>
    </row>
    <row r="1910" spans="1:52" x14ac:dyDescent="0.35">
      <c r="A1910" s="497" t="s">
        <v>896</v>
      </c>
      <c r="B1910" s="13" t="s">
        <v>5547</v>
      </c>
      <c r="C1910" s="13" t="s">
        <v>1304</v>
      </c>
      <c r="D1910" s="13" t="s">
        <v>6776</v>
      </c>
      <c r="E1910" s="13" t="s">
        <v>674</v>
      </c>
      <c r="F1910" s="373">
        <f t="shared" si="816"/>
        <v>14.01</v>
      </c>
      <c r="G1910" s="430">
        <v>14.01</v>
      </c>
      <c r="H1910" s="399">
        <f t="shared" si="817"/>
        <v>11.21</v>
      </c>
      <c r="I1910" s="576"/>
      <c r="J1910" s="549" t="s">
        <v>5804</v>
      </c>
      <c r="K1910" s="11"/>
      <c r="M1910" s="37">
        <f t="shared" si="818"/>
        <v>14.01</v>
      </c>
      <c r="N1910" s="29">
        <v>8.51</v>
      </c>
      <c r="O1910" s="41"/>
      <c r="P1910" s="59"/>
      <c r="Q1910" t="s">
        <v>1017</v>
      </c>
      <c r="S1910" t="s">
        <v>4179</v>
      </c>
      <c r="T1910" t="s">
        <v>4179</v>
      </c>
      <c r="U1910" s="60"/>
      <c r="V1910" s="50"/>
      <c r="X1910" t="s">
        <v>1017</v>
      </c>
      <c r="Y1910" s="50"/>
      <c r="Z1910" s="50"/>
      <c r="AA1910" s="50"/>
      <c r="AB1910" s="50"/>
      <c r="AC1910" s="50"/>
      <c r="AD1910" s="50"/>
      <c r="AE1910" s="75"/>
      <c r="AF1910" s="50"/>
      <c r="AG1910" s="50"/>
      <c r="AH1910" s="166" t="str">
        <f t="shared" si="821"/>
        <v/>
      </c>
      <c r="AI1910" s="168" t="str">
        <f t="shared" si="811"/>
        <v/>
      </c>
      <c r="AJ1910" s="168" t="str">
        <f t="shared" si="812"/>
        <v/>
      </c>
      <c r="AK1910" s="168" t="str">
        <f t="shared" si="813"/>
        <v/>
      </c>
      <c r="AL1910" s="168" t="str">
        <f t="shared" si="814"/>
        <v/>
      </c>
      <c r="AM1910" s="168" t="str">
        <f t="shared" si="815"/>
        <v/>
      </c>
      <c r="AN1910" s="167" t="str">
        <f t="shared" si="797"/>
        <v/>
      </c>
      <c r="AO1910" s="167" t="str">
        <f t="shared" si="798"/>
        <v/>
      </c>
      <c r="AP1910" s="167" t="str">
        <f t="shared" si="799"/>
        <v/>
      </c>
      <c r="AQ1910" s="169" t="str">
        <f t="shared" si="800"/>
        <v/>
      </c>
      <c r="AR1910" s="170" t="str">
        <f t="shared" si="801"/>
        <v>BiK83a3K09--07</v>
      </c>
      <c r="AS1910" s="169" t="str">
        <f t="shared" si="802"/>
        <v/>
      </c>
      <c r="AT1910">
        <f t="shared" si="803"/>
        <v>14</v>
      </c>
      <c r="AU1910" s="170" t="str">
        <f t="shared" si="804"/>
        <v>0,5-5 MW, Bonusregeln a3 und K erstmals 2009</v>
      </c>
      <c r="AV1910" s="169" t="str">
        <f t="shared" si="805"/>
        <v/>
      </c>
      <c r="AW1910" s="170" t="str">
        <f t="shared" si="806"/>
        <v>Anteil KWK, erstmals 2009</v>
      </c>
      <c r="AX1910" s="169" t="str">
        <f t="shared" si="807"/>
        <v/>
      </c>
      <c r="AY1910" t="str">
        <f t="shared" si="808"/>
        <v/>
      </c>
      <c r="AZ1910" t="str">
        <f t="shared" si="809"/>
        <v/>
      </c>
    </row>
    <row r="1911" spans="1:52" x14ac:dyDescent="0.35">
      <c r="A1911" s="497" t="s">
        <v>3151</v>
      </c>
      <c r="B1911" s="13" t="s">
        <v>5547</v>
      </c>
      <c r="C1911" s="13" t="s">
        <v>1304</v>
      </c>
      <c r="D1911" s="13" t="s">
        <v>6777</v>
      </c>
      <c r="E1911" s="13" t="s">
        <v>3566</v>
      </c>
      <c r="F1911" s="373">
        <f t="shared" si="816"/>
        <v>13.98</v>
      </c>
      <c r="G1911" s="430">
        <v>13.98</v>
      </c>
      <c r="H1911" s="399">
        <f t="shared" si="817"/>
        <v>11.18</v>
      </c>
      <c r="I1911" s="576"/>
      <c r="J1911" s="549" t="s">
        <v>5804</v>
      </c>
      <c r="K1911" s="11"/>
      <c r="M1911" s="37">
        <f t="shared" si="818"/>
        <v>13.98</v>
      </c>
      <c r="N1911" s="29">
        <v>8.51</v>
      </c>
      <c r="O1911" s="41"/>
      <c r="P1911" s="59"/>
      <c r="R1911" t="s">
        <v>1017</v>
      </c>
      <c r="S1911" t="s">
        <v>4179</v>
      </c>
      <c r="T1911" t="s">
        <v>4179</v>
      </c>
      <c r="U1911" s="60"/>
      <c r="V1911" s="50"/>
      <c r="X1911" t="s">
        <v>1017</v>
      </c>
      <c r="Y1911" s="50"/>
      <c r="Z1911" s="50"/>
      <c r="AA1911" s="50"/>
      <c r="AB1911" s="50"/>
      <c r="AC1911" s="50"/>
      <c r="AD1911" s="50"/>
      <c r="AE1911" s="75"/>
      <c r="AF1911" s="50"/>
      <c r="AG1911" s="50"/>
      <c r="AH1911" s="166" t="str">
        <f t="shared" si="821"/>
        <v>2010</v>
      </c>
      <c r="AI1911" s="168" t="str">
        <f t="shared" si="811"/>
        <v/>
      </c>
      <c r="AJ1911" s="168" t="str">
        <f t="shared" si="812"/>
        <v/>
      </c>
      <c r="AK1911" s="168" t="str">
        <f t="shared" si="813"/>
        <v/>
      </c>
      <c r="AL1911" s="168" t="str">
        <f t="shared" si="814"/>
        <v/>
      </c>
      <c r="AM1911" s="168" t="str">
        <f t="shared" si="815"/>
        <v/>
      </c>
      <c r="AN1911" s="167" t="str">
        <f t="shared" si="797"/>
        <v>2010</v>
      </c>
      <c r="AO1911" s="167" t="str">
        <f t="shared" si="798"/>
        <v>2010</v>
      </c>
      <c r="AP1911" s="167" t="str">
        <f t="shared" si="799"/>
        <v>2010</v>
      </c>
      <c r="AQ1911" s="169" t="str">
        <f t="shared" si="800"/>
        <v/>
      </c>
      <c r="AR1911" s="170" t="str">
        <f t="shared" si="801"/>
        <v>BiK83a3K10--07</v>
      </c>
      <c r="AS1911" s="169" t="str">
        <f t="shared" si="802"/>
        <v/>
      </c>
      <c r="AT1911">
        <f t="shared" si="803"/>
        <v>14</v>
      </c>
      <c r="AU1911" s="170" t="str">
        <f t="shared" si="804"/>
        <v>0,5-5 MW, Bonusregeln a3 und K erstmals 2010</v>
      </c>
      <c r="AV1911" s="169" t="str">
        <f t="shared" si="805"/>
        <v/>
      </c>
      <c r="AW1911" s="170" t="str">
        <f t="shared" si="806"/>
        <v>Anteil KWK, erstmals 2010</v>
      </c>
      <c r="AX1911" s="169" t="str">
        <f t="shared" si="807"/>
        <v/>
      </c>
      <c r="AY1911" t="str">
        <f t="shared" si="808"/>
        <v/>
      </c>
      <c r="AZ1911" t="str">
        <f t="shared" si="809"/>
        <v/>
      </c>
    </row>
    <row r="1912" spans="1:52" x14ac:dyDescent="0.35">
      <c r="A1912" s="499" t="s">
        <v>3427</v>
      </c>
      <c r="B1912" s="13" t="s">
        <v>5547</v>
      </c>
      <c r="C1912" s="13" t="s">
        <v>1304</v>
      </c>
      <c r="D1912" s="13" t="s">
        <v>6778</v>
      </c>
      <c r="E1912" s="13" t="s">
        <v>3054</v>
      </c>
      <c r="F1912" s="373">
        <f t="shared" si="816"/>
        <v>13.95</v>
      </c>
      <c r="G1912" s="430">
        <v>13.95</v>
      </c>
      <c r="H1912" s="399">
        <f t="shared" si="817"/>
        <v>11.16</v>
      </c>
      <c r="I1912" s="576"/>
      <c r="J1912" s="549" t="s">
        <v>5804</v>
      </c>
      <c r="K1912" s="11"/>
      <c r="M1912" s="37">
        <f t="shared" si="818"/>
        <v>13.95</v>
      </c>
      <c r="N1912" s="29">
        <v>8.51</v>
      </c>
      <c r="O1912" s="41"/>
      <c r="P1912" s="59"/>
      <c r="S1912" t="s">
        <v>1017</v>
      </c>
      <c r="T1912" t="s">
        <v>4179</v>
      </c>
      <c r="U1912" s="60"/>
      <c r="V1912" s="50"/>
      <c r="X1912" t="s">
        <v>1017</v>
      </c>
      <c r="Y1912" s="50"/>
      <c r="Z1912" s="50"/>
      <c r="AA1912" s="50"/>
      <c r="AB1912" s="50"/>
      <c r="AC1912" s="50"/>
      <c r="AD1912" s="50"/>
      <c r="AE1912" s="75"/>
      <c r="AF1912" s="50"/>
      <c r="AG1912" s="50"/>
      <c r="AH1912" s="166" t="str">
        <f t="shared" si="821"/>
        <v>2011</v>
      </c>
      <c r="AI1912" s="168" t="str">
        <f t="shared" si="811"/>
        <v/>
      </c>
      <c r="AJ1912" s="168" t="str">
        <f t="shared" si="812"/>
        <v/>
      </c>
      <c r="AK1912" s="168" t="str">
        <f t="shared" si="813"/>
        <v/>
      </c>
      <c r="AL1912" s="168" t="str">
        <f t="shared" si="814"/>
        <v/>
      </c>
      <c r="AM1912" s="168" t="str">
        <f t="shared" si="815"/>
        <v/>
      </c>
      <c r="AN1912" s="167" t="str">
        <f t="shared" si="797"/>
        <v>2011</v>
      </c>
      <c r="AO1912" s="167" t="str">
        <f t="shared" si="798"/>
        <v>2011</v>
      </c>
      <c r="AP1912" s="167" t="str">
        <f t="shared" si="799"/>
        <v>2011</v>
      </c>
      <c r="AQ1912" s="169" t="str">
        <f t="shared" si="800"/>
        <v/>
      </c>
      <c r="AR1912" s="170" t="str">
        <f t="shared" si="801"/>
        <v>BiK83a3K11--07</v>
      </c>
      <c r="AS1912" s="169" t="str">
        <f t="shared" si="802"/>
        <v/>
      </c>
      <c r="AT1912">
        <f t="shared" si="803"/>
        <v>14</v>
      </c>
      <c r="AU1912" s="170" t="str">
        <f t="shared" si="804"/>
        <v>0,5-5 MW, Bonusregeln a3 und K erstmals 2011</v>
      </c>
      <c r="AV1912" s="169" t="str">
        <f t="shared" si="805"/>
        <v/>
      </c>
      <c r="AW1912" s="170" t="str">
        <f t="shared" si="806"/>
        <v>Anteil KWK, erstmals 2011</v>
      </c>
      <c r="AX1912" s="169" t="str">
        <f t="shared" si="807"/>
        <v/>
      </c>
      <c r="AY1912" t="str">
        <f t="shared" si="808"/>
        <v>x</v>
      </c>
      <c r="AZ1912" t="str">
        <f t="shared" si="809"/>
        <v/>
      </c>
    </row>
    <row r="1913" spans="1:52" x14ac:dyDescent="0.35">
      <c r="A1913" s="512" t="s">
        <v>1860</v>
      </c>
      <c r="B1913" s="173" t="s">
        <v>5547</v>
      </c>
      <c r="C1913" s="173" t="s">
        <v>1304</v>
      </c>
      <c r="D1913" s="173" t="s">
        <v>6779</v>
      </c>
      <c r="E1913" s="173" t="s">
        <v>1980</v>
      </c>
      <c r="F1913" s="374">
        <f t="shared" si="816"/>
        <v>13.92</v>
      </c>
      <c r="G1913" s="431">
        <v>13.92</v>
      </c>
      <c r="H1913" s="400">
        <f t="shared" si="817"/>
        <v>11.14</v>
      </c>
      <c r="I1913" s="577"/>
      <c r="J1913" s="549" t="s">
        <v>5804</v>
      </c>
      <c r="K1913" s="11"/>
      <c r="M1913" s="37">
        <f t="shared" si="818"/>
        <v>13.92</v>
      </c>
      <c r="N1913" s="29">
        <v>8.51</v>
      </c>
      <c r="O1913" s="41"/>
      <c r="P1913" s="59"/>
      <c r="S1913" t="s">
        <v>4179</v>
      </c>
      <c r="T1913" t="s">
        <v>1017</v>
      </c>
      <c r="U1913" s="60"/>
      <c r="V1913" s="50"/>
      <c r="X1913" t="s">
        <v>1017</v>
      </c>
      <c r="Y1913" s="50"/>
      <c r="Z1913" s="50"/>
      <c r="AA1913" s="50"/>
      <c r="AB1913" s="50"/>
      <c r="AC1913" s="50"/>
      <c r="AD1913" s="50"/>
      <c r="AE1913" s="75"/>
      <c r="AF1913" s="50"/>
      <c r="AG1913" s="50"/>
      <c r="AH1913" s="171" t="s">
        <v>4178</v>
      </c>
      <c r="AI1913" s="168" t="str">
        <f t="shared" si="811"/>
        <v/>
      </c>
      <c r="AJ1913" s="168" t="str">
        <f t="shared" si="812"/>
        <v/>
      </c>
      <c r="AK1913" s="168" t="str">
        <f t="shared" si="813"/>
        <v/>
      </c>
      <c r="AL1913" s="168" t="str">
        <f t="shared" si="814"/>
        <v/>
      </c>
      <c r="AM1913" s="168" t="str">
        <f t="shared" si="815"/>
        <v/>
      </c>
      <c r="AN1913" s="167" t="str">
        <f t="shared" si="797"/>
        <v>2012</v>
      </c>
      <c r="AO1913" s="167" t="str">
        <f t="shared" si="798"/>
        <v>2012</v>
      </c>
      <c r="AP1913" s="167" t="str">
        <f t="shared" si="799"/>
        <v>2012</v>
      </c>
      <c r="AQ1913" s="169" t="str">
        <f t="shared" si="800"/>
        <v/>
      </c>
      <c r="AR1913" s="170" t="str">
        <f t="shared" si="801"/>
        <v>BiK83a3K12--07</v>
      </c>
      <c r="AS1913" s="169" t="str">
        <f t="shared" si="802"/>
        <v/>
      </c>
      <c r="AT1913">
        <f t="shared" si="803"/>
        <v>14</v>
      </c>
      <c r="AU1913" s="170" t="str">
        <f t="shared" si="804"/>
        <v>0,5-5 MW, Bonusregeln a3 und K erstmals 2012</v>
      </c>
      <c r="AV1913" s="169" t="str">
        <f t="shared" si="805"/>
        <v/>
      </c>
      <c r="AW1913" s="170" t="str">
        <f t="shared" si="806"/>
        <v>Anteil KWK, erstmals 2012</v>
      </c>
      <c r="AX1913" s="169" t="str">
        <f t="shared" si="807"/>
        <v/>
      </c>
      <c r="AY1913" t="str">
        <f t="shared" si="808"/>
        <v/>
      </c>
      <c r="AZ1913" t="str">
        <f t="shared" si="809"/>
        <v>x</v>
      </c>
    </row>
    <row r="1914" spans="1:52" x14ac:dyDescent="0.35">
      <c r="A1914" s="498" t="s">
        <v>555</v>
      </c>
      <c r="B1914" s="1" t="s">
        <v>5547</v>
      </c>
      <c r="C1914" s="1" t="s">
        <v>1304</v>
      </c>
      <c r="D1914" s="1" t="s">
        <v>6780</v>
      </c>
      <c r="E1914" s="1" t="s">
        <v>4809</v>
      </c>
      <c r="F1914" s="375">
        <f t="shared" si="816"/>
        <v>10.51</v>
      </c>
      <c r="G1914" s="432">
        <v>10.51</v>
      </c>
      <c r="H1914" s="401">
        <f t="shared" si="817"/>
        <v>8.41</v>
      </c>
      <c r="I1914" s="578"/>
      <c r="J1914" s="549" t="s">
        <v>5804</v>
      </c>
      <c r="K1914" s="11"/>
      <c r="M1914" s="37">
        <f t="shared" si="818"/>
        <v>10.51</v>
      </c>
      <c r="N1914" s="29">
        <v>8.51</v>
      </c>
      <c r="O1914" s="41"/>
      <c r="P1914" s="59"/>
      <c r="S1914" t="s">
        <v>4179</v>
      </c>
      <c r="T1914" t="s">
        <v>4179</v>
      </c>
      <c r="U1914" s="60"/>
      <c r="V1914" s="50"/>
      <c r="Y1914" s="50"/>
      <c r="Z1914" s="50"/>
      <c r="AA1914" s="50"/>
      <c r="AB1914" s="50"/>
      <c r="AC1914" s="50"/>
      <c r="AD1914" s="50"/>
      <c r="AE1914" s="75" t="s">
        <v>1017</v>
      </c>
      <c r="AF1914" s="50"/>
      <c r="AG1914" s="50"/>
      <c r="AH1914" s="166" t="str">
        <f>IF(ISERROR(SEARCH("K erstmals 201",D1914)),"",RIGHT(D1914,4))</f>
        <v/>
      </c>
      <c r="AI1914" s="168" t="str">
        <f t="shared" si="811"/>
        <v/>
      </c>
      <c r="AJ1914" s="168" t="str">
        <f t="shared" si="812"/>
        <v/>
      </c>
      <c r="AK1914" s="168" t="str">
        <f t="shared" si="813"/>
        <v/>
      </c>
      <c r="AL1914" s="168" t="str">
        <f t="shared" si="814"/>
        <v/>
      </c>
      <c r="AM1914" s="168" t="str">
        <f t="shared" si="815"/>
        <v/>
      </c>
      <c r="AN1914" s="167" t="str">
        <f t="shared" si="797"/>
        <v/>
      </c>
      <c r="AO1914" s="167" t="str">
        <f t="shared" si="798"/>
        <v/>
      </c>
      <c r="AP1914" s="167" t="str">
        <f t="shared" si="799"/>
        <v/>
      </c>
      <c r="AQ1914" s="169" t="str">
        <f t="shared" si="800"/>
        <v/>
      </c>
      <c r="AR1914" s="170" t="str">
        <f t="shared" si="801"/>
        <v>BiK83b------07</v>
      </c>
      <c r="AS1914" s="169" t="str">
        <f t="shared" si="802"/>
        <v/>
      </c>
      <c r="AT1914">
        <f t="shared" si="803"/>
        <v>14</v>
      </c>
      <c r="AU1914" s="170" t="str">
        <f t="shared" si="804"/>
        <v>0,5-5 MW, Bonusregel b</v>
      </c>
      <c r="AV1914" s="169" t="str">
        <f t="shared" si="805"/>
        <v/>
      </c>
      <c r="AW1914" s="170" t="str">
        <f t="shared" si="806"/>
        <v>Anteil Nicht-KWK</v>
      </c>
      <c r="AX1914" s="169" t="str">
        <f t="shared" si="807"/>
        <v/>
      </c>
      <c r="AY1914" t="str">
        <f t="shared" si="808"/>
        <v/>
      </c>
      <c r="AZ1914" t="str">
        <f t="shared" si="809"/>
        <v/>
      </c>
    </row>
    <row r="1915" spans="1:52" x14ac:dyDescent="0.35">
      <c r="A1915" s="498" t="s">
        <v>556</v>
      </c>
      <c r="B1915" s="1" t="s">
        <v>5547</v>
      </c>
      <c r="C1915" s="1" t="s">
        <v>1304</v>
      </c>
      <c r="D1915" s="1" t="s">
        <v>6781</v>
      </c>
      <c r="E1915" s="1" t="s">
        <v>4811</v>
      </c>
      <c r="F1915" s="375">
        <f t="shared" si="816"/>
        <v>12.51</v>
      </c>
      <c r="G1915" s="432">
        <v>12.51</v>
      </c>
      <c r="H1915" s="401">
        <f t="shared" si="817"/>
        <v>10.01</v>
      </c>
      <c r="I1915" s="578"/>
      <c r="J1915" s="549" t="s">
        <v>5804</v>
      </c>
      <c r="K1915" s="11"/>
      <c r="M1915" s="37">
        <f t="shared" si="818"/>
        <v>12.51</v>
      </c>
      <c r="N1915" s="29">
        <v>8.51</v>
      </c>
      <c r="O1915" s="41" t="s">
        <v>1017</v>
      </c>
      <c r="P1915" s="59"/>
      <c r="S1915" t="s">
        <v>4179</v>
      </c>
      <c r="T1915" t="s">
        <v>4179</v>
      </c>
      <c r="U1915" s="60"/>
      <c r="V1915" s="50"/>
      <c r="Y1915" s="50"/>
      <c r="Z1915" s="50"/>
      <c r="AA1915" s="50"/>
      <c r="AB1915" s="50"/>
      <c r="AC1915" s="50"/>
      <c r="AD1915" s="50"/>
      <c r="AE1915" s="75" t="s">
        <v>1017</v>
      </c>
      <c r="AF1915" s="50"/>
      <c r="AG1915" s="50"/>
      <c r="AH1915" s="166" t="str">
        <f>IF(ISERROR(SEARCH("K erstmals 201",D1915)),"",RIGHT(D1915,4))</f>
        <v/>
      </c>
      <c r="AI1915" s="168" t="str">
        <f t="shared" si="811"/>
        <v/>
      </c>
      <c r="AJ1915" s="168" t="str">
        <f t="shared" si="812"/>
        <v/>
      </c>
      <c r="AK1915" s="168" t="str">
        <f t="shared" si="813"/>
        <v/>
      </c>
      <c r="AL1915" s="168" t="str">
        <f t="shared" si="814"/>
        <v/>
      </c>
      <c r="AM1915" s="168" t="str">
        <f t="shared" si="815"/>
        <v/>
      </c>
      <c r="AN1915" s="167" t="str">
        <f t="shared" si="797"/>
        <v/>
      </c>
      <c r="AO1915" s="167" t="str">
        <f t="shared" si="798"/>
        <v/>
      </c>
      <c r="AP1915" s="167" t="str">
        <f t="shared" si="799"/>
        <v/>
      </c>
      <c r="AQ1915" s="169" t="str">
        <f t="shared" si="800"/>
        <v/>
      </c>
      <c r="AR1915" s="170" t="str">
        <f t="shared" si="801"/>
        <v>BiK83bKWK---07</v>
      </c>
      <c r="AS1915" s="169" t="str">
        <f t="shared" si="802"/>
        <v/>
      </c>
      <c r="AT1915">
        <f t="shared" si="803"/>
        <v>14</v>
      </c>
      <c r="AU1915" s="170" t="str">
        <f t="shared" si="804"/>
        <v>0,5-5 MW, Bonusregel b und KWK</v>
      </c>
      <c r="AV1915" s="169" t="str">
        <f t="shared" si="805"/>
        <v/>
      </c>
      <c r="AW1915" s="170" t="str">
        <f t="shared" si="806"/>
        <v>Anteil KWK</v>
      </c>
      <c r="AX1915" s="169" t="str">
        <f t="shared" si="807"/>
        <v/>
      </c>
      <c r="AY1915" t="str">
        <f t="shared" si="808"/>
        <v/>
      </c>
      <c r="AZ1915" t="str">
        <f t="shared" si="809"/>
        <v/>
      </c>
    </row>
    <row r="1916" spans="1:52" x14ac:dyDescent="0.35">
      <c r="A1916" s="499" t="s">
        <v>897</v>
      </c>
      <c r="B1916" s="13" t="s">
        <v>5547</v>
      </c>
      <c r="C1916" s="13" t="s">
        <v>1304</v>
      </c>
      <c r="D1916" s="13" t="s">
        <v>6782</v>
      </c>
      <c r="E1916" s="13" t="s">
        <v>674</v>
      </c>
      <c r="F1916" s="373">
        <f t="shared" si="816"/>
        <v>13.51</v>
      </c>
      <c r="G1916" s="430">
        <v>13.51</v>
      </c>
      <c r="H1916" s="399">
        <f t="shared" si="817"/>
        <v>10.81</v>
      </c>
      <c r="I1916" s="576"/>
      <c r="J1916" s="549" t="s">
        <v>5804</v>
      </c>
      <c r="K1916" s="11"/>
      <c r="M1916" s="37">
        <f t="shared" si="818"/>
        <v>13.51</v>
      </c>
      <c r="N1916" s="29">
        <v>8.51</v>
      </c>
      <c r="O1916" s="41"/>
      <c r="P1916" s="59"/>
      <c r="Q1916" t="s">
        <v>1017</v>
      </c>
      <c r="S1916" t="s">
        <v>4179</v>
      </c>
      <c r="T1916" t="s">
        <v>4179</v>
      </c>
      <c r="U1916" s="60"/>
      <c r="V1916" s="50"/>
      <c r="Y1916" s="50"/>
      <c r="Z1916" s="50"/>
      <c r="AA1916" s="50"/>
      <c r="AB1916" s="50"/>
      <c r="AC1916" s="50"/>
      <c r="AD1916" s="50"/>
      <c r="AE1916" s="75" t="s">
        <v>1017</v>
      </c>
      <c r="AF1916" s="50"/>
      <c r="AG1916" s="50"/>
      <c r="AH1916" s="166" t="str">
        <f>IF(ISERROR(SEARCH("K erstmals 201",D1916)),"",RIGHT(D1916,4))</f>
        <v/>
      </c>
      <c r="AI1916" s="168" t="str">
        <f t="shared" si="811"/>
        <v/>
      </c>
      <c r="AJ1916" s="168" t="str">
        <f t="shared" si="812"/>
        <v/>
      </c>
      <c r="AK1916" s="168" t="str">
        <f t="shared" si="813"/>
        <v/>
      </c>
      <c r="AL1916" s="168" t="str">
        <f t="shared" si="814"/>
        <v/>
      </c>
      <c r="AM1916" s="168" t="str">
        <f t="shared" si="815"/>
        <v/>
      </c>
      <c r="AN1916" s="167" t="str">
        <f t="shared" si="797"/>
        <v/>
      </c>
      <c r="AO1916" s="167" t="str">
        <f t="shared" si="798"/>
        <v/>
      </c>
      <c r="AP1916" s="167" t="str">
        <f t="shared" si="799"/>
        <v/>
      </c>
      <c r="AQ1916" s="169" t="str">
        <f t="shared" si="800"/>
        <v/>
      </c>
      <c r="AR1916" s="170" t="str">
        <f t="shared" si="801"/>
        <v>BiK83bK09---07</v>
      </c>
      <c r="AS1916" s="169" t="str">
        <f t="shared" si="802"/>
        <v/>
      </c>
      <c r="AT1916">
        <f t="shared" si="803"/>
        <v>14</v>
      </c>
      <c r="AU1916" s="170" t="str">
        <f t="shared" si="804"/>
        <v>0,5-5 MW, Bonusregel b und K erstmals 2009</v>
      </c>
      <c r="AV1916" s="169" t="str">
        <f t="shared" si="805"/>
        <v/>
      </c>
      <c r="AW1916" s="170" t="str">
        <f t="shared" si="806"/>
        <v>Anteil KWK, erstmals 2009</v>
      </c>
      <c r="AX1916" s="169" t="str">
        <f t="shared" si="807"/>
        <v/>
      </c>
      <c r="AY1916" t="str">
        <f t="shared" si="808"/>
        <v/>
      </c>
      <c r="AZ1916" t="str">
        <f t="shared" si="809"/>
        <v/>
      </c>
    </row>
    <row r="1917" spans="1:52" x14ac:dyDescent="0.35">
      <c r="A1917" s="497" t="s">
        <v>3152</v>
      </c>
      <c r="B1917" s="13" t="s">
        <v>5547</v>
      </c>
      <c r="C1917" s="13" t="s">
        <v>1304</v>
      </c>
      <c r="D1917" s="13" t="s">
        <v>6783</v>
      </c>
      <c r="E1917" s="13" t="s">
        <v>3566</v>
      </c>
      <c r="F1917" s="373">
        <f t="shared" si="816"/>
        <v>13.48</v>
      </c>
      <c r="G1917" s="430">
        <v>13.48</v>
      </c>
      <c r="H1917" s="399">
        <f t="shared" si="817"/>
        <v>10.78</v>
      </c>
      <c r="I1917" s="576"/>
      <c r="J1917" s="549" t="s">
        <v>5804</v>
      </c>
      <c r="K1917" s="11"/>
      <c r="M1917" s="37">
        <f t="shared" si="818"/>
        <v>13.48</v>
      </c>
      <c r="N1917" s="29">
        <v>8.51</v>
      </c>
      <c r="O1917" s="41"/>
      <c r="P1917" s="59"/>
      <c r="R1917" t="s">
        <v>1017</v>
      </c>
      <c r="S1917" t="s">
        <v>4179</v>
      </c>
      <c r="T1917" t="s">
        <v>4179</v>
      </c>
      <c r="U1917" s="60"/>
      <c r="V1917" s="50"/>
      <c r="Y1917" s="50"/>
      <c r="Z1917" s="50"/>
      <c r="AA1917" s="50"/>
      <c r="AB1917" s="50"/>
      <c r="AC1917" s="50"/>
      <c r="AD1917" s="50"/>
      <c r="AE1917" s="75" t="s">
        <v>1017</v>
      </c>
      <c r="AF1917" s="50"/>
      <c r="AG1917" s="50"/>
      <c r="AH1917" s="166" t="str">
        <f>IF(ISERROR(SEARCH("K erstmals 201",D1917)),"",RIGHT(D1917,4))</f>
        <v>2010</v>
      </c>
      <c r="AI1917" s="168" t="str">
        <f t="shared" si="811"/>
        <v/>
      </c>
      <c r="AJ1917" s="168" t="str">
        <f t="shared" si="812"/>
        <v/>
      </c>
      <c r="AK1917" s="168" t="str">
        <f t="shared" si="813"/>
        <v/>
      </c>
      <c r="AL1917" s="168" t="str">
        <f t="shared" si="814"/>
        <v/>
      </c>
      <c r="AM1917" s="168" t="str">
        <f t="shared" si="815"/>
        <v/>
      </c>
      <c r="AN1917" s="167" t="str">
        <f t="shared" si="797"/>
        <v>2010</v>
      </c>
      <c r="AO1917" s="167" t="str">
        <f t="shared" si="798"/>
        <v>2010</v>
      </c>
      <c r="AP1917" s="167" t="str">
        <f t="shared" si="799"/>
        <v>2010</v>
      </c>
      <c r="AQ1917" s="169" t="str">
        <f t="shared" si="800"/>
        <v/>
      </c>
      <c r="AR1917" s="170" t="str">
        <f t="shared" si="801"/>
        <v>BiK83bK10---07</v>
      </c>
      <c r="AS1917" s="169" t="str">
        <f t="shared" si="802"/>
        <v/>
      </c>
      <c r="AT1917">
        <f t="shared" si="803"/>
        <v>14</v>
      </c>
      <c r="AU1917" s="170" t="str">
        <f t="shared" si="804"/>
        <v>0,5-5 MW, Bonusregel b und K erstmals 2010</v>
      </c>
      <c r="AV1917" s="169" t="str">
        <f t="shared" si="805"/>
        <v/>
      </c>
      <c r="AW1917" s="170" t="str">
        <f t="shared" si="806"/>
        <v>Anteil KWK, erstmals 2010</v>
      </c>
      <c r="AX1917" s="169" t="str">
        <f t="shared" si="807"/>
        <v/>
      </c>
      <c r="AY1917" t="str">
        <f t="shared" si="808"/>
        <v/>
      </c>
      <c r="AZ1917" t="str">
        <f t="shared" si="809"/>
        <v/>
      </c>
    </row>
    <row r="1918" spans="1:52" x14ac:dyDescent="0.35">
      <c r="A1918" s="497" t="s">
        <v>3428</v>
      </c>
      <c r="B1918" s="13" t="s">
        <v>5547</v>
      </c>
      <c r="C1918" s="13" t="s">
        <v>1304</v>
      </c>
      <c r="D1918" s="13" t="s">
        <v>6784</v>
      </c>
      <c r="E1918" s="13" t="s">
        <v>3054</v>
      </c>
      <c r="F1918" s="373">
        <f t="shared" si="816"/>
        <v>13.45</v>
      </c>
      <c r="G1918" s="430">
        <v>13.45</v>
      </c>
      <c r="H1918" s="399">
        <f t="shared" si="817"/>
        <v>10.76</v>
      </c>
      <c r="I1918" s="576"/>
      <c r="J1918" s="549" t="s">
        <v>5804</v>
      </c>
      <c r="K1918" s="11"/>
      <c r="M1918" s="37">
        <f t="shared" si="818"/>
        <v>13.45</v>
      </c>
      <c r="N1918" s="29">
        <v>8.51</v>
      </c>
      <c r="O1918" s="41"/>
      <c r="P1918" s="59"/>
      <c r="S1918" t="s">
        <v>1017</v>
      </c>
      <c r="T1918" t="s">
        <v>4179</v>
      </c>
      <c r="U1918" s="60"/>
      <c r="V1918" s="50"/>
      <c r="Y1918" s="50"/>
      <c r="Z1918" s="50"/>
      <c r="AA1918" s="50"/>
      <c r="AB1918" s="50"/>
      <c r="AC1918" s="50"/>
      <c r="AD1918" s="50"/>
      <c r="AE1918" s="75" t="s">
        <v>1017</v>
      </c>
      <c r="AF1918" s="50"/>
      <c r="AG1918" s="50"/>
      <c r="AH1918" s="166" t="str">
        <f>IF(ISERROR(SEARCH("K erstmals 201",D1918)),"",RIGHT(D1918,4))</f>
        <v>2011</v>
      </c>
      <c r="AI1918" s="168" t="str">
        <f t="shared" si="811"/>
        <v/>
      </c>
      <c r="AJ1918" s="168" t="str">
        <f t="shared" si="812"/>
        <v/>
      </c>
      <c r="AK1918" s="168" t="str">
        <f t="shared" si="813"/>
        <v/>
      </c>
      <c r="AL1918" s="168" t="str">
        <f t="shared" si="814"/>
        <v/>
      </c>
      <c r="AM1918" s="168" t="str">
        <f t="shared" si="815"/>
        <v/>
      </c>
      <c r="AN1918" s="167" t="str">
        <f t="shared" si="797"/>
        <v>2011</v>
      </c>
      <c r="AO1918" s="167" t="str">
        <f t="shared" si="798"/>
        <v>2011</v>
      </c>
      <c r="AP1918" s="167" t="str">
        <f t="shared" si="799"/>
        <v>2011</v>
      </c>
      <c r="AQ1918" s="169" t="str">
        <f t="shared" si="800"/>
        <v/>
      </c>
      <c r="AR1918" s="170" t="str">
        <f t="shared" si="801"/>
        <v>BiK83bK11---07</v>
      </c>
      <c r="AS1918" s="169" t="str">
        <f t="shared" si="802"/>
        <v/>
      </c>
      <c r="AT1918">
        <f t="shared" si="803"/>
        <v>14</v>
      </c>
      <c r="AU1918" s="170" t="str">
        <f t="shared" si="804"/>
        <v>0,5-5 MW, Bonusregel b und K erstmals 2011</v>
      </c>
      <c r="AV1918" s="169" t="str">
        <f t="shared" si="805"/>
        <v/>
      </c>
      <c r="AW1918" s="170" t="str">
        <f t="shared" si="806"/>
        <v>Anteil KWK, erstmals 2011</v>
      </c>
      <c r="AX1918" s="169" t="str">
        <f t="shared" si="807"/>
        <v/>
      </c>
      <c r="AY1918" t="str">
        <f t="shared" si="808"/>
        <v>x</v>
      </c>
      <c r="AZ1918" t="str">
        <f t="shared" si="809"/>
        <v/>
      </c>
    </row>
    <row r="1919" spans="1:52" x14ac:dyDescent="0.35">
      <c r="A1919" s="511" t="s">
        <v>1861</v>
      </c>
      <c r="B1919" s="173" t="s">
        <v>5547</v>
      </c>
      <c r="C1919" s="173" t="s">
        <v>1304</v>
      </c>
      <c r="D1919" s="173" t="s">
        <v>6785</v>
      </c>
      <c r="E1919" s="173" t="s">
        <v>1980</v>
      </c>
      <c r="F1919" s="374">
        <f t="shared" si="816"/>
        <v>13.42</v>
      </c>
      <c r="G1919" s="431">
        <v>13.42</v>
      </c>
      <c r="H1919" s="400">
        <f t="shared" si="817"/>
        <v>10.74</v>
      </c>
      <c r="I1919" s="577"/>
      <c r="J1919" s="549" t="s">
        <v>5804</v>
      </c>
      <c r="K1919" s="11"/>
      <c r="M1919" s="37">
        <f t="shared" si="818"/>
        <v>13.42</v>
      </c>
      <c r="N1919" s="29">
        <v>8.51</v>
      </c>
      <c r="O1919" s="41"/>
      <c r="P1919" s="59"/>
      <c r="S1919" t="s">
        <v>4179</v>
      </c>
      <c r="T1919" t="s">
        <v>1017</v>
      </c>
      <c r="U1919" s="60"/>
      <c r="V1919" s="50"/>
      <c r="Y1919" s="50"/>
      <c r="Z1919" s="50"/>
      <c r="AA1919" s="50"/>
      <c r="AB1919" s="50"/>
      <c r="AC1919" s="50"/>
      <c r="AD1919" s="50"/>
      <c r="AE1919" s="75" t="s">
        <v>1017</v>
      </c>
      <c r="AF1919" s="50"/>
      <c r="AG1919" s="50"/>
      <c r="AH1919" s="171" t="s">
        <v>4178</v>
      </c>
      <c r="AI1919" s="168" t="str">
        <f t="shared" si="811"/>
        <v/>
      </c>
      <c r="AJ1919" s="168" t="str">
        <f t="shared" si="812"/>
        <v/>
      </c>
      <c r="AK1919" s="168" t="str">
        <f t="shared" si="813"/>
        <v/>
      </c>
      <c r="AL1919" s="168" t="str">
        <f t="shared" si="814"/>
        <v/>
      </c>
      <c r="AM1919" s="168" t="str">
        <f t="shared" si="815"/>
        <v/>
      </c>
      <c r="AN1919" s="167" t="str">
        <f t="shared" si="797"/>
        <v>2012</v>
      </c>
      <c r="AO1919" s="167" t="str">
        <f t="shared" si="798"/>
        <v>2012</v>
      </c>
      <c r="AP1919" s="167" t="str">
        <f t="shared" si="799"/>
        <v>2012</v>
      </c>
      <c r="AQ1919" s="169" t="str">
        <f t="shared" si="800"/>
        <v/>
      </c>
      <c r="AR1919" s="170" t="str">
        <f t="shared" si="801"/>
        <v>BiK83bK12---07</v>
      </c>
      <c r="AS1919" s="169" t="str">
        <f t="shared" si="802"/>
        <v/>
      </c>
      <c r="AT1919">
        <f t="shared" si="803"/>
        <v>14</v>
      </c>
      <c r="AU1919" s="170" t="str">
        <f t="shared" si="804"/>
        <v>0,5-5 MW, Bonusregel b und K erstmals 2012</v>
      </c>
      <c r="AV1919" s="169" t="str">
        <f t="shared" si="805"/>
        <v/>
      </c>
      <c r="AW1919" s="170" t="str">
        <f t="shared" si="806"/>
        <v>Anteil KWK, erstmals 2012</v>
      </c>
      <c r="AX1919" s="169" t="str">
        <f t="shared" si="807"/>
        <v/>
      </c>
      <c r="AY1919" t="str">
        <f t="shared" si="808"/>
        <v/>
      </c>
      <c r="AZ1919" t="str">
        <f t="shared" si="809"/>
        <v>x</v>
      </c>
    </row>
    <row r="1920" spans="1:52" s="145" customFormat="1" x14ac:dyDescent="0.35">
      <c r="A1920" s="496" t="s">
        <v>557</v>
      </c>
      <c r="B1920" s="1" t="s">
        <v>5547</v>
      </c>
      <c r="C1920" s="1" t="s">
        <v>1304</v>
      </c>
      <c r="D1920" s="1" t="s">
        <v>6786</v>
      </c>
      <c r="E1920" s="1" t="s">
        <v>4809</v>
      </c>
      <c r="F1920" s="375">
        <f t="shared" si="816"/>
        <v>14.51</v>
      </c>
      <c r="G1920" s="432">
        <v>14.51</v>
      </c>
      <c r="H1920" s="401">
        <f t="shared" si="817"/>
        <v>11.61</v>
      </c>
      <c r="I1920" s="578"/>
      <c r="J1920" s="549" t="s">
        <v>5804</v>
      </c>
      <c r="K1920" s="11"/>
      <c r="L1920"/>
      <c r="M1920" s="37">
        <f t="shared" si="818"/>
        <v>14.51</v>
      </c>
      <c r="N1920" s="29">
        <v>8.51</v>
      </c>
      <c r="O1920" s="41"/>
      <c r="P1920" s="59"/>
      <c r="Q1920"/>
      <c r="R1920"/>
      <c r="S1920" t="s">
        <v>4179</v>
      </c>
      <c r="T1920" s="145" t="s">
        <v>4179</v>
      </c>
      <c r="U1920" s="60"/>
      <c r="V1920" s="50"/>
      <c r="W1920" t="s">
        <v>1017</v>
      </c>
      <c r="X1920"/>
      <c r="Y1920" s="50"/>
      <c r="Z1920" s="50"/>
      <c r="AA1920" s="50"/>
      <c r="AB1920" s="50"/>
      <c r="AC1920" s="50"/>
      <c r="AD1920" s="50"/>
      <c r="AE1920" s="75" t="s">
        <v>1017</v>
      </c>
      <c r="AF1920" s="50"/>
      <c r="AG1920" s="50"/>
      <c r="AH1920" s="166" t="str">
        <f>IF(ISERROR(SEARCH("K erstmals 201",D1920)),"",RIGHT(D1920,4))</f>
        <v/>
      </c>
      <c r="AI1920" s="168" t="str">
        <f t="shared" si="811"/>
        <v/>
      </c>
      <c r="AJ1920" s="168" t="str">
        <f t="shared" si="812"/>
        <v/>
      </c>
      <c r="AK1920" s="168" t="str">
        <f t="shared" si="813"/>
        <v/>
      </c>
      <c r="AL1920" s="168" t="str">
        <f t="shared" si="814"/>
        <v/>
      </c>
      <c r="AM1920" s="168" t="str">
        <f t="shared" si="815"/>
        <v/>
      </c>
      <c r="AN1920" s="167" t="str">
        <f t="shared" si="797"/>
        <v/>
      </c>
      <c r="AO1920" s="167" t="str">
        <f t="shared" si="798"/>
        <v/>
      </c>
      <c r="AP1920" s="167" t="str">
        <f t="shared" si="799"/>
        <v/>
      </c>
      <c r="AQ1920" s="169" t="str">
        <f t="shared" si="800"/>
        <v/>
      </c>
      <c r="AR1920" s="170" t="str">
        <f t="shared" si="801"/>
        <v>BiK83a2b----07</v>
      </c>
      <c r="AS1920" s="169" t="str">
        <f t="shared" si="802"/>
        <v/>
      </c>
      <c r="AT1920">
        <f t="shared" si="803"/>
        <v>14</v>
      </c>
      <c r="AU1920" s="170" t="str">
        <f t="shared" si="804"/>
        <v>0,5-5 MW, Bonusregeln a2 und b</v>
      </c>
      <c r="AV1920" s="169" t="str">
        <f t="shared" si="805"/>
        <v/>
      </c>
      <c r="AW1920" s="170" t="str">
        <f t="shared" si="806"/>
        <v>Anteil Nicht-KWK</v>
      </c>
      <c r="AX1920" s="169" t="str">
        <f t="shared" si="807"/>
        <v/>
      </c>
      <c r="AY1920" t="str">
        <f t="shared" si="808"/>
        <v/>
      </c>
      <c r="AZ1920" t="str">
        <f t="shared" si="809"/>
        <v/>
      </c>
    </row>
    <row r="1921" spans="1:52" s="145" customFormat="1" x14ac:dyDescent="0.35">
      <c r="A1921" s="496" t="s">
        <v>3664</v>
      </c>
      <c r="B1921" s="1" t="s">
        <v>5547</v>
      </c>
      <c r="C1921" s="1" t="s">
        <v>1304</v>
      </c>
      <c r="D1921" s="1" t="s">
        <v>6787</v>
      </c>
      <c r="E1921" s="1" t="s">
        <v>4811</v>
      </c>
      <c r="F1921" s="375">
        <f t="shared" si="816"/>
        <v>16.509999999999998</v>
      </c>
      <c r="G1921" s="432">
        <v>16.509999999999998</v>
      </c>
      <c r="H1921" s="401">
        <f t="shared" si="817"/>
        <v>13.21</v>
      </c>
      <c r="I1921" s="578"/>
      <c r="J1921" s="549" t="s">
        <v>5804</v>
      </c>
      <c r="K1921" s="11"/>
      <c r="L1921"/>
      <c r="M1921" s="37">
        <f t="shared" si="818"/>
        <v>16.509999999999998</v>
      </c>
      <c r="N1921" s="29">
        <v>8.51</v>
      </c>
      <c r="O1921" s="41" t="s">
        <v>1017</v>
      </c>
      <c r="P1921" s="59"/>
      <c r="Q1921"/>
      <c r="R1921"/>
      <c r="S1921" t="s">
        <v>4179</v>
      </c>
      <c r="T1921" s="145" t="s">
        <v>4179</v>
      </c>
      <c r="U1921" s="60"/>
      <c r="V1921" s="50"/>
      <c r="W1921" t="s">
        <v>1017</v>
      </c>
      <c r="X1921"/>
      <c r="Y1921" s="50"/>
      <c r="Z1921" s="50"/>
      <c r="AA1921" s="50"/>
      <c r="AB1921" s="50"/>
      <c r="AC1921" s="50"/>
      <c r="AD1921" s="50"/>
      <c r="AE1921" s="75" t="s">
        <v>1017</v>
      </c>
      <c r="AF1921" s="50"/>
      <c r="AG1921" s="50"/>
      <c r="AH1921" s="166" t="str">
        <f>IF(ISERROR(SEARCH("K erstmals 201",D1921)),"",RIGHT(D1921,4))</f>
        <v/>
      </c>
      <c r="AI1921" s="168" t="str">
        <f t="shared" si="811"/>
        <v/>
      </c>
      <c r="AJ1921" s="168" t="str">
        <f t="shared" si="812"/>
        <v/>
      </c>
      <c r="AK1921" s="168" t="str">
        <f t="shared" si="813"/>
        <v/>
      </c>
      <c r="AL1921" s="168" t="str">
        <f t="shared" si="814"/>
        <v/>
      </c>
      <c r="AM1921" s="168" t="str">
        <f t="shared" si="815"/>
        <v/>
      </c>
      <c r="AN1921" s="167" t="str">
        <f t="shared" si="797"/>
        <v/>
      </c>
      <c r="AO1921" s="167" t="str">
        <f t="shared" si="798"/>
        <v/>
      </c>
      <c r="AP1921" s="167" t="str">
        <f t="shared" si="799"/>
        <v/>
      </c>
      <c r="AQ1921" s="169" t="str">
        <f t="shared" si="800"/>
        <v/>
      </c>
      <c r="AR1921" s="170" t="str">
        <f t="shared" si="801"/>
        <v>BiK83a2bKWK-07</v>
      </c>
      <c r="AS1921" s="169" t="str">
        <f t="shared" si="802"/>
        <v/>
      </c>
      <c r="AT1921">
        <f t="shared" si="803"/>
        <v>14</v>
      </c>
      <c r="AU1921" s="170" t="str">
        <f t="shared" si="804"/>
        <v>0,5-5 MW, Bonusregeln a2, b und KWK</v>
      </c>
      <c r="AV1921" s="169" t="str">
        <f t="shared" si="805"/>
        <v/>
      </c>
      <c r="AW1921" s="170" t="str">
        <f t="shared" si="806"/>
        <v>Anteil KWK</v>
      </c>
      <c r="AX1921" s="169" t="str">
        <f t="shared" si="807"/>
        <v/>
      </c>
      <c r="AY1921" t="str">
        <f t="shared" si="808"/>
        <v/>
      </c>
      <c r="AZ1921" t="str">
        <f t="shared" si="809"/>
        <v/>
      </c>
    </row>
    <row r="1922" spans="1:52" s="145" customFormat="1" x14ac:dyDescent="0.35">
      <c r="A1922" s="497" t="s">
        <v>898</v>
      </c>
      <c r="B1922" s="13" t="s">
        <v>5547</v>
      </c>
      <c r="C1922" s="13" t="s">
        <v>1304</v>
      </c>
      <c r="D1922" s="13" t="s">
        <v>6788</v>
      </c>
      <c r="E1922" s="13" t="s">
        <v>674</v>
      </c>
      <c r="F1922" s="373">
        <f t="shared" si="816"/>
        <v>17.509999999999998</v>
      </c>
      <c r="G1922" s="430">
        <v>17.509999999999998</v>
      </c>
      <c r="H1922" s="399">
        <f t="shared" si="817"/>
        <v>14.01</v>
      </c>
      <c r="I1922" s="576"/>
      <c r="J1922" s="549" t="s">
        <v>5804</v>
      </c>
      <c r="K1922" s="11"/>
      <c r="L1922"/>
      <c r="M1922" s="37">
        <f t="shared" si="818"/>
        <v>17.509999999999998</v>
      </c>
      <c r="N1922" s="29">
        <v>8.51</v>
      </c>
      <c r="O1922" s="41"/>
      <c r="P1922" s="59"/>
      <c r="Q1922" t="s">
        <v>1017</v>
      </c>
      <c r="R1922"/>
      <c r="S1922" t="s">
        <v>4179</v>
      </c>
      <c r="T1922" s="145" t="s">
        <v>4179</v>
      </c>
      <c r="U1922" s="60"/>
      <c r="V1922" s="50"/>
      <c r="W1922" t="s">
        <v>1017</v>
      </c>
      <c r="X1922"/>
      <c r="Y1922" s="50"/>
      <c r="Z1922" s="50"/>
      <c r="AA1922" s="50"/>
      <c r="AB1922" s="50"/>
      <c r="AC1922" s="50"/>
      <c r="AD1922" s="50"/>
      <c r="AE1922" s="75" t="s">
        <v>1017</v>
      </c>
      <c r="AF1922" s="50"/>
      <c r="AG1922" s="50"/>
      <c r="AH1922" s="166" t="str">
        <f>IF(ISERROR(SEARCH("K erstmals 201",D1922)),"",RIGHT(D1922,4))</f>
        <v/>
      </c>
      <c r="AI1922" s="168" t="str">
        <f t="shared" si="811"/>
        <v/>
      </c>
      <c r="AJ1922" s="168" t="str">
        <f t="shared" si="812"/>
        <v/>
      </c>
      <c r="AK1922" s="168" t="str">
        <f t="shared" si="813"/>
        <v/>
      </c>
      <c r="AL1922" s="168" t="str">
        <f t="shared" si="814"/>
        <v/>
      </c>
      <c r="AM1922" s="168" t="str">
        <f t="shared" si="815"/>
        <v/>
      </c>
      <c r="AN1922" s="167" t="str">
        <f t="shared" si="797"/>
        <v/>
      </c>
      <c r="AO1922" s="167" t="str">
        <f t="shared" si="798"/>
        <v/>
      </c>
      <c r="AP1922" s="167" t="str">
        <f t="shared" si="799"/>
        <v/>
      </c>
      <c r="AQ1922" s="169" t="str">
        <f t="shared" si="800"/>
        <v/>
      </c>
      <c r="AR1922" s="170" t="str">
        <f t="shared" si="801"/>
        <v>BiK83a2bK09-07</v>
      </c>
      <c r="AS1922" s="169" t="str">
        <f t="shared" si="802"/>
        <v/>
      </c>
      <c r="AT1922">
        <f t="shared" si="803"/>
        <v>14</v>
      </c>
      <c r="AU1922" s="170" t="str">
        <f t="shared" si="804"/>
        <v>0,5-5 MW, Bonusregeln a2, b und K erstmals 2009</v>
      </c>
      <c r="AV1922" s="169" t="str">
        <f t="shared" si="805"/>
        <v/>
      </c>
      <c r="AW1922" s="170" t="str">
        <f t="shared" si="806"/>
        <v>Anteil KWK, erstmals 2009</v>
      </c>
      <c r="AX1922" s="169" t="str">
        <f t="shared" si="807"/>
        <v/>
      </c>
      <c r="AY1922" t="str">
        <f t="shared" si="808"/>
        <v/>
      </c>
      <c r="AZ1922" t="str">
        <f t="shared" si="809"/>
        <v/>
      </c>
    </row>
    <row r="1923" spans="1:52" s="145" customFormat="1" x14ac:dyDescent="0.35">
      <c r="A1923" s="497" t="s">
        <v>3153</v>
      </c>
      <c r="B1923" s="13" t="s">
        <v>5547</v>
      </c>
      <c r="C1923" s="13" t="s">
        <v>1304</v>
      </c>
      <c r="D1923" s="13" t="s">
        <v>6789</v>
      </c>
      <c r="E1923" s="13" t="s">
        <v>3566</v>
      </c>
      <c r="F1923" s="373">
        <f t="shared" si="816"/>
        <v>17.48</v>
      </c>
      <c r="G1923" s="430">
        <v>17.48</v>
      </c>
      <c r="H1923" s="399">
        <f t="shared" si="817"/>
        <v>13.98</v>
      </c>
      <c r="I1923" s="576"/>
      <c r="J1923" s="549" t="s">
        <v>5804</v>
      </c>
      <c r="K1923" s="11"/>
      <c r="L1923"/>
      <c r="M1923" s="37">
        <f t="shared" si="818"/>
        <v>17.48</v>
      </c>
      <c r="N1923" s="29">
        <v>8.51</v>
      </c>
      <c r="O1923" s="41"/>
      <c r="P1923" s="59"/>
      <c r="Q1923"/>
      <c r="R1923" t="s">
        <v>1017</v>
      </c>
      <c r="S1923" t="s">
        <v>4179</v>
      </c>
      <c r="T1923" s="145" t="s">
        <v>4179</v>
      </c>
      <c r="U1923" s="60"/>
      <c r="V1923" s="50"/>
      <c r="W1923" t="s">
        <v>1017</v>
      </c>
      <c r="X1923"/>
      <c r="Y1923" s="50"/>
      <c r="Z1923" s="50"/>
      <c r="AA1923" s="50"/>
      <c r="AB1923" s="50"/>
      <c r="AC1923" s="50"/>
      <c r="AD1923" s="50"/>
      <c r="AE1923" s="75" t="s">
        <v>1017</v>
      </c>
      <c r="AF1923" s="50"/>
      <c r="AG1923" s="50"/>
      <c r="AH1923" s="166" t="str">
        <f>IF(ISERROR(SEARCH("K erstmals 201",D1923)),"",RIGHT(D1923,4))</f>
        <v>2010</v>
      </c>
      <c r="AI1923" s="168" t="str">
        <f t="shared" si="811"/>
        <v/>
      </c>
      <c r="AJ1923" s="168" t="str">
        <f t="shared" si="812"/>
        <v/>
      </c>
      <c r="AK1923" s="168" t="str">
        <f t="shared" si="813"/>
        <v/>
      </c>
      <c r="AL1923" s="168" t="str">
        <f t="shared" si="814"/>
        <v/>
      </c>
      <c r="AM1923" s="168" t="str">
        <f t="shared" si="815"/>
        <v/>
      </c>
      <c r="AN1923" s="167" t="str">
        <f t="shared" si="797"/>
        <v>2010</v>
      </c>
      <c r="AO1923" s="167" t="str">
        <f t="shared" si="798"/>
        <v>2010</v>
      </c>
      <c r="AP1923" s="167" t="str">
        <f t="shared" si="799"/>
        <v>2010</v>
      </c>
      <c r="AQ1923" s="169" t="str">
        <f t="shared" si="800"/>
        <v/>
      </c>
      <c r="AR1923" s="170" t="str">
        <f t="shared" si="801"/>
        <v>BiK83a2bK10-07</v>
      </c>
      <c r="AS1923" s="169" t="str">
        <f t="shared" si="802"/>
        <v/>
      </c>
      <c r="AT1923">
        <f t="shared" si="803"/>
        <v>14</v>
      </c>
      <c r="AU1923" s="170" t="str">
        <f t="shared" si="804"/>
        <v>0,5-5 MW, Bonusregeln a2, b und K erstmals 2010</v>
      </c>
      <c r="AV1923" s="169" t="str">
        <f t="shared" si="805"/>
        <v/>
      </c>
      <c r="AW1923" s="170" t="str">
        <f t="shared" si="806"/>
        <v>Anteil KWK, erstmals 2010</v>
      </c>
      <c r="AX1923" s="169" t="str">
        <f t="shared" si="807"/>
        <v/>
      </c>
      <c r="AY1923" t="str">
        <f t="shared" si="808"/>
        <v/>
      </c>
      <c r="AZ1923" t="str">
        <f t="shared" si="809"/>
        <v/>
      </c>
    </row>
    <row r="1924" spans="1:52" s="145" customFormat="1" x14ac:dyDescent="0.35">
      <c r="A1924" s="497" t="s">
        <v>3429</v>
      </c>
      <c r="B1924" s="13" t="s">
        <v>5547</v>
      </c>
      <c r="C1924" s="13" t="s">
        <v>1304</v>
      </c>
      <c r="D1924" s="13" t="s">
        <v>6790</v>
      </c>
      <c r="E1924" s="13" t="s">
        <v>3054</v>
      </c>
      <c r="F1924" s="373">
        <f t="shared" si="816"/>
        <v>17.45</v>
      </c>
      <c r="G1924" s="430">
        <v>17.45</v>
      </c>
      <c r="H1924" s="399">
        <f t="shared" si="817"/>
        <v>13.96</v>
      </c>
      <c r="I1924" s="576"/>
      <c r="J1924" s="549" t="s">
        <v>5804</v>
      </c>
      <c r="K1924" s="11"/>
      <c r="L1924"/>
      <c r="M1924" s="37">
        <f t="shared" si="818"/>
        <v>17.45</v>
      </c>
      <c r="N1924" s="29">
        <v>8.51</v>
      </c>
      <c r="O1924" s="41"/>
      <c r="P1924" s="59"/>
      <c r="Q1924"/>
      <c r="R1924"/>
      <c r="S1924" t="s">
        <v>1017</v>
      </c>
      <c r="T1924" s="145" t="s">
        <v>4179</v>
      </c>
      <c r="U1924" s="60"/>
      <c r="V1924" s="50"/>
      <c r="W1924" t="s">
        <v>1017</v>
      </c>
      <c r="X1924"/>
      <c r="Y1924" s="50"/>
      <c r="Z1924" s="50"/>
      <c r="AA1924" s="50"/>
      <c r="AB1924" s="50"/>
      <c r="AC1924" s="50"/>
      <c r="AD1924" s="50"/>
      <c r="AE1924" s="75" t="s">
        <v>1017</v>
      </c>
      <c r="AF1924" s="50"/>
      <c r="AG1924" s="50"/>
      <c r="AH1924" s="166" t="str">
        <f>IF(ISERROR(SEARCH("K erstmals 201",D1924)),"",RIGHT(D1924,4))</f>
        <v>2011</v>
      </c>
      <c r="AI1924" s="168" t="str">
        <f t="shared" si="811"/>
        <v/>
      </c>
      <c r="AJ1924" s="168" t="str">
        <f t="shared" si="812"/>
        <v/>
      </c>
      <c r="AK1924" s="168" t="str">
        <f t="shared" si="813"/>
        <v/>
      </c>
      <c r="AL1924" s="168" t="str">
        <f t="shared" si="814"/>
        <v/>
      </c>
      <c r="AM1924" s="168" t="str">
        <f t="shared" si="815"/>
        <v/>
      </c>
      <c r="AN1924" s="167" t="str">
        <f t="shared" si="797"/>
        <v>2011</v>
      </c>
      <c r="AO1924" s="167" t="str">
        <f t="shared" si="798"/>
        <v>2011</v>
      </c>
      <c r="AP1924" s="167" t="str">
        <f t="shared" si="799"/>
        <v>2011</v>
      </c>
      <c r="AQ1924" s="169" t="str">
        <f t="shared" si="800"/>
        <v/>
      </c>
      <c r="AR1924" s="170" t="str">
        <f t="shared" si="801"/>
        <v>BiK83a2bK11-07</v>
      </c>
      <c r="AS1924" s="169" t="str">
        <f t="shared" si="802"/>
        <v/>
      </c>
      <c r="AT1924">
        <f t="shared" si="803"/>
        <v>14</v>
      </c>
      <c r="AU1924" s="170" t="str">
        <f t="shared" si="804"/>
        <v>0,5-5 MW, Bonusregeln a2, b und K erstmals 2011</v>
      </c>
      <c r="AV1924" s="169" t="str">
        <f t="shared" si="805"/>
        <v/>
      </c>
      <c r="AW1924" s="170" t="str">
        <f t="shared" si="806"/>
        <v>Anteil KWK, erstmals 2011</v>
      </c>
      <c r="AX1924" s="169" t="str">
        <f t="shared" si="807"/>
        <v/>
      </c>
      <c r="AY1924" t="str">
        <f t="shared" si="808"/>
        <v>x</v>
      </c>
      <c r="AZ1924" t="str">
        <f t="shared" si="809"/>
        <v/>
      </c>
    </row>
    <row r="1925" spans="1:52" s="145" customFormat="1" x14ac:dyDescent="0.35">
      <c r="A1925" s="511" t="s">
        <v>1862</v>
      </c>
      <c r="B1925" s="173" t="s">
        <v>5547</v>
      </c>
      <c r="C1925" s="173" t="s">
        <v>1304</v>
      </c>
      <c r="D1925" s="173" t="s">
        <v>6791</v>
      </c>
      <c r="E1925" s="173" t="s">
        <v>1980</v>
      </c>
      <c r="F1925" s="374">
        <f t="shared" si="816"/>
        <v>17.420000000000002</v>
      </c>
      <c r="G1925" s="431">
        <v>17.420000000000002</v>
      </c>
      <c r="H1925" s="400">
        <f t="shared" si="817"/>
        <v>13.94</v>
      </c>
      <c r="I1925" s="577"/>
      <c r="J1925" s="549" t="s">
        <v>5804</v>
      </c>
      <c r="K1925" s="11"/>
      <c r="L1925"/>
      <c r="M1925" s="37">
        <f t="shared" si="818"/>
        <v>17.420000000000002</v>
      </c>
      <c r="N1925" s="29">
        <v>8.51</v>
      </c>
      <c r="O1925" s="41"/>
      <c r="P1925" s="59"/>
      <c r="Q1925"/>
      <c r="R1925"/>
      <c r="S1925" t="s">
        <v>4179</v>
      </c>
      <c r="T1925" s="145" t="s">
        <v>1017</v>
      </c>
      <c r="U1925" s="60"/>
      <c r="V1925" s="50"/>
      <c r="W1925" t="s">
        <v>1017</v>
      </c>
      <c r="X1925"/>
      <c r="Y1925" s="50"/>
      <c r="Z1925" s="50"/>
      <c r="AA1925" s="50"/>
      <c r="AB1925" s="50"/>
      <c r="AC1925" s="50"/>
      <c r="AD1925" s="50"/>
      <c r="AE1925" s="75" t="s">
        <v>1017</v>
      </c>
      <c r="AF1925" s="50"/>
      <c r="AG1925" s="50"/>
      <c r="AH1925" s="171" t="s">
        <v>4178</v>
      </c>
      <c r="AI1925" s="168" t="str">
        <f t="shared" si="811"/>
        <v/>
      </c>
      <c r="AJ1925" s="168" t="str">
        <f t="shared" si="812"/>
        <v/>
      </c>
      <c r="AK1925" s="168" t="str">
        <f t="shared" si="813"/>
        <v/>
      </c>
      <c r="AL1925" s="168" t="str">
        <f t="shared" si="814"/>
        <v/>
      </c>
      <c r="AM1925" s="168" t="str">
        <f t="shared" si="815"/>
        <v/>
      </c>
      <c r="AN1925" s="167" t="str">
        <f t="shared" si="797"/>
        <v>2012</v>
      </c>
      <c r="AO1925" s="167" t="str">
        <f t="shared" si="798"/>
        <v>2012</v>
      </c>
      <c r="AP1925" s="167" t="str">
        <f t="shared" si="799"/>
        <v>2012</v>
      </c>
      <c r="AQ1925" s="169" t="str">
        <f t="shared" si="800"/>
        <v/>
      </c>
      <c r="AR1925" s="170" t="str">
        <f t="shared" si="801"/>
        <v>BiK83a2bK12-07</v>
      </c>
      <c r="AS1925" s="169" t="str">
        <f t="shared" si="802"/>
        <v/>
      </c>
      <c r="AT1925">
        <f t="shared" si="803"/>
        <v>14</v>
      </c>
      <c r="AU1925" s="170" t="str">
        <f t="shared" si="804"/>
        <v>0,5-5 MW, Bonusregeln a2, b und K erstmals 2012</v>
      </c>
      <c r="AV1925" s="169" t="str">
        <f t="shared" si="805"/>
        <v/>
      </c>
      <c r="AW1925" s="170" t="str">
        <f t="shared" si="806"/>
        <v>Anteil KWK, erstmals 2012</v>
      </c>
      <c r="AX1925" s="169" t="str">
        <f t="shared" si="807"/>
        <v/>
      </c>
      <c r="AY1925" t="str">
        <f t="shared" si="808"/>
        <v/>
      </c>
      <c r="AZ1925" t="str">
        <f t="shared" si="809"/>
        <v>x</v>
      </c>
    </row>
    <row r="1926" spans="1:52" s="145" customFormat="1" x14ac:dyDescent="0.35">
      <c r="A1926" s="496" t="s">
        <v>3665</v>
      </c>
      <c r="B1926" s="1" t="s">
        <v>5547</v>
      </c>
      <c r="C1926" s="1" t="s">
        <v>1304</v>
      </c>
      <c r="D1926" s="1" t="s">
        <v>6792</v>
      </c>
      <c r="E1926" s="1" t="s">
        <v>4809</v>
      </c>
      <c r="F1926" s="375">
        <f t="shared" si="816"/>
        <v>13.01</v>
      </c>
      <c r="G1926" s="432">
        <v>13.01</v>
      </c>
      <c r="H1926" s="401">
        <f t="shared" si="817"/>
        <v>10.41</v>
      </c>
      <c r="I1926" s="578"/>
      <c r="J1926" s="549" t="s">
        <v>5804</v>
      </c>
      <c r="K1926" s="11"/>
      <c r="L1926"/>
      <c r="M1926" s="37">
        <f t="shared" si="818"/>
        <v>13.01</v>
      </c>
      <c r="N1926" s="29">
        <v>8.51</v>
      </c>
      <c r="O1926" s="41"/>
      <c r="P1926" s="59"/>
      <c r="Q1926"/>
      <c r="R1926"/>
      <c r="S1926" t="s">
        <v>4179</v>
      </c>
      <c r="T1926" s="145" t="s">
        <v>4179</v>
      </c>
      <c r="U1926" s="60"/>
      <c r="V1926" s="50"/>
      <c r="W1926"/>
      <c r="X1926" t="s">
        <v>1017</v>
      </c>
      <c r="Y1926" s="50"/>
      <c r="Z1926" s="50"/>
      <c r="AA1926" s="50"/>
      <c r="AB1926" s="50"/>
      <c r="AC1926" s="50"/>
      <c r="AD1926" s="50"/>
      <c r="AE1926" s="75" t="s">
        <v>1017</v>
      </c>
      <c r="AF1926" s="50"/>
      <c r="AG1926" s="50"/>
      <c r="AH1926" s="166" t="str">
        <f>IF(ISERROR(SEARCH("K erstmals 201",D1926)),"",RIGHT(D1926,4))</f>
        <v/>
      </c>
      <c r="AI1926" s="168" t="str">
        <f t="shared" si="811"/>
        <v/>
      </c>
      <c r="AJ1926" s="168" t="str">
        <f t="shared" si="812"/>
        <v/>
      </c>
      <c r="AK1926" s="168" t="str">
        <f t="shared" si="813"/>
        <v/>
      </c>
      <c r="AL1926" s="168" t="str">
        <f t="shared" si="814"/>
        <v/>
      </c>
      <c r="AM1926" s="168" t="str">
        <f t="shared" si="815"/>
        <v/>
      </c>
      <c r="AN1926" s="167" t="str">
        <f t="shared" si="797"/>
        <v/>
      </c>
      <c r="AO1926" s="167" t="str">
        <f t="shared" si="798"/>
        <v/>
      </c>
      <c r="AP1926" s="167" t="str">
        <f t="shared" si="799"/>
        <v/>
      </c>
      <c r="AQ1926" s="169" t="str">
        <f t="shared" si="800"/>
        <v/>
      </c>
      <c r="AR1926" s="170" t="str">
        <f t="shared" si="801"/>
        <v>BiK83a3b----07</v>
      </c>
      <c r="AS1926" s="169" t="str">
        <f t="shared" si="802"/>
        <v/>
      </c>
      <c r="AT1926">
        <f t="shared" si="803"/>
        <v>14</v>
      </c>
      <c r="AU1926" s="170" t="str">
        <f t="shared" si="804"/>
        <v>0,5-5 MW, Bonusregeln a3 und b</v>
      </c>
      <c r="AV1926" s="169" t="str">
        <f t="shared" si="805"/>
        <v/>
      </c>
      <c r="AW1926" s="170" t="str">
        <f t="shared" si="806"/>
        <v>Anteil Nicht-KWK</v>
      </c>
      <c r="AX1926" s="169" t="str">
        <f t="shared" si="807"/>
        <v/>
      </c>
      <c r="AY1926" t="str">
        <f t="shared" si="808"/>
        <v/>
      </c>
      <c r="AZ1926" t="str">
        <f t="shared" si="809"/>
        <v/>
      </c>
    </row>
    <row r="1927" spans="1:52" s="145" customFormat="1" x14ac:dyDescent="0.35">
      <c r="A1927" s="496" t="s">
        <v>3666</v>
      </c>
      <c r="B1927" s="1" t="s">
        <v>5547</v>
      </c>
      <c r="C1927" s="1" t="s">
        <v>1304</v>
      </c>
      <c r="D1927" s="1" t="s">
        <v>6793</v>
      </c>
      <c r="E1927" s="1" t="s">
        <v>4811</v>
      </c>
      <c r="F1927" s="375">
        <f t="shared" si="816"/>
        <v>15.01</v>
      </c>
      <c r="G1927" s="432">
        <v>15.01</v>
      </c>
      <c r="H1927" s="401">
        <f t="shared" si="817"/>
        <v>12.01</v>
      </c>
      <c r="I1927" s="578"/>
      <c r="J1927" s="549" t="s">
        <v>5804</v>
      </c>
      <c r="K1927" s="11"/>
      <c r="L1927"/>
      <c r="M1927" s="37">
        <f t="shared" si="818"/>
        <v>15.01</v>
      </c>
      <c r="N1927" s="29">
        <v>8.51</v>
      </c>
      <c r="O1927" s="41" t="s">
        <v>1017</v>
      </c>
      <c r="P1927" s="59"/>
      <c r="Q1927"/>
      <c r="R1927"/>
      <c r="S1927" t="s">
        <v>4179</v>
      </c>
      <c r="T1927" s="145" t="s">
        <v>4179</v>
      </c>
      <c r="U1927" s="60"/>
      <c r="V1927" s="50"/>
      <c r="W1927"/>
      <c r="X1927" t="s">
        <v>1017</v>
      </c>
      <c r="Y1927" s="50"/>
      <c r="Z1927" s="50"/>
      <c r="AA1927" s="50"/>
      <c r="AB1927" s="50"/>
      <c r="AC1927" s="50"/>
      <c r="AD1927" s="50"/>
      <c r="AE1927" s="75" t="s">
        <v>1017</v>
      </c>
      <c r="AF1927" s="50"/>
      <c r="AG1927" s="50"/>
      <c r="AH1927" s="166" t="str">
        <f>IF(ISERROR(SEARCH("K erstmals 201",D1927)),"",RIGHT(D1927,4))</f>
        <v/>
      </c>
      <c r="AI1927" s="168" t="str">
        <f t="shared" si="811"/>
        <v/>
      </c>
      <c r="AJ1927" s="168" t="str">
        <f t="shared" si="812"/>
        <v/>
      </c>
      <c r="AK1927" s="168" t="str">
        <f t="shared" si="813"/>
        <v/>
      </c>
      <c r="AL1927" s="168" t="str">
        <f t="shared" si="814"/>
        <v/>
      </c>
      <c r="AM1927" s="168" t="str">
        <f t="shared" si="815"/>
        <v/>
      </c>
      <c r="AN1927" s="167" t="str">
        <f t="shared" si="797"/>
        <v/>
      </c>
      <c r="AO1927" s="167" t="str">
        <f t="shared" si="798"/>
        <v/>
      </c>
      <c r="AP1927" s="167" t="str">
        <f t="shared" si="799"/>
        <v/>
      </c>
      <c r="AQ1927" s="169" t="str">
        <f t="shared" si="800"/>
        <v/>
      </c>
      <c r="AR1927" s="170" t="str">
        <f t="shared" si="801"/>
        <v>BiK83a3bKWK-07</v>
      </c>
      <c r="AS1927" s="169" t="str">
        <f t="shared" si="802"/>
        <v/>
      </c>
      <c r="AT1927">
        <f t="shared" si="803"/>
        <v>14</v>
      </c>
      <c r="AU1927" s="170" t="str">
        <f t="shared" si="804"/>
        <v>0,5-5 MW, Bonusregeln a3, b und KWK</v>
      </c>
      <c r="AV1927" s="169" t="str">
        <f t="shared" si="805"/>
        <v/>
      </c>
      <c r="AW1927" s="170" t="str">
        <f t="shared" si="806"/>
        <v>Anteil KWK</v>
      </c>
      <c r="AX1927" s="169" t="str">
        <f t="shared" si="807"/>
        <v/>
      </c>
      <c r="AY1927" t="str">
        <f t="shared" si="808"/>
        <v/>
      </c>
      <c r="AZ1927" t="str">
        <f t="shared" si="809"/>
        <v/>
      </c>
    </row>
    <row r="1928" spans="1:52" s="145" customFormat="1" x14ac:dyDescent="0.35">
      <c r="A1928" s="497" t="s">
        <v>899</v>
      </c>
      <c r="B1928" s="13" t="s">
        <v>5547</v>
      </c>
      <c r="C1928" s="13" t="s">
        <v>1304</v>
      </c>
      <c r="D1928" s="13" t="s">
        <v>6794</v>
      </c>
      <c r="E1928" s="13" t="s">
        <v>674</v>
      </c>
      <c r="F1928" s="373">
        <f t="shared" si="816"/>
        <v>16.009999999999998</v>
      </c>
      <c r="G1928" s="430">
        <v>16.009999999999998</v>
      </c>
      <c r="H1928" s="399">
        <f t="shared" si="817"/>
        <v>12.81</v>
      </c>
      <c r="I1928" s="576"/>
      <c r="J1928" s="549" t="s">
        <v>5804</v>
      </c>
      <c r="K1928" s="11"/>
      <c r="L1928"/>
      <c r="M1928" s="37">
        <f t="shared" si="818"/>
        <v>16.009999999999998</v>
      </c>
      <c r="N1928" s="29">
        <v>8.51</v>
      </c>
      <c r="O1928" s="41"/>
      <c r="P1928" s="59"/>
      <c r="Q1928" t="s">
        <v>1017</v>
      </c>
      <c r="R1928"/>
      <c r="S1928" t="s">
        <v>4179</v>
      </c>
      <c r="T1928" s="145" t="s">
        <v>4179</v>
      </c>
      <c r="U1928" s="60"/>
      <c r="V1928" s="50"/>
      <c r="W1928"/>
      <c r="X1928" t="s">
        <v>1017</v>
      </c>
      <c r="Y1928" s="50"/>
      <c r="Z1928" s="50"/>
      <c r="AA1928" s="50"/>
      <c r="AB1928" s="50"/>
      <c r="AC1928" s="50"/>
      <c r="AD1928" s="50"/>
      <c r="AE1928" s="75" t="s">
        <v>1017</v>
      </c>
      <c r="AF1928" s="50"/>
      <c r="AG1928" s="50"/>
      <c r="AH1928" s="166" t="str">
        <f>IF(ISERROR(SEARCH("K erstmals 201",D1928)),"",RIGHT(D1928,4))</f>
        <v/>
      </c>
      <c r="AI1928" s="168" t="str">
        <f t="shared" si="811"/>
        <v/>
      </c>
      <c r="AJ1928" s="168" t="str">
        <f t="shared" si="812"/>
        <v/>
      </c>
      <c r="AK1928" s="168" t="str">
        <f t="shared" si="813"/>
        <v/>
      </c>
      <c r="AL1928" s="168" t="str">
        <f t="shared" si="814"/>
        <v/>
      </c>
      <c r="AM1928" s="168" t="str">
        <f t="shared" si="815"/>
        <v/>
      </c>
      <c r="AN1928" s="167" t="str">
        <f t="shared" si="797"/>
        <v/>
      </c>
      <c r="AO1928" s="167" t="str">
        <f t="shared" si="798"/>
        <v/>
      </c>
      <c r="AP1928" s="167" t="str">
        <f t="shared" si="799"/>
        <v/>
      </c>
      <c r="AQ1928" s="169" t="str">
        <f t="shared" si="800"/>
        <v/>
      </c>
      <c r="AR1928" s="170" t="str">
        <f t="shared" si="801"/>
        <v>BiK83a3bK09-07</v>
      </c>
      <c r="AS1928" s="169" t="str">
        <f t="shared" si="802"/>
        <v/>
      </c>
      <c r="AT1928">
        <f t="shared" si="803"/>
        <v>14</v>
      </c>
      <c r="AU1928" s="170" t="str">
        <f t="shared" si="804"/>
        <v>0,5-5 MW, Bonusregeln a3, b und K erstmals 2009</v>
      </c>
      <c r="AV1928" s="169" t="str">
        <f t="shared" si="805"/>
        <v/>
      </c>
      <c r="AW1928" s="170" t="str">
        <f t="shared" si="806"/>
        <v>Anteil KWK, erstmals 2009</v>
      </c>
      <c r="AX1928" s="169" t="str">
        <f t="shared" si="807"/>
        <v/>
      </c>
      <c r="AY1928" t="str">
        <f t="shared" si="808"/>
        <v/>
      </c>
      <c r="AZ1928" t="str">
        <f t="shared" si="809"/>
        <v/>
      </c>
    </row>
    <row r="1929" spans="1:52" x14ac:dyDescent="0.35">
      <c r="A1929" s="497" t="s">
        <v>3154</v>
      </c>
      <c r="B1929" s="13" t="s">
        <v>5547</v>
      </c>
      <c r="C1929" s="13" t="s">
        <v>1304</v>
      </c>
      <c r="D1929" s="13" t="s">
        <v>6795</v>
      </c>
      <c r="E1929" s="13" t="s">
        <v>3566</v>
      </c>
      <c r="F1929" s="373">
        <f t="shared" si="816"/>
        <v>15.98</v>
      </c>
      <c r="G1929" s="430">
        <v>15.98</v>
      </c>
      <c r="H1929" s="399">
        <f t="shared" si="817"/>
        <v>12.78</v>
      </c>
      <c r="I1929" s="576"/>
      <c r="J1929" s="549" t="s">
        <v>5804</v>
      </c>
      <c r="K1929" s="11"/>
      <c r="M1929" s="37">
        <f t="shared" si="818"/>
        <v>15.98</v>
      </c>
      <c r="N1929" s="29">
        <v>8.51</v>
      </c>
      <c r="O1929" s="41"/>
      <c r="P1929" s="59"/>
      <c r="R1929" t="s">
        <v>1017</v>
      </c>
      <c r="S1929" t="s">
        <v>4179</v>
      </c>
      <c r="T1929" t="s">
        <v>4179</v>
      </c>
      <c r="U1929" s="60"/>
      <c r="V1929" s="50"/>
      <c r="X1929" t="s">
        <v>1017</v>
      </c>
      <c r="Y1929" s="50"/>
      <c r="Z1929" s="50"/>
      <c r="AA1929" s="50"/>
      <c r="AB1929" s="50"/>
      <c r="AC1929" s="50"/>
      <c r="AD1929" s="50"/>
      <c r="AE1929" s="75" t="s">
        <v>1017</v>
      </c>
      <c r="AF1929" s="50"/>
      <c r="AG1929" s="50"/>
      <c r="AH1929" s="166" t="str">
        <f>IF(ISERROR(SEARCH("K erstmals 201",D1929)),"",RIGHT(D1929,4))</f>
        <v>2010</v>
      </c>
      <c r="AI1929" s="168" t="str">
        <f t="shared" si="811"/>
        <v/>
      </c>
      <c r="AJ1929" s="168" t="str">
        <f t="shared" si="812"/>
        <v/>
      </c>
      <c r="AK1929" s="168" t="str">
        <f t="shared" si="813"/>
        <v/>
      </c>
      <c r="AL1929" s="168" t="str">
        <f t="shared" si="814"/>
        <v/>
      </c>
      <c r="AM1929" s="168" t="str">
        <f t="shared" si="815"/>
        <v/>
      </c>
      <c r="AN1929" s="167" t="str">
        <f t="shared" si="797"/>
        <v>2010</v>
      </c>
      <c r="AO1929" s="167" t="str">
        <f t="shared" si="798"/>
        <v>2010</v>
      </c>
      <c r="AP1929" s="167" t="str">
        <f t="shared" si="799"/>
        <v>2010</v>
      </c>
      <c r="AQ1929" s="169" t="str">
        <f t="shared" si="800"/>
        <v/>
      </c>
      <c r="AR1929" s="170" t="str">
        <f t="shared" si="801"/>
        <v>BiK83a3bK10-07</v>
      </c>
      <c r="AS1929" s="169" t="str">
        <f t="shared" si="802"/>
        <v/>
      </c>
      <c r="AT1929">
        <f t="shared" si="803"/>
        <v>14</v>
      </c>
      <c r="AU1929" s="170" t="str">
        <f t="shared" si="804"/>
        <v>0,5-5 MW, Bonusregeln a3, b und K erstmals 2010</v>
      </c>
      <c r="AV1929" s="169" t="str">
        <f t="shared" si="805"/>
        <v/>
      </c>
      <c r="AW1929" s="170" t="str">
        <f t="shared" si="806"/>
        <v>Anteil KWK, erstmals 2010</v>
      </c>
      <c r="AX1929" s="169" t="str">
        <f t="shared" si="807"/>
        <v/>
      </c>
      <c r="AY1929" t="str">
        <f t="shared" si="808"/>
        <v/>
      </c>
      <c r="AZ1929" t="str">
        <f t="shared" si="809"/>
        <v/>
      </c>
    </row>
    <row r="1930" spans="1:52" x14ac:dyDescent="0.35">
      <c r="A1930" s="497" t="s">
        <v>3430</v>
      </c>
      <c r="B1930" s="13" t="s">
        <v>5547</v>
      </c>
      <c r="C1930" s="13" t="s">
        <v>1304</v>
      </c>
      <c r="D1930" s="13" t="s">
        <v>6796</v>
      </c>
      <c r="E1930" s="13" t="s">
        <v>3054</v>
      </c>
      <c r="F1930" s="373">
        <f t="shared" si="816"/>
        <v>15.95</v>
      </c>
      <c r="G1930" s="430">
        <v>15.95</v>
      </c>
      <c r="H1930" s="399">
        <f t="shared" si="817"/>
        <v>12.76</v>
      </c>
      <c r="I1930" s="576"/>
      <c r="J1930" s="549" t="s">
        <v>5804</v>
      </c>
      <c r="K1930" s="11"/>
      <c r="M1930" s="37">
        <f t="shared" si="818"/>
        <v>15.95</v>
      </c>
      <c r="N1930" s="29">
        <v>8.51</v>
      </c>
      <c r="O1930" s="41"/>
      <c r="P1930" s="59"/>
      <c r="S1930" t="s">
        <v>1017</v>
      </c>
      <c r="T1930" t="s">
        <v>4179</v>
      </c>
      <c r="U1930" s="60"/>
      <c r="V1930" s="50"/>
      <c r="X1930" t="s">
        <v>1017</v>
      </c>
      <c r="Y1930" s="50"/>
      <c r="Z1930" s="50"/>
      <c r="AA1930" s="50"/>
      <c r="AB1930" s="50"/>
      <c r="AC1930" s="50"/>
      <c r="AD1930" s="50"/>
      <c r="AE1930" s="75" t="s">
        <v>1017</v>
      </c>
      <c r="AF1930" s="50"/>
      <c r="AG1930" s="50"/>
      <c r="AH1930" s="166" t="str">
        <f>IF(ISERROR(SEARCH("K erstmals 201",D1930)),"",RIGHT(D1930,4))</f>
        <v>2011</v>
      </c>
      <c r="AI1930" s="168" t="str">
        <f t="shared" si="811"/>
        <v/>
      </c>
      <c r="AJ1930" s="168" t="str">
        <f t="shared" si="812"/>
        <v/>
      </c>
      <c r="AK1930" s="168" t="str">
        <f t="shared" si="813"/>
        <v/>
      </c>
      <c r="AL1930" s="168" t="str">
        <f t="shared" si="814"/>
        <v/>
      </c>
      <c r="AM1930" s="168" t="str">
        <f t="shared" si="815"/>
        <v/>
      </c>
      <c r="AN1930" s="167" t="str">
        <f t="shared" si="797"/>
        <v>2011</v>
      </c>
      <c r="AO1930" s="167" t="str">
        <f t="shared" si="798"/>
        <v>2011</v>
      </c>
      <c r="AP1930" s="167" t="str">
        <f t="shared" si="799"/>
        <v>2011</v>
      </c>
      <c r="AQ1930" s="169" t="str">
        <f t="shared" si="800"/>
        <v/>
      </c>
      <c r="AR1930" s="170" t="str">
        <f t="shared" si="801"/>
        <v>BiK83a3bK11-07</v>
      </c>
      <c r="AS1930" s="169" t="str">
        <f t="shared" si="802"/>
        <v/>
      </c>
      <c r="AT1930">
        <f t="shared" si="803"/>
        <v>14</v>
      </c>
      <c r="AU1930" s="170" t="str">
        <f t="shared" si="804"/>
        <v>0,5-5 MW, Bonusregeln a3, b und K erstmals 2011</v>
      </c>
      <c r="AV1930" s="169" t="str">
        <f t="shared" si="805"/>
        <v/>
      </c>
      <c r="AW1930" s="170" t="str">
        <f t="shared" si="806"/>
        <v>Anteil KWK, erstmals 2011</v>
      </c>
      <c r="AX1930" s="169" t="str">
        <f t="shared" si="807"/>
        <v/>
      </c>
      <c r="AY1930" t="str">
        <f t="shared" si="808"/>
        <v>x</v>
      </c>
      <c r="AZ1930" t="str">
        <f t="shared" si="809"/>
        <v/>
      </c>
    </row>
    <row r="1931" spans="1:52" x14ac:dyDescent="0.35">
      <c r="A1931" s="511" t="s">
        <v>1863</v>
      </c>
      <c r="B1931" s="173" t="s">
        <v>5547</v>
      </c>
      <c r="C1931" s="173" t="s">
        <v>1304</v>
      </c>
      <c r="D1931" s="173" t="s">
        <v>6797</v>
      </c>
      <c r="E1931" s="173" t="s">
        <v>1980</v>
      </c>
      <c r="F1931" s="374">
        <f t="shared" si="816"/>
        <v>15.92</v>
      </c>
      <c r="G1931" s="431">
        <v>15.92</v>
      </c>
      <c r="H1931" s="400">
        <f t="shared" si="817"/>
        <v>12.74</v>
      </c>
      <c r="I1931" s="577"/>
      <c r="J1931" s="549" t="s">
        <v>5804</v>
      </c>
      <c r="K1931" s="11"/>
      <c r="M1931" s="37">
        <f t="shared" si="818"/>
        <v>15.92</v>
      </c>
      <c r="N1931" s="29">
        <v>8.51</v>
      </c>
      <c r="O1931" s="41"/>
      <c r="P1931" s="59"/>
      <c r="S1931" t="s">
        <v>4179</v>
      </c>
      <c r="T1931" t="s">
        <v>1017</v>
      </c>
      <c r="U1931" s="60"/>
      <c r="V1931" s="50"/>
      <c r="X1931" t="s">
        <v>1017</v>
      </c>
      <c r="Y1931" s="50"/>
      <c r="Z1931" s="50"/>
      <c r="AA1931" s="50"/>
      <c r="AB1931" s="50"/>
      <c r="AC1931" s="50"/>
      <c r="AD1931" s="50"/>
      <c r="AE1931" s="75" t="s">
        <v>1017</v>
      </c>
      <c r="AF1931" s="50"/>
      <c r="AG1931" s="50"/>
      <c r="AH1931" s="171" t="s">
        <v>4178</v>
      </c>
      <c r="AI1931" s="168" t="str">
        <f t="shared" si="811"/>
        <v/>
      </c>
      <c r="AJ1931" s="168" t="str">
        <f t="shared" si="812"/>
        <v/>
      </c>
      <c r="AK1931" s="168" t="str">
        <f t="shared" si="813"/>
        <v/>
      </c>
      <c r="AL1931" s="168" t="str">
        <f t="shared" si="814"/>
        <v/>
      </c>
      <c r="AM1931" s="168" t="str">
        <f t="shared" si="815"/>
        <v/>
      </c>
      <c r="AN1931" s="167" t="str">
        <f t="shared" si="797"/>
        <v>2012</v>
      </c>
      <c r="AO1931" s="167" t="str">
        <f t="shared" si="798"/>
        <v>2012</v>
      </c>
      <c r="AP1931" s="167" t="str">
        <f t="shared" si="799"/>
        <v>2012</v>
      </c>
      <c r="AQ1931" s="169" t="str">
        <f t="shared" si="800"/>
        <v/>
      </c>
      <c r="AR1931" s="170" t="str">
        <f t="shared" si="801"/>
        <v>BiK83a3bK12-07</v>
      </c>
      <c r="AS1931" s="169" t="str">
        <f t="shared" si="802"/>
        <v/>
      </c>
      <c r="AT1931">
        <f t="shared" si="803"/>
        <v>14</v>
      </c>
      <c r="AU1931" s="170" t="str">
        <f t="shared" si="804"/>
        <v>0,5-5 MW, Bonusregeln a3, b und K erstmals 2012</v>
      </c>
      <c r="AV1931" s="169" t="str">
        <f t="shared" si="805"/>
        <v/>
      </c>
      <c r="AW1931" s="170" t="str">
        <f t="shared" si="806"/>
        <v>Anteil KWK, erstmals 2012</v>
      </c>
      <c r="AX1931" s="169" t="str">
        <f t="shared" si="807"/>
        <v/>
      </c>
      <c r="AY1931" t="str">
        <f t="shared" si="808"/>
        <v/>
      </c>
      <c r="AZ1931" t="str">
        <f t="shared" si="809"/>
        <v>x</v>
      </c>
    </row>
    <row r="1932" spans="1:52" x14ac:dyDescent="0.35">
      <c r="A1932" s="496" t="s">
        <v>3667</v>
      </c>
      <c r="B1932" s="1" t="s">
        <v>5547</v>
      </c>
      <c r="C1932" s="1" t="s">
        <v>1304</v>
      </c>
      <c r="D1932" s="1" t="s">
        <v>1776</v>
      </c>
      <c r="E1932" s="1" t="s">
        <v>4809</v>
      </c>
      <c r="F1932" s="375">
        <f t="shared" si="816"/>
        <v>8.0299999999999994</v>
      </c>
      <c r="G1932" s="432">
        <v>8.0299999999999994</v>
      </c>
      <c r="H1932" s="401">
        <f t="shared" si="817"/>
        <v>6.42</v>
      </c>
      <c r="I1932" s="578"/>
      <c r="J1932" s="549" t="s">
        <v>5804</v>
      </c>
      <c r="K1932" s="11"/>
      <c r="M1932" s="37">
        <f t="shared" si="818"/>
        <v>8.0299999999999994</v>
      </c>
      <c r="N1932" s="29">
        <v>8.0299999999999994</v>
      </c>
      <c r="O1932" s="41"/>
      <c r="P1932" s="59"/>
      <c r="S1932" t="s">
        <v>4179</v>
      </c>
      <c r="T1932" t="s">
        <v>4179</v>
      </c>
      <c r="U1932" s="60"/>
      <c r="V1932" s="50"/>
      <c r="W1932" s="50"/>
      <c r="X1932" s="50"/>
      <c r="Y1932" s="50"/>
      <c r="Z1932" s="50"/>
      <c r="AA1932" s="50"/>
      <c r="AB1932" s="50"/>
      <c r="AC1932" s="50"/>
      <c r="AD1932" s="50"/>
      <c r="AE1932" s="154"/>
      <c r="AF1932" s="50"/>
      <c r="AG1932" s="50"/>
      <c r="AH1932" s="166" t="str">
        <f>IF(ISERROR(SEARCH("K erstmals 201",D1932)),"",RIGHT(D1932,4))</f>
        <v/>
      </c>
      <c r="AI1932" s="168" t="str">
        <f t="shared" si="811"/>
        <v/>
      </c>
      <c r="AJ1932" s="168" t="str">
        <f t="shared" si="812"/>
        <v/>
      </c>
      <c r="AK1932" s="168" t="str">
        <f t="shared" si="813"/>
        <v/>
      </c>
      <c r="AL1932" s="168" t="str">
        <f t="shared" si="814"/>
        <v/>
      </c>
      <c r="AM1932" s="168" t="str">
        <f t="shared" si="815"/>
        <v/>
      </c>
      <c r="AN1932" s="167" t="str">
        <f t="shared" si="797"/>
        <v/>
      </c>
      <c r="AO1932" s="167" t="str">
        <f t="shared" si="798"/>
        <v/>
      </c>
      <c r="AP1932" s="167" t="str">
        <f t="shared" si="799"/>
        <v/>
      </c>
      <c r="AQ1932" s="169" t="str">
        <f t="shared" si="800"/>
        <v/>
      </c>
      <c r="AR1932" s="170" t="str">
        <f t="shared" si="801"/>
        <v>BiK84-------07</v>
      </c>
      <c r="AS1932" s="169" t="str">
        <f t="shared" si="802"/>
        <v/>
      </c>
      <c r="AT1932">
        <f t="shared" si="803"/>
        <v>14</v>
      </c>
      <c r="AU1932" s="170" t="str">
        <f t="shared" si="804"/>
        <v>5-20 MW</v>
      </c>
      <c r="AV1932" s="169" t="str">
        <f t="shared" si="805"/>
        <v/>
      </c>
      <c r="AW1932" s="170" t="str">
        <f t="shared" si="806"/>
        <v>Anteil Nicht-KWK</v>
      </c>
      <c r="AX1932" s="169" t="str">
        <f t="shared" si="807"/>
        <v/>
      </c>
      <c r="AY1932" t="str">
        <f t="shared" si="808"/>
        <v/>
      </c>
      <c r="AZ1932" t="str">
        <f t="shared" si="809"/>
        <v/>
      </c>
    </row>
    <row r="1933" spans="1:52" x14ac:dyDescent="0.35">
      <c r="A1933" s="496" t="s">
        <v>3668</v>
      </c>
      <c r="B1933" s="1" t="s">
        <v>5547</v>
      </c>
      <c r="C1933" s="1" t="s">
        <v>1304</v>
      </c>
      <c r="D1933" s="1" t="s">
        <v>7362</v>
      </c>
      <c r="E1933" s="1" t="s">
        <v>4811</v>
      </c>
      <c r="F1933" s="375">
        <f t="shared" si="816"/>
        <v>10.029999999999999</v>
      </c>
      <c r="G1933" s="432">
        <v>10.029999999999999</v>
      </c>
      <c r="H1933" s="401">
        <f t="shared" si="817"/>
        <v>8.02</v>
      </c>
      <c r="I1933" s="578"/>
      <c r="J1933" s="549" t="s">
        <v>5804</v>
      </c>
      <c r="K1933" s="11"/>
      <c r="M1933" s="37">
        <f t="shared" si="818"/>
        <v>10.029999999999999</v>
      </c>
      <c r="N1933" s="29">
        <v>8.0299999999999994</v>
      </c>
      <c r="O1933" s="41" t="s">
        <v>1017</v>
      </c>
      <c r="P1933" s="59"/>
      <c r="S1933" t="s">
        <v>4179</v>
      </c>
      <c r="T1933" t="s">
        <v>4179</v>
      </c>
      <c r="U1933" s="60"/>
      <c r="V1933" s="50"/>
      <c r="W1933" s="50"/>
      <c r="X1933" s="50"/>
      <c r="Y1933" s="50"/>
      <c r="Z1933" s="50"/>
      <c r="AA1933" s="50"/>
      <c r="AB1933" s="50"/>
      <c r="AC1933" s="50"/>
      <c r="AD1933" s="50"/>
      <c r="AE1933" s="154"/>
      <c r="AF1933" s="50"/>
      <c r="AG1933" s="50"/>
      <c r="AH1933" s="166" t="str">
        <f>IF(ISERROR(SEARCH("K erstmals 201",D1933)),"",RIGHT(D1933,4))</f>
        <v/>
      </c>
      <c r="AI1933" s="168" t="str">
        <f t="shared" si="811"/>
        <v/>
      </c>
      <c r="AJ1933" s="168" t="str">
        <f t="shared" si="812"/>
        <v/>
      </c>
      <c r="AK1933" s="168" t="str">
        <f t="shared" si="813"/>
        <v/>
      </c>
      <c r="AL1933" s="168" t="str">
        <f t="shared" si="814"/>
        <v/>
      </c>
      <c r="AM1933" s="168" t="str">
        <f t="shared" si="815"/>
        <v/>
      </c>
      <c r="AN1933" s="167" t="str">
        <f t="shared" si="797"/>
        <v/>
      </c>
      <c r="AO1933" s="167" t="str">
        <f t="shared" si="798"/>
        <v/>
      </c>
      <c r="AP1933" s="167" t="str">
        <f t="shared" si="799"/>
        <v/>
      </c>
      <c r="AQ1933" s="169" t="str">
        <f t="shared" si="800"/>
        <v/>
      </c>
      <c r="AR1933" s="170" t="str">
        <f t="shared" si="801"/>
        <v>BiK84KWK----07</v>
      </c>
      <c r="AS1933" s="169" t="str">
        <f t="shared" si="802"/>
        <v/>
      </c>
      <c r="AT1933">
        <f t="shared" si="803"/>
        <v>14</v>
      </c>
      <c r="AU1933" s="170" t="str">
        <f t="shared" si="804"/>
        <v>5-20 MW, Bonusregel KWK</v>
      </c>
      <c r="AV1933" s="169" t="str">
        <f t="shared" si="805"/>
        <v/>
      </c>
      <c r="AW1933" s="170" t="str">
        <f t="shared" si="806"/>
        <v>Anteil KWK</v>
      </c>
      <c r="AX1933" s="169" t="str">
        <f t="shared" si="807"/>
        <v/>
      </c>
      <c r="AY1933" t="str">
        <f t="shared" si="808"/>
        <v/>
      </c>
      <c r="AZ1933" t="str">
        <f t="shared" si="809"/>
        <v/>
      </c>
    </row>
    <row r="1934" spans="1:52" s="145" customFormat="1" x14ac:dyDescent="0.35">
      <c r="A1934" s="497" t="s">
        <v>900</v>
      </c>
      <c r="B1934" s="13" t="s">
        <v>5547</v>
      </c>
      <c r="C1934" s="13" t="s">
        <v>1304</v>
      </c>
      <c r="D1934" s="13" t="s">
        <v>7358</v>
      </c>
      <c r="E1934" s="13" t="s">
        <v>674</v>
      </c>
      <c r="F1934" s="373">
        <f t="shared" si="816"/>
        <v>11.03</v>
      </c>
      <c r="G1934" s="430">
        <v>11.03</v>
      </c>
      <c r="H1934" s="399">
        <f t="shared" si="817"/>
        <v>8.82</v>
      </c>
      <c r="I1934" s="576"/>
      <c r="J1934" s="549" t="s">
        <v>5804</v>
      </c>
      <c r="K1934" s="11"/>
      <c r="L1934"/>
      <c r="M1934" s="37">
        <f t="shared" si="818"/>
        <v>11.03</v>
      </c>
      <c r="N1934" s="29">
        <v>8.0299999999999994</v>
      </c>
      <c r="O1934" s="41"/>
      <c r="P1934" s="59"/>
      <c r="Q1934" t="s">
        <v>1017</v>
      </c>
      <c r="R1934"/>
      <c r="S1934" t="s">
        <v>4179</v>
      </c>
      <c r="T1934" s="145" t="s">
        <v>4179</v>
      </c>
      <c r="U1934" s="60"/>
      <c r="V1934" s="50"/>
      <c r="W1934" s="50"/>
      <c r="X1934" s="50"/>
      <c r="Y1934" s="50"/>
      <c r="Z1934" s="50"/>
      <c r="AA1934" s="50"/>
      <c r="AB1934" s="50"/>
      <c r="AC1934" s="50"/>
      <c r="AD1934" s="50"/>
      <c r="AE1934" s="154"/>
      <c r="AF1934" s="50"/>
      <c r="AG1934" s="50"/>
      <c r="AH1934" s="166" t="str">
        <f>IF(ISERROR(SEARCH("K erstmals 201",D1934)),"",RIGHT(D1934,4))</f>
        <v/>
      </c>
      <c r="AI1934" s="168" t="str">
        <f t="shared" si="811"/>
        <v/>
      </c>
      <c r="AJ1934" s="168" t="str">
        <f t="shared" si="812"/>
        <v/>
      </c>
      <c r="AK1934" s="168" t="str">
        <f t="shared" si="813"/>
        <v/>
      </c>
      <c r="AL1934" s="168" t="str">
        <f t="shared" si="814"/>
        <v/>
      </c>
      <c r="AM1934" s="168" t="str">
        <f t="shared" si="815"/>
        <v/>
      </c>
      <c r="AN1934" s="167" t="str">
        <f t="shared" si="797"/>
        <v/>
      </c>
      <c r="AO1934" s="167" t="str">
        <f t="shared" si="798"/>
        <v/>
      </c>
      <c r="AP1934" s="167" t="str">
        <f t="shared" si="799"/>
        <v/>
      </c>
      <c r="AQ1934" s="169" t="str">
        <f t="shared" si="800"/>
        <v/>
      </c>
      <c r="AR1934" s="170" t="str">
        <f t="shared" si="801"/>
        <v>BiK84K09----07</v>
      </c>
      <c r="AS1934" s="169" t="str">
        <f t="shared" si="802"/>
        <v/>
      </c>
      <c r="AT1934">
        <f t="shared" si="803"/>
        <v>14</v>
      </c>
      <c r="AU1934" s="170" t="str">
        <f t="shared" si="804"/>
        <v>5-20 MW, Bonusregel K erstmals 2009</v>
      </c>
      <c r="AV1934" s="169" t="str">
        <f t="shared" si="805"/>
        <v/>
      </c>
      <c r="AW1934" s="170" t="str">
        <f t="shared" si="806"/>
        <v>Anteil KWK, erstmals 2009</v>
      </c>
      <c r="AX1934" s="169" t="str">
        <f t="shared" si="807"/>
        <v/>
      </c>
      <c r="AY1934" t="str">
        <f t="shared" si="808"/>
        <v/>
      </c>
      <c r="AZ1934" t="str">
        <f t="shared" si="809"/>
        <v/>
      </c>
    </row>
    <row r="1935" spans="1:52" s="145" customFormat="1" x14ac:dyDescent="0.35">
      <c r="A1935" s="497" t="s">
        <v>3155</v>
      </c>
      <c r="B1935" s="13" t="s">
        <v>5547</v>
      </c>
      <c r="C1935" s="13" t="s">
        <v>1304</v>
      </c>
      <c r="D1935" s="13" t="s">
        <v>7359</v>
      </c>
      <c r="E1935" s="13" t="s">
        <v>3566</v>
      </c>
      <c r="F1935" s="373">
        <f t="shared" si="816"/>
        <v>11</v>
      </c>
      <c r="G1935" s="430">
        <v>11</v>
      </c>
      <c r="H1935" s="399">
        <f t="shared" si="817"/>
        <v>8.8000000000000007</v>
      </c>
      <c r="I1935" s="576"/>
      <c r="J1935" s="549" t="s">
        <v>5804</v>
      </c>
      <c r="K1935" s="11"/>
      <c r="L1935"/>
      <c r="M1935" s="37">
        <f t="shared" si="818"/>
        <v>11</v>
      </c>
      <c r="N1935" s="29">
        <v>8.0299999999999994</v>
      </c>
      <c r="O1935" s="41"/>
      <c r="P1935" s="59"/>
      <c r="Q1935"/>
      <c r="R1935" t="s">
        <v>1017</v>
      </c>
      <c r="S1935" t="s">
        <v>4179</v>
      </c>
      <c r="T1935" s="145" t="s">
        <v>4179</v>
      </c>
      <c r="U1935" s="60"/>
      <c r="V1935" s="50"/>
      <c r="W1935" s="50"/>
      <c r="X1935" s="50"/>
      <c r="Y1935" s="50"/>
      <c r="Z1935" s="50"/>
      <c r="AA1935" s="50"/>
      <c r="AB1935" s="50"/>
      <c r="AC1935" s="50"/>
      <c r="AD1935" s="50"/>
      <c r="AE1935" s="154"/>
      <c r="AF1935" s="50"/>
      <c r="AG1935" s="50"/>
      <c r="AH1935" s="166" t="str">
        <f>IF(ISERROR(SEARCH("K erstmals 201",D1935)),"",RIGHT(D1935,4))</f>
        <v>2010</v>
      </c>
      <c r="AI1935" s="168" t="str">
        <f t="shared" si="811"/>
        <v/>
      </c>
      <c r="AJ1935" s="168" t="str">
        <f t="shared" si="812"/>
        <v/>
      </c>
      <c r="AK1935" s="168" t="str">
        <f t="shared" si="813"/>
        <v/>
      </c>
      <c r="AL1935" s="168" t="str">
        <f t="shared" si="814"/>
        <v/>
      </c>
      <c r="AM1935" s="168" t="str">
        <f t="shared" si="815"/>
        <v/>
      </c>
      <c r="AN1935" s="167" t="str">
        <f t="shared" si="797"/>
        <v>2010</v>
      </c>
      <c r="AO1935" s="167" t="str">
        <f t="shared" si="798"/>
        <v>2010</v>
      </c>
      <c r="AP1935" s="167" t="str">
        <f t="shared" si="799"/>
        <v>2010</v>
      </c>
      <c r="AQ1935" s="169" t="str">
        <f t="shared" si="800"/>
        <v/>
      </c>
      <c r="AR1935" s="170" t="str">
        <f t="shared" si="801"/>
        <v>BiK84K10----07</v>
      </c>
      <c r="AS1935" s="169" t="str">
        <f t="shared" si="802"/>
        <v/>
      </c>
      <c r="AT1935">
        <f t="shared" si="803"/>
        <v>14</v>
      </c>
      <c r="AU1935" s="170" t="str">
        <f t="shared" si="804"/>
        <v>5-20 MW, Bonusregel K erstmals 2010</v>
      </c>
      <c r="AV1935" s="169" t="str">
        <f t="shared" si="805"/>
        <v/>
      </c>
      <c r="AW1935" s="170" t="str">
        <f t="shared" si="806"/>
        <v>Anteil KWK, erstmals 2010</v>
      </c>
      <c r="AX1935" s="169" t="str">
        <f t="shared" si="807"/>
        <v/>
      </c>
      <c r="AY1935" t="str">
        <f t="shared" si="808"/>
        <v/>
      </c>
      <c r="AZ1935" t="str">
        <f t="shared" si="809"/>
        <v/>
      </c>
    </row>
    <row r="1936" spans="1:52" s="145" customFormat="1" x14ac:dyDescent="0.35">
      <c r="A1936" s="497" t="s">
        <v>3431</v>
      </c>
      <c r="B1936" s="13" t="s">
        <v>5547</v>
      </c>
      <c r="C1936" s="13" t="s">
        <v>1304</v>
      </c>
      <c r="D1936" s="13" t="s">
        <v>7360</v>
      </c>
      <c r="E1936" s="13" t="s">
        <v>3054</v>
      </c>
      <c r="F1936" s="373">
        <f t="shared" si="816"/>
        <v>10.969999999999999</v>
      </c>
      <c r="G1936" s="430">
        <v>10.969999999999999</v>
      </c>
      <c r="H1936" s="399">
        <f t="shared" si="817"/>
        <v>8.7799999999999994</v>
      </c>
      <c r="I1936" s="576"/>
      <c r="J1936" s="549" t="s">
        <v>5804</v>
      </c>
      <c r="K1936" s="11"/>
      <c r="L1936"/>
      <c r="M1936" s="37">
        <f t="shared" si="818"/>
        <v>10.969999999999999</v>
      </c>
      <c r="N1936" s="29">
        <v>8.0299999999999994</v>
      </c>
      <c r="O1936" s="41"/>
      <c r="P1936" s="59"/>
      <c r="Q1936"/>
      <c r="R1936"/>
      <c r="S1936" t="s">
        <v>1017</v>
      </c>
      <c r="T1936" s="145" t="s">
        <v>4179</v>
      </c>
      <c r="U1936" s="60"/>
      <c r="V1936" s="50"/>
      <c r="W1936" s="50"/>
      <c r="X1936" s="50"/>
      <c r="Y1936" s="50"/>
      <c r="Z1936" s="50"/>
      <c r="AA1936" s="50"/>
      <c r="AB1936" s="50"/>
      <c r="AC1936" s="50"/>
      <c r="AD1936" s="50"/>
      <c r="AE1936" s="154"/>
      <c r="AF1936" s="50"/>
      <c r="AG1936" s="50"/>
      <c r="AH1936" s="166" t="str">
        <f>IF(ISERROR(SEARCH("K erstmals 201",D1936)),"",RIGHT(D1936,4))</f>
        <v>2011</v>
      </c>
      <c r="AI1936" s="168" t="str">
        <f t="shared" si="811"/>
        <v/>
      </c>
      <c r="AJ1936" s="168" t="str">
        <f t="shared" si="812"/>
        <v/>
      </c>
      <c r="AK1936" s="168" t="str">
        <f t="shared" si="813"/>
        <v/>
      </c>
      <c r="AL1936" s="168" t="str">
        <f t="shared" si="814"/>
        <v/>
      </c>
      <c r="AM1936" s="168" t="str">
        <f t="shared" si="815"/>
        <v/>
      </c>
      <c r="AN1936" s="167" t="str">
        <f t="shared" ref="AN1936:AN1943" si="822">IF(ISERROR(SEARCH("K1",A1936)),"","20"&amp;MID(A1936,SEARCH("K1",A1936)+1,2))</f>
        <v>2011</v>
      </c>
      <c r="AO1936" s="167" t="str">
        <f t="shared" ref="AO1936:AO1943" si="823">IF(ISERROR(SEARCH("erstmals 201",E1936)),"",MID(E1936,SEARCH("erstmals ",E1936)+9,4))</f>
        <v>2011</v>
      </c>
      <c r="AP1936" s="167" t="str">
        <f t="shared" ref="AP1936:AP1943" si="824">IF(R1936="x","2010",IF(S1936="x","2011",IF(T1936="x","2012","")))</f>
        <v>2011</v>
      </c>
      <c r="AQ1936" s="169" t="str">
        <f t="shared" ref="AQ1936:AQ1943" si="825">IF(OR(AH1936&lt;&gt;AN1936,AH1936&lt;&gt;AO1936,AH1936&lt;&gt;AP1936),"DIFF","")</f>
        <v/>
      </c>
      <c r="AR1936" s="170" t="str">
        <f t="shared" ref="AR1936:AR1943" si="826">IF(A1936="","",IF(ISERROR(SEARCH("K1",A1936)),A1936,LEFT(A1936,SEARCH("K1",A1936)+1)&amp;RIGHT(AH1936,1)&amp;MID(A1936,SEARCH("K1",A1936)+3,14)))</f>
        <v>BiK84K11----07</v>
      </c>
      <c r="AS1936" s="169" t="str">
        <f t="shared" ref="AS1936:AS1943" si="827">IF(OR(A1936&lt;&gt;AR1936),"DIFF","")</f>
        <v/>
      </c>
      <c r="AT1936">
        <f t="shared" ref="AT1936:AT1943" si="828">LEN(AR1936)</f>
        <v>14</v>
      </c>
      <c r="AU1936" s="170" t="str">
        <f t="shared" ref="AU1936:AU1943" si="829">IF(D1936="","",IF(OR(A1936="",ISERROR(SEARCH("erstmals 201",D1936))),D1936,LEFT(D1936,SEARCH("erstmals 201",D1936)+8) &amp; AH1936 &amp; MID(D1936,SEARCH("erstmals 201",D1936)+13,255)))</f>
        <v>5-20 MW, Bonusregel K erstmals 2011</v>
      </c>
      <c r="AV1936" s="169" t="str">
        <f t="shared" ref="AV1936:AV1943" si="830">IF(OR(D1936&lt;&gt;AU1936),"DIFF","")</f>
        <v/>
      </c>
      <c r="AW1936" s="170" t="str">
        <f t="shared" ref="AW1936:AW1943" si="831">IF(E1936="","",IF(OR(E1936="",ISERROR(SEARCH("erstmals 201",E1936))),E1936,LEFT(E1936,SEARCH("erstmals 201",E1936)+8) &amp; AH1936 &amp; MID(E1936,SEARCH("erstmals 201",E1936)+13,255)))</f>
        <v>Anteil KWK, erstmals 2011</v>
      </c>
      <c r="AX1936" s="169" t="str">
        <f t="shared" ref="AX1936:AX1943" si="832">IF(OR(E1936&lt;&gt;AW1936),"DIFF","")</f>
        <v/>
      </c>
      <c r="AY1936" t="str">
        <f t="shared" ref="AY1936:AY1943" si="833">IF(AH1936="2011","x",IF(AH1936="2012","","" &amp; S1936))</f>
        <v>x</v>
      </c>
      <c r="AZ1936" t="str">
        <f t="shared" ref="AZ1936:AZ1943" si="834">IF(AH1936="2012","x",IF(AH1936="2011","","" &amp; T1936))</f>
        <v/>
      </c>
    </row>
    <row r="1937" spans="1:52" s="145" customFormat="1" x14ac:dyDescent="0.35">
      <c r="A1937" s="511" t="s">
        <v>1864</v>
      </c>
      <c r="B1937" s="173" t="s">
        <v>5547</v>
      </c>
      <c r="C1937" s="173" t="s">
        <v>1304</v>
      </c>
      <c r="D1937" s="173" t="s">
        <v>7361</v>
      </c>
      <c r="E1937" s="173" t="s">
        <v>1980</v>
      </c>
      <c r="F1937" s="374">
        <f t="shared" si="816"/>
        <v>10.94</v>
      </c>
      <c r="G1937" s="431">
        <v>10.94</v>
      </c>
      <c r="H1937" s="400">
        <f t="shared" si="817"/>
        <v>8.75</v>
      </c>
      <c r="I1937" s="577"/>
      <c r="J1937" s="549" t="s">
        <v>5804</v>
      </c>
      <c r="K1937" s="11"/>
      <c r="L1937"/>
      <c r="M1937" s="37">
        <f t="shared" si="818"/>
        <v>10.94</v>
      </c>
      <c r="N1937" s="29">
        <v>8.0299999999999994</v>
      </c>
      <c r="O1937" s="41"/>
      <c r="P1937" s="59"/>
      <c r="Q1937"/>
      <c r="R1937"/>
      <c r="S1937" t="s">
        <v>4179</v>
      </c>
      <c r="T1937" s="145" t="s">
        <v>1017</v>
      </c>
      <c r="U1937" s="60"/>
      <c r="V1937" s="50"/>
      <c r="W1937" s="50"/>
      <c r="X1937" s="50"/>
      <c r="Y1937" s="50"/>
      <c r="Z1937" s="50"/>
      <c r="AA1937" s="50"/>
      <c r="AB1937" s="50"/>
      <c r="AC1937" s="50"/>
      <c r="AD1937" s="50"/>
      <c r="AE1937" s="154"/>
      <c r="AF1937" s="50"/>
      <c r="AG1937" s="50"/>
      <c r="AH1937" s="171" t="s">
        <v>4178</v>
      </c>
      <c r="AI1937" s="168" t="str">
        <f t="shared" si="811"/>
        <v/>
      </c>
      <c r="AJ1937" s="168" t="str">
        <f t="shared" si="812"/>
        <v/>
      </c>
      <c r="AK1937" s="168" t="str">
        <f t="shared" si="813"/>
        <v/>
      </c>
      <c r="AL1937" s="168" t="str">
        <f t="shared" si="814"/>
        <v/>
      </c>
      <c r="AM1937" s="168" t="str">
        <f t="shared" si="815"/>
        <v/>
      </c>
      <c r="AN1937" s="167" t="str">
        <f t="shared" si="822"/>
        <v>2012</v>
      </c>
      <c r="AO1937" s="167" t="str">
        <f t="shared" si="823"/>
        <v>2012</v>
      </c>
      <c r="AP1937" s="167" t="str">
        <f t="shared" si="824"/>
        <v>2012</v>
      </c>
      <c r="AQ1937" s="169" t="str">
        <f t="shared" si="825"/>
        <v/>
      </c>
      <c r="AR1937" s="170" t="str">
        <f t="shared" si="826"/>
        <v>BiK84K12----07</v>
      </c>
      <c r="AS1937" s="169" t="str">
        <f t="shared" si="827"/>
        <v/>
      </c>
      <c r="AT1937">
        <f t="shared" si="828"/>
        <v>14</v>
      </c>
      <c r="AU1937" s="170" t="str">
        <f t="shared" si="829"/>
        <v>5-20 MW, Bonusregel K erstmals 2012</v>
      </c>
      <c r="AV1937" s="169" t="str">
        <f t="shared" si="830"/>
        <v/>
      </c>
      <c r="AW1937" s="170" t="str">
        <f t="shared" si="831"/>
        <v>Anteil KWK, erstmals 2012</v>
      </c>
      <c r="AX1937" s="169" t="str">
        <f t="shared" si="832"/>
        <v/>
      </c>
      <c r="AY1937" t="str">
        <f t="shared" si="833"/>
        <v/>
      </c>
      <c r="AZ1937" t="str">
        <f t="shared" si="834"/>
        <v>x</v>
      </c>
    </row>
    <row r="1938" spans="1:52" s="145" customFormat="1" x14ac:dyDescent="0.35">
      <c r="A1938" s="496" t="s">
        <v>3669</v>
      </c>
      <c r="B1938" s="1" t="s">
        <v>5547</v>
      </c>
      <c r="C1938" s="18" t="s">
        <v>1304</v>
      </c>
      <c r="D1938" s="1" t="s">
        <v>7386</v>
      </c>
      <c r="E1938" s="1" t="s">
        <v>4179</v>
      </c>
      <c r="F1938" s="375">
        <f t="shared" si="816"/>
        <v>3.72</v>
      </c>
      <c r="G1938" s="432">
        <v>3.72</v>
      </c>
      <c r="H1938" s="401">
        <f t="shared" si="817"/>
        <v>2.98</v>
      </c>
      <c r="I1938" s="578"/>
      <c r="J1938" s="549" t="s">
        <v>5804</v>
      </c>
      <c r="K1938" s="11"/>
      <c r="L1938"/>
      <c r="M1938" s="37">
        <f t="shared" si="818"/>
        <v>3.72</v>
      </c>
      <c r="N1938" s="29">
        <v>3.72</v>
      </c>
      <c r="O1938" s="41"/>
      <c r="P1938" s="59"/>
      <c r="Q1938"/>
      <c r="R1938"/>
      <c r="S1938" t="s">
        <v>4179</v>
      </c>
      <c r="T1938" s="145" t="s">
        <v>4179</v>
      </c>
      <c r="U1938" s="60"/>
      <c r="V1938" s="50"/>
      <c r="W1938" s="50"/>
      <c r="X1938" s="50"/>
      <c r="Y1938" s="50"/>
      <c r="Z1938" s="50"/>
      <c r="AA1938" s="50"/>
      <c r="AB1938" s="50"/>
      <c r="AC1938" s="50"/>
      <c r="AD1938" s="50"/>
      <c r="AE1938" s="154"/>
      <c r="AF1938" s="50"/>
      <c r="AG1938" s="50"/>
      <c r="AH1938" s="166" t="str">
        <f>IF(ISERROR(SEARCH("K erstmals 201",D1938)),"",RIGHT(D1938,4))</f>
        <v/>
      </c>
      <c r="AI1938" s="168" t="str">
        <f t="shared" si="811"/>
        <v/>
      </c>
      <c r="AJ1938" s="168" t="str">
        <f t="shared" si="812"/>
        <v/>
      </c>
      <c r="AK1938" s="168" t="str">
        <f t="shared" si="813"/>
        <v/>
      </c>
      <c r="AL1938" s="168" t="str">
        <f t="shared" si="814"/>
        <v/>
      </c>
      <c r="AM1938" s="168" t="str">
        <f t="shared" si="815"/>
        <v/>
      </c>
      <c r="AN1938" s="167" t="str">
        <f t="shared" si="822"/>
        <v/>
      </c>
      <c r="AO1938" s="167" t="str">
        <f t="shared" si="823"/>
        <v/>
      </c>
      <c r="AP1938" s="167" t="str">
        <f t="shared" si="824"/>
        <v/>
      </c>
      <c r="AQ1938" s="169" t="str">
        <f t="shared" si="825"/>
        <v/>
      </c>
      <c r="AR1938" s="170" t="str">
        <f t="shared" si="826"/>
        <v>BiK85-------07</v>
      </c>
      <c r="AS1938" s="169" t="str">
        <f t="shared" si="827"/>
        <v/>
      </c>
      <c r="AT1938">
        <f t="shared" si="828"/>
        <v>14</v>
      </c>
      <c r="AU1938" s="170" t="str">
        <f t="shared" si="829"/>
        <v>&lt; 20 MW, Altholz</v>
      </c>
      <c r="AV1938" s="169" t="str">
        <f t="shared" si="830"/>
        <v/>
      </c>
      <c r="AW1938" s="170" t="str">
        <f t="shared" si="831"/>
        <v/>
      </c>
      <c r="AX1938" s="169" t="str">
        <f t="shared" si="832"/>
        <v/>
      </c>
      <c r="AY1938" t="str">
        <f t="shared" si="833"/>
        <v/>
      </c>
      <c r="AZ1938" t="str">
        <f t="shared" si="834"/>
        <v/>
      </c>
    </row>
    <row r="1939" spans="1:52" s="145" customFormat="1" x14ac:dyDescent="0.35">
      <c r="A1939" s="497" t="s">
        <v>901</v>
      </c>
      <c r="B1939" s="13" t="s">
        <v>5547</v>
      </c>
      <c r="C1939" s="17" t="s">
        <v>1304</v>
      </c>
      <c r="D1939" s="17" t="s">
        <v>7387</v>
      </c>
      <c r="E1939" s="13" t="s">
        <v>674</v>
      </c>
      <c r="F1939" s="373">
        <f t="shared" si="816"/>
        <v>6.7200000000000006</v>
      </c>
      <c r="G1939" s="430">
        <v>6.7200000000000006</v>
      </c>
      <c r="H1939" s="399">
        <f t="shared" si="817"/>
        <v>5.38</v>
      </c>
      <c r="I1939" s="576"/>
      <c r="J1939" s="549" t="s">
        <v>5804</v>
      </c>
      <c r="K1939" s="11"/>
      <c r="L1939"/>
      <c r="M1939" s="37">
        <f t="shared" si="818"/>
        <v>6.7200000000000006</v>
      </c>
      <c r="N1939" s="29">
        <v>3.72</v>
      </c>
      <c r="O1939" s="41"/>
      <c r="P1939" s="59"/>
      <c r="Q1939" t="s">
        <v>1017</v>
      </c>
      <c r="R1939"/>
      <c r="S1939" t="s">
        <v>4179</v>
      </c>
      <c r="T1939" s="145" t="s">
        <v>4179</v>
      </c>
      <c r="U1939" s="60"/>
      <c r="V1939" s="50"/>
      <c r="W1939" s="50"/>
      <c r="X1939" s="50"/>
      <c r="Y1939" s="50"/>
      <c r="Z1939" s="50"/>
      <c r="AA1939" s="50"/>
      <c r="AB1939" s="50"/>
      <c r="AC1939" s="50"/>
      <c r="AD1939" s="50"/>
      <c r="AE1939" s="154"/>
      <c r="AF1939" s="50"/>
      <c r="AG1939" s="50"/>
      <c r="AH1939" s="166" t="str">
        <f>IF(ISERROR(SEARCH("K erstmals 201",D1939)),"",RIGHT(D1939,4))</f>
        <v/>
      </c>
      <c r="AI1939" s="168" t="str">
        <f t="shared" ref="AI1939:AI1942" si="835">IF(AND($AH1939&lt;&gt;"",AH1939 =AH1938),"Gleich","")</f>
        <v/>
      </c>
      <c r="AJ1939" s="168" t="str">
        <f t="shared" si="812"/>
        <v/>
      </c>
      <c r="AK1939" s="168" t="str">
        <f t="shared" si="813"/>
        <v/>
      </c>
      <c r="AL1939" s="168" t="str">
        <f t="shared" si="814"/>
        <v/>
      </c>
      <c r="AM1939" s="168" t="str">
        <f t="shared" si="815"/>
        <v/>
      </c>
      <c r="AN1939" s="167" t="str">
        <f t="shared" si="822"/>
        <v/>
      </c>
      <c r="AO1939" s="167" t="str">
        <f t="shared" si="823"/>
        <v/>
      </c>
      <c r="AP1939" s="167" t="str">
        <f t="shared" si="824"/>
        <v/>
      </c>
      <c r="AQ1939" s="169" t="str">
        <f t="shared" si="825"/>
        <v/>
      </c>
      <c r="AR1939" s="170" t="str">
        <f t="shared" si="826"/>
        <v>BiK85K09----07</v>
      </c>
      <c r="AS1939" s="169" t="str">
        <f t="shared" si="827"/>
        <v/>
      </c>
      <c r="AT1939">
        <f t="shared" si="828"/>
        <v>14</v>
      </c>
      <c r="AU1939" s="170" t="str">
        <f t="shared" si="829"/>
        <v>&lt; 20 MW, Altholz, Bonusregel K erstmals 2009</v>
      </c>
      <c r="AV1939" s="169" t="str">
        <f t="shared" si="830"/>
        <v/>
      </c>
      <c r="AW1939" s="170" t="str">
        <f t="shared" si="831"/>
        <v>Anteil KWK, erstmals 2009</v>
      </c>
      <c r="AX1939" s="169" t="str">
        <f t="shared" si="832"/>
        <v/>
      </c>
      <c r="AY1939" t="str">
        <f t="shared" si="833"/>
        <v/>
      </c>
      <c r="AZ1939" t="str">
        <f t="shared" si="834"/>
        <v/>
      </c>
    </row>
    <row r="1940" spans="1:52" s="145" customFormat="1" x14ac:dyDescent="0.35">
      <c r="A1940" s="497" t="s">
        <v>3156</v>
      </c>
      <c r="B1940" s="13" t="s">
        <v>5547</v>
      </c>
      <c r="C1940" s="17" t="s">
        <v>1304</v>
      </c>
      <c r="D1940" s="17" t="s">
        <v>7383</v>
      </c>
      <c r="E1940" s="13" t="s">
        <v>3566</v>
      </c>
      <c r="F1940" s="373">
        <f t="shared" si="816"/>
        <v>6.69</v>
      </c>
      <c r="G1940" s="430">
        <v>6.69</v>
      </c>
      <c r="H1940" s="399">
        <f t="shared" si="817"/>
        <v>5.35</v>
      </c>
      <c r="I1940" s="576"/>
      <c r="J1940" s="549" t="s">
        <v>5804</v>
      </c>
      <c r="K1940" s="11"/>
      <c r="L1940"/>
      <c r="M1940" s="37">
        <f t="shared" si="818"/>
        <v>6.69</v>
      </c>
      <c r="N1940" s="29">
        <v>3.72</v>
      </c>
      <c r="O1940" s="41"/>
      <c r="P1940" s="59"/>
      <c r="Q1940"/>
      <c r="R1940" t="s">
        <v>1017</v>
      </c>
      <c r="S1940" t="s">
        <v>4179</v>
      </c>
      <c r="T1940" s="145" t="s">
        <v>4179</v>
      </c>
      <c r="U1940" s="60"/>
      <c r="V1940" s="50"/>
      <c r="W1940" s="50"/>
      <c r="X1940" s="50"/>
      <c r="Y1940" s="50"/>
      <c r="Z1940" s="50"/>
      <c r="AA1940" s="50"/>
      <c r="AB1940" s="50"/>
      <c r="AC1940" s="50"/>
      <c r="AD1940" s="50"/>
      <c r="AE1940" s="154"/>
      <c r="AF1940" s="50"/>
      <c r="AG1940" s="50"/>
      <c r="AH1940" s="166" t="str">
        <f>IF(ISERROR(SEARCH("K erstmals 201",D1940)),"",RIGHT(D1940,4))</f>
        <v>2010</v>
      </c>
      <c r="AI1940" s="168" t="str">
        <f t="shared" si="835"/>
        <v/>
      </c>
      <c r="AJ1940" s="168" t="str">
        <f t="shared" si="812"/>
        <v/>
      </c>
      <c r="AK1940" s="168" t="str">
        <f t="shared" si="813"/>
        <v/>
      </c>
      <c r="AL1940" s="168" t="str">
        <f t="shared" si="814"/>
        <v/>
      </c>
      <c r="AM1940" s="168" t="str">
        <f t="shared" si="815"/>
        <v/>
      </c>
      <c r="AN1940" s="167" t="str">
        <f t="shared" si="822"/>
        <v>2010</v>
      </c>
      <c r="AO1940" s="167" t="str">
        <f t="shared" si="823"/>
        <v>2010</v>
      </c>
      <c r="AP1940" s="167" t="str">
        <f t="shared" si="824"/>
        <v>2010</v>
      </c>
      <c r="AQ1940" s="169" t="str">
        <f t="shared" si="825"/>
        <v/>
      </c>
      <c r="AR1940" s="170" t="str">
        <f t="shared" si="826"/>
        <v>BiK85K10----07</v>
      </c>
      <c r="AS1940" s="169" t="str">
        <f t="shared" si="827"/>
        <v/>
      </c>
      <c r="AT1940">
        <f t="shared" si="828"/>
        <v>14</v>
      </c>
      <c r="AU1940" s="170" t="str">
        <f t="shared" si="829"/>
        <v>&lt; 20 MW, Altholz, Bonusregel K erstmals 2010</v>
      </c>
      <c r="AV1940" s="169" t="str">
        <f t="shared" si="830"/>
        <v/>
      </c>
      <c r="AW1940" s="170" t="str">
        <f t="shared" si="831"/>
        <v>Anteil KWK, erstmals 2010</v>
      </c>
      <c r="AX1940" s="169" t="str">
        <f t="shared" si="832"/>
        <v/>
      </c>
      <c r="AY1940" t="str">
        <f t="shared" si="833"/>
        <v/>
      </c>
      <c r="AZ1940" t="str">
        <f t="shared" si="834"/>
        <v/>
      </c>
    </row>
    <row r="1941" spans="1:52" s="145" customFormat="1" x14ac:dyDescent="0.35">
      <c r="A1941" s="497" t="s">
        <v>3432</v>
      </c>
      <c r="B1941" s="13" t="s">
        <v>5547</v>
      </c>
      <c r="C1941" s="17" t="s">
        <v>1304</v>
      </c>
      <c r="D1941" s="17" t="s">
        <v>7384</v>
      </c>
      <c r="E1941" s="13" t="s">
        <v>3054</v>
      </c>
      <c r="F1941" s="373">
        <f t="shared" si="816"/>
        <v>6.66</v>
      </c>
      <c r="G1941" s="430">
        <v>6.66</v>
      </c>
      <c r="H1941" s="399">
        <f t="shared" si="817"/>
        <v>5.33</v>
      </c>
      <c r="I1941" s="576"/>
      <c r="J1941" s="549" t="s">
        <v>5804</v>
      </c>
      <c r="K1941" s="11"/>
      <c r="L1941"/>
      <c r="M1941" s="37">
        <f t="shared" si="818"/>
        <v>6.66</v>
      </c>
      <c r="N1941" s="29">
        <v>3.72</v>
      </c>
      <c r="O1941" s="41"/>
      <c r="P1941" s="59"/>
      <c r="Q1941"/>
      <c r="R1941"/>
      <c r="S1941" t="s">
        <v>1017</v>
      </c>
      <c r="T1941" s="145" t="s">
        <v>4179</v>
      </c>
      <c r="U1941" s="60"/>
      <c r="V1941" s="50"/>
      <c r="W1941" s="50"/>
      <c r="X1941" s="50"/>
      <c r="Y1941" s="50"/>
      <c r="Z1941" s="50"/>
      <c r="AA1941" s="50"/>
      <c r="AB1941" s="50"/>
      <c r="AC1941" s="50"/>
      <c r="AD1941" s="50"/>
      <c r="AE1941" s="154"/>
      <c r="AF1941" s="50"/>
      <c r="AG1941" s="50"/>
      <c r="AH1941" s="166" t="str">
        <f>IF(ISERROR(SEARCH("K erstmals 201",D1941)),"",RIGHT(D1941,4))</f>
        <v>2011</v>
      </c>
      <c r="AI1941" s="168" t="str">
        <f t="shared" si="835"/>
        <v/>
      </c>
      <c r="AJ1941" s="168" t="str">
        <f t="shared" si="812"/>
        <v/>
      </c>
      <c r="AK1941" s="168" t="str">
        <f t="shared" si="813"/>
        <v/>
      </c>
      <c r="AL1941" s="168" t="str">
        <f t="shared" si="814"/>
        <v/>
      </c>
      <c r="AM1941" s="168" t="str">
        <f t="shared" si="815"/>
        <v/>
      </c>
      <c r="AN1941" s="167" t="str">
        <f t="shared" si="822"/>
        <v>2011</v>
      </c>
      <c r="AO1941" s="167" t="str">
        <f t="shared" si="823"/>
        <v>2011</v>
      </c>
      <c r="AP1941" s="167" t="str">
        <f t="shared" si="824"/>
        <v>2011</v>
      </c>
      <c r="AQ1941" s="169" t="str">
        <f t="shared" si="825"/>
        <v/>
      </c>
      <c r="AR1941" s="170" t="str">
        <f t="shared" si="826"/>
        <v>BiK85K11----07</v>
      </c>
      <c r="AS1941" s="169" t="str">
        <f t="shared" si="827"/>
        <v/>
      </c>
      <c r="AT1941">
        <f t="shared" si="828"/>
        <v>14</v>
      </c>
      <c r="AU1941" s="170" t="str">
        <f t="shared" si="829"/>
        <v>&lt; 20 MW, Altholz, Bonusregel K erstmals 2011</v>
      </c>
      <c r="AV1941" s="169" t="str">
        <f t="shared" si="830"/>
        <v/>
      </c>
      <c r="AW1941" s="170" t="str">
        <f t="shared" si="831"/>
        <v>Anteil KWK, erstmals 2011</v>
      </c>
      <c r="AX1941" s="169" t="str">
        <f t="shared" si="832"/>
        <v/>
      </c>
      <c r="AY1941" t="str">
        <f t="shared" si="833"/>
        <v>x</v>
      </c>
      <c r="AZ1941" t="str">
        <f t="shared" si="834"/>
        <v/>
      </c>
    </row>
    <row r="1942" spans="1:52" s="145" customFormat="1" x14ac:dyDescent="0.35">
      <c r="A1942" s="511" t="s">
        <v>1865</v>
      </c>
      <c r="B1942" s="173" t="s">
        <v>5547</v>
      </c>
      <c r="C1942" s="174" t="s">
        <v>1304</v>
      </c>
      <c r="D1942" s="174" t="s">
        <v>7385</v>
      </c>
      <c r="E1942" s="173" t="s">
        <v>1980</v>
      </c>
      <c r="F1942" s="374">
        <f t="shared" si="816"/>
        <v>6.6300000000000008</v>
      </c>
      <c r="G1942" s="431">
        <v>6.6300000000000008</v>
      </c>
      <c r="H1942" s="400">
        <f t="shared" si="817"/>
        <v>5.3</v>
      </c>
      <c r="I1942" s="577"/>
      <c r="J1942" s="549" t="s">
        <v>5804</v>
      </c>
      <c r="K1942" s="11"/>
      <c r="L1942"/>
      <c r="M1942" s="37">
        <f t="shared" si="818"/>
        <v>6.6300000000000008</v>
      </c>
      <c r="N1942" s="29">
        <v>3.72</v>
      </c>
      <c r="O1942" s="41"/>
      <c r="P1942" s="59"/>
      <c r="Q1942"/>
      <c r="R1942"/>
      <c r="S1942" t="s">
        <v>4179</v>
      </c>
      <c r="T1942" s="145" t="s">
        <v>1017</v>
      </c>
      <c r="U1942" s="60"/>
      <c r="V1942" s="50"/>
      <c r="W1942" s="50"/>
      <c r="X1942" s="50"/>
      <c r="Y1942" s="50"/>
      <c r="Z1942" s="50"/>
      <c r="AA1942" s="50"/>
      <c r="AB1942" s="50"/>
      <c r="AC1942" s="50"/>
      <c r="AD1942" s="50"/>
      <c r="AE1942" s="154"/>
      <c r="AF1942" s="50"/>
      <c r="AG1942" s="50"/>
      <c r="AH1942" s="171" t="s">
        <v>4178</v>
      </c>
      <c r="AI1942" s="168" t="str">
        <f t="shared" si="835"/>
        <v/>
      </c>
      <c r="AJ1942" s="168" t="str">
        <f t="shared" si="812"/>
        <v/>
      </c>
      <c r="AK1942" s="168" t="str">
        <f t="shared" si="813"/>
        <v/>
      </c>
      <c r="AL1942" s="168" t="str">
        <f t="shared" si="814"/>
        <v/>
      </c>
      <c r="AM1942" s="168" t="str">
        <f t="shared" si="815"/>
        <v/>
      </c>
      <c r="AN1942" s="167" t="str">
        <f t="shared" si="822"/>
        <v>2012</v>
      </c>
      <c r="AO1942" s="167" t="str">
        <f t="shared" si="823"/>
        <v>2012</v>
      </c>
      <c r="AP1942" s="167" t="str">
        <f t="shared" si="824"/>
        <v>2012</v>
      </c>
      <c r="AQ1942" s="169" t="str">
        <f t="shared" si="825"/>
        <v/>
      </c>
      <c r="AR1942" s="170" t="str">
        <f t="shared" si="826"/>
        <v>BiK85K12----07</v>
      </c>
      <c r="AS1942" s="169" t="str">
        <f t="shared" si="827"/>
        <v/>
      </c>
      <c r="AT1942">
        <f t="shared" si="828"/>
        <v>14</v>
      </c>
      <c r="AU1942" s="170" t="str">
        <f t="shared" si="829"/>
        <v>&lt; 20 MW, Altholz, Bonusregel K erstmals 2012</v>
      </c>
      <c r="AV1942" s="169" t="str">
        <f t="shared" si="830"/>
        <v/>
      </c>
      <c r="AW1942" s="170" t="str">
        <f t="shared" si="831"/>
        <v>Anteil KWK, erstmals 2012</v>
      </c>
      <c r="AX1942" s="169" t="str">
        <f t="shared" si="832"/>
        <v/>
      </c>
      <c r="AY1942" t="str">
        <f t="shared" si="833"/>
        <v/>
      </c>
      <c r="AZ1942" t="str">
        <f t="shared" si="834"/>
        <v>x</v>
      </c>
    </row>
    <row r="1943" spans="1:52" s="145" customFormat="1" x14ac:dyDescent="0.35">
      <c r="A1943" s="496"/>
      <c r="B1943" s="1"/>
      <c r="C1943" s="1"/>
      <c r="D1943" s="1" t="s">
        <v>4179</v>
      </c>
      <c r="E1943" s="1" t="s">
        <v>4179</v>
      </c>
      <c r="F1943" s="375"/>
      <c r="G1943" s="425"/>
      <c r="H1943" s="10" t="str">
        <f t="shared" si="817"/>
        <v/>
      </c>
      <c r="I1943" s="566"/>
      <c r="J1943" s="549" t="s">
        <v>4179</v>
      </c>
      <c r="K1943" s="11"/>
      <c r="L1943"/>
      <c r="M1943"/>
      <c r="N1943"/>
      <c r="O1943" s="75"/>
      <c r="P1943"/>
      <c r="Q1943"/>
      <c r="R1943"/>
      <c r="S1943" t="s">
        <v>4179</v>
      </c>
      <c r="T1943" s="145" t="s">
        <v>4179</v>
      </c>
      <c r="U1943" s="42"/>
      <c r="V1943"/>
      <c r="W1943"/>
      <c r="X1943"/>
      <c r="Y1943"/>
      <c r="Z1943"/>
      <c r="AA1943"/>
      <c r="AB1943"/>
      <c r="AC1943"/>
      <c r="AD1943"/>
      <c r="AE1943" s="75"/>
      <c r="AF1943"/>
      <c r="AG1943"/>
      <c r="AH1943" s="166" t="str">
        <f>IF(ISERROR(SEARCH("K erstmals 201",D1943)),"",RIGHT(D1943,4))</f>
        <v/>
      </c>
      <c r="AI1943" s="168" t="str">
        <f>IF(AND($AH1943&lt;&gt;"",AH1943 =AH1938),"Gleich","")</f>
        <v/>
      </c>
      <c r="AJ1943" s="168" t="str">
        <f>IF(AND($AH1943&lt;&gt;"",A1943 =A1938),"Gleich","")</f>
        <v/>
      </c>
      <c r="AK1943" s="168" t="str">
        <f>IF(AND($AH1943&lt;&gt;"",D1943 =D1938),"Gleich","")</f>
        <v/>
      </c>
      <c r="AL1943" s="168" t="str">
        <f>IF(AND($AH1943&lt;&gt;"",E1943 =E1938),"Gleich","")</f>
        <v/>
      </c>
      <c r="AM1943" s="168" t="str">
        <f>IF(AND($AH1943&lt;&gt;"",F1943 =F1938),"Gleich","")</f>
        <v/>
      </c>
      <c r="AN1943" s="167" t="str">
        <f t="shared" si="822"/>
        <v/>
      </c>
      <c r="AO1943" s="167" t="str">
        <f t="shared" si="823"/>
        <v/>
      </c>
      <c r="AP1943" s="167" t="str">
        <f t="shared" si="824"/>
        <v/>
      </c>
      <c r="AQ1943" s="169" t="str">
        <f t="shared" si="825"/>
        <v/>
      </c>
      <c r="AR1943" s="170" t="str">
        <f t="shared" si="826"/>
        <v/>
      </c>
      <c r="AS1943" s="169" t="str">
        <f t="shared" si="827"/>
        <v/>
      </c>
      <c r="AT1943">
        <f t="shared" si="828"/>
        <v>0</v>
      </c>
      <c r="AU1943" s="170" t="str">
        <f t="shared" si="829"/>
        <v/>
      </c>
      <c r="AV1943" s="169" t="str">
        <f t="shared" si="830"/>
        <v/>
      </c>
      <c r="AW1943" s="170" t="str">
        <f t="shared" si="831"/>
        <v/>
      </c>
      <c r="AX1943" s="169" t="str">
        <f t="shared" si="832"/>
        <v/>
      </c>
      <c r="AY1943" t="str">
        <f t="shared" si="833"/>
        <v/>
      </c>
      <c r="AZ1943" t="str">
        <f t="shared" si="834"/>
        <v/>
      </c>
    </row>
    <row r="1944" spans="1:52" x14ac:dyDescent="0.35">
      <c r="A1944" s="502" t="s">
        <v>658</v>
      </c>
      <c r="B1944" s="302" t="s">
        <v>5547</v>
      </c>
      <c r="C1944" s="302" t="s">
        <v>1304</v>
      </c>
      <c r="D1944" s="302" t="s">
        <v>6987</v>
      </c>
      <c r="E1944" s="302" t="s">
        <v>2826</v>
      </c>
      <c r="F1944" s="377">
        <f t="shared" ref="F1944:F1950" si="836">M1944</f>
        <v>25.55</v>
      </c>
      <c r="G1944" s="433">
        <f t="shared" ref="G1944:G1982" si="837">F1944</f>
        <v>25.55</v>
      </c>
      <c r="H1944" s="402">
        <f t="shared" ref="H1944:H1982" si="838">IF(ISNUMBER(G1944),ROUND(0.8*G1944,2),"")</f>
        <v>20.440000000000001</v>
      </c>
      <c r="I1944" s="579"/>
      <c r="J1944" s="549" t="s">
        <v>5804</v>
      </c>
      <c r="K1944" s="11"/>
      <c r="M1944" s="37">
        <f t="shared" ref="M1944:M1982" si="839">N1944+SUMIF(U1944:AG1944,"x",U$1559:AG$1559)+T1944</f>
        <v>25.55</v>
      </c>
      <c r="N1944" s="29">
        <v>11.67</v>
      </c>
      <c r="O1944" s="319"/>
      <c r="P1944" s="97" t="s">
        <v>2827</v>
      </c>
      <c r="Q1944" s="97"/>
      <c r="R1944" s="97">
        <v>2013</v>
      </c>
      <c r="S1944" s="97"/>
      <c r="T1944" s="92">
        <v>2.88</v>
      </c>
      <c r="U1944" s="146"/>
      <c r="V1944" s="25"/>
      <c r="W1944" s="346"/>
      <c r="X1944" s="346"/>
      <c r="Y1944" s="25"/>
      <c r="Z1944" s="25" t="s">
        <v>1017</v>
      </c>
      <c r="AA1944" s="346"/>
      <c r="AB1944" s="25"/>
      <c r="AC1944" s="25"/>
      <c r="AD1944" s="346"/>
      <c r="AE1944" s="148"/>
      <c r="AF1944" s="147"/>
      <c r="AG1944" s="147"/>
      <c r="AH1944" s="171"/>
      <c r="AI1944" s="168"/>
      <c r="AJ1944" s="168"/>
      <c r="AK1944" s="168"/>
      <c r="AL1944" s="168"/>
      <c r="AM1944" s="168"/>
      <c r="AN1944" s="167"/>
      <c r="AO1944" s="167"/>
      <c r="AP1944" s="167"/>
      <c r="AQ1944" s="169"/>
      <c r="AR1944" s="170"/>
      <c r="AS1944" s="169"/>
      <c r="AU1944" s="170"/>
      <c r="AV1944" s="169"/>
      <c r="AW1944" s="170"/>
      <c r="AX1944" s="169"/>
    </row>
    <row r="1945" spans="1:52" x14ac:dyDescent="0.35">
      <c r="A1945" s="502" t="s">
        <v>659</v>
      </c>
      <c r="B1945" s="302" t="s">
        <v>5547</v>
      </c>
      <c r="C1945" s="302" t="s">
        <v>1304</v>
      </c>
      <c r="D1945" s="302" t="s">
        <v>6854</v>
      </c>
      <c r="E1945" s="302" t="s">
        <v>2826</v>
      </c>
      <c r="F1945" s="377">
        <f t="shared" si="836"/>
        <v>26.55</v>
      </c>
      <c r="G1945" s="433">
        <f t="shared" si="837"/>
        <v>26.55</v>
      </c>
      <c r="H1945" s="402">
        <f t="shared" si="838"/>
        <v>21.24</v>
      </c>
      <c r="I1945" s="579"/>
      <c r="J1945" s="549" t="s">
        <v>5804</v>
      </c>
      <c r="K1945" s="11"/>
      <c r="M1945" s="37">
        <f t="shared" si="839"/>
        <v>26.55</v>
      </c>
      <c r="N1945" s="29">
        <v>11.67</v>
      </c>
      <c r="O1945" s="319"/>
      <c r="P1945" s="97" t="s">
        <v>2827</v>
      </c>
      <c r="Q1945" s="97"/>
      <c r="R1945" s="97">
        <v>2013</v>
      </c>
      <c r="S1945" s="97"/>
      <c r="T1945" s="92">
        <v>2.88</v>
      </c>
      <c r="U1945" s="146" t="s">
        <v>1017</v>
      </c>
      <c r="V1945" s="25"/>
      <c r="W1945" s="346"/>
      <c r="X1945" s="346"/>
      <c r="Y1945" s="25"/>
      <c r="Z1945" s="25" t="s">
        <v>1017</v>
      </c>
      <c r="AA1945" s="346"/>
      <c r="AB1945" s="25"/>
      <c r="AC1945" s="25"/>
      <c r="AD1945" s="346"/>
      <c r="AE1945" s="148"/>
      <c r="AF1945" s="147"/>
      <c r="AG1945" s="147"/>
      <c r="AH1945" s="171"/>
      <c r="AI1945" s="168"/>
      <c r="AJ1945" s="168"/>
      <c r="AK1945" s="168"/>
      <c r="AL1945" s="168"/>
      <c r="AM1945" s="168"/>
      <c r="AN1945" s="167"/>
      <c r="AO1945" s="167"/>
      <c r="AP1945" s="167"/>
      <c r="AQ1945" s="169"/>
      <c r="AR1945" s="170"/>
      <c r="AS1945" s="169"/>
      <c r="AU1945" s="170"/>
      <c r="AV1945" s="169"/>
      <c r="AW1945" s="170"/>
      <c r="AX1945" s="169"/>
    </row>
    <row r="1946" spans="1:52" s="145" customFormat="1" x14ac:dyDescent="0.35">
      <c r="A1946" s="502" t="s">
        <v>5626</v>
      </c>
      <c r="B1946" s="302" t="s">
        <v>5547</v>
      </c>
      <c r="C1946" s="302" t="s">
        <v>1304</v>
      </c>
      <c r="D1946" s="302" t="s">
        <v>6988</v>
      </c>
      <c r="E1946" s="302" t="s">
        <v>2826</v>
      </c>
      <c r="F1946" s="377">
        <f t="shared" si="836"/>
        <v>28.55</v>
      </c>
      <c r="G1946" s="433">
        <f t="shared" si="837"/>
        <v>28.55</v>
      </c>
      <c r="H1946" s="402">
        <f t="shared" si="838"/>
        <v>22.84</v>
      </c>
      <c r="I1946" s="579"/>
      <c r="J1946" s="549" t="s">
        <v>5804</v>
      </c>
      <c r="K1946" s="11"/>
      <c r="L1946"/>
      <c r="M1946" s="37">
        <f t="shared" si="839"/>
        <v>28.55</v>
      </c>
      <c r="N1946" s="29">
        <v>11.67</v>
      </c>
      <c r="O1946" s="319"/>
      <c r="P1946" s="97" t="s">
        <v>2827</v>
      </c>
      <c r="Q1946" s="97"/>
      <c r="R1946" s="97">
        <v>2013</v>
      </c>
      <c r="S1946" s="97"/>
      <c r="T1946" s="92">
        <v>2.88</v>
      </c>
      <c r="U1946" s="146" t="s">
        <v>1017</v>
      </c>
      <c r="W1946" s="147"/>
      <c r="X1946" s="147"/>
      <c r="Z1946" s="145" t="s">
        <v>1017</v>
      </c>
      <c r="AA1946" s="147"/>
      <c r="AD1946" s="147"/>
      <c r="AE1946" s="148" t="s">
        <v>1017</v>
      </c>
      <c r="AF1946" s="147"/>
      <c r="AG1946" s="147"/>
      <c r="AH1946" s="171" t="s">
        <v>4178</v>
      </c>
      <c r="AI1946" s="168" t="str">
        <f>IF(AND($AH1946&lt;&gt;"",AH1946 =AH1945),"Gleich","")</f>
        <v/>
      </c>
      <c r="AJ1946" s="168" t="str">
        <f>IF(AND($AH1946&lt;&gt;"",A1946 =A1945),"Gleich","")</f>
        <v/>
      </c>
      <c r="AK1946" s="168" t="str">
        <f>IF(AND($AH1946&lt;&gt;"",D1946 =D1945),"Gleich","")</f>
        <v/>
      </c>
      <c r="AL1946" s="168" t="str">
        <f>IF(AND($AH1946&lt;&gt;"",E1946 =E1945),"Gleich","")</f>
        <v>Gleich</v>
      </c>
      <c r="AM1946" s="168" t="str">
        <f>IF(AND($AH1946&lt;&gt;"",F1946 =F1945),"Gleich","")</f>
        <v/>
      </c>
      <c r="AN1946" s="167" t="str">
        <f>IF(ISERROR(SEARCH("K1",A1946)),"","20"&amp;MID(A1946,SEARCH("K1",A1946)+1,2))</f>
        <v>2013</v>
      </c>
      <c r="AO1946" s="167" t="str">
        <f>IF(ISERROR(SEARCH("erstmals 201",E1946)),"",MID(E1946,SEARCH("erstmals ",E1946)+9,4))</f>
        <v>2013</v>
      </c>
      <c r="AP1946" s="167" t="str">
        <f>IF(R1946="x","2010",IF(S1946="x","2011",IF(T1946="x","2012","")))</f>
        <v/>
      </c>
      <c r="AQ1946" s="169" t="str">
        <f>IF(OR(AH1946&lt;&gt;AN1946,AH1946&lt;&gt;AO1946,AH1946&lt;&gt;AP1946),"DIFF","")</f>
        <v>DIFF</v>
      </c>
      <c r="AR1946" s="170" t="str">
        <f>IF(A1946="","",IF(ISERROR(SEARCH("K1",A1946)),A1946,LEFT(A1946,SEARCH("K1",A1946)+1)&amp;RIGHT(AH1946,1)&amp;MID(A1946,SEARCH("K1",A1946)+3,14)))</f>
        <v>BiK81M1bK12y07</v>
      </c>
      <c r="AS1946" s="169" t="str">
        <f>IF(OR(A1946&lt;&gt;AR1946),"DIFF","")</f>
        <v>DIFF</v>
      </c>
      <c r="AT1946">
        <f>LEN(AR1946)</f>
        <v>14</v>
      </c>
      <c r="AU1946" s="170" t="str">
        <f>IF(D1946="","",IF(OR(A1946="",ISERROR(SEARCH("erstmals 201",D1946))),D1946,LEFT(D1946,SEARCH("erstmals 201",D1946)+8) &amp; AH1946 &amp; MID(D1946,SEARCH("erstmals 201",D1946)+13,255)))</f>
        <v>0-0,15 MW, Bonusregeln M1, y, b und K erstmals 2012</v>
      </c>
      <c r="AV1946" s="169" t="str">
        <f>IF(OR(D1946&lt;&gt;AU1946),"DIFF","")</f>
        <v>DIFF</v>
      </c>
      <c r="AW1946" s="170" t="str">
        <f>IF(E1946="","",IF(OR(E1946="",ISERROR(SEARCH("erstmals 201",E1946))),E1946,LEFT(E1946,SEARCH("erstmals 201",E1946)+8) &amp; AH1946 &amp; MID(E1946,SEARCH("erstmals 201",E1946)+13,255)))</f>
        <v>Anteil KWK, erstmals 2012</v>
      </c>
      <c r="AX1946" s="169" t="str">
        <f>IF(OR(E1946&lt;&gt;AW1946),"DIFF","")</f>
        <v>DIFF</v>
      </c>
      <c r="AY1946" t="str">
        <f>IF(AH1946="2011","x",IF(AH1946="2012","","" &amp; S1946))</f>
        <v/>
      </c>
      <c r="AZ1946" t="str">
        <f>IF(AH1946="2012","x",IF(AH1946="2011","","" &amp; T1946))</f>
        <v>x</v>
      </c>
    </row>
    <row r="1947" spans="1:52" s="145" customFormat="1" x14ac:dyDescent="0.35">
      <c r="A1947" s="502" t="s">
        <v>660</v>
      </c>
      <c r="B1947" s="302" t="s">
        <v>5547</v>
      </c>
      <c r="C1947" s="302" t="s">
        <v>1304</v>
      </c>
      <c r="D1947" s="302" t="s">
        <v>7210</v>
      </c>
      <c r="E1947" s="302" t="s">
        <v>2826</v>
      </c>
      <c r="F1947" s="377">
        <f t="shared" si="836"/>
        <v>20.34</v>
      </c>
      <c r="G1947" s="433">
        <f t="shared" si="837"/>
        <v>20.34</v>
      </c>
      <c r="H1947" s="402">
        <f t="shared" si="838"/>
        <v>16.27</v>
      </c>
      <c r="I1947" s="579"/>
      <c r="J1947" s="549" t="s">
        <v>5804</v>
      </c>
      <c r="K1947" s="11"/>
      <c r="L1947"/>
      <c r="M1947" s="37">
        <f t="shared" si="839"/>
        <v>20.34</v>
      </c>
      <c r="N1947" s="29">
        <v>9.4600000000000009</v>
      </c>
      <c r="O1947" s="319"/>
      <c r="P1947" s="97" t="s">
        <v>2827</v>
      </c>
      <c r="Q1947" s="97"/>
      <c r="R1947" s="97">
        <v>2013</v>
      </c>
      <c r="S1947" s="97"/>
      <c r="T1947" s="92">
        <v>2.88</v>
      </c>
      <c r="U1947" s="146"/>
      <c r="V1947" s="25"/>
      <c r="W1947" s="346"/>
      <c r="X1947" s="346"/>
      <c r="Y1947" s="25"/>
      <c r="Z1947" s="346"/>
      <c r="AA1947" s="25" t="s">
        <v>1017</v>
      </c>
      <c r="AB1947" s="25"/>
      <c r="AC1947" s="346"/>
      <c r="AD1947" s="25"/>
      <c r="AE1947" s="148"/>
      <c r="AF1947" s="147"/>
      <c r="AG1947" s="147"/>
      <c r="AH1947" s="171"/>
      <c r="AI1947" s="168"/>
      <c r="AJ1947" s="168"/>
      <c r="AK1947" s="168"/>
      <c r="AL1947" s="168"/>
      <c r="AM1947" s="168"/>
      <c r="AN1947" s="167"/>
      <c r="AO1947" s="167"/>
      <c r="AP1947" s="167"/>
      <c r="AQ1947" s="169"/>
      <c r="AR1947" s="170"/>
      <c r="AS1947" s="169"/>
      <c r="AT1947"/>
      <c r="AU1947" s="170"/>
      <c r="AV1947" s="169"/>
      <c r="AW1947" s="170"/>
      <c r="AX1947" s="169"/>
      <c r="AY1947"/>
      <c r="AZ1947"/>
    </row>
    <row r="1948" spans="1:52" s="145" customFormat="1" x14ac:dyDescent="0.35">
      <c r="A1948" s="502" t="s">
        <v>661</v>
      </c>
      <c r="B1948" s="302" t="s">
        <v>5547</v>
      </c>
      <c r="C1948" s="302" t="s">
        <v>1304</v>
      </c>
      <c r="D1948" s="302" t="s">
        <v>7078</v>
      </c>
      <c r="E1948" s="302" t="s">
        <v>2826</v>
      </c>
      <c r="F1948" s="377">
        <f t="shared" si="836"/>
        <v>21.34</v>
      </c>
      <c r="G1948" s="433">
        <f t="shared" si="837"/>
        <v>21.34</v>
      </c>
      <c r="H1948" s="402">
        <f t="shared" si="838"/>
        <v>17.07</v>
      </c>
      <c r="I1948" s="579"/>
      <c r="J1948" s="549" t="s">
        <v>5804</v>
      </c>
      <c r="K1948" s="11"/>
      <c r="L1948"/>
      <c r="M1948" s="37">
        <f t="shared" si="839"/>
        <v>21.34</v>
      </c>
      <c r="N1948" s="29">
        <v>9.4600000000000009</v>
      </c>
      <c r="O1948" s="319"/>
      <c r="P1948" s="97" t="s">
        <v>2827</v>
      </c>
      <c r="Q1948" s="97"/>
      <c r="R1948" s="97">
        <v>2013</v>
      </c>
      <c r="S1948" s="97"/>
      <c r="T1948" s="92">
        <v>2.88</v>
      </c>
      <c r="U1948" s="146" t="s">
        <v>1017</v>
      </c>
      <c r="V1948" s="25"/>
      <c r="W1948" s="346"/>
      <c r="X1948" s="346"/>
      <c r="Y1948" s="25"/>
      <c r="Z1948" s="346"/>
      <c r="AA1948" s="25" t="s">
        <v>1017</v>
      </c>
      <c r="AB1948" s="25"/>
      <c r="AC1948" s="346"/>
      <c r="AD1948" s="25"/>
      <c r="AE1948" s="148"/>
      <c r="AF1948" s="147"/>
      <c r="AG1948" s="147"/>
      <c r="AH1948" s="171"/>
      <c r="AI1948" s="168"/>
      <c r="AJ1948" s="168"/>
      <c r="AK1948" s="168"/>
      <c r="AL1948" s="168"/>
      <c r="AM1948" s="168"/>
      <c r="AN1948" s="167"/>
      <c r="AO1948" s="167"/>
      <c r="AP1948" s="167"/>
      <c r="AQ1948" s="169"/>
      <c r="AR1948" s="170"/>
      <c r="AS1948" s="169"/>
      <c r="AT1948"/>
      <c r="AU1948" s="170"/>
      <c r="AV1948" s="169"/>
      <c r="AW1948" s="170"/>
      <c r="AX1948" s="169"/>
      <c r="AY1948"/>
      <c r="AZ1948"/>
    </row>
    <row r="1949" spans="1:52" s="145" customFormat="1" x14ac:dyDescent="0.35">
      <c r="A1949" s="502" t="s">
        <v>5627</v>
      </c>
      <c r="B1949" s="302" t="s">
        <v>5547</v>
      </c>
      <c r="C1949" s="302" t="s">
        <v>1304</v>
      </c>
      <c r="D1949" s="302" t="s">
        <v>7211</v>
      </c>
      <c r="E1949" s="302" t="s">
        <v>2826</v>
      </c>
      <c r="F1949" s="377">
        <f t="shared" si="836"/>
        <v>23.34</v>
      </c>
      <c r="G1949" s="433">
        <f t="shared" si="837"/>
        <v>23.34</v>
      </c>
      <c r="H1949" s="402">
        <f t="shared" si="838"/>
        <v>18.670000000000002</v>
      </c>
      <c r="I1949" s="579"/>
      <c r="J1949" s="549" t="s">
        <v>5804</v>
      </c>
      <c r="K1949" s="11"/>
      <c r="L1949"/>
      <c r="M1949" s="37">
        <f t="shared" si="839"/>
        <v>23.34</v>
      </c>
      <c r="N1949" s="29">
        <v>9.4600000000000009</v>
      </c>
      <c r="O1949" s="319"/>
      <c r="P1949" s="97" t="s">
        <v>2827</v>
      </c>
      <c r="Q1949" s="97"/>
      <c r="R1949" s="97">
        <v>2013</v>
      </c>
      <c r="S1949" s="97"/>
      <c r="T1949" s="92">
        <v>2.88</v>
      </c>
      <c r="U1949" s="146" t="s">
        <v>1017</v>
      </c>
      <c r="W1949" s="147"/>
      <c r="X1949" s="147"/>
      <c r="Z1949" s="147"/>
      <c r="AA1949" s="145" t="s">
        <v>1017</v>
      </c>
      <c r="AC1949" s="147"/>
      <c r="AE1949" s="148" t="s">
        <v>1017</v>
      </c>
      <c r="AF1949" s="147"/>
      <c r="AG1949" s="147"/>
      <c r="AH1949" s="171" t="s">
        <v>4178</v>
      </c>
      <c r="AI1949" s="168" t="str">
        <f>IF(AND($AH1949&lt;&gt;"",AH1949 =AH1948),"Gleich","")</f>
        <v/>
      </c>
      <c r="AJ1949" s="168" t="str">
        <f>IF(AND($AH1949&lt;&gt;"",A1949 =A1948),"Gleich","")</f>
        <v/>
      </c>
      <c r="AK1949" s="168" t="str">
        <f>IF(AND($AH1949&lt;&gt;"",D1949 =D1948),"Gleich","")</f>
        <v/>
      </c>
      <c r="AL1949" s="168" t="str">
        <f>IF(AND($AH1949&lt;&gt;"",E1949 =E1948),"Gleich","")</f>
        <v>Gleich</v>
      </c>
      <c r="AM1949" s="168" t="str">
        <f>IF(AND($AH1949&lt;&gt;"",F1949 =F1948),"Gleich","")</f>
        <v/>
      </c>
      <c r="AN1949" s="167" t="str">
        <f>IF(ISERROR(SEARCH("K1",A1949)),"","20"&amp;MID(A1949,SEARCH("K1",A1949)+1,2))</f>
        <v>2013</v>
      </c>
      <c r="AO1949" s="167" t="str">
        <f>IF(ISERROR(SEARCH("erstmals 201",E1949)),"",MID(E1949,SEARCH("erstmals ",E1949)+9,4))</f>
        <v>2013</v>
      </c>
      <c r="AP1949" s="167" t="str">
        <f t="shared" ref="AP1949:AP1958" si="840">IF(R1949="x","2010",IF(S1949="x","2011",IF(T1949="x","2012","")))</f>
        <v/>
      </c>
      <c r="AQ1949" s="169" t="str">
        <f>IF(OR(AH1949&lt;&gt;AN1949,AH1949&lt;&gt;AO1949,AH1949&lt;&gt;AP1949),"DIFF","")</f>
        <v>DIFF</v>
      </c>
      <c r="AR1949" s="170" t="str">
        <f>IF(A1949="","",IF(ISERROR(SEARCH("K1",A1949)),A1949,LEFT(A1949,SEARCH("K1",A1949)+1)&amp;RIGHT(AH1949,1)&amp;MID(A1949,SEARCH("K1",A1949)+3,14)))</f>
        <v>BiK82M2bK12y07</v>
      </c>
      <c r="AS1949" s="169" t="str">
        <f>IF(OR(A1949&lt;&gt;AR1949),"DIFF","")</f>
        <v>DIFF</v>
      </c>
      <c r="AT1949">
        <f>LEN(AR1949)</f>
        <v>14</v>
      </c>
      <c r="AU1949" s="170" t="str">
        <f>IF(D1949="","",IF(OR(A1949="",ISERROR(SEARCH("erstmals 201",D1949))),D1949,LEFT(D1949,SEARCH("erstmals 201",D1949)+8) &amp; AH1949 &amp; MID(D1949,SEARCH("erstmals 201",D1949)+13,255)))</f>
        <v>0,15-0,5 MW, Bonusregeln M2, y, b und K erstmals 2012</v>
      </c>
      <c r="AV1949" s="169" t="str">
        <f>IF(OR(D1949&lt;&gt;AU1949),"DIFF","")</f>
        <v>DIFF</v>
      </c>
      <c r="AW1949" s="170" t="str">
        <f>IF(E1949="","",IF(OR(E1949="",ISERROR(SEARCH("erstmals 201",E1949))),E1949,LEFT(E1949,SEARCH("erstmals 201",E1949)+8) &amp; AH1949 &amp; MID(E1949,SEARCH("erstmals 201",E1949)+13,255)))</f>
        <v>Anteil KWK, erstmals 2012</v>
      </c>
      <c r="AX1949" s="169" t="str">
        <f>IF(OR(E1949&lt;&gt;AW1949),"DIFF","")</f>
        <v>DIFF</v>
      </c>
      <c r="AY1949" t="str">
        <f>IF(AH1949="2011","x",IF(AH1949="2012","","" &amp; S1949))</f>
        <v/>
      </c>
      <c r="AZ1949" t="str">
        <f>IF(AH1949="2012","x",IF(AH1949="2011","","" &amp; T1949))</f>
        <v>x</v>
      </c>
    </row>
    <row r="1950" spans="1:52" x14ac:dyDescent="0.35">
      <c r="A1950" s="502" t="s">
        <v>662</v>
      </c>
      <c r="B1950" s="302" t="s">
        <v>5547</v>
      </c>
      <c r="C1950" s="302" t="s">
        <v>1304</v>
      </c>
      <c r="D1950" s="302" t="s">
        <v>6800</v>
      </c>
      <c r="E1950" s="302" t="s">
        <v>2826</v>
      </c>
      <c r="F1950" s="377">
        <f t="shared" si="836"/>
        <v>15.39</v>
      </c>
      <c r="G1950" s="433">
        <f t="shared" si="837"/>
        <v>15.39</v>
      </c>
      <c r="H1950" s="402">
        <f t="shared" si="838"/>
        <v>12.31</v>
      </c>
      <c r="I1950" s="579"/>
      <c r="J1950" s="549" t="s">
        <v>5804</v>
      </c>
      <c r="K1950" s="11"/>
      <c r="M1950" s="37">
        <f t="shared" si="839"/>
        <v>15.39</v>
      </c>
      <c r="N1950" s="29">
        <v>8.51</v>
      </c>
      <c r="O1950" s="319"/>
      <c r="P1950" s="97" t="s">
        <v>2827</v>
      </c>
      <c r="Q1950" s="97"/>
      <c r="R1950" s="97">
        <v>2013</v>
      </c>
      <c r="S1950" s="97"/>
      <c r="T1950" s="92">
        <v>2.88</v>
      </c>
      <c r="U1950" s="60"/>
      <c r="V1950" s="346"/>
      <c r="W1950" s="25" t="s">
        <v>1017</v>
      </c>
      <c r="X1950" s="25"/>
      <c r="Y1950" s="346"/>
      <c r="Z1950" s="346"/>
      <c r="AA1950" s="346"/>
      <c r="AB1950" s="346"/>
      <c r="AC1950" s="346"/>
      <c r="AD1950" s="346"/>
      <c r="AE1950" s="75"/>
      <c r="AF1950" s="50"/>
      <c r="AG1950" s="50"/>
      <c r="AH1950" s="166"/>
      <c r="AI1950" s="168"/>
      <c r="AJ1950" s="168"/>
      <c r="AK1950" s="168"/>
      <c r="AL1950" s="168"/>
      <c r="AM1950" s="168"/>
      <c r="AN1950" s="167"/>
      <c r="AO1950" s="167"/>
      <c r="AP1950" s="167" t="str">
        <f t="shared" si="840"/>
        <v/>
      </c>
      <c r="AQ1950" s="169"/>
      <c r="AR1950" s="170"/>
      <c r="AS1950" s="169"/>
      <c r="AU1950" s="170"/>
      <c r="AV1950" s="169"/>
      <c r="AW1950" s="170"/>
      <c r="AX1950" s="169"/>
    </row>
    <row r="1951" spans="1:52" x14ac:dyDescent="0.35">
      <c r="A1951" s="502" t="s">
        <v>6486</v>
      </c>
      <c r="B1951" s="302" t="s">
        <v>5547</v>
      </c>
      <c r="C1951" s="302" t="s">
        <v>1304</v>
      </c>
      <c r="D1951" s="301" t="s">
        <v>6798</v>
      </c>
      <c r="E1951" s="302" t="s">
        <v>2826</v>
      </c>
      <c r="F1951" s="377">
        <v>17.39</v>
      </c>
      <c r="G1951" s="433">
        <f t="shared" si="837"/>
        <v>17.39</v>
      </c>
      <c r="H1951" s="402">
        <f t="shared" si="838"/>
        <v>13.91</v>
      </c>
      <c r="I1951" s="579"/>
      <c r="J1951" s="549">
        <v>43593</v>
      </c>
      <c r="K1951" s="11"/>
      <c r="M1951" s="37">
        <f t="shared" si="839"/>
        <v>17.39</v>
      </c>
      <c r="N1951" s="29">
        <v>8.51</v>
      </c>
      <c r="O1951" s="319"/>
      <c r="P1951" s="97" t="s">
        <v>2827</v>
      </c>
      <c r="Q1951" s="97"/>
      <c r="R1951" s="97">
        <v>2013</v>
      </c>
      <c r="S1951" s="97"/>
      <c r="T1951" s="92">
        <v>2.88</v>
      </c>
      <c r="U1951" s="60"/>
      <c r="V1951" s="346"/>
      <c r="W1951" s="25" t="s">
        <v>1017</v>
      </c>
      <c r="X1951" s="25"/>
      <c r="Y1951" s="346"/>
      <c r="Z1951" s="346"/>
      <c r="AA1951" s="346"/>
      <c r="AB1951" s="346"/>
      <c r="AC1951" s="346"/>
      <c r="AD1951" s="346"/>
      <c r="AE1951" s="75" t="s">
        <v>1017</v>
      </c>
      <c r="AF1951" s="50"/>
      <c r="AG1951" s="50"/>
      <c r="AH1951" s="166"/>
      <c r="AI1951" s="168"/>
      <c r="AJ1951" s="168"/>
      <c r="AK1951" s="168"/>
      <c r="AL1951" s="168"/>
      <c r="AM1951" s="168"/>
      <c r="AN1951" s="167"/>
      <c r="AO1951" s="167"/>
      <c r="AP1951" s="167" t="str">
        <f t="shared" si="840"/>
        <v/>
      </c>
      <c r="AQ1951" s="169"/>
      <c r="AR1951" s="170"/>
      <c r="AS1951" s="169"/>
      <c r="AU1951" s="170"/>
      <c r="AV1951" s="169"/>
      <c r="AW1951" s="170"/>
      <c r="AX1951" s="169"/>
    </row>
    <row r="1952" spans="1:52" x14ac:dyDescent="0.35">
      <c r="A1952" s="502" t="s">
        <v>5622</v>
      </c>
      <c r="B1952" s="302" t="s">
        <v>5547</v>
      </c>
      <c r="C1952" s="302" t="s">
        <v>1304</v>
      </c>
      <c r="D1952" s="302" t="s">
        <v>7016</v>
      </c>
      <c r="E1952" s="302" t="s">
        <v>5624</v>
      </c>
      <c r="F1952" s="377">
        <f t="shared" ref="F1952:F1982" si="841">M1952</f>
        <v>25.490000000000002</v>
      </c>
      <c r="G1952" s="433">
        <f t="shared" si="837"/>
        <v>25.490000000000002</v>
      </c>
      <c r="H1952" s="402">
        <f t="shared" si="838"/>
        <v>20.39</v>
      </c>
      <c r="I1952" s="579"/>
      <c r="J1952" s="549" t="s">
        <v>5804</v>
      </c>
      <c r="K1952" s="11"/>
      <c r="M1952" s="37">
        <f t="shared" si="839"/>
        <v>25.490000000000002</v>
      </c>
      <c r="N1952" s="29">
        <v>11.67</v>
      </c>
      <c r="O1952" s="319"/>
      <c r="P1952" s="97" t="s">
        <v>2827</v>
      </c>
      <c r="Q1952" s="97"/>
      <c r="R1952" s="97">
        <v>2015</v>
      </c>
      <c r="S1952" s="97"/>
      <c r="T1952" s="92">
        <v>2.82</v>
      </c>
      <c r="U1952" s="146"/>
      <c r="V1952" s="145"/>
      <c r="W1952" s="147"/>
      <c r="X1952" s="147"/>
      <c r="Y1952" s="145"/>
      <c r="Z1952" s="145" t="s">
        <v>1017</v>
      </c>
      <c r="AA1952" s="147"/>
      <c r="AB1952" s="145"/>
      <c r="AC1952" s="145"/>
      <c r="AD1952" s="147"/>
      <c r="AE1952" s="148"/>
      <c r="AF1952" s="147"/>
      <c r="AG1952" s="147"/>
      <c r="AH1952" s="171" t="s">
        <v>4178</v>
      </c>
      <c r="AI1952" s="168" t="str">
        <f>IF(AND($AH1952&lt;&gt;"",AH1952 =AH1950),"Gleich","")</f>
        <v/>
      </c>
      <c r="AJ1952" s="168" t="str">
        <f>IF(AND($AH1952&lt;&gt;"",A1952 =A1950),"Gleich","")</f>
        <v/>
      </c>
      <c r="AK1952" s="168" t="str">
        <f>IF(AND($AH1952&lt;&gt;"",D1952 =D1950),"Gleich","")</f>
        <v/>
      </c>
      <c r="AL1952" s="168" t="str">
        <f>IF(AND($AH1952&lt;&gt;"",E1952 =E1950),"Gleich","")</f>
        <v/>
      </c>
      <c r="AM1952" s="168" t="str">
        <f>IF(AND($AH1952&lt;&gt;"",F1952 =F1950),"Gleich","")</f>
        <v/>
      </c>
      <c r="AN1952" s="167" t="str">
        <f t="shared" ref="AN1952:AN1958" si="842">IF(ISERROR(SEARCH("K1",A1952)),"","20"&amp;MID(A1952,SEARCH("K1",A1952)+1,2))</f>
        <v>2015</v>
      </c>
      <c r="AO1952" s="167" t="str">
        <f t="shared" ref="AO1952:AO1958" si="843">IF(ISERROR(SEARCH("erstmals 201",E1952)),"",MID(E1952,SEARCH("erstmals ",E1952)+9,4))</f>
        <v>2015</v>
      </c>
      <c r="AP1952" s="167" t="str">
        <f t="shared" si="840"/>
        <v/>
      </c>
      <c r="AQ1952" s="169" t="str">
        <f t="shared" ref="AQ1952:AQ1958" si="844">IF(OR(AH1952&lt;&gt;AN1952,AH1952&lt;&gt;AO1952,AH1952&lt;&gt;AP1952),"DIFF","")</f>
        <v>DIFF</v>
      </c>
      <c r="AR1952" s="170" t="str">
        <f t="shared" ref="AR1952:AR1958" si="845">IF(A1952="","",IF(ISERROR(SEARCH("K1",A1952)),A1952,LEFT(A1952,SEARCH("K1",A1952)+1)&amp;RIGHT(AH1952,1)&amp;MID(A1952,SEARCH("K1",A1952)+3,14)))</f>
        <v>BiK81M1K12--07</v>
      </c>
      <c r="AS1952" s="169" t="str">
        <f t="shared" ref="AS1952:AS1958" si="846">IF(OR(A1952&lt;&gt;AR1952),"DIFF","")</f>
        <v>DIFF</v>
      </c>
      <c r="AT1952">
        <f t="shared" ref="AT1952:AT1958" si="847">LEN(AR1952)</f>
        <v>14</v>
      </c>
      <c r="AU1952" s="170" t="str">
        <f t="shared" ref="AU1952:AU1958" si="848">IF(D1952="","",IF(OR(A1952="",ISERROR(SEARCH("erstmals 201",D1952))),D1952,LEFT(D1952,SEARCH("erstmals 201",D1952)+8) &amp; AH1952 &amp; MID(D1952,SEARCH("erstmals 201",D1952)+13,255)))</f>
        <v>0-0,15 MW, Bonusregeln M1, K erstmals 2012</v>
      </c>
      <c r="AV1952" s="169" t="str">
        <f t="shared" ref="AV1952:AV1958" si="849">IF(OR(D1952&lt;&gt;AU1952),"DIFF","")</f>
        <v>DIFF</v>
      </c>
      <c r="AW1952" s="170" t="str">
        <f t="shared" ref="AW1952:AW1958" si="850">IF(E1952="","",IF(OR(E1952="",ISERROR(SEARCH("erstmals 201",E1952))),E1952,LEFT(E1952,SEARCH("erstmals 201",E1952)+8) &amp; AH1952 &amp; MID(E1952,SEARCH("erstmals 201",E1952)+13,255)))</f>
        <v>Anteil KWK, erstmals 2012</v>
      </c>
      <c r="AX1952" s="169" t="str">
        <f t="shared" ref="AX1952:AX1958" si="851">IF(OR(E1952&lt;&gt;AW1952),"DIFF","")</f>
        <v>DIFF</v>
      </c>
      <c r="AY1952" t="str">
        <f t="shared" ref="AY1952:AY1958" si="852">IF(AH1952="2011","x",IF(AH1952="2012","","" &amp; S1952))</f>
        <v/>
      </c>
      <c r="AZ1952" t="str">
        <f t="shared" ref="AZ1952:AZ1958" si="853">IF(AH1952="2012","x",IF(AH1952="2011","","" &amp; T1952))</f>
        <v>x</v>
      </c>
    </row>
    <row r="1953" spans="1:52" x14ac:dyDescent="0.35">
      <c r="A1953" s="502" t="s">
        <v>5789</v>
      </c>
      <c r="B1953" s="302" t="s">
        <v>5547</v>
      </c>
      <c r="C1953" s="302" t="s">
        <v>1304</v>
      </c>
      <c r="D1953" s="302" t="s">
        <v>6858</v>
      </c>
      <c r="E1953" s="302" t="s">
        <v>5624</v>
      </c>
      <c r="F1953" s="377">
        <f t="shared" si="841"/>
        <v>26.490000000000002</v>
      </c>
      <c r="G1953" s="433">
        <f t="shared" si="837"/>
        <v>26.490000000000002</v>
      </c>
      <c r="H1953" s="402">
        <f t="shared" si="838"/>
        <v>21.19</v>
      </c>
      <c r="I1953" s="579"/>
      <c r="J1953" s="549" t="s">
        <v>5804</v>
      </c>
      <c r="K1953" s="11"/>
      <c r="M1953" s="37">
        <f t="shared" si="839"/>
        <v>26.490000000000002</v>
      </c>
      <c r="N1953" s="29">
        <v>11.67</v>
      </c>
      <c r="O1953" s="319"/>
      <c r="P1953" s="97" t="s">
        <v>2827</v>
      </c>
      <c r="Q1953" s="97"/>
      <c r="R1953" s="97">
        <v>2015</v>
      </c>
      <c r="S1953" s="97"/>
      <c r="T1953" s="92">
        <v>2.82</v>
      </c>
      <c r="U1953" s="146" t="s">
        <v>1017</v>
      </c>
      <c r="V1953" s="145"/>
      <c r="W1953" s="147"/>
      <c r="X1953" s="147"/>
      <c r="Y1953" s="145"/>
      <c r="Z1953" s="145" t="s">
        <v>1017</v>
      </c>
      <c r="AA1953" s="147"/>
      <c r="AB1953" s="145"/>
      <c r="AC1953" s="145"/>
      <c r="AD1953" s="147"/>
      <c r="AE1953" s="148"/>
      <c r="AF1953" s="147"/>
      <c r="AG1953" s="147"/>
      <c r="AH1953" s="171" t="s">
        <v>4178</v>
      </c>
      <c r="AI1953" s="168" t="str">
        <f>IF(AND($AH1953&lt;&gt;"",AH1953 =AH1952),"Gleich","")</f>
        <v>Gleich</v>
      </c>
      <c r="AJ1953" s="168" t="str">
        <f>IF(AND($AH1953&lt;&gt;"",A1953 =A1952),"Gleich","")</f>
        <v/>
      </c>
      <c r="AK1953" s="168" t="str">
        <f>IF(AND($AH1953&lt;&gt;"",D1953 =D1952),"Gleich","")</f>
        <v/>
      </c>
      <c r="AL1953" s="168" t="str">
        <f>IF(AND($AH1953&lt;&gt;"",E1953 =E1952),"Gleich","")</f>
        <v>Gleich</v>
      </c>
      <c r="AM1953" s="168" t="str">
        <f>IF(AND($AH1953&lt;&gt;"",F1953 =F1952),"Gleich","")</f>
        <v/>
      </c>
      <c r="AN1953" s="167" t="str">
        <f t="shared" si="842"/>
        <v>2015</v>
      </c>
      <c r="AO1953" s="167" t="str">
        <f t="shared" si="843"/>
        <v>2015</v>
      </c>
      <c r="AP1953" s="167" t="str">
        <f t="shared" si="840"/>
        <v/>
      </c>
      <c r="AQ1953" s="169" t="str">
        <f t="shared" si="844"/>
        <v>DIFF</v>
      </c>
      <c r="AR1953" s="170" t="str">
        <f t="shared" si="845"/>
        <v>BiK81M1K12y-07</v>
      </c>
      <c r="AS1953" s="169" t="str">
        <f t="shared" si="846"/>
        <v>DIFF</v>
      </c>
      <c r="AT1953">
        <f t="shared" si="847"/>
        <v>14</v>
      </c>
      <c r="AU1953" s="170" t="str">
        <f t="shared" si="848"/>
        <v>0-0,15 MW, Bonusregeln M1, y und K erstmals 2012</v>
      </c>
      <c r="AV1953" s="169" t="str">
        <f t="shared" si="849"/>
        <v>DIFF</v>
      </c>
      <c r="AW1953" s="170" t="str">
        <f t="shared" si="850"/>
        <v>Anteil KWK, erstmals 2012</v>
      </c>
      <c r="AX1953" s="169" t="str">
        <f t="shared" si="851"/>
        <v>DIFF</v>
      </c>
      <c r="AY1953" t="str">
        <f t="shared" si="852"/>
        <v/>
      </c>
      <c r="AZ1953" t="str">
        <f t="shared" si="853"/>
        <v>x</v>
      </c>
    </row>
    <row r="1954" spans="1:52" s="145" customFormat="1" x14ac:dyDescent="0.35">
      <c r="A1954" s="502" t="s">
        <v>5790</v>
      </c>
      <c r="B1954" s="302" t="s">
        <v>5547</v>
      </c>
      <c r="C1954" s="302" t="s">
        <v>1304</v>
      </c>
      <c r="D1954" s="302" t="s">
        <v>6997</v>
      </c>
      <c r="E1954" s="302" t="s">
        <v>5624</v>
      </c>
      <c r="F1954" s="377">
        <f t="shared" si="841"/>
        <v>28.490000000000002</v>
      </c>
      <c r="G1954" s="433">
        <f t="shared" si="837"/>
        <v>28.490000000000002</v>
      </c>
      <c r="H1954" s="402">
        <f t="shared" si="838"/>
        <v>22.79</v>
      </c>
      <c r="I1954" s="579"/>
      <c r="J1954" s="549" t="s">
        <v>5804</v>
      </c>
      <c r="K1954" s="11"/>
      <c r="L1954"/>
      <c r="M1954" s="37">
        <f t="shared" si="839"/>
        <v>28.490000000000002</v>
      </c>
      <c r="N1954" s="29">
        <v>11.67</v>
      </c>
      <c r="O1954" s="319"/>
      <c r="P1954" s="97" t="s">
        <v>2827</v>
      </c>
      <c r="Q1954" s="97"/>
      <c r="R1954" s="97">
        <v>2015</v>
      </c>
      <c r="S1954" s="97"/>
      <c r="T1954" s="92">
        <v>2.82</v>
      </c>
      <c r="U1954" s="146" t="s">
        <v>1017</v>
      </c>
      <c r="W1954" s="147"/>
      <c r="X1954" s="147"/>
      <c r="Z1954" s="145" t="s">
        <v>1017</v>
      </c>
      <c r="AA1954" s="147"/>
      <c r="AD1954" s="147"/>
      <c r="AE1954" s="148" t="s">
        <v>1017</v>
      </c>
      <c r="AF1954" s="147"/>
      <c r="AG1954" s="147"/>
      <c r="AH1954" s="171" t="s">
        <v>4178</v>
      </c>
      <c r="AI1954" s="168" t="str">
        <f>IF(AND($AH1954&lt;&gt;"",AH1954 =AH1952),"Gleich","")</f>
        <v>Gleich</v>
      </c>
      <c r="AJ1954" s="168" t="str">
        <f>IF(AND($AH1954&lt;&gt;"",A1954 =A1952),"Gleich","")</f>
        <v/>
      </c>
      <c r="AK1954" s="168" t="str">
        <f>IF(AND($AH1954&lt;&gt;"",D1954 =D1952),"Gleich","")</f>
        <v/>
      </c>
      <c r="AL1954" s="168" t="str">
        <f>IF(AND($AH1954&lt;&gt;"",E1954 =E1952),"Gleich","")</f>
        <v>Gleich</v>
      </c>
      <c r="AM1954" s="168" t="str">
        <f>IF(AND($AH1954&lt;&gt;"",F1954 =F1952),"Gleich","")</f>
        <v/>
      </c>
      <c r="AN1954" s="167" t="str">
        <f t="shared" si="842"/>
        <v>2015</v>
      </c>
      <c r="AO1954" s="167" t="str">
        <f t="shared" si="843"/>
        <v>2015</v>
      </c>
      <c r="AP1954" s="167" t="str">
        <f t="shared" si="840"/>
        <v/>
      </c>
      <c r="AQ1954" s="169" t="str">
        <f t="shared" si="844"/>
        <v>DIFF</v>
      </c>
      <c r="AR1954" s="170" t="str">
        <f t="shared" si="845"/>
        <v>BiK81M1bK12y07</v>
      </c>
      <c r="AS1954" s="169" t="str">
        <f t="shared" si="846"/>
        <v>DIFF</v>
      </c>
      <c r="AT1954">
        <f t="shared" si="847"/>
        <v>14</v>
      </c>
      <c r="AU1954" s="170" t="str">
        <f t="shared" si="848"/>
        <v>0-0,15 MW, Bonusregeln M1, y, b und K erstmals 2012</v>
      </c>
      <c r="AV1954" s="169" t="str">
        <f t="shared" si="849"/>
        <v>DIFF</v>
      </c>
      <c r="AW1954" s="170" t="str">
        <f t="shared" si="850"/>
        <v>Anteil KWK, erstmals 2012</v>
      </c>
      <c r="AX1954" s="169" t="str">
        <f t="shared" si="851"/>
        <v>DIFF</v>
      </c>
      <c r="AY1954" t="str">
        <f t="shared" si="852"/>
        <v/>
      </c>
      <c r="AZ1954" t="str">
        <f t="shared" si="853"/>
        <v>x</v>
      </c>
    </row>
    <row r="1955" spans="1:52" s="145" customFormat="1" x14ac:dyDescent="0.35">
      <c r="A1955" s="502" t="s">
        <v>5623</v>
      </c>
      <c r="B1955" s="302" t="s">
        <v>5547</v>
      </c>
      <c r="C1955" s="302" t="s">
        <v>1304</v>
      </c>
      <c r="D1955" s="302" t="s">
        <v>7235</v>
      </c>
      <c r="E1955" s="302" t="s">
        <v>5624</v>
      </c>
      <c r="F1955" s="377">
        <f t="shared" si="841"/>
        <v>20.28</v>
      </c>
      <c r="G1955" s="433">
        <f t="shared" si="837"/>
        <v>20.28</v>
      </c>
      <c r="H1955" s="402">
        <f t="shared" si="838"/>
        <v>16.22</v>
      </c>
      <c r="I1955" s="579"/>
      <c r="J1955" s="549" t="s">
        <v>5804</v>
      </c>
      <c r="K1955" s="11"/>
      <c r="L1955"/>
      <c r="M1955" s="37">
        <f t="shared" si="839"/>
        <v>20.28</v>
      </c>
      <c r="N1955" s="29">
        <v>9.4600000000000009</v>
      </c>
      <c r="O1955" s="319"/>
      <c r="P1955" s="97" t="s">
        <v>2827</v>
      </c>
      <c r="Q1955" s="97"/>
      <c r="R1955" s="97">
        <v>2015</v>
      </c>
      <c r="S1955" s="97"/>
      <c r="T1955" s="92">
        <v>2.82</v>
      </c>
      <c r="U1955" s="146"/>
      <c r="W1955" s="147"/>
      <c r="X1955" s="147"/>
      <c r="Z1955" s="147"/>
      <c r="AA1955" s="145" t="s">
        <v>1017</v>
      </c>
      <c r="AC1955" s="147"/>
      <c r="AE1955" s="148"/>
      <c r="AF1955" s="147"/>
      <c r="AG1955" s="147"/>
      <c r="AH1955" s="171" t="s">
        <v>4178</v>
      </c>
      <c r="AI1955" s="168" t="str">
        <f>IF(AND($AH1955&lt;&gt;"",AH1955 =AH1952),"Gleich","")</f>
        <v>Gleich</v>
      </c>
      <c r="AJ1955" s="168" t="str">
        <f>IF(AND($AH1955&lt;&gt;"",A1955 =A1952),"Gleich","")</f>
        <v/>
      </c>
      <c r="AK1955" s="168" t="str">
        <f>IF(AND($AH1955&lt;&gt;"",D1955 =D1952),"Gleich","")</f>
        <v/>
      </c>
      <c r="AL1955" s="168" t="str">
        <f>IF(AND($AH1955&lt;&gt;"",E1955 =E1952),"Gleich","")</f>
        <v>Gleich</v>
      </c>
      <c r="AM1955" s="168" t="str">
        <f>IF(AND($AH1955&lt;&gt;"",F1955 =F1952),"Gleich","")</f>
        <v/>
      </c>
      <c r="AN1955" s="167" t="str">
        <f t="shared" si="842"/>
        <v>2015</v>
      </c>
      <c r="AO1955" s="167" t="str">
        <f t="shared" si="843"/>
        <v>2015</v>
      </c>
      <c r="AP1955" s="167" t="str">
        <f t="shared" si="840"/>
        <v/>
      </c>
      <c r="AQ1955" s="169" t="str">
        <f t="shared" si="844"/>
        <v>DIFF</v>
      </c>
      <c r="AR1955" s="170" t="str">
        <f t="shared" si="845"/>
        <v>BiK82M2K12--07</v>
      </c>
      <c r="AS1955" s="169" t="str">
        <f t="shared" si="846"/>
        <v>DIFF</v>
      </c>
      <c r="AT1955">
        <f t="shared" si="847"/>
        <v>14</v>
      </c>
      <c r="AU1955" s="170" t="str">
        <f t="shared" si="848"/>
        <v>0,15-0,5 MW, Bonusregeln M2, K erstmals 2012</v>
      </c>
      <c r="AV1955" s="169" t="str">
        <f t="shared" si="849"/>
        <v>DIFF</v>
      </c>
      <c r="AW1955" s="170" t="str">
        <f t="shared" si="850"/>
        <v>Anteil KWK, erstmals 2012</v>
      </c>
      <c r="AX1955" s="169" t="str">
        <f t="shared" si="851"/>
        <v>DIFF</v>
      </c>
      <c r="AY1955" t="str">
        <f t="shared" si="852"/>
        <v/>
      </c>
      <c r="AZ1955" t="str">
        <f t="shared" si="853"/>
        <v>x</v>
      </c>
    </row>
    <row r="1956" spans="1:52" s="145" customFormat="1" x14ac:dyDescent="0.35">
      <c r="A1956" s="502" t="s">
        <v>5791</v>
      </c>
      <c r="B1956" s="302" t="s">
        <v>5547</v>
      </c>
      <c r="C1956" s="302" t="s">
        <v>1304</v>
      </c>
      <c r="D1956" s="302" t="s">
        <v>7083</v>
      </c>
      <c r="E1956" s="302" t="s">
        <v>5624</v>
      </c>
      <c r="F1956" s="377">
        <f t="shared" si="841"/>
        <v>21.28</v>
      </c>
      <c r="G1956" s="433">
        <f t="shared" si="837"/>
        <v>21.28</v>
      </c>
      <c r="H1956" s="402">
        <f t="shared" si="838"/>
        <v>17.02</v>
      </c>
      <c r="I1956" s="579"/>
      <c r="J1956" s="549" t="s">
        <v>5804</v>
      </c>
      <c r="K1956" s="11"/>
      <c r="L1956"/>
      <c r="M1956" s="37">
        <f t="shared" si="839"/>
        <v>21.28</v>
      </c>
      <c r="N1956" s="29">
        <v>9.4600000000000009</v>
      </c>
      <c r="O1956" s="319"/>
      <c r="P1956" s="97" t="s">
        <v>2827</v>
      </c>
      <c r="Q1956" s="97"/>
      <c r="R1956" s="97">
        <v>2015</v>
      </c>
      <c r="S1956" s="97"/>
      <c r="T1956" s="92">
        <v>2.82</v>
      </c>
      <c r="U1956" s="146" t="s">
        <v>1017</v>
      </c>
      <c r="W1956" s="147"/>
      <c r="X1956" s="147"/>
      <c r="Z1956" s="147"/>
      <c r="AA1956" s="145" t="s">
        <v>1017</v>
      </c>
      <c r="AC1956" s="147"/>
      <c r="AE1956" s="148"/>
      <c r="AF1956" s="147"/>
      <c r="AG1956" s="147"/>
      <c r="AH1956" s="171" t="s">
        <v>4178</v>
      </c>
      <c r="AI1956" s="168" t="str">
        <f>IF(AND($AH1956&lt;&gt;"",AH1956 =AH1955),"Gleich","")</f>
        <v>Gleich</v>
      </c>
      <c r="AJ1956" s="168" t="str">
        <f>IF(AND($AH1956&lt;&gt;"",A1956 =A1955),"Gleich","")</f>
        <v/>
      </c>
      <c r="AK1956" s="168" t="str">
        <f>IF(AND($AH1956&lt;&gt;"",D1956 =D1955),"Gleich","")</f>
        <v/>
      </c>
      <c r="AL1956" s="168" t="str">
        <f>IF(AND($AH1956&lt;&gt;"",E1956 =E1955),"Gleich","")</f>
        <v>Gleich</v>
      </c>
      <c r="AM1956" s="168" t="str">
        <f>IF(AND($AH1956&lt;&gt;"",F1956 =F1955),"Gleich","")</f>
        <v/>
      </c>
      <c r="AN1956" s="167" t="str">
        <f t="shared" si="842"/>
        <v>2015</v>
      </c>
      <c r="AO1956" s="167" t="str">
        <f t="shared" si="843"/>
        <v>2015</v>
      </c>
      <c r="AP1956" s="167" t="str">
        <f t="shared" si="840"/>
        <v/>
      </c>
      <c r="AQ1956" s="169" t="str">
        <f t="shared" si="844"/>
        <v>DIFF</v>
      </c>
      <c r="AR1956" s="170" t="str">
        <f t="shared" si="845"/>
        <v>BiK82M2K12y-07</v>
      </c>
      <c r="AS1956" s="169" t="str">
        <f t="shared" si="846"/>
        <v>DIFF</v>
      </c>
      <c r="AT1956">
        <f t="shared" si="847"/>
        <v>14</v>
      </c>
      <c r="AU1956" s="170" t="str">
        <f t="shared" si="848"/>
        <v>0,15-0,5 MW, Bonusregeln M2, y und K erstmals 2012</v>
      </c>
      <c r="AV1956" s="169" t="str">
        <f t="shared" si="849"/>
        <v>DIFF</v>
      </c>
      <c r="AW1956" s="170" t="str">
        <f t="shared" si="850"/>
        <v>Anteil KWK, erstmals 2012</v>
      </c>
      <c r="AX1956" s="169" t="str">
        <f t="shared" si="851"/>
        <v>DIFF</v>
      </c>
      <c r="AY1956" t="str">
        <f t="shared" si="852"/>
        <v/>
      </c>
      <c r="AZ1956" t="str">
        <f t="shared" si="853"/>
        <v>x</v>
      </c>
    </row>
    <row r="1957" spans="1:52" s="145" customFormat="1" x14ac:dyDescent="0.35">
      <c r="A1957" s="502" t="s">
        <v>5792</v>
      </c>
      <c r="B1957" s="302" t="s">
        <v>5547</v>
      </c>
      <c r="C1957" s="302" t="s">
        <v>1304</v>
      </c>
      <c r="D1957" s="302" t="s">
        <v>7216</v>
      </c>
      <c r="E1957" s="302" t="s">
        <v>5624</v>
      </c>
      <c r="F1957" s="377">
        <f t="shared" si="841"/>
        <v>23.28</v>
      </c>
      <c r="G1957" s="433">
        <f t="shared" si="837"/>
        <v>23.28</v>
      </c>
      <c r="H1957" s="402">
        <f t="shared" si="838"/>
        <v>18.62</v>
      </c>
      <c r="I1957" s="579"/>
      <c r="J1957" s="549" t="s">
        <v>5804</v>
      </c>
      <c r="K1957" s="11"/>
      <c r="L1957"/>
      <c r="M1957" s="37">
        <f t="shared" si="839"/>
        <v>23.28</v>
      </c>
      <c r="N1957" s="29">
        <v>9.4600000000000009</v>
      </c>
      <c r="O1957" s="319"/>
      <c r="P1957" s="97" t="s">
        <v>2827</v>
      </c>
      <c r="Q1957" s="97"/>
      <c r="R1957" s="97">
        <v>2015</v>
      </c>
      <c r="S1957" s="97"/>
      <c r="T1957" s="92">
        <v>2.82</v>
      </c>
      <c r="U1957" s="146" t="s">
        <v>1017</v>
      </c>
      <c r="W1957" s="147"/>
      <c r="X1957" s="147"/>
      <c r="Z1957" s="147"/>
      <c r="AA1957" s="145" t="s">
        <v>1017</v>
      </c>
      <c r="AC1957" s="147"/>
      <c r="AE1957" s="148" t="s">
        <v>1017</v>
      </c>
      <c r="AF1957" s="147"/>
      <c r="AG1957" s="147"/>
      <c r="AH1957" s="171" t="s">
        <v>4178</v>
      </c>
      <c r="AI1957" s="168" t="str">
        <f>IF(AND($AH1957&lt;&gt;"",AH1957 =AH1955),"Gleich","")</f>
        <v>Gleich</v>
      </c>
      <c r="AJ1957" s="168" t="str">
        <f>IF(AND($AH1957&lt;&gt;"",A1957 =A1955),"Gleich","")</f>
        <v/>
      </c>
      <c r="AK1957" s="168" t="str">
        <f>IF(AND($AH1957&lt;&gt;"",D1957 =D1955),"Gleich","")</f>
        <v/>
      </c>
      <c r="AL1957" s="168" t="str">
        <f>IF(AND($AH1957&lt;&gt;"",E1957 =E1955),"Gleich","")</f>
        <v>Gleich</v>
      </c>
      <c r="AM1957" s="168" t="str">
        <f>IF(AND($AH1957&lt;&gt;"",F1957 =F1955),"Gleich","")</f>
        <v/>
      </c>
      <c r="AN1957" s="167" t="str">
        <f t="shared" si="842"/>
        <v>2015</v>
      </c>
      <c r="AO1957" s="167" t="str">
        <f t="shared" si="843"/>
        <v>2015</v>
      </c>
      <c r="AP1957" s="167" t="str">
        <f t="shared" si="840"/>
        <v/>
      </c>
      <c r="AQ1957" s="169" t="str">
        <f t="shared" si="844"/>
        <v>DIFF</v>
      </c>
      <c r="AR1957" s="170" t="str">
        <f t="shared" si="845"/>
        <v>BiK82M2bK12y07</v>
      </c>
      <c r="AS1957" s="169" t="str">
        <f t="shared" si="846"/>
        <v>DIFF</v>
      </c>
      <c r="AT1957">
        <f t="shared" si="847"/>
        <v>14</v>
      </c>
      <c r="AU1957" s="170" t="str">
        <f t="shared" si="848"/>
        <v>0,15-0,5 MW, Bonusregeln M2, y, b und K erstmals 2012</v>
      </c>
      <c r="AV1957" s="169" t="str">
        <f t="shared" si="849"/>
        <v>DIFF</v>
      </c>
      <c r="AW1957" s="170" t="str">
        <f t="shared" si="850"/>
        <v>Anteil KWK, erstmals 2012</v>
      </c>
      <c r="AX1957" s="169" t="str">
        <f t="shared" si="851"/>
        <v>DIFF</v>
      </c>
      <c r="AY1957" t="str">
        <f t="shared" si="852"/>
        <v/>
      </c>
      <c r="AZ1957" t="str">
        <f t="shared" si="853"/>
        <v>x</v>
      </c>
    </row>
    <row r="1958" spans="1:52" s="145" customFormat="1" x14ac:dyDescent="0.35">
      <c r="A1958" s="502" t="s">
        <v>6159</v>
      </c>
      <c r="B1958" s="301" t="s">
        <v>5547</v>
      </c>
      <c r="C1958" s="301" t="s">
        <v>1304</v>
      </c>
      <c r="D1958" s="301" t="s">
        <v>7017</v>
      </c>
      <c r="E1958" s="301" t="s">
        <v>5806</v>
      </c>
      <c r="F1958" s="377">
        <f t="shared" si="841"/>
        <v>26.470000000000002</v>
      </c>
      <c r="G1958" s="433">
        <f t="shared" si="837"/>
        <v>26.470000000000002</v>
      </c>
      <c r="H1958" s="402">
        <f t="shared" si="838"/>
        <v>21.18</v>
      </c>
      <c r="I1958" s="579"/>
      <c r="J1958" s="549">
        <v>42830</v>
      </c>
      <c r="K1958" s="11"/>
      <c r="L1958"/>
      <c r="M1958" s="37">
        <f t="shared" si="839"/>
        <v>26.470000000000002</v>
      </c>
      <c r="N1958" s="29">
        <v>11.67</v>
      </c>
      <c r="O1958" s="319"/>
      <c r="P1958" s="97" t="s">
        <v>2827</v>
      </c>
      <c r="Q1958" s="97"/>
      <c r="R1958" s="97">
        <v>2016</v>
      </c>
      <c r="S1958" s="97"/>
      <c r="T1958" s="554">
        <v>2.8</v>
      </c>
      <c r="U1958" s="146" t="s">
        <v>1017</v>
      </c>
      <c r="V1958" s="25"/>
      <c r="W1958" s="346"/>
      <c r="X1958" s="346"/>
      <c r="Y1958" s="25"/>
      <c r="Z1958" s="25" t="s">
        <v>1017</v>
      </c>
      <c r="AA1958" s="346"/>
      <c r="AB1958" s="25"/>
      <c r="AC1958" s="25"/>
      <c r="AD1958" s="346"/>
      <c r="AE1958" s="148"/>
      <c r="AF1958" s="147"/>
      <c r="AG1958" s="147"/>
      <c r="AH1958" s="171" t="s">
        <v>4178</v>
      </c>
      <c r="AI1958" s="168" t="str">
        <f>IF(AND($AH1958&lt;&gt;"",AH1958 =AH1969),"Gleich","")</f>
        <v/>
      </c>
      <c r="AJ1958" s="168" t="str">
        <f>IF(AND($AH1958&lt;&gt;"",A1958 =A1969),"Gleich","")</f>
        <v/>
      </c>
      <c r="AK1958" s="168" t="str">
        <f>IF(AND($AH1958&lt;&gt;"",D1958 =D1969),"Gleich","")</f>
        <v/>
      </c>
      <c r="AL1958" s="168" t="str">
        <f>IF(AND($AH1958&lt;&gt;"",E1958 =E1969),"Gleich","")</f>
        <v/>
      </c>
      <c r="AM1958" s="168" t="str">
        <f>IF(AND($AH1958&lt;&gt;"",F1958 =F1969),"Gleich","")</f>
        <v/>
      </c>
      <c r="AN1958" s="167" t="str">
        <f t="shared" si="842"/>
        <v>2016</v>
      </c>
      <c r="AO1958" s="167" t="str">
        <f t="shared" si="843"/>
        <v>2016</v>
      </c>
      <c r="AP1958" s="167" t="str">
        <f t="shared" si="840"/>
        <v/>
      </c>
      <c r="AQ1958" s="169" t="str">
        <f t="shared" si="844"/>
        <v>DIFF</v>
      </c>
      <c r="AR1958" s="170" t="str">
        <f t="shared" si="845"/>
        <v>BiK81M1K12y-07</v>
      </c>
      <c r="AS1958" s="169" t="str">
        <f t="shared" si="846"/>
        <v>DIFF</v>
      </c>
      <c r="AT1958">
        <f t="shared" si="847"/>
        <v>14</v>
      </c>
      <c r="AU1958" s="170" t="str">
        <f t="shared" si="848"/>
        <v>0-0,15 MW, Bonusregeln M1, y und K erstmals 2012</v>
      </c>
      <c r="AV1958" s="169" t="str">
        <f t="shared" si="849"/>
        <v>DIFF</v>
      </c>
      <c r="AW1958" s="170" t="str">
        <f t="shared" si="850"/>
        <v>Anteil KWK, erstmals 2012</v>
      </c>
      <c r="AX1958" s="169" t="str">
        <f t="shared" si="851"/>
        <v>DIFF</v>
      </c>
      <c r="AY1958" t="str">
        <f t="shared" si="852"/>
        <v/>
      </c>
      <c r="AZ1958" t="str">
        <f t="shared" si="853"/>
        <v>x</v>
      </c>
    </row>
    <row r="1959" spans="1:52" x14ac:dyDescent="0.35">
      <c r="A1959" s="502" t="s">
        <v>6345</v>
      </c>
      <c r="B1959" s="301" t="s">
        <v>5547</v>
      </c>
      <c r="C1959" s="301" t="s">
        <v>1304</v>
      </c>
      <c r="D1959" s="301" t="s">
        <v>6999</v>
      </c>
      <c r="E1959" s="301" t="s">
        <v>5806</v>
      </c>
      <c r="F1959" s="377">
        <f t="shared" si="841"/>
        <v>28.470000000000002</v>
      </c>
      <c r="G1959" s="433">
        <f t="shared" si="837"/>
        <v>28.470000000000002</v>
      </c>
      <c r="H1959" s="402">
        <f t="shared" si="838"/>
        <v>22.78</v>
      </c>
      <c r="I1959" s="579"/>
      <c r="J1959" s="549">
        <v>43222</v>
      </c>
      <c r="K1959" s="11"/>
      <c r="M1959" s="37">
        <f t="shared" si="839"/>
        <v>28.470000000000002</v>
      </c>
      <c r="N1959" s="29">
        <v>11.67</v>
      </c>
      <c r="O1959" s="319"/>
      <c r="P1959" s="97" t="s">
        <v>2827</v>
      </c>
      <c r="Q1959" s="97"/>
      <c r="R1959" s="97">
        <v>2016</v>
      </c>
      <c r="S1959" s="97"/>
      <c r="T1959" s="554">
        <v>2.8</v>
      </c>
      <c r="U1959" s="146" t="s">
        <v>1017</v>
      </c>
      <c r="V1959" s="145"/>
      <c r="W1959" s="147"/>
      <c r="X1959" s="147"/>
      <c r="Y1959" s="145"/>
      <c r="Z1959" s="145" t="s">
        <v>1017</v>
      </c>
      <c r="AA1959" s="147"/>
      <c r="AB1959" s="145"/>
      <c r="AC1959" s="145"/>
      <c r="AD1959" s="147"/>
      <c r="AE1959" s="148" t="s">
        <v>1017</v>
      </c>
      <c r="AF1959" s="147"/>
      <c r="AG1959" s="147"/>
      <c r="AH1959" s="171"/>
      <c r="AI1959" s="168"/>
      <c r="AJ1959" s="168"/>
      <c r="AK1959" s="168"/>
      <c r="AL1959" s="168"/>
      <c r="AM1959" s="168"/>
      <c r="AN1959" s="167"/>
      <c r="AO1959" s="167"/>
      <c r="AP1959" s="167"/>
      <c r="AQ1959" s="169"/>
      <c r="AR1959" s="170"/>
      <c r="AS1959" s="169"/>
      <c r="AU1959" s="170"/>
      <c r="AV1959" s="169"/>
      <c r="AW1959" s="170"/>
      <c r="AX1959" s="169"/>
    </row>
    <row r="1960" spans="1:52" s="145" customFormat="1" x14ac:dyDescent="0.35">
      <c r="A1960" s="502" t="s">
        <v>6160</v>
      </c>
      <c r="B1960" s="301" t="s">
        <v>5547</v>
      </c>
      <c r="C1960" s="301" t="s">
        <v>1304</v>
      </c>
      <c r="D1960" s="301" t="s">
        <v>7236</v>
      </c>
      <c r="E1960" s="301" t="s">
        <v>5806</v>
      </c>
      <c r="F1960" s="377">
        <f t="shared" si="841"/>
        <v>21.26</v>
      </c>
      <c r="G1960" s="433">
        <f t="shared" si="837"/>
        <v>21.26</v>
      </c>
      <c r="H1960" s="402">
        <f t="shared" si="838"/>
        <v>17.010000000000002</v>
      </c>
      <c r="I1960" s="579"/>
      <c r="J1960" s="549">
        <v>42830</v>
      </c>
      <c r="K1960" s="11"/>
      <c r="L1960"/>
      <c r="M1960" s="37">
        <f t="shared" si="839"/>
        <v>21.26</v>
      </c>
      <c r="N1960" s="29">
        <v>9.4600000000000009</v>
      </c>
      <c r="O1960" s="319"/>
      <c r="P1960" s="97" t="s">
        <v>2827</v>
      </c>
      <c r="Q1960" s="97"/>
      <c r="R1960" s="97">
        <v>2016</v>
      </c>
      <c r="S1960" s="97"/>
      <c r="T1960" s="554">
        <v>2.8</v>
      </c>
      <c r="U1960" s="146" t="s">
        <v>1017</v>
      </c>
      <c r="V1960" s="25"/>
      <c r="W1960" s="346"/>
      <c r="X1960" s="346"/>
      <c r="Y1960" s="25"/>
      <c r="Z1960" s="346"/>
      <c r="AA1960" s="25" t="s">
        <v>1017</v>
      </c>
      <c r="AB1960" s="25"/>
      <c r="AC1960" s="346"/>
      <c r="AD1960" s="25"/>
      <c r="AE1960" s="148"/>
      <c r="AF1960" s="147"/>
      <c r="AG1960" s="147"/>
      <c r="AH1960" s="171" t="s">
        <v>4178</v>
      </c>
      <c r="AI1960" s="168" t="str">
        <f>IF(AND($AH1960&lt;&gt;"",AH1960 =AH1969),"Gleich","")</f>
        <v/>
      </c>
      <c r="AJ1960" s="168" t="str">
        <f>IF(AND($AH1960&lt;&gt;"",A1960 =A1969),"Gleich","")</f>
        <v/>
      </c>
      <c r="AK1960" s="168" t="str">
        <f>IF(AND($AH1960&lt;&gt;"",D1960 =D1969),"Gleich","")</f>
        <v/>
      </c>
      <c r="AL1960" s="168" t="str">
        <f>IF(AND($AH1960&lt;&gt;"",E1960 =E1969),"Gleich","")</f>
        <v/>
      </c>
      <c r="AM1960" s="168" t="str">
        <f>IF(AND($AH1960&lt;&gt;"",F1960 =F1969),"Gleich","")</f>
        <v/>
      </c>
      <c r="AN1960" s="167" t="str">
        <f>IF(ISERROR(SEARCH("K1",A1960)),"","20"&amp;MID(A1960,SEARCH("K1",A1960)+1,2))</f>
        <v>2016</v>
      </c>
      <c r="AO1960" s="167" t="str">
        <f>IF(ISERROR(SEARCH("erstmals 201",E1960)),"",MID(E1960,SEARCH("erstmals ",E1960)+9,4))</f>
        <v>2016</v>
      </c>
      <c r="AP1960" s="167" t="str">
        <f>IF(R1960="x","2010",IF(S1960="x","2011",IF(T1960="x","2012","")))</f>
        <v/>
      </c>
      <c r="AQ1960" s="169" t="str">
        <f>IF(OR(AH1960&lt;&gt;AN1960,AH1960&lt;&gt;AO1960,AH1960&lt;&gt;AP1960),"DIFF","")</f>
        <v>DIFF</v>
      </c>
      <c r="AR1960" s="170" t="str">
        <f>IF(A1960="","",IF(ISERROR(SEARCH("K1",A1960)),A1960,LEFT(A1960,SEARCH("K1",A1960)+1)&amp;RIGHT(AH1960,1)&amp;MID(A1960,SEARCH("K1",A1960)+3,14)))</f>
        <v>BiK82M2K12y-07</v>
      </c>
      <c r="AS1960" s="169" t="str">
        <f>IF(OR(A1960&lt;&gt;AR1960),"DIFF","")</f>
        <v>DIFF</v>
      </c>
      <c r="AT1960">
        <f>LEN(AR1960)</f>
        <v>14</v>
      </c>
      <c r="AU1960" s="170" t="str">
        <f>IF(D1960="","",IF(OR(A1960="",ISERROR(SEARCH("erstmals 201",D1960))),D1960,LEFT(D1960,SEARCH("erstmals 201",D1960)+8) &amp; AH1960 &amp; MID(D1960,SEARCH("erstmals 201",D1960)+13,255)))</f>
        <v>0,15-0,5 MW, Bonusregeln M2, y und K erstmals 2012</v>
      </c>
      <c r="AV1960" s="169" t="str">
        <f>IF(OR(D1960&lt;&gt;AU1960),"DIFF","")</f>
        <v>DIFF</v>
      </c>
      <c r="AW1960" s="170" t="str">
        <f>IF(E1960="","",IF(OR(E1960="",ISERROR(SEARCH("erstmals 201",E1960))),E1960,LEFT(E1960,SEARCH("erstmals 201",E1960)+8) &amp; AH1960 &amp; MID(E1960,SEARCH("erstmals 201",E1960)+13,255)))</f>
        <v>Anteil KWK, erstmals 2012</v>
      </c>
      <c r="AX1960" s="169" t="str">
        <f>IF(OR(E1960&lt;&gt;AW1960),"DIFF","")</f>
        <v>DIFF</v>
      </c>
      <c r="AY1960" t="str">
        <f>IF(AH1960="2011","x",IF(AH1960="2012","","" &amp; S1960))</f>
        <v/>
      </c>
      <c r="AZ1960" t="str">
        <f>IF(AH1960="2012","x",IF(AH1960="2011","","" &amp; T1960))</f>
        <v>x</v>
      </c>
    </row>
    <row r="1961" spans="1:52" x14ac:dyDescent="0.35">
      <c r="A1961" s="502" t="s">
        <v>6346</v>
      </c>
      <c r="B1961" s="301" t="s">
        <v>5547</v>
      </c>
      <c r="C1961" s="301" t="s">
        <v>1304</v>
      </c>
      <c r="D1961" s="301" t="s">
        <v>7218</v>
      </c>
      <c r="E1961" s="301" t="s">
        <v>5806</v>
      </c>
      <c r="F1961" s="377">
        <f t="shared" si="841"/>
        <v>23.26</v>
      </c>
      <c r="G1961" s="433">
        <f t="shared" si="837"/>
        <v>23.26</v>
      </c>
      <c r="H1961" s="402">
        <f t="shared" si="838"/>
        <v>18.61</v>
      </c>
      <c r="I1961" s="579"/>
      <c r="J1961" s="549">
        <v>43222</v>
      </c>
      <c r="K1961" s="11"/>
      <c r="M1961" s="37">
        <f t="shared" si="839"/>
        <v>23.26</v>
      </c>
      <c r="N1961" s="29">
        <v>9.4600000000000009</v>
      </c>
      <c r="O1961" s="319"/>
      <c r="P1961" s="97" t="s">
        <v>2827</v>
      </c>
      <c r="Q1961" s="97"/>
      <c r="R1961" s="97">
        <v>2016</v>
      </c>
      <c r="S1961" s="97"/>
      <c r="T1961" s="554">
        <v>2.8</v>
      </c>
      <c r="U1961" s="146" t="s">
        <v>1017</v>
      </c>
      <c r="V1961" s="145"/>
      <c r="W1961" s="147"/>
      <c r="X1961" s="147"/>
      <c r="Y1961" s="145"/>
      <c r="Z1961" s="147"/>
      <c r="AA1961" s="145" t="s">
        <v>1017</v>
      </c>
      <c r="AB1961" s="145"/>
      <c r="AC1961" s="147"/>
      <c r="AD1961" s="145"/>
      <c r="AE1961" s="148" t="s">
        <v>1017</v>
      </c>
      <c r="AF1961" s="147"/>
      <c r="AG1961" s="147"/>
      <c r="AH1961" s="171"/>
      <c r="AI1961" s="168"/>
      <c r="AJ1961" s="168"/>
      <c r="AK1961" s="168"/>
      <c r="AL1961" s="168"/>
      <c r="AM1961" s="168"/>
      <c r="AN1961" s="167"/>
      <c r="AO1961" s="167"/>
      <c r="AP1961" s="167"/>
      <c r="AQ1961" s="169"/>
      <c r="AR1961" s="170"/>
      <c r="AS1961" s="169"/>
      <c r="AU1961" s="170"/>
      <c r="AV1961" s="169"/>
      <c r="AW1961" s="170"/>
      <c r="AX1961" s="169"/>
    </row>
    <row r="1962" spans="1:52" x14ac:dyDescent="0.35">
      <c r="A1962" s="502" t="s">
        <v>6347</v>
      </c>
      <c r="B1962" s="301" t="s">
        <v>5547</v>
      </c>
      <c r="C1962" s="301" t="s">
        <v>1304</v>
      </c>
      <c r="D1962" s="301" t="s">
        <v>7389</v>
      </c>
      <c r="E1962" s="301" t="s">
        <v>5806</v>
      </c>
      <c r="F1962" s="377">
        <f t="shared" si="841"/>
        <v>17.309999999999999</v>
      </c>
      <c r="G1962" s="433">
        <f t="shared" si="837"/>
        <v>17.309999999999999</v>
      </c>
      <c r="H1962" s="402">
        <f t="shared" si="838"/>
        <v>13.85</v>
      </c>
      <c r="I1962" s="579"/>
      <c r="J1962" s="549">
        <v>43222</v>
      </c>
      <c r="K1962" s="11"/>
      <c r="M1962" s="37">
        <f t="shared" si="839"/>
        <v>17.309999999999999</v>
      </c>
      <c r="N1962" s="29">
        <v>8.51</v>
      </c>
      <c r="O1962" s="319"/>
      <c r="P1962" s="97" t="s">
        <v>2827</v>
      </c>
      <c r="Q1962" s="97"/>
      <c r="R1962" s="97">
        <v>2016</v>
      </c>
      <c r="S1962" s="97"/>
      <c r="T1962" s="554">
        <v>2.8</v>
      </c>
      <c r="U1962" s="60"/>
      <c r="V1962" s="50"/>
      <c r="W1962" t="s">
        <v>1017</v>
      </c>
      <c r="Y1962" s="50"/>
      <c r="Z1962" s="50"/>
      <c r="AA1962" s="50"/>
      <c r="AB1962" s="50"/>
      <c r="AC1962" s="50"/>
      <c r="AD1962" s="50"/>
      <c r="AE1962" s="75" t="s">
        <v>1017</v>
      </c>
      <c r="AF1962" s="50"/>
      <c r="AG1962" s="50"/>
      <c r="AH1962" s="171"/>
      <c r="AI1962" s="168"/>
      <c r="AJ1962" s="168"/>
      <c r="AK1962" s="168"/>
      <c r="AL1962" s="168"/>
      <c r="AM1962" s="168"/>
      <c r="AN1962" s="167"/>
      <c r="AO1962" s="167"/>
      <c r="AP1962" s="167"/>
      <c r="AQ1962" s="169"/>
      <c r="AR1962" s="170"/>
      <c r="AS1962" s="169"/>
      <c r="AU1962" s="170"/>
      <c r="AV1962" s="169"/>
      <c r="AW1962" s="170"/>
      <c r="AX1962" s="169"/>
    </row>
    <row r="1963" spans="1:52" x14ac:dyDescent="0.35">
      <c r="A1963" s="502" t="s">
        <v>7517</v>
      </c>
      <c r="B1963" s="301" t="s">
        <v>5547</v>
      </c>
      <c r="C1963" s="301" t="s">
        <v>1304</v>
      </c>
      <c r="D1963" s="301" t="s">
        <v>7504</v>
      </c>
      <c r="E1963" s="301" t="s">
        <v>6155</v>
      </c>
      <c r="F1963" s="377">
        <f t="shared" si="841"/>
        <v>15.44</v>
      </c>
      <c r="G1963" s="429">
        <f t="shared" si="837"/>
        <v>15.44</v>
      </c>
      <c r="H1963" s="303">
        <f t="shared" si="838"/>
        <v>12.35</v>
      </c>
      <c r="I1963" s="579"/>
      <c r="J1963" s="549">
        <v>44260</v>
      </c>
      <c r="K1963" s="11"/>
      <c r="M1963" s="37">
        <f t="shared" si="839"/>
        <v>15.44</v>
      </c>
      <c r="N1963" s="29">
        <v>11.67</v>
      </c>
      <c r="O1963" s="319"/>
      <c r="P1963" s="97" t="s">
        <v>2827</v>
      </c>
      <c r="Q1963" s="97"/>
      <c r="R1963" s="97">
        <v>2017</v>
      </c>
      <c r="S1963" s="97"/>
      <c r="T1963" s="554">
        <f>ROUND($Q$1559*0.99^($R1963-$Q$1556),2)</f>
        <v>2.77</v>
      </c>
      <c r="U1963" s="146" t="s">
        <v>1017</v>
      </c>
      <c r="W1963" s="346"/>
      <c r="X1963" s="346"/>
      <c r="Y1963" s="25"/>
      <c r="Z1963" s="25"/>
      <c r="AA1963" s="346"/>
      <c r="AB1963" s="25"/>
      <c r="AC1963" s="25"/>
      <c r="AD1963" s="346"/>
      <c r="AE1963" s="148"/>
      <c r="AF1963" s="147"/>
      <c r="AG1963" s="147"/>
      <c r="AH1963" s="171"/>
      <c r="AI1963" s="168"/>
      <c r="AJ1963" s="168"/>
      <c r="AK1963" s="168"/>
      <c r="AL1963" s="168"/>
      <c r="AM1963" s="168"/>
      <c r="AN1963" s="167"/>
      <c r="AO1963" s="167"/>
      <c r="AP1963" s="167"/>
      <c r="AQ1963" s="169"/>
      <c r="AR1963" s="170"/>
      <c r="AS1963" s="169"/>
      <c r="AU1963" s="170"/>
      <c r="AV1963" s="169"/>
      <c r="AW1963" s="170"/>
      <c r="AX1963" s="169"/>
    </row>
    <row r="1964" spans="1:52" x14ac:dyDescent="0.35">
      <c r="A1964" s="502" t="s">
        <v>6154</v>
      </c>
      <c r="B1964" s="301" t="s">
        <v>5547</v>
      </c>
      <c r="C1964" s="301" t="s">
        <v>1304</v>
      </c>
      <c r="D1964" s="301" t="s">
        <v>7018</v>
      </c>
      <c r="E1964" s="301" t="s">
        <v>6155</v>
      </c>
      <c r="F1964" s="377">
        <f t="shared" si="841"/>
        <v>20.440000000000001</v>
      </c>
      <c r="G1964" s="429">
        <f t="shared" si="837"/>
        <v>20.440000000000001</v>
      </c>
      <c r="H1964" s="303">
        <f t="shared" si="838"/>
        <v>16.350000000000001</v>
      </c>
      <c r="I1964" s="579"/>
      <c r="J1964" s="549">
        <v>42802</v>
      </c>
      <c r="K1964" s="11"/>
      <c r="M1964" s="37">
        <f t="shared" si="839"/>
        <v>20.440000000000001</v>
      </c>
      <c r="N1964" s="29">
        <v>11.67</v>
      </c>
      <c r="O1964" s="319"/>
      <c r="P1964" s="97" t="s">
        <v>2827</v>
      </c>
      <c r="Q1964" s="97"/>
      <c r="R1964" s="97">
        <v>2017</v>
      </c>
      <c r="S1964" s="97"/>
      <c r="T1964" s="554">
        <f>ROUND($Q$1559*0.99^($R$1964-$Q$1556),2)</f>
        <v>2.77</v>
      </c>
      <c r="U1964" s="146"/>
      <c r="V1964" t="s">
        <v>1017</v>
      </c>
      <c r="W1964" s="346"/>
      <c r="X1964" s="346"/>
      <c r="Y1964" s="25"/>
      <c r="Z1964" s="25"/>
      <c r="AA1964" s="346"/>
      <c r="AB1964" s="25"/>
      <c r="AC1964" s="25"/>
      <c r="AD1964" s="346"/>
      <c r="AE1964" s="148"/>
      <c r="AF1964" s="147"/>
      <c r="AG1964" s="147"/>
      <c r="AH1964" s="171"/>
      <c r="AI1964" s="168"/>
      <c r="AJ1964" s="168"/>
      <c r="AK1964" s="168"/>
      <c r="AL1964" s="168"/>
      <c r="AM1964" s="168"/>
      <c r="AN1964" s="167"/>
      <c r="AO1964" s="167"/>
      <c r="AP1964" s="167"/>
      <c r="AQ1964" s="169"/>
      <c r="AR1964" s="170"/>
      <c r="AS1964" s="169"/>
      <c r="AU1964" s="170"/>
      <c r="AV1964" s="169"/>
      <c r="AW1964" s="170"/>
      <c r="AX1964" s="169"/>
    </row>
    <row r="1965" spans="1:52" x14ac:dyDescent="0.35">
      <c r="A1965" s="502" t="s">
        <v>6342</v>
      </c>
      <c r="B1965" s="301" t="s">
        <v>5547</v>
      </c>
      <c r="C1965" s="301" t="s">
        <v>1304</v>
      </c>
      <c r="D1965" s="301" t="s">
        <v>6859</v>
      </c>
      <c r="E1965" s="301" t="s">
        <v>6155</v>
      </c>
      <c r="F1965" s="377">
        <f t="shared" si="841"/>
        <v>25.44</v>
      </c>
      <c r="G1965" s="429">
        <f t="shared" si="837"/>
        <v>25.44</v>
      </c>
      <c r="H1965" s="625">
        <f t="shared" si="838"/>
        <v>20.350000000000001</v>
      </c>
      <c r="I1965" s="579"/>
      <c r="J1965" s="549">
        <v>43222</v>
      </c>
      <c r="K1965" s="11"/>
      <c r="M1965" s="315">
        <f t="shared" si="839"/>
        <v>25.44</v>
      </c>
      <c r="N1965" s="29">
        <v>11.67</v>
      </c>
      <c r="O1965" s="319"/>
      <c r="P1965" s="97" t="s">
        <v>2827</v>
      </c>
      <c r="Q1965" s="97"/>
      <c r="R1965" s="97">
        <v>2017</v>
      </c>
      <c r="S1965" s="97"/>
      <c r="T1965" s="554">
        <f>ROUND($Q$1559*0.99^($R$1971-$Q$1556),2)</f>
        <v>2.77</v>
      </c>
      <c r="U1965" s="146"/>
      <c r="W1965" s="346"/>
      <c r="X1965" s="346"/>
      <c r="Y1965" s="25"/>
      <c r="Z1965" s="25" t="s">
        <v>1017</v>
      </c>
      <c r="AA1965" s="346"/>
      <c r="AB1965" s="25"/>
      <c r="AC1965" s="25"/>
      <c r="AD1965" s="346"/>
      <c r="AE1965" s="148"/>
      <c r="AF1965" s="147"/>
      <c r="AG1965" s="147"/>
      <c r="AH1965" s="171"/>
      <c r="AI1965" s="168"/>
      <c r="AJ1965" s="168"/>
      <c r="AK1965" s="168"/>
      <c r="AL1965" s="168"/>
      <c r="AM1965" s="168"/>
      <c r="AN1965" s="167"/>
      <c r="AO1965" s="167"/>
      <c r="AP1965" s="167"/>
      <c r="AQ1965" s="169"/>
      <c r="AR1965" s="170"/>
      <c r="AS1965" s="169"/>
      <c r="AU1965" s="170"/>
      <c r="AV1965" s="169"/>
      <c r="AW1965" s="170"/>
      <c r="AX1965" s="169"/>
    </row>
    <row r="1966" spans="1:52" x14ac:dyDescent="0.35">
      <c r="A1966" s="502" t="s">
        <v>6332</v>
      </c>
      <c r="B1966" s="301" t="s">
        <v>5547</v>
      </c>
      <c r="C1966" s="301" t="s">
        <v>1304</v>
      </c>
      <c r="D1966" s="301" t="s">
        <v>6862</v>
      </c>
      <c r="E1966" s="301" t="s">
        <v>6155</v>
      </c>
      <c r="F1966" s="377">
        <f t="shared" si="841"/>
        <v>26.44</v>
      </c>
      <c r="G1966" s="429">
        <f t="shared" si="837"/>
        <v>26.44</v>
      </c>
      <c r="H1966" s="303">
        <f t="shared" si="838"/>
        <v>21.15</v>
      </c>
      <c r="I1966" s="579"/>
      <c r="J1966" s="549">
        <v>43222</v>
      </c>
      <c r="K1966" s="11"/>
      <c r="M1966" s="37">
        <f t="shared" si="839"/>
        <v>26.44</v>
      </c>
      <c r="N1966" s="29">
        <v>11.67</v>
      </c>
      <c r="O1966" s="319"/>
      <c r="P1966" s="97" t="s">
        <v>2827</v>
      </c>
      <c r="Q1966" s="97"/>
      <c r="R1966" s="97">
        <v>2017</v>
      </c>
      <c r="S1966" s="97"/>
      <c r="T1966" s="554">
        <f>ROUND($Q$1559*0.99^($R$1966-$Q$1556),2)</f>
        <v>2.77</v>
      </c>
      <c r="U1966" s="146" t="s">
        <v>1017</v>
      </c>
      <c r="W1966" s="346"/>
      <c r="X1966" s="346"/>
      <c r="Y1966" s="25"/>
      <c r="Z1966" s="25" t="s">
        <v>1017</v>
      </c>
      <c r="AA1966" s="346"/>
      <c r="AB1966" s="25"/>
      <c r="AC1966" s="25"/>
      <c r="AD1966" s="346"/>
      <c r="AE1966" s="148"/>
      <c r="AF1966" s="147"/>
      <c r="AG1966" s="147"/>
      <c r="AH1966" s="171"/>
      <c r="AI1966" s="168"/>
      <c r="AJ1966" s="168"/>
      <c r="AK1966" s="168"/>
      <c r="AL1966" s="168"/>
      <c r="AM1966" s="168"/>
      <c r="AN1966" s="167"/>
      <c r="AO1966" s="167"/>
      <c r="AP1966" s="167"/>
      <c r="AQ1966" s="169"/>
      <c r="AR1966" s="170"/>
      <c r="AS1966" s="169"/>
      <c r="AU1966" s="170"/>
      <c r="AV1966" s="169"/>
      <c r="AW1966" s="170"/>
      <c r="AX1966" s="169"/>
    </row>
    <row r="1967" spans="1:52" x14ac:dyDescent="0.35">
      <c r="A1967" s="502" t="s">
        <v>6343</v>
      </c>
      <c r="B1967" s="301" t="s">
        <v>5547</v>
      </c>
      <c r="C1967" s="301" t="s">
        <v>1304</v>
      </c>
      <c r="D1967" s="301" t="s">
        <v>7019</v>
      </c>
      <c r="E1967" s="301" t="s">
        <v>6155</v>
      </c>
      <c r="F1967" s="377">
        <f t="shared" si="841"/>
        <v>23.44</v>
      </c>
      <c r="G1967" s="429">
        <f t="shared" si="837"/>
        <v>23.44</v>
      </c>
      <c r="H1967" s="303">
        <f t="shared" si="838"/>
        <v>18.75</v>
      </c>
      <c r="I1967" s="579"/>
      <c r="J1967" s="549">
        <v>43222</v>
      </c>
      <c r="K1967" s="11"/>
      <c r="M1967" s="37">
        <f t="shared" si="839"/>
        <v>23.44</v>
      </c>
      <c r="N1967" s="29">
        <v>11.67</v>
      </c>
      <c r="O1967" s="319"/>
      <c r="P1967" s="97" t="s">
        <v>2827</v>
      </c>
      <c r="Q1967" s="97"/>
      <c r="R1967" s="97">
        <v>2017</v>
      </c>
      <c r="S1967" s="97"/>
      <c r="T1967" s="554">
        <f>ROUND($Q$1559*0.99^($R$1964-$Q$1556),2)</f>
        <v>2.77</v>
      </c>
      <c r="U1967" s="146"/>
      <c r="V1967" s="145"/>
      <c r="W1967" s="147"/>
      <c r="X1967" s="147"/>
      <c r="Y1967" s="145" t="s">
        <v>1017</v>
      </c>
      <c r="Z1967" s="145"/>
      <c r="AA1967" s="147"/>
      <c r="AB1967" s="145"/>
      <c r="AC1967" s="145"/>
      <c r="AD1967" s="147"/>
      <c r="AE1967" s="148" t="s">
        <v>1017</v>
      </c>
      <c r="AF1967" s="147"/>
      <c r="AG1967" s="147"/>
      <c r="AH1967" s="171"/>
      <c r="AI1967" s="168"/>
      <c r="AJ1967" s="168"/>
      <c r="AK1967" s="168"/>
      <c r="AL1967" s="168"/>
      <c r="AM1967" s="168"/>
      <c r="AN1967" s="167"/>
      <c r="AO1967" s="167"/>
      <c r="AP1967" s="167"/>
      <c r="AQ1967" s="169"/>
      <c r="AR1967" s="170"/>
      <c r="AS1967" s="169"/>
      <c r="AU1967" s="170"/>
      <c r="AV1967" s="169"/>
      <c r="AW1967" s="170"/>
      <c r="AX1967" s="169"/>
    </row>
    <row r="1968" spans="1:52" x14ac:dyDescent="0.35">
      <c r="A1968" s="502" t="s">
        <v>7518</v>
      </c>
      <c r="B1968" s="301" t="s">
        <v>5547</v>
      </c>
      <c r="C1968" s="301" t="s">
        <v>1304</v>
      </c>
      <c r="D1968" s="301" t="s">
        <v>7510</v>
      </c>
      <c r="E1968" s="301" t="s">
        <v>6155</v>
      </c>
      <c r="F1968" s="377">
        <f t="shared" si="841"/>
        <v>13.23</v>
      </c>
      <c r="G1968" s="429">
        <f t="shared" si="837"/>
        <v>13.23</v>
      </c>
      <c r="H1968" s="303">
        <f t="shared" si="838"/>
        <v>10.58</v>
      </c>
      <c r="I1968" s="579"/>
      <c r="J1968" s="549">
        <v>44260</v>
      </c>
      <c r="K1968" s="11"/>
      <c r="M1968" s="37">
        <f t="shared" si="839"/>
        <v>13.23</v>
      </c>
      <c r="N1968" s="29">
        <v>9.4600000000000009</v>
      </c>
      <c r="O1968" s="319"/>
      <c r="P1968" s="97" t="s">
        <v>2827</v>
      </c>
      <c r="Q1968" s="97"/>
      <c r="R1968" s="97">
        <v>2017</v>
      </c>
      <c r="S1968" s="97"/>
      <c r="T1968" s="554">
        <f>ROUND($Q$1559*0.99^($R1968-$Q$1556),2)</f>
        <v>2.77</v>
      </c>
      <c r="U1968" s="146" t="s">
        <v>1017</v>
      </c>
      <c r="W1968" s="346"/>
      <c r="X1968" s="346"/>
      <c r="Y1968" s="25"/>
      <c r="Z1968" s="346"/>
      <c r="AA1968" s="25"/>
      <c r="AB1968" s="25"/>
      <c r="AC1968" s="346"/>
      <c r="AD1968" s="25"/>
      <c r="AE1968" s="148"/>
      <c r="AF1968" s="147"/>
      <c r="AG1968" s="147"/>
      <c r="AH1968" s="171"/>
      <c r="AI1968" s="168"/>
      <c r="AJ1968" s="168"/>
      <c r="AK1968" s="168"/>
      <c r="AL1968" s="168"/>
      <c r="AM1968" s="168"/>
      <c r="AN1968" s="167"/>
      <c r="AO1968" s="167"/>
      <c r="AP1968" s="167"/>
      <c r="AQ1968" s="169"/>
      <c r="AR1968" s="170"/>
      <c r="AS1968" s="169"/>
      <c r="AU1968" s="170"/>
      <c r="AV1968" s="169"/>
      <c r="AW1968" s="170"/>
      <c r="AX1968" s="169"/>
    </row>
    <row r="1969" spans="1:52" x14ac:dyDescent="0.35">
      <c r="A1969" s="502" t="s">
        <v>6156</v>
      </c>
      <c r="B1969" s="301" t="s">
        <v>5547</v>
      </c>
      <c r="C1969" s="301" t="s">
        <v>1304</v>
      </c>
      <c r="D1969" s="301" t="s">
        <v>7237</v>
      </c>
      <c r="E1969" s="301" t="s">
        <v>6155</v>
      </c>
      <c r="F1969" s="377">
        <f t="shared" si="841"/>
        <v>18.23</v>
      </c>
      <c r="G1969" s="429">
        <f t="shared" si="837"/>
        <v>18.23</v>
      </c>
      <c r="H1969" s="303">
        <f t="shared" si="838"/>
        <v>14.58</v>
      </c>
      <c r="I1969" s="579"/>
      <c r="J1969" s="549">
        <v>42802</v>
      </c>
      <c r="K1969" s="11"/>
      <c r="M1969" s="37">
        <f t="shared" si="839"/>
        <v>18.23</v>
      </c>
      <c r="N1969" s="29">
        <v>9.4600000000000009</v>
      </c>
      <c r="O1969" s="319"/>
      <c r="P1969" s="97" t="s">
        <v>2827</v>
      </c>
      <c r="Q1969" s="97"/>
      <c r="R1969" s="97">
        <v>2017</v>
      </c>
      <c r="S1969" s="97"/>
      <c r="T1969" s="554">
        <f>ROUND($Q$1559*0.99^($R$1969-$Q$1556),2)</f>
        <v>2.77</v>
      </c>
      <c r="U1969" s="146"/>
      <c r="V1969" t="s">
        <v>1017</v>
      </c>
      <c r="W1969" s="346"/>
      <c r="X1969" s="346"/>
      <c r="Y1969" s="25"/>
      <c r="Z1969" s="346"/>
      <c r="AA1969" s="25"/>
      <c r="AB1969" s="25"/>
      <c r="AC1969" s="346"/>
      <c r="AD1969" s="25"/>
      <c r="AE1969" s="148"/>
      <c r="AF1969" s="147"/>
      <c r="AG1969" s="147"/>
      <c r="AH1969" s="171"/>
      <c r="AI1969" s="168"/>
      <c r="AJ1969" s="168"/>
      <c r="AK1969" s="168"/>
      <c r="AL1969" s="168"/>
      <c r="AM1969" s="168"/>
      <c r="AN1969" s="167"/>
      <c r="AO1969" s="167"/>
      <c r="AP1969" s="167"/>
      <c r="AQ1969" s="169"/>
      <c r="AR1969" s="170"/>
      <c r="AS1969" s="169"/>
      <c r="AU1969" s="170"/>
      <c r="AV1969" s="169"/>
      <c r="AW1969" s="170"/>
      <c r="AX1969" s="169"/>
    </row>
    <row r="1970" spans="1:52" x14ac:dyDescent="0.35">
      <c r="A1970" s="502" t="s">
        <v>6341</v>
      </c>
      <c r="B1970" s="301" t="s">
        <v>5547</v>
      </c>
      <c r="C1970" s="301" t="s">
        <v>1304</v>
      </c>
      <c r="D1970" s="301" t="s">
        <v>7238</v>
      </c>
      <c r="E1970" s="301" t="s">
        <v>6155</v>
      </c>
      <c r="F1970" s="377">
        <f t="shared" si="841"/>
        <v>20.23</v>
      </c>
      <c r="G1970" s="429">
        <f t="shared" si="837"/>
        <v>20.23</v>
      </c>
      <c r="H1970" s="625">
        <f t="shared" si="838"/>
        <v>16.18</v>
      </c>
      <c r="I1970" s="579"/>
      <c r="J1970" s="549">
        <v>43222</v>
      </c>
      <c r="K1970" s="11"/>
      <c r="M1970" s="315">
        <f t="shared" si="839"/>
        <v>20.23</v>
      </c>
      <c r="N1970" s="29">
        <v>9.4600000000000009</v>
      </c>
      <c r="O1970" s="319"/>
      <c r="P1970" s="97" t="s">
        <v>2827</v>
      </c>
      <c r="Q1970" s="97"/>
      <c r="R1970" s="97">
        <v>2017</v>
      </c>
      <c r="S1970" s="97"/>
      <c r="T1970" s="554">
        <f>ROUND($Q$1559*0.99^($R$1971-$Q$1556),2)</f>
        <v>2.77</v>
      </c>
      <c r="U1970" s="146"/>
      <c r="W1970" s="346"/>
      <c r="X1970" s="346"/>
      <c r="Y1970" s="25"/>
      <c r="Z1970" s="624"/>
      <c r="AA1970" s="25" t="s">
        <v>1017</v>
      </c>
      <c r="AB1970" s="25"/>
      <c r="AC1970" s="624"/>
      <c r="AD1970" s="25"/>
      <c r="AE1970" s="148"/>
      <c r="AF1970" s="147"/>
      <c r="AG1970" s="147"/>
      <c r="AH1970" s="171"/>
      <c r="AI1970" s="168"/>
      <c r="AJ1970" s="168"/>
      <c r="AK1970" s="168"/>
      <c r="AL1970" s="168"/>
      <c r="AM1970" s="168"/>
      <c r="AN1970" s="167"/>
      <c r="AO1970" s="167"/>
      <c r="AP1970" s="167"/>
      <c r="AQ1970" s="169"/>
      <c r="AR1970" s="170"/>
      <c r="AS1970" s="169"/>
      <c r="AU1970" s="170"/>
      <c r="AV1970" s="169"/>
      <c r="AW1970" s="170"/>
      <c r="AX1970" s="169"/>
    </row>
    <row r="1971" spans="1:52" x14ac:dyDescent="0.35">
      <c r="A1971" s="502" t="s">
        <v>6334</v>
      </c>
      <c r="B1971" s="301" t="s">
        <v>5547</v>
      </c>
      <c r="C1971" s="301" t="s">
        <v>1304</v>
      </c>
      <c r="D1971" s="301" t="s">
        <v>7085</v>
      </c>
      <c r="E1971" s="301" t="s">
        <v>6155</v>
      </c>
      <c r="F1971" s="377">
        <f t="shared" si="841"/>
        <v>21.23</v>
      </c>
      <c r="G1971" s="429">
        <f t="shared" si="837"/>
        <v>21.23</v>
      </c>
      <c r="H1971" s="303">
        <f t="shared" si="838"/>
        <v>16.98</v>
      </c>
      <c r="I1971" s="579"/>
      <c r="J1971" s="549">
        <v>43222</v>
      </c>
      <c r="K1971" s="11"/>
      <c r="M1971" s="37">
        <f t="shared" si="839"/>
        <v>21.23</v>
      </c>
      <c r="N1971" s="29">
        <v>9.4600000000000009</v>
      </c>
      <c r="O1971" s="319"/>
      <c r="P1971" s="97" t="s">
        <v>2827</v>
      </c>
      <c r="Q1971" s="97"/>
      <c r="R1971" s="97">
        <v>2017</v>
      </c>
      <c r="S1971" s="97"/>
      <c r="T1971" s="554">
        <f>ROUND($Q$1559*0.99^($R$1971-$Q$1556),2)</f>
        <v>2.77</v>
      </c>
      <c r="U1971" s="146" t="s">
        <v>1017</v>
      </c>
      <c r="W1971" s="346"/>
      <c r="X1971" s="346"/>
      <c r="Y1971" s="25"/>
      <c r="Z1971" s="624"/>
      <c r="AA1971" s="25" t="s">
        <v>1017</v>
      </c>
      <c r="AB1971" s="25"/>
      <c r="AC1971" s="624"/>
      <c r="AD1971" s="25"/>
      <c r="AE1971" s="148"/>
      <c r="AF1971" s="147"/>
      <c r="AG1971" s="147"/>
      <c r="AH1971" s="171"/>
      <c r="AI1971" s="168"/>
      <c r="AJ1971" s="168"/>
      <c r="AK1971" s="168"/>
      <c r="AL1971" s="168"/>
      <c r="AM1971" s="168"/>
      <c r="AN1971" s="167"/>
      <c r="AO1971" s="167"/>
      <c r="AP1971" s="167"/>
      <c r="AQ1971" s="169"/>
      <c r="AR1971" s="170"/>
      <c r="AS1971" s="169"/>
      <c r="AU1971" s="170"/>
      <c r="AV1971" s="169"/>
      <c r="AW1971" s="170"/>
      <c r="AX1971" s="169"/>
    </row>
    <row r="1972" spans="1:52" x14ac:dyDescent="0.35">
      <c r="A1972" s="502" t="s">
        <v>6333</v>
      </c>
      <c r="B1972" s="301" t="s">
        <v>5547</v>
      </c>
      <c r="C1972" s="301" t="s">
        <v>1304</v>
      </c>
      <c r="D1972" s="301" t="s">
        <v>6803</v>
      </c>
      <c r="E1972" s="301" t="s">
        <v>6155</v>
      </c>
      <c r="F1972" s="377">
        <f t="shared" si="841"/>
        <v>15.28</v>
      </c>
      <c r="G1972" s="429">
        <f t="shared" si="837"/>
        <v>15.28</v>
      </c>
      <c r="H1972" s="303">
        <f t="shared" si="838"/>
        <v>12.22</v>
      </c>
      <c r="I1972" s="579"/>
      <c r="J1972" s="549">
        <v>43222</v>
      </c>
      <c r="K1972" s="11"/>
      <c r="M1972" s="37">
        <f t="shared" si="839"/>
        <v>15.28</v>
      </c>
      <c r="N1972" s="29">
        <v>8.51</v>
      </c>
      <c r="O1972" s="319"/>
      <c r="P1972" s="97" t="s">
        <v>2827</v>
      </c>
      <c r="Q1972" s="97"/>
      <c r="R1972" s="97">
        <v>2017</v>
      </c>
      <c r="S1972" s="97"/>
      <c r="T1972" s="554">
        <f t="shared" ref="T1972:T1982" si="854">ROUND($Q$1559*0.99^($R1972-$Q$1556),2)</f>
        <v>2.77</v>
      </c>
      <c r="U1972" s="623"/>
      <c r="V1972" s="561"/>
      <c r="W1972" s="25" t="s">
        <v>1017</v>
      </c>
      <c r="X1972" s="25"/>
      <c r="Y1972" s="624"/>
      <c r="Z1972" s="624"/>
      <c r="AA1972" s="624"/>
      <c r="AB1972" s="624"/>
      <c r="AC1972" s="624"/>
      <c r="AD1972" s="624"/>
      <c r="AE1972" s="148"/>
      <c r="AF1972" s="147"/>
      <c r="AG1972" s="147"/>
      <c r="AH1972" s="171"/>
      <c r="AI1972" s="168"/>
      <c r="AJ1972" s="168"/>
      <c r="AK1972" s="168"/>
      <c r="AL1972" s="168"/>
      <c r="AM1972" s="168"/>
      <c r="AN1972" s="167"/>
      <c r="AO1972" s="167"/>
      <c r="AP1972" s="167"/>
      <c r="AQ1972" s="169"/>
      <c r="AR1972" s="170"/>
      <c r="AS1972" s="169"/>
      <c r="AU1972" s="170"/>
      <c r="AV1972" s="169"/>
      <c r="AW1972" s="170"/>
      <c r="AX1972" s="169"/>
    </row>
    <row r="1973" spans="1:52" x14ac:dyDescent="0.35">
      <c r="A1973" s="502" t="s">
        <v>6463</v>
      </c>
      <c r="B1973" s="301" t="s">
        <v>5547</v>
      </c>
      <c r="C1973" s="301" t="s">
        <v>1304</v>
      </c>
      <c r="D1973" s="301" t="s">
        <v>7020</v>
      </c>
      <c r="E1973" s="301" t="s">
        <v>6464</v>
      </c>
      <c r="F1973" s="377">
        <f t="shared" si="841"/>
        <v>22.410000000000004</v>
      </c>
      <c r="G1973" s="429">
        <f t="shared" si="837"/>
        <v>22.410000000000004</v>
      </c>
      <c r="H1973" s="625">
        <f t="shared" si="838"/>
        <v>17.93</v>
      </c>
      <c r="I1973" s="579"/>
      <c r="J1973" s="549">
        <v>43404</v>
      </c>
      <c r="K1973" s="11"/>
      <c r="M1973" s="315">
        <f t="shared" si="839"/>
        <v>22.410000000000004</v>
      </c>
      <c r="N1973" s="29">
        <v>11.67</v>
      </c>
      <c r="O1973" s="319"/>
      <c r="P1973" s="97" t="s">
        <v>2827</v>
      </c>
      <c r="Q1973" s="97"/>
      <c r="R1973" s="97">
        <v>2018</v>
      </c>
      <c r="S1973" s="97"/>
      <c r="T1973" s="554">
        <f t="shared" si="854"/>
        <v>2.74</v>
      </c>
      <c r="U1973" s="42"/>
      <c r="V1973" t="s">
        <v>1017</v>
      </c>
      <c r="W1973" s="50"/>
      <c r="X1973" s="50"/>
      <c r="Z1973" s="145"/>
      <c r="AA1973" s="147"/>
      <c r="AB1973" s="145"/>
      <c r="AC1973" s="145"/>
      <c r="AD1973" s="147"/>
      <c r="AE1973" s="75" t="s">
        <v>1017</v>
      </c>
      <c r="AF1973" s="50"/>
      <c r="AG1973" s="50"/>
      <c r="AH1973" s="171"/>
      <c r="AI1973" s="168"/>
      <c r="AJ1973" s="168"/>
      <c r="AK1973" s="168"/>
      <c r="AL1973" s="168"/>
      <c r="AM1973" s="168"/>
      <c r="AN1973" s="167"/>
      <c r="AO1973" s="167"/>
      <c r="AP1973" s="167"/>
      <c r="AQ1973" s="169"/>
      <c r="AR1973" s="170"/>
      <c r="AS1973" s="169"/>
      <c r="AU1973" s="170"/>
      <c r="AV1973" s="169"/>
      <c r="AW1973" s="170"/>
      <c r="AX1973" s="169"/>
    </row>
    <row r="1974" spans="1:52" x14ac:dyDescent="0.35">
      <c r="A1974" s="502" t="s">
        <v>6465</v>
      </c>
      <c r="B1974" s="301" t="s">
        <v>5547</v>
      </c>
      <c r="C1974" s="301" t="s">
        <v>1304</v>
      </c>
      <c r="D1974" s="301" t="s">
        <v>7239</v>
      </c>
      <c r="E1974" s="301" t="s">
        <v>6464</v>
      </c>
      <c r="F1974" s="377">
        <f t="shared" si="841"/>
        <v>20.200000000000003</v>
      </c>
      <c r="G1974" s="429">
        <f t="shared" si="837"/>
        <v>20.200000000000003</v>
      </c>
      <c r="H1974" s="625">
        <f t="shared" si="838"/>
        <v>16.16</v>
      </c>
      <c r="I1974" s="579"/>
      <c r="J1974" s="549">
        <v>43404</v>
      </c>
      <c r="K1974" s="11"/>
      <c r="M1974" s="315">
        <f t="shared" si="839"/>
        <v>20.200000000000003</v>
      </c>
      <c r="N1974" s="29">
        <v>9.4600000000000009</v>
      </c>
      <c r="O1974" s="319"/>
      <c r="P1974" s="97" t="s">
        <v>2827</v>
      </c>
      <c r="Q1974" s="97"/>
      <c r="R1974" s="97">
        <v>2018</v>
      </c>
      <c r="S1974" s="97"/>
      <c r="T1974" s="554">
        <f t="shared" si="854"/>
        <v>2.74</v>
      </c>
      <c r="U1974" s="42"/>
      <c r="V1974" t="s">
        <v>1017</v>
      </c>
      <c r="W1974" s="50"/>
      <c r="X1974" s="50"/>
      <c r="Z1974" s="147"/>
      <c r="AA1974" s="145"/>
      <c r="AB1974" s="145"/>
      <c r="AC1974" s="147"/>
      <c r="AD1974" s="145"/>
      <c r="AE1974" s="75" t="s">
        <v>1017</v>
      </c>
      <c r="AF1974" s="50"/>
      <c r="AG1974" s="50"/>
      <c r="AH1974" s="171"/>
      <c r="AI1974" s="168"/>
      <c r="AJ1974" s="168"/>
      <c r="AK1974" s="168"/>
      <c r="AL1974" s="168"/>
      <c r="AM1974" s="168"/>
      <c r="AN1974" s="167"/>
      <c r="AO1974" s="167"/>
      <c r="AP1974" s="167"/>
      <c r="AQ1974" s="169"/>
      <c r="AR1974" s="170"/>
      <c r="AS1974" s="169"/>
      <c r="AU1974" s="170"/>
      <c r="AV1974" s="169"/>
      <c r="AW1974" s="170"/>
      <c r="AX1974" s="169"/>
    </row>
    <row r="1975" spans="1:52" x14ac:dyDescent="0.35">
      <c r="A1975" s="502" t="s">
        <v>6597</v>
      </c>
      <c r="B1975" s="301" t="s">
        <v>5547</v>
      </c>
      <c r="C1975" s="301" t="s">
        <v>1304</v>
      </c>
      <c r="D1975" s="301" t="s">
        <v>7021</v>
      </c>
      <c r="E1975" s="301" t="s">
        <v>6598</v>
      </c>
      <c r="F1975" s="377">
        <f t="shared" si="841"/>
        <v>24.380000000000003</v>
      </c>
      <c r="G1975" s="429">
        <f t="shared" si="837"/>
        <v>24.380000000000003</v>
      </c>
      <c r="H1975" s="625">
        <f t="shared" si="838"/>
        <v>19.5</v>
      </c>
      <c r="I1975" s="579"/>
      <c r="J1975" s="549">
        <v>43873</v>
      </c>
      <c r="K1975" s="11"/>
      <c r="M1975" s="315">
        <f t="shared" si="839"/>
        <v>24.380000000000003</v>
      </c>
      <c r="N1975" s="29">
        <v>11.67</v>
      </c>
      <c r="O1975" s="319"/>
      <c r="P1975" s="97" t="s">
        <v>2827</v>
      </c>
      <c r="Q1975" s="97"/>
      <c r="R1975" s="97">
        <v>2019</v>
      </c>
      <c r="S1975" s="97"/>
      <c r="T1975" s="554">
        <f t="shared" si="854"/>
        <v>2.71</v>
      </c>
      <c r="U1975" s="146" t="s">
        <v>1017</v>
      </c>
      <c r="V1975" s="145"/>
      <c r="W1975" s="147"/>
      <c r="X1975" s="147"/>
      <c r="Y1975" s="145" t="s">
        <v>1017</v>
      </c>
      <c r="Z1975" s="145"/>
      <c r="AA1975" s="147"/>
      <c r="AB1975" s="145"/>
      <c r="AC1975" s="145"/>
      <c r="AD1975" s="147"/>
      <c r="AE1975" s="148" t="s">
        <v>1017</v>
      </c>
      <c r="AF1975" s="147"/>
      <c r="AG1975" s="147"/>
      <c r="AH1975" s="171"/>
      <c r="AI1975" s="168"/>
      <c r="AJ1975" s="168"/>
      <c r="AK1975" s="168"/>
      <c r="AL1975" s="168"/>
      <c r="AM1975" s="168"/>
      <c r="AN1975" s="167"/>
      <c r="AO1975" s="167"/>
      <c r="AP1975" s="167"/>
      <c r="AQ1975" s="169"/>
      <c r="AR1975" s="170"/>
      <c r="AS1975" s="169"/>
      <c r="AU1975" s="170"/>
      <c r="AV1975" s="169"/>
      <c r="AW1975" s="170"/>
      <c r="AX1975" s="169"/>
    </row>
    <row r="1976" spans="1:52" x14ac:dyDescent="0.35">
      <c r="A1976" s="502" t="s">
        <v>6599</v>
      </c>
      <c r="B1976" s="301" t="s">
        <v>5547</v>
      </c>
      <c r="C1976" s="301" t="s">
        <v>1304</v>
      </c>
      <c r="D1976" s="301" t="s">
        <v>7240</v>
      </c>
      <c r="E1976" s="301" t="s">
        <v>6598</v>
      </c>
      <c r="F1976" s="377">
        <f t="shared" si="841"/>
        <v>22.17</v>
      </c>
      <c r="G1976" s="429">
        <f t="shared" si="837"/>
        <v>22.17</v>
      </c>
      <c r="H1976" s="625">
        <f t="shared" si="838"/>
        <v>17.739999999999998</v>
      </c>
      <c r="I1976" s="579"/>
      <c r="J1976" s="549">
        <v>43873</v>
      </c>
      <c r="K1976" s="11"/>
      <c r="M1976" s="315">
        <f t="shared" si="839"/>
        <v>22.17</v>
      </c>
      <c r="N1976" s="29">
        <v>9.4600000000000009</v>
      </c>
      <c r="O1976" s="319"/>
      <c r="P1976" s="97" t="s">
        <v>2827</v>
      </c>
      <c r="Q1976" s="97"/>
      <c r="R1976" s="97">
        <v>2019</v>
      </c>
      <c r="S1976" s="97"/>
      <c r="T1976" s="554">
        <f t="shared" si="854"/>
        <v>2.71</v>
      </c>
      <c r="U1976" s="146" t="s">
        <v>1017</v>
      </c>
      <c r="V1976" s="145"/>
      <c r="W1976" s="147"/>
      <c r="X1976" s="147"/>
      <c r="Y1976" s="145" t="s">
        <v>1017</v>
      </c>
      <c r="Z1976" s="147"/>
      <c r="AA1976" s="145"/>
      <c r="AB1976" s="145"/>
      <c r="AC1976" s="147"/>
      <c r="AD1976" s="145"/>
      <c r="AE1976" s="148" t="s">
        <v>1017</v>
      </c>
      <c r="AF1976" s="147"/>
      <c r="AG1976" s="147"/>
      <c r="AH1976" s="171"/>
      <c r="AI1976" s="168"/>
      <c r="AJ1976" s="168"/>
      <c r="AK1976" s="168"/>
      <c r="AL1976" s="168"/>
      <c r="AM1976" s="168"/>
      <c r="AN1976" s="167"/>
      <c r="AO1976" s="167"/>
      <c r="AP1976" s="167"/>
      <c r="AQ1976" s="169"/>
      <c r="AR1976" s="170"/>
      <c r="AS1976" s="169"/>
      <c r="AU1976" s="170"/>
      <c r="AV1976" s="169"/>
      <c r="AW1976" s="170"/>
      <c r="AX1976" s="169"/>
    </row>
    <row r="1977" spans="1:52" x14ac:dyDescent="0.35">
      <c r="A1977" s="502" t="s">
        <v>6600</v>
      </c>
      <c r="B1977" s="301" t="s">
        <v>5547</v>
      </c>
      <c r="C1977" s="301" t="s">
        <v>1304</v>
      </c>
      <c r="D1977" s="301" t="s">
        <v>7390</v>
      </c>
      <c r="E1977" s="301" t="s">
        <v>6598</v>
      </c>
      <c r="F1977" s="377">
        <f t="shared" si="841"/>
        <v>17.22</v>
      </c>
      <c r="G1977" s="429">
        <f t="shared" si="837"/>
        <v>17.22</v>
      </c>
      <c r="H1977" s="625">
        <f t="shared" si="838"/>
        <v>13.78</v>
      </c>
      <c r="I1977" s="579"/>
      <c r="J1977" s="549">
        <v>43873</v>
      </c>
      <c r="K1977" s="11"/>
      <c r="M1977" s="315">
        <f t="shared" si="839"/>
        <v>17.22</v>
      </c>
      <c r="N1977" s="29">
        <v>8.51</v>
      </c>
      <c r="O1977" s="319"/>
      <c r="P1977" s="97" t="s">
        <v>2827</v>
      </c>
      <c r="Q1977" s="97"/>
      <c r="R1977" s="97">
        <v>2019</v>
      </c>
      <c r="S1977" s="97"/>
      <c r="T1977" s="554">
        <f t="shared" si="854"/>
        <v>2.71</v>
      </c>
      <c r="U1977" s="60"/>
      <c r="V1977" s="346"/>
      <c r="W1977" s="25" t="s">
        <v>1017</v>
      </c>
      <c r="X1977" s="25"/>
      <c r="Y1977" s="346"/>
      <c r="Z1977" s="346"/>
      <c r="AA1977" s="346"/>
      <c r="AB1977" s="346"/>
      <c r="AC1977" s="346"/>
      <c r="AD1977" s="346"/>
      <c r="AE1977" s="75" t="s">
        <v>1017</v>
      </c>
      <c r="AF1977" s="50"/>
      <c r="AG1977" s="50"/>
      <c r="AH1977" s="171"/>
      <c r="AI1977" s="168"/>
      <c r="AJ1977" s="168"/>
      <c r="AK1977" s="168"/>
      <c r="AL1977" s="168"/>
      <c r="AM1977" s="168"/>
      <c r="AN1977" s="167"/>
      <c r="AO1977" s="167"/>
      <c r="AP1977" s="167"/>
      <c r="AQ1977" s="169"/>
      <c r="AR1977" s="170"/>
      <c r="AS1977" s="169"/>
      <c r="AU1977" s="170"/>
      <c r="AV1977" s="169"/>
      <c r="AW1977" s="170"/>
      <c r="AX1977" s="169"/>
    </row>
    <row r="1978" spans="1:52" x14ac:dyDescent="0.35">
      <c r="A1978" s="502" t="s">
        <v>7484</v>
      </c>
      <c r="B1978" s="301" t="s">
        <v>5547</v>
      </c>
      <c r="C1978" s="301" t="s">
        <v>1304</v>
      </c>
      <c r="D1978" s="301" t="s">
        <v>7488</v>
      </c>
      <c r="E1978" s="301" t="s">
        <v>6610</v>
      </c>
      <c r="F1978" s="377">
        <f t="shared" si="841"/>
        <v>27.360000000000003</v>
      </c>
      <c r="G1978" s="429">
        <f t="shared" si="837"/>
        <v>27.360000000000003</v>
      </c>
      <c r="H1978" s="625">
        <f t="shared" si="838"/>
        <v>21.89</v>
      </c>
      <c r="I1978" s="579"/>
      <c r="J1978" s="549">
        <v>44260</v>
      </c>
      <c r="K1978" s="11"/>
      <c r="M1978" s="315">
        <f t="shared" si="839"/>
        <v>27.360000000000003</v>
      </c>
      <c r="N1978" s="29">
        <v>11.67</v>
      </c>
      <c r="O1978" s="319"/>
      <c r="P1978" s="97" t="s">
        <v>2827</v>
      </c>
      <c r="Q1978" s="97"/>
      <c r="R1978" s="97">
        <v>2020</v>
      </c>
      <c r="S1978" s="97" t="s">
        <v>4179</v>
      </c>
      <c r="T1978" s="554">
        <f t="shared" si="854"/>
        <v>2.69</v>
      </c>
      <c r="U1978" s="42"/>
      <c r="V1978" s="25"/>
      <c r="W1978" s="147"/>
      <c r="X1978" s="147"/>
      <c r="Y1978" s="25"/>
      <c r="Z1978" s="25" t="s">
        <v>1017</v>
      </c>
      <c r="AA1978" s="346"/>
      <c r="AB1978" s="25"/>
      <c r="AC1978" s="25"/>
      <c r="AD1978" s="346"/>
      <c r="AE1978" s="75" t="s">
        <v>1017</v>
      </c>
      <c r="AF1978" s="50"/>
      <c r="AG1978" s="50"/>
      <c r="AH1978" s="171"/>
      <c r="AI1978" s="168"/>
      <c r="AJ1978" s="168"/>
      <c r="AK1978" s="168"/>
      <c r="AL1978" s="168"/>
      <c r="AM1978" s="168"/>
      <c r="AN1978" s="167"/>
      <c r="AO1978" s="167"/>
      <c r="AP1978" s="167"/>
      <c r="AQ1978" s="169"/>
      <c r="AR1978" s="170"/>
      <c r="AS1978" s="169"/>
      <c r="AU1978" s="170"/>
      <c r="AV1978" s="169"/>
      <c r="AW1978" s="170"/>
      <c r="AX1978" s="169"/>
    </row>
    <row r="1979" spans="1:52" x14ac:dyDescent="0.35">
      <c r="A1979" s="502" t="s">
        <v>7483</v>
      </c>
      <c r="B1979" s="301" t="s">
        <v>5547</v>
      </c>
      <c r="C1979" s="301" t="s">
        <v>1304</v>
      </c>
      <c r="D1979" s="301" t="s">
        <v>7489</v>
      </c>
      <c r="E1979" s="301" t="s">
        <v>6610</v>
      </c>
      <c r="F1979" s="377">
        <f t="shared" si="841"/>
        <v>28.360000000000003</v>
      </c>
      <c r="G1979" s="429">
        <f t="shared" si="837"/>
        <v>28.360000000000003</v>
      </c>
      <c r="H1979" s="625">
        <f t="shared" si="838"/>
        <v>22.69</v>
      </c>
      <c r="I1979" s="579"/>
      <c r="J1979" s="549">
        <v>44260</v>
      </c>
      <c r="K1979" s="11"/>
      <c r="M1979" s="315">
        <f t="shared" si="839"/>
        <v>28.360000000000003</v>
      </c>
      <c r="N1979" s="29">
        <v>11.67</v>
      </c>
      <c r="O1979" s="319"/>
      <c r="P1979" s="97" t="s">
        <v>2827</v>
      </c>
      <c r="Q1979" s="97"/>
      <c r="R1979" s="97">
        <v>2020</v>
      </c>
      <c r="S1979" s="97" t="s">
        <v>4179</v>
      </c>
      <c r="T1979" s="554">
        <f t="shared" si="854"/>
        <v>2.69</v>
      </c>
      <c r="U1979" s="42" t="s">
        <v>1017</v>
      </c>
      <c r="V1979" s="25"/>
      <c r="W1979" s="147"/>
      <c r="X1979" s="147"/>
      <c r="Y1979" s="25"/>
      <c r="Z1979" s="25" t="s">
        <v>1017</v>
      </c>
      <c r="AA1979" s="346"/>
      <c r="AB1979" s="25"/>
      <c r="AC1979" s="25"/>
      <c r="AD1979" s="346"/>
      <c r="AE1979" s="75" t="s">
        <v>1017</v>
      </c>
      <c r="AF1979" s="50"/>
      <c r="AG1979" s="50"/>
      <c r="AH1979" s="171"/>
      <c r="AI1979" s="168"/>
      <c r="AJ1979" s="168"/>
      <c r="AK1979" s="168"/>
      <c r="AL1979" s="168"/>
      <c r="AM1979" s="168"/>
      <c r="AN1979" s="167"/>
      <c r="AO1979" s="167"/>
      <c r="AP1979" s="167"/>
      <c r="AQ1979" s="169"/>
      <c r="AR1979" s="170"/>
      <c r="AS1979" s="169"/>
      <c r="AU1979" s="170"/>
      <c r="AV1979" s="169"/>
      <c r="AW1979" s="170"/>
      <c r="AX1979" s="169"/>
    </row>
    <row r="1980" spans="1:52" x14ac:dyDescent="0.35">
      <c r="A1980" s="502" t="s">
        <v>7485</v>
      </c>
      <c r="B1980" s="301" t="s">
        <v>5547</v>
      </c>
      <c r="C1980" s="301" t="s">
        <v>1304</v>
      </c>
      <c r="D1980" s="301" t="s">
        <v>7490</v>
      </c>
      <c r="E1980" s="301" t="s">
        <v>6610</v>
      </c>
      <c r="F1980" s="377">
        <f t="shared" si="841"/>
        <v>22.150000000000002</v>
      </c>
      <c r="G1980" s="429">
        <f t="shared" si="837"/>
        <v>22.150000000000002</v>
      </c>
      <c r="H1980" s="625">
        <f t="shared" si="838"/>
        <v>17.72</v>
      </c>
      <c r="I1980" s="579"/>
      <c r="J1980" s="549">
        <v>44260</v>
      </c>
      <c r="K1980" s="11"/>
      <c r="M1980" s="315">
        <f t="shared" si="839"/>
        <v>22.150000000000002</v>
      </c>
      <c r="N1980" s="29">
        <v>9.4600000000000009</v>
      </c>
      <c r="O1980" s="319"/>
      <c r="P1980" s="97" t="s">
        <v>2827</v>
      </c>
      <c r="Q1980" s="97"/>
      <c r="R1980" s="97">
        <v>2020</v>
      </c>
      <c r="S1980" s="97" t="s">
        <v>4179</v>
      </c>
      <c r="T1980" s="554">
        <f t="shared" si="854"/>
        <v>2.69</v>
      </c>
      <c r="U1980" s="42"/>
      <c r="V1980" s="25"/>
      <c r="W1980" s="147"/>
      <c r="X1980" s="147"/>
      <c r="Y1980" s="25"/>
      <c r="Z1980" s="147"/>
      <c r="AA1980" s="25" t="s">
        <v>1017</v>
      </c>
      <c r="AB1980" s="25"/>
      <c r="AC1980" s="147"/>
      <c r="AD1980" s="25"/>
      <c r="AE1980" s="75" t="s">
        <v>1017</v>
      </c>
      <c r="AF1980" s="50"/>
      <c r="AG1980" s="50"/>
      <c r="AH1980" s="171"/>
      <c r="AI1980" s="168"/>
      <c r="AJ1980" s="168"/>
      <c r="AK1980" s="168"/>
      <c r="AL1980" s="168"/>
      <c r="AM1980" s="168"/>
      <c r="AN1980" s="167"/>
      <c r="AO1980" s="167"/>
      <c r="AP1980" s="167"/>
      <c r="AQ1980" s="169"/>
      <c r="AR1980" s="170"/>
      <c r="AS1980" s="169"/>
      <c r="AU1980" s="170"/>
      <c r="AV1980" s="169"/>
      <c r="AW1980" s="170"/>
      <c r="AX1980" s="169"/>
    </row>
    <row r="1981" spans="1:52" x14ac:dyDescent="0.35">
      <c r="A1981" s="502" t="s">
        <v>7486</v>
      </c>
      <c r="B1981" s="301" t="s">
        <v>5547</v>
      </c>
      <c r="C1981" s="301" t="s">
        <v>1304</v>
      </c>
      <c r="D1981" s="301" t="s">
        <v>7491</v>
      </c>
      <c r="E1981" s="301" t="s">
        <v>6610</v>
      </c>
      <c r="F1981" s="377">
        <f t="shared" si="841"/>
        <v>23.150000000000002</v>
      </c>
      <c r="G1981" s="429">
        <f t="shared" si="837"/>
        <v>23.150000000000002</v>
      </c>
      <c r="H1981" s="625">
        <f t="shared" si="838"/>
        <v>18.52</v>
      </c>
      <c r="I1981" s="579"/>
      <c r="J1981" s="549">
        <v>44260</v>
      </c>
      <c r="K1981" s="11"/>
      <c r="M1981" s="315">
        <f t="shared" si="839"/>
        <v>23.150000000000002</v>
      </c>
      <c r="N1981" s="29">
        <v>9.4600000000000009</v>
      </c>
      <c r="O1981" s="319"/>
      <c r="P1981" s="97" t="s">
        <v>2827</v>
      </c>
      <c r="Q1981" s="97"/>
      <c r="R1981" s="97">
        <v>2020</v>
      </c>
      <c r="S1981" s="97" t="s">
        <v>4179</v>
      </c>
      <c r="T1981" s="554">
        <f t="shared" si="854"/>
        <v>2.69</v>
      </c>
      <c r="U1981" s="42" t="s">
        <v>1017</v>
      </c>
      <c r="V1981" s="25"/>
      <c r="W1981" s="147"/>
      <c r="X1981" s="147"/>
      <c r="Y1981" s="25"/>
      <c r="Z1981" s="147"/>
      <c r="AA1981" s="25" t="s">
        <v>1017</v>
      </c>
      <c r="AB1981" s="25"/>
      <c r="AC1981" s="147"/>
      <c r="AD1981" s="25"/>
      <c r="AE1981" s="75" t="s">
        <v>1017</v>
      </c>
      <c r="AF1981" s="50"/>
      <c r="AG1981" s="50"/>
      <c r="AH1981" s="171"/>
      <c r="AI1981" s="168"/>
      <c r="AJ1981" s="168"/>
      <c r="AK1981" s="168"/>
      <c r="AL1981" s="168"/>
      <c r="AM1981" s="168"/>
      <c r="AN1981" s="167"/>
      <c r="AO1981" s="167"/>
      <c r="AP1981" s="167"/>
      <c r="AQ1981" s="169"/>
      <c r="AR1981" s="170"/>
      <c r="AS1981" s="169"/>
      <c r="AU1981" s="170"/>
      <c r="AV1981" s="169"/>
      <c r="AW1981" s="170"/>
      <c r="AX1981" s="169"/>
    </row>
    <row r="1982" spans="1:52" x14ac:dyDescent="0.35">
      <c r="A1982" s="502" t="s">
        <v>7487</v>
      </c>
      <c r="B1982" s="301" t="s">
        <v>5547</v>
      </c>
      <c r="C1982" s="301" t="s">
        <v>1304</v>
      </c>
      <c r="D1982" s="301" t="s">
        <v>7492</v>
      </c>
      <c r="E1982" s="301" t="s">
        <v>6610</v>
      </c>
      <c r="F1982" s="377">
        <f t="shared" si="841"/>
        <v>17.2</v>
      </c>
      <c r="G1982" s="429">
        <f t="shared" si="837"/>
        <v>17.2</v>
      </c>
      <c r="H1982" s="625">
        <f t="shared" si="838"/>
        <v>13.76</v>
      </c>
      <c r="I1982" s="579"/>
      <c r="J1982" s="549">
        <v>44260</v>
      </c>
      <c r="K1982" s="11"/>
      <c r="M1982" s="315">
        <f t="shared" si="839"/>
        <v>17.2</v>
      </c>
      <c r="N1982" s="29">
        <v>8.51</v>
      </c>
      <c r="O1982" s="319"/>
      <c r="P1982" s="97" t="s">
        <v>2827</v>
      </c>
      <c r="Q1982" s="97"/>
      <c r="R1982" s="97">
        <v>2020</v>
      </c>
      <c r="S1982" s="97" t="s">
        <v>4179</v>
      </c>
      <c r="T1982" s="554">
        <f t="shared" si="854"/>
        <v>2.69</v>
      </c>
      <c r="U1982" s="60"/>
      <c r="V1982" s="346"/>
      <c r="W1982" s="25" t="s">
        <v>1017</v>
      </c>
      <c r="X1982" s="25"/>
      <c r="Y1982" s="346"/>
      <c r="Z1982" s="346"/>
      <c r="AA1982" s="346"/>
      <c r="AB1982" s="346"/>
      <c r="AC1982" s="346"/>
      <c r="AD1982" s="346"/>
      <c r="AE1982" s="75" t="s">
        <v>1017</v>
      </c>
      <c r="AF1982" s="50"/>
      <c r="AG1982" s="50"/>
      <c r="AH1982" s="171"/>
      <c r="AI1982" s="168"/>
      <c r="AJ1982" s="168"/>
      <c r="AK1982" s="168"/>
      <c r="AL1982" s="168"/>
      <c r="AM1982" s="168"/>
      <c r="AN1982" s="167"/>
      <c r="AO1982" s="167"/>
      <c r="AP1982" s="167"/>
      <c r="AQ1982" s="169"/>
      <c r="AR1982" s="170"/>
      <c r="AS1982" s="169"/>
      <c r="AU1982" s="170"/>
      <c r="AV1982" s="169"/>
      <c r="AW1982" s="170"/>
      <c r="AX1982" s="169"/>
    </row>
    <row r="1983" spans="1:52" s="145" customFormat="1" x14ac:dyDescent="0.35">
      <c r="A1983" s="496"/>
      <c r="B1983" s="1"/>
      <c r="C1983" s="18"/>
      <c r="D1983" s="18" t="s">
        <v>4179</v>
      </c>
      <c r="E1983" s="1" t="s">
        <v>4179</v>
      </c>
      <c r="F1983" s="375"/>
      <c r="G1983" s="432"/>
      <c r="H1983" s="401"/>
      <c r="I1983" s="578"/>
      <c r="J1983" s="549" t="s">
        <v>4179</v>
      </c>
      <c r="K1983" s="11"/>
      <c r="L1983"/>
      <c r="M1983" s="22"/>
      <c r="N1983" s="22"/>
      <c r="O1983" s="41"/>
      <c r="P1983" s="11"/>
      <c r="Q1983"/>
      <c r="R1983"/>
      <c r="S1983" t="s">
        <v>4179</v>
      </c>
      <c r="T1983" s="145" t="s">
        <v>4179</v>
      </c>
      <c r="U1983" s="42"/>
      <c r="V1983"/>
      <c r="W1983"/>
      <c r="X1983"/>
      <c r="Y1983"/>
      <c r="Z1983"/>
      <c r="AA1983"/>
      <c r="AB1983"/>
      <c r="AC1983"/>
      <c r="AD1983"/>
      <c r="AE1983" s="75"/>
      <c r="AF1983"/>
      <c r="AG1983"/>
      <c r="AH1983" s="166" t="str">
        <f t="shared" ref="AH1983:AH1994" si="855">IF(ISERROR(SEARCH("K erstmals 201",D1983)),"",RIGHT(D1983,4))</f>
        <v/>
      </c>
      <c r="AI1983" s="168" t="str">
        <f>IF(AND($AH1983&lt;&gt;"",AH1983 =AH1942),"Gleich","")</f>
        <v/>
      </c>
      <c r="AJ1983" s="168" t="str">
        <f>IF(AND($AH1983&lt;&gt;"",A1983 =A1942),"Gleich","")</f>
        <v/>
      </c>
      <c r="AK1983" s="168" t="str">
        <f>IF(AND($AH1983&lt;&gt;"",D1983 =D1942),"Gleich","")</f>
        <v/>
      </c>
      <c r="AL1983" s="168" t="str">
        <f>IF(AND($AH1983&lt;&gt;"",E1983 =E1942),"Gleich","")</f>
        <v/>
      </c>
      <c r="AM1983" s="168" t="str">
        <f>IF(AND($AH1983&lt;&gt;"",F1983 =F1942),"Gleich","")</f>
        <v/>
      </c>
      <c r="AN1983" s="167" t="str">
        <f t="shared" ref="AN1983:AN2046" si="856">IF(ISERROR(SEARCH("K1",A1983)),"","20"&amp;MID(A1983,SEARCH("K1",A1983)+1,2))</f>
        <v/>
      </c>
      <c r="AO1983" s="167" t="str">
        <f t="shared" ref="AO1983:AO2046" si="857">IF(ISERROR(SEARCH("erstmals 201",E1983)),"",MID(E1983,SEARCH("erstmals ",E1983)+9,4))</f>
        <v/>
      </c>
      <c r="AP1983" s="167" t="str">
        <f t="shared" ref="AP1983:AP2046" si="858">IF(R1983="x","2010",IF(S1983="x","2011",IF(T1983="x","2012","")))</f>
        <v/>
      </c>
      <c r="AQ1983" s="169" t="str">
        <f t="shared" ref="AQ1983:AQ2046" si="859">IF(OR(AH1983&lt;&gt;AN1983,AH1983&lt;&gt;AO1983,AH1983&lt;&gt;AP1983),"DIFF","")</f>
        <v/>
      </c>
      <c r="AR1983" s="170" t="str">
        <f t="shared" ref="AR1983:AR2046" si="860">IF(A1983="","",IF(ISERROR(SEARCH("K1",A1983)),A1983,LEFT(A1983,SEARCH("K1",A1983)+1)&amp;RIGHT(AH1983,1)&amp;MID(A1983,SEARCH("K1",A1983)+3,14)))</f>
        <v/>
      </c>
      <c r="AS1983" s="169" t="str">
        <f t="shared" ref="AS1983:AS2046" si="861">IF(OR(A1983&lt;&gt;AR1983),"DIFF","")</f>
        <v/>
      </c>
      <c r="AT1983">
        <f t="shared" ref="AT1983:AT2046" si="862">LEN(AR1983)</f>
        <v>0</v>
      </c>
      <c r="AU1983" s="170" t="str">
        <f t="shared" ref="AU1983:AU2046" si="863">IF(D1983="","",IF(OR(A1983="",ISERROR(SEARCH("erstmals 201",D1983))),D1983,LEFT(D1983,SEARCH("erstmals 201",D1983)+8) &amp; AH1983 &amp; MID(D1983,SEARCH("erstmals 201",D1983)+13,255)))</f>
        <v/>
      </c>
      <c r="AV1983" s="169" t="str">
        <f t="shared" ref="AV1983:AV2046" si="864">IF(OR(D1983&lt;&gt;AU1983),"DIFF","")</f>
        <v/>
      </c>
      <c r="AW1983" s="170" t="str">
        <f t="shared" ref="AW1983:AW2046" si="865">IF(E1983="","",IF(OR(E1983="",ISERROR(SEARCH("erstmals 201",E1983))),E1983,LEFT(E1983,SEARCH("erstmals 201",E1983)+8) &amp; AH1983 &amp; MID(E1983,SEARCH("erstmals 201",E1983)+13,255)))</f>
        <v/>
      </c>
      <c r="AX1983" s="169" t="str">
        <f t="shared" ref="AX1983:AX2046" si="866">IF(OR(E1983&lt;&gt;AW1983),"DIFF","")</f>
        <v/>
      </c>
      <c r="AY1983" t="str">
        <f t="shared" ref="AY1983:AY2046" si="867">IF(AH1983="2011","x",IF(AH1983="2012","","" &amp; S1983))</f>
        <v/>
      </c>
      <c r="AZ1983" t="str">
        <f t="shared" ref="AZ1983:AZ2046" si="868">IF(AH1983="2012","x",IF(AH1983="2011","","" &amp; T1983))</f>
        <v/>
      </c>
    </row>
    <row r="1984" spans="1:52" ht="15.5" x14ac:dyDescent="0.35">
      <c r="A1984" s="496" t="s">
        <v>4179</v>
      </c>
      <c r="B1984" s="1"/>
      <c r="C1984" s="1"/>
      <c r="D1984" s="1" t="s">
        <v>4179</v>
      </c>
      <c r="E1984" s="1" t="s">
        <v>4179</v>
      </c>
      <c r="F1984" s="375"/>
      <c r="G1984" s="432"/>
      <c r="H1984" s="401"/>
      <c r="I1984" s="578"/>
      <c r="J1984" s="549" t="s">
        <v>4179</v>
      </c>
      <c r="K1984" s="11"/>
      <c r="M1984" s="53" t="s">
        <v>2911</v>
      </c>
      <c r="N1984" s="27"/>
      <c r="O1984" s="31"/>
      <c r="P1984" s="22"/>
      <c r="U1984" s="42"/>
      <c r="AE1984" s="75"/>
      <c r="AH1984" s="166" t="str">
        <f t="shared" si="855"/>
        <v/>
      </c>
      <c r="AI1984" s="168" t="str">
        <f t="shared" ref="AI1984:AI2047" si="869">IF(AND($AH1984&lt;&gt;"",AH1984 =AH1983),"Gleich","")</f>
        <v/>
      </c>
      <c r="AJ1984" s="168" t="str">
        <f t="shared" ref="AJ1984:AJ2047" si="870">IF(AND($AH1984&lt;&gt;"",A1984 =A1983),"Gleich","")</f>
        <v/>
      </c>
      <c r="AK1984" s="168" t="str">
        <f t="shared" ref="AK1984:AK2047" si="871">IF(AND($AH1984&lt;&gt;"",D1984 =D1983),"Gleich","")</f>
        <v/>
      </c>
      <c r="AL1984" s="168" t="str">
        <f t="shared" ref="AL1984:AL2047" si="872">IF(AND($AH1984&lt;&gt;"",E1984 =E1983),"Gleich","")</f>
        <v/>
      </c>
      <c r="AM1984" s="168" t="str">
        <f t="shared" ref="AM1984:AM2047" si="873">IF(AND($AH1984&lt;&gt;"",F1984 =F1983),"Gleich","")</f>
        <v/>
      </c>
      <c r="AN1984" s="167" t="str">
        <f t="shared" si="856"/>
        <v/>
      </c>
      <c r="AO1984" s="167" t="str">
        <f t="shared" si="857"/>
        <v/>
      </c>
      <c r="AP1984" s="167" t="str">
        <f t="shared" si="858"/>
        <v/>
      </c>
      <c r="AQ1984" s="169" t="str">
        <f t="shared" si="859"/>
        <v/>
      </c>
      <c r="AR1984" s="170" t="str">
        <f t="shared" si="860"/>
        <v/>
      </c>
      <c r="AS1984" s="169" t="str">
        <f t="shared" si="861"/>
        <v/>
      </c>
      <c r="AT1984">
        <f t="shared" si="862"/>
        <v>0</v>
      </c>
      <c r="AU1984" s="170" t="str">
        <f t="shared" si="863"/>
        <v/>
      </c>
      <c r="AV1984" s="169" t="str">
        <f t="shared" si="864"/>
        <v/>
      </c>
      <c r="AW1984" s="170" t="str">
        <f t="shared" si="865"/>
        <v/>
      </c>
      <c r="AX1984" s="169" t="str">
        <f t="shared" si="866"/>
        <v/>
      </c>
      <c r="AY1984" t="str">
        <f t="shared" si="867"/>
        <v/>
      </c>
      <c r="AZ1984" t="str">
        <f t="shared" si="868"/>
        <v/>
      </c>
    </row>
    <row r="1985" spans="1:52" x14ac:dyDescent="0.35">
      <c r="A1985" s="496" t="s">
        <v>4179</v>
      </c>
      <c r="B1985" s="1"/>
      <c r="C1985" s="1"/>
      <c r="D1985" s="1" t="s">
        <v>4179</v>
      </c>
      <c r="E1985" s="1" t="s">
        <v>4179</v>
      </c>
      <c r="F1985" s="375"/>
      <c r="G1985" s="432"/>
      <c r="H1985" s="401"/>
      <c r="I1985" s="578"/>
      <c r="J1985" s="549" t="s">
        <v>4179</v>
      </c>
      <c r="K1985" s="11"/>
      <c r="N1985" s="22"/>
      <c r="O1985" s="31" t="s">
        <v>2659</v>
      </c>
      <c r="P1985" s="22"/>
      <c r="Q1985">
        <v>2009</v>
      </c>
      <c r="R1985">
        <v>2010</v>
      </c>
      <c r="S1985">
        <v>2011</v>
      </c>
      <c r="T1985">
        <v>2012</v>
      </c>
      <c r="U1985" s="42"/>
      <c r="V1985" s="22" t="s">
        <v>778</v>
      </c>
      <c r="AE1985" s="31" t="s">
        <v>827</v>
      </c>
      <c r="AH1985" s="166" t="str">
        <f t="shared" si="855"/>
        <v/>
      </c>
      <c r="AI1985" s="168" t="str">
        <f t="shared" si="869"/>
        <v/>
      </c>
      <c r="AJ1985" s="168" t="str">
        <f t="shared" si="870"/>
        <v/>
      </c>
      <c r="AK1985" s="168" t="str">
        <f t="shared" si="871"/>
        <v/>
      </c>
      <c r="AL1985" s="168" t="str">
        <f t="shared" si="872"/>
        <v/>
      </c>
      <c r="AM1985" s="168" t="str">
        <f t="shared" si="873"/>
        <v/>
      </c>
      <c r="AN1985" s="167" t="str">
        <f t="shared" si="856"/>
        <v/>
      </c>
      <c r="AO1985" s="167" t="str">
        <f t="shared" si="857"/>
        <v/>
      </c>
      <c r="AP1985" s="167" t="str">
        <f t="shared" si="858"/>
        <v/>
      </c>
      <c r="AQ1985" s="169" t="str">
        <f t="shared" si="859"/>
        <v/>
      </c>
      <c r="AR1985" s="170" t="str">
        <f t="shared" si="860"/>
        <v/>
      </c>
      <c r="AS1985" s="169" t="str">
        <f t="shared" si="861"/>
        <v/>
      </c>
      <c r="AT1985">
        <f t="shared" si="862"/>
        <v>0</v>
      </c>
      <c r="AU1985" s="170" t="str">
        <f t="shared" si="863"/>
        <v/>
      </c>
      <c r="AV1985" s="169" t="str">
        <f t="shared" si="864"/>
        <v/>
      </c>
      <c r="AW1985" s="170" t="str">
        <f t="shared" si="865"/>
        <v/>
      </c>
      <c r="AX1985" s="169" t="str">
        <f t="shared" si="866"/>
        <v/>
      </c>
      <c r="AY1985" t="str">
        <f t="shared" si="867"/>
        <v>2011</v>
      </c>
      <c r="AZ1985" t="str">
        <f t="shared" si="868"/>
        <v>2012</v>
      </c>
    </row>
    <row r="1986" spans="1:52" ht="72" x14ac:dyDescent="0.35">
      <c r="A1986" s="496" t="s">
        <v>4179</v>
      </c>
      <c r="B1986" s="1"/>
      <c r="C1986" s="1"/>
      <c r="D1986" s="1" t="s">
        <v>4179</v>
      </c>
      <c r="E1986" s="1" t="s">
        <v>4179</v>
      </c>
      <c r="F1986" s="375"/>
      <c r="G1986" s="432"/>
      <c r="H1986" s="401"/>
      <c r="I1986" s="578"/>
      <c r="J1986" s="549" t="s">
        <v>4179</v>
      </c>
      <c r="K1986" s="11"/>
      <c r="M1986" s="36" t="s">
        <v>2913</v>
      </c>
      <c r="N1986" s="30" t="s">
        <v>2912</v>
      </c>
      <c r="O1986" s="32" t="s">
        <v>825</v>
      </c>
      <c r="P1986" s="30" t="s">
        <v>3007</v>
      </c>
      <c r="Q1986" s="30" t="s">
        <v>1013</v>
      </c>
      <c r="R1986" s="30" t="s">
        <v>1264</v>
      </c>
      <c r="S1986" s="30" t="s">
        <v>1482</v>
      </c>
      <c r="T1986" s="30" t="s">
        <v>4160</v>
      </c>
      <c r="U1986" s="65" t="s">
        <v>771</v>
      </c>
      <c r="V1986" s="30" t="s">
        <v>1021</v>
      </c>
      <c r="W1986" s="30" t="s">
        <v>1029</v>
      </c>
      <c r="X1986" s="30" t="s">
        <v>786</v>
      </c>
      <c r="Y1986" s="64" t="s">
        <v>4883</v>
      </c>
      <c r="Z1986" s="64" t="s">
        <v>5519</v>
      </c>
      <c r="AA1986" s="64" t="s">
        <v>5520</v>
      </c>
      <c r="AB1986" s="64" t="s">
        <v>5521</v>
      </c>
      <c r="AC1986" s="64" t="s">
        <v>4852</v>
      </c>
      <c r="AD1986" s="64" t="s">
        <v>770</v>
      </c>
      <c r="AE1986" s="32" t="s">
        <v>824</v>
      </c>
      <c r="AF1986" s="48"/>
      <c r="AG1986" s="48"/>
      <c r="AH1986" s="166" t="str">
        <f t="shared" si="855"/>
        <v/>
      </c>
      <c r="AI1986" s="168" t="str">
        <f t="shared" si="869"/>
        <v/>
      </c>
      <c r="AJ1986" s="168" t="str">
        <f t="shared" si="870"/>
        <v/>
      </c>
      <c r="AK1986" s="168" t="str">
        <f t="shared" si="871"/>
        <v/>
      </c>
      <c r="AL1986" s="168" t="str">
        <f t="shared" si="872"/>
        <v/>
      </c>
      <c r="AM1986" s="168" t="str">
        <f t="shared" si="873"/>
        <v/>
      </c>
      <c r="AN1986" s="167" t="str">
        <f t="shared" si="856"/>
        <v/>
      </c>
      <c r="AO1986" s="167" t="str">
        <f t="shared" si="857"/>
        <v/>
      </c>
      <c r="AP1986" s="167" t="str">
        <f t="shared" si="858"/>
        <v/>
      </c>
      <c r="AQ1986" s="169" t="str">
        <f t="shared" si="859"/>
        <v/>
      </c>
      <c r="AR1986" s="170" t="str">
        <f t="shared" si="860"/>
        <v/>
      </c>
      <c r="AS1986" s="169" t="str">
        <f t="shared" si="861"/>
        <v/>
      </c>
      <c r="AT1986">
        <f t="shared" si="862"/>
        <v>0</v>
      </c>
      <c r="AU1986" s="170" t="str">
        <f t="shared" si="863"/>
        <v/>
      </c>
      <c r="AV1986" s="169" t="str">
        <f t="shared" si="864"/>
        <v/>
      </c>
      <c r="AW1986" s="170" t="str">
        <f t="shared" si="865"/>
        <v/>
      </c>
      <c r="AX1986" s="169" t="str">
        <f t="shared" si="866"/>
        <v/>
      </c>
      <c r="AY1986" t="str">
        <f t="shared" si="867"/>
        <v>erstmals KWK in 2011</v>
      </c>
      <c r="AZ1986" t="str">
        <f t="shared" si="868"/>
        <v>erstmals KWK in 2012</v>
      </c>
    </row>
    <row r="1987" spans="1:52" ht="31.5" x14ac:dyDescent="0.35">
      <c r="A1987" s="496" t="s">
        <v>4179</v>
      </c>
      <c r="B1987" s="1"/>
      <c r="C1987" s="1"/>
      <c r="D1987" s="1" t="s">
        <v>4179</v>
      </c>
      <c r="E1987" s="1" t="s">
        <v>4179</v>
      </c>
      <c r="F1987" s="375"/>
      <c r="G1987" s="432"/>
      <c r="H1987" s="401"/>
      <c r="I1987" s="578"/>
      <c r="J1987" s="549" t="s">
        <v>4179</v>
      </c>
      <c r="K1987" s="11"/>
      <c r="M1987" s="34"/>
      <c r="N1987" s="30"/>
      <c r="O1987" s="32" t="s">
        <v>1014</v>
      </c>
      <c r="P1987" s="30" t="s">
        <v>1015</v>
      </c>
      <c r="Q1987" s="30" t="s">
        <v>1016</v>
      </c>
      <c r="R1987" s="30" t="s">
        <v>1265</v>
      </c>
      <c r="S1987" s="30" t="s">
        <v>3489</v>
      </c>
      <c r="T1987" s="95" t="s">
        <v>4161</v>
      </c>
      <c r="U1987" s="43" t="s">
        <v>1018</v>
      </c>
      <c r="V1987" s="30" t="s">
        <v>1019</v>
      </c>
      <c r="W1987" s="30" t="s">
        <v>1020</v>
      </c>
      <c r="X1987" s="30" t="s">
        <v>4068</v>
      </c>
      <c r="Y1987" s="30" t="s">
        <v>1023</v>
      </c>
      <c r="Z1987" s="30" t="s">
        <v>1024</v>
      </c>
      <c r="AA1987" s="30" t="s">
        <v>1025</v>
      </c>
      <c r="AB1987" s="30" t="s">
        <v>1026</v>
      </c>
      <c r="AC1987" s="30" t="s">
        <v>1028</v>
      </c>
      <c r="AD1987" s="30" t="s">
        <v>1027</v>
      </c>
      <c r="AE1987" s="32" t="s">
        <v>826</v>
      </c>
      <c r="AF1987" s="48"/>
      <c r="AG1987" s="48"/>
      <c r="AH1987" s="166" t="str">
        <f t="shared" si="855"/>
        <v/>
      </c>
      <c r="AI1987" s="168" t="str">
        <f t="shared" si="869"/>
        <v/>
      </c>
      <c r="AJ1987" s="168" t="str">
        <f t="shared" si="870"/>
        <v/>
      </c>
      <c r="AK1987" s="168" t="str">
        <f t="shared" si="871"/>
        <v/>
      </c>
      <c r="AL1987" s="168" t="str">
        <f t="shared" si="872"/>
        <v/>
      </c>
      <c r="AM1987" s="168" t="str">
        <f t="shared" si="873"/>
        <v/>
      </c>
      <c r="AN1987" s="167" t="str">
        <f t="shared" si="856"/>
        <v/>
      </c>
      <c r="AO1987" s="167" t="str">
        <f t="shared" si="857"/>
        <v/>
      </c>
      <c r="AP1987" s="167" t="str">
        <f t="shared" si="858"/>
        <v/>
      </c>
      <c r="AQ1987" s="169" t="str">
        <f t="shared" si="859"/>
        <v/>
      </c>
      <c r="AR1987" s="170" t="str">
        <f t="shared" si="860"/>
        <v/>
      </c>
      <c r="AS1987" s="169" t="str">
        <f t="shared" si="861"/>
        <v/>
      </c>
      <c r="AT1987">
        <f t="shared" si="862"/>
        <v>0</v>
      </c>
      <c r="AU1987" s="170" t="str">
        <f t="shared" si="863"/>
        <v/>
      </c>
      <c r="AV1987" s="169" t="str">
        <f t="shared" si="864"/>
        <v/>
      </c>
      <c r="AW1987" s="170" t="str">
        <f t="shared" si="865"/>
        <v/>
      </c>
      <c r="AX1987" s="169" t="str">
        <f t="shared" si="866"/>
        <v/>
      </c>
      <c r="AY1987" t="str">
        <f t="shared" si="867"/>
        <v>"K11"</v>
      </c>
      <c r="AZ1987" t="str">
        <f t="shared" si="868"/>
        <v>"K12"</v>
      </c>
    </row>
    <row r="1988" spans="1:52" x14ac:dyDescent="0.35">
      <c r="A1988" s="496" t="s">
        <v>4179</v>
      </c>
      <c r="B1988" s="1"/>
      <c r="C1988" s="1"/>
      <c r="D1988" s="1" t="s">
        <v>4179</v>
      </c>
      <c r="E1988" s="1" t="s">
        <v>4179</v>
      </c>
      <c r="F1988" s="375"/>
      <c r="G1988" s="432"/>
      <c r="H1988" s="401"/>
      <c r="I1988" s="578"/>
      <c r="J1988" s="549" t="s">
        <v>4179</v>
      </c>
      <c r="K1988" s="11"/>
      <c r="N1988" s="29"/>
      <c r="O1988" s="74">
        <v>2</v>
      </c>
      <c r="P1988" s="29">
        <v>3</v>
      </c>
      <c r="Q1988" s="29">
        <v>3</v>
      </c>
      <c r="R1988" s="29">
        <f>ROUND($Q1988*0.99^(R1985-$Q1985),2)</f>
        <v>2.97</v>
      </c>
      <c r="S1988" s="29">
        <f>ROUND($Q1988*0.99^(S1985-$Q1985),2)</f>
        <v>2.94</v>
      </c>
      <c r="T1988" s="29">
        <f>ROUND($Q1988*0.99^(T1985-$Q1985),2)</f>
        <v>2.91</v>
      </c>
      <c r="U1988" s="155">
        <v>1</v>
      </c>
      <c r="V1988" s="29">
        <v>6</v>
      </c>
      <c r="W1988" s="29">
        <v>4</v>
      </c>
      <c r="X1988" s="29">
        <v>2.5</v>
      </c>
      <c r="Y1988" s="29">
        <v>7</v>
      </c>
      <c r="Z1988" s="29">
        <v>11</v>
      </c>
      <c r="AA1988" s="29">
        <v>8</v>
      </c>
      <c r="AB1988" s="29">
        <v>9</v>
      </c>
      <c r="AC1988" s="29">
        <v>13</v>
      </c>
      <c r="AD1988" s="29">
        <v>10</v>
      </c>
      <c r="AE1988" s="74">
        <v>2</v>
      </c>
      <c r="AF1988" s="156"/>
      <c r="AG1988" s="156"/>
      <c r="AH1988" s="166" t="str">
        <f t="shared" si="855"/>
        <v/>
      </c>
      <c r="AI1988" s="168" t="str">
        <f t="shared" si="869"/>
        <v/>
      </c>
      <c r="AJ1988" s="168" t="str">
        <f t="shared" si="870"/>
        <v/>
      </c>
      <c r="AK1988" s="168" t="str">
        <f t="shared" si="871"/>
        <v/>
      </c>
      <c r="AL1988" s="168" t="str">
        <f t="shared" si="872"/>
        <v/>
      </c>
      <c r="AM1988" s="168" t="str">
        <f t="shared" si="873"/>
        <v/>
      </c>
      <c r="AN1988" s="167" t="str">
        <f t="shared" si="856"/>
        <v/>
      </c>
      <c r="AO1988" s="167" t="str">
        <f t="shared" si="857"/>
        <v/>
      </c>
      <c r="AP1988" s="167" t="str">
        <f t="shared" si="858"/>
        <v/>
      </c>
      <c r="AQ1988" s="169" t="str">
        <f t="shared" si="859"/>
        <v/>
      </c>
      <c r="AR1988" s="170" t="str">
        <f t="shared" si="860"/>
        <v/>
      </c>
      <c r="AS1988" s="169" t="str">
        <f t="shared" si="861"/>
        <v/>
      </c>
      <c r="AT1988">
        <f t="shared" si="862"/>
        <v>0</v>
      </c>
      <c r="AU1988" s="170" t="str">
        <f t="shared" si="863"/>
        <v/>
      </c>
      <c r="AV1988" s="169" t="str">
        <f t="shared" si="864"/>
        <v/>
      </c>
      <c r="AW1988" s="170" t="str">
        <f t="shared" si="865"/>
        <v/>
      </c>
      <c r="AX1988" s="169" t="str">
        <f t="shared" si="866"/>
        <v/>
      </c>
      <c r="AY1988" t="str">
        <f t="shared" si="867"/>
        <v>2,94</v>
      </c>
      <c r="AZ1988" t="str">
        <f t="shared" si="868"/>
        <v>2,91</v>
      </c>
    </row>
    <row r="1989" spans="1:52" x14ac:dyDescent="0.35">
      <c r="A1989" s="513" t="s">
        <v>3670</v>
      </c>
      <c r="B1989" s="23" t="s">
        <v>5547</v>
      </c>
      <c r="C1989" s="23" t="s">
        <v>5539</v>
      </c>
      <c r="D1989" s="23" t="s">
        <v>1780</v>
      </c>
      <c r="E1989" s="23" t="s">
        <v>4809</v>
      </c>
      <c r="F1989" s="378">
        <f t="shared" ref="F1989:F2052" si="874">M1989</f>
        <v>11.67</v>
      </c>
      <c r="G1989" s="434">
        <v>11.67</v>
      </c>
      <c r="H1989" s="403">
        <f t="shared" ref="H1989:H2052" si="875">IF(ISNUMBER(G1989),ROUND(0.8*G1989,2),"")</f>
        <v>9.34</v>
      </c>
      <c r="I1989" s="581"/>
      <c r="J1989" s="549" t="s">
        <v>5804</v>
      </c>
      <c r="K1989" s="11"/>
      <c r="M1989" s="37">
        <f t="shared" ref="M1989:M2052" si="876">N1989+SUMIF(O1989:AG1989,"x",O$1988:AG$1988)</f>
        <v>11.67</v>
      </c>
      <c r="N1989" s="29">
        <v>11.67</v>
      </c>
      <c r="O1989" s="41"/>
      <c r="P1989" s="11"/>
      <c r="S1989" t="s">
        <v>4179</v>
      </c>
      <c r="T1989" t="s">
        <v>4179</v>
      </c>
      <c r="U1989" s="42"/>
      <c r="W1989" s="50"/>
      <c r="X1989" s="50"/>
      <c r="AA1989" s="50"/>
      <c r="AD1989" s="50"/>
      <c r="AE1989" s="75"/>
      <c r="AF1989" s="50"/>
      <c r="AG1989" s="50"/>
      <c r="AH1989" s="166" t="str">
        <f t="shared" si="855"/>
        <v/>
      </c>
      <c r="AI1989" s="168" t="str">
        <f t="shared" si="869"/>
        <v/>
      </c>
      <c r="AJ1989" s="168" t="str">
        <f t="shared" si="870"/>
        <v/>
      </c>
      <c r="AK1989" s="168" t="str">
        <f t="shared" si="871"/>
        <v/>
      </c>
      <c r="AL1989" s="168" t="str">
        <f t="shared" si="872"/>
        <v/>
      </c>
      <c r="AM1989" s="168" t="str">
        <f t="shared" si="873"/>
        <v/>
      </c>
      <c r="AN1989" s="167" t="str">
        <f t="shared" si="856"/>
        <v/>
      </c>
      <c r="AO1989" s="167" t="str">
        <f t="shared" si="857"/>
        <v/>
      </c>
      <c r="AP1989" s="167" t="str">
        <f t="shared" si="858"/>
        <v/>
      </c>
      <c r="AQ1989" s="169" t="str">
        <f t="shared" si="859"/>
        <v/>
      </c>
      <c r="AR1989" s="170" t="str">
        <f t="shared" si="860"/>
        <v>BiK81-------08</v>
      </c>
      <c r="AS1989" s="169" t="str">
        <f t="shared" si="861"/>
        <v/>
      </c>
      <c r="AT1989">
        <f t="shared" si="862"/>
        <v>14</v>
      </c>
      <c r="AU1989" s="170" t="str">
        <f t="shared" si="863"/>
        <v>0-0,15 MW</v>
      </c>
      <c r="AV1989" s="169" t="str">
        <f t="shared" si="864"/>
        <v/>
      </c>
      <c r="AW1989" s="170" t="str">
        <f t="shared" si="865"/>
        <v>Anteil Nicht-KWK</v>
      </c>
      <c r="AX1989" s="169" t="str">
        <f t="shared" si="866"/>
        <v/>
      </c>
      <c r="AY1989" t="str">
        <f t="shared" si="867"/>
        <v/>
      </c>
      <c r="AZ1989" t="str">
        <f t="shared" si="868"/>
        <v/>
      </c>
    </row>
    <row r="1990" spans="1:52" x14ac:dyDescent="0.35">
      <c r="A1990" s="513" t="s">
        <v>3671</v>
      </c>
      <c r="B1990" s="23" t="s">
        <v>5547</v>
      </c>
      <c r="C1990" s="23" t="s">
        <v>5539</v>
      </c>
      <c r="D1990" s="24" t="s">
        <v>6863</v>
      </c>
      <c r="E1990" s="23" t="s">
        <v>4811</v>
      </c>
      <c r="F1990" s="378">
        <f t="shared" si="874"/>
        <v>13.67</v>
      </c>
      <c r="G1990" s="434">
        <v>13.67</v>
      </c>
      <c r="H1990" s="403">
        <f t="shared" si="875"/>
        <v>10.94</v>
      </c>
      <c r="I1990" s="581"/>
      <c r="J1990" s="549" t="s">
        <v>5804</v>
      </c>
      <c r="K1990" s="11"/>
      <c r="M1990" s="37">
        <f t="shared" si="876"/>
        <v>13.67</v>
      </c>
      <c r="N1990" s="29">
        <v>11.67</v>
      </c>
      <c r="O1990" s="41" t="s">
        <v>1017</v>
      </c>
      <c r="P1990" s="11"/>
      <c r="S1990" t="s">
        <v>4179</v>
      </c>
      <c r="T1990" t="s">
        <v>4179</v>
      </c>
      <c r="U1990" s="42"/>
      <c r="W1990" s="50"/>
      <c r="X1990" s="50"/>
      <c r="AA1990" s="50"/>
      <c r="AD1990" s="50"/>
      <c r="AE1990" s="75"/>
      <c r="AF1990" s="50"/>
      <c r="AG1990" s="50"/>
      <c r="AH1990" s="166" t="str">
        <f t="shared" si="855"/>
        <v/>
      </c>
      <c r="AI1990" s="168" t="str">
        <f t="shared" si="869"/>
        <v/>
      </c>
      <c r="AJ1990" s="168" t="str">
        <f t="shared" si="870"/>
        <v/>
      </c>
      <c r="AK1990" s="168" t="str">
        <f t="shared" si="871"/>
        <v/>
      </c>
      <c r="AL1990" s="168" t="str">
        <f t="shared" si="872"/>
        <v/>
      </c>
      <c r="AM1990" s="168" t="str">
        <f t="shared" si="873"/>
        <v/>
      </c>
      <c r="AN1990" s="167" t="str">
        <f t="shared" si="856"/>
        <v/>
      </c>
      <c r="AO1990" s="167" t="str">
        <f t="shared" si="857"/>
        <v/>
      </c>
      <c r="AP1990" s="167" t="str">
        <f t="shared" si="858"/>
        <v/>
      </c>
      <c r="AQ1990" s="169" t="str">
        <f t="shared" si="859"/>
        <v/>
      </c>
      <c r="AR1990" s="170" t="str">
        <f t="shared" si="860"/>
        <v>BiK81KWK----08</v>
      </c>
      <c r="AS1990" s="169" t="str">
        <f t="shared" si="861"/>
        <v/>
      </c>
      <c r="AT1990">
        <f t="shared" si="862"/>
        <v>14</v>
      </c>
      <c r="AU1990" s="170" t="str">
        <f t="shared" si="863"/>
        <v>0-0,15 MW, Bonusregel KWK</v>
      </c>
      <c r="AV1990" s="169" t="str">
        <f t="shared" si="864"/>
        <v/>
      </c>
      <c r="AW1990" s="170" t="str">
        <f t="shared" si="865"/>
        <v>Anteil KWK</v>
      </c>
      <c r="AX1990" s="169" t="str">
        <f t="shared" si="866"/>
        <v/>
      </c>
      <c r="AY1990" t="str">
        <f t="shared" si="867"/>
        <v/>
      </c>
      <c r="AZ1990" t="str">
        <f t="shared" si="868"/>
        <v/>
      </c>
    </row>
    <row r="1991" spans="1:52" x14ac:dyDescent="0.35">
      <c r="A1991" s="497" t="s">
        <v>4365</v>
      </c>
      <c r="B1991" s="13" t="s">
        <v>5547</v>
      </c>
      <c r="C1991" s="13" t="s">
        <v>5539</v>
      </c>
      <c r="D1991" s="13" t="s">
        <v>6864</v>
      </c>
      <c r="E1991" s="13" t="s">
        <v>4330</v>
      </c>
      <c r="F1991" s="373">
        <f t="shared" si="874"/>
        <v>14.67</v>
      </c>
      <c r="G1991" s="430">
        <v>14.67</v>
      </c>
      <c r="H1991" s="399">
        <f t="shared" si="875"/>
        <v>11.74</v>
      </c>
      <c r="I1991" s="576"/>
      <c r="J1991" s="549" t="s">
        <v>5804</v>
      </c>
      <c r="K1991" s="11"/>
      <c r="M1991" s="37">
        <f t="shared" si="876"/>
        <v>14.67</v>
      </c>
      <c r="N1991" s="29">
        <v>11.67</v>
      </c>
      <c r="O1991" s="41"/>
      <c r="P1991" t="s">
        <v>1017</v>
      </c>
      <c r="S1991" t="s">
        <v>4179</v>
      </c>
      <c r="T1991" t="s">
        <v>4179</v>
      </c>
      <c r="U1991" s="42"/>
      <c r="W1991" s="50"/>
      <c r="X1991" s="50"/>
      <c r="AA1991" s="50"/>
      <c r="AD1991" s="50"/>
      <c r="AE1991" s="75"/>
      <c r="AF1991" s="50"/>
      <c r="AG1991" s="50"/>
      <c r="AH1991" s="166" t="str">
        <f t="shared" si="855"/>
        <v/>
      </c>
      <c r="AI1991" s="168" t="str">
        <f t="shared" si="869"/>
        <v/>
      </c>
      <c r="AJ1991" s="168" t="str">
        <f t="shared" si="870"/>
        <v/>
      </c>
      <c r="AK1991" s="168" t="str">
        <f t="shared" si="871"/>
        <v/>
      </c>
      <c r="AL1991" s="168" t="str">
        <f t="shared" si="872"/>
        <v/>
      </c>
      <c r="AM1991" s="168" t="str">
        <f t="shared" si="873"/>
        <v/>
      </c>
      <c r="AN1991" s="167" t="str">
        <f t="shared" si="856"/>
        <v/>
      </c>
      <c r="AO1991" s="167" t="str">
        <f t="shared" si="857"/>
        <v/>
      </c>
      <c r="AP1991" s="167" t="str">
        <f t="shared" si="858"/>
        <v/>
      </c>
      <c r="AQ1991" s="169" t="str">
        <f t="shared" si="859"/>
        <v/>
      </c>
      <c r="AR1991" s="170" t="str">
        <f t="shared" si="860"/>
        <v>BiK81KA3----08</v>
      </c>
      <c r="AS1991" s="169" t="str">
        <f t="shared" si="861"/>
        <v/>
      </c>
      <c r="AT1991">
        <f t="shared" si="862"/>
        <v>14</v>
      </c>
      <c r="AU1991" s="170" t="str">
        <f t="shared" si="863"/>
        <v>0-0,15 MW, Bonusregel K wenn Anlage 3 erfüllt</v>
      </c>
      <c r="AV1991" s="169" t="str">
        <f t="shared" si="864"/>
        <v/>
      </c>
      <c r="AW1991" s="170" t="str">
        <f t="shared" si="865"/>
        <v>Anteil KWK gemäß Anlage 3</v>
      </c>
      <c r="AX1991" s="169" t="str">
        <f t="shared" si="866"/>
        <v/>
      </c>
      <c r="AY1991" t="str">
        <f t="shared" si="867"/>
        <v/>
      </c>
      <c r="AZ1991" t="str">
        <f t="shared" si="868"/>
        <v/>
      </c>
    </row>
    <row r="1992" spans="1:52" x14ac:dyDescent="0.35">
      <c r="A1992" s="497" t="s">
        <v>902</v>
      </c>
      <c r="B1992" s="13" t="s">
        <v>5547</v>
      </c>
      <c r="C1992" s="13" t="s">
        <v>5539</v>
      </c>
      <c r="D1992" s="13" t="s">
        <v>6865</v>
      </c>
      <c r="E1992" s="13" t="s">
        <v>674</v>
      </c>
      <c r="F1992" s="373">
        <f t="shared" si="874"/>
        <v>14.67</v>
      </c>
      <c r="G1992" s="430">
        <v>14.67</v>
      </c>
      <c r="H1992" s="399">
        <f t="shared" si="875"/>
        <v>11.74</v>
      </c>
      <c r="I1992" s="576"/>
      <c r="J1992" s="549" t="s">
        <v>5804</v>
      </c>
      <c r="K1992" s="11"/>
      <c r="M1992" s="37">
        <f t="shared" si="876"/>
        <v>14.67</v>
      </c>
      <c r="N1992" s="29">
        <v>11.67</v>
      </c>
      <c r="O1992" s="41"/>
      <c r="P1992" s="11"/>
      <c r="Q1992" t="s">
        <v>1017</v>
      </c>
      <c r="S1992" t="s">
        <v>4179</v>
      </c>
      <c r="T1992" t="s">
        <v>4179</v>
      </c>
      <c r="U1992" s="42"/>
      <c r="W1992" s="50"/>
      <c r="X1992" s="50"/>
      <c r="AA1992" s="50"/>
      <c r="AD1992" s="50"/>
      <c r="AE1992" s="75"/>
      <c r="AF1992" s="50"/>
      <c r="AG1992" s="50"/>
      <c r="AH1992" s="166" t="str">
        <f t="shared" si="855"/>
        <v/>
      </c>
      <c r="AI1992" s="168" t="str">
        <f t="shared" si="869"/>
        <v/>
      </c>
      <c r="AJ1992" s="168" t="str">
        <f t="shared" si="870"/>
        <v/>
      </c>
      <c r="AK1992" s="168" t="str">
        <f t="shared" si="871"/>
        <v/>
      </c>
      <c r="AL1992" s="168" t="str">
        <f t="shared" si="872"/>
        <v/>
      </c>
      <c r="AM1992" s="168" t="str">
        <f t="shared" si="873"/>
        <v/>
      </c>
      <c r="AN1992" s="167" t="str">
        <f t="shared" si="856"/>
        <v/>
      </c>
      <c r="AO1992" s="167" t="str">
        <f t="shared" si="857"/>
        <v/>
      </c>
      <c r="AP1992" s="167" t="str">
        <f t="shared" si="858"/>
        <v/>
      </c>
      <c r="AQ1992" s="169" t="str">
        <f t="shared" si="859"/>
        <v/>
      </c>
      <c r="AR1992" s="170" t="str">
        <f t="shared" si="860"/>
        <v>BiK81K09----08</v>
      </c>
      <c r="AS1992" s="169" t="str">
        <f t="shared" si="861"/>
        <v/>
      </c>
      <c r="AT1992">
        <f t="shared" si="862"/>
        <v>14</v>
      </c>
      <c r="AU1992" s="170" t="str">
        <f t="shared" si="863"/>
        <v>0-0,15 MW, Bonusregel K erstmals 2009</v>
      </c>
      <c r="AV1992" s="169" t="str">
        <f t="shared" si="864"/>
        <v/>
      </c>
      <c r="AW1992" s="170" t="str">
        <f t="shared" si="865"/>
        <v>Anteil KWK, erstmals 2009</v>
      </c>
      <c r="AX1992" s="169" t="str">
        <f t="shared" si="866"/>
        <v/>
      </c>
      <c r="AY1992" t="str">
        <f t="shared" si="867"/>
        <v/>
      </c>
      <c r="AZ1992" t="str">
        <f t="shared" si="868"/>
        <v/>
      </c>
    </row>
    <row r="1993" spans="1:52" s="145" customFormat="1" x14ac:dyDescent="0.35">
      <c r="A1993" s="497" t="s">
        <v>3157</v>
      </c>
      <c r="B1993" s="13" t="s">
        <v>5547</v>
      </c>
      <c r="C1993" s="13" t="s">
        <v>5539</v>
      </c>
      <c r="D1993" s="13" t="s">
        <v>6866</v>
      </c>
      <c r="E1993" s="13" t="s">
        <v>3566</v>
      </c>
      <c r="F1993" s="373">
        <f t="shared" si="874"/>
        <v>14.64</v>
      </c>
      <c r="G1993" s="430">
        <v>14.64</v>
      </c>
      <c r="H1993" s="399">
        <f t="shared" si="875"/>
        <v>11.71</v>
      </c>
      <c r="I1993" s="576"/>
      <c r="J1993" s="549" t="s">
        <v>5804</v>
      </c>
      <c r="K1993" s="11"/>
      <c r="L1993"/>
      <c r="M1993" s="37">
        <f t="shared" si="876"/>
        <v>14.64</v>
      </c>
      <c r="N1993" s="29">
        <v>11.67</v>
      </c>
      <c r="O1993" s="41"/>
      <c r="P1993" s="11"/>
      <c r="Q1993"/>
      <c r="R1993" t="s">
        <v>1017</v>
      </c>
      <c r="S1993" t="s">
        <v>4179</v>
      </c>
      <c r="T1993" s="145" t="s">
        <v>4179</v>
      </c>
      <c r="U1993" s="42"/>
      <c r="V1993"/>
      <c r="W1993" s="50"/>
      <c r="X1993" s="50"/>
      <c r="Y1993"/>
      <c r="Z1993"/>
      <c r="AA1993" s="50"/>
      <c r="AB1993"/>
      <c r="AC1993"/>
      <c r="AD1993" s="50"/>
      <c r="AE1993" s="75"/>
      <c r="AF1993" s="50"/>
      <c r="AG1993" s="50"/>
      <c r="AH1993" s="166" t="str">
        <f t="shared" si="855"/>
        <v>2010</v>
      </c>
      <c r="AI1993" s="168" t="str">
        <f t="shared" si="869"/>
        <v/>
      </c>
      <c r="AJ1993" s="168" t="str">
        <f t="shared" si="870"/>
        <v/>
      </c>
      <c r="AK1993" s="168" t="str">
        <f t="shared" si="871"/>
        <v/>
      </c>
      <c r="AL1993" s="168" t="str">
        <f t="shared" si="872"/>
        <v/>
      </c>
      <c r="AM1993" s="168" t="str">
        <f t="shared" si="873"/>
        <v/>
      </c>
      <c r="AN1993" s="167" t="str">
        <f t="shared" si="856"/>
        <v>2010</v>
      </c>
      <c r="AO1993" s="167" t="str">
        <f t="shared" si="857"/>
        <v>2010</v>
      </c>
      <c r="AP1993" s="167" t="str">
        <f t="shared" si="858"/>
        <v>2010</v>
      </c>
      <c r="AQ1993" s="169" t="str">
        <f t="shared" si="859"/>
        <v/>
      </c>
      <c r="AR1993" s="170" t="str">
        <f t="shared" si="860"/>
        <v>BiK81K10----08</v>
      </c>
      <c r="AS1993" s="169" t="str">
        <f t="shared" si="861"/>
        <v/>
      </c>
      <c r="AT1993">
        <f t="shared" si="862"/>
        <v>14</v>
      </c>
      <c r="AU1993" s="170" t="str">
        <f t="shared" si="863"/>
        <v>0-0,15 MW, Bonusregel K erstmals 2010</v>
      </c>
      <c r="AV1993" s="169" t="str">
        <f t="shared" si="864"/>
        <v/>
      </c>
      <c r="AW1993" s="170" t="str">
        <f t="shared" si="865"/>
        <v>Anteil KWK, erstmals 2010</v>
      </c>
      <c r="AX1993" s="169" t="str">
        <f t="shared" si="866"/>
        <v/>
      </c>
      <c r="AY1993" t="str">
        <f t="shared" si="867"/>
        <v/>
      </c>
      <c r="AZ1993" t="str">
        <f t="shared" si="868"/>
        <v/>
      </c>
    </row>
    <row r="1994" spans="1:52" s="145" customFormat="1" x14ac:dyDescent="0.35">
      <c r="A1994" s="497" t="s">
        <v>3433</v>
      </c>
      <c r="B1994" s="13" t="s">
        <v>5547</v>
      </c>
      <c r="C1994" s="13" t="s">
        <v>5539</v>
      </c>
      <c r="D1994" s="13" t="s">
        <v>6867</v>
      </c>
      <c r="E1994" s="13" t="s">
        <v>3054</v>
      </c>
      <c r="F1994" s="373">
        <f t="shared" si="874"/>
        <v>14.61</v>
      </c>
      <c r="G1994" s="430">
        <v>14.61</v>
      </c>
      <c r="H1994" s="399">
        <f t="shared" si="875"/>
        <v>11.69</v>
      </c>
      <c r="I1994" s="576"/>
      <c r="J1994" s="549" t="s">
        <v>5804</v>
      </c>
      <c r="K1994" s="11"/>
      <c r="L1994"/>
      <c r="M1994" s="37">
        <f t="shared" si="876"/>
        <v>14.61</v>
      </c>
      <c r="N1994" s="29">
        <v>11.67</v>
      </c>
      <c r="O1994" s="41"/>
      <c r="P1994" s="11"/>
      <c r="Q1994"/>
      <c r="R1994"/>
      <c r="S1994" t="s">
        <v>1017</v>
      </c>
      <c r="T1994" s="145" t="s">
        <v>4179</v>
      </c>
      <c r="U1994" s="42"/>
      <c r="V1994"/>
      <c r="W1994" s="50"/>
      <c r="X1994" s="50"/>
      <c r="Y1994"/>
      <c r="Z1994"/>
      <c r="AA1994" s="50"/>
      <c r="AB1994"/>
      <c r="AC1994"/>
      <c r="AD1994" s="50"/>
      <c r="AE1994" s="75"/>
      <c r="AF1994" s="50"/>
      <c r="AG1994" s="50"/>
      <c r="AH1994" s="166" t="str">
        <f t="shared" si="855"/>
        <v>2011</v>
      </c>
      <c r="AI1994" s="168" t="str">
        <f t="shared" si="869"/>
        <v/>
      </c>
      <c r="AJ1994" s="168" t="str">
        <f t="shared" si="870"/>
        <v/>
      </c>
      <c r="AK1994" s="168" t="str">
        <f t="shared" si="871"/>
        <v/>
      </c>
      <c r="AL1994" s="168" t="str">
        <f t="shared" si="872"/>
        <v/>
      </c>
      <c r="AM1994" s="168" t="str">
        <f t="shared" si="873"/>
        <v/>
      </c>
      <c r="AN1994" s="167" t="str">
        <f t="shared" si="856"/>
        <v>2011</v>
      </c>
      <c r="AO1994" s="167" t="str">
        <f t="shared" si="857"/>
        <v>2011</v>
      </c>
      <c r="AP1994" s="167" t="str">
        <f t="shared" si="858"/>
        <v>2011</v>
      </c>
      <c r="AQ1994" s="169" t="str">
        <f t="shared" si="859"/>
        <v/>
      </c>
      <c r="AR1994" s="170" t="str">
        <f t="shared" si="860"/>
        <v>BiK81K11----08</v>
      </c>
      <c r="AS1994" s="169" t="str">
        <f t="shared" si="861"/>
        <v/>
      </c>
      <c r="AT1994">
        <f t="shared" si="862"/>
        <v>14</v>
      </c>
      <c r="AU1994" s="170" t="str">
        <f t="shared" si="863"/>
        <v>0-0,15 MW, Bonusregel K erstmals 2011</v>
      </c>
      <c r="AV1994" s="169" t="str">
        <f t="shared" si="864"/>
        <v/>
      </c>
      <c r="AW1994" s="170" t="str">
        <f t="shared" si="865"/>
        <v>Anteil KWK, erstmals 2011</v>
      </c>
      <c r="AX1994" s="169" t="str">
        <f t="shared" si="866"/>
        <v/>
      </c>
      <c r="AY1994" t="str">
        <f t="shared" si="867"/>
        <v>x</v>
      </c>
      <c r="AZ1994" t="str">
        <f t="shared" si="868"/>
        <v/>
      </c>
    </row>
    <row r="1995" spans="1:52" s="145" customFormat="1" x14ac:dyDescent="0.35">
      <c r="A1995" s="511" t="s">
        <v>1866</v>
      </c>
      <c r="B1995" s="173" t="s">
        <v>5547</v>
      </c>
      <c r="C1995" s="173" t="s">
        <v>5539</v>
      </c>
      <c r="D1995" s="173" t="s">
        <v>6868</v>
      </c>
      <c r="E1995" s="173" t="s">
        <v>1980</v>
      </c>
      <c r="F1995" s="374">
        <f t="shared" si="874"/>
        <v>14.58</v>
      </c>
      <c r="G1995" s="431">
        <v>14.58</v>
      </c>
      <c r="H1995" s="400">
        <f t="shared" si="875"/>
        <v>11.66</v>
      </c>
      <c r="I1995" s="577"/>
      <c r="J1995" s="549" t="s">
        <v>5804</v>
      </c>
      <c r="K1995" s="11"/>
      <c r="L1995"/>
      <c r="M1995" s="37">
        <f t="shared" si="876"/>
        <v>14.58</v>
      </c>
      <c r="N1995" s="29">
        <v>11.67</v>
      </c>
      <c r="O1995" s="41"/>
      <c r="P1995" s="11"/>
      <c r="Q1995"/>
      <c r="R1995"/>
      <c r="S1995" t="s">
        <v>4179</v>
      </c>
      <c r="T1995" s="145" t="s">
        <v>1017</v>
      </c>
      <c r="U1995" s="42"/>
      <c r="V1995"/>
      <c r="W1995" s="50"/>
      <c r="X1995" s="50"/>
      <c r="Y1995"/>
      <c r="Z1995"/>
      <c r="AA1995" s="50"/>
      <c r="AB1995"/>
      <c r="AC1995"/>
      <c r="AD1995" s="50"/>
      <c r="AE1995" s="75"/>
      <c r="AF1995" s="50"/>
      <c r="AG1995" s="50"/>
      <c r="AH1995" s="171" t="s">
        <v>4178</v>
      </c>
      <c r="AI1995" s="168" t="str">
        <f t="shared" si="869"/>
        <v/>
      </c>
      <c r="AJ1995" s="168" t="str">
        <f t="shared" si="870"/>
        <v/>
      </c>
      <c r="AK1995" s="168" t="str">
        <f t="shared" si="871"/>
        <v/>
      </c>
      <c r="AL1995" s="168" t="str">
        <f t="shared" si="872"/>
        <v/>
      </c>
      <c r="AM1995" s="168" t="str">
        <f t="shared" si="873"/>
        <v/>
      </c>
      <c r="AN1995" s="167" t="str">
        <f t="shared" si="856"/>
        <v>2012</v>
      </c>
      <c r="AO1995" s="167" t="str">
        <f t="shared" si="857"/>
        <v>2012</v>
      </c>
      <c r="AP1995" s="167" t="str">
        <f t="shared" si="858"/>
        <v>2012</v>
      </c>
      <c r="AQ1995" s="169" t="str">
        <f t="shared" si="859"/>
        <v/>
      </c>
      <c r="AR1995" s="170" t="str">
        <f t="shared" si="860"/>
        <v>BiK81K12----08</v>
      </c>
      <c r="AS1995" s="169" t="str">
        <f t="shared" si="861"/>
        <v/>
      </c>
      <c r="AT1995">
        <f t="shared" si="862"/>
        <v>14</v>
      </c>
      <c r="AU1995" s="170" t="str">
        <f t="shared" si="863"/>
        <v>0-0,15 MW, Bonusregel K erstmals 2012</v>
      </c>
      <c r="AV1995" s="169" t="str">
        <f t="shared" si="864"/>
        <v/>
      </c>
      <c r="AW1995" s="170" t="str">
        <f t="shared" si="865"/>
        <v>Anteil KWK, erstmals 2012</v>
      </c>
      <c r="AX1995" s="169" t="str">
        <f t="shared" si="866"/>
        <v/>
      </c>
      <c r="AY1995" t="str">
        <f t="shared" si="867"/>
        <v/>
      </c>
      <c r="AZ1995" t="str">
        <f t="shared" si="868"/>
        <v>x</v>
      </c>
    </row>
    <row r="1996" spans="1:52" s="145" customFormat="1" x14ac:dyDescent="0.35">
      <c r="A1996" s="497" t="s">
        <v>582</v>
      </c>
      <c r="B1996" s="13" t="s">
        <v>5547</v>
      </c>
      <c r="C1996" s="13" t="s">
        <v>5539</v>
      </c>
      <c r="D1996" s="13" t="s">
        <v>6869</v>
      </c>
      <c r="E1996" s="13" t="s">
        <v>4809</v>
      </c>
      <c r="F1996" s="373">
        <f t="shared" si="874"/>
        <v>12.67</v>
      </c>
      <c r="G1996" s="430">
        <v>12.67</v>
      </c>
      <c r="H1996" s="399">
        <f t="shared" si="875"/>
        <v>10.14</v>
      </c>
      <c r="I1996" s="576"/>
      <c r="J1996" s="549" t="s">
        <v>5804</v>
      </c>
      <c r="K1996" s="11"/>
      <c r="L1996"/>
      <c r="M1996" s="37">
        <f t="shared" si="876"/>
        <v>12.67</v>
      </c>
      <c r="N1996" s="29">
        <v>11.67</v>
      </c>
      <c r="O1996" s="41"/>
      <c r="P1996" s="11"/>
      <c r="Q1996"/>
      <c r="R1996"/>
      <c r="S1996" t="s">
        <v>4179</v>
      </c>
      <c r="T1996" s="145" t="s">
        <v>4179</v>
      </c>
      <c r="U1996" s="42" t="s">
        <v>1017</v>
      </c>
      <c r="V1996"/>
      <c r="W1996" s="50"/>
      <c r="X1996" s="50"/>
      <c r="Y1996"/>
      <c r="Z1996"/>
      <c r="AA1996" s="50"/>
      <c r="AB1996"/>
      <c r="AC1996"/>
      <c r="AD1996" s="50"/>
      <c r="AE1996" s="75"/>
      <c r="AF1996" s="50"/>
      <c r="AG1996" s="50"/>
      <c r="AH1996" s="166" t="str">
        <f t="shared" ref="AH1996:AH2001" si="877">IF(ISERROR(SEARCH("K erstmals 201",D1996)),"",RIGHT(D1996,4))</f>
        <v/>
      </c>
      <c r="AI1996" s="168" t="str">
        <f t="shared" si="869"/>
        <v/>
      </c>
      <c r="AJ1996" s="168" t="str">
        <f t="shared" si="870"/>
        <v/>
      </c>
      <c r="AK1996" s="168" t="str">
        <f t="shared" si="871"/>
        <v/>
      </c>
      <c r="AL1996" s="168" t="str">
        <f t="shared" si="872"/>
        <v/>
      </c>
      <c r="AM1996" s="168" t="str">
        <f t="shared" si="873"/>
        <v/>
      </c>
      <c r="AN1996" s="167" t="str">
        <f t="shared" si="856"/>
        <v/>
      </c>
      <c r="AO1996" s="167" t="str">
        <f t="shared" si="857"/>
        <v/>
      </c>
      <c r="AP1996" s="167" t="str">
        <f t="shared" si="858"/>
        <v/>
      </c>
      <c r="AQ1996" s="169" t="str">
        <f t="shared" si="859"/>
        <v/>
      </c>
      <c r="AR1996" s="170" t="str">
        <f t="shared" si="860"/>
        <v>BiK81y------08</v>
      </c>
      <c r="AS1996" s="169" t="str">
        <f t="shared" si="861"/>
        <v/>
      </c>
      <c r="AT1996">
        <f t="shared" si="862"/>
        <v>14</v>
      </c>
      <c r="AU1996" s="170" t="str">
        <f t="shared" si="863"/>
        <v>0-0,15 MW, Bonusregel y</v>
      </c>
      <c r="AV1996" s="169" t="str">
        <f t="shared" si="864"/>
        <v/>
      </c>
      <c r="AW1996" s="170" t="str">
        <f t="shared" si="865"/>
        <v>Anteil Nicht-KWK</v>
      </c>
      <c r="AX1996" s="169" t="str">
        <f t="shared" si="866"/>
        <v/>
      </c>
      <c r="AY1996" t="str">
        <f t="shared" si="867"/>
        <v/>
      </c>
      <c r="AZ1996" t="str">
        <f t="shared" si="868"/>
        <v/>
      </c>
    </row>
    <row r="1997" spans="1:52" s="145" customFormat="1" x14ac:dyDescent="0.35">
      <c r="A1997" s="497" t="s">
        <v>583</v>
      </c>
      <c r="B1997" s="13" t="s">
        <v>5547</v>
      </c>
      <c r="C1997" s="13" t="s">
        <v>5539</v>
      </c>
      <c r="D1997" s="17" t="s">
        <v>7022</v>
      </c>
      <c r="E1997" s="13" t="s">
        <v>4811</v>
      </c>
      <c r="F1997" s="373">
        <f t="shared" si="874"/>
        <v>14.67</v>
      </c>
      <c r="G1997" s="430">
        <v>14.67</v>
      </c>
      <c r="H1997" s="399">
        <f t="shared" si="875"/>
        <v>11.74</v>
      </c>
      <c r="I1997" s="576"/>
      <c r="J1997" s="549" t="s">
        <v>5804</v>
      </c>
      <c r="K1997" s="11"/>
      <c r="L1997"/>
      <c r="M1997" s="37">
        <f t="shared" si="876"/>
        <v>14.67</v>
      </c>
      <c r="N1997" s="29">
        <v>11.67</v>
      </c>
      <c r="O1997" s="41" t="s">
        <v>1017</v>
      </c>
      <c r="P1997" s="11"/>
      <c r="Q1997"/>
      <c r="R1997"/>
      <c r="S1997" t="s">
        <v>4179</v>
      </c>
      <c r="T1997" s="145" t="s">
        <v>4179</v>
      </c>
      <c r="U1997" s="42" t="s">
        <v>1017</v>
      </c>
      <c r="V1997"/>
      <c r="W1997" s="50"/>
      <c r="X1997" s="50"/>
      <c r="Y1997"/>
      <c r="Z1997"/>
      <c r="AA1997" s="50"/>
      <c r="AB1997"/>
      <c r="AC1997"/>
      <c r="AD1997" s="50"/>
      <c r="AE1997" s="75"/>
      <c r="AF1997" s="50"/>
      <c r="AG1997" s="50"/>
      <c r="AH1997" s="166" t="str">
        <f t="shared" si="877"/>
        <v/>
      </c>
      <c r="AI1997" s="168" t="str">
        <f t="shared" si="869"/>
        <v/>
      </c>
      <c r="AJ1997" s="168" t="str">
        <f t="shared" si="870"/>
        <v/>
      </c>
      <c r="AK1997" s="168" t="str">
        <f t="shared" si="871"/>
        <v/>
      </c>
      <c r="AL1997" s="168" t="str">
        <f t="shared" si="872"/>
        <v/>
      </c>
      <c r="AM1997" s="168" t="str">
        <f t="shared" si="873"/>
        <v/>
      </c>
      <c r="AN1997" s="167" t="str">
        <f t="shared" si="856"/>
        <v/>
      </c>
      <c r="AO1997" s="167" t="str">
        <f t="shared" si="857"/>
        <v/>
      </c>
      <c r="AP1997" s="167" t="str">
        <f t="shared" si="858"/>
        <v/>
      </c>
      <c r="AQ1997" s="169" t="str">
        <f t="shared" si="859"/>
        <v/>
      </c>
      <c r="AR1997" s="170" t="str">
        <f t="shared" si="860"/>
        <v>BiK81KWKy---08</v>
      </c>
      <c r="AS1997" s="169" t="str">
        <f t="shared" si="861"/>
        <v/>
      </c>
      <c r="AT1997">
        <f t="shared" si="862"/>
        <v>14</v>
      </c>
      <c r="AU1997" s="170" t="str">
        <f t="shared" si="863"/>
        <v>0-0,15 MW, Bonusregeln y, KWK</v>
      </c>
      <c r="AV1997" s="169" t="str">
        <f t="shared" si="864"/>
        <v/>
      </c>
      <c r="AW1997" s="170" t="str">
        <f t="shared" si="865"/>
        <v>Anteil KWK</v>
      </c>
      <c r="AX1997" s="169" t="str">
        <f t="shared" si="866"/>
        <v/>
      </c>
      <c r="AY1997" t="str">
        <f t="shared" si="867"/>
        <v/>
      </c>
      <c r="AZ1997" t="str">
        <f t="shared" si="868"/>
        <v/>
      </c>
    </row>
    <row r="1998" spans="1:52" s="145" customFormat="1" x14ac:dyDescent="0.35">
      <c r="A1998" s="497" t="s">
        <v>584</v>
      </c>
      <c r="B1998" s="13" t="s">
        <v>5547</v>
      </c>
      <c r="C1998" s="13" t="s">
        <v>5539</v>
      </c>
      <c r="D1998" s="13" t="s">
        <v>7023</v>
      </c>
      <c r="E1998" s="13" t="s">
        <v>4330</v>
      </c>
      <c r="F1998" s="373">
        <f t="shared" si="874"/>
        <v>15.67</v>
      </c>
      <c r="G1998" s="430">
        <v>15.67</v>
      </c>
      <c r="H1998" s="399">
        <f t="shared" si="875"/>
        <v>12.54</v>
      </c>
      <c r="I1998" s="576"/>
      <c r="J1998" s="549" t="s">
        <v>5804</v>
      </c>
      <c r="K1998" s="11"/>
      <c r="L1998"/>
      <c r="M1998" s="37">
        <f t="shared" si="876"/>
        <v>15.67</v>
      </c>
      <c r="N1998" s="29">
        <v>11.67</v>
      </c>
      <c r="O1998" s="41"/>
      <c r="P1998" t="s">
        <v>1017</v>
      </c>
      <c r="Q1998"/>
      <c r="R1998"/>
      <c r="S1998" t="s">
        <v>4179</v>
      </c>
      <c r="T1998" s="145" t="s">
        <v>4179</v>
      </c>
      <c r="U1998" s="42" t="s">
        <v>1017</v>
      </c>
      <c r="V1998"/>
      <c r="W1998" s="50"/>
      <c r="X1998" s="50"/>
      <c r="Y1998"/>
      <c r="Z1998"/>
      <c r="AA1998" s="50"/>
      <c r="AB1998"/>
      <c r="AC1998"/>
      <c r="AD1998" s="50"/>
      <c r="AE1998" s="75"/>
      <c r="AF1998" s="50"/>
      <c r="AG1998" s="50"/>
      <c r="AH1998" s="166" t="str">
        <f t="shared" si="877"/>
        <v/>
      </c>
      <c r="AI1998" s="168" t="str">
        <f t="shared" si="869"/>
        <v/>
      </c>
      <c r="AJ1998" s="168" t="str">
        <f t="shared" si="870"/>
        <v/>
      </c>
      <c r="AK1998" s="168" t="str">
        <f t="shared" si="871"/>
        <v/>
      </c>
      <c r="AL1998" s="168" t="str">
        <f t="shared" si="872"/>
        <v/>
      </c>
      <c r="AM1998" s="168" t="str">
        <f t="shared" si="873"/>
        <v/>
      </c>
      <c r="AN1998" s="167" t="str">
        <f t="shared" si="856"/>
        <v/>
      </c>
      <c r="AO1998" s="167" t="str">
        <f t="shared" si="857"/>
        <v/>
      </c>
      <c r="AP1998" s="167" t="str">
        <f t="shared" si="858"/>
        <v/>
      </c>
      <c r="AQ1998" s="169" t="str">
        <f t="shared" si="859"/>
        <v/>
      </c>
      <c r="AR1998" s="170" t="str">
        <f t="shared" si="860"/>
        <v>BiK81KA3y---08</v>
      </c>
      <c r="AS1998" s="169" t="str">
        <f t="shared" si="861"/>
        <v/>
      </c>
      <c r="AT1998">
        <f t="shared" si="862"/>
        <v>14</v>
      </c>
      <c r="AU1998" s="170" t="str">
        <f t="shared" si="863"/>
        <v>0-0,15 MW, Bonusregeln y, K wenn Anlage 3 erfüllt</v>
      </c>
      <c r="AV1998" s="169" t="str">
        <f t="shared" si="864"/>
        <v/>
      </c>
      <c r="AW1998" s="170" t="str">
        <f t="shared" si="865"/>
        <v>Anteil KWK gemäß Anlage 3</v>
      </c>
      <c r="AX1998" s="169" t="str">
        <f t="shared" si="866"/>
        <v/>
      </c>
      <c r="AY1998" t="str">
        <f t="shared" si="867"/>
        <v/>
      </c>
      <c r="AZ1998" t="str">
        <f t="shared" si="868"/>
        <v/>
      </c>
    </row>
    <row r="1999" spans="1:52" s="145" customFormat="1" x14ac:dyDescent="0.35">
      <c r="A1999" s="497" t="s">
        <v>585</v>
      </c>
      <c r="B1999" s="13" t="s">
        <v>5547</v>
      </c>
      <c r="C1999" s="13" t="s">
        <v>5539</v>
      </c>
      <c r="D1999" s="13" t="s">
        <v>7024</v>
      </c>
      <c r="E1999" s="13" t="s">
        <v>674</v>
      </c>
      <c r="F1999" s="373">
        <f t="shared" si="874"/>
        <v>15.67</v>
      </c>
      <c r="G1999" s="430">
        <v>15.67</v>
      </c>
      <c r="H1999" s="399">
        <f t="shared" si="875"/>
        <v>12.54</v>
      </c>
      <c r="I1999" s="576"/>
      <c r="J1999" s="549" t="s">
        <v>5804</v>
      </c>
      <c r="K1999" s="11"/>
      <c r="L1999"/>
      <c r="M1999" s="37">
        <f t="shared" si="876"/>
        <v>15.67</v>
      </c>
      <c r="N1999" s="29">
        <v>11.67</v>
      </c>
      <c r="O1999" s="41"/>
      <c r="P1999" s="11"/>
      <c r="Q1999" t="s">
        <v>1017</v>
      </c>
      <c r="R1999"/>
      <c r="S1999" t="s">
        <v>4179</v>
      </c>
      <c r="T1999" s="145" t="s">
        <v>4179</v>
      </c>
      <c r="U1999" s="42" t="s">
        <v>1017</v>
      </c>
      <c r="V1999"/>
      <c r="W1999" s="50"/>
      <c r="X1999" s="50"/>
      <c r="Y1999"/>
      <c r="Z1999"/>
      <c r="AA1999" s="50"/>
      <c r="AB1999"/>
      <c r="AC1999"/>
      <c r="AD1999" s="50"/>
      <c r="AE1999" s="75"/>
      <c r="AF1999" s="50"/>
      <c r="AG1999" s="50"/>
      <c r="AH1999" s="166" t="str">
        <f t="shared" si="877"/>
        <v/>
      </c>
      <c r="AI1999" s="168" t="str">
        <f t="shared" si="869"/>
        <v/>
      </c>
      <c r="AJ1999" s="168" t="str">
        <f t="shared" si="870"/>
        <v/>
      </c>
      <c r="AK1999" s="168" t="str">
        <f t="shared" si="871"/>
        <v/>
      </c>
      <c r="AL1999" s="168" t="str">
        <f t="shared" si="872"/>
        <v/>
      </c>
      <c r="AM1999" s="168" t="str">
        <f t="shared" si="873"/>
        <v/>
      </c>
      <c r="AN1999" s="167" t="str">
        <f t="shared" si="856"/>
        <v/>
      </c>
      <c r="AO1999" s="167" t="str">
        <f t="shared" si="857"/>
        <v/>
      </c>
      <c r="AP1999" s="167" t="str">
        <f t="shared" si="858"/>
        <v/>
      </c>
      <c r="AQ1999" s="169" t="str">
        <f t="shared" si="859"/>
        <v/>
      </c>
      <c r="AR1999" s="170" t="str">
        <f t="shared" si="860"/>
        <v>BiK81K09y---08</v>
      </c>
      <c r="AS1999" s="169" t="str">
        <f t="shared" si="861"/>
        <v/>
      </c>
      <c r="AT1999">
        <f t="shared" si="862"/>
        <v>14</v>
      </c>
      <c r="AU1999" s="170" t="str">
        <f t="shared" si="863"/>
        <v>0-0,15 MW, Bonusregeln y, K erstmals 2009</v>
      </c>
      <c r="AV1999" s="169" t="str">
        <f t="shared" si="864"/>
        <v/>
      </c>
      <c r="AW1999" s="170" t="str">
        <f t="shared" si="865"/>
        <v>Anteil KWK, erstmals 2009</v>
      </c>
      <c r="AX1999" s="169" t="str">
        <f t="shared" si="866"/>
        <v/>
      </c>
      <c r="AY1999" t="str">
        <f t="shared" si="867"/>
        <v/>
      </c>
      <c r="AZ1999" t="str">
        <f t="shared" si="868"/>
        <v/>
      </c>
    </row>
    <row r="2000" spans="1:52" s="145" customFormat="1" x14ac:dyDescent="0.35">
      <c r="A2000" s="497" t="s">
        <v>3158</v>
      </c>
      <c r="B2000" s="13" t="s">
        <v>5547</v>
      </c>
      <c r="C2000" s="13" t="s">
        <v>5539</v>
      </c>
      <c r="D2000" s="13" t="s">
        <v>7025</v>
      </c>
      <c r="E2000" s="13" t="s">
        <v>3566</v>
      </c>
      <c r="F2000" s="373">
        <f t="shared" si="874"/>
        <v>15.64</v>
      </c>
      <c r="G2000" s="430">
        <v>15.64</v>
      </c>
      <c r="H2000" s="399">
        <f t="shared" si="875"/>
        <v>12.51</v>
      </c>
      <c r="I2000" s="576"/>
      <c r="J2000" s="549" t="s">
        <v>5804</v>
      </c>
      <c r="K2000" s="11"/>
      <c r="L2000"/>
      <c r="M2000" s="37">
        <f t="shared" si="876"/>
        <v>15.64</v>
      </c>
      <c r="N2000" s="29">
        <v>11.67</v>
      </c>
      <c r="O2000" s="41"/>
      <c r="P2000" s="11"/>
      <c r="Q2000"/>
      <c r="R2000" t="s">
        <v>1017</v>
      </c>
      <c r="S2000" t="s">
        <v>4179</v>
      </c>
      <c r="T2000" s="145" t="s">
        <v>4179</v>
      </c>
      <c r="U2000" s="42" t="s">
        <v>1017</v>
      </c>
      <c r="V2000"/>
      <c r="W2000" s="50"/>
      <c r="X2000" s="50"/>
      <c r="Y2000"/>
      <c r="Z2000"/>
      <c r="AA2000" s="50"/>
      <c r="AB2000"/>
      <c r="AC2000"/>
      <c r="AD2000" s="50"/>
      <c r="AE2000" s="75"/>
      <c r="AF2000" s="50"/>
      <c r="AG2000" s="50"/>
      <c r="AH2000" s="166" t="str">
        <f t="shared" si="877"/>
        <v>2010</v>
      </c>
      <c r="AI2000" s="168" t="str">
        <f t="shared" si="869"/>
        <v/>
      </c>
      <c r="AJ2000" s="168" t="str">
        <f t="shared" si="870"/>
        <v/>
      </c>
      <c r="AK2000" s="168" t="str">
        <f t="shared" si="871"/>
        <v/>
      </c>
      <c r="AL2000" s="168" t="str">
        <f t="shared" si="872"/>
        <v/>
      </c>
      <c r="AM2000" s="168" t="str">
        <f t="shared" si="873"/>
        <v/>
      </c>
      <c r="AN2000" s="167" t="str">
        <f t="shared" si="856"/>
        <v>2010</v>
      </c>
      <c r="AO2000" s="167" t="str">
        <f t="shared" si="857"/>
        <v>2010</v>
      </c>
      <c r="AP2000" s="167" t="str">
        <f t="shared" si="858"/>
        <v>2010</v>
      </c>
      <c r="AQ2000" s="169" t="str">
        <f t="shared" si="859"/>
        <v/>
      </c>
      <c r="AR2000" s="170" t="str">
        <f t="shared" si="860"/>
        <v>BiK81K10y---08</v>
      </c>
      <c r="AS2000" s="169" t="str">
        <f t="shared" si="861"/>
        <v/>
      </c>
      <c r="AT2000">
        <f t="shared" si="862"/>
        <v>14</v>
      </c>
      <c r="AU2000" s="170" t="str">
        <f t="shared" si="863"/>
        <v>0-0,15 MW, Bonusregeln y, K erstmals 2010</v>
      </c>
      <c r="AV2000" s="169" t="str">
        <f t="shared" si="864"/>
        <v/>
      </c>
      <c r="AW2000" s="170" t="str">
        <f t="shared" si="865"/>
        <v>Anteil KWK, erstmals 2010</v>
      </c>
      <c r="AX2000" s="169" t="str">
        <f t="shared" si="866"/>
        <v/>
      </c>
      <c r="AY2000" t="str">
        <f t="shared" si="867"/>
        <v/>
      </c>
      <c r="AZ2000" t="str">
        <f t="shared" si="868"/>
        <v/>
      </c>
    </row>
    <row r="2001" spans="1:52" s="145" customFormat="1" x14ac:dyDescent="0.35">
      <c r="A2001" s="497" t="s">
        <v>3434</v>
      </c>
      <c r="B2001" s="13" t="s">
        <v>5547</v>
      </c>
      <c r="C2001" s="13" t="s">
        <v>5539</v>
      </c>
      <c r="D2001" s="13" t="s">
        <v>7026</v>
      </c>
      <c r="E2001" s="13" t="s">
        <v>3054</v>
      </c>
      <c r="F2001" s="373">
        <f t="shared" si="874"/>
        <v>15.61</v>
      </c>
      <c r="G2001" s="430">
        <v>15.61</v>
      </c>
      <c r="H2001" s="399">
        <f t="shared" si="875"/>
        <v>12.49</v>
      </c>
      <c r="I2001" s="576"/>
      <c r="J2001" s="549" t="s">
        <v>5804</v>
      </c>
      <c r="K2001" s="11"/>
      <c r="L2001"/>
      <c r="M2001" s="37">
        <f t="shared" si="876"/>
        <v>15.61</v>
      </c>
      <c r="N2001" s="29">
        <v>11.67</v>
      </c>
      <c r="O2001" s="41"/>
      <c r="P2001" s="11"/>
      <c r="Q2001"/>
      <c r="R2001"/>
      <c r="S2001" t="s">
        <v>1017</v>
      </c>
      <c r="T2001" s="145" t="s">
        <v>4179</v>
      </c>
      <c r="U2001" s="42" t="s">
        <v>1017</v>
      </c>
      <c r="V2001"/>
      <c r="W2001" s="50"/>
      <c r="X2001" s="50"/>
      <c r="Y2001"/>
      <c r="Z2001"/>
      <c r="AA2001" s="50"/>
      <c r="AB2001"/>
      <c r="AC2001"/>
      <c r="AD2001" s="50"/>
      <c r="AE2001" s="75"/>
      <c r="AF2001" s="50"/>
      <c r="AG2001" s="50"/>
      <c r="AH2001" s="166" t="str">
        <f t="shared" si="877"/>
        <v>2011</v>
      </c>
      <c r="AI2001" s="168" t="str">
        <f t="shared" si="869"/>
        <v/>
      </c>
      <c r="AJ2001" s="168" t="str">
        <f t="shared" si="870"/>
        <v/>
      </c>
      <c r="AK2001" s="168" t="str">
        <f t="shared" si="871"/>
        <v/>
      </c>
      <c r="AL2001" s="168" t="str">
        <f t="shared" si="872"/>
        <v/>
      </c>
      <c r="AM2001" s="168" t="str">
        <f t="shared" si="873"/>
        <v/>
      </c>
      <c r="AN2001" s="167" t="str">
        <f t="shared" si="856"/>
        <v>2011</v>
      </c>
      <c r="AO2001" s="167" t="str">
        <f t="shared" si="857"/>
        <v>2011</v>
      </c>
      <c r="AP2001" s="167" t="str">
        <f t="shared" si="858"/>
        <v>2011</v>
      </c>
      <c r="AQ2001" s="169" t="str">
        <f t="shared" si="859"/>
        <v/>
      </c>
      <c r="AR2001" s="170" t="str">
        <f t="shared" si="860"/>
        <v>BiK81K11y---08</v>
      </c>
      <c r="AS2001" s="169" t="str">
        <f t="shared" si="861"/>
        <v/>
      </c>
      <c r="AT2001">
        <f t="shared" si="862"/>
        <v>14</v>
      </c>
      <c r="AU2001" s="170" t="str">
        <f t="shared" si="863"/>
        <v>0-0,15 MW, Bonusregeln y, K erstmals 2011</v>
      </c>
      <c r="AV2001" s="169" t="str">
        <f t="shared" si="864"/>
        <v/>
      </c>
      <c r="AW2001" s="170" t="str">
        <f t="shared" si="865"/>
        <v>Anteil KWK, erstmals 2011</v>
      </c>
      <c r="AX2001" s="169" t="str">
        <f t="shared" si="866"/>
        <v/>
      </c>
      <c r="AY2001" t="str">
        <f t="shared" si="867"/>
        <v>x</v>
      </c>
      <c r="AZ2001" t="str">
        <f t="shared" si="868"/>
        <v/>
      </c>
    </row>
    <row r="2002" spans="1:52" s="145" customFormat="1" x14ac:dyDescent="0.35">
      <c r="A2002" s="511" t="s">
        <v>1867</v>
      </c>
      <c r="B2002" s="173" t="s">
        <v>5547</v>
      </c>
      <c r="C2002" s="173" t="s">
        <v>5539</v>
      </c>
      <c r="D2002" s="173" t="s">
        <v>7027</v>
      </c>
      <c r="E2002" s="173" t="s">
        <v>1980</v>
      </c>
      <c r="F2002" s="374">
        <f t="shared" si="874"/>
        <v>15.58</v>
      </c>
      <c r="G2002" s="431">
        <v>15.58</v>
      </c>
      <c r="H2002" s="400">
        <f t="shared" si="875"/>
        <v>12.46</v>
      </c>
      <c r="I2002" s="577"/>
      <c r="J2002" s="549" t="s">
        <v>5804</v>
      </c>
      <c r="K2002" s="11"/>
      <c r="L2002"/>
      <c r="M2002" s="37">
        <f t="shared" si="876"/>
        <v>15.58</v>
      </c>
      <c r="N2002" s="29">
        <v>11.67</v>
      </c>
      <c r="O2002" s="41"/>
      <c r="P2002" s="11"/>
      <c r="Q2002"/>
      <c r="R2002"/>
      <c r="S2002" t="s">
        <v>4179</v>
      </c>
      <c r="T2002" s="145" t="s">
        <v>1017</v>
      </c>
      <c r="U2002" s="42" t="s">
        <v>1017</v>
      </c>
      <c r="V2002"/>
      <c r="W2002" s="50"/>
      <c r="X2002" s="50"/>
      <c r="Y2002"/>
      <c r="Z2002"/>
      <c r="AA2002" s="50"/>
      <c r="AB2002"/>
      <c r="AC2002"/>
      <c r="AD2002" s="50"/>
      <c r="AE2002" s="75"/>
      <c r="AF2002" s="50"/>
      <c r="AG2002" s="50"/>
      <c r="AH2002" s="171" t="s">
        <v>4178</v>
      </c>
      <c r="AI2002" s="168" t="str">
        <f t="shared" si="869"/>
        <v/>
      </c>
      <c r="AJ2002" s="168" t="str">
        <f t="shared" si="870"/>
        <v/>
      </c>
      <c r="AK2002" s="168" t="str">
        <f t="shared" si="871"/>
        <v/>
      </c>
      <c r="AL2002" s="168" t="str">
        <f t="shared" si="872"/>
        <v/>
      </c>
      <c r="AM2002" s="168" t="str">
        <f t="shared" si="873"/>
        <v/>
      </c>
      <c r="AN2002" s="167" t="str">
        <f t="shared" si="856"/>
        <v>2012</v>
      </c>
      <c r="AO2002" s="167" t="str">
        <f t="shared" si="857"/>
        <v>2012</v>
      </c>
      <c r="AP2002" s="167" t="str">
        <f t="shared" si="858"/>
        <v>2012</v>
      </c>
      <c r="AQ2002" s="169" t="str">
        <f t="shared" si="859"/>
        <v/>
      </c>
      <c r="AR2002" s="170" t="str">
        <f t="shared" si="860"/>
        <v>BiK81K12y---08</v>
      </c>
      <c r="AS2002" s="169" t="str">
        <f t="shared" si="861"/>
        <v/>
      </c>
      <c r="AT2002">
        <f t="shared" si="862"/>
        <v>14</v>
      </c>
      <c r="AU2002" s="170" t="str">
        <f t="shared" si="863"/>
        <v>0-0,15 MW, Bonusregeln y, K erstmals 2012</v>
      </c>
      <c r="AV2002" s="169" t="str">
        <f t="shared" si="864"/>
        <v/>
      </c>
      <c r="AW2002" s="170" t="str">
        <f t="shared" si="865"/>
        <v>Anteil KWK, erstmals 2012</v>
      </c>
      <c r="AX2002" s="169" t="str">
        <f t="shared" si="866"/>
        <v/>
      </c>
      <c r="AY2002" t="str">
        <f t="shared" si="867"/>
        <v/>
      </c>
      <c r="AZ2002" t="str">
        <f t="shared" si="868"/>
        <v>x</v>
      </c>
    </row>
    <row r="2003" spans="1:52" x14ac:dyDescent="0.35">
      <c r="A2003" s="505" t="s">
        <v>3672</v>
      </c>
      <c r="B2003" s="23" t="s">
        <v>5547</v>
      </c>
      <c r="C2003" s="23" t="s">
        <v>5539</v>
      </c>
      <c r="D2003" s="23" t="s">
        <v>6876</v>
      </c>
      <c r="E2003" s="23" t="s">
        <v>4809</v>
      </c>
      <c r="F2003" s="378">
        <f t="shared" si="874"/>
        <v>17.670000000000002</v>
      </c>
      <c r="G2003" s="434">
        <v>17.670000000000002</v>
      </c>
      <c r="H2003" s="403">
        <f t="shared" si="875"/>
        <v>14.14</v>
      </c>
      <c r="I2003" s="581"/>
      <c r="J2003" s="549" t="s">
        <v>5804</v>
      </c>
      <c r="K2003" s="11"/>
      <c r="M2003" s="37">
        <f t="shared" si="876"/>
        <v>17.670000000000002</v>
      </c>
      <c r="N2003" s="29">
        <v>11.67</v>
      </c>
      <c r="O2003" s="41"/>
      <c r="P2003" s="11"/>
      <c r="S2003" t="s">
        <v>4179</v>
      </c>
      <c r="T2003" t="s">
        <v>4179</v>
      </c>
      <c r="U2003" s="42"/>
      <c r="V2003" t="s">
        <v>1017</v>
      </c>
      <c r="W2003" s="50"/>
      <c r="X2003" s="50"/>
      <c r="AA2003" s="50"/>
      <c r="AD2003" s="50"/>
      <c r="AE2003" s="75"/>
      <c r="AF2003" s="50"/>
      <c r="AG2003" s="50"/>
      <c r="AH2003" s="166" t="str">
        <f t="shared" ref="AH2003:AH2008" si="878">IF(ISERROR(SEARCH("K erstmals 201",D2003)),"",RIGHT(D2003,4))</f>
        <v/>
      </c>
      <c r="AI2003" s="168" t="str">
        <f t="shared" si="869"/>
        <v/>
      </c>
      <c r="AJ2003" s="168" t="str">
        <f t="shared" si="870"/>
        <v/>
      </c>
      <c r="AK2003" s="168" t="str">
        <f t="shared" si="871"/>
        <v/>
      </c>
      <c r="AL2003" s="168" t="str">
        <f t="shared" si="872"/>
        <v/>
      </c>
      <c r="AM2003" s="168" t="str">
        <f t="shared" si="873"/>
        <v/>
      </c>
      <c r="AN2003" s="167" t="str">
        <f t="shared" si="856"/>
        <v/>
      </c>
      <c r="AO2003" s="167" t="str">
        <f t="shared" si="857"/>
        <v/>
      </c>
      <c r="AP2003" s="167" t="str">
        <f t="shared" si="858"/>
        <v/>
      </c>
      <c r="AQ2003" s="169" t="str">
        <f t="shared" si="859"/>
        <v/>
      </c>
      <c r="AR2003" s="170" t="str">
        <f t="shared" si="860"/>
        <v>BiK81a1-----08</v>
      </c>
      <c r="AS2003" s="169" t="str">
        <f t="shared" si="861"/>
        <v/>
      </c>
      <c r="AT2003">
        <f t="shared" si="862"/>
        <v>14</v>
      </c>
      <c r="AU2003" s="170" t="str">
        <f t="shared" si="863"/>
        <v>0-0,15 MW, Bonusregel a1</v>
      </c>
      <c r="AV2003" s="169" t="str">
        <f t="shared" si="864"/>
        <v/>
      </c>
      <c r="AW2003" s="170" t="str">
        <f t="shared" si="865"/>
        <v>Anteil Nicht-KWK</v>
      </c>
      <c r="AX2003" s="169" t="str">
        <f t="shared" si="866"/>
        <v/>
      </c>
      <c r="AY2003" t="str">
        <f t="shared" si="867"/>
        <v/>
      </c>
      <c r="AZ2003" t="str">
        <f t="shared" si="868"/>
        <v/>
      </c>
    </row>
    <row r="2004" spans="1:52" x14ac:dyDescent="0.35">
      <c r="A2004" s="505" t="s">
        <v>3673</v>
      </c>
      <c r="B2004" s="23" t="s">
        <v>5547</v>
      </c>
      <c r="C2004" s="23" t="s">
        <v>5539</v>
      </c>
      <c r="D2004" s="23" t="s">
        <v>6877</v>
      </c>
      <c r="E2004" s="23" t="s">
        <v>4811</v>
      </c>
      <c r="F2004" s="378">
        <f t="shared" si="874"/>
        <v>19.670000000000002</v>
      </c>
      <c r="G2004" s="434">
        <v>19.670000000000002</v>
      </c>
      <c r="H2004" s="403">
        <f t="shared" si="875"/>
        <v>15.74</v>
      </c>
      <c r="I2004" s="581"/>
      <c r="J2004" s="549" t="s">
        <v>5804</v>
      </c>
      <c r="K2004" s="11"/>
      <c r="M2004" s="37">
        <f t="shared" si="876"/>
        <v>19.670000000000002</v>
      </c>
      <c r="N2004" s="29">
        <v>11.67</v>
      </c>
      <c r="O2004" s="41" t="s">
        <v>1017</v>
      </c>
      <c r="P2004" s="11"/>
      <c r="S2004" t="s">
        <v>4179</v>
      </c>
      <c r="T2004" t="s">
        <v>4179</v>
      </c>
      <c r="U2004" s="42"/>
      <c r="V2004" t="s">
        <v>1017</v>
      </c>
      <c r="W2004" s="50"/>
      <c r="X2004" s="50"/>
      <c r="AA2004" s="50"/>
      <c r="AD2004" s="50"/>
      <c r="AE2004" s="75"/>
      <c r="AF2004" s="50"/>
      <c r="AG2004" s="50"/>
      <c r="AH2004" s="166" t="str">
        <f t="shared" si="878"/>
        <v/>
      </c>
      <c r="AI2004" s="168" t="str">
        <f t="shared" si="869"/>
        <v/>
      </c>
      <c r="AJ2004" s="168" t="str">
        <f t="shared" si="870"/>
        <v/>
      </c>
      <c r="AK2004" s="168" t="str">
        <f t="shared" si="871"/>
        <v/>
      </c>
      <c r="AL2004" s="168" t="str">
        <f t="shared" si="872"/>
        <v/>
      </c>
      <c r="AM2004" s="168" t="str">
        <f t="shared" si="873"/>
        <v/>
      </c>
      <c r="AN2004" s="167" t="str">
        <f t="shared" si="856"/>
        <v/>
      </c>
      <c r="AO2004" s="167" t="str">
        <f t="shared" si="857"/>
        <v/>
      </c>
      <c r="AP2004" s="167" t="str">
        <f t="shared" si="858"/>
        <v/>
      </c>
      <c r="AQ2004" s="169" t="str">
        <f t="shared" si="859"/>
        <v/>
      </c>
      <c r="AR2004" s="170" t="str">
        <f t="shared" si="860"/>
        <v>BiK81a1KWK--08</v>
      </c>
      <c r="AS2004" s="169" t="str">
        <f t="shared" si="861"/>
        <v/>
      </c>
      <c r="AT2004">
        <f t="shared" si="862"/>
        <v>14</v>
      </c>
      <c r="AU2004" s="170" t="str">
        <f t="shared" si="863"/>
        <v>0-0,15 MW, Bonusregeln a1 und KWK</v>
      </c>
      <c r="AV2004" s="169" t="str">
        <f t="shared" si="864"/>
        <v/>
      </c>
      <c r="AW2004" s="170" t="str">
        <f t="shared" si="865"/>
        <v>Anteil KWK</v>
      </c>
      <c r="AX2004" s="169" t="str">
        <f t="shared" si="866"/>
        <v/>
      </c>
      <c r="AY2004" t="str">
        <f t="shared" si="867"/>
        <v/>
      </c>
      <c r="AZ2004" t="str">
        <f t="shared" si="868"/>
        <v/>
      </c>
    </row>
    <row r="2005" spans="1:52" x14ac:dyDescent="0.35">
      <c r="A2005" s="497" t="s">
        <v>2336</v>
      </c>
      <c r="B2005" s="13" t="s">
        <v>5547</v>
      </c>
      <c r="C2005" s="13" t="s">
        <v>5539</v>
      </c>
      <c r="D2005" s="13" t="s">
        <v>6878</v>
      </c>
      <c r="E2005" s="13" t="s">
        <v>4330</v>
      </c>
      <c r="F2005" s="373">
        <f t="shared" si="874"/>
        <v>20.67</v>
      </c>
      <c r="G2005" s="430">
        <v>20.67</v>
      </c>
      <c r="H2005" s="399">
        <f t="shared" si="875"/>
        <v>16.54</v>
      </c>
      <c r="I2005" s="576"/>
      <c r="J2005" s="549" t="s">
        <v>5804</v>
      </c>
      <c r="K2005" s="11"/>
      <c r="M2005" s="37">
        <f t="shared" si="876"/>
        <v>20.67</v>
      </c>
      <c r="N2005" s="29">
        <v>11.67</v>
      </c>
      <c r="O2005" s="41"/>
      <c r="P2005" t="s">
        <v>1017</v>
      </c>
      <c r="S2005" t="s">
        <v>4179</v>
      </c>
      <c r="T2005" t="s">
        <v>4179</v>
      </c>
      <c r="U2005" s="42"/>
      <c r="V2005" t="s">
        <v>1017</v>
      </c>
      <c r="W2005" s="50"/>
      <c r="X2005" s="50"/>
      <c r="AA2005" s="50"/>
      <c r="AD2005" s="50"/>
      <c r="AE2005" s="75"/>
      <c r="AF2005" s="50"/>
      <c r="AG2005" s="50"/>
      <c r="AH2005" s="166" t="str">
        <f t="shared" si="878"/>
        <v/>
      </c>
      <c r="AI2005" s="168" t="str">
        <f t="shared" si="869"/>
        <v/>
      </c>
      <c r="AJ2005" s="168" t="str">
        <f t="shared" si="870"/>
        <v/>
      </c>
      <c r="AK2005" s="168" t="str">
        <f t="shared" si="871"/>
        <v/>
      </c>
      <c r="AL2005" s="168" t="str">
        <f t="shared" si="872"/>
        <v/>
      </c>
      <c r="AM2005" s="168" t="str">
        <f t="shared" si="873"/>
        <v/>
      </c>
      <c r="AN2005" s="167" t="str">
        <f t="shared" si="856"/>
        <v/>
      </c>
      <c r="AO2005" s="167" t="str">
        <f t="shared" si="857"/>
        <v/>
      </c>
      <c r="AP2005" s="167" t="str">
        <f t="shared" si="858"/>
        <v/>
      </c>
      <c r="AQ2005" s="169" t="str">
        <f t="shared" si="859"/>
        <v/>
      </c>
      <c r="AR2005" s="170" t="str">
        <f t="shared" si="860"/>
        <v>BiK81a1KA3--08</v>
      </c>
      <c r="AS2005" s="169" t="str">
        <f t="shared" si="861"/>
        <v/>
      </c>
      <c r="AT2005">
        <f t="shared" si="862"/>
        <v>14</v>
      </c>
      <c r="AU2005" s="170" t="str">
        <f t="shared" si="863"/>
        <v>0-0,15 MW, Bonusregeln a1 und K wenn Anlage 3 erfüllt</v>
      </c>
      <c r="AV2005" s="169" t="str">
        <f t="shared" si="864"/>
        <v/>
      </c>
      <c r="AW2005" s="170" t="str">
        <f t="shared" si="865"/>
        <v>Anteil KWK gemäß Anlage 3</v>
      </c>
      <c r="AX2005" s="169" t="str">
        <f t="shared" si="866"/>
        <v/>
      </c>
      <c r="AY2005" t="str">
        <f t="shared" si="867"/>
        <v/>
      </c>
      <c r="AZ2005" t="str">
        <f t="shared" si="868"/>
        <v/>
      </c>
    </row>
    <row r="2006" spans="1:52" x14ac:dyDescent="0.35">
      <c r="A2006" s="497" t="s">
        <v>903</v>
      </c>
      <c r="B2006" s="13" t="s">
        <v>5547</v>
      </c>
      <c r="C2006" s="13" t="s">
        <v>5539</v>
      </c>
      <c r="D2006" s="13" t="s">
        <v>6990</v>
      </c>
      <c r="E2006" s="13" t="s">
        <v>674</v>
      </c>
      <c r="F2006" s="373">
        <f t="shared" si="874"/>
        <v>20.67</v>
      </c>
      <c r="G2006" s="430">
        <v>20.67</v>
      </c>
      <c r="H2006" s="399">
        <f t="shared" si="875"/>
        <v>16.54</v>
      </c>
      <c r="I2006" s="576"/>
      <c r="J2006" s="549" t="s">
        <v>5804</v>
      </c>
      <c r="K2006" s="11"/>
      <c r="M2006" s="37">
        <f t="shared" si="876"/>
        <v>20.67</v>
      </c>
      <c r="N2006" s="29">
        <v>11.67</v>
      </c>
      <c r="O2006" s="41"/>
      <c r="P2006" s="11"/>
      <c r="Q2006" t="s">
        <v>1017</v>
      </c>
      <c r="S2006" t="s">
        <v>4179</v>
      </c>
      <c r="T2006" t="s">
        <v>4179</v>
      </c>
      <c r="U2006" s="42"/>
      <c r="V2006" t="s">
        <v>1017</v>
      </c>
      <c r="W2006" s="50"/>
      <c r="X2006" s="50"/>
      <c r="AA2006" s="50"/>
      <c r="AD2006" s="50"/>
      <c r="AE2006" s="75"/>
      <c r="AF2006" s="50"/>
      <c r="AG2006" s="50"/>
      <c r="AH2006" s="166" t="str">
        <f t="shared" si="878"/>
        <v/>
      </c>
      <c r="AI2006" s="168" t="str">
        <f t="shared" si="869"/>
        <v/>
      </c>
      <c r="AJ2006" s="168" t="str">
        <f t="shared" si="870"/>
        <v/>
      </c>
      <c r="AK2006" s="168" t="str">
        <f t="shared" si="871"/>
        <v/>
      </c>
      <c r="AL2006" s="168" t="str">
        <f t="shared" si="872"/>
        <v/>
      </c>
      <c r="AM2006" s="168" t="str">
        <f t="shared" si="873"/>
        <v/>
      </c>
      <c r="AN2006" s="167" t="str">
        <f t="shared" si="856"/>
        <v/>
      </c>
      <c r="AO2006" s="167" t="str">
        <f t="shared" si="857"/>
        <v/>
      </c>
      <c r="AP2006" s="167" t="str">
        <f t="shared" si="858"/>
        <v/>
      </c>
      <c r="AQ2006" s="169" t="str">
        <f t="shared" si="859"/>
        <v/>
      </c>
      <c r="AR2006" s="170" t="str">
        <f t="shared" si="860"/>
        <v>BiK81a1K09--08</v>
      </c>
      <c r="AS2006" s="169" t="str">
        <f t="shared" si="861"/>
        <v/>
      </c>
      <c r="AT2006">
        <f t="shared" si="862"/>
        <v>14</v>
      </c>
      <c r="AU2006" s="170" t="str">
        <f t="shared" si="863"/>
        <v>0-0,15 MW, Bonusregeln a1 und K erstmals 2009</v>
      </c>
      <c r="AV2006" s="169" t="str">
        <f t="shared" si="864"/>
        <v/>
      </c>
      <c r="AW2006" s="170" t="str">
        <f t="shared" si="865"/>
        <v>Anteil KWK, erstmals 2009</v>
      </c>
      <c r="AX2006" s="169" t="str">
        <f t="shared" si="866"/>
        <v/>
      </c>
      <c r="AY2006" t="str">
        <f t="shared" si="867"/>
        <v/>
      </c>
      <c r="AZ2006" t="str">
        <f t="shared" si="868"/>
        <v/>
      </c>
    </row>
    <row r="2007" spans="1:52" s="145" customFormat="1" x14ac:dyDescent="0.35">
      <c r="A2007" s="497" t="s">
        <v>3159</v>
      </c>
      <c r="B2007" s="13" t="s">
        <v>5547</v>
      </c>
      <c r="C2007" s="13" t="s">
        <v>5539</v>
      </c>
      <c r="D2007" s="13" t="s">
        <v>6991</v>
      </c>
      <c r="E2007" s="13" t="s">
        <v>3566</v>
      </c>
      <c r="F2007" s="373">
        <f t="shared" si="874"/>
        <v>20.64</v>
      </c>
      <c r="G2007" s="430">
        <v>20.64</v>
      </c>
      <c r="H2007" s="399">
        <f t="shared" si="875"/>
        <v>16.510000000000002</v>
      </c>
      <c r="I2007" s="576"/>
      <c r="J2007" s="549" t="s">
        <v>5804</v>
      </c>
      <c r="K2007" s="11"/>
      <c r="L2007"/>
      <c r="M2007" s="37">
        <f t="shared" si="876"/>
        <v>20.64</v>
      </c>
      <c r="N2007" s="29">
        <v>11.67</v>
      </c>
      <c r="O2007" s="41"/>
      <c r="P2007" s="11"/>
      <c r="Q2007"/>
      <c r="R2007" t="s">
        <v>1017</v>
      </c>
      <c r="S2007" t="s">
        <v>4179</v>
      </c>
      <c r="T2007" s="145" t="s">
        <v>4179</v>
      </c>
      <c r="U2007" s="42"/>
      <c r="V2007" t="s">
        <v>1017</v>
      </c>
      <c r="W2007" s="50"/>
      <c r="X2007" s="50"/>
      <c r="Y2007"/>
      <c r="Z2007"/>
      <c r="AA2007" s="50"/>
      <c r="AB2007"/>
      <c r="AC2007"/>
      <c r="AD2007" s="50"/>
      <c r="AE2007" s="75"/>
      <c r="AF2007" s="50"/>
      <c r="AG2007" s="50"/>
      <c r="AH2007" s="166" t="str">
        <f t="shared" si="878"/>
        <v>2010</v>
      </c>
      <c r="AI2007" s="168" t="str">
        <f t="shared" si="869"/>
        <v/>
      </c>
      <c r="AJ2007" s="168" t="str">
        <f t="shared" si="870"/>
        <v/>
      </c>
      <c r="AK2007" s="168" t="str">
        <f t="shared" si="871"/>
        <v/>
      </c>
      <c r="AL2007" s="168" t="str">
        <f t="shared" si="872"/>
        <v/>
      </c>
      <c r="AM2007" s="168" t="str">
        <f t="shared" si="873"/>
        <v/>
      </c>
      <c r="AN2007" s="167" t="str">
        <f t="shared" si="856"/>
        <v>2010</v>
      </c>
      <c r="AO2007" s="167" t="str">
        <f t="shared" si="857"/>
        <v>2010</v>
      </c>
      <c r="AP2007" s="167" t="str">
        <f t="shared" si="858"/>
        <v>2010</v>
      </c>
      <c r="AQ2007" s="169" t="str">
        <f t="shared" si="859"/>
        <v/>
      </c>
      <c r="AR2007" s="170" t="str">
        <f t="shared" si="860"/>
        <v>BiK81a1K10--08</v>
      </c>
      <c r="AS2007" s="169" t="str">
        <f t="shared" si="861"/>
        <v/>
      </c>
      <c r="AT2007">
        <f t="shared" si="862"/>
        <v>14</v>
      </c>
      <c r="AU2007" s="170" t="str">
        <f t="shared" si="863"/>
        <v>0-0,15 MW, Bonusregeln a1 und K erstmals 2010</v>
      </c>
      <c r="AV2007" s="169" t="str">
        <f t="shared" si="864"/>
        <v/>
      </c>
      <c r="AW2007" s="170" t="str">
        <f t="shared" si="865"/>
        <v>Anteil KWK, erstmals 2010</v>
      </c>
      <c r="AX2007" s="169" t="str">
        <f t="shared" si="866"/>
        <v/>
      </c>
      <c r="AY2007" t="str">
        <f t="shared" si="867"/>
        <v/>
      </c>
      <c r="AZ2007" t="str">
        <f t="shared" si="868"/>
        <v/>
      </c>
    </row>
    <row r="2008" spans="1:52" s="145" customFormat="1" x14ac:dyDescent="0.35">
      <c r="A2008" s="497" t="s">
        <v>3435</v>
      </c>
      <c r="B2008" s="13" t="s">
        <v>5547</v>
      </c>
      <c r="C2008" s="13" t="s">
        <v>5539</v>
      </c>
      <c r="D2008" s="13" t="s">
        <v>6992</v>
      </c>
      <c r="E2008" s="13" t="s">
        <v>3054</v>
      </c>
      <c r="F2008" s="373">
        <f t="shared" si="874"/>
        <v>20.61</v>
      </c>
      <c r="G2008" s="430">
        <v>20.61</v>
      </c>
      <c r="H2008" s="399">
        <f t="shared" si="875"/>
        <v>16.489999999999998</v>
      </c>
      <c r="I2008" s="576"/>
      <c r="J2008" s="549" t="s">
        <v>5804</v>
      </c>
      <c r="K2008" s="11"/>
      <c r="L2008"/>
      <c r="M2008" s="37">
        <f t="shared" si="876"/>
        <v>20.61</v>
      </c>
      <c r="N2008" s="29">
        <v>11.67</v>
      </c>
      <c r="O2008" s="41"/>
      <c r="P2008" s="11"/>
      <c r="Q2008"/>
      <c r="R2008"/>
      <c r="S2008" t="s">
        <v>1017</v>
      </c>
      <c r="T2008" s="145" t="s">
        <v>4179</v>
      </c>
      <c r="U2008" s="42"/>
      <c r="V2008" t="s">
        <v>1017</v>
      </c>
      <c r="W2008" s="50"/>
      <c r="X2008" s="50"/>
      <c r="Y2008"/>
      <c r="Z2008"/>
      <c r="AA2008" s="50"/>
      <c r="AB2008"/>
      <c r="AC2008"/>
      <c r="AD2008" s="50"/>
      <c r="AE2008" s="75"/>
      <c r="AF2008" s="50"/>
      <c r="AG2008" s="50"/>
      <c r="AH2008" s="166" t="str">
        <f t="shared" si="878"/>
        <v>2011</v>
      </c>
      <c r="AI2008" s="168" t="str">
        <f t="shared" si="869"/>
        <v/>
      </c>
      <c r="AJ2008" s="168" t="str">
        <f t="shared" si="870"/>
        <v/>
      </c>
      <c r="AK2008" s="168" t="str">
        <f t="shared" si="871"/>
        <v/>
      </c>
      <c r="AL2008" s="168" t="str">
        <f t="shared" si="872"/>
        <v/>
      </c>
      <c r="AM2008" s="168" t="str">
        <f t="shared" si="873"/>
        <v/>
      </c>
      <c r="AN2008" s="167" t="str">
        <f t="shared" si="856"/>
        <v>2011</v>
      </c>
      <c r="AO2008" s="167" t="str">
        <f t="shared" si="857"/>
        <v>2011</v>
      </c>
      <c r="AP2008" s="167" t="str">
        <f t="shared" si="858"/>
        <v>2011</v>
      </c>
      <c r="AQ2008" s="169" t="str">
        <f t="shared" si="859"/>
        <v/>
      </c>
      <c r="AR2008" s="170" t="str">
        <f t="shared" si="860"/>
        <v>BiK81a1K11--08</v>
      </c>
      <c r="AS2008" s="169" t="str">
        <f t="shared" si="861"/>
        <v/>
      </c>
      <c r="AT2008">
        <f t="shared" si="862"/>
        <v>14</v>
      </c>
      <c r="AU2008" s="170" t="str">
        <f t="shared" si="863"/>
        <v>0-0,15 MW, Bonusregeln a1 und K erstmals 2011</v>
      </c>
      <c r="AV2008" s="169" t="str">
        <f t="shared" si="864"/>
        <v/>
      </c>
      <c r="AW2008" s="170" t="str">
        <f t="shared" si="865"/>
        <v>Anteil KWK, erstmals 2011</v>
      </c>
      <c r="AX2008" s="169" t="str">
        <f t="shared" si="866"/>
        <v/>
      </c>
      <c r="AY2008" t="str">
        <f t="shared" si="867"/>
        <v>x</v>
      </c>
      <c r="AZ2008" t="str">
        <f t="shared" si="868"/>
        <v/>
      </c>
    </row>
    <row r="2009" spans="1:52" s="145" customFormat="1" x14ac:dyDescent="0.35">
      <c r="A2009" s="511" t="s">
        <v>1868</v>
      </c>
      <c r="B2009" s="173" t="s">
        <v>5547</v>
      </c>
      <c r="C2009" s="173" t="s">
        <v>5539</v>
      </c>
      <c r="D2009" s="173" t="s">
        <v>6993</v>
      </c>
      <c r="E2009" s="173" t="s">
        <v>1980</v>
      </c>
      <c r="F2009" s="374">
        <f t="shared" si="874"/>
        <v>20.58</v>
      </c>
      <c r="G2009" s="431">
        <v>20.58</v>
      </c>
      <c r="H2009" s="400">
        <f t="shared" si="875"/>
        <v>16.46</v>
      </c>
      <c r="I2009" s="577"/>
      <c r="J2009" s="549" t="s">
        <v>5804</v>
      </c>
      <c r="K2009" s="11"/>
      <c r="L2009"/>
      <c r="M2009" s="37">
        <f t="shared" si="876"/>
        <v>20.58</v>
      </c>
      <c r="N2009" s="29">
        <v>11.67</v>
      </c>
      <c r="O2009" s="41"/>
      <c r="P2009" s="11"/>
      <c r="Q2009"/>
      <c r="R2009"/>
      <c r="S2009" t="s">
        <v>4179</v>
      </c>
      <c r="T2009" s="145" t="s">
        <v>1017</v>
      </c>
      <c r="U2009" s="42"/>
      <c r="V2009" t="s">
        <v>1017</v>
      </c>
      <c r="W2009" s="50"/>
      <c r="X2009" s="50"/>
      <c r="Y2009"/>
      <c r="Z2009"/>
      <c r="AA2009" s="50"/>
      <c r="AB2009"/>
      <c r="AC2009"/>
      <c r="AD2009" s="50"/>
      <c r="AE2009" s="75"/>
      <c r="AF2009" s="50"/>
      <c r="AG2009" s="50"/>
      <c r="AH2009" s="171" t="s">
        <v>4178</v>
      </c>
      <c r="AI2009" s="168" t="str">
        <f t="shared" si="869"/>
        <v/>
      </c>
      <c r="AJ2009" s="168" t="str">
        <f t="shared" si="870"/>
        <v/>
      </c>
      <c r="AK2009" s="168" t="str">
        <f t="shared" si="871"/>
        <v/>
      </c>
      <c r="AL2009" s="168" t="str">
        <f t="shared" si="872"/>
        <v/>
      </c>
      <c r="AM2009" s="168" t="str">
        <f t="shared" si="873"/>
        <v/>
      </c>
      <c r="AN2009" s="167" t="str">
        <f t="shared" si="856"/>
        <v>2012</v>
      </c>
      <c r="AO2009" s="167" t="str">
        <f t="shared" si="857"/>
        <v>2012</v>
      </c>
      <c r="AP2009" s="167" t="str">
        <f t="shared" si="858"/>
        <v>2012</v>
      </c>
      <c r="AQ2009" s="169" t="str">
        <f t="shared" si="859"/>
        <v/>
      </c>
      <c r="AR2009" s="170" t="str">
        <f t="shared" si="860"/>
        <v>BiK81a1K12--08</v>
      </c>
      <c r="AS2009" s="169" t="str">
        <f t="shared" si="861"/>
        <v/>
      </c>
      <c r="AT2009">
        <f t="shared" si="862"/>
        <v>14</v>
      </c>
      <c r="AU2009" s="170" t="str">
        <f t="shared" si="863"/>
        <v>0-0,15 MW, Bonusregeln a1 und K erstmals 2012</v>
      </c>
      <c r="AV2009" s="169" t="str">
        <f t="shared" si="864"/>
        <v/>
      </c>
      <c r="AW2009" s="170" t="str">
        <f t="shared" si="865"/>
        <v>Anteil KWK, erstmals 2012</v>
      </c>
      <c r="AX2009" s="169" t="str">
        <f t="shared" si="866"/>
        <v/>
      </c>
      <c r="AY2009" t="str">
        <f t="shared" si="867"/>
        <v/>
      </c>
      <c r="AZ2009" t="str">
        <f t="shared" si="868"/>
        <v>x</v>
      </c>
    </row>
    <row r="2010" spans="1:52" s="145" customFormat="1" x14ac:dyDescent="0.35">
      <c r="A2010" s="497" t="s">
        <v>586</v>
      </c>
      <c r="B2010" s="13" t="s">
        <v>5547</v>
      </c>
      <c r="C2010" s="13" t="s">
        <v>5539</v>
      </c>
      <c r="D2010" s="13" t="s">
        <v>6883</v>
      </c>
      <c r="E2010" s="13" t="s">
        <v>4809</v>
      </c>
      <c r="F2010" s="373">
        <f t="shared" si="874"/>
        <v>18.670000000000002</v>
      </c>
      <c r="G2010" s="430">
        <v>18.670000000000002</v>
      </c>
      <c r="H2010" s="399">
        <f t="shared" si="875"/>
        <v>14.94</v>
      </c>
      <c r="I2010" s="576"/>
      <c r="J2010" s="549" t="s">
        <v>5804</v>
      </c>
      <c r="K2010" s="11"/>
      <c r="L2010"/>
      <c r="M2010" s="37">
        <f t="shared" si="876"/>
        <v>18.670000000000002</v>
      </c>
      <c r="N2010" s="29">
        <v>11.67</v>
      </c>
      <c r="O2010" s="41"/>
      <c r="P2010" s="11"/>
      <c r="Q2010"/>
      <c r="R2010"/>
      <c r="S2010" t="s">
        <v>4179</v>
      </c>
      <c r="T2010" s="145" t="s">
        <v>4179</v>
      </c>
      <c r="U2010" s="42" t="s">
        <v>1017</v>
      </c>
      <c r="V2010" t="s">
        <v>1017</v>
      </c>
      <c r="W2010" s="50"/>
      <c r="X2010" s="50"/>
      <c r="Y2010"/>
      <c r="Z2010"/>
      <c r="AA2010" s="50"/>
      <c r="AB2010"/>
      <c r="AC2010"/>
      <c r="AD2010" s="50"/>
      <c r="AE2010" s="75"/>
      <c r="AF2010" s="50"/>
      <c r="AG2010" s="50"/>
      <c r="AH2010" s="166" t="str">
        <f t="shared" ref="AH2010:AH2015" si="879">IF(ISERROR(SEARCH("K erstmals 201",D2010)),"",RIGHT(D2010,4))</f>
        <v/>
      </c>
      <c r="AI2010" s="168" t="str">
        <f t="shared" si="869"/>
        <v/>
      </c>
      <c r="AJ2010" s="168" t="str">
        <f t="shared" si="870"/>
        <v/>
      </c>
      <c r="AK2010" s="168" t="str">
        <f t="shared" si="871"/>
        <v/>
      </c>
      <c r="AL2010" s="168" t="str">
        <f t="shared" si="872"/>
        <v/>
      </c>
      <c r="AM2010" s="168" t="str">
        <f t="shared" si="873"/>
        <v/>
      </c>
      <c r="AN2010" s="167" t="str">
        <f t="shared" si="856"/>
        <v/>
      </c>
      <c r="AO2010" s="167" t="str">
        <f t="shared" si="857"/>
        <v/>
      </c>
      <c r="AP2010" s="167" t="str">
        <f t="shared" si="858"/>
        <v/>
      </c>
      <c r="AQ2010" s="169" t="str">
        <f t="shared" si="859"/>
        <v/>
      </c>
      <c r="AR2010" s="170" t="str">
        <f t="shared" si="860"/>
        <v>BiK81a1y----08</v>
      </c>
      <c r="AS2010" s="169" t="str">
        <f t="shared" si="861"/>
        <v/>
      </c>
      <c r="AT2010">
        <f t="shared" si="862"/>
        <v>14</v>
      </c>
      <c r="AU2010" s="170" t="str">
        <f t="shared" si="863"/>
        <v>0-0,15 MW, Bonusregeln a1, y</v>
      </c>
      <c r="AV2010" s="169" t="str">
        <f t="shared" si="864"/>
        <v/>
      </c>
      <c r="AW2010" s="170" t="str">
        <f t="shared" si="865"/>
        <v>Anteil Nicht-KWK</v>
      </c>
      <c r="AX2010" s="169" t="str">
        <f t="shared" si="866"/>
        <v/>
      </c>
      <c r="AY2010" t="str">
        <f t="shared" si="867"/>
        <v/>
      </c>
      <c r="AZ2010" t="str">
        <f t="shared" si="868"/>
        <v/>
      </c>
    </row>
    <row r="2011" spans="1:52" s="145" customFormat="1" x14ac:dyDescent="0.35">
      <c r="A2011" s="497" t="s">
        <v>587</v>
      </c>
      <c r="B2011" s="13" t="s">
        <v>5547</v>
      </c>
      <c r="C2011" s="13" t="s">
        <v>5539</v>
      </c>
      <c r="D2011" s="13" t="s">
        <v>6884</v>
      </c>
      <c r="E2011" s="13" t="s">
        <v>4811</v>
      </c>
      <c r="F2011" s="373">
        <f t="shared" si="874"/>
        <v>20.67</v>
      </c>
      <c r="G2011" s="430">
        <v>20.67</v>
      </c>
      <c r="H2011" s="399">
        <f t="shared" si="875"/>
        <v>16.54</v>
      </c>
      <c r="I2011" s="576"/>
      <c r="J2011" s="549" t="s">
        <v>5804</v>
      </c>
      <c r="K2011" s="11"/>
      <c r="L2011"/>
      <c r="M2011" s="37">
        <f t="shared" si="876"/>
        <v>20.67</v>
      </c>
      <c r="N2011" s="29">
        <v>11.67</v>
      </c>
      <c r="O2011" s="41" t="s">
        <v>1017</v>
      </c>
      <c r="P2011" s="11"/>
      <c r="Q2011"/>
      <c r="R2011"/>
      <c r="S2011" t="s">
        <v>4179</v>
      </c>
      <c r="T2011" s="145" t="s">
        <v>4179</v>
      </c>
      <c r="U2011" s="42" t="s">
        <v>1017</v>
      </c>
      <c r="V2011" t="s">
        <v>1017</v>
      </c>
      <c r="W2011" s="50"/>
      <c r="X2011" s="50"/>
      <c r="Y2011"/>
      <c r="Z2011"/>
      <c r="AA2011" s="50"/>
      <c r="AB2011"/>
      <c r="AC2011"/>
      <c r="AD2011" s="50"/>
      <c r="AE2011" s="75"/>
      <c r="AF2011" s="50"/>
      <c r="AG2011" s="50"/>
      <c r="AH2011" s="166" t="str">
        <f t="shared" si="879"/>
        <v/>
      </c>
      <c r="AI2011" s="168" t="str">
        <f t="shared" si="869"/>
        <v/>
      </c>
      <c r="AJ2011" s="168" t="str">
        <f t="shared" si="870"/>
        <v/>
      </c>
      <c r="AK2011" s="168" t="str">
        <f t="shared" si="871"/>
        <v/>
      </c>
      <c r="AL2011" s="168" t="str">
        <f t="shared" si="872"/>
        <v/>
      </c>
      <c r="AM2011" s="168" t="str">
        <f t="shared" si="873"/>
        <v/>
      </c>
      <c r="AN2011" s="167" t="str">
        <f t="shared" si="856"/>
        <v/>
      </c>
      <c r="AO2011" s="167" t="str">
        <f t="shared" si="857"/>
        <v/>
      </c>
      <c r="AP2011" s="167" t="str">
        <f t="shared" si="858"/>
        <v/>
      </c>
      <c r="AQ2011" s="169" t="str">
        <f t="shared" si="859"/>
        <v/>
      </c>
      <c r="AR2011" s="170" t="str">
        <f t="shared" si="860"/>
        <v>BiK81a1KWKy-08</v>
      </c>
      <c r="AS2011" s="169" t="str">
        <f t="shared" si="861"/>
        <v/>
      </c>
      <c r="AT2011">
        <f t="shared" si="862"/>
        <v>14</v>
      </c>
      <c r="AU2011" s="170" t="str">
        <f t="shared" si="863"/>
        <v>0-0,15 MW, Bonusregeln a1, y und KWK</v>
      </c>
      <c r="AV2011" s="169" t="str">
        <f t="shared" si="864"/>
        <v/>
      </c>
      <c r="AW2011" s="170" t="str">
        <f t="shared" si="865"/>
        <v>Anteil KWK</v>
      </c>
      <c r="AX2011" s="169" t="str">
        <f t="shared" si="866"/>
        <v/>
      </c>
      <c r="AY2011" t="str">
        <f t="shared" si="867"/>
        <v/>
      </c>
      <c r="AZ2011" t="str">
        <f t="shared" si="868"/>
        <v/>
      </c>
    </row>
    <row r="2012" spans="1:52" s="145" customFormat="1" x14ac:dyDescent="0.35">
      <c r="A2012" s="497" t="s">
        <v>588</v>
      </c>
      <c r="B2012" s="13" t="s">
        <v>5547</v>
      </c>
      <c r="C2012" s="13" t="s">
        <v>5539</v>
      </c>
      <c r="D2012" s="13" t="s">
        <v>6885</v>
      </c>
      <c r="E2012" s="13" t="s">
        <v>4330</v>
      </c>
      <c r="F2012" s="373">
        <f t="shared" si="874"/>
        <v>21.67</v>
      </c>
      <c r="G2012" s="430">
        <v>21.67</v>
      </c>
      <c r="H2012" s="399">
        <f t="shared" si="875"/>
        <v>17.34</v>
      </c>
      <c r="I2012" s="576"/>
      <c r="J2012" s="549" t="s">
        <v>5804</v>
      </c>
      <c r="K2012" s="11"/>
      <c r="L2012"/>
      <c r="M2012" s="37">
        <f t="shared" si="876"/>
        <v>21.67</v>
      </c>
      <c r="N2012" s="29">
        <v>11.67</v>
      </c>
      <c r="O2012" s="41"/>
      <c r="P2012" t="s">
        <v>1017</v>
      </c>
      <c r="Q2012"/>
      <c r="R2012"/>
      <c r="S2012" t="s">
        <v>4179</v>
      </c>
      <c r="T2012" s="145" t="s">
        <v>4179</v>
      </c>
      <c r="U2012" s="42" t="s">
        <v>1017</v>
      </c>
      <c r="V2012" t="s">
        <v>1017</v>
      </c>
      <c r="W2012" s="50"/>
      <c r="X2012" s="50"/>
      <c r="Y2012"/>
      <c r="Z2012"/>
      <c r="AA2012" s="50"/>
      <c r="AB2012"/>
      <c r="AC2012"/>
      <c r="AD2012" s="50"/>
      <c r="AE2012" s="75"/>
      <c r="AF2012" s="50"/>
      <c r="AG2012" s="50"/>
      <c r="AH2012" s="166" t="str">
        <f t="shared" si="879"/>
        <v/>
      </c>
      <c r="AI2012" s="168" t="str">
        <f t="shared" si="869"/>
        <v/>
      </c>
      <c r="AJ2012" s="168" t="str">
        <f t="shared" si="870"/>
        <v/>
      </c>
      <c r="AK2012" s="168" t="str">
        <f t="shared" si="871"/>
        <v/>
      </c>
      <c r="AL2012" s="168" t="str">
        <f t="shared" si="872"/>
        <v/>
      </c>
      <c r="AM2012" s="168" t="str">
        <f t="shared" si="873"/>
        <v/>
      </c>
      <c r="AN2012" s="167" t="str">
        <f t="shared" si="856"/>
        <v/>
      </c>
      <c r="AO2012" s="167" t="str">
        <f t="shared" si="857"/>
        <v/>
      </c>
      <c r="AP2012" s="167" t="str">
        <f t="shared" si="858"/>
        <v/>
      </c>
      <c r="AQ2012" s="169" t="str">
        <f t="shared" si="859"/>
        <v/>
      </c>
      <c r="AR2012" s="170" t="str">
        <f t="shared" si="860"/>
        <v>BiK81a1KA3y-08</v>
      </c>
      <c r="AS2012" s="169" t="str">
        <f t="shared" si="861"/>
        <v/>
      </c>
      <c r="AT2012">
        <f t="shared" si="862"/>
        <v>14</v>
      </c>
      <c r="AU2012" s="170" t="str">
        <f t="shared" si="863"/>
        <v>0-0,15 MW, Bonusregeln a1, y und K wenn Anlage 3 erfüllt</v>
      </c>
      <c r="AV2012" s="169" t="str">
        <f t="shared" si="864"/>
        <v/>
      </c>
      <c r="AW2012" s="170" t="str">
        <f t="shared" si="865"/>
        <v>Anteil KWK gemäß Anlage 3</v>
      </c>
      <c r="AX2012" s="169" t="str">
        <f t="shared" si="866"/>
        <v/>
      </c>
      <c r="AY2012" t="str">
        <f t="shared" si="867"/>
        <v/>
      </c>
      <c r="AZ2012" t="str">
        <f t="shared" si="868"/>
        <v/>
      </c>
    </row>
    <row r="2013" spans="1:52" s="145" customFormat="1" x14ac:dyDescent="0.35">
      <c r="A2013" s="497" t="s">
        <v>589</v>
      </c>
      <c r="B2013" s="13" t="s">
        <v>5547</v>
      </c>
      <c r="C2013" s="13" t="s">
        <v>5539</v>
      </c>
      <c r="D2013" s="13" t="s">
        <v>6886</v>
      </c>
      <c r="E2013" s="13" t="s">
        <v>674</v>
      </c>
      <c r="F2013" s="373">
        <f t="shared" si="874"/>
        <v>21.67</v>
      </c>
      <c r="G2013" s="430">
        <v>21.67</v>
      </c>
      <c r="H2013" s="399">
        <f t="shared" si="875"/>
        <v>17.34</v>
      </c>
      <c r="I2013" s="576"/>
      <c r="J2013" s="549" t="s">
        <v>5804</v>
      </c>
      <c r="K2013" s="11"/>
      <c r="L2013"/>
      <c r="M2013" s="37">
        <f t="shared" si="876"/>
        <v>21.67</v>
      </c>
      <c r="N2013" s="29">
        <v>11.67</v>
      </c>
      <c r="O2013" s="41"/>
      <c r="P2013" s="11"/>
      <c r="Q2013" t="s">
        <v>1017</v>
      </c>
      <c r="R2013"/>
      <c r="S2013" t="s">
        <v>4179</v>
      </c>
      <c r="T2013" s="145" t="s">
        <v>4179</v>
      </c>
      <c r="U2013" s="42" t="s">
        <v>1017</v>
      </c>
      <c r="V2013" t="s">
        <v>1017</v>
      </c>
      <c r="W2013" s="50"/>
      <c r="X2013" s="50"/>
      <c r="Y2013"/>
      <c r="Z2013"/>
      <c r="AA2013" s="50"/>
      <c r="AB2013"/>
      <c r="AC2013"/>
      <c r="AD2013" s="50"/>
      <c r="AE2013" s="75"/>
      <c r="AF2013" s="50"/>
      <c r="AG2013" s="50"/>
      <c r="AH2013" s="166" t="str">
        <f t="shared" si="879"/>
        <v/>
      </c>
      <c r="AI2013" s="168" t="str">
        <f t="shared" si="869"/>
        <v/>
      </c>
      <c r="AJ2013" s="168" t="str">
        <f t="shared" si="870"/>
        <v/>
      </c>
      <c r="AK2013" s="168" t="str">
        <f t="shared" si="871"/>
        <v/>
      </c>
      <c r="AL2013" s="168" t="str">
        <f t="shared" si="872"/>
        <v/>
      </c>
      <c r="AM2013" s="168" t="str">
        <f t="shared" si="873"/>
        <v/>
      </c>
      <c r="AN2013" s="167" t="str">
        <f t="shared" si="856"/>
        <v/>
      </c>
      <c r="AO2013" s="167" t="str">
        <f t="shared" si="857"/>
        <v/>
      </c>
      <c r="AP2013" s="167" t="str">
        <f t="shared" si="858"/>
        <v/>
      </c>
      <c r="AQ2013" s="169" t="str">
        <f t="shared" si="859"/>
        <v/>
      </c>
      <c r="AR2013" s="170" t="str">
        <f t="shared" si="860"/>
        <v>BiK81a1K09y-08</v>
      </c>
      <c r="AS2013" s="169" t="str">
        <f t="shared" si="861"/>
        <v/>
      </c>
      <c r="AT2013">
        <f t="shared" si="862"/>
        <v>14</v>
      </c>
      <c r="AU2013" s="170" t="str">
        <f t="shared" si="863"/>
        <v>0-0,15 MW, Bonusregeln a1, y und K erstmals 2009</v>
      </c>
      <c r="AV2013" s="169" t="str">
        <f t="shared" si="864"/>
        <v/>
      </c>
      <c r="AW2013" s="170" t="str">
        <f t="shared" si="865"/>
        <v>Anteil KWK, erstmals 2009</v>
      </c>
      <c r="AX2013" s="169" t="str">
        <f t="shared" si="866"/>
        <v/>
      </c>
      <c r="AY2013" t="str">
        <f t="shared" si="867"/>
        <v/>
      </c>
      <c r="AZ2013" t="str">
        <f t="shared" si="868"/>
        <v/>
      </c>
    </row>
    <row r="2014" spans="1:52" s="145" customFormat="1" x14ac:dyDescent="0.35">
      <c r="A2014" s="497" t="s">
        <v>3160</v>
      </c>
      <c r="B2014" s="13" t="s">
        <v>5547</v>
      </c>
      <c r="C2014" s="13" t="s">
        <v>5539</v>
      </c>
      <c r="D2014" s="13" t="s">
        <v>6887</v>
      </c>
      <c r="E2014" s="13" t="s">
        <v>3566</v>
      </c>
      <c r="F2014" s="373">
        <f t="shared" si="874"/>
        <v>21.64</v>
      </c>
      <c r="G2014" s="430">
        <v>21.64</v>
      </c>
      <c r="H2014" s="399">
        <f t="shared" si="875"/>
        <v>17.309999999999999</v>
      </c>
      <c r="I2014" s="576"/>
      <c r="J2014" s="549" t="s">
        <v>5804</v>
      </c>
      <c r="K2014" s="11"/>
      <c r="L2014"/>
      <c r="M2014" s="37">
        <f t="shared" si="876"/>
        <v>21.64</v>
      </c>
      <c r="N2014" s="29">
        <v>11.67</v>
      </c>
      <c r="O2014" s="41"/>
      <c r="P2014" s="11"/>
      <c r="Q2014"/>
      <c r="R2014" t="s">
        <v>1017</v>
      </c>
      <c r="S2014" t="s">
        <v>4179</v>
      </c>
      <c r="T2014" s="145" t="s">
        <v>4179</v>
      </c>
      <c r="U2014" s="42" t="s">
        <v>1017</v>
      </c>
      <c r="V2014" t="s">
        <v>1017</v>
      </c>
      <c r="W2014" s="50"/>
      <c r="X2014" s="50"/>
      <c r="Y2014"/>
      <c r="Z2014"/>
      <c r="AA2014" s="50"/>
      <c r="AB2014"/>
      <c r="AC2014"/>
      <c r="AD2014" s="50"/>
      <c r="AE2014" s="75"/>
      <c r="AF2014" s="50"/>
      <c r="AG2014" s="50"/>
      <c r="AH2014" s="166" t="str">
        <f t="shared" si="879"/>
        <v>2010</v>
      </c>
      <c r="AI2014" s="168" t="str">
        <f t="shared" si="869"/>
        <v/>
      </c>
      <c r="AJ2014" s="168" t="str">
        <f t="shared" si="870"/>
        <v/>
      </c>
      <c r="AK2014" s="168" t="str">
        <f t="shared" si="871"/>
        <v/>
      </c>
      <c r="AL2014" s="168" t="str">
        <f t="shared" si="872"/>
        <v/>
      </c>
      <c r="AM2014" s="168" t="str">
        <f t="shared" si="873"/>
        <v/>
      </c>
      <c r="AN2014" s="167" t="str">
        <f t="shared" si="856"/>
        <v>2010</v>
      </c>
      <c r="AO2014" s="167" t="str">
        <f t="shared" si="857"/>
        <v>2010</v>
      </c>
      <c r="AP2014" s="167" t="str">
        <f t="shared" si="858"/>
        <v>2010</v>
      </c>
      <c r="AQ2014" s="169" t="str">
        <f t="shared" si="859"/>
        <v/>
      </c>
      <c r="AR2014" s="170" t="str">
        <f t="shared" si="860"/>
        <v>BiK81a1K10y-08</v>
      </c>
      <c r="AS2014" s="169" t="str">
        <f t="shared" si="861"/>
        <v/>
      </c>
      <c r="AT2014">
        <f t="shared" si="862"/>
        <v>14</v>
      </c>
      <c r="AU2014" s="170" t="str">
        <f t="shared" si="863"/>
        <v>0-0,15 MW, Bonusregeln a1, y und K erstmals 2010</v>
      </c>
      <c r="AV2014" s="169" t="str">
        <f t="shared" si="864"/>
        <v/>
      </c>
      <c r="AW2014" s="170" t="str">
        <f t="shared" si="865"/>
        <v>Anteil KWK, erstmals 2010</v>
      </c>
      <c r="AX2014" s="169" t="str">
        <f t="shared" si="866"/>
        <v/>
      </c>
      <c r="AY2014" t="str">
        <f t="shared" si="867"/>
        <v/>
      </c>
      <c r="AZ2014" t="str">
        <f t="shared" si="868"/>
        <v/>
      </c>
    </row>
    <row r="2015" spans="1:52" s="145" customFormat="1" x14ac:dyDescent="0.35">
      <c r="A2015" s="497" t="s">
        <v>3436</v>
      </c>
      <c r="B2015" s="13" t="s">
        <v>5547</v>
      </c>
      <c r="C2015" s="13" t="s">
        <v>5539</v>
      </c>
      <c r="D2015" s="13" t="s">
        <v>6888</v>
      </c>
      <c r="E2015" s="13" t="s">
        <v>3054</v>
      </c>
      <c r="F2015" s="373">
        <f t="shared" si="874"/>
        <v>21.61</v>
      </c>
      <c r="G2015" s="430">
        <v>21.61</v>
      </c>
      <c r="H2015" s="399">
        <f t="shared" si="875"/>
        <v>17.29</v>
      </c>
      <c r="I2015" s="576"/>
      <c r="J2015" s="549" t="s">
        <v>5804</v>
      </c>
      <c r="K2015" s="11"/>
      <c r="L2015"/>
      <c r="M2015" s="37">
        <f t="shared" si="876"/>
        <v>21.61</v>
      </c>
      <c r="N2015" s="29">
        <v>11.67</v>
      </c>
      <c r="O2015" s="41"/>
      <c r="P2015" s="11"/>
      <c r="Q2015"/>
      <c r="R2015"/>
      <c r="S2015" t="s">
        <v>1017</v>
      </c>
      <c r="T2015" s="145" t="s">
        <v>4179</v>
      </c>
      <c r="U2015" s="42" t="s">
        <v>1017</v>
      </c>
      <c r="V2015" t="s">
        <v>1017</v>
      </c>
      <c r="W2015" s="50"/>
      <c r="X2015" s="50"/>
      <c r="Y2015"/>
      <c r="Z2015"/>
      <c r="AA2015" s="50"/>
      <c r="AB2015"/>
      <c r="AC2015"/>
      <c r="AD2015" s="50"/>
      <c r="AE2015" s="75"/>
      <c r="AF2015" s="50"/>
      <c r="AG2015" s="50"/>
      <c r="AH2015" s="166" t="str">
        <f t="shared" si="879"/>
        <v>2011</v>
      </c>
      <c r="AI2015" s="168" t="str">
        <f t="shared" si="869"/>
        <v/>
      </c>
      <c r="AJ2015" s="168" t="str">
        <f t="shared" si="870"/>
        <v/>
      </c>
      <c r="AK2015" s="168" t="str">
        <f t="shared" si="871"/>
        <v/>
      </c>
      <c r="AL2015" s="168" t="str">
        <f t="shared" si="872"/>
        <v/>
      </c>
      <c r="AM2015" s="168" t="str">
        <f t="shared" si="873"/>
        <v/>
      </c>
      <c r="AN2015" s="167" t="str">
        <f t="shared" si="856"/>
        <v>2011</v>
      </c>
      <c r="AO2015" s="167" t="str">
        <f t="shared" si="857"/>
        <v>2011</v>
      </c>
      <c r="AP2015" s="167" t="str">
        <f t="shared" si="858"/>
        <v>2011</v>
      </c>
      <c r="AQ2015" s="169" t="str">
        <f t="shared" si="859"/>
        <v/>
      </c>
      <c r="AR2015" s="170" t="str">
        <f t="shared" si="860"/>
        <v>BiK81a1K11y-08</v>
      </c>
      <c r="AS2015" s="169" t="str">
        <f t="shared" si="861"/>
        <v/>
      </c>
      <c r="AT2015">
        <f t="shared" si="862"/>
        <v>14</v>
      </c>
      <c r="AU2015" s="170" t="str">
        <f t="shared" si="863"/>
        <v>0-0,15 MW, Bonusregeln a1, y und K erstmals 2011</v>
      </c>
      <c r="AV2015" s="169" t="str">
        <f t="shared" si="864"/>
        <v/>
      </c>
      <c r="AW2015" s="170" t="str">
        <f t="shared" si="865"/>
        <v>Anteil KWK, erstmals 2011</v>
      </c>
      <c r="AX2015" s="169" t="str">
        <f t="shared" si="866"/>
        <v/>
      </c>
      <c r="AY2015" t="str">
        <f t="shared" si="867"/>
        <v>x</v>
      </c>
      <c r="AZ2015" t="str">
        <f t="shared" si="868"/>
        <v/>
      </c>
    </row>
    <row r="2016" spans="1:52" s="145" customFormat="1" x14ac:dyDescent="0.35">
      <c r="A2016" s="511" t="s">
        <v>1869</v>
      </c>
      <c r="B2016" s="173" t="s">
        <v>5547</v>
      </c>
      <c r="C2016" s="173" t="s">
        <v>5539</v>
      </c>
      <c r="D2016" s="173" t="s">
        <v>6889</v>
      </c>
      <c r="E2016" s="173" t="s">
        <v>1980</v>
      </c>
      <c r="F2016" s="374">
        <f t="shared" si="874"/>
        <v>21.58</v>
      </c>
      <c r="G2016" s="431">
        <v>21.58</v>
      </c>
      <c r="H2016" s="400">
        <f t="shared" si="875"/>
        <v>17.260000000000002</v>
      </c>
      <c r="I2016" s="577"/>
      <c r="J2016" s="549" t="s">
        <v>5804</v>
      </c>
      <c r="K2016" s="11"/>
      <c r="L2016"/>
      <c r="M2016" s="37">
        <f t="shared" si="876"/>
        <v>21.58</v>
      </c>
      <c r="N2016" s="29">
        <v>11.67</v>
      </c>
      <c r="O2016" s="41"/>
      <c r="P2016" s="11"/>
      <c r="Q2016"/>
      <c r="R2016"/>
      <c r="S2016" t="s">
        <v>4179</v>
      </c>
      <c r="T2016" s="145" t="s">
        <v>1017</v>
      </c>
      <c r="U2016" s="42" t="s">
        <v>1017</v>
      </c>
      <c r="V2016" t="s">
        <v>1017</v>
      </c>
      <c r="W2016" s="50"/>
      <c r="X2016" s="50"/>
      <c r="Y2016"/>
      <c r="Z2016"/>
      <c r="AA2016" s="50"/>
      <c r="AB2016"/>
      <c r="AC2016"/>
      <c r="AD2016" s="50"/>
      <c r="AE2016" s="75"/>
      <c r="AF2016" s="50"/>
      <c r="AG2016" s="50"/>
      <c r="AH2016" s="171" t="s">
        <v>4178</v>
      </c>
      <c r="AI2016" s="168" t="str">
        <f t="shared" si="869"/>
        <v/>
      </c>
      <c r="AJ2016" s="168" t="str">
        <f t="shared" si="870"/>
        <v/>
      </c>
      <c r="AK2016" s="168" t="str">
        <f t="shared" si="871"/>
        <v/>
      </c>
      <c r="AL2016" s="168" t="str">
        <f t="shared" si="872"/>
        <v/>
      </c>
      <c r="AM2016" s="168" t="str">
        <f t="shared" si="873"/>
        <v/>
      </c>
      <c r="AN2016" s="167" t="str">
        <f t="shared" si="856"/>
        <v>2012</v>
      </c>
      <c r="AO2016" s="167" t="str">
        <f t="shared" si="857"/>
        <v>2012</v>
      </c>
      <c r="AP2016" s="167" t="str">
        <f t="shared" si="858"/>
        <v>2012</v>
      </c>
      <c r="AQ2016" s="169" t="str">
        <f t="shared" si="859"/>
        <v/>
      </c>
      <c r="AR2016" s="170" t="str">
        <f t="shared" si="860"/>
        <v>BiK81a1K12y-08</v>
      </c>
      <c r="AS2016" s="169" t="str">
        <f t="shared" si="861"/>
        <v/>
      </c>
      <c r="AT2016">
        <f t="shared" si="862"/>
        <v>14</v>
      </c>
      <c r="AU2016" s="170" t="str">
        <f t="shared" si="863"/>
        <v>0-0,15 MW, Bonusregeln a1, y und K erstmals 2012</v>
      </c>
      <c r="AV2016" s="169" t="str">
        <f t="shared" si="864"/>
        <v/>
      </c>
      <c r="AW2016" s="170" t="str">
        <f t="shared" si="865"/>
        <v>Anteil KWK, erstmals 2012</v>
      </c>
      <c r="AX2016" s="169" t="str">
        <f t="shared" si="866"/>
        <v/>
      </c>
      <c r="AY2016" t="str">
        <f t="shared" si="867"/>
        <v/>
      </c>
      <c r="AZ2016" t="str">
        <f t="shared" si="868"/>
        <v>x</v>
      </c>
    </row>
    <row r="2017" spans="1:52" x14ac:dyDescent="0.35">
      <c r="A2017" s="497" t="s">
        <v>966</v>
      </c>
      <c r="B2017" s="13" t="s">
        <v>5547</v>
      </c>
      <c r="C2017" s="13" t="s">
        <v>5539</v>
      </c>
      <c r="D2017" s="13" t="s">
        <v>6805</v>
      </c>
      <c r="E2017" s="13" t="s">
        <v>4809</v>
      </c>
      <c r="F2017" s="373">
        <f t="shared" si="874"/>
        <v>18.670000000000002</v>
      </c>
      <c r="G2017" s="430">
        <v>18.670000000000002</v>
      </c>
      <c r="H2017" s="399">
        <f t="shared" si="875"/>
        <v>14.94</v>
      </c>
      <c r="I2017" s="576"/>
      <c r="J2017" s="549" t="s">
        <v>5804</v>
      </c>
      <c r="K2017" s="11"/>
      <c r="M2017" s="37">
        <f t="shared" si="876"/>
        <v>18.670000000000002</v>
      </c>
      <c r="N2017" s="29">
        <v>11.67</v>
      </c>
      <c r="O2017" s="149"/>
      <c r="P2017" s="144"/>
      <c r="Q2017" s="145"/>
      <c r="R2017" s="145"/>
      <c r="S2017" s="145" t="s">
        <v>4179</v>
      </c>
      <c r="T2017" t="s">
        <v>4179</v>
      </c>
      <c r="U2017" s="146"/>
      <c r="V2017" s="145"/>
      <c r="W2017" s="147"/>
      <c r="X2017" s="147"/>
      <c r="Y2017" s="145" t="s">
        <v>1017</v>
      </c>
      <c r="Z2017" s="145"/>
      <c r="AA2017" s="147"/>
      <c r="AB2017" s="145"/>
      <c r="AC2017" s="145"/>
      <c r="AD2017" s="147"/>
      <c r="AE2017" s="148"/>
      <c r="AF2017" s="147"/>
      <c r="AG2017" s="147"/>
      <c r="AH2017" s="166" t="str">
        <f t="shared" ref="AH2017:AH2022" si="880">IF(ISERROR(SEARCH("K erstmals 201",D2017)),"",RIGHT(D2017,4))</f>
        <v/>
      </c>
      <c r="AI2017" s="168" t="str">
        <f t="shared" si="869"/>
        <v/>
      </c>
      <c r="AJ2017" s="168" t="str">
        <f t="shared" si="870"/>
        <v/>
      </c>
      <c r="AK2017" s="168" t="str">
        <f t="shared" si="871"/>
        <v/>
      </c>
      <c r="AL2017" s="168" t="str">
        <f t="shared" si="872"/>
        <v/>
      </c>
      <c r="AM2017" s="168" t="str">
        <f t="shared" si="873"/>
        <v/>
      </c>
      <c r="AN2017" s="167" t="str">
        <f t="shared" si="856"/>
        <v/>
      </c>
      <c r="AO2017" s="167" t="str">
        <f t="shared" si="857"/>
        <v/>
      </c>
      <c r="AP2017" s="167" t="str">
        <f t="shared" si="858"/>
        <v/>
      </c>
      <c r="AQ2017" s="169" t="str">
        <f t="shared" si="859"/>
        <v/>
      </c>
      <c r="AR2017" s="170" t="str">
        <f t="shared" si="860"/>
        <v>BiK81G------08</v>
      </c>
      <c r="AS2017" s="169" t="str">
        <f t="shared" si="861"/>
        <v/>
      </c>
      <c r="AT2017">
        <f t="shared" si="862"/>
        <v>14</v>
      </c>
      <c r="AU2017" s="170" t="str">
        <f t="shared" si="863"/>
        <v>0-0,15 MW, Bonusregel G</v>
      </c>
      <c r="AV2017" s="169" t="str">
        <f t="shared" si="864"/>
        <v/>
      </c>
      <c r="AW2017" s="170" t="str">
        <f t="shared" si="865"/>
        <v>Anteil Nicht-KWK</v>
      </c>
      <c r="AX2017" s="169" t="str">
        <f t="shared" si="866"/>
        <v/>
      </c>
      <c r="AY2017" t="str">
        <f t="shared" si="867"/>
        <v/>
      </c>
      <c r="AZ2017" t="str">
        <f t="shared" si="868"/>
        <v/>
      </c>
    </row>
    <row r="2018" spans="1:52" x14ac:dyDescent="0.35">
      <c r="A2018" s="497" t="s">
        <v>967</v>
      </c>
      <c r="B2018" s="13" t="s">
        <v>5547</v>
      </c>
      <c r="C2018" s="13" t="s">
        <v>5539</v>
      </c>
      <c r="D2018" s="13" t="s">
        <v>6890</v>
      </c>
      <c r="E2018" s="13" t="s">
        <v>4811</v>
      </c>
      <c r="F2018" s="373">
        <f t="shared" si="874"/>
        <v>20.67</v>
      </c>
      <c r="G2018" s="430">
        <v>20.67</v>
      </c>
      <c r="H2018" s="399">
        <f t="shared" si="875"/>
        <v>16.54</v>
      </c>
      <c r="I2018" s="576"/>
      <c r="J2018" s="549" t="s">
        <v>5804</v>
      </c>
      <c r="K2018" s="11"/>
      <c r="M2018" s="37">
        <f t="shared" si="876"/>
        <v>20.67</v>
      </c>
      <c r="N2018" s="29">
        <v>11.67</v>
      </c>
      <c r="O2018" s="149" t="s">
        <v>1017</v>
      </c>
      <c r="P2018" s="144"/>
      <c r="Q2018" s="145"/>
      <c r="R2018" s="145"/>
      <c r="S2018" s="145" t="s">
        <v>4179</v>
      </c>
      <c r="T2018" t="s">
        <v>4179</v>
      </c>
      <c r="U2018" s="146"/>
      <c r="V2018" s="145"/>
      <c r="W2018" s="147"/>
      <c r="X2018" s="147"/>
      <c r="Y2018" s="145" t="s">
        <v>1017</v>
      </c>
      <c r="Z2018" s="145"/>
      <c r="AA2018" s="147"/>
      <c r="AB2018" s="145"/>
      <c r="AC2018" s="145"/>
      <c r="AD2018" s="147"/>
      <c r="AE2018" s="148"/>
      <c r="AF2018" s="147"/>
      <c r="AG2018" s="147"/>
      <c r="AH2018" s="166" t="str">
        <f t="shared" si="880"/>
        <v/>
      </c>
      <c r="AI2018" s="168" t="str">
        <f t="shared" si="869"/>
        <v/>
      </c>
      <c r="AJ2018" s="168" t="str">
        <f t="shared" si="870"/>
        <v/>
      </c>
      <c r="AK2018" s="168" t="str">
        <f t="shared" si="871"/>
        <v/>
      </c>
      <c r="AL2018" s="168" t="str">
        <f t="shared" si="872"/>
        <v/>
      </c>
      <c r="AM2018" s="168" t="str">
        <f t="shared" si="873"/>
        <v/>
      </c>
      <c r="AN2018" s="167" t="str">
        <f t="shared" si="856"/>
        <v/>
      </c>
      <c r="AO2018" s="167" t="str">
        <f t="shared" si="857"/>
        <v/>
      </c>
      <c r="AP2018" s="167" t="str">
        <f t="shared" si="858"/>
        <v/>
      </c>
      <c r="AQ2018" s="169" t="str">
        <f t="shared" si="859"/>
        <v/>
      </c>
      <c r="AR2018" s="170" t="str">
        <f t="shared" si="860"/>
        <v>BiK81GKWK---08</v>
      </c>
      <c r="AS2018" s="169" t="str">
        <f t="shared" si="861"/>
        <v/>
      </c>
      <c r="AT2018">
        <f t="shared" si="862"/>
        <v>14</v>
      </c>
      <c r="AU2018" s="170" t="str">
        <f t="shared" si="863"/>
        <v>0-0,15 MW, Bonusregeln G und KWK</v>
      </c>
      <c r="AV2018" s="169" t="str">
        <f t="shared" si="864"/>
        <v/>
      </c>
      <c r="AW2018" s="170" t="str">
        <f t="shared" si="865"/>
        <v>Anteil KWK</v>
      </c>
      <c r="AX2018" s="169" t="str">
        <f t="shared" si="866"/>
        <v/>
      </c>
      <c r="AY2018" t="str">
        <f t="shared" si="867"/>
        <v/>
      </c>
      <c r="AZ2018" t="str">
        <f t="shared" si="868"/>
        <v/>
      </c>
    </row>
    <row r="2019" spans="1:52" x14ac:dyDescent="0.35">
      <c r="A2019" s="497" t="s">
        <v>968</v>
      </c>
      <c r="B2019" s="13" t="s">
        <v>5547</v>
      </c>
      <c r="C2019" s="13" t="s">
        <v>5539</v>
      </c>
      <c r="D2019" s="13" t="s">
        <v>6806</v>
      </c>
      <c r="E2019" s="13" t="s">
        <v>4330</v>
      </c>
      <c r="F2019" s="373">
        <f t="shared" si="874"/>
        <v>21.67</v>
      </c>
      <c r="G2019" s="430">
        <v>21.67</v>
      </c>
      <c r="H2019" s="399">
        <f t="shared" si="875"/>
        <v>17.34</v>
      </c>
      <c r="I2019" s="576"/>
      <c r="J2019" s="549" t="s">
        <v>5804</v>
      </c>
      <c r="K2019" s="11"/>
      <c r="M2019" s="37">
        <f t="shared" si="876"/>
        <v>21.67</v>
      </c>
      <c r="N2019" s="29">
        <v>11.67</v>
      </c>
      <c r="O2019" s="149"/>
      <c r="P2019" s="145" t="s">
        <v>1017</v>
      </c>
      <c r="Q2019" s="145"/>
      <c r="R2019" s="145"/>
      <c r="S2019" s="145" t="s">
        <v>4179</v>
      </c>
      <c r="T2019" t="s">
        <v>4179</v>
      </c>
      <c r="U2019" s="146"/>
      <c r="V2019" s="145"/>
      <c r="W2019" s="147"/>
      <c r="X2019" s="147"/>
      <c r="Y2019" s="145" t="s">
        <v>1017</v>
      </c>
      <c r="Z2019" s="145"/>
      <c r="AA2019" s="147"/>
      <c r="AB2019" s="145"/>
      <c r="AC2019" s="145"/>
      <c r="AD2019" s="147"/>
      <c r="AE2019" s="148"/>
      <c r="AF2019" s="147"/>
      <c r="AG2019" s="147"/>
      <c r="AH2019" s="166" t="str">
        <f t="shared" si="880"/>
        <v/>
      </c>
      <c r="AI2019" s="168" t="str">
        <f t="shared" si="869"/>
        <v/>
      </c>
      <c r="AJ2019" s="168" t="str">
        <f t="shared" si="870"/>
        <v/>
      </c>
      <c r="AK2019" s="168" t="str">
        <f t="shared" si="871"/>
        <v/>
      </c>
      <c r="AL2019" s="168" t="str">
        <f t="shared" si="872"/>
        <v/>
      </c>
      <c r="AM2019" s="168" t="str">
        <f t="shared" si="873"/>
        <v/>
      </c>
      <c r="AN2019" s="167" t="str">
        <f t="shared" si="856"/>
        <v/>
      </c>
      <c r="AO2019" s="167" t="str">
        <f t="shared" si="857"/>
        <v/>
      </c>
      <c r="AP2019" s="167" t="str">
        <f t="shared" si="858"/>
        <v/>
      </c>
      <c r="AQ2019" s="169" t="str">
        <f t="shared" si="859"/>
        <v/>
      </c>
      <c r="AR2019" s="170" t="str">
        <f t="shared" si="860"/>
        <v>BiK81GKA3---08</v>
      </c>
      <c r="AS2019" s="169" t="str">
        <f t="shared" si="861"/>
        <v/>
      </c>
      <c r="AT2019">
        <f t="shared" si="862"/>
        <v>14</v>
      </c>
      <c r="AU2019" s="170" t="str">
        <f t="shared" si="863"/>
        <v>0-0,15 MW, Bonusregeln G und K wenn Anlage 3 erfüllt</v>
      </c>
      <c r="AV2019" s="169" t="str">
        <f t="shared" si="864"/>
        <v/>
      </c>
      <c r="AW2019" s="170" t="str">
        <f t="shared" si="865"/>
        <v>Anteil KWK gemäß Anlage 3</v>
      </c>
      <c r="AX2019" s="169" t="str">
        <f t="shared" si="866"/>
        <v/>
      </c>
      <c r="AY2019" t="str">
        <f t="shared" si="867"/>
        <v/>
      </c>
      <c r="AZ2019" t="str">
        <f t="shared" si="868"/>
        <v/>
      </c>
    </row>
    <row r="2020" spans="1:52" x14ac:dyDescent="0.35">
      <c r="A2020" s="497" t="s">
        <v>969</v>
      </c>
      <c r="B2020" s="13" t="s">
        <v>5547</v>
      </c>
      <c r="C2020" s="13" t="s">
        <v>5539</v>
      </c>
      <c r="D2020" s="13" t="s">
        <v>6807</v>
      </c>
      <c r="E2020" s="13" t="s">
        <v>674</v>
      </c>
      <c r="F2020" s="373">
        <f t="shared" si="874"/>
        <v>21.67</v>
      </c>
      <c r="G2020" s="430">
        <v>21.67</v>
      </c>
      <c r="H2020" s="399">
        <f t="shared" si="875"/>
        <v>17.34</v>
      </c>
      <c r="I2020" s="576"/>
      <c r="J2020" s="549" t="s">
        <v>5804</v>
      </c>
      <c r="K2020" s="11"/>
      <c r="M2020" s="37">
        <f t="shared" si="876"/>
        <v>21.67</v>
      </c>
      <c r="N2020" s="29">
        <v>11.67</v>
      </c>
      <c r="O2020" s="149"/>
      <c r="P2020" s="144"/>
      <c r="Q2020" s="145" t="s">
        <v>1017</v>
      </c>
      <c r="R2020" s="145"/>
      <c r="S2020" s="145" t="s">
        <v>4179</v>
      </c>
      <c r="T2020" t="s">
        <v>4179</v>
      </c>
      <c r="U2020" s="146"/>
      <c r="V2020" s="145"/>
      <c r="W2020" s="147"/>
      <c r="X2020" s="147"/>
      <c r="Y2020" s="145" t="s">
        <v>1017</v>
      </c>
      <c r="Z2020" s="145"/>
      <c r="AA2020" s="147"/>
      <c r="AB2020" s="145"/>
      <c r="AC2020" s="145"/>
      <c r="AD2020" s="147"/>
      <c r="AE2020" s="148"/>
      <c r="AF2020" s="147"/>
      <c r="AG2020" s="147"/>
      <c r="AH2020" s="166" t="str">
        <f t="shared" si="880"/>
        <v/>
      </c>
      <c r="AI2020" s="168" t="str">
        <f t="shared" si="869"/>
        <v/>
      </c>
      <c r="AJ2020" s="168" t="str">
        <f t="shared" si="870"/>
        <v/>
      </c>
      <c r="AK2020" s="168" t="str">
        <f t="shared" si="871"/>
        <v/>
      </c>
      <c r="AL2020" s="168" t="str">
        <f t="shared" si="872"/>
        <v/>
      </c>
      <c r="AM2020" s="168" t="str">
        <f t="shared" si="873"/>
        <v/>
      </c>
      <c r="AN2020" s="167" t="str">
        <f t="shared" si="856"/>
        <v/>
      </c>
      <c r="AO2020" s="167" t="str">
        <f t="shared" si="857"/>
        <v/>
      </c>
      <c r="AP2020" s="167" t="str">
        <f t="shared" si="858"/>
        <v/>
      </c>
      <c r="AQ2020" s="169" t="str">
        <f t="shared" si="859"/>
        <v/>
      </c>
      <c r="AR2020" s="170" t="str">
        <f t="shared" si="860"/>
        <v>BiK81GK09---08</v>
      </c>
      <c r="AS2020" s="169" t="str">
        <f t="shared" si="861"/>
        <v/>
      </c>
      <c r="AT2020">
        <f t="shared" si="862"/>
        <v>14</v>
      </c>
      <c r="AU2020" s="170" t="str">
        <f t="shared" si="863"/>
        <v>0-0,15 MW, Bonusregeln G und K erstmals 2009</v>
      </c>
      <c r="AV2020" s="169" t="str">
        <f t="shared" si="864"/>
        <v/>
      </c>
      <c r="AW2020" s="170" t="str">
        <f t="shared" si="865"/>
        <v>Anteil KWK, erstmals 2009</v>
      </c>
      <c r="AX2020" s="169" t="str">
        <f t="shared" si="866"/>
        <v/>
      </c>
      <c r="AY2020" t="str">
        <f t="shared" si="867"/>
        <v/>
      </c>
      <c r="AZ2020" t="str">
        <f t="shared" si="868"/>
        <v/>
      </c>
    </row>
    <row r="2021" spans="1:52" x14ac:dyDescent="0.35">
      <c r="A2021" s="497" t="s">
        <v>3161</v>
      </c>
      <c r="B2021" s="13" t="s">
        <v>5547</v>
      </c>
      <c r="C2021" s="13" t="s">
        <v>5539</v>
      </c>
      <c r="D2021" s="13" t="s">
        <v>6808</v>
      </c>
      <c r="E2021" s="13" t="s">
        <v>3566</v>
      </c>
      <c r="F2021" s="373">
        <f t="shared" si="874"/>
        <v>21.64</v>
      </c>
      <c r="G2021" s="430">
        <v>21.64</v>
      </c>
      <c r="H2021" s="399">
        <f t="shared" si="875"/>
        <v>17.309999999999999</v>
      </c>
      <c r="I2021" s="576"/>
      <c r="J2021" s="549" t="s">
        <v>5804</v>
      </c>
      <c r="K2021" s="11"/>
      <c r="M2021" s="37">
        <f t="shared" si="876"/>
        <v>21.64</v>
      </c>
      <c r="N2021" s="29">
        <v>11.67</v>
      </c>
      <c r="O2021" s="149"/>
      <c r="P2021" s="144"/>
      <c r="Q2021" s="145"/>
      <c r="R2021" s="145" t="s">
        <v>1017</v>
      </c>
      <c r="S2021" s="145" t="s">
        <v>4179</v>
      </c>
      <c r="T2021" t="s">
        <v>4179</v>
      </c>
      <c r="U2021" s="146"/>
      <c r="V2021" s="145"/>
      <c r="W2021" s="147"/>
      <c r="X2021" s="147"/>
      <c r="Y2021" s="145" t="s">
        <v>1017</v>
      </c>
      <c r="Z2021" s="145"/>
      <c r="AA2021" s="147"/>
      <c r="AB2021" s="145"/>
      <c r="AC2021" s="145"/>
      <c r="AD2021" s="147"/>
      <c r="AE2021" s="148"/>
      <c r="AF2021" s="147"/>
      <c r="AG2021" s="147"/>
      <c r="AH2021" s="166" t="str">
        <f t="shared" si="880"/>
        <v>2010</v>
      </c>
      <c r="AI2021" s="168" t="str">
        <f t="shared" si="869"/>
        <v/>
      </c>
      <c r="AJ2021" s="168" t="str">
        <f t="shared" si="870"/>
        <v/>
      </c>
      <c r="AK2021" s="168" t="str">
        <f t="shared" si="871"/>
        <v/>
      </c>
      <c r="AL2021" s="168" t="str">
        <f t="shared" si="872"/>
        <v/>
      </c>
      <c r="AM2021" s="168" t="str">
        <f t="shared" si="873"/>
        <v/>
      </c>
      <c r="AN2021" s="167" t="str">
        <f t="shared" si="856"/>
        <v>2010</v>
      </c>
      <c r="AO2021" s="167" t="str">
        <f t="shared" si="857"/>
        <v>2010</v>
      </c>
      <c r="AP2021" s="167" t="str">
        <f t="shared" si="858"/>
        <v>2010</v>
      </c>
      <c r="AQ2021" s="169" t="str">
        <f t="shared" si="859"/>
        <v/>
      </c>
      <c r="AR2021" s="170" t="str">
        <f t="shared" si="860"/>
        <v>BiK81GK10---08</v>
      </c>
      <c r="AS2021" s="169" t="str">
        <f t="shared" si="861"/>
        <v/>
      </c>
      <c r="AT2021">
        <f t="shared" si="862"/>
        <v>14</v>
      </c>
      <c r="AU2021" s="170" t="str">
        <f t="shared" si="863"/>
        <v>0-0,15 MW, Bonusregeln G und K erstmals 2010</v>
      </c>
      <c r="AV2021" s="169" t="str">
        <f t="shared" si="864"/>
        <v/>
      </c>
      <c r="AW2021" s="170" t="str">
        <f t="shared" si="865"/>
        <v>Anteil KWK, erstmals 2010</v>
      </c>
      <c r="AX2021" s="169" t="str">
        <f t="shared" si="866"/>
        <v/>
      </c>
      <c r="AY2021" t="str">
        <f t="shared" si="867"/>
        <v/>
      </c>
      <c r="AZ2021" t="str">
        <f t="shared" si="868"/>
        <v/>
      </c>
    </row>
    <row r="2022" spans="1:52" x14ac:dyDescent="0.35">
      <c r="A2022" s="499" t="s">
        <v>3437</v>
      </c>
      <c r="B2022" s="13" t="s">
        <v>5547</v>
      </c>
      <c r="C2022" s="13" t="s">
        <v>5539</v>
      </c>
      <c r="D2022" s="13" t="s">
        <v>6809</v>
      </c>
      <c r="E2022" s="13" t="s">
        <v>3054</v>
      </c>
      <c r="F2022" s="373">
        <f t="shared" si="874"/>
        <v>21.61</v>
      </c>
      <c r="G2022" s="430">
        <v>21.61</v>
      </c>
      <c r="H2022" s="399">
        <f t="shared" si="875"/>
        <v>17.29</v>
      </c>
      <c r="I2022" s="576"/>
      <c r="J2022" s="549" t="s">
        <v>5804</v>
      </c>
      <c r="K2022" s="11"/>
      <c r="M2022" s="37">
        <f t="shared" si="876"/>
        <v>21.61</v>
      </c>
      <c r="N2022" s="29">
        <v>11.67</v>
      </c>
      <c r="O2022" s="149"/>
      <c r="P2022" s="144"/>
      <c r="Q2022" s="145"/>
      <c r="R2022" s="145"/>
      <c r="S2022" s="145" t="s">
        <v>1017</v>
      </c>
      <c r="T2022" t="s">
        <v>4179</v>
      </c>
      <c r="U2022" s="146"/>
      <c r="V2022" s="145"/>
      <c r="W2022" s="147"/>
      <c r="X2022" s="147"/>
      <c r="Y2022" s="145" t="s">
        <v>1017</v>
      </c>
      <c r="Z2022" s="145"/>
      <c r="AA2022" s="147"/>
      <c r="AB2022" s="145"/>
      <c r="AC2022" s="145"/>
      <c r="AD2022" s="147"/>
      <c r="AE2022" s="148"/>
      <c r="AF2022" s="147"/>
      <c r="AG2022" s="147"/>
      <c r="AH2022" s="166" t="str">
        <f t="shared" si="880"/>
        <v>2011</v>
      </c>
      <c r="AI2022" s="168" t="str">
        <f t="shared" si="869"/>
        <v/>
      </c>
      <c r="AJ2022" s="168" t="str">
        <f t="shared" si="870"/>
        <v/>
      </c>
      <c r="AK2022" s="168" t="str">
        <f t="shared" si="871"/>
        <v/>
      </c>
      <c r="AL2022" s="168" t="str">
        <f t="shared" si="872"/>
        <v/>
      </c>
      <c r="AM2022" s="168" t="str">
        <f t="shared" si="873"/>
        <v/>
      </c>
      <c r="AN2022" s="167" t="str">
        <f t="shared" si="856"/>
        <v>2011</v>
      </c>
      <c r="AO2022" s="167" t="str">
        <f t="shared" si="857"/>
        <v>2011</v>
      </c>
      <c r="AP2022" s="167" t="str">
        <f t="shared" si="858"/>
        <v>2011</v>
      </c>
      <c r="AQ2022" s="169" t="str">
        <f t="shared" si="859"/>
        <v/>
      </c>
      <c r="AR2022" s="170" t="str">
        <f t="shared" si="860"/>
        <v>BiK81GK11---08</v>
      </c>
      <c r="AS2022" s="169" t="str">
        <f t="shared" si="861"/>
        <v/>
      </c>
      <c r="AT2022">
        <f t="shared" si="862"/>
        <v>14</v>
      </c>
      <c r="AU2022" s="170" t="str">
        <f t="shared" si="863"/>
        <v>0-0,15 MW, Bonusregeln G und K erstmals 2011</v>
      </c>
      <c r="AV2022" s="169" t="str">
        <f t="shared" si="864"/>
        <v/>
      </c>
      <c r="AW2022" s="170" t="str">
        <f t="shared" si="865"/>
        <v>Anteil KWK, erstmals 2011</v>
      </c>
      <c r="AX2022" s="169" t="str">
        <f t="shared" si="866"/>
        <v/>
      </c>
      <c r="AY2022" t="str">
        <f t="shared" si="867"/>
        <v>x</v>
      </c>
      <c r="AZ2022" t="str">
        <f t="shared" si="868"/>
        <v/>
      </c>
    </row>
    <row r="2023" spans="1:52" x14ac:dyDescent="0.35">
      <c r="A2023" s="512" t="s">
        <v>1870</v>
      </c>
      <c r="B2023" s="173" t="s">
        <v>5547</v>
      </c>
      <c r="C2023" s="173" t="s">
        <v>5539</v>
      </c>
      <c r="D2023" s="173" t="s">
        <v>6810</v>
      </c>
      <c r="E2023" s="173" t="s">
        <v>1980</v>
      </c>
      <c r="F2023" s="374">
        <f t="shared" si="874"/>
        <v>21.58</v>
      </c>
      <c r="G2023" s="431">
        <v>21.58</v>
      </c>
      <c r="H2023" s="400">
        <f t="shared" si="875"/>
        <v>17.260000000000002</v>
      </c>
      <c r="I2023" s="577"/>
      <c r="J2023" s="549" t="s">
        <v>5804</v>
      </c>
      <c r="K2023" s="11"/>
      <c r="M2023" s="37">
        <f t="shared" si="876"/>
        <v>21.58</v>
      </c>
      <c r="N2023" s="29">
        <v>11.67</v>
      </c>
      <c r="O2023" s="149"/>
      <c r="P2023" s="144"/>
      <c r="Q2023" s="145"/>
      <c r="R2023" s="145"/>
      <c r="S2023" s="145" t="s">
        <v>4179</v>
      </c>
      <c r="T2023" t="s">
        <v>1017</v>
      </c>
      <c r="U2023" s="146"/>
      <c r="V2023" s="145"/>
      <c r="W2023" s="147"/>
      <c r="X2023" s="147"/>
      <c r="Y2023" s="145" t="s">
        <v>1017</v>
      </c>
      <c r="Z2023" s="145"/>
      <c r="AA2023" s="147"/>
      <c r="AB2023" s="145"/>
      <c r="AC2023" s="145"/>
      <c r="AD2023" s="147"/>
      <c r="AE2023" s="148"/>
      <c r="AF2023" s="147"/>
      <c r="AG2023" s="147"/>
      <c r="AH2023" s="171" t="s">
        <v>4178</v>
      </c>
      <c r="AI2023" s="168" t="str">
        <f t="shared" si="869"/>
        <v/>
      </c>
      <c r="AJ2023" s="168" t="str">
        <f t="shared" si="870"/>
        <v/>
      </c>
      <c r="AK2023" s="168" t="str">
        <f t="shared" si="871"/>
        <v/>
      </c>
      <c r="AL2023" s="168" t="str">
        <f t="shared" si="872"/>
        <v/>
      </c>
      <c r="AM2023" s="168" t="str">
        <f t="shared" si="873"/>
        <v/>
      </c>
      <c r="AN2023" s="167" t="str">
        <f t="shared" si="856"/>
        <v>2012</v>
      </c>
      <c r="AO2023" s="167" t="str">
        <f t="shared" si="857"/>
        <v>2012</v>
      </c>
      <c r="AP2023" s="167" t="str">
        <f t="shared" si="858"/>
        <v>2012</v>
      </c>
      <c r="AQ2023" s="169" t="str">
        <f t="shared" si="859"/>
        <v/>
      </c>
      <c r="AR2023" s="170" t="str">
        <f t="shared" si="860"/>
        <v>BiK81GK12---08</v>
      </c>
      <c r="AS2023" s="169" t="str">
        <f t="shared" si="861"/>
        <v/>
      </c>
      <c r="AT2023">
        <f t="shared" si="862"/>
        <v>14</v>
      </c>
      <c r="AU2023" s="170" t="str">
        <f t="shared" si="863"/>
        <v>0-0,15 MW, Bonusregeln G und K erstmals 2012</v>
      </c>
      <c r="AV2023" s="169" t="str">
        <f t="shared" si="864"/>
        <v/>
      </c>
      <c r="AW2023" s="170" t="str">
        <f t="shared" si="865"/>
        <v>Anteil KWK, erstmals 2012</v>
      </c>
      <c r="AX2023" s="169" t="str">
        <f t="shared" si="866"/>
        <v/>
      </c>
      <c r="AY2023" t="str">
        <f t="shared" si="867"/>
        <v/>
      </c>
      <c r="AZ2023" t="str">
        <f t="shared" si="868"/>
        <v>x</v>
      </c>
    </row>
    <row r="2024" spans="1:52" x14ac:dyDescent="0.35">
      <c r="A2024" s="499" t="s">
        <v>2666</v>
      </c>
      <c r="B2024" s="13" t="s">
        <v>5547</v>
      </c>
      <c r="C2024" s="13" t="s">
        <v>5539</v>
      </c>
      <c r="D2024" s="13" t="s">
        <v>6861</v>
      </c>
      <c r="E2024" s="13" t="s">
        <v>4809</v>
      </c>
      <c r="F2024" s="373">
        <f t="shared" si="874"/>
        <v>19.670000000000002</v>
      </c>
      <c r="G2024" s="430">
        <v>19.670000000000002</v>
      </c>
      <c r="H2024" s="399">
        <f t="shared" si="875"/>
        <v>15.74</v>
      </c>
      <c r="I2024" s="576"/>
      <c r="J2024" s="549" t="s">
        <v>5804</v>
      </c>
      <c r="K2024" s="11"/>
      <c r="M2024" s="37">
        <f t="shared" si="876"/>
        <v>19.670000000000002</v>
      </c>
      <c r="N2024" s="29">
        <v>11.67</v>
      </c>
      <c r="O2024" s="149"/>
      <c r="P2024" s="144"/>
      <c r="Q2024" s="145"/>
      <c r="R2024" s="145"/>
      <c r="S2024" s="145" t="s">
        <v>4179</v>
      </c>
      <c r="T2024" t="s">
        <v>4179</v>
      </c>
      <c r="U2024" s="146" t="s">
        <v>1017</v>
      </c>
      <c r="V2024" s="145"/>
      <c r="W2024" s="147"/>
      <c r="X2024" s="147"/>
      <c r="Y2024" s="145" t="s">
        <v>1017</v>
      </c>
      <c r="Z2024" s="145"/>
      <c r="AA2024" s="147"/>
      <c r="AB2024" s="145"/>
      <c r="AC2024" s="145"/>
      <c r="AD2024" s="147"/>
      <c r="AE2024" s="148"/>
      <c r="AF2024" s="147"/>
      <c r="AG2024" s="147"/>
      <c r="AH2024" s="166" t="str">
        <f t="shared" ref="AH2024:AH2029" si="881">IF(ISERROR(SEARCH("K erstmals 201",D2024)),"",RIGHT(D2024,4))</f>
        <v/>
      </c>
      <c r="AI2024" s="168" t="str">
        <f t="shared" si="869"/>
        <v/>
      </c>
      <c r="AJ2024" s="168" t="str">
        <f t="shared" si="870"/>
        <v/>
      </c>
      <c r="AK2024" s="168" t="str">
        <f t="shared" si="871"/>
        <v/>
      </c>
      <c r="AL2024" s="168" t="str">
        <f t="shared" si="872"/>
        <v/>
      </c>
      <c r="AM2024" s="168" t="str">
        <f t="shared" si="873"/>
        <v/>
      </c>
      <c r="AN2024" s="167" t="str">
        <f t="shared" si="856"/>
        <v/>
      </c>
      <c r="AO2024" s="167" t="str">
        <f t="shared" si="857"/>
        <v/>
      </c>
      <c r="AP2024" s="167" t="str">
        <f t="shared" si="858"/>
        <v/>
      </c>
      <c r="AQ2024" s="169" t="str">
        <f t="shared" si="859"/>
        <v/>
      </c>
      <c r="AR2024" s="170" t="str">
        <f t="shared" si="860"/>
        <v>BiK81Gy-----08</v>
      </c>
      <c r="AS2024" s="169" t="str">
        <f t="shared" si="861"/>
        <v/>
      </c>
      <c r="AT2024">
        <f t="shared" si="862"/>
        <v>14</v>
      </c>
      <c r="AU2024" s="170" t="str">
        <f t="shared" si="863"/>
        <v>0-0,15 MW, Bonusregeln G, y</v>
      </c>
      <c r="AV2024" s="169" t="str">
        <f t="shared" si="864"/>
        <v/>
      </c>
      <c r="AW2024" s="170" t="str">
        <f t="shared" si="865"/>
        <v>Anteil Nicht-KWK</v>
      </c>
      <c r="AX2024" s="169" t="str">
        <f t="shared" si="866"/>
        <v/>
      </c>
      <c r="AY2024" t="str">
        <f t="shared" si="867"/>
        <v/>
      </c>
      <c r="AZ2024" t="str">
        <f t="shared" si="868"/>
        <v/>
      </c>
    </row>
    <row r="2025" spans="1:52" x14ac:dyDescent="0.35">
      <c r="A2025" s="497" t="s">
        <v>2667</v>
      </c>
      <c r="B2025" s="13" t="s">
        <v>5547</v>
      </c>
      <c r="C2025" s="13" t="s">
        <v>5539</v>
      </c>
      <c r="D2025" s="13" t="s">
        <v>6891</v>
      </c>
      <c r="E2025" s="13" t="s">
        <v>4811</v>
      </c>
      <c r="F2025" s="373">
        <f t="shared" si="874"/>
        <v>21.67</v>
      </c>
      <c r="G2025" s="430">
        <v>21.67</v>
      </c>
      <c r="H2025" s="399">
        <f t="shared" si="875"/>
        <v>17.34</v>
      </c>
      <c r="I2025" s="576"/>
      <c r="J2025" s="549" t="s">
        <v>5804</v>
      </c>
      <c r="K2025" s="11"/>
      <c r="M2025" s="37">
        <f t="shared" si="876"/>
        <v>21.67</v>
      </c>
      <c r="N2025" s="29">
        <v>11.67</v>
      </c>
      <c r="O2025" s="149" t="s">
        <v>1017</v>
      </c>
      <c r="P2025" s="144"/>
      <c r="Q2025" s="145"/>
      <c r="R2025" s="145"/>
      <c r="S2025" s="145" t="s">
        <v>4179</v>
      </c>
      <c r="T2025" t="s">
        <v>4179</v>
      </c>
      <c r="U2025" s="146" t="s">
        <v>1017</v>
      </c>
      <c r="V2025" s="145"/>
      <c r="W2025" s="147"/>
      <c r="X2025" s="147"/>
      <c r="Y2025" s="145" t="s">
        <v>1017</v>
      </c>
      <c r="Z2025" s="145"/>
      <c r="AA2025" s="147"/>
      <c r="AB2025" s="145"/>
      <c r="AC2025" s="145"/>
      <c r="AD2025" s="147"/>
      <c r="AE2025" s="148"/>
      <c r="AF2025" s="147"/>
      <c r="AG2025" s="147"/>
      <c r="AH2025" s="166" t="str">
        <f t="shared" si="881"/>
        <v/>
      </c>
      <c r="AI2025" s="168" t="str">
        <f t="shared" si="869"/>
        <v/>
      </c>
      <c r="AJ2025" s="168" t="str">
        <f t="shared" si="870"/>
        <v/>
      </c>
      <c r="AK2025" s="168" t="str">
        <f t="shared" si="871"/>
        <v/>
      </c>
      <c r="AL2025" s="168" t="str">
        <f t="shared" si="872"/>
        <v/>
      </c>
      <c r="AM2025" s="168" t="str">
        <f t="shared" si="873"/>
        <v/>
      </c>
      <c r="AN2025" s="167" t="str">
        <f t="shared" si="856"/>
        <v/>
      </c>
      <c r="AO2025" s="167" t="str">
        <f t="shared" si="857"/>
        <v/>
      </c>
      <c r="AP2025" s="167" t="str">
        <f t="shared" si="858"/>
        <v/>
      </c>
      <c r="AQ2025" s="169" t="str">
        <f t="shared" si="859"/>
        <v/>
      </c>
      <c r="AR2025" s="170" t="str">
        <f t="shared" si="860"/>
        <v>BiK81GKWKy--08</v>
      </c>
      <c r="AS2025" s="169" t="str">
        <f t="shared" si="861"/>
        <v/>
      </c>
      <c r="AT2025">
        <f t="shared" si="862"/>
        <v>14</v>
      </c>
      <c r="AU2025" s="170" t="str">
        <f t="shared" si="863"/>
        <v>0-0,15 MW, Bonusregeln G, y und KWK</v>
      </c>
      <c r="AV2025" s="169" t="str">
        <f t="shared" si="864"/>
        <v/>
      </c>
      <c r="AW2025" s="170" t="str">
        <f t="shared" si="865"/>
        <v>Anteil KWK</v>
      </c>
      <c r="AX2025" s="169" t="str">
        <f t="shared" si="866"/>
        <v/>
      </c>
      <c r="AY2025" t="str">
        <f t="shared" si="867"/>
        <v/>
      </c>
      <c r="AZ2025" t="str">
        <f t="shared" si="868"/>
        <v/>
      </c>
    </row>
    <row r="2026" spans="1:52" x14ac:dyDescent="0.35">
      <c r="A2026" s="497" t="s">
        <v>2668</v>
      </c>
      <c r="B2026" s="13" t="s">
        <v>5547</v>
      </c>
      <c r="C2026" s="13" t="s">
        <v>5539</v>
      </c>
      <c r="D2026" s="88" t="s">
        <v>6812</v>
      </c>
      <c r="E2026" s="13" t="s">
        <v>4330</v>
      </c>
      <c r="F2026" s="373">
        <f t="shared" si="874"/>
        <v>22.67</v>
      </c>
      <c r="G2026" s="430">
        <v>22.67</v>
      </c>
      <c r="H2026" s="399">
        <f t="shared" si="875"/>
        <v>18.14</v>
      </c>
      <c r="I2026" s="576"/>
      <c r="J2026" s="549" t="s">
        <v>5804</v>
      </c>
      <c r="K2026" s="11"/>
      <c r="M2026" s="37">
        <f t="shared" si="876"/>
        <v>22.67</v>
      </c>
      <c r="N2026" s="29">
        <v>11.67</v>
      </c>
      <c r="O2026" s="149"/>
      <c r="P2026" s="145" t="s">
        <v>1017</v>
      </c>
      <c r="Q2026" s="145"/>
      <c r="R2026" s="145"/>
      <c r="S2026" s="145" t="s">
        <v>4179</v>
      </c>
      <c r="T2026" t="s">
        <v>4179</v>
      </c>
      <c r="U2026" s="146" t="s">
        <v>1017</v>
      </c>
      <c r="V2026" s="145"/>
      <c r="W2026" s="147"/>
      <c r="X2026" s="147"/>
      <c r="Y2026" s="145" t="s">
        <v>1017</v>
      </c>
      <c r="Z2026" s="145"/>
      <c r="AA2026" s="147"/>
      <c r="AB2026" s="145"/>
      <c r="AC2026" s="145"/>
      <c r="AD2026" s="147"/>
      <c r="AE2026" s="148"/>
      <c r="AF2026" s="147"/>
      <c r="AG2026" s="147"/>
      <c r="AH2026" s="166" t="str">
        <f t="shared" si="881"/>
        <v/>
      </c>
      <c r="AI2026" s="168" t="str">
        <f t="shared" si="869"/>
        <v/>
      </c>
      <c r="AJ2026" s="168" t="str">
        <f t="shared" si="870"/>
        <v/>
      </c>
      <c r="AK2026" s="168" t="str">
        <f t="shared" si="871"/>
        <v/>
      </c>
      <c r="AL2026" s="168" t="str">
        <f t="shared" si="872"/>
        <v/>
      </c>
      <c r="AM2026" s="168" t="str">
        <f t="shared" si="873"/>
        <v/>
      </c>
      <c r="AN2026" s="167" t="str">
        <f t="shared" si="856"/>
        <v/>
      </c>
      <c r="AO2026" s="167" t="str">
        <f t="shared" si="857"/>
        <v/>
      </c>
      <c r="AP2026" s="167" t="str">
        <f t="shared" si="858"/>
        <v/>
      </c>
      <c r="AQ2026" s="169" t="str">
        <f t="shared" si="859"/>
        <v/>
      </c>
      <c r="AR2026" s="170" t="str">
        <f t="shared" si="860"/>
        <v>BiK81GKA3y--08</v>
      </c>
      <c r="AS2026" s="169" t="str">
        <f t="shared" si="861"/>
        <v/>
      </c>
      <c r="AT2026">
        <f t="shared" si="862"/>
        <v>14</v>
      </c>
      <c r="AU2026" s="170" t="str">
        <f t="shared" si="863"/>
        <v>0-0,15 MW, Bonusregeln G, y und K wenn Anlage 3 erfüllt</v>
      </c>
      <c r="AV2026" s="169" t="str">
        <f t="shared" si="864"/>
        <v/>
      </c>
      <c r="AW2026" s="170" t="str">
        <f t="shared" si="865"/>
        <v>Anteil KWK gemäß Anlage 3</v>
      </c>
      <c r="AX2026" s="169" t="str">
        <f t="shared" si="866"/>
        <v/>
      </c>
      <c r="AY2026" t="str">
        <f t="shared" si="867"/>
        <v/>
      </c>
      <c r="AZ2026" t="str">
        <f t="shared" si="868"/>
        <v/>
      </c>
    </row>
    <row r="2027" spans="1:52" s="145" customFormat="1" x14ac:dyDescent="0.35">
      <c r="A2027" s="497" t="s">
        <v>2669</v>
      </c>
      <c r="B2027" s="13" t="s">
        <v>5547</v>
      </c>
      <c r="C2027" s="13" t="s">
        <v>5539</v>
      </c>
      <c r="D2027" s="13" t="s">
        <v>6813</v>
      </c>
      <c r="E2027" s="13" t="s">
        <v>674</v>
      </c>
      <c r="F2027" s="373">
        <f t="shared" si="874"/>
        <v>22.67</v>
      </c>
      <c r="G2027" s="430">
        <v>22.67</v>
      </c>
      <c r="H2027" s="399">
        <f t="shared" si="875"/>
        <v>18.14</v>
      </c>
      <c r="I2027" s="576"/>
      <c r="J2027" s="549" t="s">
        <v>5804</v>
      </c>
      <c r="K2027" s="11"/>
      <c r="L2027"/>
      <c r="M2027" s="37">
        <f t="shared" si="876"/>
        <v>22.67</v>
      </c>
      <c r="N2027" s="29">
        <v>11.67</v>
      </c>
      <c r="O2027" s="149"/>
      <c r="P2027" s="144"/>
      <c r="Q2027" s="145" t="s">
        <v>1017</v>
      </c>
      <c r="S2027" s="145" t="s">
        <v>4179</v>
      </c>
      <c r="T2027" s="145" t="s">
        <v>4179</v>
      </c>
      <c r="U2027" s="146" t="s">
        <v>1017</v>
      </c>
      <c r="W2027" s="147"/>
      <c r="X2027" s="147"/>
      <c r="Y2027" s="145" t="s">
        <v>1017</v>
      </c>
      <c r="AA2027" s="147"/>
      <c r="AD2027" s="147"/>
      <c r="AE2027" s="148"/>
      <c r="AF2027" s="147"/>
      <c r="AG2027" s="147"/>
      <c r="AH2027" s="166" t="str">
        <f t="shared" si="881"/>
        <v/>
      </c>
      <c r="AI2027" s="168" t="str">
        <f t="shared" si="869"/>
        <v/>
      </c>
      <c r="AJ2027" s="168" t="str">
        <f t="shared" si="870"/>
        <v/>
      </c>
      <c r="AK2027" s="168" t="str">
        <f t="shared" si="871"/>
        <v/>
      </c>
      <c r="AL2027" s="168" t="str">
        <f t="shared" si="872"/>
        <v/>
      </c>
      <c r="AM2027" s="168" t="str">
        <f t="shared" si="873"/>
        <v/>
      </c>
      <c r="AN2027" s="167" t="str">
        <f t="shared" si="856"/>
        <v/>
      </c>
      <c r="AO2027" s="167" t="str">
        <f t="shared" si="857"/>
        <v/>
      </c>
      <c r="AP2027" s="167" t="str">
        <f t="shared" si="858"/>
        <v/>
      </c>
      <c r="AQ2027" s="169" t="str">
        <f t="shared" si="859"/>
        <v/>
      </c>
      <c r="AR2027" s="170" t="str">
        <f t="shared" si="860"/>
        <v>BiK81GK09y--08</v>
      </c>
      <c r="AS2027" s="169" t="str">
        <f t="shared" si="861"/>
        <v/>
      </c>
      <c r="AT2027">
        <f t="shared" si="862"/>
        <v>14</v>
      </c>
      <c r="AU2027" s="170" t="str">
        <f t="shared" si="863"/>
        <v>0-0,15 MW, Bonusregeln G, y und K erstmals 2009</v>
      </c>
      <c r="AV2027" s="169" t="str">
        <f t="shared" si="864"/>
        <v/>
      </c>
      <c r="AW2027" s="170" t="str">
        <f t="shared" si="865"/>
        <v>Anteil KWK, erstmals 2009</v>
      </c>
      <c r="AX2027" s="169" t="str">
        <f t="shared" si="866"/>
        <v/>
      </c>
      <c r="AY2027" t="str">
        <f t="shared" si="867"/>
        <v/>
      </c>
      <c r="AZ2027" t="str">
        <f t="shared" si="868"/>
        <v/>
      </c>
    </row>
    <row r="2028" spans="1:52" s="145" customFormat="1" x14ac:dyDescent="0.35">
      <c r="A2028" s="497" t="s">
        <v>3162</v>
      </c>
      <c r="B2028" s="13" t="s">
        <v>5547</v>
      </c>
      <c r="C2028" s="13" t="s">
        <v>5539</v>
      </c>
      <c r="D2028" s="13" t="s">
        <v>6814</v>
      </c>
      <c r="E2028" s="13" t="s">
        <v>3566</v>
      </c>
      <c r="F2028" s="373">
        <f t="shared" si="874"/>
        <v>22.64</v>
      </c>
      <c r="G2028" s="430">
        <v>22.64</v>
      </c>
      <c r="H2028" s="399">
        <f t="shared" si="875"/>
        <v>18.11</v>
      </c>
      <c r="I2028" s="576"/>
      <c r="J2028" s="549" t="s">
        <v>5804</v>
      </c>
      <c r="K2028" s="11"/>
      <c r="L2028"/>
      <c r="M2028" s="37">
        <f t="shared" si="876"/>
        <v>22.64</v>
      </c>
      <c r="N2028" s="29">
        <v>11.67</v>
      </c>
      <c r="O2028" s="149"/>
      <c r="P2028" s="144"/>
      <c r="R2028" s="145" t="s">
        <v>1017</v>
      </c>
      <c r="S2028" s="145" t="s">
        <v>4179</v>
      </c>
      <c r="T2028" s="145" t="s">
        <v>4179</v>
      </c>
      <c r="U2028" s="146" t="s">
        <v>1017</v>
      </c>
      <c r="W2028" s="147"/>
      <c r="X2028" s="147"/>
      <c r="Y2028" s="145" t="s">
        <v>1017</v>
      </c>
      <c r="AA2028" s="147"/>
      <c r="AD2028" s="147"/>
      <c r="AE2028" s="148"/>
      <c r="AF2028" s="147"/>
      <c r="AG2028" s="147"/>
      <c r="AH2028" s="166" t="str">
        <f t="shared" si="881"/>
        <v>2010</v>
      </c>
      <c r="AI2028" s="168" t="str">
        <f t="shared" si="869"/>
        <v/>
      </c>
      <c r="AJ2028" s="168" t="str">
        <f t="shared" si="870"/>
        <v/>
      </c>
      <c r="AK2028" s="168" t="str">
        <f t="shared" si="871"/>
        <v/>
      </c>
      <c r="AL2028" s="168" t="str">
        <f t="shared" si="872"/>
        <v/>
      </c>
      <c r="AM2028" s="168" t="str">
        <f t="shared" si="873"/>
        <v/>
      </c>
      <c r="AN2028" s="167" t="str">
        <f t="shared" si="856"/>
        <v>2010</v>
      </c>
      <c r="AO2028" s="167" t="str">
        <f t="shared" si="857"/>
        <v>2010</v>
      </c>
      <c r="AP2028" s="167" t="str">
        <f t="shared" si="858"/>
        <v>2010</v>
      </c>
      <c r="AQ2028" s="169" t="str">
        <f t="shared" si="859"/>
        <v/>
      </c>
      <c r="AR2028" s="170" t="str">
        <f t="shared" si="860"/>
        <v>BiK81GK10y--08</v>
      </c>
      <c r="AS2028" s="169" t="str">
        <f t="shared" si="861"/>
        <v/>
      </c>
      <c r="AT2028">
        <f t="shared" si="862"/>
        <v>14</v>
      </c>
      <c r="AU2028" s="170" t="str">
        <f t="shared" si="863"/>
        <v>0-0,15 MW, Bonusregeln G, y und K erstmals 2010</v>
      </c>
      <c r="AV2028" s="169" t="str">
        <f t="shared" si="864"/>
        <v/>
      </c>
      <c r="AW2028" s="170" t="str">
        <f t="shared" si="865"/>
        <v>Anteil KWK, erstmals 2010</v>
      </c>
      <c r="AX2028" s="169" t="str">
        <f t="shared" si="866"/>
        <v/>
      </c>
      <c r="AY2028" t="str">
        <f t="shared" si="867"/>
        <v/>
      </c>
      <c r="AZ2028" t="str">
        <f t="shared" si="868"/>
        <v/>
      </c>
    </row>
    <row r="2029" spans="1:52" s="145" customFormat="1" x14ac:dyDescent="0.35">
      <c r="A2029" s="497" t="s">
        <v>3438</v>
      </c>
      <c r="B2029" s="13" t="s">
        <v>5547</v>
      </c>
      <c r="C2029" s="13" t="s">
        <v>5539</v>
      </c>
      <c r="D2029" s="13" t="s">
        <v>6815</v>
      </c>
      <c r="E2029" s="13" t="s">
        <v>3054</v>
      </c>
      <c r="F2029" s="373">
        <f t="shared" si="874"/>
        <v>22.61</v>
      </c>
      <c r="G2029" s="430">
        <v>22.61</v>
      </c>
      <c r="H2029" s="399">
        <f t="shared" si="875"/>
        <v>18.09</v>
      </c>
      <c r="I2029" s="576"/>
      <c r="J2029" s="549" t="s">
        <v>5804</v>
      </c>
      <c r="K2029" s="11"/>
      <c r="L2029"/>
      <c r="M2029" s="37">
        <f t="shared" si="876"/>
        <v>22.61</v>
      </c>
      <c r="N2029" s="29">
        <v>11.67</v>
      </c>
      <c r="O2029" s="149"/>
      <c r="P2029" s="144"/>
      <c r="S2029" s="145" t="s">
        <v>1017</v>
      </c>
      <c r="T2029" s="145" t="s">
        <v>4179</v>
      </c>
      <c r="U2029" s="146" t="s">
        <v>1017</v>
      </c>
      <c r="W2029" s="147"/>
      <c r="X2029" s="147"/>
      <c r="Y2029" s="145" t="s">
        <v>1017</v>
      </c>
      <c r="AA2029" s="147"/>
      <c r="AD2029" s="147"/>
      <c r="AE2029" s="148"/>
      <c r="AF2029" s="147"/>
      <c r="AG2029" s="147"/>
      <c r="AH2029" s="166" t="str">
        <f t="shared" si="881"/>
        <v>2011</v>
      </c>
      <c r="AI2029" s="168" t="str">
        <f t="shared" si="869"/>
        <v/>
      </c>
      <c r="AJ2029" s="168" t="str">
        <f t="shared" si="870"/>
        <v/>
      </c>
      <c r="AK2029" s="168" t="str">
        <f t="shared" si="871"/>
        <v/>
      </c>
      <c r="AL2029" s="168" t="str">
        <f t="shared" si="872"/>
        <v/>
      </c>
      <c r="AM2029" s="168" t="str">
        <f t="shared" si="873"/>
        <v/>
      </c>
      <c r="AN2029" s="167" t="str">
        <f t="shared" si="856"/>
        <v>2011</v>
      </c>
      <c r="AO2029" s="167" t="str">
        <f t="shared" si="857"/>
        <v>2011</v>
      </c>
      <c r="AP2029" s="167" t="str">
        <f t="shared" si="858"/>
        <v>2011</v>
      </c>
      <c r="AQ2029" s="169" t="str">
        <f t="shared" si="859"/>
        <v/>
      </c>
      <c r="AR2029" s="170" t="str">
        <f t="shared" si="860"/>
        <v>BiK81GK11y--08</v>
      </c>
      <c r="AS2029" s="169" t="str">
        <f t="shared" si="861"/>
        <v/>
      </c>
      <c r="AT2029">
        <f t="shared" si="862"/>
        <v>14</v>
      </c>
      <c r="AU2029" s="170" t="str">
        <f t="shared" si="863"/>
        <v>0-0,15 MW, Bonusregeln G, y und K erstmals 2011</v>
      </c>
      <c r="AV2029" s="169" t="str">
        <f t="shared" si="864"/>
        <v/>
      </c>
      <c r="AW2029" s="170" t="str">
        <f t="shared" si="865"/>
        <v>Anteil KWK, erstmals 2011</v>
      </c>
      <c r="AX2029" s="169" t="str">
        <f t="shared" si="866"/>
        <v/>
      </c>
      <c r="AY2029" t="str">
        <f t="shared" si="867"/>
        <v>x</v>
      </c>
      <c r="AZ2029" t="str">
        <f t="shared" si="868"/>
        <v/>
      </c>
    </row>
    <row r="2030" spans="1:52" s="145" customFormat="1" x14ac:dyDescent="0.35">
      <c r="A2030" s="511" t="s">
        <v>1871</v>
      </c>
      <c r="B2030" s="173" t="s">
        <v>5547</v>
      </c>
      <c r="C2030" s="173" t="s">
        <v>5539</v>
      </c>
      <c r="D2030" s="173" t="s">
        <v>6816</v>
      </c>
      <c r="E2030" s="173" t="s">
        <v>1980</v>
      </c>
      <c r="F2030" s="374">
        <f t="shared" si="874"/>
        <v>22.58</v>
      </c>
      <c r="G2030" s="431">
        <v>22.58</v>
      </c>
      <c r="H2030" s="400">
        <f t="shared" si="875"/>
        <v>18.059999999999999</v>
      </c>
      <c r="I2030" s="577"/>
      <c r="J2030" s="549" t="s">
        <v>5804</v>
      </c>
      <c r="K2030" s="11"/>
      <c r="L2030"/>
      <c r="M2030" s="37">
        <f t="shared" si="876"/>
        <v>22.58</v>
      </c>
      <c r="N2030" s="29">
        <v>11.67</v>
      </c>
      <c r="O2030" s="149"/>
      <c r="P2030" s="144"/>
      <c r="S2030" s="145" t="s">
        <v>4179</v>
      </c>
      <c r="T2030" s="145" t="s">
        <v>1017</v>
      </c>
      <c r="U2030" s="146" t="s">
        <v>1017</v>
      </c>
      <c r="W2030" s="147"/>
      <c r="X2030" s="147"/>
      <c r="Y2030" s="145" t="s">
        <v>1017</v>
      </c>
      <c r="AA2030" s="147"/>
      <c r="AD2030" s="147"/>
      <c r="AE2030" s="148"/>
      <c r="AF2030" s="147"/>
      <c r="AG2030" s="147"/>
      <c r="AH2030" s="171" t="s">
        <v>4178</v>
      </c>
      <c r="AI2030" s="168" t="str">
        <f t="shared" si="869"/>
        <v/>
      </c>
      <c r="AJ2030" s="168" t="str">
        <f t="shared" si="870"/>
        <v/>
      </c>
      <c r="AK2030" s="168" t="str">
        <f t="shared" si="871"/>
        <v/>
      </c>
      <c r="AL2030" s="168" t="str">
        <f t="shared" si="872"/>
        <v/>
      </c>
      <c r="AM2030" s="168" t="str">
        <f t="shared" si="873"/>
        <v/>
      </c>
      <c r="AN2030" s="167" t="str">
        <f t="shared" si="856"/>
        <v>2012</v>
      </c>
      <c r="AO2030" s="167" t="str">
        <f t="shared" si="857"/>
        <v>2012</v>
      </c>
      <c r="AP2030" s="167" t="str">
        <f t="shared" si="858"/>
        <v>2012</v>
      </c>
      <c r="AQ2030" s="169" t="str">
        <f t="shared" si="859"/>
        <v/>
      </c>
      <c r="AR2030" s="170" t="str">
        <f t="shared" si="860"/>
        <v>BiK81GK12y--08</v>
      </c>
      <c r="AS2030" s="169" t="str">
        <f t="shared" si="861"/>
        <v/>
      </c>
      <c r="AT2030">
        <f t="shared" si="862"/>
        <v>14</v>
      </c>
      <c r="AU2030" s="170" t="str">
        <f t="shared" si="863"/>
        <v>0-0,15 MW, Bonusregeln G, y und K erstmals 2012</v>
      </c>
      <c r="AV2030" s="169" t="str">
        <f t="shared" si="864"/>
        <v/>
      </c>
      <c r="AW2030" s="170" t="str">
        <f t="shared" si="865"/>
        <v>Anteil KWK, erstmals 2012</v>
      </c>
      <c r="AX2030" s="169" t="str">
        <f t="shared" si="866"/>
        <v/>
      </c>
      <c r="AY2030" t="str">
        <f t="shared" si="867"/>
        <v/>
      </c>
      <c r="AZ2030" t="str">
        <f t="shared" si="868"/>
        <v>x</v>
      </c>
    </row>
    <row r="2031" spans="1:52" s="145" customFormat="1" x14ac:dyDescent="0.35">
      <c r="A2031" s="497" t="s">
        <v>2673</v>
      </c>
      <c r="B2031" s="13" t="s">
        <v>5547</v>
      </c>
      <c r="C2031" s="13" t="s">
        <v>5539</v>
      </c>
      <c r="D2031" s="13" t="s">
        <v>6817</v>
      </c>
      <c r="E2031" s="13" t="s">
        <v>4809</v>
      </c>
      <c r="F2031" s="373">
        <f t="shared" si="874"/>
        <v>22.67</v>
      </c>
      <c r="G2031" s="430">
        <v>22.67</v>
      </c>
      <c r="H2031" s="399">
        <f t="shared" si="875"/>
        <v>18.14</v>
      </c>
      <c r="I2031" s="576"/>
      <c r="J2031" s="549" t="s">
        <v>5804</v>
      </c>
      <c r="K2031" s="11"/>
      <c r="L2031"/>
      <c r="M2031" s="37">
        <f t="shared" si="876"/>
        <v>22.67</v>
      </c>
      <c r="N2031" s="29">
        <v>11.67</v>
      </c>
      <c r="O2031" s="149"/>
      <c r="P2031" s="144"/>
      <c r="S2031" s="145" t="s">
        <v>4179</v>
      </c>
      <c r="T2031" s="145" t="s">
        <v>4179</v>
      </c>
      <c r="U2031" s="146"/>
      <c r="W2031" s="147"/>
      <c r="X2031" s="147"/>
      <c r="Z2031" s="145" t="s">
        <v>1017</v>
      </c>
      <c r="AA2031" s="147"/>
      <c r="AD2031" s="147"/>
      <c r="AE2031" s="148"/>
      <c r="AF2031" s="147"/>
      <c r="AG2031" s="147"/>
      <c r="AH2031" s="166" t="str">
        <f t="shared" ref="AH2031:AH2036" si="882">IF(ISERROR(SEARCH("K erstmals 201",D2031)),"",RIGHT(D2031,4))</f>
        <v/>
      </c>
      <c r="AI2031" s="168" t="str">
        <f t="shared" si="869"/>
        <v/>
      </c>
      <c r="AJ2031" s="168" t="str">
        <f t="shared" si="870"/>
        <v/>
      </c>
      <c r="AK2031" s="168" t="str">
        <f t="shared" si="871"/>
        <v/>
      </c>
      <c r="AL2031" s="168" t="str">
        <f t="shared" si="872"/>
        <v/>
      </c>
      <c r="AM2031" s="168" t="str">
        <f t="shared" si="873"/>
        <v/>
      </c>
      <c r="AN2031" s="167" t="str">
        <f t="shared" si="856"/>
        <v/>
      </c>
      <c r="AO2031" s="167" t="str">
        <f t="shared" si="857"/>
        <v/>
      </c>
      <c r="AP2031" s="167" t="str">
        <f t="shared" si="858"/>
        <v/>
      </c>
      <c r="AQ2031" s="169" t="str">
        <f t="shared" si="859"/>
        <v/>
      </c>
      <c r="AR2031" s="170" t="str">
        <f t="shared" si="860"/>
        <v>BiK81M1-----08</v>
      </c>
      <c r="AS2031" s="169" t="str">
        <f t="shared" si="861"/>
        <v/>
      </c>
      <c r="AT2031">
        <f t="shared" si="862"/>
        <v>14</v>
      </c>
      <c r="AU2031" s="170" t="str">
        <f t="shared" si="863"/>
        <v>0-0,15 MW, Bonusregel M1</v>
      </c>
      <c r="AV2031" s="169" t="str">
        <f t="shared" si="864"/>
        <v/>
      </c>
      <c r="AW2031" s="170" t="str">
        <f t="shared" si="865"/>
        <v>Anteil Nicht-KWK</v>
      </c>
      <c r="AX2031" s="169" t="str">
        <f t="shared" si="866"/>
        <v/>
      </c>
      <c r="AY2031" t="str">
        <f t="shared" si="867"/>
        <v/>
      </c>
      <c r="AZ2031" t="str">
        <f t="shared" si="868"/>
        <v/>
      </c>
    </row>
    <row r="2032" spans="1:52" s="145" customFormat="1" x14ac:dyDescent="0.35">
      <c r="A2032" s="497" t="s">
        <v>2672</v>
      </c>
      <c r="B2032" s="13" t="s">
        <v>5547</v>
      </c>
      <c r="C2032" s="13" t="s">
        <v>5539</v>
      </c>
      <c r="D2032" s="13" t="s">
        <v>6892</v>
      </c>
      <c r="E2032" s="13" t="s">
        <v>4811</v>
      </c>
      <c r="F2032" s="373">
        <f t="shared" si="874"/>
        <v>24.67</v>
      </c>
      <c r="G2032" s="430">
        <v>24.67</v>
      </c>
      <c r="H2032" s="399">
        <f t="shared" si="875"/>
        <v>19.739999999999998</v>
      </c>
      <c r="I2032" s="576"/>
      <c r="J2032" s="549" t="s">
        <v>5804</v>
      </c>
      <c r="K2032" s="11"/>
      <c r="L2032"/>
      <c r="M2032" s="37">
        <f t="shared" si="876"/>
        <v>24.67</v>
      </c>
      <c r="N2032" s="29">
        <v>11.67</v>
      </c>
      <c r="O2032" s="149" t="s">
        <v>1017</v>
      </c>
      <c r="P2032" s="144"/>
      <c r="S2032" s="145" t="s">
        <v>4179</v>
      </c>
      <c r="T2032" s="145" t="s">
        <v>4179</v>
      </c>
      <c r="U2032" s="146"/>
      <c r="W2032" s="147"/>
      <c r="X2032" s="147"/>
      <c r="Z2032" s="145" t="s">
        <v>1017</v>
      </c>
      <c r="AA2032" s="147"/>
      <c r="AD2032" s="147"/>
      <c r="AE2032" s="148"/>
      <c r="AF2032" s="147"/>
      <c r="AG2032" s="147"/>
      <c r="AH2032" s="166" t="str">
        <f t="shared" si="882"/>
        <v/>
      </c>
      <c r="AI2032" s="168" t="str">
        <f t="shared" si="869"/>
        <v/>
      </c>
      <c r="AJ2032" s="168" t="str">
        <f t="shared" si="870"/>
        <v/>
      </c>
      <c r="AK2032" s="168" t="str">
        <f t="shared" si="871"/>
        <v/>
      </c>
      <c r="AL2032" s="168" t="str">
        <f t="shared" si="872"/>
        <v/>
      </c>
      <c r="AM2032" s="168" t="str">
        <f t="shared" si="873"/>
        <v/>
      </c>
      <c r="AN2032" s="167" t="str">
        <f t="shared" si="856"/>
        <v/>
      </c>
      <c r="AO2032" s="167" t="str">
        <f t="shared" si="857"/>
        <v/>
      </c>
      <c r="AP2032" s="167" t="str">
        <f t="shared" si="858"/>
        <v/>
      </c>
      <c r="AQ2032" s="169" t="str">
        <f t="shared" si="859"/>
        <v/>
      </c>
      <c r="AR2032" s="170" t="str">
        <f t="shared" si="860"/>
        <v>BiK81M1KWK--08</v>
      </c>
      <c r="AS2032" s="169" t="str">
        <f t="shared" si="861"/>
        <v/>
      </c>
      <c r="AT2032">
        <f t="shared" si="862"/>
        <v>14</v>
      </c>
      <c r="AU2032" s="170" t="str">
        <f t="shared" si="863"/>
        <v>0-0,15 MW, Bonusregeln M1 und KWK</v>
      </c>
      <c r="AV2032" s="169" t="str">
        <f t="shared" si="864"/>
        <v/>
      </c>
      <c r="AW2032" s="170" t="str">
        <f t="shared" si="865"/>
        <v>Anteil KWK</v>
      </c>
      <c r="AX2032" s="169" t="str">
        <f t="shared" si="866"/>
        <v/>
      </c>
      <c r="AY2032" t="str">
        <f t="shared" si="867"/>
        <v/>
      </c>
      <c r="AZ2032" t="str">
        <f t="shared" si="868"/>
        <v/>
      </c>
    </row>
    <row r="2033" spans="1:52" s="145" customFormat="1" x14ac:dyDescent="0.35">
      <c r="A2033" s="497" t="s">
        <v>2671</v>
      </c>
      <c r="B2033" s="13" t="s">
        <v>5547</v>
      </c>
      <c r="C2033" s="13" t="s">
        <v>5539</v>
      </c>
      <c r="D2033" s="13" t="s">
        <v>6818</v>
      </c>
      <c r="E2033" s="13" t="s">
        <v>4330</v>
      </c>
      <c r="F2033" s="373">
        <f t="shared" si="874"/>
        <v>25.67</v>
      </c>
      <c r="G2033" s="430">
        <v>25.67</v>
      </c>
      <c r="H2033" s="399">
        <f t="shared" si="875"/>
        <v>20.54</v>
      </c>
      <c r="I2033" s="576"/>
      <c r="J2033" s="549" t="s">
        <v>5804</v>
      </c>
      <c r="K2033" s="11"/>
      <c r="L2033"/>
      <c r="M2033" s="37">
        <f t="shared" si="876"/>
        <v>25.67</v>
      </c>
      <c r="N2033" s="29">
        <v>11.67</v>
      </c>
      <c r="O2033" s="149"/>
      <c r="P2033" s="145" t="s">
        <v>1017</v>
      </c>
      <c r="S2033" s="145" t="s">
        <v>4179</v>
      </c>
      <c r="T2033" s="145" t="s">
        <v>4179</v>
      </c>
      <c r="U2033" s="146"/>
      <c r="W2033" s="147"/>
      <c r="X2033" s="147"/>
      <c r="Z2033" s="145" t="s">
        <v>1017</v>
      </c>
      <c r="AA2033" s="147"/>
      <c r="AD2033" s="147"/>
      <c r="AE2033" s="148"/>
      <c r="AF2033" s="147"/>
      <c r="AG2033" s="147"/>
      <c r="AH2033" s="166" t="str">
        <f t="shared" si="882"/>
        <v/>
      </c>
      <c r="AI2033" s="168" t="str">
        <f t="shared" si="869"/>
        <v/>
      </c>
      <c r="AJ2033" s="168" t="str">
        <f t="shared" si="870"/>
        <v/>
      </c>
      <c r="AK2033" s="168" t="str">
        <f t="shared" si="871"/>
        <v/>
      </c>
      <c r="AL2033" s="168" t="str">
        <f t="shared" si="872"/>
        <v/>
      </c>
      <c r="AM2033" s="168" t="str">
        <f t="shared" si="873"/>
        <v/>
      </c>
      <c r="AN2033" s="167" t="str">
        <f t="shared" si="856"/>
        <v/>
      </c>
      <c r="AO2033" s="167" t="str">
        <f t="shared" si="857"/>
        <v/>
      </c>
      <c r="AP2033" s="167" t="str">
        <f t="shared" si="858"/>
        <v/>
      </c>
      <c r="AQ2033" s="169" t="str">
        <f t="shared" si="859"/>
        <v/>
      </c>
      <c r="AR2033" s="170" t="str">
        <f t="shared" si="860"/>
        <v>BiK81M1KA3--08</v>
      </c>
      <c r="AS2033" s="169" t="str">
        <f t="shared" si="861"/>
        <v/>
      </c>
      <c r="AT2033">
        <f t="shared" si="862"/>
        <v>14</v>
      </c>
      <c r="AU2033" s="170" t="str">
        <f t="shared" si="863"/>
        <v>0-0,15 MW, Bonusregeln M1 und K wenn Anlage 3 erfüllt</v>
      </c>
      <c r="AV2033" s="169" t="str">
        <f t="shared" si="864"/>
        <v/>
      </c>
      <c r="AW2033" s="170" t="str">
        <f t="shared" si="865"/>
        <v>Anteil KWK gemäß Anlage 3</v>
      </c>
      <c r="AX2033" s="169" t="str">
        <f t="shared" si="866"/>
        <v/>
      </c>
      <c r="AY2033" t="str">
        <f t="shared" si="867"/>
        <v/>
      </c>
      <c r="AZ2033" t="str">
        <f t="shared" si="868"/>
        <v/>
      </c>
    </row>
    <row r="2034" spans="1:52" s="145" customFormat="1" x14ac:dyDescent="0.35">
      <c r="A2034" s="497" t="s">
        <v>2670</v>
      </c>
      <c r="B2034" s="13" t="s">
        <v>5547</v>
      </c>
      <c r="C2034" s="13" t="s">
        <v>5539</v>
      </c>
      <c r="D2034" s="13" t="s">
        <v>6893</v>
      </c>
      <c r="E2034" s="13" t="s">
        <v>674</v>
      </c>
      <c r="F2034" s="373">
        <f t="shared" si="874"/>
        <v>25.67</v>
      </c>
      <c r="G2034" s="430">
        <v>25.67</v>
      </c>
      <c r="H2034" s="399">
        <f t="shared" si="875"/>
        <v>20.54</v>
      </c>
      <c r="I2034" s="576"/>
      <c r="J2034" s="549" t="s">
        <v>5804</v>
      </c>
      <c r="K2034" s="11"/>
      <c r="L2034"/>
      <c r="M2034" s="37">
        <f t="shared" si="876"/>
        <v>25.67</v>
      </c>
      <c r="N2034" s="29">
        <v>11.67</v>
      </c>
      <c r="O2034" s="149"/>
      <c r="P2034" s="144"/>
      <c r="Q2034" s="145" t="s">
        <v>1017</v>
      </c>
      <c r="S2034" s="145" t="s">
        <v>4179</v>
      </c>
      <c r="T2034" s="145" t="s">
        <v>4179</v>
      </c>
      <c r="U2034" s="146"/>
      <c r="W2034" s="147"/>
      <c r="X2034" s="147"/>
      <c r="Z2034" s="145" t="s">
        <v>1017</v>
      </c>
      <c r="AA2034" s="147"/>
      <c r="AD2034" s="147"/>
      <c r="AE2034" s="148"/>
      <c r="AF2034" s="147"/>
      <c r="AG2034" s="147"/>
      <c r="AH2034" s="166" t="str">
        <f t="shared" si="882"/>
        <v/>
      </c>
      <c r="AI2034" s="168" t="str">
        <f t="shared" si="869"/>
        <v/>
      </c>
      <c r="AJ2034" s="168" t="str">
        <f t="shared" si="870"/>
        <v/>
      </c>
      <c r="AK2034" s="168" t="str">
        <f t="shared" si="871"/>
        <v/>
      </c>
      <c r="AL2034" s="168" t="str">
        <f t="shared" si="872"/>
        <v/>
      </c>
      <c r="AM2034" s="168" t="str">
        <f t="shared" si="873"/>
        <v/>
      </c>
      <c r="AN2034" s="167" t="str">
        <f t="shared" si="856"/>
        <v/>
      </c>
      <c r="AO2034" s="167" t="str">
        <f t="shared" si="857"/>
        <v/>
      </c>
      <c r="AP2034" s="167" t="str">
        <f t="shared" si="858"/>
        <v/>
      </c>
      <c r="AQ2034" s="169" t="str">
        <f t="shared" si="859"/>
        <v/>
      </c>
      <c r="AR2034" s="170" t="str">
        <f t="shared" si="860"/>
        <v>BiK81M1K09--08</v>
      </c>
      <c r="AS2034" s="169" t="str">
        <f t="shared" si="861"/>
        <v/>
      </c>
      <c r="AT2034">
        <f t="shared" si="862"/>
        <v>14</v>
      </c>
      <c r="AU2034" s="170" t="str">
        <f t="shared" si="863"/>
        <v>0-0,15 MW, Bonusregeln M1, K erstmals 2009</v>
      </c>
      <c r="AV2034" s="169" t="str">
        <f t="shared" si="864"/>
        <v/>
      </c>
      <c r="AW2034" s="170" t="str">
        <f t="shared" si="865"/>
        <v>Anteil KWK, erstmals 2009</v>
      </c>
      <c r="AX2034" s="169" t="str">
        <f t="shared" si="866"/>
        <v/>
      </c>
      <c r="AY2034" t="str">
        <f t="shared" si="867"/>
        <v/>
      </c>
      <c r="AZ2034" t="str">
        <f t="shared" si="868"/>
        <v/>
      </c>
    </row>
    <row r="2035" spans="1:52" s="145" customFormat="1" x14ac:dyDescent="0.35">
      <c r="A2035" s="497" t="s">
        <v>3163</v>
      </c>
      <c r="B2035" s="13" t="s">
        <v>5547</v>
      </c>
      <c r="C2035" s="13" t="s">
        <v>5539</v>
      </c>
      <c r="D2035" s="13" t="s">
        <v>6894</v>
      </c>
      <c r="E2035" s="13" t="s">
        <v>3566</v>
      </c>
      <c r="F2035" s="373">
        <f t="shared" si="874"/>
        <v>25.64</v>
      </c>
      <c r="G2035" s="430">
        <v>25.64</v>
      </c>
      <c r="H2035" s="399">
        <f t="shared" si="875"/>
        <v>20.51</v>
      </c>
      <c r="I2035" s="576"/>
      <c r="J2035" s="549" t="s">
        <v>5804</v>
      </c>
      <c r="K2035" s="11"/>
      <c r="L2035"/>
      <c r="M2035" s="37">
        <f t="shared" si="876"/>
        <v>25.64</v>
      </c>
      <c r="N2035" s="29">
        <v>11.67</v>
      </c>
      <c r="O2035" s="149"/>
      <c r="P2035" s="144"/>
      <c r="R2035" s="145" t="s">
        <v>1017</v>
      </c>
      <c r="S2035" s="145" t="s">
        <v>4179</v>
      </c>
      <c r="T2035" s="145" t="s">
        <v>4179</v>
      </c>
      <c r="U2035" s="146"/>
      <c r="W2035" s="147"/>
      <c r="X2035" s="147"/>
      <c r="Z2035" s="145" t="s">
        <v>1017</v>
      </c>
      <c r="AA2035" s="147"/>
      <c r="AD2035" s="147"/>
      <c r="AE2035" s="148"/>
      <c r="AF2035" s="147"/>
      <c r="AG2035" s="147"/>
      <c r="AH2035" s="166" t="str">
        <f t="shared" si="882"/>
        <v>2010</v>
      </c>
      <c r="AI2035" s="168" t="str">
        <f t="shared" si="869"/>
        <v/>
      </c>
      <c r="AJ2035" s="168" t="str">
        <f t="shared" si="870"/>
        <v/>
      </c>
      <c r="AK2035" s="168" t="str">
        <f t="shared" si="871"/>
        <v/>
      </c>
      <c r="AL2035" s="168" t="str">
        <f t="shared" si="872"/>
        <v/>
      </c>
      <c r="AM2035" s="168" t="str">
        <f t="shared" si="873"/>
        <v/>
      </c>
      <c r="AN2035" s="167" t="str">
        <f t="shared" si="856"/>
        <v>2010</v>
      </c>
      <c r="AO2035" s="167" t="str">
        <f t="shared" si="857"/>
        <v>2010</v>
      </c>
      <c r="AP2035" s="167" t="str">
        <f t="shared" si="858"/>
        <v>2010</v>
      </c>
      <c r="AQ2035" s="169" t="str">
        <f t="shared" si="859"/>
        <v/>
      </c>
      <c r="AR2035" s="170" t="str">
        <f t="shared" si="860"/>
        <v>BiK81M1K10--08</v>
      </c>
      <c r="AS2035" s="169" t="str">
        <f t="shared" si="861"/>
        <v/>
      </c>
      <c r="AT2035">
        <f t="shared" si="862"/>
        <v>14</v>
      </c>
      <c r="AU2035" s="170" t="str">
        <f t="shared" si="863"/>
        <v>0-0,15 MW, Bonusregeln M1, K erstmals 2010</v>
      </c>
      <c r="AV2035" s="169" t="str">
        <f t="shared" si="864"/>
        <v/>
      </c>
      <c r="AW2035" s="170" t="str">
        <f t="shared" si="865"/>
        <v>Anteil KWK, erstmals 2010</v>
      </c>
      <c r="AX2035" s="169" t="str">
        <f t="shared" si="866"/>
        <v/>
      </c>
      <c r="AY2035" t="str">
        <f t="shared" si="867"/>
        <v/>
      </c>
      <c r="AZ2035" t="str">
        <f t="shared" si="868"/>
        <v/>
      </c>
    </row>
    <row r="2036" spans="1:52" x14ac:dyDescent="0.35">
      <c r="A2036" s="497" t="s">
        <v>3439</v>
      </c>
      <c r="B2036" s="13" t="s">
        <v>5547</v>
      </c>
      <c r="C2036" s="13" t="s">
        <v>5539</v>
      </c>
      <c r="D2036" s="13" t="s">
        <v>6895</v>
      </c>
      <c r="E2036" s="13" t="s">
        <v>3054</v>
      </c>
      <c r="F2036" s="373">
        <f t="shared" si="874"/>
        <v>25.61</v>
      </c>
      <c r="G2036" s="430">
        <v>25.61</v>
      </c>
      <c r="H2036" s="399">
        <f t="shared" si="875"/>
        <v>20.49</v>
      </c>
      <c r="I2036" s="576"/>
      <c r="J2036" s="549" t="s">
        <v>5804</v>
      </c>
      <c r="K2036" s="11"/>
      <c r="M2036" s="37">
        <f t="shared" si="876"/>
        <v>25.61</v>
      </c>
      <c r="N2036" s="29">
        <v>11.67</v>
      </c>
      <c r="O2036" s="149"/>
      <c r="P2036" s="144"/>
      <c r="Q2036" s="145"/>
      <c r="R2036" s="145"/>
      <c r="S2036" s="145" t="s">
        <v>1017</v>
      </c>
      <c r="T2036" t="s">
        <v>4179</v>
      </c>
      <c r="U2036" s="146"/>
      <c r="V2036" s="145"/>
      <c r="W2036" s="147"/>
      <c r="X2036" s="147"/>
      <c r="Y2036" s="145"/>
      <c r="Z2036" s="145" t="s">
        <v>1017</v>
      </c>
      <c r="AA2036" s="147"/>
      <c r="AB2036" s="145"/>
      <c r="AC2036" s="145"/>
      <c r="AD2036" s="147"/>
      <c r="AE2036" s="148"/>
      <c r="AF2036" s="147"/>
      <c r="AG2036" s="147"/>
      <c r="AH2036" s="166" t="str">
        <f t="shared" si="882"/>
        <v>2011</v>
      </c>
      <c r="AI2036" s="168" t="str">
        <f t="shared" si="869"/>
        <v/>
      </c>
      <c r="AJ2036" s="168" t="str">
        <f t="shared" si="870"/>
        <v/>
      </c>
      <c r="AK2036" s="168" t="str">
        <f t="shared" si="871"/>
        <v/>
      </c>
      <c r="AL2036" s="168" t="str">
        <f t="shared" si="872"/>
        <v/>
      </c>
      <c r="AM2036" s="168" t="str">
        <f t="shared" si="873"/>
        <v/>
      </c>
      <c r="AN2036" s="167" t="str">
        <f t="shared" si="856"/>
        <v>2011</v>
      </c>
      <c r="AO2036" s="167" t="str">
        <f t="shared" si="857"/>
        <v>2011</v>
      </c>
      <c r="AP2036" s="167" t="str">
        <f t="shared" si="858"/>
        <v>2011</v>
      </c>
      <c r="AQ2036" s="169" t="str">
        <f t="shared" si="859"/>
        <v/>
      </c>
      <c r="AR2036" s="170" t="str">
        <f t="shared" si="860"/>
        <v>BiK81M1K11--08</v>
      </c>
      <c r="AS2036" s="169" t="str">
        <f t="shared" si="861"/>
        <v/>
      </c>
      <c r="AT2036">
        <f t="shared" si="862"/>
        <v>14</v>
      </c>
      <c r="AU2036" s="170" t="str">
        <f t="shared" si="863"/>
        <v>0-0,15 MW, Bonusregeln M1, K erstmals 2011</v>
      </c>
      <c r="AV2036" s="169" t="str">
        <f t="shared" si="864"/>
        <v/>
      </c>
      <c r="AW2036" s="170" t="str">
        <f t="shared" si="865"/>
        <v>Anteil KWK, erstmals 2011</v>
      </c>
      <c r="AX2036" s="169" t="str">
        <f t="shared" si="866"/>
        <v/>
      </c>
      <c r="AY2036" t="str">
        <f t="shared" si="867"/>
        <v>x</v>
      </c>
      <c r="AZ2036" t="str">
        <f t="shared" si="868"/>
        <v/>
      </c>
    </row>
    <row r="2037" spans="1:52" x14ac:dyDescent="0.35">
      <c r="A2037" s="511" t="s">
        <v>1872</v>
      </c>
      <c r="B2037" s="173" t="s">
        <v>5547</v>
      </c>
      <c r="C2037" s="173" t="s">
        <v>5539</v>
      </c>
      <c r="D2037" s="173" t="s">
        <v>6896</v>
      </c>
      <c r="E2037" s="173" t="s">
        <v>1980</v>
      </c>
      <c r="F2037" s="374">
        <f t="shared" si="874"/>
        <v>25.58</v>
      </c>
      <c r="G2037" s="431">
        <v>25.58</v>
      </c>
      <c r="H2037" s="400">
        <f t="shared" si="875"/>
        <v>20.46</v>
      </c>
      <c r="I2037" s="577"/>
      <c r="J2037" s="549" t="s">
        <v>5804</v>
      </c>
      <c r="K2037" s="11"/>
      <c r="M2037" s="37">
        <f t="shared" si="876"/>
        <v>25.58</v>
      </c>
      <c r="N2037" s="29">
        <v>11.67</v>
      </c>
      <c r="O2037" s="149"/>
      <c r="P2037" s="144"/>
      <c r="Q2037" s="145"/>
      <c r="R2037" s="145"/>
      <c r="S2037" s="145" t="s">
        <v>4179</v>
      </c>
      <c r="T2037" t="s">
        <v>1017</v>
      </c>
      <c r="U2037" s="146"/>
      <c r="V2037" s="145"/>
      <c r="W2037" s="147"/>
      <c r="X2037" s="147"/>
      <c r="Y2037" s="145"/>
      <c r="Z2037" s="145" t="s">
        <v>1017</v>
      </c>
      <c r="AA2037" s="147"/>
      <c r="AB2037" s="145"/>
      <c r="AC2037" s="145"/>
      <c r="AD2037" s="147"/>
      <c r="AE2037" s="148"/>
      <c r="AF2037" s="147"/>
      <c r="AG2037" s="147"/>
      <c r="AH2037" s="171" t="s">
        <v>4178</v>
      </c>
      <c r="AI2037" s="168" t="str">
        <f t="shared" si="869"/>
        <v/>
      </c>
      <c r="AJ2037" s="168" t="str">
        <f t="shared" si="870"/>
        <v/>
      </c>
      <c r="AK2037" s="168" t="str">
        <f t="shared" si="871"/>
        <v/>
      </c>
      <c r="AL2037" s="168" t="str">
        <f t="shared" si="872"/>
        <v/>
      </c>
      <c r="AM2037" s="168" t="str">
        <f t="shared" si="873"/>
        <v/>
      </c>
      <c r="AN2037" s="167" t="str">
        <f t="shared" si="856"/>
        <v>2012</v>
      </c>
      <c r="AO2037" s="167" t="str">
        <f t="shared" si="857"/>
        <v>2012</v>
      </c>
      <c r="AP2037" s="167" t="str">
        <f t="shared" si="858"/>
        <v>2012</v>
      </c>
      <c r="AQ2037" s="169" t="str">
        <f t="shared" si="859"/>
        <v/>
      </c>
      <c r="AR2037" s="170" t="str">
        <f t="shared" si="860"/>
        <v>BiK81M1K12--08</v>
      </c>
      <c r="AS2037" s="169" t="str">
        <f t="shared" si="861"/>
        <v/>
      </c>
      <c r="AT2037">
        <f t="shared" si="862"/>
        <v>14</v>
      </c>
      <c r="AU2037" s="170" t="str">
        <f t="shared" si="863"/>
        <v>0-0,15 MW, Bonusregeln M1, K erstmals 2012</v>
      </c>
      <c r="AV2037" s="169" t="str">
        <f t="shared" si="864"/>
        <v/>
      </c>
      <c r="AW2037" s="170" t="str">
        <f t="shared" si="865"/>
        <v>Anteil KWK, erstmals 2012</v>
      </c>
      <c r="AX2037" s="169" t="str">
        <f t="shared" si="866"/>
        <v/>
      </c>
      <c r="AY2037" t="str">
        <f t="shared" si="867"/>
        <v/>
      </c>
      <c r="AZ2037" t="str">
        <f t="shared" si="868"/>
        <v>x</v>
      </c>
    </row>
    <row r="2038" spans="1:52" x14ac:dyDescent="0.35">
      <c r="A2038" s="497" t="s">
        <v>931</v>
      </c>
      <c r="B2038" s="13" t="s">
        <v>5547</v>
      </c>
      <c r="C2038" s="13" t="s">
        <v>5539</v>
      </c>
      <c r="D2038" s="13" t="s">
        <v>6823</v>
      </c>
      <c r="E2038" s="13" t="s">
        <v>4809</v>
      </c>
      <c r="F2038" s="373">
        <f t="shared" si="874"/>
        <v>23.67</v>
      </c>
      <c r="G2038" s="430">
        <v>23.67</v>
      </c>
      <c r="H2038" s="399">
        <f t="shared" si="875"/>
        <v>18.940000000000001</v>
      </c>
      <c r="I2038" s="576"/>
      <c r="J2038" s="549" t="s">
        <v>5804</v>
      </c>
      <c r="K2038" s="11"/>
      <c r="M2038" s="37">
        <f t="shared" si="876"/>
        <v>23.67</v>
      </c>
      <c r="N2038" s="29">
        <v>11.67</v>
      </c>
      <c r="O2038" s="149"/>
      <c r="P2038" s="144"/>
      <c r="Q2038" s="145"/>
      <c r="R2038" s="145"/>
      <c r="S2038" s="145" t="s">
        <v>4179</v>
      </c>
      <c r="T2038" t="s">
        <v>4179</v>
      </c>
      <c r="U2038" s="146" t="s">
        <v>1017</v>
      </c>
      <c r="V2038" s="145"/>
      <c r="W2038" s="147"/>
      <c r="X2038" s="147"/>
      <c r="Y2038" s="145"/>
      <c r="Z2038" s="145" t="s">
        <v>1017</v>
      </c>
      <c r="AA2038" s="147"/>
      <c r="AB2038" s="145"/>
      <c r="AC2038" s="145"/>
      <c r="AD2038" s="147"/>
      <c r="AE2038" s="148"/>
      <c r="AF2038" s="147"/>
      <c r="AG2038" s="147"/>
      <c r="AH2038" s="166" t="str">
        <f t="shared" ref="AH2038:AH2043" si="883">IF(ISERROR(SEARCH("K erstmals 201",D2038)),"",RIGHT(D2038,4))</f>
        <v/>
      </c>
      <c r="AI2038" s="168" t="str">
        <f t="shared" si="869"/>
        <v/>
      </c>
      <c r="AJ2038" s="168" t="str">
        <f t="shared" si="870"/>
        <v/>
      </c>
      <c r="AK2038" s="168" t="str">
        <f t="shared" si="871"/>
        <v/>
      </c>
      <c r="AL2038" s="168" t="str">
        <f t="shared" si="872"/>
        <v/>
      </c>
      <c r="AM2038" s="168" t="str">
        <f t="shared" si="873"/>
        <v/>
      </c>
      <c r="AN2038" s="167" t="str">
        <f t="shared" si="856"/>
        <v/>
      </c>
      <c r="AO2038" s="167" t="str">
        <f t="shared" si="857"/>
        <v/>
      </c>
      <c r="AP2038" s="167" t="str">
        <f t="shared" si="858"/>
        <v/>
      </c>
      <c r="AQ2038" s="169" t="str">
        <f t="shared" si="859"/>
        <v/>
      </c>
      <c r="AR2038" s="170" t="str">
        <f t="shared" si="860"/>
        <v>BiK81M1y----08</v>
      </c>
      <c r="AS2038" s="169" t="str">
        <f t="shared" si="861"/>
        <v/>
      </c>
      <c r="AT2038">
        <f t="shared" si="862"/>
        <v>14</v>
      </c>
      <c r="AU2038" s="170" t="str">
        <f t="shared" si="863"/>
        <v>0-0,15 MW, Bonusregeln M1, y</v>
      </c>
      <c r="AV2038" s="169" t="str">
        <f t="shared" si="864"/>
        <v/>
      </c>
      <c r="AW2038" s="170" t="str">
        <f t="shared" si="865"/>
        <v>Anteil Nicht-KWK</v>
      </c>
      <c r="AX2038" s="169" t="str">
        <f t="shared" si="866"/>
        <v/>
      </c>
      <c r="AY2038" t="str">
        <f t="shared" si="867"/>
        <v/>
      </c>
      <c r="AZ2038" t="str">
        <f t="shared" si="868"/>
        <v/>
      </c>
    </row>
    <row r="2039" spans="1:52" x14ac:dyDescent="0.35">
      <c r="A2039" s="497" t="s">
        <v>930</v>
      </c>
      <c r="B2039" s="13" t="s">
        <v>5547</v>
      </c>
      <c r="C2039" s="13" t="s">
        <v>5539</v>
      </c>
      <c r="D2039" s="13" t="s">
        <v>6897</v>
      </c>
      <c r="E2039" s="13" t="s">
        <v>4811</v>
      </c>
      <c r="F2039" s="373">
        <f t="shared" si="874"/>
        <v>25.67</v>
      </c>
      <c r="G2039" s="430">
        <v>25.67</v>
      </c>
      <c r="H2039" s="399">
        <f t="shared" si="875"/>
        <v>20.54</v>
      </c>
      <c r="I2039" s="576"/>
      <c r="J2039" s="549" t="s">
        <v>5804</v>
      </c>
      <c r="K2039" s="11"/>
      <c r="M2039" s="37">
        <f t="shared" si="876"/>
        <v>25.67</v>
      </c>
      <c r="N2039" s="29">
        <v>11.67</v>
      </c>
      <c r="O2039" s="149" t="s">
        <v>1017</v>
      </c>
      <c r="P2039" s="144"/>
      <c r="Q2039" s="145"/>
      <c r="R2039" s="145"/>
      <c r="S2039" s="145" t="s">
        <v>4179</v>
      </c>
      <c r="T2039" t="s">
        <v>4179</v>
      </c>
      <c r="U2039" s="146" t="s">
        <v>1017</v>
      </c>
      <c r="V2039" s="145"/>
      <c r="W2039" s="147"/>
      <c r="X2039" s="147"/>
      <c r="Y2039" s="145"/>
      <c r="Z2039" s="145" t="s">
        <v>1017</v>
      </c>
      <c r="AA2039" s="147"/>
      <c r="AB2039" s="145"/>
      <c r="AC2039" s="145"/>
      <c r="AD2039" s="147"/>
      <c r="AE2039" s="148"/>
      <c r="AF2039" s="147"/>
      <c r="AG2039" s="147"/>
      <c r="AH2039" s="166" t="str">
        <f t="shared" si="883"/>
        <v/>
      </c>
      <c r="AI2039" s="168" t="str">
        <f t="shared" si="869"/>
        <v/>
      </c>
      <c r="AJ2039" s="168" t="str">
        <f t="shared" si="870"/>
        <v/>
      </c>
      <c r="AK2039" s="168" t="str">
        <f t="shared" si="871"/>
        <v/>
      </c>
      <c r="AL2039" s="168" t="str">
        <f t="shared" si="872"/>
        <v/>
      </c>
      <c r="AM2039" s="168" t="str">
        <f t="shared" si="873"/>
        <v/>
      </c>
      <c r="AN2039" s="167" t="str">
        <f t="shared" si="856"/>
        <v/>
      </c>
      <c r="AO2039" s="167" t="str">
        <f t="shared" si="857"/>
        <v/>
      </c>
      <c r="AP2039" s="167" t="str">
        <f t="shared" si="858"/>
        <v/>
      </c>
      <c r="AQ2039" s="169" t="str">
        <f t="shared" si="859"/>
        <v/>
      </c>
      <c r="AR2039" s="170" t="str">
        <f t="shared" si="860"/>
        <v>BiK81M1KWKy-08</v>
      </c>
      <c r="AS2039" s="169" t="str">
        <f t="shared" si="861"/>
        <v/>
      </c>
      <c r="AT2039">
        <f t="shared" si="862"/>
        <v>14</v>
      </c>
      <c r="AU2039" s="170" t="str">
        <f t="shared" si="863"/>
        <v>0-0,15 MW, Bonusregeln M1, y und KWK</v>
      </c>
      <c r="AV2039" s="169" t="str">
        <f t="shared" si="864"/>
        <v/>
      </c>
      <c r="AW2039" s="170" t="str">
        <f t="shared" si="865"/>
        <v>Anteil KWK</v>
      </c>
      <c r="AX2039" s="169" t="str">
        <f t="shared" si="866"/>
        <v/>
      </c>
      <c r="AY2039" t="str">
        <f t="shared" si="867"/>
        <v/>
      </c>
      <c r="AZ2039" t="str">
        <f t="shared" si="868"/>
        <v/>
      </c>
    </row>
    <row r="2040" spans="1:52" x14ac:dyDescent="0.35">
      <c r="A2040" s="497" t="s">
        <v>932</v>
      </c>
      <c r="B2040" s="13" t="s">
        <v>5547</v>
      </c>
      <c r="C2040" s="13" t="s">
        <v>5539</v>
      </c>
      <c r="D2040" s="88" t="s">
        <v>6824</v>
      </c>
      <c r="E2040" s="13" t="s">
        <v>4330</v>
      </c>
      <c r="F2040" s="373">
        <f t="shared" si="874"/>
        <v>26.67</v>
      </c>
      <c r="G2040" s="430">
        <v>26.67</v>
      </c>
      <c r="H2040" s="399">
        <f t="shared" si="875"/>
        <v>21.34</v>
      </c>
      <c r="I2040" s="576"/>
      <c r="J2040" s="549" t="s">
        <v>5804</v>
      </c>
      <c r="K2040" s="11"/>
      <c r="M2040" s="37">
        <f t="shared" si="876"/>
        <v>26.67</v>
      </c>
      <c r="N2040" s="29">
        <v>11.67</v>
      </c>
      <c r="O2040" s="149"/>
      <c r="P2040" s="145" t="s">
        <v>1017</v>
      </c>
      <c r="Q2040" s="145"/>
      <c r="R2040" s="145"/>
      <c r="S2040" s="145" t="s">
        <v>4179</v>
      </c>
      <c r="T2040" t="s">
        <v>4179</v>
      </c>
      <c r="U2040" s="146" t="s">
        <v>1017</v>
      </c>
      <c r="V2040" s="145"/>
      <c r="W2040" s="147"/>
      <c r="X2040" s="147"/>
      <c r="Y2040" s="145"/>
      <c r="Z2040" s="145" t="s">
        <v>1017</v>
      </c>
      <c r="AA2040" s="147"/>
      <c r="AB2040" s="145"/>
      <c r="AC2040" s="145"/>
      <c r="AD2040" s="147"/>
      <c r="AE2040" s="148"/>
      <c r="AF2040" s="147"/>
      <c r="AG2040" s="147"/>
      <c r="AH2040" s="166" t="str">
        <f t="shared" si="883"/>
        <v/>
      </c>
      <c r="AI2040" s="168" t="str">
        <f t="shared" si="869"/>
        <v/>
      </c>
      <c r="AJ2040" s="168" t="str">
        <f t="shared" si="870"/>
        <v/>
      </c>
      <c r="AK2040" s="168" t="str">
        <f t="shared" si="871"/>
        <v/>
      </c>
      <c r="AL2040" s="168" t="str">
        <f t="shared" si="872"/>
        <v/>
      </c>
      <c r="AM2040" s="168" t="str">
        <f t="shared" si="873"/>
        <v/>
      </c>
      <c r="AN2040" s="167" t="str">
        <f t="shared" si="856"/>
        <v/>
      </c>
      <c r="AO2040" s="167" t="str">
        <f t="shared" si="857"/>
        <v/>
      </c>
      <c r="AP2040" s="167" t="str">
        <f t="shared" si="858"/>
        <v/>
      </c>
      <c r="AQ2040" s="169" t="str">
        <f t="shared" si="859"/>
        <v/>
      </c>
      <c r="AR2040" s="170" t="str">
        <f t="shared" si="860"/>
        <v>BiK81M1KA3y-08</v>
      </c>
      <c r="AS2040" s="169" t="str">
        <f t="shared" si="861"/>
        <v/>
      </c>
      <c r="AT2040">
        <f t="shared" si="862"/>
        <v>14</v>
      </c>
      <c r="AU2040" s="170" t="str">
        <f t="shared" si="863"/>
        <v>0-0,15 MW, Bonusregeln M1, y und K wenn Anlage 3 erfüllt</v>
      </c>
      <c r="AV2040" s="169" t="str">
        <f t="shared" si="864"/>
        <v/>
      </c>
      <c r="AW2040" s="170" t="str">
        <f t="shared" si="865"/>
        <v>Anteil KWK gemäß Anlage 3</v>
      </c>
      <c r="AX2040" s="169" t="str">
        <f t="shared" si="866"/>
        <v/>
      </c>
      <c r="AY2040" t="str">
        <f t="shared" si="867"/>
        <v/>
      </c>
      <c r="AZ2040" t="str">
        <f t="shared" si="868"/>
        <v/>
      </c>
    </row>
    <row r="2041" spans="1:52" s="145" customFormat="1" x14ac:dyDescent="0.35">
      <c r="A2041" s="497" t="s">
        <v>933</v>
      </c>
      <c r="B2041" s="13" t="s">
        <v>5547</v>
      </c>
      <c r="C2041" s="13" t="s">
        <v>5539</v>
      </c>
      <c r="D2041" s="13" t="s">
        <v>6825</v>
      </c>
      <c r="E2041" s="13" t="s">
        <v>674</v>
      </c>
      <c r="F2041" s="373">
        <f t="shared" si="874"/>
        <v>26.67</v>
      </c>
      <c r="G2041" s="430">
        <v>26.67</v>
      </c>
      <c r="H2041" s="399">
        <f t="shared" si="875"/>
        <v>21.34</v>
      </c>
      <c r="I2041" s="576"/>
      <c r="J2041" s="549" t="s">
        <v>5804</v>
      </c>
      <c r="K2041" s="11"/>
      <c r="L2041"/>
      <c r="M2041" s="37">
        <f t="shared" si="876"/>
        <v>26.67</v>
      </c>
      <c r="N2041" s="29">
        <v>11.67</v>
      </c>
      <c r="O2041" s="149"/>
      <c r="P2041" s="144"/>
      <c r="Q2041" s="145" t="s">
        <v>1017</v>
      </c>
      <c r="S2041" s="145" t="s">
        <v>4179</v>
      </c>
      <c r="T2041" s="145" t="s">
        <v>4179</v>
      </c>
      <c r="U2041" s="146" t="s">
        <v>1017</v>
      </c>
      <c r="W2041" s="147"/>
      <c r="X2041" s="147"/>
      <c r="Z2041" s="145" t="s">
        <v>1017</v>
      </c>
      <c r="AA2041" s="147"/>
      <c r="AD2041" s="147"/>
      <c r="AE2041" s="148"/>
      <c r="AF2041" s="147"/>
      <c r="AG2041" s="147"/>
      <c r="AH2041" s="166" t="str">
        <f t="shared" si="883"/>
        <v/>
      </c>
      <c r="AI2041" s="168" t="str">
        <f t="shared" si="869"/>
        <v/>
      </c>
      <c r="AJ2041" s="168" t="str">
        <f t="shared" si="870"/>
        <v/>
      </c>
      <c r="AK2041" s="168" t="str">
        <f t="shared" si="871"/>
        <v/>
      </c>
      <c r="AL2041" s="168" t="str">
        <f t="shared" si="872"/>
        <v/>
      </c>
      <c r="AM2041" s="168" t="str">
        <f t="shared" si="873"/>
        <v/>
      </c>
      <c r="AN2041" s="167" t="str">
        <f t="shared" si="856"/>
        <v/>
      </c>
      <c r="AO2041" s="167" t="str">
        <f t="shared" si="857"/>
        <v/>
      </c>
      <c r="AP2041" s="167" t="str">
        <f t="shared" si="858"/>
        <v/>
      </c>
      <c r="AQ2041" s="169" t="str">
        <f t="shared" si="859"/>
        <v/>
      </c>
      <c r="AR2041" s="170" t="str">
        <f t="shared" si="860"/>
        <v>BiK81M1K09y-08</v>
      </c>
      <c r="AS2041" s="169" t="str">
        <f t="shared" si="861"/>
        <v/>
      </c>
      <c r="AT2041">
        <f t="shared" si="862"/>
        <v>14</v>
      </c>
      <c r="AU2041" s="170" t="str">
        <f t="shared" si="863"/>
        <v>0-0,15 MW, Bonusregeln M1, y und K erstmals 2009</v>
      </c>
      <c r="AV2041" s="169" t="str">
        <f t="shared" si="864"/>
        <v/>
      </c>
      <c r="AW2041" s="170" t="str">
        <f t="shared" si="865"/>
        <v>Anteil KWK, erstmals 2009</v>
      </c>
      <c r="AX2041" s="169" t="str">
        <f t="shared" si="866"/>
        <v/>
      </c>
      <c r="AY2041" t="str">
        <f t="shared" si="867"/>
        <v/>
      </c>
      <c r="AZ2041" t="str">
        <f t="shared" si="868"/>
        <v/>
      </c>
    </row>
    <row r="2042" spans="1:52" s="145" customFormat="1" x14ac:dyDescent="0.35">
      <c r="A2042" s="497" t="s">
        <v>3164</v>
      </c>
      <c r="B2042" s="13" t="s">
        <v>5547</v>
      </c>
      <c r="C2042" s="13" t="s">
        <v>5539</v>
      </c>
      <c r="D2042" s="13" t="s">
        <v>6826</v>
      </c>
      <c r="E2042" s="13" t="s">
        <v>3566</v>
      </c>
      <c r="F2042" s="373">
        <f t="shared" si="874"/>
        <v>26.64</v>
      </c>
      <c r="G2042" s="430">
        <v>26.64</v>
      </c>
      <c r="H2042" s="399">
        <f t="shared" si="875"/>
        <v>21.31</v>
      </c>
      <c r="I2042" s="576"/>
      <c r="J2042" s="549" t="s">
        <v>5804</v>
      </c>
      <c r="K2042" s="11"/>
      <c r="L2042"/>
      <c r="M2042" s="37">
        <f t="shared" si="876"/>
        <v>26.64</v>
      </c>
      <c r="N2042" s="29">
        <v>11.67</v>
      </c>
      <c r="O2042" s="149"/>
      <c r="P2042" s="144"/>
      <c r="R2042" s="145" t="s">
        <v>1017</v>
      </c>
      <c r="S2042" s="145" t="s">
        <v>4179</v>
      </c>
      <c r="T2042" s="145" t="s">
        <v>4179</v>
      </c>
      <c r="U2042" s="146" t="s">
        <v>1017</v>
      </c>
      <c r="W2042" s="147"/>
      <c r="X2042" s="147"/>
      <c r="Z2042" s="145" t="s">
        <v>1017</v>
      </c>
      <c r="AA2042" s="147"/>
      <c r="AD2042" s="147"/>
      <c r="AE2042" s="148"/>
      <c r="AF2042" s="147"/>
      <c r="AG2042" s="147"/>
      <c r="AH2042" s="166" t="str">
        <f t="shared" si="883"/>
        <v>2010</v>
      </c>
      <c r="AI2042" s="168" t="str">
        <f t="shared" si="869"/>
        <v/>
      </c>
      <c r="AJ2042" s="168" t="str">
        <f t="shared" si="870"/>
        <v/>
      </c>
      <c r="AK2042" s="168" t="str">
        <f t="shared" si="871"/>
        <v/>
      </c>
      <c r="AL2042" s="168" t="str">
        <f t="shared" si="872"/>
        <v/>
      </c>
      <c r="AM2042" s="168" t="str">
        <f t="shared" si="873"/>
        <v/>
      </c>
      <c r="AN2042" s="167" t="str">
        <f t="shared" si="856"/>
        <v>2010</v>
      </c>
      <c r="AO2042" s="167" t="str">
        <f t="shared" si="857"/>
        <v>2010</v>
      </c>
      <c r="AP2042" s="167" t="str">
        <f t="shared" si="858"/>
        <v>2010</v>
      </c>
      <c r="AQ2042" s="169" t="str">
        <f t="shared" si="859"/>
        <v/>
      </c>
      <c r="AR2042" s="170" t="str">
        <f t="shared" si="860"/>
        <v>BiK81M1K10y-08</v>
      </c>
      <c r="AS2042" s="169" t="str">
        <f t="shared" si="861"/>
        <v/>
      </c>
      <c r="AT2042">
        <f t="shared" si="862"/>
        <v>14</v>
      </c>
      <c r="AU2042" s="170" t="str">
        <f t="shared" si="863"/>
        <v>0-0,15 MW, Bonusregeln M1, y und K erstmals 2010</v>
      </c>
      <c r="AV2042" s="169" t="str">
        <f t="shared" si="864"/>
        <v/>
      </c>
      <c r="AW2042" s="170" t="str">
        <f t="shared" si="865"/>
        <v>Anteil KWK, erstmals 2010</v>
      </c>
      <c r="AX2042" s="169" t="str">
        <f t="shared" si="866"/>
        <v/>
      </c>
      <c r="AY2042" t="str">
        <f t="shared" si="867"/>
        <v/>
      </c>
      <c r="AZ2042" t="str">
        <f t="shared" si="868"/>
        <v/>
      </c>
    </row>
    <row r="2043" spans="1:52" s="145" customFormat="1" x14ac:dyDescent="0.35">
      <c r="A2043" s="497" t="s">
        <v>3440</v>
      </c>
      <c r="B2043" s="13" t="s">
        <v>5547</v>
      </c>
      <c r="C2043" s="13" t="s">
        <v>5539</v>
      </c>
      <c r="D2043" s="13" t="s">
        <v>6827</v>
      </c>
      <c r="E2043" s="13" t="s">
        <v>3054</v>
      </c>
      <c r="F2043" s="373">
        <f t="shared" si="874"/>
        <v>26.61</v>
      </c>
      <c r="G2043" s="430">
        <v>26.61</v>
      </c>
      <c r="H2043" s="399">
        <f t="shared" si="875"/>
        <v>21.29</v>
      </c>
      <c r="I2043" s="576"/>
      <c r="J2043" s="549" t="s">
        <v>5804</v>
      </c>
      <c r="K2043" s="11"/>
      <c r="L2043"/>
      <c r="M2043" s="37">
        <f t="shared" si="876"/>
        <v>26.61</v>
      </c>
      <c r="N2043" s="29">
        <v>11.67</v>
      </c>
      <c r="O2043" s="149"/>
      <c r="P2043" s="144"/>
      <c r="S2043" s="145" t="s">
        <v>1017</v>
      </c>
      <c r="T2043" s="145" t="s">
        <v>4179</v>
      </c>
      <c r="U2043" s="146" t="s">
        <v>1017</v>
      </c>
      <c r="W2043" s="147"/>
      <c r="X2043" s="147"/>
      <c r="Z2043" s="145" t="s">
        <v>1017</v>
      </c>
      <c r="AA2043" s="147"/>
      <c r="AD2043" s="147"/>
      <c r="AE2043" s="148"/>
      <c r="AF2043" s="147"/>
      <c r="AG2043" s="147"/>
      <c r="AH2043" s="166" t="str">
        <f t="shared" si="883"/>
        <v>2011</v>
      </c>
      <c r="AI2043" s="168" t="str">
        <f t="shared" si="869"/>
        <v/>
      </c>
      <c r="AJ2043" s="168" t="str">
        <f t="shared" si="870"/>
        <v/>
      </c>
      <c r="AK2043" s="168" t="str">
        <f t="shared" si="871"/>
        <v/>
      </c>
      <c r="AL2043" s="168" t="str">
        <f t="shared" si="872"/>
        <v/>
      </c>
      <c r="AM2043" s="168" t="str">
        <f t="shared" si="873"/>
        <v/>
      </c>
      <c r="AN2043" s="167" t="str">
        <f t="shared" si="856"/>
        <v>2011</v>
      </c>
      <c r="AO2043" s="167" t="str">
        <f t="shared" si="857"/>
        <v>2011</v>
      </c>
      <c r="AP2043" s="167" t="str">
        <f t="shared" si="858"/>
        <v>2011</v>
      </c>
      <c r="AQ2043" s="169" t="str">
        <f t="shared" si="859"/>
        <v/>
      </c>
      <c r="AR2043" s="170" t="str">
        <f t="shared" si="860"/>
        <v>BiK81M1K11y-08</v>
      </c>
      <c r="AS2043" s="169" t="str">
        <f t="shared" si="861"/>
        <v/>
      </c>
      <c r="AT2043">
        <f t="shared" si="862"/>
        <v>14</v>
      </c>
      <c r="AU2043" s="170" t="str">
        <f t="shared" si="863"/>
        <v>0-0,15 MW, Bonusregeln M1, y und K erstmals 2011</v>
      </c>
      <c r="AV2043" s="169" t="str">
        <f t="shared" si="864"/>
        <v/>
      </c>
      <c r="AW2043" s="170" t="str">
        <f t="shared" si="865"/>
        <v>Anteil KWK, erstmals 2011</v>
      </c>
      <c r="AX2043" s="169" t="str">
        <f t="shared" si="866"/>
        <v/>
      </c>
      <c r="AY2043" t="str">
        <f t="shared" si="867"/>
        <v>x</v>
      </c>
      <c r="AZ2043" t="str">
        <f t="shared" si="868"/>
        <v/>
      </c>
    </row>
    <row r="2044" spans="1:52" s="145" customFormat="1" x14ac:dyDescent="0.35">
      <c r="A2044" s="511" t="s">
        <v>1873</v>
      </c>
      <c r="B2044" s="173" t="s">
        <v>5547</v>
      </c>
      <c r="C2044" s="173" t="s">
        <v>5539</v>
      </c>
      <c r="D2044" s="173" t="s">
        <v>6828</v>
      </c>
      <c r="E2044" s="173" t="s">
        <v>1980</v>
      </c>
      <c r="F2044" s="374">
        <f t="shared" si="874"/>
        <v>26.58</v>
      </c>
      <c r="G2044" s="431">
        <v>26.58</v>
      </c>
      <c r="H2044" s="400">
        <f t="shared" si="875"/>
        <v>21.26</v>
      </c>
      <c r="I2044" s="577"/>
      <c r="J2044" s="549" t="s">
        <v>5804</v>
      </c>
      <c r="K2044" s="11"/>
      <c r="L2044"/>
      <c r="M2044" s="37">
        <f t="shared" si="876"/>
        <v>26.58</v>
      </c>
      <c r="N2044" s="29">
        <v>11.67</v>
      </c>
      <c r="O2044" s="149"/>
      <c r="P2044" s="144"/>
      <c r="S2044" s="145" t="s">
        <v>4179</v>
      </c>
      <c r="T2044" s="145" t="s">
        <v>1017</v>
      </c>
      <c r="U2044" s="146" t="s">
        <v>1017</v>
      </c>
      <c r="W2044" s="147"/>
      <c r="X2044" s="147"/>
      <c r="Z2044" s="145" t="s">
        <v>1017</v>
      </c>
      <c r="AA2044" s="147"/>
      <c r="AD2044" s="147"/>
      <c r="AE2044" s="148"/>
      <c r="AF2044" s="147"/>
      <c r="AG2044" s="147"/>
      <c r="AH2044" s="171" t="s">
        <v>4178</v>
      </c>
      <c r="AI2044" s="168" t="str">
        <f t="shared" si="869"/>
        <v/>
      </c>
      <c r="AJ2044" s="168" t="str">
        <f t="shared" si="870"/>
        <v/>
      </c>
      <c r="AK2044" s="168" t="str">
        <f t="shared" si="871"/>
        <v/>
      </c>
      <c r="AL2044" s="168" t="str">
        <f t="shared" si="872"/>
        <v/>
      </c>
      <c r="AM2044" s="168" t="str">
        <f t="shared" si="873"/>
        <v/>
      </c>
      <c r="AN2044" s="167" t="str">
        <f t="shared" si="856"/>
        <v>2012</v>
      </c>
      <c r="AO2044" s="167" t="str">
        <f t="shared" si="857"/>
        <v>2012</v>
      </c>
      <c r="AP2044" s="167" t="str">
        <f t="shared" si="858"/>
        <v>2012</v>
      </c>
      <c r="AQ2044" s="169" t="str">
        <f t="shared" si="859"/>
        <v/>
      </c>
      <c r="AR2044" s="170" t="str">
        <f t="shared" si="860"/>
        <v>BiK81M1K12y-08</v>
      </c>
      <c r="AS2044" s="169" t="str">
        <f t="shared" si="861"/>
        <v/>
      </c>
      <c r="AT2044">
        <f t="shared" si="862"/>
        <v>14</v>
      </c>
      <c r="AU2044" s="170" t="str">
        <f t="shared" si="863"/>
        <v>0-0,15 MW, Bonusregeln M1, y und K erstmals 2012</v>
      </c>
      <c r="AV2044" s="169" t="str">
        <f t="shared" si="864"/>
        <v/>
      </c>
      <c r="AW2044" s="170" t="str">
        <f t="shared" si="865"/>
        <v>Anteil KWK, erstmals 2012</v>
      </c>
      <c r="AX2044" s="169" t="str">
        <f t="shared" si="866"/>
        <v/>
      </c>
      <c r="AY2044" t="str">
        <f t="shared" si="867"/>
        <v/>
      </c>
      <c r="AZ2044" t="str">
        <f t="shared" si="868"/>
        <v>x</v>
      </c>
    </row>
    <row r="2045" spans="1:52" s="145" customFormat="1" x14ac:dyDescent="0.35">
      <c r="A2045" s="497" t="s">
        <v>934</v>
      </c>
      <c r="B2045" s="13" t="s">
        <v>5547</v>
      </c>
      <c r="C2045" s="13" t="s">
        <v>5539</v>
      </c>
      <c r="D2045" s="13" t="s">
        <v>6829</v>
      </c>
      <c r="E2045" s="13" t="s">
        <v>4809</v>
      </c>
      <c r="F2045" s="373">
        <f t="shared" si="874"/>
        <v>20.67</v>
      </c>
      <c r="G2045" s="430">
        <v>20.67</v>
      </c>
      <c r="H2045" s="399">
        <f t="shared" si="875"/>
        <v>16.54</v>
      </c>
      <c r="I2045" s="576"/>
      <c r="J2045" s="549" t="s">
        <v>5804</v>
      </c>
      <c r="K2045" s="11"/>
      <c r="L2045"/>
      <c r="M2045" s="37">
        <f t="shared" si="876"/>
        <v>20.67</v>
      </c>
      <c r="N2045" s="29">
        <v>11.67</v>
      </c>
      <c r="O2045" s="149"/>
      <c r="P2045" s="144"/>
      <c r="S2045" s="145" t="s">
        <v>4179</v>
      </c>
      <c r="T2045" s="145" t="s">
        <v>4179</v>
      </c>
      <c r="U2045" s="146"/>
      <c r="W2045" s="147"/>
      <c r="X2045" s="147"/>
      <c r="AA2045" s="147"/>
      <c r="AB2045" s="145" t="s">
        <v>1017</v>
      </c>
      <c r="AD2045" s="147"/>
      <c r="AE2045" s="148"/>
      <c r="AF2045" s="147"/>
      <c r="AG2045" s="147"/>
      <c r="AH2045" s="166" t="str">
        <f t="shared" ref="AH2045:AH2050" si="884">IF(ISERROR(SEARCH("K erstmals 201",D2045)),"",RIGHT(D2045,4))</f>
        <v/>
      </c>
      <c r="AI2045" s="168" t="str">
        <f t="shared" si="869"/>
        <v/>
      </c>
      <c r="AJ2045" s="168" t="str">
        <f t="shared" si="870"/>
        <v/>
      </c>
      <c r="AK2045" s="168" t="str">
        <f t="shared" si="871"/>
        <v/>
      </c>
      <c r="AL2045" s="168" t="str">
        <f t="shared" si="872"/>
        <v/>
      </c>
      <c r="AM2045" s="168" t="str">
        <f t="shared" si="873"/>
        <v/>
      </c>
      <c r="AN2045" s="167" t="str">
        <f t="shared" si="856"/>
        <v/>
      </c>
      <c r="AO2045" s="167" t="str">
        <f t="shared" si="857"/>
        <v/>
      </c>
      <c r="AP2045" s="167" t="str">
        <f t="shared" si="858"/>
        <v/>
      </c>
      <c r="AQ2045" s="169" t="str">
        <f t="shared" si="859"/>
        <v/>
      </c>
      <c r="AR2045" s="170" t="str">
        <f t="shared" si="860"/>
        <v>BiK81L------08</v>
      </c>
      <c r="AS2045" s="169" t="str">
        <f t="shared" si="861"/>
        <v/>
      </c>
      <c r="AT2045">
        <f t="shared" si="862"/>
        <v>14</v>
      </c>
      <c r="AU2045" s="170" t="str">
        <f t="shared" si="863"/>
        <v>0-0,15 MW, Bonusregel L</v>
      </c>
      <c r="AV2045" s="169" t="str">
        <f t="shared" si="864"/>
        <v/>
      </c>
      <c r="AW2045" s="170" t="str">
        <f t="shared" si="865"/>
        <v>Anteil Nicht-KWK</v>
      </c>
      <c r="AX2045" s="169" t="str">
        <f t="shared" si="866"/>
        <v/>
      </c>
      <c r="AY2045" t="str">
        <f t="shared" si="867"/>
        <v/>
      </c>
      <c r="AZ2045" t="str">
        <f t="shared" si="868"/>
        <v/>
      </c>
    </row>
    <row r="2046" spans="1:52" s="145" customFormat="1" x14ac:dyDescent="0.35">
      <c r="A2046" s="497" t="s">
        <v>935</v>
      </c>
      <c r="B2046" s="13" t="s">
        <v>5547</v>
      </c>
      <c r="C2046" s="13" t="s">
        <v>5539</v>
      </c>
      <c r="D2046" s="13" t="s">
        <v>6898</v>
      </c>
      <c r="E2046" s="13" t="s">
        <v>4811</v>
      </c>
      <c r="F2046" s="373">
        <f t="shared" si="874"/>
        <v>22.67</v>
      </c>
      <c r="G2046" s="430">
        <v>22.67</v>
      </c>
      <c r="H2046" s="399">
        <f t="shared" si="875"/>
        <v>18.14</v>
      </c>
      <c r="I2046" s="576"/>
      <c r="J2046" s="549" t="s">
        <v>5804</v>
      </c>
      <c r="K2046" s="11"/>
      <c r="L2046"/>
      <c r="M2046" s="37">
        <f t="shared" si="876"/>
        <v>22.67</v>
      </c>
      <c r="N2046" s="29">
        <v>11.67</v>
      </c>
      <c r="O2046" s="149" t="s">
        <v>1017</v>
      </c>
      <c r="P2046" s="144"/>
      <c r="S2046" s="145" t="s">
        <v>4179</v>
      </c>
      <c r="T2046" s="145" t="s">
        <v>4179</v>
      </c>
      <c r="U2046" s="146"/>
      <c r="W2046" s="147"/>
      <c r="X2046" s="147"/>
      <c r="AA2046" s="147"/>
      <c r="AB2046" s="145" t="s">
        <v>1017</v>
      </c>
      <c r="AD2046" s="147"/>
      <c r="AE2046" s="148"/>
      <c r="AF2046" s="147"/>
      <c r="AG2046" s="147"/>
      <c r="AH2046" s="166" t="str">
        <f t="shared" si="884"/>
        <v/>
      </c>
      <c r="AI2046" s="168" t="str">
        <f t="shared" si="869"/>
        <v/>
      </c>
      <c r="AJ2046" s="168" t="str">
        <f t="shared" si="870"/>
        <v/>
      </c>
      <c r="AK2046" s="168" t="str">
        <f t="shared" si="871"/>
        <v/>
      </c>
      <c r="AL2046" s="168" t="str">
        <f t="shared" si="872"/>
        <v/>
      </c>
      <c r="AM2046" s="168" t="str">
        <f t="shared" si="873"/>
        <v/>
      </c>
      <c r="AN2046" s="167" t="str">
        <f t="shared" si="856"/>
        <v/>
      </c>
      <c r="AO2046" s="167" t="str">
        <f t="shared" si="857"/>
        <v/>
      </c>
      <c r="AP2046" s="167" t="str">
        <f t="shared" si="858"/>
        <v/>
      </c>
      <c r="AQ2046" s="169" t="str">
        <f t="shared" si="859"/>
        <v/>
      </c>
      <c r="AR2046" s="170" t="str">
        <f t="shared" si="860"/>
        <v>BiK81LKWK---08</v>
      </c>
      <c r="AS2046" s="169" t="str">
        <f t="shared" si="861"/>
        <v/>
      </c>
      <c r="AT2046">
        <f t="shared" si="862"/>
        <v>14</v>
      </c>
      <c r="AU2046" s="170" t="str">
        <f t="shared" si="863"/>
        <v>0-0,15 MW, Bonusregeln L und KWK</v>
      </c>
      <c r="AV2046" s="169" t="str">
        <f t="shared" si="864"/>
        <v/>
      </c>
      <c r="AW2046" s="170" t="str">
        <f t="shared" si="865"/>
        <v>Anteil KWK</v>
      </c>
      <c r="AX2046" s="169" t="str">
        <f t="shared" si="866"/>
        <v/>
      </c>
      <c r="AY2046" t="str">
        <f t="shared" si="867"/>
        <v/>
      </c>
      <c r="AZ2046" t="str">
        <f t="shared" si="868"/>
        <v/>
      </c>
    </row>
    <row r="2047" spans="1:52" s="145" customFormat="1" x14ac:dyDescent="0.35">
      <c r="A2047" s="497" t="s">
        <v>936</v>
      </c>
      <c r="B2047" s="13" t="s">
        <v>5547</v>
      </c>
      <c r="C2047" s="13" t="s">
        <v>5539</v>
      </c>
      <c r="D2047" s="13" t="s">
        <v>6830</v>
      </c>
      <c r="E2047" s="13" t="s">
        <v>4330</v>
      </c>
      <c r="F2047" s="373">
        <f t="shared" si="874"/>
        <v>23.67</v>
      </c>
      <c r="G2047" s="430">
        <v>23.67</v>
      </c>
      <c r="H2047" s="399">
        <f t="shared" si="875"/>
        <v>18.940000000000001</v>
      </c>
      <c r="I2047" s="576"/>
      <c r="J2047" s="549" t="s">
        <v>5804</v>
      </c>
      <c r="K2047" s="11"/>
      <c r="L2047"/>
      <c r="M2047" s="37">
        <f t="shared" si="876"/>
        <v>23.67</v>
      </c>
      <c r="N2047" s="29">
        <v>11.67</v>
      </c>
      <c r="O2047" s="149"/>
      <c r="P2047" s="145" t="s">
        <v>1017</v>
      </c>
      <c r="S2047" s="145" t="s">
        <v>4179</v>
      </c>
      <c r="T2047" s="145" t="s">
        <v>4179</v>
      </c>
      <c r="U2047" s="146"/>
      <c r="W2047" s="147"/>
      <c r="X2047" s="147"/>
      <c r="AA2047" s="147"/>
      <c r="AB2047" s="145" t="s">
        <v>1017</v>
      </c>
      <c r="AD2047" s="147"/>
      <c r="AE2047" s="148"/>
      <c r="AF2047" s="147"/>
      <c r="AG2047" s="147"/>
      <c r="AH2047" s="166" t="str">
        <f t="shared" si="884"/>
        <v/>
      </c>
      <c r="AI2047" s="168" t="str">
        <f t="shared" si="869"/>
        <v/>
      </c>
      <c r="AJ2047" s="168" t="str">
        <f t="shared" si="870"/>
        <v/>
      </c>
      <c r="AK2047" s="168" t="str">
        <f t="shared" si="871"/>
        <v/>
      </c>
      <c r="AL2047" s="168" t="str">
        <f t="shared" si="872"/>
        <v/>
      </c>
      <c r="AM2047" s="168" t="str">
        <f t="shared" si="873"/>
        <v/>
      </c>
      <c r="AN2047" s="167" t="str">
        <f t="shared" ref="AN2047:AN2110" si="885">IF(ISERROR(SEARCH("K1",A2047)),"","20"&amp;MID(A2047,SEARCH("K1",A2047)+1,2))</f>
        <v/>
      </c>
      <c r="AO2047" s="167" t="str">
        <f t="shared" ref="AO2047:AO2110" si="886">IF(ISERROR(SEARCH("erstmals 201",E2047)),"",MID(E2047,SEARCH("erstmals ",E2047)+9,4))</f>
        <v/>
      </c>
      <c r="AP2047" s="167" t="str">
        <f t="shared" ref="AP2047:AP2110" si="887">IF(R2047="x","2010",IF(S2047="x","2011",IF(T2047="x","2012","")))</f>
        <v/>
      </c>
      <c r="AQ2047" s="169" t="str">
        <f t="shared" ref="AQ2047:AQ2110" si="888">IF(OR(AH2047&lt;&gt;AN2047,AH2047&lt;&gt;AO2047,AH2047&lt;&gt;AP2047),"DIFF","")</f>
        <v/>
      </c>
      <c r="AR2047" s="170" t="str">
        <f t="shared" ref="AR2047:AR2110" si="889">IF(A2047="","",IF(ISERROR(SEARCH("K1",A2047)),A2047,LEFT(A2047,SEARCH("K1",A2047)+1)&amp;RIGHT(AH2047,1)&amp;MID(A2047,SEARCH("K1",A2047)+3,14)))</f>
        <v>BiK81LKA3---08</v>
      </c>
      <c r="AS2047" s="169" t="str">
        <f t="shared" ref="AS2047:AS2110" si="890">IF(OR(A2047&lt;&gt;AR2047),"DIFF","")</f>
        <v/>
      </c>
      <c r="AT2047">
        <f t="shared" ref="AT2047:AT2110" si="891">LEN(AR2047)</f>
        <v>14</v>
      </c>
      <c r="AU2047" s="170" t="str">
        <f t="shared" ref="AU2047:AU2110" si="892">IF(D2047="","",IF(OR(A2047="",ISERROR(SEARCH("erstmals 201",D2047))),D2047,LEFT(D2047,SEARCH("erstmals 201",D2047)+8) &amp; AH2047 &amp; MID(D2047,SEARCH("erstmals 201",D2047)+13,255)))</f>
        <v>0-0,15 MW, Bonusregeln L und K wenn Anlage 3 erfüllt</v>
      </c>
      <c r="AV2047" s="169" t="str">
        <f t="shared" ref="AV2047:AV2110" si="893">IF(OR(D2047&lt;&gt;AU2047),"DIFF","")</f>
        <v/>
      </c>
      <c r="AW2047" s="170" t="str">
        <f t="shared" ref="AW2047:AW2110" si="894">IF(E2047="","",IF(OR(E2047="",ISERROR(SEARCH("erstmals 201",E2047))),E2047,LEFT(E2047,SEARCH("erstmals 201",E2047)+8) &amp; AH2047 &amp; MID(E2047,SEARCH("erstmals 201",E2047)+13,255)))</f>
        <v>Anteil KWK gemäß Anlage 3</v>
      </c>
      <c r="AX2047" s="169" t="str">
        <f t="shared" ref="AX2047:AX2110" si="895">IF(OR(E2047&lt;&gt;AW2047),"DIFF","")</f>
        <v/>
      </c>
      <c r="AY2047" t="str">
        <f t="shared" ref="AY2047:AY2110" si="896">IF(AH2047="2011","x",IF(AH2047="2012","","" &amp; S2047))</f>
        <v/>
      </c>
      <c r="AZ2047" t="str">
        <f t="shared" ref="AZ2047:AZ2110" si="897">IF(AH2047="2012","x",IF(AH2047="2011","","" &amp; T2047))</f>
        <v/>
      </c>
    </row>
    <row r="2048" spans="1:52" s="145" customFormat="1" x14ac:dyDescent="0.35">
      <c r="A2048" s="497" t="s">
        <v>937</v>
      </c>
      <c r="B2048" s="13" t="s">
        <v>5547</v>
      </c>
      <c r="C2048" s="13" t="s">
        <v>5539</v>
      </c>
      <c r="D2048" s="13" t="s">
        <v>6831</v>
      </c>
      <c r="E2048" s="13" t="s">
        <v>674</v>
      </c>
      <c r="F2048" s="373">
        <f t="shared" si="874"/>
        <v>23.67</v>
      </c>
      <c r="G2048" s="430">
        <v>23.67</v>
      </c>
      <c r="H2048" s="399">
        <f t="shared" si="875"/>
        <v>18.940000000000001</v>
      </c>
      <c r="I2048" s="576"/>
      <c r="J2048" s="549" t="s">
        <v>5804</v>
      </c>
      <c r="K2048" s="11"/>
      <c r="L2048"/>
      <c r="M2048" s="37">
        <f t="shared" si="876"/>
        <v>23.67</v>
      </c>
      <c r="N2048" s="29">
        <v>11.67</v>
      </c>
      <c r="O2048" s="149"/>
      <c r="P2048" s="144"/>
      <c r="Q2048" s="145" t="s">
        <v>1017</v>
      </c>
      <c r="S2048" s="145" t="s">
        <v>4179</v>
      </c>
      <c r="T2048" s="145" t="s">
        <v>4179</v>
      </c>
      <c r="U2048" s="146"/>
      <c r="W2048" s="147"/>
      <c r="X2048" s="147"/>
      <c r="AA2048" s="147"/>
      <c r="AB2048" s="145" t="s">
        <v>1017</v>
      </c>
      <c r="AD2048" s="147"/>
      <c r="AE2048" s="148"/>
      <c r="AF2048" s="147"/>
      <c r="AG2048" s="147"/>
      <c r="AH2048" s="166" t="str">
        <f t="shared" si="884"/>
        <v/>
      </c>
      <c r="AI2048" s="168" t="str">
        <f t="shared" ref="AI2048:AI2111" si="898">IF(AND($AH2048&lt;&gt;"",AH2048 =AH2047),"Gleich","")</f>
        <v/>
      </c>
      <c r="AJ2048" s="168" t="str">
        <f t="shared" ref="AJ2048:AJ2111" si="899">IF(AND($AH2048&lt;&gt;"",A2048 =A2047),"Gleich","")</f>
        <v/>
      </c>
      <c r="AK2048" s="168" t="str">
        <f t="shared" ref="AK2048:AK2111" si="900">IF(AND($AH2048&lt;&gt;"",D2048 =D2047),"Gleich","")</f>
        <v/>
      </c>
      <c r="AL2048" s="168" t="str">
        <f t="shared" ref="AL2048:AL2111" si="901">IF(AND($AH2048&lt;&gt;"",E2048 =E2047),"Gleich","")</f>
        <v/>
      </c>
      <c r="AM2048" s="168" t="str">
        <f t="shared" ref="AM2048:AM2111" si="902">IF(AND($AH2048&lt;&gt;"",F2048 =F2047),"Gleich","")</f>
        <v/>
      </c>
      <c r="AN2048" s="167" t="str">
        <f t="shared" si="885"/>
        <v/>
      </c>
      <c r="AO2048" s="167" t="str">
        <f t="shared" si="886"/>
        <v/>
      </c>
      <c r="AP2048" s="167" t="str">
        <f t="shared" si="887"/>
        <v/>
      </c>
      <c r="AQ2048" s="169" t="str">
        <f t="shared" si="888"/>
        <v/>
      </c>
      <c r="AR2048" s="170" t="str">
        <f t="shared" si="889"/>
        <v>BiK81LK09---08</v>
      </c>
      <c r="AS2048" s="169" t="str">
        <f t="shared" si="890"/>
        <v/>
      </c>
      <c r="AT2048">
        <f t="shared" si="891"/>
        <v>14</v>
      </c>
      <c r="AU2048" s="170" t="str">
        <f t="shared" si="892"/>
        <v>0-0,15 MW, Bonusregeln L und K erstmals 2009</v>
      </c>
      <c r="AV2048" s="169" t="str">
        <f t="shared" si="893"/>
        <v/>
      </c>
      <c r="AW2048" s="170" t="str">
        <f t="shared" si="894"/>
        <v>Anteil KWK, erstmals 2009</v>
      </c>
      <c r="AX2048" s="169" t="str">
        <f t="shared" si="895"/>
        <v/>
      </c>
      <c r="AY2048" t="str">
        <f t="shared" si="896"/>
        <v/>
      </c>
      <c r="AZ2048" t="str">
        <f t="shared" si="897"/>
        <v/>
      </c>
    </row>
    <row r="2049" spans="1:52" s="145" customFormat="1" x14ac:dyDescent="0.35">
      <c r="A2049" s="497" t="s">
        <v>3165</v>
      </c>
      <c r="B2049" s="13" t="s">
        <v>5547</v>
      </c>
      <c r="C2049" s="13" t="s">
        <v>5539</v>
      </c>
      <c r="D2049" s="13" t="s">
        <v>6832</v>
      </c>
      <c r="E2049" s="13" t="s">
        <v>3566</v>
      </c>
      <c r="F2049" s="373">
        <f t="shared" si="874"/>
        <v>23.64</v>
      </c>
      <c r="G2049" s="430">
        <v>23.64</v>
      </c>
      <c r="H2049" s="399">
        <f t="shared" si="875"/>
        <v>18.91</v>
      </c>
      <c r="I2049" s="576"/>
      <c r="J2049" s="549" t="s">
        <v>5804</v>
      </c>
      <c r="K2049" s="11"/>
      <c r="L2049"/>
      <c r="M2049" s="37">
        <f t="shared" si="876"/>
        <v>23.64</v>
      </c>
      <c r="N2049" s="29">
        <v>11.67</v>
      </c>
      <c r="O2049" s="149"/>
      <c r="P2049" s="144"/>
      <c r="R2049" s="145" t="s">
        <v>1017</v>
      </c>
      <c r="S2049" s="145" t="s">
        <v>4179</v>
      </c>
      <c r="T2049" s="145" t="s">
        <v>4179</v>
      </c>
      <c r="U2049" s="146"/>
      <c r="W2049" s="147"/>
      <c r="X2049" s="147"/>
      <c r="AA2049" s="147"/>
      <c r="AB2049" s="145" t="s">
        <v>1017</v>
      </c>
      <c r="AD2049" s="147"/>
      <c r="AE2049" s="148"/>
      <c r="AF2049" s="147"/>
      <c r="AG2049" s="147"/>
      <c r="AH2049" s="166" t="str">
        <f t="shared" si="884"/>
        <v>2010</v>
      </c>
      <c r="AI2049" s="168" t="str">
        <f t="shared" si="898"/>
        <v/>
      </c>
      <c r="AJ2049" s="168" t="str">
        <f t="shared" si="899"/>
        <v/>
      </c>
      <c r="AK2049" s="168" t="str">
        <f t="shared" si="900"/>
        <v/>
      </c>
      <c r="AL2049" s="168" t="str">
        <f t="shared" si="901"/>
        <v/>
      </c>
      <c r="AM2049" s="168" t="str">
        <f t="shared" si="902"/>
        <v/>
      </c>
      <c r="AN2049" s="167" t="str">
        <f t="shared" si="885"/>
        <v>2010</v>
      </c>
      <c r="AO2049" s="167" t="str">
        <f t="shared" si="886"/>
        <v>2010</v>
      </c>
      <c r="AP2049" s="167" t="str">
        <f t="shared" si="887"/>
        <v>2010</v>
      </c>
      <c r="AQ2049" s="169" t="str">
        <f t="shared" si="888"/>
        <v/>
      </c>
      <c r="AR2049" s="170" t="str">
        <f t="shared" si="889"/>
        <v>BiK81LK10---08</v>
      </c>
      <c r="AS2049" s="169" t="str">
        <f t="shared" si="890"/>
        <v/>
      </c>
      <c r="AT2049">
        <f t="shared" si="891"/>
        <v>14</v>
      </c>
      <c r="AU2049" s="170" t="str">
        <f t="shared" si="892"/>
        <v>0-0,15 MW, Bonusregeln L und K erstmals 2010</v>
      </c>
      <c r="AV2049" s="169" t="str">
        <f t="shared" si="893"/>
        <v/>
      </c>
      <c r="AW2049" s="170" t="str">
        <f t="shared" si="894"/>
        <v>Anteil KWK, erstmals 2010</v>
      </c>
      <c r="AX2049" s="169" t="str">
        <f t="shared" si="895"/>
        <v/>
      </c>
      <c r="AY2049" t="str">
        <f t="shared" si="896"/>
        <v/>
      </c>
      <c r="AZ2049" t="str">
        <f t="shared" si="897"/>
        <v/>
      </c>
    </row>
    <row r="2050" spans="1:52" x14ac:dyDescent="0.35">
      <c r="A2050" s="497" t="s">
        <v>3441</v>
      </c>
      <c r="B2050" s="13" t="s">
        <v>5547</v>
      </c>
      <c r="C2050" s="13" t="s">
        <v>5539</v>
      </c>
      <c r="D2050" s="13" t="s">
        <v>6833</v>
      </c>
      <c r="E2050" s="13" t="s">
        <v>3054</v>
      </c>
      <c r="F2050" s="373">
        <f t="shared" si="874"/>
        <v>23.61</v>
      </c>
      <c r="G2050" s="430">
        <v>23.61</v>
      </c>
      <c r="H2050" s="399">
        <f t="shared" si="875"/>
        <v>18.89</v>
      </c>
      <c r="I2050" s="576"/>
      <c r="J2050" s="549" t="s">
        <v>5804</v>
      </c>
      <c r="K2050" s="11"/>
      <c r="M2050" s="37">
        <f t="shared" si="876"/>
        <v>23.61</v>
      </c>
      <c r="N2050" s="29">
        <v>11.67</v>
      </c>
      <c r="O2050" s="149"/>
      <c r="P2050" s="144"/>
      <c r="Q2050" s="145"/>
      <c r="R2050" s="145"/>
      <c r="S2050" s="145" t="s">
        <v>1017</v>
      </c>
      <c r="T2050" t="s">
        <v>4179</v>
      </c>
      <c r="U2050" s="146"/>
      <c r="V2050" s="145"/>
      <c r="W2050" s="147"/>
      <c r="X2050" s="147"/>
      <c r="Y2050" s="145"/>
      <c r="Z2050" s="145"/>
      <c r="AA2050" s="147"/>
      <c r="AB2050" s="145" t="s">
        <v>1017</v>
      </c>
      <c r="AC2050" s="145"/>
      <c r="AD2050" s="147"/>
      <c r="AE2050" s="148"/>
      <c r="AF2050" s="147"/>
      <c r="AG2050" s="147"/>
      <c r="AH2050" s="166" t="str">
        <f t="shared" si="884"/>
        <v>2011</v>
      </c>
      <c r="AI2050" s="168" t="str">
        <f t="shared" si="898"/>
        <v/>
      </c>
      <c r="AJ2050" s="168" t="str">
        <f t="shared" si="899"/>
        <v/>
      </c>
      <c r="AK2050" s="168" t="str">
        <f t="shared" si="900"/>
        <v/>
      </c>
      <c r="AL2050" s="168" t="str">
        <f t="shared" si="901"/>
        <v/>
      </c>
      <c r="AM2050" s="168" t="str">
        <f t="shared" si="902"/>
        <v/>
      </c>
      <c r="AN2050" s="167" t="str">
        <f t="shared" si="885"/>
        <v>2011</v>
      </c>
      <c r="AO2050" s="167" t="str">
        <f t="shared" si="886"/>
        <v>2011</v>
      </c>
      <c r="AP2050" s="167" t="str">
        <f t="shared" si="887"/>
        <v>2011</v>
      </c>
      <c r="AQ2050" s="169" t="str">
        <f t="shared" si="888"/>
        <v/>
      </c>
      <c r="AR2050" s="170" t="str">
        <f t="shared" si="889"/>
        <v>BiK81LK11---08</v>
      </c>
      <c r="AS2050" s="169" t="str">
        <f t="shared" si="890"/>
        <v/>
      </c>
      <c r="AT2050">
        <f t="shared" si="891"/>
        <v>14</v>
      </c>
      <c r="AU2050" s="170" t="str">
        <f t="shared" si="892"/>
        <v>0-0,15 MW, Bonusregeln L und K erstmals 2011</v>
      </c>
      <c r="AV2050" s="169" t="str">
        <f t="shared" si="893"/>
        <v/>
      </c>
      <c r="AW2050" s="170" t="str">
        <f t="shared" si="894"/>
        <v>Anteil KWK, erstmals 2011</v>
      </c>
      <c r="AX2050" s="169" t="str">
        <f t="shared" si="895"/>
        <v/>
      </c>
      <c r="AY2050" t="str">
        <f t="shared" si="896"/>
        <v>x</v>
      </c>
      <c r="AZ2050" t="str">
        <f t="shared" si="897"/>
        <v/>
      </c>
    </row>
    <row r="2051" spans="1:52" x14ac:dyDescent="0.35">
      <c r="A2051" s="511" t="s">
        <v>1874</v>
      </c>
      <c r="B2051" s="173" t="s">
        <v>5547</v>
      </c>
      <c r="C2051" s="173" t="s">
        <v>5539</v>
      </c>
      <c r="D2051" s="173" t="s">
        <v>6834</v>
      </c>
      <c r="E2051" s="173" t="s">
        <v>1980</v>
      </c>
      <c r="F2051" s="374">
        <f t="shared" si="874"/>
        <v>23.58</v>
      </c>
      <c r="G2051" s="431">
        <v>23.58</v>
      </c>
      <c r="H2051" s="400">
        <f t="shared" si="875"/>
        <v>18.86</v>
      </c>
      <c r="I2051" s="577"/>
      <c r="J2051" s="549" t="s">
        <v>5804</v>
      </c>
      <c r="K2051" s="11"/>
      <c r="M2051" s="37">
        <f t="shared" si="876"/>
        <v>23.58</v>
      </c>
      <c r="N2051" s="29">
        <v>11.67</v>
      </c>
      <c r="O2051" s="149"/>
      <c r="P2051" s="144"/>
      <c r="Q2051" s="145"/>
      <c r="R2051" s="145"/>
      <c r="S2051" s="145" t="s">
        <v>4179</v>
      </c>
      <c r="T2051" t="s">
        <v>1017</v>
      </c>
      <c r="U2051" s="146"/>
      <c r="V2051" s="145"/>
      <c r="W2051" s="147"/>
      <c r="X2051" s="147"/>
      <c r="Y2051" s="145"/>
      <c r="Z2051" s="145"/>
      <c r="AA2051" s="147"/>
      <c r="AB2051" s="145" t="s">
        <v>1017</v>
      </c>
      <c r="AC2051" s="145"/>
      <c r="AD2051" s="147"/>
      <c r="AE2051" s="148"/>
      <c r="AF2051" s="147"/>
      <c r="AG2051" s="147"/>
      <c r="AH2051" s="171" t="s">
        <v>4178</v>
      </c>
      <c r="AI2051" s="168" t="str">
        <f t="shared" si="898"/>
        <v/>
      </c>
      <c r="AJ2051" s="168" t="str">
        <f t="shared" si="899"/>
        <v/>
      </c>
      <c r="AK2051" s="168" t="str">
        <f t="shared" si="900"/>
        <v/>
      </c>
      <c r="AL2051" s="168" t="str">
        <f t="shared" si="901"/>
        <v/>
      </c>
      <c r="AM2051" s="168" t="str">
        <f t="shared" si="902"/>
        <v/>
      </c>
      <c r="AN2051" s="167" t="str">
        <f t="shared" si="885"/>
        <v>2012</v>
      </c>
      <c r="AO2051" s="167" t="str">
        <f t="shared" si="886"/>
        <v>2012</v>
      </c>
      <c r="AP2051" s="167" t="str">
        <f t="shared" si="887"/>
        <v>2012</v>
      </c>
      <c r="AQ2051" s="169" t="str">
        <f t="shared" si="888"/>
        <v/>
      </c>
      <c r="AR2051" s="170" t="str">
        <f t="shared" si="889"/>
        <v>BiK81LK12---08</v>
      </c>
      <c r="AS2051" s="169" t="str">
        <f t="shared" si="890"/>
        <v/>
      </c>
      <c r="AT2051">
        <f t="shared" si="891"/>
        <v>14</v>
      </c>
      <c r="AU2051" s="170" t="str">
        <f t="shared" si="892"/>
        <v>0-0,15 MW, Bonusregeln L und K erstmals 2012</v>
      </c>
      <c r="AV2051" s="169" t="str">
        <f t="shared" si="893"/>
        <v/>
      </c>
      <c r="AW2051" s="170" t="str">
        <f t="shared" si="894"/>
        <v>Anteil KWK, erstmals 2012</v>
      </c>
      <c r="AX2051" s="169" t="str">
        <f t="shared" si="895"/>
        <v/>
      </c>
      <c r="AY2051" t="str">
        <f t="shared" si="896"/>
        <v/>
      </c>
      <c r="AZ2051" t="str">
        <f t="shared" si="897"/>
        <v>x</v>
      </c>
    </row>
    <row r="2052" spans="1:52" x14ac:dyDescent="0.35">
      <c r="A2052" s="497" t="s">
        <v>2800</v>
      </c>
      <c r="B2052" s="13" t="s">
        <v>5547</v>
      </c>
      <c r="C2052" s="13" t="s">
        <v>5539</v>
      </c>
      <c r="D2052" s="13" t="s">
        <v>6835</v>
      </c>
      <c r="E2052" s="13" t="s">
        <v>4809</v>
      </c>
      <c r="F2052" s="373">
        <f t="shared" si="874"/>
        <v>21.67</v>
      </c>
      <c r="G2052" s="430">
        <v>21.67</v>
      </c>
      <c r="H2052" s="399">
        <f t="shared" si="875"/>
        <v>17.34</v>
      </c>
      <c r="I2052" s="576"/>
      <c r="J2052" s="549" t="s">
        <v>5804</v>
      </c>
      <c r="K2052" s="11"/>
      <c r="M2052" s="37">
        <f t="shared" si="876"/>
        <v>21.67</v>
      </c>
      <c r="N2052" s="29">
        <v>11.67</v>
      </c>
      <c r="O2052" s="149"/>
      <c r="P2052" s="144"/>
      <c r="Q2052" s="145"/>
      <c r="R2052" s="145"/>
      <c r="S2052" s="145" t="s">
        <v>4179</v>
      </c>
      <c r="T2052" t="s">
        <v>4179</v>
      </c>
      <c r="U2052" s="146" t="s">
        <v>1017</v>
      </c>
      <c r="V2052" s="145"/>
      <c r="W2052" s="147"/>
      <c r="X2052" s="147"/>
      <c r="Y2052" s="145"/>
      <c r="Z2052" s="145"/>
      <c r="AA2052" s="147"/>
      <c r="AB2052" s="145" t="s">
        <v>1017</v>
      </c>
      <c r="AC2052" s="145"/>
      <c r="AD2052" s="147"/>
      <c r="AE2052" s="148"/>
      <c r="AF2052" s="147"/>
      <c r="AG2052" s="147"/>
      <c r="AH2052" s="166" t="str">
        <f t="shared" ref="AH2052:AH2057" si="903">IF(ISERROR(SEARCH("K erstmals 201",D2052)),"",RIGHT(D2052,4))</f>
        <v/>
      </c>
      <c r="AI2052" s="168" t="str">
        <f t="shared" si="898"/>
        <v/>
      </c>
      <c r="AJ2052" s="168" t="str">
        <f t="shared" si="899"/>
        <v/>
      </c>
      <c r="AK2052" s="168" t="str">
        <f t="shared" si="900"/>
        <v/>
      </c>
      <c r="AL2052" s="168" t="str">
        <f t="shared" si="901"/>
        <v/>
      </c>
      <c r="AM2052" s="168" t="str">
        <f t="shared" si="902"/>
        <v/>
      </c>
      <c r="AN2052" s="167" t="str">
        <f t="shared" si="885"/>
        <v/>
      </c>
      <c r="AO2052" s="167" t="str">
        <f t="shared" si="886"/>
        <v/>
      </c>
      <c r="AP2052" s="167" t="str">
        <f t="shared" si="887"/>
        <v/>
      </c>
      <c r="AQ2052" s="169" t="str">
        <f t="shared" si="888"/>
        <v/>
      </c>
      <c r="AR2052" s="170" t="str">
        <f t="shared" si="889"/>
        <v>BiK81Ly-----08</v>
      </c>
      <c r="AS2052" s="169" t="str">
        <f t="shared" si="890"/>
        <v/>
      </c>
      <c r="AT2052">
        <f t="shared" si="891"/>
        <v>14</v>
      </c>
      <c r="AU2052" s="170" t="str">
        <f t="shared" si="892"/>
        <v>0-0,15 MW, Bonusregeln L, y</v>
      </c>
      <c r="AV2052" s="169" t="str">
        <f t="shared" si="893"/>
        <v/>
      </c>
      <c r="AW2052" s="170" t="str">
        <f t="shared" si="894"/>
        <v>Anteil Nicht-KWK</v>
      </c>
      <c r="AX2052" s="169" t="str">
        <f t="shared" si="895"/>
        <v/>
      </c>
      <c r="AY2052" t="str">
        <f t="shared" si="896"/>
        <v/>
      </c>
      <c r="AZ2052" t="str">
        <f t="shared" si="897"/>
        <v/>
      </c>
    </row>
    <row r="2053" spans="1:52" x14ac:dyDescent="0.35">
      <c r="A2053" s="497" t="s">
        <v>2801</v>
      </c>
      <c r="B2053" s="13" t="s">
        <v>5547</v>
      </c>
      <c r="C2053" s="13" t="s">
        <v>5539</v>
      </c>
      <c r="D2053" s="13" t="s">
        <v>6899</v>
      </c>
      <c r="E2053" s="13" t="s">
        <v>4811</v>
      </c>
      <c r="F2053" s="373">
        <f t="shared" ref="F2053:F2116" si="904">M2053</f>
        <v>23.67</v>
      </c>
      <c r="G2053" s="430">
        <v>23.67</v>
      </c>
      <c r="H2053" s="399">
        <f t="shared" ref="H2053:H2116" si="905">IF(ISNUMBER(G2053),ROUND(0.8*G2053,2),"")</f>
        <v>18.940000000000001</v>
      </c>
      <c r="I2053" s="576"/>
      <c r="J2053" s="549" t="s">
        <v>5804</v>
      </c>
      <c r="K2053" s="11"/>
      <c r="M2053" s="37">
        <f t="shared" ref="M2053:M2116" si="906">N2053+SUMIF(O2053:AG2053,"x",O$1988:AG$1988)</f>
        <v>23.67</v>
      </c>
      <c r="N2053" s="29">
        <v>11.67</v>
      </c>
      <c r="O2053" s="149" t="s">
        <v>1017</v>
      </c>
      <c r="P2053" s="144"/>
      <c r="Q2053" s="145"/>
      <c r="R2053" s="145"/>
      <c r="S2053" s="145" t="s">
        <v>4179</v>
      </c>
      <c r="T2053" t="s">
        <v>4179</v>
      </c>
      <c r="U2053" s="146" t="s">
        <v>1017</v>
      </c>
      <c r="V2053" s="145"/>
      <c r="W2053" s="147"/>
      <c r="X2053" s="147"/>
      <c r="Y2053" s="145"/>
      <c r="Z2053" s="145"/>
      <c r="AA2053" s="147"/>
      <c r="AB2053" s="145" t="s">
        <v>1017</v>
      </c>
      <c r="AC2053" s="145"/>
      <c r="AD2053" s="147"/>
      <c r="AE2053" s="148"/>
      <c r="AF2053" s="147"/>
      <c r="AG2053" s="147"/>
      <c r="AH2053" s="166" t="str">
        <f t="shared" si="903"/>
        <v/>
      </c>
      <c r="AI2053" s="168" t="str">
        <f t="shared" si="898"/>
        <v/>
      </c>
      <c r="AJ2053" s="168" t="str">
        <f t="shared" si="899"/>
        <v/>
      </c>
      <c r="AK2053" s="168" t="str">
        <f t="shared" si="900"/>
        <v/>
      </c>
      <c r="AL2053" s="168" t="str">
        <f t="shared" si="901"/>
        <v/>
      </c>
      <c r="AM2053" s="168" t="str">
        <f t="shared" si="902"/>
        <v/>
      </c>
      <c r="AN2053" s="167" t="str">
        <f t="shared" si="885"/>
        <v/>
      </c>
      <c r="AO2053" s="167" t="str">
        <f t="shared" si="886"/>
        <v/>
      </c>
      <c r="AP2053" s="167" t="str">
        <f t="shared" si="887"/>
        <v/>
      </c>
      <c r="AQ2053" s="169" t="str">
        <f t="shared" si="888"/>
        <v/>
      </c>
      <c r="AR2053" s="170" t="str">
        <f t="shared" si="889"/>
        <v>BiK81LKWKy--08</v>
      </c>
      <c r="AS2053" s="169" t="str">
        <f t="shared" si="890"/>
        <v/>
      </c>
      <c r="AT2053">
        <f t="shared" si="891"/>
        <v>14</v>
      </c>
      <c r="AU2053" s="170" t="str">
        <f t="shared" si="892"/>
        <v>0-0,15 MW, Bonusregeln L, y und KWK</v>
      </c>
      <c r="AV2053" s="169" t="str">
        <f t="shared" si="893"/>
        <v/>
      </c>
      <c r="AW2053" s="170" t="str">
        <f t="shared" si="894"/>
        <v>Anteil KWK</v>
      </c>
      <c r="AX2053" s="169" t="str">
        <f t="shared" si="895"/>
        <v/>
      </c>
      <c r="AY2053" t="str">
        <f t="shared" si="896"/>
        <v/>
      </c>
      <c r="AZ2053" t="str">
        <f t="shared" si="897"/>
        <v/>
      </c>
    </row>
    <row r="2054" spans="1:52" x14ac:dyDescent="0.35">
      <c r="A2054" s="497" t="s">
        <v>2802</v>
      </c>
      <c r="B2054" s="13" t="s">
        <v>5547</v>
      </c>
      <c r="C2054" s="13" t="s">
        <v>5539</v>
      </c>
      <c r="D2054" s="88" t="s">
        <v>6836</v>
      </c>
      <c r="E2054" s="13" t="s">
        <v>4330</v>
      </c>
      <c r="F2054" s="373">
        <f t="shared" si="904"/>
        <v>24.67</v>
      </c>
      <c r="G2054" s="430">
        <v>24.67</v>
      </c>
      <c r="H2054" s="399">
        <f t="shared" si="905"/>
        <v>19.739999999999998</v>
      </c>
      <c r="I2054" s="576"/>
      <c r="J2054" s="549" t="s">
        <v>5804</v>
      </c>
      <c r="K2054" s="11"/>
      <c r="M2054" s="37">
        <f t="shared" si="906"/>
        <v>24.67</v>
      </c>
      <c r="N2054" s="29">
        <v>11.67</v>
      </c>
      <c r="O2054" s="149"/>
      <c r="P2054" s="145" t="s">
        <v>1017</v>
      </c>
      <c r="Q2054" s="145"/>
      <c r="R2054" s="145"/>
      <c r="S2054" s="145" t="s">
        <v>4179</v>
      </c>
      <c r="T2054" t="s">
        <v>4179</v>
      </c>
      <c r="U2054" s="146" t="s">
        <v>1017</v>
      </c>
      <c r="V2054" s="145"/>
      <c r="W2054" s="147"/>
      <c r="X2054" s="147"/>
      <c r="Y2054" s="145"/>
      <c r="Z2054" s="145"/>
      <c r="AA2054" s="147"/>
      <c r="AB2054" s="145" t="s">
        <v>1017</v>
      </c>
      <c r="AC2054" s="145"/>
      <c r="AD2054" s="147"/>
      <c r="AE2054" s="148"/>
      <c r="AF2054" s="147"/>
      <c r="AG2054" s="147"/>
      <c r="AH2054" s="166" t="str">
        <f t="shared" si="903"/>
        <v/>
      </c>
      <c r="AI2054" s="168" t="str">
        <f t="shared" si="898"/>
        <v/>
      </c>
      <c r="AJ2054" s="168" t="str">
        <f t="shared" si="899"/>
        <v/>
      </c>
      <c r="AK2054" s="168" t="str">
        <f t="shared" si="900"/>
        <v/>
      </c>
      <c r="AL2054" s="168" t="str">
        <f t="shared" si="901"/>
        <v/>
      </c>
      <c r="AM2054" s="168" t="str">
        <f t="shared" si="902"/>
        <v/>
      </c>
      <c r="AN2054" s="167" t="str">
        <f t="shared" si="885"/>
        <v/>
      </c>
      <c r="AO2054" s="167" t="str">
        <f t="shared" si="886"/>
        <v/>
      </c>
      <c r="AP2054" s="167" t="str">
        <f t="shared" si="887"/>
        <v/>
      </c>
      <c r="AQ2054" s="169" t="str">
        <f t="shared" si="888"/>
        <v/>
      </c>
      <c r="AR2054" s="170" t="str">
        <f t="shared" si="889"/>
        <v>BiK81LKA3y--08</v>
      </c>
      <c r="AS2054" s="169" t="str">
        <f t="shared" si="890"/>
        <v/>
      </c>
      <c r="AT2054">
        <f t="shared" si="891"/>
        <v>14</v>
      </c>
      <c r="AU2054" s="170" t="str">
        <f t="shared" si="892"/>
        <v>0-0,15 MW, Bonusregeln L, y und K wenn Anlage 3 erfüllt</v>
      </c>
      <c r="AV2054" s="169" t="str">
        <f t="shared" si="893"/>
        <v/>
      </c>
      <c r="AW2054" s="170" t="str">
        <f t="shared" si="894"/>
        <v>Anteil KWK gemäß Anlage 3</v>
      </c>
      <c r="AX2054" s="169" t="str">
        <f t="shared" si="895"/>
        <v/>
      </c>
      <c r="AY2054" t="str">
        <f t="shared" si="896"/>
        <v/>
      </c>
      <c r="AZ2054" t="str">
        <f t="shared" si="897"/>
        <v/>
      </c>
    </row>
    <row r="2055" spans="1:52" x14ac:dyDescent="0.35">
      <c r="A2055" s="497" t="s">
        <v>2803</v>
      </c>
      <c r="B2055" s="13" t="s">
        <v>5547</v>
      </c>
      <c r="C2055" s="13" t="s">
        <v>5539</v>
      </c>
      <c r="D2055" s="13" t="s">
        <v>6837</v>
      </c>
      <c r="E2055" s="13" t="s">
        <v>674</v>
      </c>
      <c r="F2055" s="373">
        <f t="shared" si="904"/>
        <v>24.67</v>
      </c>
      <c r="G2055" s="430">
        <v>24.67</v>
      </c>
      <c r="H2055" s="399">
        <f t="shared" si="905"/>
        <v>19.739999999999998</v>
      </c>
      <c r="I2055" s="576"/>
      <c r="J2055" s="549" t="s">
        <v>5804</v>
      </c>
      <c r="K2055" s="11"/>
      <c r="M2055" s="37">
        <f t="shared" si="906"/>
        <v>24.67</v>
      </c>
      <c r="N2055" s="29">
        <v>11.67</v>
      </c>
      <c r="O2055" s="149"/>
      <c r="P2055" s="144"/>
      <c r="Q2055" s="145" t="s">
        <v>1017</v>
      </c>
      <c r="R2055" s="145"/>
      <c r="S2055" s="145" t="s">
        <v>4179</v>
      </c>
      <c r="T2055" t="s">
        <v>4179</v>
      </c>
      <c r="U2055" s="146" t="s">
        <v>1017</v>
      </c>
      <c r="V2055" s="145"/>
      <c r="W2055" s="147"/>
      <c r="X2055" s="147"/>
      <c r="Y2055" s="145"/>
      <c r="Z2055" s="145"/>
      <c r="AA2055" s="147"/>
      <c r="AB2055" s="145" t="s">
        <v>1017</v>
      </c>
      <c r="AC2055" s="145"/>
      <c r="AD2055" s="147"/>
      <c r="AE2055" s="148"/>
      <c r="AF2055" s="147"/>
      <c r="AG2055" s="147"/>
      <c r="AH2055" s="166" t="str">
        <f t="shared" si="903"/>
        <v/>
      </c>
      <c r="AI2055" s="168" t="str">
        <f t="shared" si="898"/>
        <v/>
      </c>
      <c r="AJ2055" s="168" t="str">
        <f t="shared" si="899"/>
        <v/>
      </c>
      <c r="AK2055" s="168" t="str">
        <f t="shared" si="900"/>
        <v/>
      </c>
      <c r="AL2055" s="168" t="str">
        <f t="shared" si="901"/>
        <v/>
      </c>
      <c r="AM2055" s="168" t="str">
        <f t="shared" si="902"/>
        <v/>
      </c>
      <c r="AN2055" s="167" t="str">
        <f t="shared" si="885"/>
        <v/>
      </c>
      <c r="AO2055" s="167" t="str">
        <f t="shared" si="886"/>
        <v/>
      </c>
      <c r="AP2055" s="167" t="str">
        <f t="shared" si="887"/>
        <v/>
      </c>
      <c r="AQ2055" s="169" t="str">
        <f t="shared" si="888"/>
        <v/>
      </c>
      <c r="AR2055" s="170" t="str">
        <f t="shared" si="889"/>
        <v>BiK81LK09y--08</v>
      </c>
      <c r="AS2055" s="169" t="str">
        <f t="shared" si="890"/>
        <v/>
      </c>
      <c r="AT2055">
        <f t="shared" si="891"/>
        <v>14</v>
      </c>
      <c r="AU2055" s="170" t="str">
        <f t="shared" si="892"/>
        <v>0-0,15 MW, Bonusregeln L, y und K erstmals 2009</v>
      </c>
      <c r="AV2055" s="169" t="str">
        <f t="shared" si="893"/>
        <v/>
      </c>
      <c r="AW2055" s="170" t="str">
        <f t="shared" si="894"/>
        <v>Anteil KWK, erstmals 2009</v>
      </c>
      <c r="AX2055" s="169" t="str">
        <f t="shared" si="895"/>
        <v/>
      </c>
      <c r="AY2055" t="str">
        <f t="shared" si="896"/>
        <v/>
      </c>
      <c r="AZ2055" t="str">
        <f t="shared" si="897"/>
        <v/>
      </c>
    </row>
    <row r="2056" spans="1:52" x14ac:dyDescent="0.35">
      <c r="A2056" s="497" t="s">
        <v>3166</v>
      </c>
      <c r="B2056" s="13" t="s">
        <v>5547</v>
      </c>
      <c r="C2056" s="13" t="s">
        <v>5539</v>
      </c>
      <c r="D2056" s="13" t="s">
        <v>6838</v>
      </c>
      <c r="E2056" s="13" t="s">
        <v>3566</v>
      </c>
      <c r="F2056" s="373">
        <f t="shared" si="904"/>
        <v>24.64</v>
      </c>
      <c r="G2056" s="430">
        <v>24.64</v>
      </c>
      <c r="H2056" s="399">
        <f t="shared" si="905"/>
        <v>19.71</v>
      </c>
      <c r="I2056" s="576"/>
      <c r="J2056" s="549" t="s">
        <v>5804</v>
      </c>
      <c r="K2056" s="11"/>
      <c r="M2056" s="37">
        <f t="shared" si="906"/>
        <v>24.64</v>
      </c>
      <c r="N2056" s="29">
        <v>11.67</v>
      </c>
      <c r="O2056" s="149"/>
      <c r="P2056" s="144"/>
      <c r="Q2056" s="145"/>
      <c r="R2056" s="145" t="s">
        <v>1017</v>
      </c>
      <c r="S2056" s="145" t="s">
        <v>4179</v>
      </c>
      <c r="T2056" t="s">
        <v>4179</v>
      </c>
      <c r="U2056" s="146" t="s">
        <v>1017</v>
      </c>
      <c r="V2056" s="145"/>
      <c r="W2056" s="147"/>
      <c r="X2056" s="147"/>
      <c r="Y2056" s="145"/>
      <c r="Z2056" s="145"/>
      <c r="AA2056" s="147"/>
      <c r="AB2056" s="145" t="s">
        <v>1017</v>
      </c>
      <c r="AC2056" s="145"/>
      <c r="AD2056" s="147"/>
      <c r="AE2056" s="148"/>
      <c r="AF2056" s="147"/>
      <c r="AG2056" s="147"/>
      <c r="AH2056" s="166" t="str">
        <f t="shared" si="903"/>
        <v>2010</v>
      </c>
      <c r="AI2056" s="168" t="str">
        <f t="shared" si="898"/>
        <v/>
      </c>
      <c r="AJ2056" s="168" t="str">
        <f t="shared" si="899"/>
        <v/>
      </c>
      <c r="AK2056" s="168" t="str">
        <f t="shared" si="900"/>
        <v/>
      </c>
      <c r="AL2056" s="168" t="str">
        <f t="shared" si="901"/>
        <v/>
      </c>
      <c r="AM2056" s="168" t="str">
        <f t="shared" si="902"/>
        <v/>
      </c>
      <c r="AN2056" s="167" t="str">
        <f t="shared" si="885"/>
        <v>2010</v>
      </c>
      <c r="AO2056" s="167" t="str">
        <f t="shared" si="886"/>
        <v>2010</v>
      </c>
      <c r="AP2056" s="167" t="str">
        <f t="shared" si="887"/>
        <v>2010</v>
      </c>
      <c r="AQ2056" s="169" t="str">
        <f t="shared" si="888"/>
        <v/>
      </c>
      <c r="AR2056" s="170" t="str">
        <f t="shared" si="889"/>
        <v>BiK81LK10y--08</v>
      </c>
      <c r="AS2056" s="169" t="str">
        <f t="shared" si="890"/>
        <v/>
      </c>
      <c r="AT2056">
        <f t="shared" si="891"/>
        <v>14</v>
      </c>
      <c r="AU2056" s="170" t="str">
        <f t="shared" si="892"/>
        <v>0-0,15 MW, Bonusregeln L, y und K erstmals 2010</v>
      </c>
      <c r="AV2056" s="169" t="str">
        <f t="shared" si="893"/>
        <v/>
      </c>
      <c r="AW2056" s="170" t="str">
        <f t="shared" si="894"/>
        <v>Anteil KWK, erstmals 2010</v>
      </c>
      <c r="AX2056" s="169" t="str">
        <f t="shared" si="895"/>
        <v/>
      </c>
      <c r="AY2056" t="str">
        <f t="shared" si="896"/>
        <v/>
      </c>
      <c r="AZ2056" t="str">
        <f t="shared" si="897"/>
        <v/>
      </c>
    </row>
    <row r="2057" spans="1:52" x14ac:dyDescent="0.35">
      <c r="A2057" s="497" t="s">
        <v>3442</v>
      </c>
      <c r="B2057" s="13" t="s">
        <v>5547</v>
      </c>
      <c r="C2057" s="13" t="s">
        <v>5539</v>
      </c>
      <c r="D2057" s="13" t="s">
        <v>6839</v>
      </c>
      <c r="E2057" s="13" t="s">
        <v>3054</v>
      </c>
      <c r="F2057" s="373">
        <f t="shared" si="904"/>
        <v>24.61</v>
      </c>
      <c r="G2057" s="430">
        <v>24.61</v>
      </c>
      <c r="H2057" s="399">
        <f t="shared" si="905"/>
        <v>19.690000000000001</v>
      </c>
      <c r="I2057" s="576"/>
      <c r="J2057" s="549" t="s">
        <v>5804</v>
      </c>
      <c r="K2057" s="11"/>
      <c r="M2057" s="37">
        <f t="shared" si="906"/>
        <v>24.61</v>
      </c>
      <c r="N2057" s="29">
        <v>11.67</v>
      </c>
      <c r="O2057" s="149"/>
      <c r="P2057" s="144"/>
      <c r="Q2057" s="145"/>
      <c r="R2057" s="145"/>
      <c r="S2057" s="145" t="s">
        <v>1017</v>
      </c>
      <c r="T2057" t="s">
        <v>4179</v>
      </c>
      <c r="U2057" s="146" t="s">
        <v>1017</v>
      </c>
      <c r="V2057" s="145"/>
      <c r="W2057" s="147"/>
      <c r="X2057" s="147"/>
      <c r="Y2057" s="145"/>
      <c r="Z2057" s="145"/>
      <c r="AA2057" s="147"/>
      <c r="AB2057" s="145" t="s">
        <v>1017</v>
      </c>
      <c r="AC2057" s="145"/>
      <c r="AD2057" s="147"/>
      <c r="AE2057" s="148"/>
      <c r="AF2057" s="147"/>
      <c r="AG2057" s="147"/>
      <c r="AH2057" s="166" t="str">
        <f t="shared" si="903"/>
        <v>2011</v>
      </c>
      <c r="AI2057" s="168" t="str">
        <f t="shared" si="898"/>
        <v/>
      </c>
      <c r="AJ2057" s="168" t="str">
        <f t="shared" si="899"/>
        <v/>
      </c>
      <c r="AK2057" s="168" t="str">
        <f t="shared" si="900"/>
        <v/>
      </c>
      <c r="AL2057" s="168" t="str">
        <f t="shared" si="901"/>
        <v/>
      </c>
      <c r="AM2057" s="168" t="str">
        <f t="shared" si="902"/>
        <v/>
      </c>
      <c r="AN2057" s="167" t="str">
        <f t="shared" si="885"/>
        <v>2011</v>
      </c>
      <c r="AO2057" s="167" t="str">
        <f t="shared" si="886"/>
        <v>2011</v>
      </c>
      <c r="AP2057" s="167" t="str">
        <f t="shared" si="887"/>
        <v>2011</v>
      </c>
      <c r="AQ2057" s="169" t="str">
        <f t="shared" si="888"/>
        <v/>
      </c>
      <c r="AR2057" s="170" t="str">
        <f t="shared" si="889"/>
        <v>BiK81LK11y--08</v>
      </c>
      <c r="AS2057" s="169" t="str">
        <f t="shared" si="890"/>
        <v/>
      </c>
      <c r="AT2057">
        <f t="shared" si="891"/>
        <v>14</v>
      </c>
      <c r="AU2057" s="170" t="str">
        <f t="shared" si="892"/>
        <v>0-0,15 MW, Bonusregeln L, y und K erstmals 2011</v>
      </c>
      <c r="AV2057" s="169" t="str">
        <f t="shared" si="893"/>
        <v/>
      </c>
      <c r="AW2057" s="170" t="str">
        <f t="shared" si="894"/>
        <v>Anteil KWK, erstmals 2011</v>
      </c>
      <c r="AX2057" s="169" t="str">
        <f t="shared" si="895"/>
        <v/>
      </c>
      <c r="AY2057" t="str">
        <f t="shared" si="896"/>
        <v>x</v>
      </c>
      <c r="AZ2057" t="str">
        <f t="shared" si="897"/>
        <v/>
      </c>
    </row>
    <row r="2058" spans="1:52" x14ac:dyDescent="0.35">
      <c r="A2058" s="511" t="s">
        <v>1875</v>
      </c>
      <c r="B2058" s="173" t="s">
        <v>5547</v>
      </c>
      <c r="C2058" s="173" t="s">
        <v>5539</v>
      </c>
      <c r="D2058" s="173" t="s">
        <v>6840</v>
      </c>
      <c r="E2058" s="173" t="s">
        <v>1980</v>
      </c>
      <c r="F2058" s="374">
        <f t="shared" si="904"/>
        <v>24.58</v>
      </c>
      <c r="G2058" s="431">
        <v>24.58</v>
      </c>
      <c r="H2058" s="400">
        <f t="shared" si="905"/>
        <v>19.66</v>
      </c>
      <c r="I2058" s="577"/>
      <c r="J2058" s="549" t="s">
        <v>5804</v>
      </c>
      <c r="K2058" s="11"/>
      <c r="M2058" s="37">
        <f t="shared" si="906"/>
        <v>24.58</v>
      </c>
      <c r="N2058" s="29">
        <v>11.67</v>
      </c>
      <c r="O2058" s="149"/>
      <c r="P2058" s="144"/>
      <c r="Q2058" s="145"/>
      <c r="R2058" s="145"/>
      <c r="S2058" s="145" t="s">
        <v>4179</v>
      </c>
      <c r="T2058" t="s">
        <v>1017</v>
      </c>
      <c r="U2058" s="146" t="s">
        <v>1017</v>
      </c>
      <c r="V2058" s="145"/>
      <c r="W2058" s="147"/>
      <c r="X2058" s="147"/>
      <c r="Y2058" s="145"/>
      <c r="Z2058" s="145"/>
      <c r="AA2058" s="147"/>
      <c r="AB2058" s="145" t="s">
        <v>1017</v>
      </c>
      <c r="AC2058" s="145"/>
      <c r="AD2058" s="147"/>
      <c r="AE2058" s="148"/>
      <c r="AF2058" s="147"/>
      <c r="AG2058" s="147"/>
      <c r="AH2058" s="171" t="s">
        <v>4178</v>
      </c>
      <c r="AI2058" s="168" t="str">
        <f t="shared" si="898"/>
        <v/>
      </c>
      <c r="AJ2058" s="168" t="str">
        <f t="shared" si="899"/>
        <v/>
      </c>
      <c r="AK2058" s="168" t="str">
        <f t="shared" si="900"/>
        <v/>
      </c>
      <c r="AL2058" s="168" t="str">
        <f t="shared" si="901"/>
        <v/>
      </c>
      <c r="AM2058" s="168" t="str">
        <f t="shared" si="902"/>
        <v/>
      </c>
      <c r="AN2058" s="167" t="str">
        <f t="shared" si="885"/>
        <v>2012</v>
      </c>
      <c r="AO2058" s="167" t="str">
        <f t="shared" si="886"/>
        <v>2012</v>
      </c>
      <c r="AP2058" s="167" t="str">
        <f t="shared" si="887"/>
        <v>2012</v>
      </c>
      <c r="AQ2058" s="169" t="str">
        <f t="shared" si="888"/>
        <v/>
      </c>
      <c r="AR2058" s="170" t="str">
        <f t="shared" si="889"/>
        <v>BiK81LK12y--08</v>
      </c>
      <c r="AS2058" s="169" t="str">
        <f t="shared" si="890"/>
        <v/>
      </c>
      <c r="AT2058">
        <f t="shared" si="891"/>
        <v>14</v>
      </c>
      <c r="AU2058" s="170" t="str">
        <f t="shared" si="892"/>
        <v>0-0,15 MW, Bonusregeln L, y und K erstmals 2012</v>
      </c>
      <c r="AV2058" s="169" t="str">
        <f t="shared" si="893"/>
        <v/>
      </c>
      <c r="AW2058" s="170" t="str">
        <f t="shared" si="894"/>
        <v>Anteil KWK, erstmals 2012</v>
      </c>
      <c r="AX2058" s="169" t="str">
        <f t="shared" si="895"/>
        <v/>
      </c>
      <c r="AY2058" t="str">
        <f t="shared" si="896"/>
        <v/>
      </c>
      <c r="AZ2058" t="str">
        <f t="shared" si="897"/>
        <v>x</v>
      </c>
    </row>
    <row r="2059" spans="1:52" x14ac:dyDescent="0.35">
      <c r="A2059" s="497" t="s">
        <v>2804</v>
      </c>
      <c r="B2059" s="13" t="s">
        <v>5547</v>
      </c>
      <c r="C2059" s="13" t="s">
        <v>5539</v>
      </c>
      <c r="D2059" s="13" t="s">
        <v>6841</v>
      </c>
      <c r="E2059" s="13" t="s">
        <v>4809</v>
      </c>
      <c r="F2059" s="373">
        <f t="shared" si="904"/>
        <v>24.67</v>
      </c>
      <c r="G2059" s="430">
        <v>24.67</v>
      </c>
      <c r="H2059" s="399">
        <f t="shared" si="905"/>
        <v>19.739999999999998</v>
      </c>
      <c r="I2059" s="576"/>
      <c r="J2059" s="549" t="s">
        <v>5804</v>
      </c>
      <c r="K2059" s="11"/>
      <c r="M2059" s="37">
        <f t="shared" si="906"/>
        <v>24.67</v>
      </c>
      <c r="N2059" s="29">
        <v>11.67</v>
      </c>
      <c r="O2059" s="149"/>
      <c r="P2059" s="144"/>
      <c r="Q2059" s="145"/>
      <c r="R2059" s="145"/>
      <c r="S2059" s="145" t="s">
        <v>4179</v>
      </c>
      <c r="T2059" t="s">
        <v>4179</v>
      </c>
      <c r="U2059" s="146"/>
      <c r="V2059" s="145"/>
      <c r="W2059" s="147"/>
      <c r="X2059" s="147"/>
      <c r="Y2059" s="145"/>
      <c r="Z2059" s="145"/>
      <c r="AA2059" s="147"/>
      <c r="AB2059" s="145"/>
      <c r="AC2059" s="145" t="s">
        <v>1017</v>
      </c>
      <c r="AD2059" s="147"/>
      <c r="AE2059" s="148"/>
      <c r="AF2059" s="147"/>
      <c r="AG2059" s="147"/>
      <c r="AH2059" s="166" t="str">
        <f t="shared" ref="AH2059:AH2064" si="907">IF(ISERROR(SEARCH("K erstmals 201",D2059)),"",RIGHT(D2059,4))</f>
        <v/>
      </c>
      <c r="AI2059" s="168" t="str">
        <f t="shared" si="898"/>
        <v/>
      </c>
      <c r="AJ2059" s="168" t="str">
        <f t="shared" si="899"/>
        <v/>
      </c>
      <c r="AK2059" s="168" t="str">
        <f t="shared" si="900"/>
        <v/>
      </c>
      <c r="AL2059" s="168" t="str">
        <f t="shared" si="901"/>
        <v/>
      </c>
      <c r="AM2059" s="168" t="str">
        <f t="shared" si="902"/>
        <v/>
      </c>
      <c r="AN2059" s="167" t="str">
        <f t="shared" si="885"/>
        <v/>
      </c>
      <c r="AO2059" s="167" t="str">
        <f t="shared" si="886"/>
        <v/>
      </c>
      <c r="AP2059" s="167" t="str">
        <f t="shared" si="887"/>
        <v/>
      </c>
      <c r="AQ2059" s="169" t="str">
        <f t="shared" si="888"/>
        <v/>
      </c>
      <c r="AR2059" s="170" t="str">
        <f t="shared" si="889"/>
        <v>BiK81X1-----08</v>
      </c>
      <c r="AS2059" s="169" t="str">
        <f t="shared" si="890"/>
        <v/>
      </c>
      <c r="AT2059">
        <f t="shared" si="891"/>
        <v>14</v>
      </c>
      <c r="AU2059" s="170" t="str">
        <f t="shared" si="892"/>
        <v>0-0,15 MW, Bonusregel X1</v>
      </c>
      <c r="AV2059" s="169" t="str">
        <f t="shared" si="893"/>
        <v/>
      </c>
      <c r="AW2059" s="170" t="str">
        <f t="shared" si="894"/>
        <v>Anteil Nicht-KWK</v>
      </c>
      <c r="AX2059" s="169" t="str">
        <f t="shared" si="895"/>
        <v/>
      </c>
      <c r="AY2059" t="str">
        <f t="shared" si="896"/>
        <v/>
      </c>
      <c r="AZ2059" t="str">
        <f t="shared" si="897"/>
        <v/>
      </c>
    </row>
    <row r="2060" spans="1:52" x14ac:dyDescent="0.35">
      <c r="A2060" s="497" t="s">
        <v>2805</v>
      </c>
      <c r="B2060" s="13" t="s">
        <v>5547</v>
      </c>
      <c r="C2060" s="13" t="s">
        <v>5539</v>
      </c>
      <c r="D2060" s="13" t="s">
        <v>6900</v>
      </c>
      <c r="E2060" s="13" t="s">
        <v>4811</v>
      </c>
      <c r="F2060" s="373">
        <f t="shared" si="904"/>
        <v>26.67</v>
      </c>
      <c r="G2060" s="430">
        <v>26.67</v>
      </c>
      <c r="H2060" s="399">
        <f t="shared" si="905"/>
        <v>21.34</v>
      </c>
      <c r="I2060" s="576"/>
      <c r="J2060" s="549" t="s">
        <v>5804</v>
      </c>
      <c r="K2060" s="11"/>
      <c r="M2060" s="37">
        <f t="shared" si="906"/>
        <v>26.67</v>
      </c>
      <c r="N2060" s="29">
        <v>11.67</v>
      </c>
      <c r="O2060" s="149" t="s">
        <v>1017</v>
      </c>
      <c r="P2060" s="144"/>
      <c r="Q2060" s="145"/>
      <c r="R2060" s="145"/>
      <c r="S2060" s="145" t="s">
        <v>4179</v>
      </c>
      <c r="T2060" t="s">
        <v>4179</v>
      </c>
      <c r="U2060" s="146"/>
      <c r="V2060" s="145"/>
      <c r="W2060" s="147"/>
      <c r="X2060" s="147"/>
      <c r="Y2060" s="145"/>
      <c r="Z2060" s="145"/>
      <c r="AA2060" s="147"/>
      <c r="AB2060" s="145"/>
      <c r="AC2060" s="145" t="s">
        <v>1017</v>
      </c>
      <c r="AD2060" s="147"/>
      <c r="AE2060" s="148"/>
      <c r="AF2060" s="147"/>
      <c r="AG2060" s="147"/>
      <c r="AH2060" s="166" t="str">
        <f t="shared" si="907"/>
        <v/>
      </c>
      <c r="AI2060" s="168" t="str">
        <f t="shared" si="898"/>
        <v/>
      </c>
      <c r="AJ2060" s="168" t="str">
        <f t="shared" si="899"/>
        <v/>
      </c>
      <c r="AK2060" s="168" t="str">
        <f t="shared" si="900"/>
        <v/>
      </c>
      <c r="AL2060" s="168" t="str">
        <f t="shared" si="901"/>
        <v/>
      </c>
      <c r="AM2060" s="168" t="str">
        <f t="shared" si="902"/>
        <v/>
      </c>
      <c r="AN2060" s="167" t="str">
        <f t="shared" si="885"/>
        <v/>
      </c>
      <c r="AO2060" s="167" t="str">
        <f t="shared" si="886"/>
        <v/>
      </c>
      <c r="AP2060" s="167" t="str">
        <f t="shared" si="887"/>
        <v/>
      </c>
      <c r="AQ2060" s="169" t="str">
        <f t="shared" si="888"/>
        <v/>
      </c>
      <c r="AR2060" s="170" t="str">
        <f t="shared" si="889"/>
        <v>BiK81X1KWK--08</v>
      </c>
      <c r="AS2060" s="169" t="str">
        <f t="shared" si="890"/>
        <v/>
      </c>
      <c r="AT2060">
        <f t="shared" si="891"/>
        <v>14</v>
      </c>
      <c r="AU2060" s="170" t="str">
        <f t="shared" si="892"/>
        <v>0-0,15 MW, Bonusregeln X1 und KWK</v>
      </c>
      <c r="AV2060" s="169" t="str">
        <f t="shared" si="893"/>
        <v/>
      </c>
      <c r="AW2060" s="170" t="str">
        <f t="shared" si="894"/>
        <v>Anteil KWK</v>
      </c>
      <c r="AX2060" s="169" t="str">
        <f t="shared" si="895"/>
        <v/>
      </c>
      <c r="AY2060" t="str">
        <f t="shared" si="896"/>
        <v/>
      </c>
      <c r="AZ2060" t="str">
        <f t="shared" si="897"/>
        <v/>
      </c>
    </row>
    <row r="2061" spans="1:52" s="145" customFormat="1" x14ac:dyDescent="0.35">
      <c r="A2061" s="497" t="s">
        <v>2806</v>
      </c>
      <c r="B2061" s="13" t="s">
        <v>5547</v>
      </c>
      <c r="C2061" s="13" t="s">
        <v>5539</v>
      </c>
      <c r="D2061" s="13" t="s">
        <v>6842</v>
      </c>
      <c r="E2061" s="13" t="s">
        <v>4330</v>
      </c>
      <c r="F2061" s="373">
        <f t="shared" si="904"/>
        <v>27.67</v>
      </c>
      <c r="G2061" s="430">
        <v>27.67</v>
      </c>
      <c r="H2061" s="399">
        <f t="shared" si="905"/>
        <v>22.14</v>
      </c>
      <c r="I2061" s="576"/>
      <c r="J2061" s="549" t="s">
        <v>5804</v>
      </c>
      <c r="K2061" s="11"/>
      <c r="L2061"/>
      <c r="M2061" s="37">
        <f t="shared" si="906"/>
        <v>27.67</v>
      </c>
      <c r="N2061" s="29">
        <v>11.67</v>
      </c>
      <c r="O2061" s="149"/>
      <c r="P2061" s="145" t="s">
        <v>1017</v>
      </c>
      <c r="S2061" s="145" t="s">
        <v>4179</v>
      </c>
      <c r="T2061" s="145" t="s">
        <v>4179</v>
      </c>
      <c r="U2061" s="146"/>
      <c r="W2061" s="147"/>
      <c r="X2061" s="147"/>
      <c r="AA2061" s="147"/>
      <c r="AC2061" s="145" t="s">
        <v>1017</v>
      </c>
      <c r="AD2061" s="147"/>
      <c r="AE2061" s="148"/>
      <c r="AF2061" s="147"/>
      <c r="AG2061" s="147"/>
      <c r="AH2061" s="166" t="str">
        <f t="shared" si="907"/>
        <v/>
      </c>
      <c r="AI2061" s="168" t="str">
        <f t="shared" si="898"/>
        <v/>
      </c>
      <c r="AJ2061" s="168" t="str">
        <f t="shared" si="899"/>
        <v/>
      </c>
      <c r="AK2061" s="168" t="str">
        <f t="shared" si="900"/>
        <v/>
      </c>
      <c r="AL2061" s="168" t="str">
        <f t="shared" si="901"/>
        <v/>
      </c>
      <c r="AM2061" s="168" t="str">
        <f t="shared" si="902"/>
        <v/>
      </c>
      <c r="AN2061" s="167" t="str">
        <f t="shared" si="885"/>
        <v/>
      </c>
      <c r="AO2061" s="167" t="str">
        <f t="shared" si="886"/>
        <v/>
      </c>
      <c r="AP2061" s="167" t="str">
        <f t="shared" si="887"/>
        <v/>
      </c>
      <c r="AQ2061" s="169" t="str">
        <f t="shared" si="888"/>
        <v/>
      </c>
      <c r="AR2061" s="170" t="str">
        <f t="shared" si="889"/>
        <v>BiK81X1KA3--08</v>
      </c>
      <c r="AS2061" s="169" t="str">
        <f t="shared" si="890"/>
        <v/>
      </c>
      <c r="AT2061">
        <f t="shared" si="891"/>
        <v>14</v>
      </c>
      <c r="AU2061" s="170" t="str">
        <f t="shared" si="892"/>
        <v>0-0,15 MW, Bonusregeln X1 und K wenn Anlage 3 erfüllt</v>
      </c>
      <c r="AV2061" s="169" t="str">
        <f t="shared" si="893"/>
        <v/>
      </c>
      <c r="AW2061" s="170" t="str">
        <f t="shared" si="894"/>
        <v>Anteil KWK gemäß Anlage 3</v>
      </c>
      <c r="AX2061" s="169" t="str">
        <f t="shared" si="895"/>
        <v/>
      </c>
      <c r="AY2061" t="str">
        <f t="shared" si="896"/>
        <v/>
      </c>
      <c r="AZ2061" t="str">
        <f t="shared" si="897"/>
        <v/>
      </c>
    </row>
    <row r="2062" spans="1:52" s="145" customFormat="1" x14ac:dyDescent="0.35">
      <c r="A2062" s="497" t="s">
        <v>2807</v>
      </c>
      <c r="B2062" s="13" t="s">
        <v>5547</v>
      </c>
      <c r="C2062" s="13" t="s">
        <v>5539</v>
      </c>
      <c r="D2062" s="13" t="s">
        <v>6843</v>
      </c>
      <c r="E2062" s="13" t="s">
        <v>674</v>
      </c>
      <c r="F2062" s="373">
        <f t="shared" si="904"/>
        <v>27.67</v>
      </c>
      <c r="G2062" s="430">
        <v>27.67</v>
      </c>
      <c r="H2062" s="399">
        <f t="shared" si="905"/>
        <v>22.14</v>
      </c>
      <c r="I2062" s="576"/>
      <c r="J2062" s="549" t="s">
        <v>5804</v>
      </c>
      <c r="K2062" s="11"/>
      <c r="L2062"/>
      <c r="M2062" s="37">
        <f t="shared" si="906"/>
        <v>27.67</v>
      </c>
      <c r="N2062" s="29">
        <v>11.67</v>
      </c>
      <c r="O2062" s="149"/>
      <c r="P2062" s="144"/>
      <c r="Q2062" s="145" t="s">
        <v>1017</v>
      </c>
      <c r="S2062" s="145" t="s">
        <v>4179</v>
      </c>
      <c r="T2062" s="145" t="s">
        <v>4179</v>
      </c>
      <c r="U2062" s="146"/>
      <c r="W2062" s="147"/>
      <c r="X2062" s="147"/>
      <c r="AA2062" s="147"/>
      <c r="AC2062" s="145" t="s">
        <v>1017</v>
      </c>
      <c r="AD2062" s="147"/>
      <c r="AE2062" s="148"/>
      <c r="AF2062" s="147"/>
      <c r="AG2062" s="147"/>
      <c r="AH2062" s="166" t="str">
        <f t="shared" si="907"/>
        <v/>
      </c>
      <c r="AI2062" s="168" t="str">
        <f t="shared" si="898"/>
        <v/>
      </c>
      <c r="AJ2062" s="168" t="str">
        <f t="shared" si="899"/>
        <v/>
      </c>
      <c r="AK2062" s="168" t="str">
        <f t="shared" si="900"/>
        <v/>
      </c>
      <c r="AL2062" s="168" t="str">
        <f t="shared" si="901"/>
        <v/>
      </c>
      <c r="AM2062" s="168" t="str">
        <f t="shared" si="902"/>
        <v/>
      </c>
      <c r="AN2062" s="167" t="str">
        <f t="shared" si="885"/>
        <v/>
      </c>
      <c r="AO2062" s="167" t="str">
        <f t="shared" si="886"/>
        <v/>
      </c>
      <c r="AP2062" s="167" t="str">
        <f t="shared" si="887"/>
        <v/>
      </c>
      <c r="AQ2062" s="169" t="str">
        <f t="shared" si="888"/>
        <v/>
      </c>
      <c r="AR2062" s="170" t="str">
        <f t="shared" si="889"/>
        <v>BiK81X1K09--08</v>
      </c>
      <c r="AS2062" s="169" t="str">
        <f t="shared" si="890"/>
        <v/>
      </c>
      <c r="AT2062">
        <f t="shared" si="891"/>
        <v>14</v>
      </c>
      <c r="AU2062" s="170" t="str">
        <f t="shared" si="892"/>
        <v>0-0,15 MW, Bonusregeln X1 und K erstmals 2009</v>
      </c>
      <c r="AV2062" s="169" t="str">
        <f t="shared" si="893"/>
        <v/>
      </c>
      <c r="AW2062" s="170" t="str">
        <f t="shared" si="894"/>
        <v>Anteil KWK, erstmals 2009</v>
      </c>
      <c r="AX2062" s="169" t="str">
        <f t="shared" si="895"/>
        <v/>
      </c>
      <c r="AY2062" t="str">
        <f t="shared" si="896"/>
        <v/>
      </c>
      <c r="AZ2062" t="str">
        <f t="shared" si="897"/>
        <v/>
      </c>
    </row>
    <row r="2063" spans="1:52" s="145" customFormat="1" x14ac:dyDescent="0.35">
      <c r="A2063" s="497" t="s">
        <v>3167</v>
      </c>
      <c r="B2063" s="13" t="s">
        <v>5547</v>
      </c>
      <c r="C2063" s="13" t="s">
        <v>5539</v>
      </c>
      <c r="D2063" s="13" t="s">
        <v>6844</v>
      </c>
      <c r="E2063" s="13" t="s">
        <v>3566</v>
      </c>
      <c r="F2063" s="373">
        <f t="shared" si="904"/>
        <v>27.64</v>
      </c>
      <c r="G2063" s="430">
        <v>27.64</v>
      </c>
      <c r="H2063" s="399">
        <f t="shared" si="905"/>
        <v>22.11</v>
      </c>
      <c r="I2063" s="576"/>
      <c r="J2063" s="549" t="s">
        <v>5804</v>
      </c>
      <c r="K2063" s="11"/>
      <c r="L2063"/>
      <c r="M2063" s="37">
        <f t="shared" si="906"/>
        <v>27.64</v>
      </c>
      <c r="N2063" s="29">
        <v>11.67</v>
      </c>
      <c r="O2063" s="149"/>
      <c r="P2063" s="144"/>
      <c r="R2063" s="145" t="s">
        <v>1017</v>
      </c>
      <c r="S2063" s="145" t="s">
        <v>4179</v>
      </c>
      <c r="T2063" s="145" t="s">
        <v>4179</v>
      </c>
      <c r="U2063" s="146"/>
      <c r="W2063" s="147"/>
      <c r="X2063" s="147"/>
      <c r="AA2063" s="147"/>
      <c r="AC2063" s="145" t="s">
        <v>1017</v>
      </c>
      <c r="AD2063" s="147"/>
      <c r="AE2063" s="148"/>
      <c r="AF2063" s="147"/>
      <c r="AG2063" s="147"/>
      <c r="AH2063" s="166" t="str">
        <f t="shared" si="907"/>
        <v>2010</v>
      </c>
      <c r="AI2063" s="168" t="str">
        <f t="shared" si="898"/>
        <v/>
      </c>
      <c r="AJ2063" s="168" t="str">
        <f t="shared" si="899"/>
        <v/>
      </c>
      <c r="AK2063" s="168" t="str">
        <f t="shared" si="900"/>
        <v/>
      </c>
      <c r="AL2063" s="168" t="str">
        <f t="shared" si="901"/>
        <v/>
      </c>
      <c r="AM2063" s="168" t="str">
        <f t="shared" si="902"/>
        <v/>
      </c>
      <c r="AN2063" s="167" t="str">
        <f t="shared" si="885"/>
        <v>2010</v>
      </c>
      <c r="AO2063" s="167" t="str">
        <f t="shared" si="886"/>
        <v>2010</v>
      </c>
      <c r="AP2063" s="167" t="str">
        <f t="shared" si="887"/>
        <v>2010</v>
      </c>
      <c r="AQ2063" s="169" t="str">
        <f t="shared" si="888"/>
        <v/>
      </c>
      <c r="AR2063" s="170" t="str">
        <f t="shared" si="889"/>
        <v>BiK81X1K10--08</v>
      </c>
      <c r="AS2063" s="169" t="str">
        <f t="shared" si="890"/>
        <v/>
      </c>
      <c r="AT2063">
        <f t="shared" si="891"/>
        <v>14</v>
      </c>
      <c r="AU2063" s="170" t="str">
        <f t="shared" si="892"/>
        <v>0-0,15 MW, Bonusregeln X1 und K erstmals 2010</v>
      </c>
      <c r="AV2063" s="169" t="str">
        <f t="shared" si="893"/>
        <v/>
      </c>
      <c r="AW2063" s="170" t="str">
        <f t="shared" si="894"/>
        <v>Anteil KWK, erstmals 2010</v>
      </c>
      <c r="AX2063" s="169" t="str">
        <f t="shared" si="895"/>
        <v/>
      </c>
      <c r="AY2063" t="str">
        <f t="shared" si="896"/>
        <v/>
      </c>
      <c r="AZ2063" t="str">
        <f t="shared" si="897"/>
        <v/>
      </c>
    </row>
    <row r="2064" spans="1:52" s="145" customFormat="1" x14ac:dyDescent="0.35">
      <c r="A2064" s="497" t="s">
        <v>3443</v>
      </c>
      <c r="B2064" s="13" t="s">
        <v>5547</v>
      </c>
      <c r="C2064" s="13" t="s">
        <v>5539</v>
      </c>
      <c r="D2064" s="13" t="s">
        <v>6845</v>
      </c>
      <c r="E2064" s="13" t="s">
        <v>3054</v>
      </c>
      <c r="F2064" s="373">
        <f t="shared" si="904"/>
        <v>27.61</v>
      </c>
      <c r="G2064" s="430">
        <v>27.61</v>
      </c>
      <c r="H2064" s="399">
        <f t="shared" si="905"/>
        <v>22.09</v>
      </c>
      <c r="I2064" s="576"/>
      <c r="J2064" s="549" t="s">
        <v>5804</v>
      </c>
      <c r="K2064" s="11"/>
      <c r="L2064"/>
      <c r="M2064" s="37">
        <f t="shared" si="906"/>
        <v>27.61</v>
      </c>
      <c r="N2064" s="29">
        <v>11.67</v>
      </c>
      <c r="O2064" s="149"/>
      <c r="P2064" s="144"/>
      <c r="S2064" s="145" t="s">
        <v>1017</v>
      </c>
      <c r="T2064" s="145" t="s">
        <v>4179</v>
      </c>
      <c r="U2064" s="146"/>
      <c r="W2064" s="147"/>
      <c r="X2064" s="147"/>
      <c r="AA2064" s="147"/>
      <c r="AC2064" s="145" t="s">
        <v>1017</v>
      </c>
      <c r="AD2064" s="147"/>
      <c r="AE2064" s="148"/>
      <c r="AF2064" s="147"/>
      <c r="AG2064" s="147"/>
      <c r="AH2064" s="166" t="str">
        <f t="shared" si="907"/>
        <v>2011</v>
      </c>
      <c r="AI2064" s="168" t="str">
        <f t="shared" si="898"/>
        <v/>
      </c>
      <c r="AJ2064" s="168" t="str">
        <f t="shared" si="899"/>
        <v/>
      </c>
      <c r="AK2064" s="168" t="str">
        <f t="shared" si="900"/>
        <v/>
      </c>
      <c r="AL2064" s="168" t="str">
        <f t="shared" si="901"/>
        <v/>
      </c>
      <c r="AM2064" s="168" t="str">
        <f t="shared" si="902"/>
        <v/>
      </c>
      <c r="AN2064" s="167" t="str">
        <f t="shared" si="885"/>
        <v>2011</v>
      </c>
      <c r="AO2064" s="167" t="str">
        <f t="shared" si="886"/>
        <v>2011</v>
      </c>
      <c r="AP2064" s="167" t="str">
        <f t="shared" si="887"/>
        <v>2011</v>
      </c>
      <c r="AQ2064" s="169" t="str">
        <f t="shared" si="888"/>
        <v/>
      </c>
      <c r="AR2064" s="170" t="str">
        <f t="shared" si="889"/>
        <v>BiK81X1K11--08</v>
      </c>
      <c r="AS2064" s="169" t="str">
        <f t="shared" si="890"/>
        <v/>
      </c>
      <c r="AT2064">
        <f t="shared" si="891"/>
        <v>14</v>
      </c>
      <c r="AU2064" s="170" t="str">
        <f t="shared" si="892"/>
        <v>0-0,15 MW, Bonusregeln X1 und K erstmals 2011</v>
      </c>
      <c r="AV2064" s="169" t="str">
        <f t="shared" si="893"/>
        <v/>
      </c>
      <c r="AW2064" s="170" t="str">
        <f t="shared" si="894"/>
        <v>Anteil KWK, erstmals 2011</v>
      </c>
      <c r="AX2064" s="169" t="str">
        <f t="shared" si="895"/>
        <v/>
      </c>
      <c r="AY2064" t="str">
        <f t="shared" si="896"/>
        <v>x</v>
      </c>
      <c r="AZ2064" t="str">
        <f t="shared" si="897"/>
        <v/>
      </c>
    </row>
    <row r="2065" spans="1:52" s="145" customFormat="1" x14ac:dyDescent="0.35">
      <c r="A2065" s="511" t="s">
        <v>1876</v>
      </c>
      <c r="B2065" s="173" t="s">
        <v>5547</v>
      </c>
      <c r="C2065" s="173" t="s">
        <v>5539</v>
      </c>
      <c r="D2065" s="173" t="s">
        <v>6846</v>
      </c>
      <c r="E2065" s="173" t="s">
        <v>1980</v>
      </c>
      <c r="F2065" s="374">
        <f t="shared" si="904"/>
        <v>27.58</v>
      </c>
      <c r="G2065" s="431">
        <v>27.58</v>
      </c>
      <c r="H2065" s="400">
        <f t="shared" si="905"/>
        <v>22.06</v>
      </c>
      <c r="I2065" s="577"/>
      <c r="J2065" s="549" t="s">
        <v>5804</v>
      </c>
      <c r="K2065" s="11"/>
      <c r="L2065"/>
      <c r="M2065" s="37">
        <f t="shared" si="906"/>
        <v>27.58</v>
      </c>
      <c r="N2065" s="29">
        <v>11.67</v>
      </c>
      <c r="O2065" s="149"/>
      <c r="P2065" s="144"/>
      <c r="S2065" s="145" t="s">
        <v>4179</v>
      </c>
      <c r="T2065" s="145" t="s">
        <v>1017</v>
      </c>
      <c r="U2065" s="146"/>
      <c r="W2065" s="147"/>
      <c r="X2065" s="147"/>
      <c r="AA2065" s="147"/>
      <c r="AC2065" s="145" t="s">
        <v>1017</v>
      </c>
      <c r="AD2065" s="147"/>
      <c r="AE2065" s="148"/>
      <c r="AF2065" s="147"/>
      <c r="AG2065" s="147"/>
      <c r="AH2065" s="171" t="s">
        <v>4178</v>
      </c>
      <c r="AI2065" s="168" t="str">
        <f t="shared" si="898"/>
        <v/>
      </c>
      <c r="AJ2065" s="168" t="str">
        <f t="shared" si="899"/>
        <v/>
      </c>
      <c r="AK2065" s="168" t="str">
        <f t="shared" si="900"/>
        <v/>
      </c>
      <c r="AL2065" s="168" t="str">
        <f t="shared" si="901"/>
        <v/>
      </c>
      <c r="AM2065" s="168" t="str">
        <f t="shared" si="902"/>
        <v/>
      </c>
      <c r="AN2065" s="167" t="str">
        <f t="shared" si="885"/>
        <v>2012</v>
      </c>
      <c r="AO2065" s="167" t="str">
        <f t="shared" si="886"/>
        <v>2012</v>
      </c>
      <c r="AP2065" s="167" t="str">
        <f t="shared" si="887"/>
        <v>2012</v>
      </c>
      <c r="AQ2065" s="169" t="str">
        <f t="shared" si="888"/>
        <v/>
      </c>
      <c r="AR2065" s="170" t="str">
        <f t="shared" si="889"/>
        <v>BiK81X1K12--08</v>
      </c>
      <c r="AS2065" s="169" t="str">
        <f t="shared" si="890"/>
        <v/>
      </c>
      <c r="AT2065">
        <f t="shared" si="891"/>
        <v>14</v>
      </c>
      <c r="AU2065" s="170" t="str">
        <f t="shared" si="892"/>
        <v>0-0,15 MW, Bonusregeln X1 und K erstmals 2012</v>
      </c>
      <c r="AV2065" s="169" t="str">
        <f t="shared" si="893"/>
        <v/>
      </c>
      <c r="AW2065" s="170" t="str">
        <f t="shared" si="894"/>
        <v>Anteil KWK, erstmals 2012</v>
      </c>
      <c r="AX2065" s="169" t="str">
        <f t="shared" si="895"/>
        <v/>
      </c>
      <c r="AY2065" t="str">
        <f t="shared" si="896"/>
        <v/>
      </c>
      <c r="AZ2065" t="str">
        <f t="shared" si="897"/>
        <v>x</v>
      </c>
    </row>
    <row r="2066" spans="1:52" s="145" customFormat="1" x14ac:dyDescent="0.35">
      <c r="A2066" s="497" t="s">
        <v>4154</v>
      </c>
      <c r="B2066" s="13" t="s">
        <v>5547</v>
      </c>
      <c r="C2066" s="13" t="s">
        <v>5539</v>
      </c>
      <c r="D2066" s="13" t="s">
        <v>6847</v>
      </c>
      <c r="E2066" s="13" t="s">
        <v>4809</v>
      </c>
      <c r="F2066" s="373">
        <f t="shared" si="904"/>
        <v>25.67</v>
      </c>
      <c r="G2066" s="430">
        <v>25.67</v>
      </c>
      <c r="H2066" s="399">
        <f t="shared" si="905"/>
        <v>20.54</v>
      </c>
      <c r="I2066" s="576"/>
      <c r="J2066" s="549" t="s">
        <v>5804</v>
      </c>
      <c r="K2066" s="11"/>
      <c r="L2066"/>
      <c r="M2066" s="37">
        <f t="shared" si="906"/>
        <v>25.67</v>
      </c>
      <c r="N2066" s="29">
        <v>11.67</v>
      </c>
      <c r="O2066" s="149"/>
      <c r="P2066" s="144"/>
      <c r="S2066" s="145" t="s">
        <v>4179</v>
      </c>
      <c r="T2066" s="145" t="s">
        <v>4179</v>
      </c>
      <c r="U2066" s="146" t="s">
        <v>1017</v>
      </c>
      <c r="W2066" s="147"/>
      <c r="X2066" s="147"/>
      <c r="AA2066" s="147"/>
      <c r="AC2066" s="145" t="s">
        <v>1017</v>
      </c>
      <c r="AD2066" s="147"/>
      <c r="AE2066" s="148"/>
      <c r="AF2066" s="147"/>
      <c r="AG2066" s="147"/>
      <c r="AH2066" s="166" t="str">
        <f t="shared" ref="AH2066:AH2071" si="908">IF(ISERROR(SEARCH("K erstmals 201",D2066)),"",RIGHT(D2066,4))</f>
        <v/>
      </c>
      <c r="AI2066" s="168" t="str">
        <f t="shared" si="898"/>
        <v/>
      </c>
      <c r="AJ2066" s="168" t="str">
        <f t="shared" si="899"/>
        <v/>
      </c>
      <c r="AK2066" s="168" t="str">
        <f t="shared" si="900"/>
        <v/>
      </c>
      <c r="AL2066" s="168" t="str">
        <f t="shared" si="901"/>
        <v/>
      </c>
      <c r="AM2066" s="168" t="str">
        <f t="shared" si="902"/>
        <v/>
      </c>
      <c r="AN2066" s="167" t="str">
        <f t="shared" si="885"/>
        <v/>
      </c>
      <c r="AO2066" s="167" t="str">
        <f t="shared" si="886"/>
        <v/>
      </c>
      <c r="AP2066" s="167" t="str">
        <f t="shared" si="887"/>
        <v/>
      </c>
      <c r="AQ2066" s="169" t="str">
        <f t="shared" si="888"/>
        <v/>
      </c>
      <c r="AR2066" s="170" t="str">
        <f t="shared" si="889"/>
        <v>BiK81X1y----08</v>
      </c>
      <c r="AS2066" s="169" t="str">
        <f t="shared" si="890"/>
        <v/>
      </c>
      <c r="AT2066">
        <f t="shared" si="891"/>
        <v>14</v>
      </c>
      <c r="AU2066" s="170" t="str">
        <f t="shared" si="892"/>
        <v>0-0,15 MW, Bonusregeln X1, y</v>
      </c>
      <c r="AV2066" s="169" t="str">
        <f t="shared" si="893"/>
        <v/>
      </c>
      <c r="AW2066" s="170" t="str">
        <f t="shared" si="894"/>
        <v>Anteil Nicht-KWK</v>
      </c>
      <c r="AX2066" s="169" t="str">
        <f t="shared" si="895"/>
        <v/>
      </c>
      <c r="AY2066" t="str">
        <f t="shared" si="896"/>
        <v/>
      </c>
      <c r="AZ2066" t="str">
        <f t="shared" si="897"/>
        <v/>
      </c>
    </row>
    <row r="2067" spans="1:52" s="145" customFormat="1" x14ac:dyDescent="0.35">
      <c r="A2067" s="497" t="s">
        <v>4155</v>
      </c>
      <c r="B2067" s="13" t="s">
        <v>5547</v>
      </c>
      <c r="C2067" s="13" t="s">
        <v>5539</v>
      </c>
      <c r="D2067" s="13" t="s">
        <v>6901</v>
      </c>
      <c r="E2067" s="13" t="s">
        <v>4811</v>
      </c>
      <c r="F2067" s="373">
        <f t="shared" si="904"/>
        <v>27.67</v>
      </c>
      <c r="G2067" s="430">
        <v>27.67</v>
      </c>
      <c r="H2067" s="399">
        <f t="shared" si="905"/>
        <v>22.14</v>
      </c>
      <c r="I2067" s="576"/>
      <c r="J2067" s="549" t="s">
        <v>5804</v>
      </c>
      <c r="K2067" s="11"/>
      <c r="L2067"/>
      <c r="M2067" s="37">
        <f t="shared" si="906"/>
        <v>27.67</v>
      </c>
      <c r="N2067" s="29">
        <v>11.67</v>
      </c>
      <c r="O2067" s="149" t="s">
        <v>1017</v>
      </c>
      <c r="P2067" s="144"/>
      <c r="S2067" s="145" t="s">
        <v>4179</v>
      </c>
      <c r="T2067" s="145" t="s">
        <v>4179</v>
      </c>
      <c r="U2067" s="146" t="s">
        <v>1017</v>
      </c>
      <c r="W2067" s="147"/>
      <c r="X2067" s="147"/>
      <c r="AA2067" s="147"/>
      <c r="AC2067" s="145" t="s">
        <v>1017</v>
      </c>
      <c r="AD2067" s="147"/>
      <c r="AE2067" s="148"/>
      <c r="AF2067" s="147"/>
      <c r="AG2067" s="147"/>
      <c r="AH2067" s="166" t="str">
        <f t="shared" si="908"/>
        <v/>
      </c>
      <c r="AI2067" s="168" t="str">
        <f t="shared" si="898"/>
        <v/>
      </c>
      <c r="AJ2067" s="168" t="str">
        <f t="shared" si="899"/>
        <v/>
      </c>
      <c r="AK2067" s="168" t="str">
        <f t="shared" si="900"/>
        <v/>
      </c>
      <c r="AL2067" s="168" t="str">
        <f t="shared" si="901"/>
        <v/>
      </c>
      <c r="AM2067" s="168" t="str">
        <f t="shared" si="902"/>
        <v/>
      </c>
      <c r="AN2067" s="167" t="str">
        <f t="shared" si="885"/>
        <v/>
      </c>
      <c r="AO2067" s="167" t="str">
        <f t="shared" si="886"/>
        <v/>
      </c>
      <c r="AP2067" s="167" t="str">
        <f t="shared" si="887"/>
        <v/>
      </c>
      <c r="AQ2067" s="169" t="str">
        <f t="shared" si="888"/>
        <v/>
      </c>
      <c r="AR2067" s="170" t="str">
        <f t="shared" si="889"/>
        <v>BiK81X1KWKy-08</v>
      </c>
      <c r="AS2067" s="169" t="str">
        <f t="shared" si="890"/>
        <v/>
      </c>
      <c r="AT2067">
        <f t="shared" si="891"/>
        <v>14</v>
      </c>
      <c r="AU2067" s="170" t="str">
        <f t="shared" si="892"/>
        <v>0-0,15 MW, Bonusregeln X1, y und KWK</v>
      </c>
      <c r="AV2067" s="169" t="str">
        <f t="shared" si="893"/>
        <v/>
      </c>
      <c r="AW2067" s="170" t="str">
        <f t="shared" si="894"/>
        <v>Anteil KWK</v>
      </c>
      <c r="AX2067" s="169" t="str">
        <f t="shared" si="895"/>
        <v/>
      </c>
      <c r="AY2067" t="str">
        <f t="shared" si="896"/>
        <v/>
      </c>
      <c r="AZ2067" t="str">
        <f t="shared" si="897"/>
        <v/>
      </c>
    </row>
    <row r="2068" spans="1:52" s="145" customFormat="1" x14ac:dyDescent="0.35">
      <c r="A2068" s="497" t="s">
        <v>4156</v>
      </c>
      <c r="B2068" s="13" t="s">
        <v>5547</v>
      </c>
      <c r="C2068" s="13" t="s">
        <v>5539</v>
      </c>
      <c r="D2068" s="88" t="s">
        <v>6848</v>
      </c>
      <c r="E2068" s="13" t="s">
        <v>4330</v>
      </c>
      <c r="F2068" s="373">
        <f t="shared" si="904"/>
        <v>28.67</v>
      </c>
      <c r="G2068" s="430">
        <v>28.67</v>
      </c>
      <c r="H2068" s="399">
        <f t="shared" si="905"/>
        <v>22.94</v>
      </c>
      <c r="I2068" s="576"/>
      <c r="J2068" s="549" t="s">
        <v>5804</v>
      </c>
      <c r="K2068" s="11"/>
      <c r="L2068"/>
      <c r="M2068" s="37">
        <f t="shared" si="906"/>
        <v>28.67</v>
      </c>
      <c r="N2068" s="29">
        <v>11.67</v>
      </c>
      <c r="O2068" s="149"/>
      <c r="P2068" s="145" t="s">
        <v>1017</v>
      </c>
      <c r="S2068" s="145" t="s">
        <v>4179</v>
      </c>
      <c r="T2068" s="145" t="s">
        <v>4179</v>
      </c>
      <c r="U2068" s="146" t="s">
        <v>1017</v>
      </c>
      <c r="W2068" s="147"/>
      <c r="X2068" s="147"/>
      <c r="AA2068" s="147"/>
      <c r="AC2068" s="145" t="s">
        <v>1017</v>
      </c>
      <c r="AD2068" s="147"/>
      <c r="AE2068" s="148"/>
      <c r="AF2068" s="147"/>
      <c r="AG2068" s="147"/>
      <c r="AH2068" s="166" t="str">
        <f t="shared" si="908"/>
        <v/>
      </c>
      <c r="AI2068" s="168" t="str">
        <f t="shared" si="898"/>
        <v/>
      </c>
      <c r="AJ2068" s="168" t="str">
        <f t="shared" si="899"/>
        <v/>
      </c>
      <c r="AK2068" s="168" t="str">
        <f t="shared" si="900"/>
        <v/>
      </c>
      <c r="AL2068" s="168" t="str">
        <f t="shared" si="901"/>
        <v/>
      </c>
      <c r="AM2068" s="168" t="str">
        <f t="shared" si="902"/>
        <v/>
      </c>
      <c r="AN2068" s="167" t="str">
        <f t="shared" si="885"/>
        <v/>
      </c>
      <c r="AO2068" s="167" t="str">
        <f t="shared" si="886"/>
        <v/>
      </c>
      <c r="AP2068" s="167" t="str">
        <f t="shared" si="887"/>
        <v/>
      </c>
      <c r="AQ2068" s="169" t="str">
        <f t="shared" si="888"/>
        <v/>
      </c>
      <c r="AR2068" s="170" t="str">
        <f t="shared" si="889"/>
        <v>BiK81X1KA3y-08</v>
      </c>
      <c r="AS2068" s="169" t="str">
        <f t="shared" si="890"/>
        <v/>
      </c>
      <c r="AT2068">
        <f t="shared" si="891"/>
        <v>14</v>
      </c>
      <c r="AU2068" s="170" t="str">
        <f t="shared" si="892"/>
        <v>0-0,15 MW, Bonusregeln X1, y und K wenn Anlage 3 erfüllt</v>
      </c>
      <c r="AV2068" s="169" t="str">
        <f t="shared" si="893"/>
        <v/>
      </c>
      <c r="AW2068" s="170" t="str">
        <f t="shared" si="894"/>
        <v>Anteil KWK gemäß Anlage 3</v>
      </c>
      <c r="AX2068" s="169" t="str">
        <f t="shared" si="895"/>
        <v/>
      </c>
      <c r="AY2068" t="str">
        <f t="shared" si="896"/>
        <v/>
      </c>
      <c r="AZ2068" t="str">
        <f t="shared" si="897"/>
        <v/>
      </c>
    </row>
    <row r="2069" spans="1:52" s="145" customFormat="1" x14ac:dyDescent="0.35">
      <c r="A2069" s="497" t="s">
        <v>4157</v>
      </c>
      <c r="B2069" s="13" t="s">
        <v>5547</v>
      </c>
      <c r="C2069" s="13" t="s">
        <v>5539</v>
      </c>
      <c r="D2069" s="13" t="s">
        <v>6849</v>
      </c>
      <c r="E2069" s="13" t="s">
        <v>674</v>
      </c>
      <c r="F2069" s="373">
        <f t="shared" si="904"/>
        <v>28.67</v>
      </c>
      <c r="G2069" s="430">
        <v>28.67</v>
      </c>
      <c r="H2069" s="399">
        <f t="shared" si="905"/>
        <v>22.94</v>
      </c>
      <c r="I2069" s="576"/>
      <c r="J2069" s="549" t="s">
        <v>5804</v>
      </c>
      <c r="K2069" s="11"/>
      <c r="L2069"/>
      <c r="M2069" s="37">
        <f t="shared" si="906"/>
        <v>28.67</v>
      </c>
      <c r="N2069" s="29">
        <v>11.67</v>
      </c>
      <c r="O2069" s="149"/>
      <c r="P2069" s="144"/>
      <c r="Q2069" s="145" t="s">
        <v>1017</v>
      </c>
      <c r="S2069" s="145" t="s">
        <v>4179</v>
      </c>
      <c r="T2069" s="145" t="s">
        <v>4179</v>
      </c>
      <c r="U2069" s="146" t="s">
        <v>1017</v>
      </c>
      <c r="W2069" s="147"/>
      <c r="X2069" s="147"/>
      <c r="AA2069" s="147"/>
      <c r="AC2069" s="145" t="s">
        <v>1017</v>
      </c>
      <c r="AD2069" s="147"/>
      <c r="AE2069" s="148"/>
      <c r="AF2069" s="147"/>
      <c r="AG2069" s="147"/>
      <c r="AH2069" s="166" t="str">
        <f t="shared" si="908"/>
        <v/>
      </c>
      <c r="AI2069" s="168" t="str">
        <f t="shared" si="898"/>
        <v/>
      </c>
      <c r="AJ2069" s="168" t="str">
        <f t="shared" si="899"/>
        <v/>
      </c>
      <c r="AK2069" s="168" t="str">
        <f t="shared" si="900"/>
        <v/>
      </c>
      <c r="AL2069" s="168" t="str">
        <f t="shared" si="901"/>
        <v/>
      </c>
      <c r="AM2069" s="168" t="str">
        <f t="shared" si="902"/>
        <v/>
      </c>
      <c r="AN2069" s="167" t="str">
        <f t="shared" si="885"/>
        <v/>
      </c>
      <c r="AO2069" s="167" t="str">
        <f t="shared" si="886"/>
        <v/>
      </c>
      <c r="AP2069" s="167" t="str">
        <f t="shared" si="887"/>
        <v/>
      </c>
      <c r="AQ2069" s="169" t="str">
        <f t="shared" si="888"/>
        <v/>
      </c>
      <c r="AR2069" s="170" t="str">
        <f t="shared" si="889"/>
        <v>BiK81X1K09y-08</v>
      </c>
      <c r="AS2069" s="169" t="str">
        <f t="shared" si="890"/>
        <v/>
      </c>
      <c r="AT2069">
        <f t="shared" si="891"/>
        <v>14</v>
      </c>
      <c r="AU2069" s="170" t="str">
        <f t="shared" si="892"/>
        <v>0-0,15 MW, Bonusregeln X1, y und K erstmals 2009</v>
      </c>
      <c r="AV2069" s="169" t="str">
        <f t="shared" si="893"/>
        <v/>
      </c>
      <c r="AW2069" s="170" t="str">
        <f t="shared" si="894"/>
        <v>Anteil KWK, erstmals 2009</v>
      </c>
      <c r="AX2069" s="169" t="str">
        <f t="shared" si="895"/>
        <v/>
      </c>
      <c r="AY2069" t="str">
        <f t="shared" si="896"/>
        <v/>
      </c>
      <c r="AZ2069" t="str">
        <f t="shared" si="897"/>
        <v/>
      </c>
    </row>
    <row r="2070" spans="1:52" x14ac:dyDescent="0.35">
      <c r="A2070" s="497" t="s">
        <v>3168</v>
      </c>
      <c r="B2070" s="13" t="s">
        <v>5547</v>
      </c>
      <c r="C2070" s="13" t="s">
        <v>5539</v>
      </c>
      <c r="D2070" s="13" t="s">
        <v>6850</v>
      </c>
      <c r="E2070" s="13" t="s">
        <v>3566</v>
      </c>
      <c r="F2070" s="373">
        <f t="shared" si="904"/>
        <v>28.64</v>
      </c>
      <c r="G2070" s="430">
        <v>28.64</v>
      </c>
      <c r="H2070" s="399">
        <f t="shared" si="905"/>
        <v>22.91</v>
      </c>
      <c r="I2070" s="576"/>
      <c r="J2070" s="549" t="s">
        <v>5804</v>
      </c>
      <c r="K2070" s="11"/>
      <c r="M2070" s="37">
        <f t="shared" si="906"/>
        <v>28.64</v>
      </c>
      <c r="N2070" s="29">
        <v>11.67</v>
      </c>
      <c r="O2070" s="149"/>
      <c r="P2070" s="144"/>
      <c r="Q2070" s="145"/>
      <c r="R2070" s="145" t="s">
        <v>1017</v>
      </c>
      <c r="S2070" s="145" t="s">
        <v>4179</v>
      </c>
      <c r="T2070" t="s">
        <v>4179</v>
      </c>
      <c r="U2070" s="146" t="s">
        <v>1017</v>
      </c>
      <c r="V2070" s="145"/>
      <c r="W2070" s="147"/>
      <c r="X2070" s="147"/>
      <c r="Y2070" s="145"/>
      <c r="Z2070" s="145"/>
      <c r="AA2070" s="147"/>
      <c r="AB2070" s="145"/>
      <c r="AC2070" s="145" t="s">
        <v>1017</v>
      </c>
      <c r="AD2070" s="147"/>
      <c r="AE2070" s="148"/>
      <c r="AF2070" s="147"/>
      <c r="AG2070" s="147"/>
      <c r="AH2070" s="166" t="str">
        <f t="shared" si="908"/>
        <v>2010</v>
      </c>
      <c r="AI2070" s="168" t="str">
        <f t="shared" si="898"/>
        <v/>
      </c>
      <c r="AJ2070" s="168" t="str">
        <f t="shared" si="899"/>
        <v/>
      </c>
      <c r="AK2070" s="168" t="str">
        <f t="shared" si="900"/>
        <v/>
      </c>
      <c r="AL2070" s="168" t="str">
        <f t="shared" si="901"/>
        <v/>
      </c>
      <c r="AM2070" s="168" t="str">
        <f t="shared" si="902"/>
        <v/>
      </c>
      <c r="AN2070" s="167" t="str">
        <f t="shared" si="885"/>
        <v>2010</v>
      </c>
      <c r="AO2070" s="167" t="str">
        <f t="shared" si="886"/>
        <v>2010</v>
      </c>
      <c r="AP2070" s="167" t="str">
        <f t="shared" si="887"/>
        <v>2010</v>
      </c>
      <c r="AQ2070" s="169" t="str">
        <f t="shared" si="888"/>
        <v/>
      </c>
      <c r="AR2070" s="170" t="str">
        <f t="shared" si="889"/>
        <v>BiK81X1K10y-08</v>
      </c>
      <c r="AS2070" s="169" t="str">
        <f t="shared" si="890"/>
        <v/>
      </c>
      <c r="AT2070">
        <f t="shared" si="891"/>
        <v>14</v>
      </c>
      <c r="AU2070" s="170" t="str">
        <f t="shared" si="892"/>
        <v>0-0,15 MW, Bonusregeln X1, y und K erstmals 2010</v>
      </c>
      <c r="AV2070" s="169" t="str">
        <f t="shared" si="893"/>
        <v/>
      </c>
      <c r="AW2070" s="170" t="str">
        <f t="shared" si="894"/>
        <v>Anteil KWK, erstmals 2010</v>
      </c>
      <c r="AX2070" s="169" t="str">
        <f t="shared" si="895"/>
        <v/>
      </c>
      <c r="AY2070" t="str">
        <f t="shared" si="896"/>
        <v/>
      </c>
      <c r="AZ2070" t="str">
        <f t="shared" si="897"/>
        <v/>
      </c>
    </row>
    <row r="2071" spans="1:52" x14ac:dyDescent="0.35">
      <c r="A2071" s="497" t="s">
        <v>3444</v>
      </c>
      <c r="B2071" s="13" t="s">
        <v>5547</v>
      </c>
      <c r="C2071" s="13" t="s">
        <v>5539</v>
      </c>
      <c r="D2071" s="13" t="s">
        <v>6851</v>
      </c>
      <c r="E2071" s="13" t="s">
        <v>3054</v>
      </c>
      <c r="F2071" s="373">
        <f t="shared" si="904"/>
        <v>28.61</v>
      </c>
      <c r="G2071" s="430">
        <v>28.61</v>
      </c>
      <c r="H2071" s="399">
        <f t="shared" si="905"/>
        <v>22.89</v>
      </c>
      <c r="I2071" s="576"/>
      <c r="J2071" s="549" t="s">
        <v>5804</v>
      </c>
      <c r="K2071" s="11"/>
      <c r="M2071" s="37">
        <f t="shared" si="906"/>
        <v>28.61</v>
      </c>
      <c r="N2071" s="29">
        <v>11.67</v>
      </c>
      <c r="O2071" s="149"/>
      <c r="P2071" s="144"/>
      <c r="Q2071" s="145"/>
      <c r="R2071" s="145"/>
      <c r="S2071" s="145" t="s">
        <v>1017</v>
      </c>
      <c r="T2071" t="s">
        <v>4179</v>
      </c>
      <c r="U2071" s="146" t="s">
        <v>1017</v>
      </c>
      <c r="V2071" s="145"/>
      <c r="W2071" s="147"/>
      <c r="X2071" s="147"/>
      <c r="Y2071" s="145"/>
      <c r="Z2071" s="145"/>
      <c r="AA2071" s="147"/>
      <c r="AB2071" s="145"/>
      <c r="AC2071" s="145" t="s">
        <v>1017</v>
      </c>
      <c r="AD2071" s="147"/>
      <c r="AE2071" s="148"/>
      <c r="AF2071" s="147"/>
      <c r="AG2071" s="147"/>
      <c r="AH2071" s="166" t="str">
        <f t="shared" si="908"/>
        <v>2011</v>
      </c>
      <c r="AI2071" s="168" t="str">
        <f t="shared" si="898"/>
        <v/>
      </c>
      <c r="AJ2071" s="168" t="str">
        <f t="shared" si="899"/>
        <v/>
      </c>
      <c r="AK2071" s="168" t="str">
        <f t="shared" si="900"/>
        <v/>
      </c>
      <c r="AL2071" s="168" t="str">
        <f t="shared" si="901"/>
        <v/>
      </c>
      <c r="AM2071" s="168" t="str">
        <f t="shared" si="902"/>
        <v/>
      </c>
      <c r="AN2071" s="167" t="str">
        <f t="shared" si="885"/>
        <v>2011</v>
      </c>
      <c r="AO2071" s="167" t="str">
        <f t="shared" si="886"/>
        <v>2011</v>
      </c>
      <c r="AP2071" s="167" t="str">
        <f t="shared" si="887"/>
        <v>2011</v>
      </c>
      <c r="AQ2071" s="169" t="str">
        <f t="shared" si="888"/>
        <v/>
      </c>
      <c r="AR2071" s="170" t="str">
        <f t="shared" si="889"/>
        <v>BiK81X1K11y-08</v>
      </c>
      <c r="AS2071" s="169" t="str">
        <f t="shared" si="890"/>
        <v/>
      </c>
      <c r="AT2071">
        <f t="shared" si="891"/>
        <v>14</v>
      </c>
      <c r="AU2071" s="170" t="str">
        <f t="shared" si="892"/>
        <v>0-0,15 MW, Bonusregeln X1, y und K erstmals 2011</v>
      </c>
      <c r="AV2071" s="169" t="str">
        <f t="shared" si="893"/>
        <v/>
      </c>
      <c r="AW2071" s="170" t="str">
        <f t="shared" si="894"/>
        <v>Anteil KWK, erstmals 2011</v>
      </c>
      <c r="AX2071" s="169" t="str">
        <f t="shared" si="895"/>
        <v/>
      </c>
      <c r="AY2071" t="str">
        <f t="shared" si="896"/>
        <v>x</v>
      </c>
      <c r="AZ2071" t="str">
        <f t="shared" si="897"/>
        <v/>
      </c>
    </row>
    <row r="2072" spans="1:52" x14ac:dyDescent="0.35">
      <c r="A2072" s="511" t="s">
        <v>1877</v>
      </c>
      <c r="B2072" s="173" t="s">
        <v>5547</v>
      </c>
      <c r="C2072" s="173" t="s">
        <v>5539</v>
      </c>
      <c r="D2072" s="173" t="s">
        <v>6852</v>
      </c>
      <c r="E2072" s="173" t="s">
        <v>1980</v>
      </c>
      <c r="F2072" s="374">
        <f t="shared" si="904"/>
        <v>28.58</v>
      </c>
      <c r="G2072" s="431">
        <v>28.58</v>
      </c>
      <c r="H2072" s="400">
        <f t="shared" si="905"/>
        <v>22.86</v>
      </c>
      <c r="I2072" s="577"/>
      <c r="J2072" s="549" t="s">
        <v>5804</v>
      </c>
      <c r="K2072" s="11"/>
      <c r="M2072" s="37">
        <f t="shared" si="906"/>
        <v>28.58</v>
      </c>
      <c r="N2072" s="29">
        <v>11.67</v>
      </c>
      <c r="O2072" s="149"/>
      <c r="P2072" s="144"/>
      <c r="Q2072" s="145"/>
      <c r="R2072" s="145"/>
      <c r="S2072" s="145" t="s">
        <v>4179</v>
      </c>
      <c r="T2072" t="s">
        <v>1017</v>
      </c>
      <c r="U2072" s="146" t="s">
        <v>1017</v>
      </c>
      <c r="V2072" s="145"/>
      <c r="W2072" s="147"/>
      <c r="X2072" s="147"/>
      <c r="Y2072" s="145"/>
      <c r="Z2072" s="145"/>
      <c r="AA2072" s="147"/>
      <c r="AB2072" s="145"/>
      <c r="AC2072" s="145" t="s">
        <v>1017</v>
      </c>
      <c r="AD2072" s="147"/>
      <c r="AE2072" s="148"/>
      <c r="AF2072" s="147"/>
      <c r="AG2072" s="147"/>
      <c r="AH2072" s="171" t="s">
        <v>4178</v>
      </c>
      <c r="AI2072" s="168" t="str">
        <f t="shared" si="898"/>
        <v/>
      </c>
      <c r="AJ2072" s="168" t="str">
        <f t="shared" si="899"/>
        <v/>
      </c>
      <c r="AK2072" s="168" t="str">
        <f t="shared" si="900"/>
        <v/>
      </c>
      <c r="AL2072" s="168" t="str">
        <f t="shared" si="901"/>
        <v/>
      </c>
      <c r="AM2072" s="168" t="str">
        <f t="shared" si="902"/>
        <v/>
      </c>
      <c r="AN2072" s="167" t="str">
        <f t="shared" si="885"/>
        <v>2012</v>
      </c>
      <c r="AO2072" s="167" t="str">
        <f t="shared" si="886"/>
        <v>2012</v>
      </c>
      <c r="AP2072" s="167" t="str">
        <f t="shared" si="887"/>
        <v>2012</v>
      </c>
      <c r="AQ2072" s="169" t="str">
        <f t="shared" si="888"/>
        <v/>
      </c>
      <c r="AR2072" s="170" t="str">
        <f t="shared" si="889"/>
        <v>BiK81X1K12y-08</v>
      </c>
      <c r="AS2072" s="169" t="str">
        <f t="shared" si="890"/>
        <v/>
      </c>
      <c r="AT2072">
        <f t="shared" si="891"/>
        <v>14</v>
      </c>
      <c r="AU2072" s="170" t="str">
        <f t="shared" si="892"/>
        <v>0-0,15 MW, Bonusregeln X1, y und K erstmals 2012</v>
      </c>
      <c r="AV2072" s="169" t="str">
        <f t="shared" si="893"/>
        <v/>
      </c>
      <c r="AW2072" s="170" t="str">
        <f t="shared" si="894"/>
        <v>Anteil KWK, erstmals 2012</v>
      </c>
      <c r="AX2072" s="169" t="str">
        <f t="shared" si="895"/>
        <v/>
      </c>
      <c r="AY2072" t="str">
        <f t="shared" si="896"/>
        <v/>
      </c>
      <c r="AZ2072" t="str">
        <f t="shared" si="897"/>
        <v>x</v>
      </c>
    </row>
    <row r="2073" spans="1:52" x14ac:dyDescent="0.35">
      <c r="A2073" s="505" t="s">
        <v>3674</v>
      </c>
      <c r="B2073" s="23" t="s">
        <v>5547</v>
      </c>
      <c r="C2073" s="23" t="s">
        <v>5539</v>
      </c>
      <c r="D2073" s="23" t="s">
        <v>6902</v>
      </c>
      <c r="E2073" s="23" t="s">
        <v>4809</v>
      </c>
      <c r="F2073" s="378">
        <f t="shared" si="904"/>
        <v>13.67</v>
      </c>
      <c r="G2073" s="434">
        <v>13.67</v>
      </c>
      <c r="H2073" s="403">
        <f t="shared" si="905"/>
        <v>10.94</v>
      </c>
      <c r="I2073" s="581"/>
      <c r="J2073" s="549" t="s">
        <v>5804</v>
      </c>
      <c r="K2073" s="11"/>
      <c r="M2073" s="37">
        <f t="shared" si="906"/>
        <v>13.67</v>
      </c>
      <c r="N2073" s="29">
        <v>11.67</v>
      </c>
      <c r="O2073" s="41"/>
      <c r="P2073" s="11"/>
      <c r="S2073" t="s">
        <v>4179</v>
      </c>
      <c r="T2073" t="s">
        <v>4179</v>
      </c>
      <c r="U2073" s="42"/>
      <c r="W2073" s="50"/>
      <c r="X2073" s="50"/>
      <c r="AA2073" s="50"/>
      <c r="AD2073" s="50"/>
      <c r="AE2073" s="75" t="s">
        <v>1017</v>
      </c>
      <c r="AF2073" s="50"/>
      <c r="AG2073" s="50"/>
      <c r="AH2073" s="166" t="str">
        <f t="shared" ref="AH2073:AH2078" si="909">IF(ISERROR(SEARCH("K erstmals 201",D2073)),"",RIGHT(D2073,4))</f>
        <v/>
      </c>
      <c r="AI2073" s="168" t="str">
        <f t="shared" si="898"/>
        <v/>
      </c>
      <c r="AJ2073" s="168" t="str">
        <f t="shared" si="899"/>
        <v/>
      </c>
      <c r="AK2073" s="168" t="str">
        <f t="shared" si="900"/>
        <v/>
      </c>
      <c r="AL2073" s="168" t="str">
        <f t="shared" si="901"/>
        <v/>
      </c>
      <c r="AM2073" s="168" t="str">
        <f t="shared" si="902"/>
        <v/>
      </c>
      <c r="AN2073" s="167" t="str">
        <f t="shared" si="885"/>
        <v/>
      </c>
      <c r="AO2073" s="167" t="str">
        <f t="shared" si="886"/>
        <v/>
      </c>
      <c r="AP2073" s="167" t="str">
        <f t="shared" si="887"/>
        <v/>
      </c>
      <c r="AQ2073" s="169" t="str">
        <f t="shared" si="888"/>
        <v/>
      </c>
      <c r="AR2073" s="170" t="str">
        <f t="shared" si="889"/>
        <v>BiK81b------08</v>
      </c>
      <c r="AS2073" s="169" t="str">
        <f t="shared" si="890"/>
        <v/>
      </c>
      <c r="AT2073">
        <f t="shared" si="891"/>
        <v>14</v>
      </c>
      <c r="AU2073" s="170" t="str">
        <f t="shared" si="892"/>
        <v>0-0,15 MW, Bonusregel b</v>
      </c>
      <c r="AV2073" s="169" t="str">
        <f t="shared" si="893"/>
        <v/>
      </c>
      <c r="AW2073" s="170" t="str">
        <f t="shared" si="894"/>
        <v>Anteil Nicht-KWK</v>
      </c>
      <c r="AX2073" s="169" t="str">
        <f t="shared" si="895"/>
        <v/>
      </c>
      <c r="AY2073" t="str">
        <f t="shared" si="896"/>
        <v/>
      </c>
      <c r="AZ2073" t="str">
        <f t="shared" si="897"/>
        <v/>
      </c>
    </row>
    <row r="2074" spans="1:52" x14ac:dyDescent="0.35">
      <c r="A2074" s="505" t="s">
        <v>3675</v>
      </c>
      <c r="B2074" s="23" t="s">
        <v>5547</v>
      </c>
      <c r="C2074" s="23" t="s">
        <v>5539</v>
      </c>
      <c r="D2074" s="23" t="s">
        <v>6903</v>
      </c>
      <c r="E2074" s="23" t="s">
        <v>4811</v>
      </c>
      <c r="F2074" s="378">
        <f t="shared" si="904"/>
        <v>15.67</v>
      </c>
      <c r="G2074" s="434">
        <v>15.67</v>
      </c>
      <c r="H2074" s="403">
        <f t="shared" si="905"/>
        <v>12.54</v>
      </c>
      <c r="I2074" s="581"/>
      <c r="J2074" s="549" t="s">
        <v>5804</v>
      </c>
      <c r="K2074" s="11"/>
      <c r="M2074" s="37">
        <f t="shared" si="906"/>
        <v>15.67</v>
      </c>
      <c r="N2074" s="29">
        <v>11.67</v>
      </c>
      <c r="O2074" s="41" t="s">
        <v>1017</v>
      </c>
      <c r="P2074" s="11"/>
      <c r="S2074" t="s">
        <v>4179</v>
      </c>
      <c r="T2074" t="s">
        <v>4179</v>
      </c>
      <c r="U2074" s="42"/>
      <c r="W2074" s="50"/>
      <c r="X2074" s="50"/>
      <c r="AA2074" s="50"/>
      <c r="AD2074" s="50"/>
      <c r="AE2074" s="75" t="s">
        <v>1017</v>
      </c>
      <c r="AF2074" s="50"/>
      <c r="AG2074" s="50"/>
      <c r="AH2074" s="166" t="str">
        <f t="shared" si="909"/>
        <v/>
      </c>
      <c r="AI2074" s="168" t="str">
        <f t="shared" si="898"/>
        <v/>
      </c>
      <c r="AJ2074" s="168" t="str">
        <f t="shared" si="899"/>
        <v/>
      </c>
      <c r="AK2074" s="168" t="str">
        <f t="shared" si="900"/>
        <v/>
      </c>
      <c r="AL2074" s="168" t="str">
        <f t="shared" si="901"/>
        <v/>
      </c>
      <c r="AM2074" s="168" t="str">
        <f t="shared" si="902"/>
        <v/>
      </c>
      <c r="AN2074" s="167" t="str">
        <f t="shared" si="885"/>
        <v/>
      </c>
      <c r="AO2074" s="167" t="str">
        <f t="shared" si="886"/>
        <v/>
      </c>
      <c r="AP2074" s="167" t="str">
        <f t="shared" si="887"/>
        <v/>
      </c>
      <c r="AQ2074" s="169" t="str">
        <f t="shared" si="888"/>
        <v/>
      </c>
      <c r="AR2074" s="170" t="str">
        <f t="shared" si="889"/>
        <v>BiK81bKWK---08</v>
      </c>
      <c r="AS2074" s="169" t="str">
        <f t="shared" si="890"/>
        <v/>
      </c>
      <c r="AT2074">
        <f t="shared" si="891"/>
        <v>14</v>
      </c>
      <c r="AU2074" s="170" t="str">
        <f t="shared" si="892"/>
        <v>0-0,15 MW, Bonusregeln b und KWK</v>
      </c>
      <c r="AV2074" s="169" t="str">
        <f t="shared" si="893"/>
        <v/>
      </c>
      <c r="AW2074" s="170" t="str">
        <f t="shared" si="894"/>
        <v>Anteil KWK</v>
      </c>
      <c r="AX2074" s="169" t="str">
        <f t="shared" si="895"/>
        <v/>
      </c>
      <c r="AY2074" t="str">
        <f t="shared" si="896"/>
        <v/>
      </c>
      <c r="AZ2074" t="str">
        <f t="shared" si="897"/>
        <v/>
      </c>
    </row>
    <row r="2075" spans="1:52" s="145" customFormat="1" x14ac:dyDescent="0.35">
      <c r="A2075" s="497" t="s">
        <v>2337</v>
      </c>
      <c r="B2075" s="13" t="s">
        <v>5547</v>
      </c>
      <c r="C2075" s="13" t="s">
        <v>5539</v>
      </c>
      <c r="D2075" s="13" t="s">
        <v>6904</v>
      </c>
      <c r="E2075" s="13" t="s">
        <v>4330</v>
      </c>
      <c r="F2075" s="373">
        <f t="shared" si="904"/>
        <v>16.670000000000002</v>
      </c>
      <c r="G2075" s="430">
        <v>16.670000000000002</v>
      </c>
      <c r="H2075" s="399">
        <f t="shared" si="905"/>
        <v>13.34</v>
      </c>
      <c r="I2075" s="576"/>
      <c r="J2075" s="549" t="s">
        <v>5804</v>
      </c>
      <c r="K2075" s="11"/>
      <c r="L2075"/>
      <c r="M2075" s="37">
        <f t="shared" si="906"/>
        <v>16.670000000000002</v>
      </c>
      <c r="N2075" s="29">
        <v>11.67</v>
      </c>
      <c r="O2075" s="41"/>
      <c r="P2075" t="s">
        <v>1017</v>
      </c>
      <c r="Q2075"/>
      <c r="R2075"/>
      <c r="S2075" t="s">
        <v>4179</v>
      </c>
      <c r="T2075" s="145" t="s">
        <v>4179</v>
      </c>
      <c r="U2075" s="42"/>
      <c r="V2075"/>
      <c r="W2075" s="50"/>
      <c r="X2075" s="50"/>
      <c r="Y2075"/>
      <c r="Z2075"/>
      <c r="AA2075" s="50"/>
      <c r="AB2075"/>
      <c r="AC2075"/>
      <c r="AD2075" s="50"/>
      <c r="AE2075" s="75" t="s">
        <v>1017</v>
      </c>
      <c r="AF2075" s="50"/>
      <c r="AG2075" s="50"/>
      <c r="AH2075" s="166" t="str">
        <f t="shared" si="909"/>
        <v/>
      </c>
      <c r="AI2075" s="168" t="str">
        <f t="shared" si="898"/>
        <v/>
      </c>
      <c r="AJ2075" s="168" t="str">
        <f t="shared" si="899"/>
        <v/>
      </c>
      <c r="AK2075" s="168" t="str">
        <f t="shared" si="900"/>
        <v/>
      </c>
      <c r="AL2075" s="168" t="str">
        <f t="shared" si="901"/>
        <v/>
      </c>
      <c r="AM2075" s="168" t="str">
        <f t="shared" si="902"/>
        <v/>
      </c>
      <c r="AN2075" s="167" t="str">
        <f t="shared" si="885"/>
        <v/>
      </c>
      <c r="AO2075" s="167" t="str">
        <f t="shared" si="886"/>
        <v/>
      </c>
      <c r="AP2075" s="167" t="str">
        <f t="shared" si="887"/>
        <v/>
      </c>
      <c r="AQ2075" s="169" t="str">
        <f t="shared" si="888"/>
        <v/>
      </c>
      <c r="AR2075" s="170" t="str">
        <f t="shared" si="889"/>
        <v>BiK81bKA3---08</v>
      </c>
      <c r="AS2075" s="169" t="str">
        <f t="shared" si="890"/>
        <v/>
      </c>
      <c r="AT2075">
        <f t="shared" si="891"/>
        <v>14</v>
      </c>
      <c r="AU2075" s="170" t="str">
        <f t="shared" si="892"/>
        <v>0-0,15 MW, Bonusregeln b und K wenn Anlage 3 erfüllt</v>
      </c>
      <c r="AV2075" s="169" t="str">
        <f t="shared" si="893"/>
        <v/>
      </c>
      <c r="AW2075" s="170" t="str">
        <f t="shared" si="894"/>
        <v>Anteil KWK gemäß Anlage 3</v>
      </c>
      <c r="AX2075" s="169" t="str">
        <f t="shared" si="895"/>
        <v/>
      </c>
      <c r="AY2075" t="str">
        <f t="shared" si="896"/>
        <v/>
      </c>
      <c r="AZ2075" t="str">
        <f t="shared" si="897"/>
        <v/>
      </c>
    </row>
    <row r="2076" spans="1:52" s="145" customFormat="1" x14ac:dyDescent="0.35">
      <c r="A2076" s="497" t="s">
        <v>904</v>
      </c>
      <c r="B2076" s="13" t="s">
        <v>5547</v>
      </c>
      <c r="C2076" s="13" t="s">
        <v>5539</v>
      </c>
      <c r="D2076" s="13" t="s">
        <v>6905</v>
      </c>
      <c r="E2076" s="13" t="s">
        <v>674</v>
      </c>
      <c r="F2076" s="373">
        <f t="shared" si="904"/>
        <v>16.670000000000002</v>
      </c>
      <c r="G2076" s="430">
        <v>16.670000000000002</v>
      </c>
      <c r="H2076" s="399">
        <f t="shared" si="905"/>
        <v>13.34</v>
      </c>
      <c r="I2076" s="576"/>
      <c r="J2076" s="549" t="s">
        <v>5804</v>
      </c>
      <c r="K2076" s="11"/>
      <c r="L2076"/>
      <c r="M2076" s="37">
        <f t="shared" si="906"/>
        <v>16.670000000000002</v>
      </c>
      <c r="N2076" s="29">
        <v>11.67</v>
      </c>
      <c r="O2076" s="41"/>
      <c r="P2076" s="11"/>
      <c r="Q2076" t="s">
        <v>1017</v>
      </c>
      <c r="R2076"/>
      <c r="S2076" t="s">
        <v>4179</v>
      </c>
      <c r="T2076" s="145" t="s">
        <v>4179</v>
      </c>
      <c r="U2076" s="42"/>
      <c r="V2076"/>
      <c r="W2076" s="50"/>
      <c r="X2076" s="50"/>
      <c r="Y2076"/>
      <c r="Z2076"/>
      <c r="AA2076" s="50"/>
      <c r="AB2076"/>
      <c r="AC2076"/>
      <c r="AD2076" s="50"/>
      <c r="AE2076" s="75" t="s">
        <v>1017</v>
      </c>
      <c r="AF2076" s="50"/>
      <c r="AG2076" s="50"/>
      <c r="AH2076" s="166" t="str">
        <f t="shared" si="909"/>
        <v/>
      </c>
      <c r="AI2076" s="168" t="str">
        <f t="shared" si="898"/>
        <v/>
      </c>
      <c r="AJ2076" s="168" t="str">
        <f t="shared" si="899"/>
        <v/>
      </c>
      <c r="AK2076" s="168" t="str">
        <f t="shared" si="900"/>
        <v/>
      </c>
      <c r="AL2076" s="168" t="str">
        <f t="shared" si="901"/>
        <v/>
      </c>
      <c r="AM2076" s="168" t="str">
        <f t="shared" si="902"/>
        <v/>
      </c>
      <c r="AN2076" s="167" t="str">
        <f t="shared" si="885"/>
        <v/>
      </c>
      <c r="AO2076" s="167" t="str">
        <f t="shared" si="886"/>
        <v/>
      </c>
      <c r="AP2076" s="167" t="str">
        <f t="shared" si="887"/>
        <v/>
      </c>
      <c r="AQ2076" s="169" t="str">
        <f t="shared" si="888"/>
        <v/>
      </c>
      <c r="AR2076" s="170" t="str">
        <f t="shared" si="889"/>
        <v>BiK81bK09---08</v>
      </c>
      <c r="AS2076" s="169" t="str">
        <f t="shared" si="890"/>
        <v/>
      </c>
      <c r="AT2076">
        <f t="shared" si="891"/>
        <v>14</v>
      </c>
      <c r="AU2076" s="170" t="str">
        <f t="shared" si="892"/>
        <v>0-0,15 MW, Bonusregeln b und K erstmals 2009</v>
      </c>
      <c r="AV2076" s="169" t="str">
        <f t="shared" si="893"/>
        <v/>
      </c>
      <c r="AW2076" s="170" t="str">
        <f t="shared" si="894"/>
        <v>Anteil KWK, erstmals 2009</v>
      </c>
      <c r="AX2076" s="169" t="str">
        <f t="shared" si="895"/>
        <v/>
      </c>
      <c r="AY2076" t="str">
        <f t="shared" si="896"/>
        <v/>
      </c>
      <c r="AZ2076" t="str">
        <f t="shared" si="897"/>
        <v/>
      </c>
    </row>
    <row r="2077" spans="1:52" s="145" customFormat="1" x14ac:dyDescent="0.35">
      <c r="A2077" s="497" t="s">
        <v>3179</v>
      </c>
      <c r="B2077" s="13" t="s">
        <v>5547</v>
      </c>
      <c r="C2077" s="13" t="s">
        <v>5539</v>
      </c>
      <c r="D2077" s="13" t="s">
        <v>6906</v>
      </c>
      <c r="E2077" s="13" t="s">
        <v>3566</v>
      </c>
      <c r="F2077" s="373">
        <f t="shared" si="904"/>
        <v>16.64</v>
      </c>
      <c r="G2077" s="430">
        <v>16.64</v>
      </c>
      <c r="H2077" s="399">
        <f t="shared" si="905"/>
        <v>13.31</v>
      </c>
      <c r="I2077" s="576"/>
      <c r="J2077" s="549" t="s">
        <v>5804</v>
      </c>
      <c r="K2077" s="11"/>
      <c r="L2077"/>
      <c r="M2077" s="37">
        <f t="shared" si="906"/>
        <v>16.64</v>
      </c>
      <c r="N2077" s="29">
        <v>11.67</v>
      </c>
      <c r="O2077" s="41"/>
      <c r="P2077" s="11"/>
      <c r="Q2077"/>
      <c r="R2077" t="s">
        <v>1017</v>
      </c>
      <c r="S2077" t="s">
        <v>4179</v>
      </c>
      <c r="T2077" s="145" t="s">
        <v>4179</v>
      </c>
      <c r="U2077" s="42"/>
      <c r="V2077"/>
      <c r="W2077" s="50"/>
      <c r="X2077" s="50"/>
      <c r="Y2077"/>
      <c r="Z2077"/>
      <c r="AA2077" s="50"/>
      <c r="AB2077"/>
      <c r="AC2077"/>
      <c r="AD2077" s="50"/>
      <c r="AE2077" s="75" t="s">
        <v>1017</v>
      </c>
      <c r="AF2077" s="50"/>
      <c r="AG2077" s="50"/>
      <c r="AH2077" s="166" t="str">
        <f t="shared" si="909"/>
        <v>2010</v>
      </c>
      <c r="AI2077" s="168" t="str">
        <f t="shared" si="898"/>
        <v/>
      </c>
      <c r="AJ2077" s="168" t="str">
        <f t="shared" si="899"/>
        <v/>
      </c>
      <c r="AK2077" s="168" t="str">
        <f t="shared" si="900"/>
        <v/>
      </c>
      <c r="AL2077" s="168" t="str">
        <f t="shared" si="901"/>
        <v/>
      </c>
      <c r="AM2077" s="168" t="str">
        <f t="shared" si="902"/>
        <v/>
      </c>
      <c r="AN2077" s="167" t="str">
        <f t="shared" si="885"/>
        <v>2010</v>
      </c>
      <c r="AO2077" s="167" t="str">
        <f t="shared" si="886"/>
        <v>2010</v>
      </c>
      <c r="AP2077" s="167" t="str">
        <f t="shared" si="887"/>
        <v>2010</v>
      </c>
      <c r="AQ2077" s="169" t="str">
        <f t="shared" si="888"/>
        <v/>
      </c>
      <c r="AR2077" s="170" t="str">
        <f t="shared" si="889"/>
        <v>BiK81bK10---08</v>
      </c>
      <c r="AS2077" s="169" t="str">
        <f t="shared" si="890"/>
        <v/>
      </c>
      <c r="AT2077">
        <f t="shared" si="891"/>
        <v>14</v>
      </c>
      <c r="AU2077" s="170" t="str">
        <f t="shared" si="892"/>
        <v>0-0,15 MW, Bonusregeln b und K erstmals 2010</v>
      </c>
      <c r="AV2077" s="169" t="str">
        <f t="shared" si="893"/>
        <v/>
      </c>
      <c r="AW2077" s="170" t="str">
        <f t="shared" si="894"/>
        <v>Anteil KWK, erstmals 2010</v>
      </c>
      <c r="AX2077" s="169" t="str">
        <f t="shared" si="895"/>
        <v/>
      </c>
      <c r="AY2077" t="str">
        <f t="shared" si="896"/>
        <v/>
      </c>
      <c r="AZ2077" t="str">
        <f t="shared" si="897"/>
        <v/>
      </c>
    </row>
    <row r="2078" spans="1:52" s="145" customFormat="1" x14ac:dyDescent="0.35">
      <c r="A2078" s="497" t="s">
        <v>3445</v>
      </c>
      <c r="B2078" s="13" t="s">
        <v>5547</v>
      </c>
      <c r="C2078" s="13" t="s">
        <v>5539</v>
      </c>
      <c r="D2078" s="13" t="s">
        <v>6907</v>
      </c>
      <c r="E2078" s="13" t="s">
        <v>3054</v>
      </c>
      <c r="F2078" s="373">
        <f t="shared" si="904"/>
        <v>16.61</v>
      </c>
      <c r="G2078" s="430">
        <v>16.61</v>
      </c>
      <c r="H2078" s="399">
        <f t="shared" si="905"/>
        <v>13.29</v>
      </c>
      <c r="I2078" s="576"/>
      <c r="J2078" s="549" t="s">
        <v>5804</v>
      </c>
      <c r="K2078" s="11"/>
      <c r="L2078"/>
      <c r="M2078" s="37">
        <f t="shared" si="906"/>
        <v>16.61</v>
      </c>
      <c r="N2078" s="29">
        <v>11.67</v>
      </c>
      <c r="O2078" s="41"/>
      <c r="P2078" s="11"/>
      <c r="Q2078"/>
      <c r="R2078"/>
      <c r="S2078" t="s">
        <v>1017</v>
      </c>
      <c r="T2078" s="145" t="s">
        <v>4179</v>
      </c>
      <c r="U2078" s="42"/>
      <c r="V2078"/>
      <c r="W2078" s="50"/>
      <c r="X2078" s="50"/>
      <c r="Y2078"/>
      <c r="Z2078"/>
      <c r="AA2078" s="50"/>
      <c r="AB2078"/>
      <c r="AC2078"/>
      <c r="AD2078" s="50"/>
      <c r="AE2078" s="75" t="s">
        <v>1017</v>
      </c>
      <c r="AF2078" s="50"/>
      <c r="AG2078" s="50"/>
      <c r="AH2078" s="166" t="str">
        <f t="shared" si="909"/>
        <v>2011</v>
      </c>
      <c r="AI2078" s="168" t="str">
        <f t="shared" si="898"/>
        <v/>
      </c>
      <c r="AJ2078" s="168" t="str">
        <f t="shared" si="899"/>
        <v/>
      </c>
      <c r="AK2078" s="168" t="str">
        <f t="shared" si="900"/>
        <v/>
      </c>
      <c r="AL2078" s="168" t="str">
        <f t="shared" si="901"/>
        <v/>
      </c>
      <c r="AM2078" s="168" t="str">
        <f t="shared" si="902"/>
        <v/>
      </c>
      <c r="AN2078" s="167" t="str">
        <f t="shared" si="885"/>
        <v>2011</v>
      </c>
      <c r="AO2078" s="167" t="str">
        <f t="shared" si="886"/>
        <v>2011</v>
      </c>
      <c r="AP2078" s="167" t="str">
        <f t="shared" si="887"/>
        <v>2011</v>
      </c>
      <c r="AQ2078" s="169" t="str">
        <f t="shared" si="888"/>
        <v/>
      </c>
      <c r="AR2078" s="170" t="str">
        <f t="shared" si="889"/>
        <v>BiK81bK11---08</v>
      </c>
      <c r="AS2078" s="169" t="str">
        <f t="shared" si="890"/>
        <v/>
      </c>
      <c r="AT2078">
        <f t="shared" si="891"/>
        <v>14</v>
      </c>
      <c r="AU2078" s="170" t="str">
        <f t="shared" si="892"/>
        <v>0-0,15 MW, Bonusregeln b und K erstmals 2011</v>
      </c>
      <c r="AV2078" s="169" t="str">
        <f t="shared" si="893"/>
        <v/>
      </c>
      <c r="AW2078" s="170" t="str">
        <f t="shared" si="894"/>
        <v>Anteil KWK, erstmals 2011</v>
      </c>
      <c r="AX2078" s="169" t="str">
        <f t="shared" si="895"/>
        <v/>
      </c>
      <c r="AY2078" t="str">
        <f t="shared" si="896"/>
        <v>x</v>
      </c>
      <c r="AZ2078" t="str">
        <f t="shared" si="897"/>
        <v/>
      </c>
    </row>
    <row r="2079" spans="1:52" s="145" customFormat="1" x14ac:dyDescent="0.35">
      <c r="A2079" s="511" t="s">
        <v>1878</v>
      </c>
      <c r="B2079" s="173" t="s">
        <v>5547</v>
      </c>
      <c r="C2079" s="173" t="s">
        <v>5539</v>
      </c>
      <c r="D2079" s="173" t="s">
        <v>6908</v>
      </c>
      <c r="E2079" s="173" t="s">
        <v>1980</v>
      </c>
      <c r="F2079" s="374">
        <f t="shared" si="904"/>
        <v>16.579999999999998</v>
      </c>
      <c r="G2079" s="431">
        <v>16.579999999999998</v>
      </c>
      <c r="H2079" s="400">
        <f t="shared" si="905"/>
        <v>13.26</v>
      </c>
      <c r="I2079" s="577"/>
      <c r="J2079" s="549" t="s">
        <v>5804</v>
      </c>
      <c r="K2079" s="11"/>
      <c r="L2079"/>
      <c r="M2079" s="37">
        <f t="shared" si="906"/>
        <v>16.579999999999998</v>
      </c>
      <c r="N2079" s="29">
        <v>11.67</v>
      </c>
      <c r="O2079" s="41"/>
      <c r="P2079" s="11"/>
      <c r="Q2079"/>
      <c r="R2079"/>
      <c r="S2079" t="s">
        <v>4179</v>
      </c>
      <c r="T2079" s="145" t="s">
        <v>1017</v>
      </c>
      <c r="U2079" s="42"/>
      <c r="V2079"/>
      <c r="W2079" s="50"/>
      <c r="X2079" s="50"/>
      <c r="Y2079"/>
      <c r="Z2079"/>
      <c r="AA2079" s="50"/>
      <c r="AB2079"/>
      <c r="AC2079"/>
      <c r="AD2079" s="50"/>
      <c r="AE2079" s="75" t="s">
        <v>1017</v>
      </c>
      <c r="AF2079" s="50"/>
      <c r="AG2079" s="50"/>
      <c r="AH2079" s="171" t="s">
        <v>4178</v>
      </c>
      <c r="AI2079" s="168" t="str">
        <f t="shared" si="898"/>
        <v/>
      </c>
      <c r="AJ2079" s="168" t="str">
        <f t="shared" si="899"/>
        <v/>
      </c>
      <c r="AK2079" s="168" t="str">
        <f t="shared" si="900"/>
        <v/>
      </c>
      <c r="AL2079" s="168" t="str">
        <f t="shared" si="901"/>
        <v/>
      </c>
      <c r="AM2079" s="168" t="str">
        <f t="shared" si="902"/>
        <v/>
      </c>
      <c r="AN2079" s="167" t="str">
        <f t="shared" si="885"/>
        <v>2012</v>
      </c>
      <c r="AO2079" s="167" t="str">
        <f t="shared" si="886"/>
        <v>2012</v>
      </c>
      <c r="AP2079" s="167" t="str">
        <f t="shared" si="887"/>
        <v>2012</v>
      </c>
      <c r="AQ2079" s="169" t="str">
        <f t="shared" si="888"/>
        <v/>
      </c>
      <c r="AR2079" s="170" t="str">
        <f t="shared" si="889"/>
        <v>BiK81bK12---08</v>
      </c>
      <c r="AS2079" s="169" t="str">
        <f t="shared" si="890"/>
        <v/>
      </c>
      <c r="AT2079">
        <f t="shared" si="891"/>
        <v>14</v>
      </c>
      <c r="AU2079" s="170" t="str">
        <f t="shared" si="892"/>
        <v>0-0,15 MW, Bonusregeln b und K erstmals 2012</v>
      </c>
      <c r="AV2079" s="169" t="str">
        <f t="shared" si="893"/>
        <v/>
      </c>
      <c r="AW2079" s="170" t="str">
        <f t="shared" si="894"/>
        <v>Anteil KWK, erstmals 2012</v>
      </c>
      <c r="AX2079" s="169" t="str">
        <f t="shared" si="895"/>
        <v/>
      </c>
      <c r="AY2079" t="str">
        <f t="shared" si="896"/>
        <v/>
      </c>
      <c r="AZ2079" t="str">
        <f t="shared" si="897"/>
        <v>x</v>
      </c>
    </row>
    <row r="2080" spans="1:52" s="145" customFormat="1" x14ac:dyDescent="0.35">
      <c r="A2080" s="497" t="s">
        <v>3622</v>
      </c>
      <c r="B2080" s="13" t="s">
        <v>5547</v>
      </c>
      <c r="C2080" s="13" t="s">
        <v>5539</v>
      </c>
      <c r="D2080" s="13" t="s">
        <v>6909</v>
      </c>
      <c r="E2080" s="13" t="s">
        <v>4809</v>
      </c>
      <c r="F2080" s="373">
        <f t="shared" si="904"/>
        <v>14.67</v>
      </c>
      <c r="G2080" s="430">
        <v>14.67</v>
      </c>
      <c r="H2080" s="399">
        <f t="shared" si="905"/>
        <v>11.74</v>
      </c>
      <c r="I2080" s="576"/>
      <c r="J2080" s="549" t="s">
        <v>5804</v>
      </c>
      <c r="K2080" s="11"/>
      <c r="L2080"/>
      <c r="M2080" s="37">
        <f t="shared" si="906"/>
        <v>14.67</v>
      </c>
      <c r="N2080" s="29">
        <v>11.67</v>
      </c>
      <c r="O2080" s="41"/>
      <c r="P2080" s="11"/>
      <c r="Q2080"/>
      <c r="R2080"/>
      <c r="S2080" t="s">
        <v>4179</v>
      </c>
      <c r="T2080" s="145" t="s">
        <v>4179</v>
      </c>
      <c r="U2080" s="42" t="s">
        <v>1017</v>
      </c>
      <c r="V2080"/>
      <c r="W2080" s="50"/>
      <c r="X2080" s="50"/>
      <c r="Y2080"/>
      <c r="Z2080"/>
      <c r="AA2080" s="50"/>
      <c r="AB2080"/>
      <c r="AC2080"/>
      <c r="AD2080" s="50"/>
      <c r="AE2080" s="75" t="s">
        <v>1017</v>
      </c>
      <c r="AF2080" s="50"/>
      <c r="AG2080" s="50"/>
      <c r="AH2080" s="166" t="str">
        <f t="shared" ref="AH2080:AH2085" si="910">IF(ISERROR(SEARCH("K erstmals 201",D2080)),"",RIGHT(D2080,4))</f>
        <v/>
      </c>
      <c r="AI2080" s="168" t="str">
        <f t="shared" si="898"/>
        <v/>
      </c>
      <c r="AJ2080" s="168" t="str">
        <f t="shared" si="899"/>
        <v/>
      </c>
      <c r="AK2080" s="168" t="str">
        <f t="shared" si="900"/>
        <v/>
      </c>
      <c r="AL2080" s="168" t="str">
        <f t="shared" si="901"/>
        <v/>
      </c>
      <c r="AM2080" s="168" t="str">
        <f t="shared" si="902"/>
        <v/>
      </c>
      <c r="AN2080" s="167" t="str">
        <f t="shared" si="885"/>
        <v/>
      </c>
      <c r="AO2080" s="167" t="str">
        <f t="shared" si="886"/>
        <v/>
      </c>
      <c r="AP2080" s="167" t="str">
        <f t="shared" si="887"/>
        <v/>
      </c>
      <c r="AQ2080" s="169" t="str">
        <f t="shared" si="888"/>
        <v/>
      </c>
      <c r="AR2080" s="170" t="str">
        <f t="shared" si="889"/>
        <v>BiK81by-----08</v>
      </c>
      <c r="AS2080" s="169" t="str">
        <f t="shared" si="890"/>
        <v/>
      </c>
      <c r="AT2080">
        <f t="shared" si="891"/>
        <v>14</v>
      </c>
      <c r="AU2080" s="170" t="str">
        <f t="shared" si="892"/>
        <v>0-0,15 MW, Bonusregeln b, y</v>
      </c>
      <c r="AV2080" s="169" t="str">
        <f t="shared" si="893"/>
        <v/>
      </c>
      <c r="AW2080" s="170" t="str">
        <f t="shared" si="894"/>
        <v>Anteil Nicht-KWK</v>
      </c>
      <c r="AX2080" s="169" t="str">
        <f t="shared" si="895"/>
        <v/>
      </c>
      <c r="AY2080" t="str">
        <f t="shared" si="896"/>
        <v/>
      </c>
      <c r="AZ2080" t="str">
        <f t="shared" si="897"/>
        <v/>
      </c>
    </row>
    <row r="2081" spans="1:52" s="145" customFormat="1" x14ac:dyDescent="0.35">
      <c r="A2081" s="497" t="s">
        <v>3623</v>
      </c>
      <c r="B2081" s="13" t="s">
        <v>5547</v>
      </c>
      <c r="C2081" s="13" t="s">
        <v>5539</v>
      </c>
      <c r="D2081" s="13" t="s">
        <v>6910</v>
      </c>
      <c r="E2081" s="13" t="s">
        <v>4811</v>
      </c>
      <c r="F2081" s="373">
        <f t="shared" si="904"/>
        <v>16.670000000000002</v>
      </c>
      <c r="G2081" s="430">
        <v>16.670000000000002</v>
      </c>
      <c r="H2081" s="399">
        <f t="shared" si="905"/>
        <v>13.34</v>
      </c>
      <c r="I2081" s="576"/>
      <c r="J2081" s="549" t="s">
        <v>5804</v>
      </c>
      <c r="K2081" s="11"/>
      <c r="L2081"/>
      <c r="M2081" s="37">
        <f t="shared" si="906"/>
        <v>16.670000000000002</v>
      </c>
      <c r="N2081" s="29">
        <v>11.67</v>
      </c>
      <c r="O2081" s="41" t="s">
        <v>1017</v>
      </c>
      <c r="P2081" s="11"/>
      <c r="Q2081"/>
      <c r="R2081"/>
      <c r="S2081" t="s">
        <v>4179</v>
      </c>
      <c r="T2081" s="145" t="s">
        <v>4179</v>
      </c>
      <c r="U2081" s="42" t="s">
        <v>1017</v>
      </c>
      <c r="V2081"/>
      <c r="W2081" s="50"/>
      <c r="X2081" s="50"/>
      <c r="Y2081"/>
      <c r="Z2081"/>
      <c r="AA2081" s="50"/>
      <c r="AB2081"/>
      <c r="AC2081"/>
      <c r="AD2081" s="50"/>
      <c r="AE2081" s="75" t="s">
        <v>1017</v>
      </c>
      <c r="AF2081" s="50"/>
      <c r="AG2081" s="50"/>
      <c r="AH2081" s="166" t="str">
        <f t="shared" si="910"/>
        <v/>
      </c>
      <c r="AI2081" s="168" t="str">
        <f t="shared" si="898"/>
        <v/>
      </c>
      <c r="AJ2081" s="168" t="str">
        <f t="shared" si="899"/>
        <v/>
      </c>
      <c r="AK2081" s="168" t="str">
        <f t="shared" si="900"/>
        <v/>
      </c>
      <c r="AL2081" s="168" t="str">
        <f t="shared" si="901"/>
        <v/>
      </c>
      <c r="AM2081" s="168" t="str">
        <f t="shared" si="902"/>
        <v/>
      </c>
      <c r="AN2081" s="167" t="str">
        <f t="shared" si="885"/>
        <v/>
      </c>
      <c r="AO2081" s="167" t="str">
        <f t="shared" si="886"/>
        <v/>
      </c>
      <c r="AP2081" s="167" t="str">
        <f t="shared" si="887"/>
        <v/>
      </c>
      <c r="AQ2081" s="169" t="str">
        <f t="shared" si="888"/>
        <v/>
      </c>
      <c r="AR2081" s="170" t="str">
        <f t="shared" si="889"/>
        <v>BiK81bKWKy--08</v>
      </c>
      <c r="AS2081" s="169" t="str">
        <f t="shared" si="890"/>
        <v/>
      </c>
      <c r="AT2081">
        <f t="shared" si="891"/>
        <v>14</v>
      </c>
      <c r="AU2081" s="170" t="str">
        <f t="shared" si="892"/>
        <v>0-0,15 MW, Bonusregeln b, y und KWK</v>
      </c>
      <c r="AV2081" s="169" t="str">
        <f t="shared" si="893"/>
        <v/>
      </c>
      <c r="AW2081" s="170" t="str">
        <f t="shared" si="894"/>
        <v>Anteil KWK</v>
      </c>
      <c r="AX2081" s="169" t="str">
        <f t="shared" si="895"/>
        <v/>
      </c>
      <c r="AY2081" t="str">
        <f t="shared" si="896"/>
        <v/>
      </c>
      <c r="AZ2081" t="str">
        <f t="shared" si="897"/>
        <v/>
      </c>
    </row>
    <row r="2082" spans="1:52" s="145" customFormat="1" x14ac:dyDescent="0.35">
      <c r="A2082" s="497" t="s">
        <v>3624</v>
      </c>
      <c r="B2082" s="13" t="s">
        <v>5547</v>
      </c>
      <c r="C2082" s="13" t="s">
        <v>5539</v>
      </c>
      <c r="D2082" s="13" t="s">
        <v>6911</v>
      </c>
      <c r="E2082" s="13" t="s">
        <v>4330</v>
      </c>
      <c r="F2082" s="373">
        <f t="shared" si="904"/>
        <v>17.670000000000002</v>
      </c>
      <c r="G2082" s="430">
        <v>17.670000000000002</v>
      </c>
      <c r="H2082" s="399">
        <f t="shared" si="905"/>
        <v>14.14</v>
      </c>
      <c r="I2082" s="576"/>
      <c r="J2082" s="549" t="s">
        <v>5804</v>
      </c>
      <c r="K2082" s="11"/>
      <c r="L2082"/>
      <c r="M2082" s="37">
        <f t="shared" si="906"/>
        <v>17.670000000000002</v>
      </c>
      <c r="N2082" s="29">
        <v>11.67</v>
      </c>
      <c r="O2082" s="41"/>
      <c r="P2082" t="s">
        <v>1017</v>
      </c>
      <c r="Q2082"/>
      <c r="R2082"/>
      <c r="S2082" t="s">
        <v>4179</v>
      </c>
      <c r="T2082" s="145" t="s">
        <v>4179</v>
      </c>
      <c r="U2082" s="42" t="s">
        <v>1017</v>
      </c>
      <c r="V2082"/>
      <c r="W2082" s="50"/>
      <c r="X2082" s="50"/>
      <c r="Y2082"/>
      <c r="Z2082"/>
      <c r="AA2082" s="50"/>
      <c r="AB2082"/>
      <c r="AC2082"/>
      <c r="AD2082" s="50"/>
      <c r="AE2082" s="75" t="s">
        <v>1017</v>
      </c>
      <c r="AF2082" s="50"/>
      <c r="AG2082" s="50"/>
      <c r="AH2082" s="166" t="str">
        <f t="shared" si="910"/>
        <v/>
      </c>
      <c r="AI2082" s="168" t="str">
        <f t="shared" si="898"/>
        <v/>
      </c>
      <c r="AJ2082" s="168" t="str">
        <f t="shared" si="899"/>
        <v/>
      </c>
      <c r="AK2082" s="168" t="str">
        <f t="shared" si="900"/>
        <v/>
      </c>
      <c r="AL2082" s="168" t="str">
        <f t="shared" si="901"/>
        <v/>
      </c>
      <c r="AM2082" s="168" t="str">
        <f t="shared" si="902"/>
        <v/>
      </c>
      <c r="AN2082" s="167" t="str">
        <f t="shared" si="885"/>
        <v/>
      </c>
      <c r="AO2082" s="167" t="str">
        <f t="shared" si="886"/>
        <v/>
      </c>
      <c r="AP2082" s="167" t="str">
        <f t="shared" si="887"/>
        <v/>
      </c>
      <c r="AQ2082" s="169" t="str">
        <f t="shared" si="888"/>
        <v/>
      </c>
      <c r="AR2082" s="170" t="str">
        <f t="shared" si="889"/>
        <v>BiK81bKA3y--08</v>
      </c>
      <c r="AS2082" s="169" t="str">
        <f t="shared" si="890"/>
        <v/>
      </c>
      <c r="AT2082">
        <f t="shared" si="891"/>
        <v>14</v>
      </c>
      <c r="AU2082" s="170" t="str">
        <f t="shared" si="892"/>
        <v>0-0,15 MW, Bonusregeln b, y und K wenn Anlage 3 erfüllt</v>
      </c>
      <c r="AV2082" s="169" t="str">
        <f t="shared" si="893"/>
        <v/>
      </c>
      <c r="AW2082" s="170" t="str">
        <f t="shared" si="894"/>
        <v>Anteil KWK gemäß Anlage 3</v>
      </c>
      <c r="AX2082" s="169" t="str">
        <f t="shared" si="895"/>
        <v/>
      </c>
      <c r="AY2082" t="str">
        <f t="shared" si="896"/>
        <v/>
      </c>
      <c r="AZ2082" t="str">
        <f t="shared" si="897"/>
        <v/>
      </c>
    </row>
    <row r="2083" spans="1:52" s="145" customFormat="1" x14ac:dyDescent="0.35">
      <c r="A2083" s="497" t="s">
        <v>3625</v>
      </c>
      <c r="B2083" s="13" t="s">
        <v>5547</v>
      </c>
      <c r="C2083" s="13" t="s">
        <v>5539</v>
      </c>
      <c r="D2083" s="13" t="s">
        <v>6912</v>
      </c>
      <c r="E2083" s="13" t="s">
        <v>674</v>
      </c>
      <c r="F2083" s="373">
        <f t="shared" si="904"/>
        <v>17.670000000000002</v>
      </c>
      <c r="G2083" s="430">
        <v>17.670000000000002</v>
      </c>
      <c r="H2083" s="399">
        <f t="shared" si="905"/>
        <v>14.14</v>
      </c>
      <c r="I2083" s="576"/>
      <c r="J2083" s="549" t="s">
        <v>5804</v>
      </c>
      <c r="K2083" s="11"/>
      <c r="L2083"/>
      <c r="M2083" s="37">
        <f t="shared" si="906"/>
        <v>17.670000000000002</v>
      </c>
      <c r="N2083" s="29">
        <v>11.67</v>
      </c>
      <c r="O2083" s="41"/>
      <c r="P2083" s="11"/>
      <c r="Q2083" t="s">
        <v>1017</v>
      </c>
      <c r="R2083"/>
      <c r="S2083" t="s">
        <v>4179</v>
      </c>
      <c r="T2083" s="145" t="s">
        <v>4179</v>
      </c>
      <c r="U2083" s="42" t="s">
        <v>1017</v>
      </c>
      <c r="V2083"/>
      <c r="W2083" s="50"/>
      <c r="X2083" s="50"/>
      <c r="Y2083"/>
      <c r="Z2083"/>
      <c r="AA2083" s="50"/>
      <c r="AB2083"/>
      <c r="AC2083"/>
      <c r="AD2083" s="50"/>
      <c r="AE2083" s="75" t="s">
        <v>1017</v>
      </c>
      <c r="AF2083" s="50"/>
      <c r="AG2083" s="50"/>
      <c r="AH2083" s="166" t="str">
        <f t="shared" si="910"/>
        <v/>
      </c>
      <c r="AI2083" s="168" t="str">
        <f t="shared" si="898"/>
        <v/>
      </c>
      <c r="AJ2083" s="168" t="str">
        <f t="shared" si="899"/>
        <v/>
      </c>
      <c r="AK2083" s="168" t="str">
        <f t="shared" si="900"/>
        <v/>
      </c>
      <c r="AL2083" s="168" t="str">
        <f t="shared" si="901"/>
        <v/>
      </c>
      <c r="AM2083" s="168" t="str">
        <f t="shared" si="902"/>
        <v/>
      </c>
      <c r="AN2083" s="167" t="str">
        <f t="shared" si="885"/>
        <v/>
      </c>
      <c r="AO2083" s="167" t="str">
        <f t="shared" si="886"/>
        <v/>
      </c>
      <c r="AP2083" s="167" t="str">
        <f t="shared" si="887"/>
        <v/>
      </c>
      <c r="AQ2083" s="169" t="str">
        <f t="shared" si="888"/>
        <v/>
      </c>
      <c r="AR2083" s="170" t="str">
        <f t="shared" si="889"/>
        <v>BiK81bK09y--08</v>
      </c>
      <c r="AS2083" s="169" t="str">
        <f t="shared" si="890"/>
        <v/>
      </c>
      <c r="AT2083">
        <f t="shared" si="891"/>
        <v>14</v>
      </c>
      <c r="AU2083" s="170" t="str">
        <f t="shared" si="892"/>
        <v>0-0,15 MW, Bonusregeln b, y und K erstmals 2009</v>
      </c>
      <c r="AV2083" s="169" t="str">
        <f t="shared" si="893"/>
        <v/>
      </c>
      <c r="AW2083" s="170" t="str">
        <f t="shared" si="894"/>
        <v>Anteil KWK, erstmals 2009</v>
      </c>
      <c r="AX2083" s="169" t="str">
        <f t="shared" si="895"/>
        <v/>
      </c>
      <c r="AY2083" t="str">
        <f t="shared" si="896"/>
        <v/>
      </c>
      <c r="AZ2083" t="str">
        <f t="shared" si="897"/>
        <v/>
      </c>
    </row>
    <row r="2084" spans="1:52" x14ac:dyDescent="0.35">
      <c r="A2084" s="497" t="s">
        <v>3180</v>
      </c>
      <c r="B2084" s="13" t="s">
        <v>5547</v>
      </c>
      <c r="C2084" s="13" t="s">
        <v>5539</v>
      </c>
      <c r="D2084" s="13" t="s">
        <v>6913</v>
      </c>
      <c r="E2084" s="13" t="s">
        <v>3566</v>
      </c>
      <c r="F2084" s="373">
        <f t="shared" si="904"/>
        <v>17.64</v>
      </c>
      <c r="G2084" s="430">
        <v>17.64</v>
      </c>
      <c r="H2084" s="399">
        <f t="shared" si="905"/>
        <v>14.11</v>
      </c>
      <c r="I2084" s="576"/>
      <c r="J2084" s="549" t="s">
        <v>5804</v>
      </c>
      <c r="K2084" s="11"/>
      <c r="M2084" s="37">
        <f t="shared" si="906"/>
        <v>17.64</v>
      </c>
      <c r="N2084" s="29">
        <v>11.67</v>
      </c>
      <c r="O2084" s="41"/>
      <c r="P2084" s="11"/>
      <c r="R2084" t="s">
        <v>1017</v>
      </c>
      <c r="S2084" t="s">
        <v>4179</v>
      </c>
      <c r="T2084" t="s">
        <v>4179</v>
      </c>
      <c r="U2084" s="42" t="s">
        <v>1017</v>
      </c>
      <c r="W2084" s="50"/>
      <c r="X2084" s="50"/>
      <c r="AA2084" s="50"/>
      <c r="AD2084" s="50"/>
      <c r="AE2084" s="75" t="s">
        <v>1017</v>
      </c>
      <c r="AF2084" s="50"/>
      <c r="AG2084" s="50"/>
      <c r="AH2084" s="166" t="str">
        <f t="shared" si="910"/>
        <v>2010</v>
      </c>
      <c r="AI2084" s="168" t="str">
        <f t="shared" si="898"/>
        <v/>
      </c>
      <c r="AJ2084" s="168" t="str">
        <f t="shared" si="899"/>
        <v/>
      </c>
      <c r="AK2084" s="168" t="str">
        <f t="shared" si="900"/>
        <v/>
      </c>
      <c r="AL2084" s="168" t="str">
        <f t="shared" si="901"/>
        <v/>
      </c>
      <c r="AM2084" s="168" t="str">
        <f t="shared" si="902"/>
        <v/>
      </c>
      <c r="AN2084" s="167" t="str">
        <f t="shared" si="885"/>
        <v>2010</v>
      </c>
      <c r="AO2084" s="167" t="str">
        <f t="shared" si="886"/>
        <v>2010</v>
      </c>
      <c r="AP2084" s="167" t="str">
        <f t="shared" si="887"/>
        <v>2010</v>
      </c>
      <c r="AQ2084" s="169" t="str">
        <f t="shared" si="888"/>
        <v/>
      </c>
      <c r="AR2084" s="170" t="str">
        <f t="shared" si="889"/>
        <v>BiK81bK10y--08</v>
      </c>
      <c r="AS2084" s="169" t="str">
        <f t="shared" si="890"/>
        <v/>
      </c>
      <c r="AT2084">
        <f t="shared" si="891"/>
        <v>14</v>
      </c>
      <c r="AU2084" s="170" t="str">
        <f t="shared" si="892"/>
        <v>0-0,15 MW, Bonusregeln b, y und K erstmals 2010</v>
      </c>
      <c r="AV2084" s="169" t="str">
        <f t="shared" si="893"/>
        <v/>
      </c>
      <c r="AW2084" s="170" t="str">
        <f t="shared" si="894"/>
        <v>Anteil KWK, erstmals 2010</v>
      </c>
      <c r="AX2084" s="169" t="str">
        <f t="shared" si="895"/>
        <v/>
      </c>
      <c r="AY2084" t="str">
        <f t="shared" si="896"/>
        <v/>
      </c>
      <c r="AZ2084" t="str">
        <f t="shared" si="897"/>
        <v/>
      </c>
    </row>
    <row r="2085" spans="1:52" x14ac:dyDescent="0.35">
      <c r="A2085" s="497" t="s">
        <v>3446</v>
      </c>
      <c r="B2085" s="13" t="s">
        <v>5547</v>
      </c>
      <c r="C2085" s="13" t="s">
        <v>5539</v>
      </c>
      <c r="D2085" s="13" t="s">
        <v>6914</v>
      </c>
      <c r="E2085" s="13" t="s">
        <v>3054</v>
      </c>
      <c r="F2085" s="373">
        <f t="shared" si="904"/>
        <v>17.61</v>
      </c>
      <c r="G2085" s="430">
        <v>17.61</v>
      </c>
      <c r="H2085" s="399">
        <f t="shared" si="905"/>
        <v>14.09</v>
      </c>
      <c r="I2085" s="576"/>
      <c r="J2085" s="549" t="s">
        <v>5804</v>
      </c>
      <c r="K2085" s="11"/>
      <c r="M2085" s="37">
        <f t="shared" si="906"/>
        <v>17.61</v>
      </c>
      <c r="N2085" s="29">
        <v>11.67</v>
      </c>
      <c r="O2085" s="41"/>
      <c r="P2085" s="11"/>
      <c r="S2085" t="s">
        <v>1017</v>
      </c>
      <c r="T2085" t="s">
        <v>4179</v>
      </c>
      <c r="U2085" s="42" t="s">
        <v>1017</v>
      </c>
      <c r="W2085" s="50"/>
      <c r="X2085" s="50"/>
      <c r="AA2085" s="50"/>
      <c r="AD2085" s="50"/>
      <c r="AE2085" s="75" t="s">
        <v>1017</v>
      </c>
      <c r="AF2085" s="50"/>
      <c r="AG2085" s="50"/>
      <c r="AH2085" s="166" t="str">
        <f t="shared" si="910"/>
        <v>2011</v>
      </c>
      <c r="AI2085" s="168" t="str">
        <f t="shared" si="898"/>
        <v/>
      </c>
      <c r="AJ2085" s="168" t="str">
        <f t="shared" si="899"/>
        <v/>
      </c>
      <c r="AK2085" s="168" t="str">
        <f t="shared" si="900"/>
        <v/>
      </c>
      <c r="AL2085" s="168" t="str">
        <f t="shared" si="901"/>
        <v/>
      </c>
      <c r="AM2085" s="168" t="str">
        <f t="shared" si="902"/>
        <v/>
      </c>
      <c r="AN2085" s="167" t="str">
        <f t="shared" si="885"/>
        <v>2011</v>
      </c>
      <c r="AO2085" s="167" t="str">
        <f t="shared" si="886"/>
        <v>2011</v>
      </c>
      <c r="AP2085" s="167" t="str">
        <f t="shared" si="887"/>
        <v>2011</v>
      </c>
      <c r="AQ2085" s="169" t="str">
        <f t="shared" si="888"/>
        <v/>
      </c>
      <c r="AR2085" s="170" t="str">
        <f t="shared" si="889"/>
        <v>BiK81bK11y--08</v>
      </c>
      <c r="AS2085" s="169" t="str">
        <f t="shared" si="890"/>
        <v/>
      </c>
      <c r="AT2085">
        <f t="shared" si="891"/>
        <v>14</v>
      </c>
      <c r="AU2085" s="170" t="str">
        <f t="shared" si="892"/>
        <v>0-0,15 MW, Bonusregeln b, y und K erstmals 2011</v>
      </c>
      <c r="AV2085" s="169" t="str">
        <f t="shared" si="893"/>
        <v/>
      </c>
      <c r="AW2085" s="170" t="str">
        <f t="shared" si="894"/>
        <v>Anteil KWK, erstmals 2011</v>
      </c>
      <c r="AX2085" s="169" t="str">
        <f t="shared" si="895"/>
        <v/>
      </c>
      <c r="AY2085" t="str">
        <f t="shared" si="896"/>
        <v>x</v>
      </c>
      <c r="AZ2085" t="str">
        <f t="shared" si="897"/>
        <v/>
      </c>
    </row>
    <row r="2086" spans="1:52" x14ac:dyDescent="0.35">
      <c r="A2086" s="511" t="s">
        <v>1879</v>
      </c>
      <c r="B2086" s="173" t="s">
        <v>5547</v>
      </c>
      <c r="C2086" s="173" t="s">
        <v>5539</v>
      </c>
      <c r="D2086" s="173" t="s">
        <v>6915</v>
      </c>
      <c r="E2086" s="173" t="s">
        <v>1980</v>
      </c>
      <c r="F2086" s="374">
        <f t="shared" si="904"/>
        <v>17.579999999999998</v>
      </c>
      <c r="G2086" s="431">
        <v>17.579999999999998</v>
      </c>
      <c r="H2086" s="400">
        <f t="shared" si="905"/>
        <v>14.06</v>
      </c>
      <c r="I2086" s="577"/>
      <c r="J2086" s="549" t="s">
        <v>5804</v>
      </c>
      <c r="K2086" s="11"/>
      <c r="M2086" s="37">
        <f t="shared" si="906"/>
        <v>17.579999999999998</v>
      </c>
      <c r="N2086" s="29">
        <v>11.67</v>
      </c>
      <c r="O2086" s="41"/>
      <c r="P2086" s="11"/>
      <c r="S2086" t="s">
        <v>4179</v>
      </c>
      <c r="T2086" t="s">
        <v>1017</v>
      </c>
      <c r="U2086" s="42" t="s">
        <v>1017</v>
      </c>
      <c r="W2086" s="50"/>
      <c r="X2086" s="50"/>
      <c r="AA2086" s="50"/>
      <c r="AD2086" s="50"/>
      <c r="AE2086" s="75" t="s">
        <v>1017</v>
      </c>
      <c r="AF2086" s="50"/>
      <c r="AG2086" s="50"/>
      <c r="AH2086" s="171" t="s">
        <v>4178</v>
      </c>
      <c r="AI2086" s="168" t="str">
        <f t="shared" si="898"/>
        <v/>
      </c>
      <c r="AJ2086" s="168" t="str">
        <f t="shared" si="899"/>
        <v/>
      </c>
      <c r="AK2086" s="168" t="str">
        <f t="shared" si="900"/>
        <v/>
      </c>
      <c r="AL2086" s="168" t="str">
        <f t="shared" si="901"/>
        <v/>
      </c>
      <c r="AM2086" s="168" t="str">
        <f t="shared" si="902"/>
        <v/>
      </c>
      <c r="AN2086" s="167" t="str">
        <f t="shared" si="885"/>
        <v>2012</v>
      </c>
      <c r="AO2086" s="167" t="str">
        <f t="shared" si="886"/>
        <v>2012</v>
      </c>
      <c r="AP2086" s="167" t="str">
        <f t="shared" si="887"/>
        <v>2012</v>
      </c>
      <c r="AQ2086" s="169" t="str">
        <f t="shared" si="888"/>
        <v/>
      </c>
      <c r="AR2086" s="170" t="str">
        <f t="shared" si="889"/>
        <v>BiK81bK12y--08</v>
      </c>
      <c r="AS2086" s="169" t="str">
        <f t="shared" si="890"/>
        <v/>
      </c>
      <c r="AT2086">
        <f t="shared" si="891"/>
        <v>14</v>
      </c>
      <c r="AU2086" s="170" t="str">
        <f t="shared" si="892"/>
        <v>0-0,15 MW, Bonusregeln b, y und K erstmals 2012</v>
      </c>
      <c r="AV2086" s="169" t="str">
        <f t="shared" si="893"/>
        <v/>
      </c>
      <c r="AW2086" s="170" t="str">
        <f t="shared" si="894"/>
        <v>Anteil KWK, erstmals 2012</v>
      </c>
      <c r="AX2086" s="169" t="str">
        <f t="shared" si="895"/>
        <v/>
      </c>
      <c r="AY2086" t="str">
        <f t="shared" si="896"/>
        <v/>
      </c>
      <c r="AZ2086" t="str">
        <f t="shared" si="897"/>
        <v>x</v>
      </c>
    </row>
    <row r="2087" spans="1:52" x14ac:dyDescent="0.35">
      <c r="A2087" s="505" t="s">
        <v>3676</v>
      </c>
      <c r="B2087" s="23" t="s">
        <v>5547</v>
      </c>
      <c r="C2087" s="23" t="s">
        <v>5539</v>
      </c>
      <c r="D2087" s="23" t="s">
        <v>7028</v>
      </c>
      <c r="E2087" s="23" t="s">
        <v>4809</v>
      </c>
      <c r="F2087" s="378">
        <f t="shared" si="904"/>
        <v>19.670000000000002</v>
      </c>
      <c r="G2087" s="434">
        <v>19.670000000000002</v>
      </c>
      <c r="H2087" s="403">
        <f t="shared" si="905"/>
        <v>15.74</v>
      </c>
      <c r="I2087" s="581"/>
      <c r="J2087" s="549" t="s">
        <v>5804</v>
      </c>
      <c r="K2087" s="11"/>
      <c r="M2087" s="37">
        <f t="shared" si="906"/>
        <v>19.670000000000002</v>
      </c>
      <c r="N2087" s="29">
        <v>11.67</v>
      </c>
      <c r="O2087" s="41"/>
      <c r="P2087" s="11"/>
      <c r="S2087" t="s">
        <v>4179</v>
      </c>
      <c r="T2087" t="s">
        <v>4179</v>
      </c>
      <c r="U2087" s="42"/>
      <c r="V2087" t="s">
        <v>1017</v>
      </c>
      <c r="W2087" s="50"/>
      <c r="X2087" s="50"/>
      <c r="AA2087" s="50"/>
      <c r="AD2087" s="50"/>
      <c r="AE2087" s="75" t="s">
        <v>1017</v>
      </c>
      <c r="AF2087" s="50"/>
      <c r="AG2087" s="50"/>
      <c r="AH2087" s="166" t="str">
        <f t="shared" ref="AH2087:AH2092" si="911">IF(ISERROR(SEARCH("K erstmals 201",D2087)),"",RIGHT(D2087,4))</f>
        <v/>
      </c>
      <c r="AI2087" s="168" t="str">
        <f t="shared" si="898"/>
        <v/>
      </c>
      <c r="AJ2087" s="168" t="str">
        <f t="shared" si="899"/>
        <v/>
      </c>
      <c r="AK2087" s="168" t="str">
        <f t="shared" si="900"/>
        <v/>
      </c>
      <c r="AL2087" s="168" t="str">
        <f t="shared" si="901"/>
        <v/>
      </c>
      <c r="AM2087" s="168" t="str">
        <f t="shared" si="902"/>
        <v/>
      </c>
      <c r="AN2087" s="167" t="str">
        <f t="shared" si="885"/>
        <v/>
      </c>
      <c r="AO2087" s="167" t="str">
        <f t="shared" si="886"/>
        <v/>
      </c>
      <c r="AP2087" s="167" t="str">
        <f t="shared" si="887"/>
        <v/>
      </c>
      <c r="AQ2087" s="169" t="str">
        <f t="shared" si="888"/>
        <v/>
      </c>
      <c r="AR2087" s="170" t="str">
        <f t="shared" si="889"/>
        <v>BiK81a1b----08</v>
      </c>
      <c r="AS2087" s="169" t="str">
        <f t="shared" si="890"/>
        <v/>
      </c>
      <c r="AT2087">
        <f t="shared" si="891"/>
        <v>14</v>
      </c>
      <c r="AU2087" s="170" t="str">
        <f t="shared" si="892"/>
        <v>0-0,15 MW, Bonusregeln a1, b</v>
      </c>
      <c r="AV2087" s="169" t="str">
        <f t="shared" si="893"/>
        <v/>
      </c>
      <c r="AW2087" s="170" t="str">
        <f t="shared" si="894"/>
        <v>Anteil Nicht-KWK</v>
      </c>
      <c r="AX2087" s="169" t="str">
        <f t="shared" si="895"/>
        <v/>
      </c>
      <c r="AY2087" t="str">
        <f t="shared" si="896"/>
        <v/>
      </c>
      <c r="AZ2087" t="str">
        <f t="shared" si="897"/>
        <v/>
      </c>
    </row>
    <row r="2088" spans="1:52" x14ac:dyDescent="0.35">
      <c r="A2088" s="505" t="s">
        <v>3677</v>
      </c>
      <c r="B2088" s="23" t="s">
        <v>5547</v>
      </c>
      <c r="C2088" s="23" t="s">
        <v>5539</v>
      </c>
      <c r="D2088" s="23" t="s">
        <v>6917</v>
      </c>
      <c r="E2088" s="23" t="s">
        <v>4811</v>
      </c>
      <c r="F2088" s="378">
        <f t="shared" si="904"/>
        <v>21.67</v>
      </c>
      <c r="G2088" s="434">
        <v>21.67</v>
      </c>
      <c r="H2088" s="403">
        <f t="shared" si="905"/>
        <v>17.34</v>
      </c>
      <c r="I2088" s="581"/>
      <c r="J2088" s="549" t="s">
        <v>5804</v>
      </c>
      <c r="K2088" s="11"/>
      <c r="M2088" s="37">
        <f t="shared" si="906"/>
        <v>21.67</v>
      </c>
      <c r="N2088" s="29">
        <v>11.67</v>
      </c>
      <c r="O2088" s="41" t="s">
        <v>1017</v>
      </c>
      <c r="P2088" s="11"/>
      <c r="S2088" t="s">
        <v>4179</v>
      </c>
      <c r="T2088" t="s">
        <v>4179</v>
      </c>
      <c r="U2088" s="42"/>
      <c r="V2088" t="s">
        <v>1017</v>
      </c>
      <c r="W2088" s="50"/>
      <c r="X2088" s="50"/>
      <c r="AA2088" s="50"/>
      <c r="AD2088" s="50"/>
      <c r="AE2088" s="75" t="s">
        <v>1017</v>
      </c>
      <c r="AF2088" s="50"/>
      <c r="AG2088" s="50"/>
      <c r="AH2088" s="166" t="str">
        <f t="shared" si="911"/>
        <v/>
      </c>
      <c r="AI2088" s="168" t="str">
        <f t="shared" si="898"/>
        <v/>
      </c>
      <c r="AJ2088" s="168" t="str">
        <f t="shared" si="899"/>
        <v/>
      </c>
      <c r="AK2088" s="168" t="str">
        <f t="shared" si="900"/>
        <v/>
      </c>
      <c r="AL2088" s="168" t="str">
        <f t="shared" si="901"/>
        <v/>
      </c>
      <c r="AM2088" s="168" t="str">
        <f t="shared" si="902"/>
        <v/>
      </c>
      <c r="AN2088" s="167" t="str">
        <f t="shared" si="885"/>
        <v/>
      </c>
      <c r="AO2088" s="167" t="str">
        <f t="shared" si="886"/>
        <v/>
      </c>
      <c r="AP2088" s="167" t="str">
        <f t="shared" si="887"/>
        <v/>
      </c>
      <c r="AQ2088" s="169" t="str">
        <f t="shared" si="888"/>
        <v/>
      </c>
      <c r="AR2088" s="170" t="str">
        <f t="shared" si="889"/>
        <v>BiK81a1bKWK-08</v>
      </c>
      <c r="AS2088" s="169" t="str">
        <f t="shared" si="890"/>
        <v/>
      </c>
      <c r="AT2088">
        <f t="shared" si="891"/>
        <v>14</v>
      </c>
      <c r="AU2088" s="170" t="str">
        <f t="shared" si="892"/>
        <v>0-0,15 MW, Bonusregeln a1, b und KWK</v>
      </c>
      <c r="AV2088" s="169" t="str">
        <f t="shared" si="893"/>
        <v/>
      </c>
      <c r="AW2088" s="170" t="str">
        <f t="shared" si="894"/>
        <v>Anteil KWK</v>
      </c>
      <c r="AX2088" s="169" t="str">
        <f t="shared" si="895"/>
        <v/>
      </c>
      <c r="AY2088" t="str">
        <f t="shared" si="896"/>
        <v/>
      </c>
      <c r="AZ2088" t="str">
        <f t="shared" si="897"/>
        <v/>
      </c>
    </row>
    <row r="2089" spans="1:52" s="145" customFormat="1" x14ac:dyDescent="0.35">
      <c r="A2089" s="497" t="s">
        <v>2338</v>
      </c>
      <c r="B2089" s="13" t="s">
        <v>5547</v>
      </c>
      <c r="C2089" s="13" t="s">
        <v>5539</v>
      </c>
      <c r="D2089" s="13" t="s">
        <v>6918</v>
      </c>
      <c r="E2089" s="13" t="s">
        <v>4330</v>
      </c>
      <c r="F2089" s="373">
        <f t="shared" si="904"/>
        <v>22.67</v>
      </c>
      <c r="G2089" s="430">
        <v>22.67</v>
      </c>
      <c r="H2089" s="399">
        <f t="shared" si="905"/>
        <v>18.14</v>
      </c>
      <c r="I2089" s="576"/>
      <c r="J2089" s="549" t="s">
        <v>5804</v>
      </c>
      <c r="K2089" s="11"/>
      <c r="L2089"/>
      <c r="M2089" s="37">
        <f t="shared" si="906"/>
        <v>22.67</v>
      </c>
      <c r="N2089" s="29">
        <v>11.67</v>
      </c>
      <c r="O2089" s="41"/>
      <c r="P2089" t="s">
        <v>1017</v>
      </c>
      <c r="Q2089"/>
      <c r="R2089"/>
      <c r="S2089" t="s">
        <v>4179</v>
      </c>
      <c r="T2089" s="145" t="s">
        <v>4179</v>
      </c>
      <c r="U2089" s="42"/>
      <c r="V2089" t="s">
        <v>1017</v>
      </c>
      <c r="W2089" s="50"/>
      <c r="X2089" s="50"/>
      <c r="Y2089"/>
      <c r="Z2089"/>
      <c r="AA2089" s="50"/>
      <c r="AB2089"/>
      <c r="AC2089"/>
      <c r="AD2089" s="50"/>
      <c r="AE2089" s="75" t="s">
        <v>1017</v>
      </c>
      <c r="AF2089" s="50"/>
      <c r="AG2089" s="50"/>
      <c r="AH2089" s="166" t="str">
        <f t="shared" si="911"/>
        <v/>
      </c>
      <c r="AI2089" s="168" t="str">
        <f t="shared" si="898"/>
        <v/>
      </c>
      <c r="AJ2089" s="168" t="str">
        <f t="shared" si="899"/>
        <v/>
      </c>
      <c r="AK2089" s="168" t="str">
        <f t="shared" si="900"/>
        <v/>
      </c>
      <c r="AL2089" s="168" t="str">
        <f t="shared" si="901"/>
        <v/>
      </c>
      <c r="AM2089" s="168" t="str">
        <f t="shared" si="902"/>
        <v/>
      </c>
      <c r="AN2089" s="167" t="str">
        <f t="shared" si="885"/>
        <v/>
      </c>
      <c r="AO2089" s="167" t="str">
        <f t="shared" si="886"/>
        <v/>
      </c>
      <c r="AP2089" s="167" t="str">
        <f t="shared" si="887"/>
        <v/>
      </c>
      <c r="AQ2089" s="169" t="str">
        <f t="shared" si="888"/>
        <v/>
      </c>
      <c r="AR2089" s="170" t="str">
        <f t="shared" si="889"/>
        <v>BiK81a1bKA3-08</v>
      </c>
      <c r="AS2089" s="169" t="str">
        <f t="shared" si="890"/>
        <v/>
      </c>
      <c r="AT2089">
        <f t="shared" si="891"/>
        <v>14</v>
      </c>
      <c r="AU2089" s="170" t="str">
        <f t="shared" si="892"/>
        <v>0-0,15 MW, Bonusregeln a1, b und K wenn Anlage 3 erfüllt</v>
      </c>
      <c r="AV2089" s="169" t="str">
        <f t="shared" si="893"/>
        <v/>
      </c>
      <c r="AW2089" s="170" t="str">
        <f t="shared" si="894"/>
        <v>Anteil KWK gemäß Anlage 3</v>
      </c>
      <c r="AX2089" s="169" t="str">
        <f t="shared" si="895"/>
        <v/>
      </c>
      <c r="AY2089" t="str">
        <f t="shared" si="896"/>
        <v/>
      </c>
      <c r="AZ2089" t="str">
        <f t="shared" si="897"/>
        <v/>
      </c>
    </row>
    <row r="2090" spans="1:52" s="145" customFormat="1" x14ac:dyDescent="0.35">
      <c r="A2090" s="497" t="s">
        <v>905</v>
      </c>
      <c r="B2090" s="13" t="s">
        <v>5547</v>
      </c>
      <c r="C2090" s="13" t="s">
        <v>5539</v>
      </c>
      <c r="D2090" s="13" t="s">
        <v>6919</v>
      </c>
      <c r="E2090" s="13" t="s">
        <v>674</v>
      </c>
      <c r="F2090" s="373">
        <f t="shared" si="904"/>
        <v>22.67</v>
      </c>
      <c r="G2090" s="430">
        <v>22.67</v>
      </c>
      <c r="H2090" s="399">
        <f t="shared" si="905"/>
        <v>18.14</v>
      </c>
      <c r="I2090" s="576"/>
      <c r="J2090" s="549" t="s">
        <v>5804</v>
      </c>
      <c r="K2090" s="11"/>
      <c r="L2090"/>
      <c r="M2090" s="37">
        <f t="shared" si="906"/>
        <v>22.67</v>
      </c>
      <c r="N2090" s="29">
        <v>11.67</v>
      </c>
      <c r="O2090" s="41"/>
      <c r="P2090" s="11"/>
      <c r="Q2090" t="s">
        <v>1017</v>
      </c>
      <c r="R2090"/>
      <c r="S2090" t="s">
        <v>4179</v>
      </c>
      <c r="T2090" s="145" t="s">
        <v>4179</v>
      </c>
      <c r="U2090" s="42"/>
      <c r="V2090" t="s">
        <v>1017</v>
      </c>
      <c r="W2090" s="50"/>
      <c r="X2090" s="50"/>
      <c r="Y2090"/>
      <c r="Z2090"/>
      <c r="AA2090" s="50"/>
      <c r="AB2090"/>
      <c r="AC2090"/>
      <c r="AD2090" s="50"/>
      <c r="AE2090" s="75" t="s">
        <v>1017</v>
      </c>
      <c r="AF2090" s="50"/>
      <c r="AG2090" s="50"/>
      <c r="AH2090" s="166" t="str">
        <f t="shared" si="911"/>
        <v/>
      </c>
      <c r="AI2090" s="168" t="str">
        <f t="shared" si="898"/>
        <v/>
      </c>
      <c r="AJ2090" s="168" t="str">
        <f t="shared" si="899"/>
        <v/>
      </c>
      <c r="AK2090" s="168" t="str">
        <f t="shared" si="900"/>
        <v/>
      </c>
      <c r="AL2090" s="168" t="str">
        <f t="shared" si="901"/>
        <v/>
      </c>
      <c r="AM2090" s="168" t="str">
        <f t="shared" si="902"/>
        <v/>
      </c>
      <c r="AN2090" s="167" t="str">
        <f t="shared" si="885"/>
        <v/>
      </c>
      <c r="AO2090" s="167" t="str">
        <f t="shared" si="886"/>
        <v/>
      </c>
      <c r="AP2090" s="167" t="str">
        <f t="shared" si="887"/>
        <v/>
      </c>
      <c r="AQ2090" s="169" t="str">
        <f t="shared" si="888"/>
        <v/>
      </c>
      <c r="AR2090" s="170" t="str">
        <f t="shared" si="889"/>
        <v>BiK81a1bK09-08</v>
      </c>
      <c r="AS2090" s="169" t="str">
        <f t="shared" si="890"/>
        <v/>
      </c>
      <c r="AT2090">
        <f t="shared" si="891"/>
        <v>14</v>
      </c>
      <c r="AU2090" s="170" t="str">
        <f t="shared" si="892"/>
        <v>0-0,15 MW, Bonusregeln a1, b und K erstmals 2009</v>
      </c>
      <c r="AV2090" s="169" t="str">
        <f t="shared" si="893"/>
        <v/>
      </c>
      <c r="AW2090" s="170" t="str">
        <f t="shared" si="894"/>
        <v>Anteil KWK, erstmals 2009</v>
      </c>
      <c r="AX2090" s="169" t="str">
        <f t="shared" si="895"/>
        <v/>
      </c>
      <c r="AY2090" t="str">
        <f t="shared" si="896"/>
        <v/>
      </c>
      <c r="AZ2090" t="str">
        <f t="shared" si="897"/>
        <v/>
      </c>
    </row>
    <row r="2091" spans="1:52" s="145" customFormat="1" x14ac:dyDescent="0.35">
      <c r="A2091" s="497" t="s">
        <v>3169</v>
      </c>
      <c r="B2091" s="13" t="s">
        <v>5547</v>
      </c>
      <c r="C2091" s="13" t="s">
        <v>5539</v>
      </c>
      <c r="D2091" s="13" t="s">
        <v>6920</v>
      </c>
      <c r="E2091" s="13" t="s">
        <v>3566</v>
      </c>
      <c r="F2091" s="373">
        <f t="shared" si="904"/>
        <v>22.64</v>
      </c>
      <c r="G2091" s="430">
        <v>22.64</v>
      </c>
      <c r="H2091" s="399">
        <f t="shared" si="905"/>
        <v>18.11</v>
      </c>
      <c r="I2091" s="576"/>
      <c r="J2091" s="549" t="s">
        <v>5804</v>
      </c>
      <c r="K2091" s="11"/>
      <c r="L2091"/>
      <c r="M2091" s="37">
        <f t="shared" si="906"/>
        <v>22.64</v>
      </c>
      <c r="N2091" s="29">
        <v>11.67</v>
      </c>
      <c r="O2091" s="41"/>
      <c r="P2091" s="11"/>
      <c r="Q2091"/>
      <c r="R2091" t="s">
        <v>1017</v>
      </c>
      <c r="S2091" t="s">
        <v>4179</v>
      </c>
      <c r="T2091" s="145" t="s">
        <v>4179</v>
      </c>
      <c r="U2091" s="42"/>
      <c r="V2091" t="s">
        <v>1017</v>
      </c>
      <c r="W2091" s="50"/>
      <c r="X2091" s="50"/>
      <c r="Y2091"/>
      <c r="Z2091"/>
      <c r="AA2091" s="50"/>
      <c r="AB2091"/>
      <c r="AC2091"/>
      <c r="AD2091" s="50"/>
      <c r="AE2091" s="75" t="s">
        <v>1017</v>
      </c>
      <c r="AF2091" s="50"/>
      <c r="AG2091" s="50"/>
      <c r="AH2091" s="166" t="str">
        <f t="shared" si="911"/>
        <v>2010</v>
      </c>
      <c r="AI2091" s="168" t="str">
        <f t="shared" si="898"/>
        <v/>
      </c>
      <c r="AJ2091" s="168" t="str">
        <f t="shared" si="899"/>
        <v/>
      </c>
      <c r="AK2091" s="168" t="str">
        <f t="shared" si="900"/>
        <v/>
      </c>
      <c r="AL2091" s="168" t="str">
        <f t="shared" si="901"/>
        <v/>
      </c>
      <c r="AM2091" s="168" t="str">
        <f t="shared" si="902"/>
        <v/>
      </c>
      <c r="AN2091" s="167" t="str">
        <f t="shared" si="885"/>
        <v>2010</v>
      </c>
      <c r="AO2091" s="167" t="str">
        <f t="shared" si="886"/>
        <v>2010</v>
      </c>
      <c r="AP2091" s="167" t="str">
        <f t="shared" si="887"/>
        <v>2010</v>
      </c>
      <c r="AQ2091" s="169" t="str">
        <f t="shared" si="888"/>
        <v/>
      </c>
      <c r="AR2091" s="170" t="str">
        <f t="shared" si="889"/>
        <v>BiK81a1bK10-08</v>
      </c>
      <c r="AS2091" s="169" t="str">
        <f t="shared" si="890"/>
        <v/>
      </c>
      <c r="AT2091">
        <f t="shared" si="891"/>
        <v>14</v>
      </c>
      <c r="AU2091" s="170" t="str">
        <f t="shared" si="892"/>
        <v>0-0,15 MW, Bonusregeln a1, b und K erstmals 2010</v>
      </c>
      <c r="AV2091" s="169" t="str">
        <f t="shared" si="893"/>
        <v/>
      </c>
      <c r="AW2091" s="170" t="str">
        <f t="shared" si="894"/>
        <v>Anteil KWK, erstmals 2010</v>
      </c>
      <c r="AX2091" s="169" t="str">
        <f t="shared" si="895"/>
        <v/>
      </c>
      <c r="AY2091" t="str">
        <f t="shared" si="896"/>
        <v/>
      </c>
      <c r="AZ2091" t="str">
        <f t="shared" si="897"/>
        <v/>
      </c>
    </row>
    <row r="2092" spans="1:52" s="145" customFormat="1" x14ac:dyDescent="0.35">
      <c r="A2092" s="497" t="s">
        <v>3447</v>
      </c>
      <c r="B2092" s="13" t="s">
        <v>5547</v>
      </c>
      <c r="C2092" s="13" t="s">
        <v>5539</v>
      </c>
      <c r="D2092" s="13" t="s">
        <v>6921</v>
      </c>
      <c r="E2092" s="13" t="s">
        <v>3054</v>
      </c>
      <c r="F2092" s="373">
        <f t="shared" si="904"/>
        <v>22.61</v>
      </c>
      <c r="G2092" s="430">
        <v>22.61</v>
      </c>
      <c r="H2092" s="399">
        <f t="shared" si="905"/>
        <v>18.09</v>
      </c>
      <c r="I2092" s="576"/>
      <c r="J2092" s="549" t="s">
        <v>5804</v>
      </c>
      <c r="K2092" s="11"/>
      <c r="L2092"/>
      <c r="M2092" s="37">
        <f t="shared" si="906"/>
        <v>22.61</v>
      </c>
      <c r="N2092" s="29">
        <v>11.67</v>
      </c>
      <c r="O2092" s="41"/>
      <c r="P2092" s="11"/>
      <c r="Q2092"/>
      <c r="R2092"/>
      <c r="S2092" t="s">
        <v>1017</v>
      </c>
      <c r="T2092" s="145" t="s">
        <v>4179</v>
      </c>
      <c r="U2092" s="42"/>
      <c r="V2092" t="s">
        <v>1017</v>
      </c>
      <c r="W2092" s="50"/>
      <c r="X2092" s="50"/>
      <c r="Y2092"/>
      <c r="Z2092"/>
      <c r="AA2092" s="50"/>
      <c r="AB2092"/>
      <c r="AC2092"/>
      <c r="AD2092" s="50"/>
      <c r="AE2092" s="75" t="s">
        <v>1017</v>
      </c>
      <c r="AF2092" s="50"/>
      <c r="AG2092" s="50"/>
      <c r="AH2092" s="166" t="str">
        <f t="shared" si="911"/>
        <v>2011</v>
      </c>
      <c r="AI2092" s="168" t="str">
        <f t="shared" si="898"/>
        <v/>
      </c>
      <c r="AJ2092" s="168" t="str">
        <f t="shared" si="899"/>
        <v/>
      </c>
      <c r="AK2092" s="168" t="str">
        <f t="shared" si="900"/>
        <v/>
      </c>
      <c r="AL2092" s="168" t="str">
        <f t="shared" si="901"/>
        <v/>
      </c>
      <c r="AM2092" s="168" t="str">
        <f t="shared" si="902"/>
        <v/>
      </c>
      <c r="AN2092" s="167" t="str">
        <f t="shared" si="885"/>
        <v>2011</v>
      </c>
      <c r="AO2092" s="167" t="str">
        <f t="shared" si="886"/>
        <v>2011</v>
      </c>
      <c r="AP2092" s="167" t="str">
        <f t="shared" si="887"/>
        <v>2011</v>
      </c>
      <c r="AQ2092" s="169" t="str">
        <f t="shared" si="888"/>
        <v/>
      </c>
      <c r="AR2092" s="170" t="str">
        <f t="shared" si="889"/>
        <v>BiK81a1bK11-08</v>
      </c>
      <c r="AS2092" s="169" t="str">
        <f t="shared" si="890"/>
        <v/>
      </c>
      <c r="AT2092">
        <f t="shared" si="891"/>
        <v>14</v>
      </c>
      <c r="AU2092" s="170" t="str">
        <f t="shared" si="892"/>
        <v>0-0,15 MW, Bonusregeln a1, b und K erstmals 2011</v>
      </c>
      <c r="AV2092" s="169" t="str">
        <f t="shared" si="893"/>
        <v/>
      </c>
      <c r="AW2092" s="170" t="str">
        <f t="shared" si="894"/>
        <v>Anteil KWK, erstmals 2011</v>
      </c>
      <c r="AX2092" s="169" t="str">
        <f t="shared" si="895"/>
        <v/>
      </c>
      <c r="AY2092" t="str">
        <f t="shared" si="896"/>
        <v>x</v>
      </c>
      <c r="AZ2092" t="str">
        <f t="shared" si="897"/>
        <v/>
      </c>
    </row>
    <row r="2093" spans="1:52" s="145" customFormat="1" x14ac:dyDescent="0.35">
      <c r="A2093" s="511" t="s">
        <v>1880</v>
      </c>
      <c r="B2093" s="173" t="s">
        <v>5547</v>
      </c>
      <c r="C2093" s="173" t="s">
        <v>5539</v>
      </c>
      <c r="D2093" s="173" t="s">
        <v>6922</v>
      </c>
      <c r="E2093" s="173" t="s">
        <v>1980</v>
      </c>
      <c r="F2093" s="374">
        <f t="shared" si="904"/>
        <v>22.58</v>
      </c>
      <c r="G2093" s="431">
        <v>22.58</v>
      </c>
      <c r="H2093" s="400">
        <f t="shared" si="905"/>
        <v>18.059999999999999</v>
      </c>
      <c r="I2093" s="577"/>
      <c r="J2093" s="549" t="s">
        <v>5804</v>
      </c>
      <c r="K2093" s="11"/>
      <c r="L2093"/>
      <c r="M2093" s="37">
        <f t="shared" si="906"/>
        <v>22.58</v>
      </c>
      <c r="N2093" s="29">
        <v>11.67</v>
      </c>
      <c r="O2093" s="41"/>
      <c r="P2093" s="11"/>
      <c r="Q2093"/>
      <c r="R2093"/>
      <c r="S2093" t="s">
        <v>4179</v>
      </c>
      <c r="T2093" s="145" t="s">
        <v>1017</v>
      </c>
      <c r="U2093" s="42"/>
      <c r="V2093" t="s">
        <v>1017</v>
      </c>
      <c r="W2093" s="50"/>
      <c r="X2093" s="50"/>
      <c r="Y2093"/>
      <c r="Z2093"/>
      <c r="AA2093" s="50"/>
      <c r="AB2093"/>
      <c r="AC2093"/>
      <c r="AD2093" s="50"/>
      <c r="AE2093" s="75" t="s">
        <v>1017</v>
      </c>
      <c r="AF2093" s="50"/>
      <c r="AG2093" s="50"/>
      <c r="AH2093" s="171" t="s">
        <v>4178</v>
      </c>
      <c r="AI2093" s="168" t="str">
        <f t="shared" si="898"/>
        <v/>
      </c>
      <c r="AJ2093" s="168" t="str">
        <f t="shared" si="899"/>
        <v/>
      </c>
      <c r="AK2093" s="168" t="str">
        <f t="shared" si="900"/>
        <v/>
      </c>
      <c r="AL2093" s="168" t="str">
        <f t="shared" si="901"/>
        <v/>
      </c>
      <c r="AM2093" s="168" t="str">
        <f t="shared" si="902"/>
        <v/>
      </c>
      <c r="AN2093" s="167" t="str">
        <f t="shared" si="885"/>
        <v>2012</v>
      </c>
      <c r="AO2093" s="167" t="str">
        <f t="shared" si="886"/>
        <v>2012</v>
      </c>
      <c r="AP2093" s="167" t="str">
        <f t="shared" si="887"/>
        <v>2012</v>
      </c>
      <c r="AQ2093" s="169" t="str">
        <f t="shared" si="888"/>
        <v/>
      </c>
      <c r="AR2093" s="170" t="str">
        <f t="shared" si="889"/>
        <v>BiK81a1bK12-08</v>
      </c>
      <c r="AS2093" s="169" t="str">
        <f t="shared" si="890"/>
        <v/>
      </c>
      <c r="AT2093">
        <f t="shared" si="891"/>
        <v>14</v>
      </c>
      <c r="AU2093" s="170" t="str">
        <f t="shared" si="892"/>
        <v>0-0,15 MW, Bonusregeln a1, b und K erstmals 2012</v>
      </c>
      <c r="AV2093" s="169" t="str">
        <f t="shared" si="893"/>
        <v/>
      </c>
      <c r="AW2093" s="170" t="str">
        <f t="shared" si="894"/>
        <v>Anteil KWK, erstmals 2012</v>
      </c>
      <c r="AX2093" s="169" t="str">
        <f t="shared" si="895"/>
        <v/>
      </c>
      <c r="AY2093" t="str">
        <f t="shared" si="896"/>
        <v/>
      </c>
      <c r="AZ2093" t="str">
        <f t="shared" si="897"/>
        <v>x</v>
      </c>
    </row>
    <row r="2094" spans="1:52" s="145" customFormat="1" x14ac:dyDescent="0.35">
      <c r="A2094" s="497" t="s">
        <v>3629</v>
      </c>
      <c r="B2094" s="13" t="s">
        <v>5547</v>
      </c>
      <c r="C2094" s="13" t="s">
        <v>5539</v>
      </c>
      <c r="D2094" s="13" t="s">
        <v>6923</v>
      </c>
      <c r="E2094" s="13" t="s">
        <v>4809</v>
      </c>
      <c r="F2094" s="373">
        <f t="shared" si="904"/>
        <v>20.67</v>
      </c>
      <c r="G2094" s="430">
        <v>20.67</v>
      </c>
      <c r="H2094" s="399">
        <f t="shared" si="905"/>
        <v>16.54</v>
      </c>
      <c r="I2094" s="576"/>
      <c r="J2094" s="549" t="s">
        <v>5804</v>
      </c>
      <c r="K2094" s="11"/>
      <c r="L2094"/>
      <c r="M2094" s="37">
        <f t="shared" si="906"/>
        <v>20.67</v>
      </c>
      <c r="N2094" s="29">
        <v>11.67</v>
      </c>
      <c r="O2094" s="41"/>
      <c r="P2094" s="11"/>
      <c r="Q2094"/>
      <c r="R2094"/>
      <c r="S2094" t="s">
        <v>4179</v>
      </c>
      <c r="T2094" s="145" t="s">
        <v>4179</v>
      </c>
      <c r="U2094" s="42" t="s">
        <v>1017</v>
      </c>
      <c r="V2094" t="s">
        <v>1017</v>
      </c>
      <c r="W2094" s="50"/>
      <c r="X2094" s="50"/>
      <c r="Y2094"/>
      <c r="Z2094"/>
      <c r="AA2094" s="50"/>
      <c r="AB2094"/>
      <c r="AC2094"/>
      <c r="AD2094" s="50"/>
      <c r="AE2094" s="75" t="s">
        <v>1017</v>
      </c>
      <c r="AF2094" s="50"/>
      <c r="AG2094" s="50"/>
      <c r="AH2094" s="166" t="str">
        <f t="shared" ref="AH2094:AH2099" si="912">IF(ISERROR(SEARCH("K erstmals 201",D2094)),"",RIGHT(D2094,4))</f>
        <v/>
      </c>
      <c r="AI2094" s="168" t="str">
        <f t="shared" si="898"/>
        <v/>
      </c>
      <c r="AJ2094" s="168" t="str">
        <f t="shared" si="899"/>
        <v/>
      </c>
      <c r="AK2094" s="168" t="str">
        <f t="shared" si="900"/>
        <v/>
      </c>
      <c r="AL2094" s="168" t="str">
        <f t="shared" si="901"/>
        <v/>
      </c>
      <c r="AM2094" s="168" t="str">
        <f t="shared" si="902"/>
        <v/>
      </c>
      <c r="AN2094" s="167" t="str">
        <f t="shared" si="885"/>
        <v/>
      </c>
      <c r="AO2094" s="167" t="str">
        <f t="shared" si="886"/>
        <v/>
      </c>
      <c r="AP2094" s="167" t="str">
        <f t="shared" si="887"/>
        <v/>
      </c>
      <c r="AQ2094" s="169" t="str">
        <f t="shared" si="888"/>
        <v/>
      </c>
      <c r="AR2094" s="170" t="str">
        <f t="shared" si="889"/>
        <v>BiK81a1by---08</v>
      </c>
      <c r="AS2094" s="169" t="str">
        <f t="shared" si="890"/>
        <v/>
      </c>
      <c r="AT2094">
        <f t="shared" si="891"/>
        <v>14</v>
      </c>
      <c r="AU2094" s="170" t="str">
        <f t="shared" si="892"/>
        <v>0-0,15 MW, Bonusregeln a1, b, y</v>
      </c>
      <c r="AV2094" s="169" t="str">
        <f t="shared" si="893"/>
        <v/>
      </c>
      <c r="AW2094" s="170" t="str">
        <f t="shared" si="894"/>
        <v>Anteil Nicht-KWK</v>
      </c>
      <c r="AX2094" s="169" t="str">
        <f t="shared" si="895"/>
        <v/>
      </c>
      <c r="AY2094" t="str">
        <f t="shared" si="896"/>
        <v/>
      </c>
      <c r="AZ2094" t="str">
        <f t="shared" si="897"/>
        <v/>
      </c>
    </row>
    <row r="2095" spans="1:52" s="145" customFormat="1" x14ac:dyDescent="0.35">
      <c r="A2095" s="497" t="s">
        <v>3626</v>
      </c>
      <c r="B2095" s="13" t="s">
        <v>5547</v>
      </c>
      <c r="C2095" s="13" t="s">
        <v>5539</v>
      </c>
      <c r="D2095" s="13" t="s">
        <v>6924</v>
      </c>
      <c r="E2095" s="13" t="s">
        <v>4811</v>
      </c>
      <c r="F2095" s="373">
        <f t="shared" si="904"/>
        <v>22.67</v>
      </c>
      <c r="G2095" s="430">
        <v>22.67</v>
      </c>
      <c r="H2095" s="399">
        <f t="shared" si="905"/>
        <v>18.14</v>
      </c>
      <c r="I2095" s="576"/>
      <c r="J2095" s="549" t="s">
        <v>5804</v>
      </c>
      <c r="K2095" s="11"/>
      <c r="L2095"/>
      <c r="M2095" s="37">
        <f t="shared" si="906"/>
        <v>22.67</v>
      </c>
      <c r="N2095" s="29">
        <v>11.67</v>
      </c>
      <c r="O2095" s="41" t="s">
        <v>1017</v>
      </c>
      <c r="P2095" s="11"/>
      <c r="Q2095"/>
      <c r="R2095"/>
      <c r="S2095" t="s">
        <v>4179</v>
      </c>
      <c r="T2095" s="145" t="s">
        <v>4179</v>
      </c>
      <c r="U2095" s="42" t="s">
        <v>1017</v>
      </c>
      <c r="V2095" t="s">
        <v>1017</v>
      </c>
      <c r="W2095" s="50"/>
      <c r="X2095" s="50"/>
      <c r="Y2095"/>
      <c r="Z2095"/>
      <c r="AA2095" s="50"/>
      <c r="AB2095"/>
      <c r="AC2095"/>
      <c r="AD2095" s="50"/>
      <c r="AE2095" s="75" t="s">
        <v>1017</v>
      </c>
      <c r="AF2095" s="50"/>
      <c r="AG2095" s="50"/>
      <c r="AH2095" s="166" t="str">
        <f t="shared" si="912"/>
        <v/>
      </c>
      <c r="AI2095" s="168" t="str">
        <f t="shared" si="898"/>
        <v/>
      </c>
      <c r="AJ2095" s="168" t="str">
        <f t="shared" si="899"/>
        <v/>
      </c>
      <c r="AK2095" s="168" t="str">
        <f t="shared" si="900"/>
        <v/>
      </c>
      <c r="AL2095" s="168" t="str">
        <f t="shared" si="901"/>
        <v/>
      </c>
      <c r="AM2095" s="168" t="str">
        <f t="shared" si="902"/>
        <v/>
      </c>
      <c r="AN2095" s="167" t="str">
        <f t="shared" si="885"/>
        <v/>
      </c>
      <c r="AO2095" s="167" t="str">
        <f t="shared" si="886"/>
        <v/>
      </c>
      <c r="AP2095" s="167" t="str">
        <f t="shared" si="887"/>
        <v/>
      </c>
      <c r="AQ2095" s="169" t="str">
        <f t="shared" si="888"/>
        <v/>
      </c>
      <c r="AR2095" s="170" t="str">
        <f t="shared" si="889"/>
        <v>BiK81a1bKWKy08</v>
      </c>
      <c r="AS2095" s="169" t="str">
        <f t="shared" si="890"/>
        <v/>
      </c>
      <c r="AT2095">
        <f t="shared" si="891"/>
        <v>14</v>
      </c>
      <c r="AU2095" s="170" t="str">
        <f t="shared" si="892"/>
        <v>0-0,15 MW, Bonusregeln a1, b, y und KWK</v>
      </c>
      <c r="AV2095" s="169" t="str">
        <f t="shared" si="893"/>
        <v/>
      </c>
      <c r="AW2095" s="170" t="str">
        <f t="shared" si="894"/>
        <v>Anteil KWK</v>
      </c>
      <c r="AX2095" s="169" t="str">
        <f t="shared" si="895"/>
        <v/>
      </c>
      <c r="AY2095" t="str">
        <f t="shared" si="896"/>
        <v/>
      </c>
      <c r="AZ2095" t="str">
        <f t="shared" si="897"/>
        <v/>
      </c>
    </row>
    <row r="2096" spans="1:52" s="145" customFormat="1" x14ac:dyDescent="0.35">
      <c r="A2096" s="497" t="s">
        <v>3627</v>
      </c>
      <c r="B2096" s="13" t="s">
        <v>5547</v>
      </c>
      <c r="C2096" s="13" t="s">
        <v>5539</v>
      </c>
      <c r="D2096" s="13" t="s">
        <v>6925</v>
      </c>
      <c r="E2096" s="13" t="s">
        <v>4330</v>
      </c>
      <c r="F2096" s="373">
        <f t="shared" si="904"/>
        <v>23.67</v>
      </c>
      <c r="G2096" s="430">
        <v>23.67</v>
      </c>
      <c r="H2096" s="399">
        <f t="shared" si="905"/>
        <v>18.940000000000001</v>
      </c>
      <c r="I2096" s="576"/>
      <c r="J2096" s="549" t="s">
        <v>5804</v>
      </c>
      <c r="K2096" s="11"/>
      <c r="L2096"/>
      <c r="M2096" s="37">
        <f t="shared" si="906"/>
        <v>23.67</v>
      </c>
      <c r="N2096" s="29">
        <v>11.67</v>
      </c>
      <c r="O2096" s="41"/>
      <c r="P2096" t="s">
        <v>1017</v>
      </c>
      <c r="Q2096"/>
      <c r="R2096"/>
      <c r="S2096" t="s">
        <v>4179</v>
      </c>
      <c r="T2096" s="145" t="s">
        <v>4179</v>
      </c>
      <c r="U2096" s="42" t="s">
        <v>1017</v>
      </c>
      <c r="V2096" t="s">
        <v>1017</v>
      </c>
      <c r="W2096" s="50"/>
      <c r="X2096" s="50"/>
      <c r="Y2096"/>
      <c r="Z2096"/>
      <c r="AA2096" s="50"/>
      <c r="AB2096"/>
      <c r="AC2096"/>
      <c r="AD2096" s="50"/>
      <c r="AE2096" s="75" t="s">
        <v>1017</v>
      </c>
      <c r="AF2096" s="50"/>
      <c r="AG2096" s="50"/>
      <c r="AH2096" s="166" t="str">
        <f t="shared" si="912"/>
        <v/>
      </c>
      <c r="AI2096" s="168" t="str">
        <f t="shared" si="898"/>
        <v/>
      </c>
      <c r="AJ2096" s="168" t="str">
        <f t="shared" si="899"/>
        <v/>
      </c>
      <c r="AK2096" s="168" t="str">
        <f t="shared" si="900"/>
        <v/>
      </c>
      <c r="AL2096" s="168" t="str">
        <f t="shared" si="901"/>
        <v/>
      </c>
      <c r="AM2096" s="168" t="str">
        <f t="shared" si="902"/>
        <v/>
      </c>
      <c r="AN2096" s="167" t="str">
        <f t="shared" si="885"/>
        <v/>
      </c>
      <c r="AO2096" s="167" t="str">
        <f t="shared" si="886"/>
        <v/>
      </c>
      <c r="AP2096" s="167" t="str">
        <f t="shared" si="887"/>
        <v/>
      </c>
      <c r="AQ2096" s="169" t="str">
        <f t="shared" si="888"/>
        <v/>
      </c>
      <c r="AR2096" s="170" t="str">
        <f t="shared" si="889"/>
        <v>BiK81a1bKA3y08</v>
      </c>
      <c r="AS2096" s="169" t="str">
        <f t="shared" si="890"/>
        <v/>
      </c>
      <c r="AT2096">
        <f t="shared" si="891"/>
        <v>14</v>
      </c>
      <c r="AU2096" s="170" t="str">
        <f t="shared" si="892"/>
        <v>0-0,15 MW, Bonusregeln a1, b, y und K wenn Anlage 3 erfüllt</v>
      </c>
      <c r="AV2096" s="169" t="str">
        <f t="shared" si="893"/>
        <v/>
      </c>
      <c r="AW2096" s="170" t="str">
        <f t="shared" si="894"/>
        <v>Anteil KWK gemäß Anlage 3</v>
      </c>
      <c r="AX2096" s="169" t="str">
        <f t="shared" si="895"/>
        <v/>
      </c>
      <c r="AY2096" t="str">
        <f t="shared" si="896"/>
        <v/>
      </c>
      <c r="AZ2096" t="str">
        <f t="shared" si="897"/>
        <v/>
      </c>
    </row>
    <row r="2097" spans="1:52" s="145" customFormat="1" x14ac:dyDescent="0.35">
      <c r="A2097" s="497" t="s">
        <v>3628</v>
      </c>
      <c r="B2097" s="13" t="s">
        <v>5547</v>
      </c>
      <c r="C2097" s="13" t="s">
        <v>5539</v>
      </c>
      <c r="D2097" s="13" t="s">
        <v>6926</v>
      </c>
      <c r="E2097" s="13" t="s">
        <v>674</v>
      </c>
      <c r="F2097" s="373">
        <f t="shared" si="904"/>
        <v>23.67</v>
      </c>
      <c r="G2097" s="430">
        <v>23.67</v>
      </c>
      <c r="H2097" s="399">
        <f t="shared" si="905"/>
        <v>18.940000000000001</v>
      </c>
      <c r="I2097" s="576"/>
      <c r="J2097" s="549" t="s">
        <v>5804</v>
      </c>
      <c r="K2097" s="11"/>
      <c r="L2097"/>
      <c r="M2097" s="37">
        <f t="shared" si="906"/>
        <v>23.67</v>
      </c>
      <c r="N2097" s="29">
        <v>11.67</v>
      </c>
      <c r="O2097" s="41"/>
      <c r="P2097" s="11"/>
      <c r="Q2097" t="s">
        <v>1017</v>
      </c>
      <c r="R2097"/>
      <c r="S2097" t="s">
        <v>4179</v>
      </c>
      <c r="T2097" s="145" t="s">
        <v>4179</v>
      </c>
      <c r="U2097" s="42" t="s">
        <v>1017</v>
      </c>
      <c r="V2097" t="s">
        <v>1017</v>
      </c>
      <c r="W2097" s="50"/>
      <c r="X2097" s="50"/>
      <c r="Y2097"/>
      <c r="Z2097"/>
      <c r="AA2097" s="50"/>
      <c r="AB2097"/>
      <c r="AC2097"/>
      <c r="AD2097" s="50"/>
      <c r="AE2097" s="75" t="s">
        <v>1017</v>
      </c>
      <c r="AF2097" s="50"/>
      <c r="AG2097" s="50"/>
      <c r="AH2097" s="166" t="str">
        <f t="shared" si="912"/>
        <v/>
      </c>
      <c r="AI2097" s="168" t="str">
        <f t="shared" si="898"/>
        <v/>
      </c>
      <c r="AJ2097" s="168" t="str">
        <f t="shared" si="899"/>
        <v/>
      </c>
      <c r="AK2097" s="168" t="str">
        <f t="shared" si="900"/>
        <v/>
      </c>
      <c r="AL2097" s="168" t="str">
        <f t="shared" si="901"/>
        <v/>
      </c>
      <c r="AM2097" s="168" t="str">
        <f t="shared" si="902"/>
        <v/>
      </c>
      <c r="AN2097" s="167" t="str">
        <f t="shared" si="885"/>
        <v/>
      </c>
      <c r="AO2097" s="167" t="str">
        <f t="shared" si="886"/>
        <v/>
      </c>
      <c r="AP2097" s="167" t="str">
        <f t="shared" si="887"/>
        <v/>
      </c>
      <c r="AQ2097" s="169" t="str">
        <f t="shared" si="888"/>
        <v/>
      </c>
      <c r="AR2097" s="170" t="str">
        <f t="shared" si="889"/>
        <v>BiK81a1bK09y08</v>
      </c>
      <c r="AS2097" s="169" t="str">
        <f t="shared" si="890"/>
        <v/>
      </c>
      <c r="AT2097">
        <f t="shared" si="891"/>
        <v>14</v>
      </c>
      <c r="AU2097" s="170" t="str">
        <f t="shared" si="892"/>
        <v>0-0,15 MW, Bonusregeln a1, b, y und K erstmals 2009</v>
      </c>
      <c r="AV2097" s="169" t="str">
        <f t="shared" si="893"/>
        <v/>
      </c>
      <c r="AW2097" s="170" t="str">
        <f t="shared" si="894"/>
        <v>Anteil KWK, erstmals 2009</v>
      </c>
      <c r="AX2097" s="169" t="str">
        <f t="shared" si="895"/>
        <v/>
      </c>
      <c r="AY2097" t="str">
        <f t="shared" si="896"/>
        <v/>
      </c>
      <c r="AZ2097" t="str">
        <f t="shared" si="897"/>
        <v/>
      </c>
    </row>
    <row r="2098" spans="1:52" x14ac:dyDescent="0.35">
      <c r="A2098" s="497" t="s">
        <v>3170</v>
      </c>
      <c r="B2098" s="13" t="s">
        <v>5547</v>
      </c>
      <c r="C2098" s="13" t="s">
        <v>5539</v>
      </c>
      <c r="D2098" s="13" t="s">
        <v>6927</v>
      </c>
      <c r="E2098" s="13" t="s">
        <v>3566</v>
      </c>
      <c r="F2098" s="373">
        <f t="shared" si="904"/>
        <v>23.64</v>
      </c>
      <c r="G2098" s="430">
        <v>23.64</v>
      </c>
      <c r="H2098" s="399">
        <f t="shared" si="905"/>
        <v>18.91</v>
      </c>
      <c r="I2098" s="576"/>
      <c r="J2098" s="549" t="s">
        <v>5804</v>
      </c>
      <c r="K2098" s="11"/>
      <c r="M2098" s="37">
        <f t="shared" si="906"/>
        <v>23.64</v>
      </c>
      <c r="N2098" s="29">
        <v>11.67</v>
      </c>
      <c r="O2098" s="41"/>
      <c r="P2098" s="11"/>
      <c r="R2098" t="s">
        <v>1017</v>
      </c>
      <c r="S2098" t="s">
        <v>4179</v>
      </c>
      <c r="T2098" t="s">
        <v>4179</v>
      </c>
      <c r="U2098" s="42" t="s">
        <v>1017</v>
      </c>
      <c r="V2098" t="s">
        <v>1017</v>
      </c>
      <c r="W2098" s="50"/>
      <c r="X2098" s="50"/>
      <c r="AA2098" s="50"/>
      <c r="AD2098" s="50"/>
      <c r="AE2098" s="75" t="s">
        <v>1017</v>
      </c>
      <c r="AF2098" s="50"/>
      <c r="AG2098" s="50"/>
      <c r="AH2098" s="166" t="str">
        <f t="shared" si="912"/>
        <v>2010</v>
      </c>
      <c r="AI2098" s="168" t="str">
        <f t="shared" si="898"/>
        <v/>
      </c>
      <c r="AJ2098" s="168" t="str">
        <f t="shared" si="899"/>
        <v/>
      </c>
      <c r="AK2098" s="168" t="str">
        <f t="shared" si="900"/>
        <v/>
      </c>
      <c r="AL2098" s="168" t="str">
        <f t="shared" si="901"/>
        <v/>
      </c>
      <c r="AM2098" s="168" t="str">
        <f t="shared" si="902"/>
        <v/>
      </c>
      <c r="AN2098" s="167" t="str">
        <f t="shared" si="885"/>
        <v>2010</v>
      </c>
      <c r="AO2098" s="167" t="str">
        <f t="shared" si="886"/>
        <v>2010</v>
      </c>
      <c r="AP2098" s="167" t="str">
        <f t="shared" si="887"/>
        <v>2010</v>
      </c>
      <c r="AQ2098" s="169" t="str">
        <f t="shared" si="888"/>
        <v/>
      </c>
      <c r="AR2098" s="170" t="str">
        <f t="shared" si="889"/>
        <v>BiK81a1bK10y08</v>
      </c>
      <c r="AS2098" s="169" t="str">
        <f t="shared" si="890"/>
        <v/>
      </c>
      <c r="AT2098">
        <f t="shared" si="891"/>
        <v>14</v>
      </c>
      <c r="AU2098" s="170" t="str">
        <f t="shared" si="892"/>
        <v>0-0,15 MW, Bonusregeln a1, b, y und K erstmals 2010</v>
      </c>
      <c r="AV2098" s="169" t="str">
        <f t="shared" si="893"/>
        <v/>
      </c>
      <c r="AW2098" s="170" t="str">
        <f t="shared" si="894"/>
        <v>Anteil KWK, erstmals 2010</v>
      </c>
      <c r="AX2098" s="169" t="str">
        <f t="shared" si="895"/>
        <v/>
      </c>
      <c r="AY2098" t="str">
        <f t="shared" si="896"/>
        <v/>
      </c>
      <c r="AZ2098" t="str">
        <f t="shared" si="897"/>
        <v/>
      </c>
    </row>
    <row r="2099" spans="1:52" x14ac:dyDescent="0.35">
      <c r="A2099" s="497" t="s">
        <v>3448</v>
      </c>
      <c r="B2099" s="13" t="s">
        <v>5547</v>
      </c>
      <c r="C2099" s="13" t="s">
        <v>5539</v>
      </c>
      <c r="D2099" s="13" t="s">
        <v>6928</v>
      </c>
      <c r="E2099" s="13" t="s">
        <v>3054</v>
      </c>
      <c r="F2099" s="373">
        <f t="shared" si="904"/>
        <v>23.61</v>
      </c>
      <c r="G2099" s="430">
        <v>23.61</v>
      </c>
      <c r="H2099" s="399">
        <f t="shared" si="905"/>
        <v>18.89</v>
      </c>
      <c r="I2099" s="576"/>
      <c r="J2099" s="549" t="s">
        <v>5804</v>
      </c>
      <c r="K2099" s="11"/>
      <c r="M2099" s="37">
        <f t="shared" si="906"/>
        <v>23.61</v>
      </c>
      <c r="N2099" s="29">
        <v>11.67</v>
      </c>
      <c r="O2099" s="41"/>
      <c r="P2099" s="11"/>
      <c r="S2099" t="s">
        <v>1017</v>
      </c>
      <c r="T2099" t="s">
        <v>4179</v>
      </c>
      <c r="U2099" s="42" t="s">
        <v>1017</v>
      </c>
      <c r="V2099" t="s">
        <v>1017</v>
      </c>
      <c r="W2099" s="50"/>
      <c r="X2099" s="50"/>
      <c r="AA2099" s="50"/>
      <c r="AD2099" s="50"/>
      <c r="AE2099" s="75" t="s">
        <v>1017</v>
      </c>
      <c r="AF2099" s="50"/>
      <c r="AG2099" s="50"/>
      <c r="AH2099" s="166" t="str">
        <f t="shared" si="912"/>
        <v>2011</v>
      </c>
      <c r="AI2099" s="168" t="str">
        <f t="shared" si="898"/>
        <v/>
      </c>
      <c r="AJ2099" s="168" t="str">
        <f t="shared" si="899"/>
        <v/>
      </c>
      <c r="AK2099" s="168" t="str">
        <f t="shared" si="900"/>
        <v/>
      </c>
      <c r="AL2099" s="168" t="str">
        <f t="shared" si="901"/>
        <v/>
      </c>
      <c r="AM2099" s="168" t="str">
        <f t="shared" si="902"/>
        <v/>
      </c>
      <c r="AN2099" s="167" t="str">
        <f t="shared" si="885"/>
        <v>2011</v>
      </c>
      <c r="AO2099" s="167" t="str">
        <f t="shared" si="886"/>
        <v>2011</v>
      </c>
      <c r="AP2099" s="167" t="str">
        <f t="shared" si="887"/>
        <v>2011</v>
      </c>
      <c r="AQ2099" s="169" t="str">
        <f t="shared" si="888"/>
        <v/>
      </c>
      <c r="AR2099" s="170" t="str">
        <f t="shared" si="889"/>
        <v>BiK81a1bK11y08</v>
      </c>
      <c r="AS2099" s="169" t="str">
        <f t="shared" si="890"/>
        <v/>
      </c>
      <c r="AT2099">
        <f t="shared" si="891"/>
        <v>14</v>
      </c>
      <c r="AU2099" s="170" t="str">
        <f t="shared" si="892"/>
        <v>0-0,15 MW, Bonusregeln a1, b, y und K erstmals 2011</v>
      </c>
      <c r="AV2099" s="169" t="str">
        <f t="shared" si="893"/>
        <v/>
      </c>
      <c r="AW2099" s="170" t="str">
        <f t="shared" si="894"/>
        <v>Anteil KWK, erstmals 2011</v>
      </c>
      <c r="AX2099" s="169" t="str">
        <f t="shared" si="895"/>
        <v/>
      </c>
      <c r="AY2099" t="str">
        <f t="shared" si="896"/>
        <v>x</v>
      </c>
      <c r="AZ2099" t="str">
        <f t="shared" si="897"/>
        <v/>
      </c>
    </row>
    <row r="2100" spans="1:52" x14ac:dyDescent="0.35">
      <c r="A2100" s="511" t="s">
        <v>1881</v>
      </c>
      <c r="B2100" s="173" t="s">
        <v>5547</v>
      </c>
      <c r="C2100" s="173" t="s">
        <v>5539</v>
      </c>
      <c r="D2100" s="173" t="s">
        <v>6929</v>
      </c>
      <c r="E2100" s="173" t="s">
        <v>1980</v>
      </c>
      <c r="F2100" s="374">
        <f t="shared" si="904"/>
        <v>23.58</v>
      </c>
      <c r="G2100" s="431">
        <v>23.58</v>
      </c>
      <c r="H2100" s="400">
        <f t="shared" si="905"/>
        <v>18.86</v>
      </c>
      <c r="I2100" s="577"/>
      <c r="J2100" s="549" t="s">
        <v>5804</v>
      </c>
      <c r="K2100" s="11"/>
      <c r="M2100" s="37">
        <f t="shared" si="906"/>
        <v>23.58</v>
      </c>
      <c r="N2100" s="29">
        <v>11.67</v>
      </c>
      <c r="O2100" s="41"/>
      <c r="P2100" s="11"/>
      <c r="S2100" t="s">
        <v>4179</v>
      </c>
      <c r="T2100" t="s">
        <v>1017</v>
      </c>
      <c r="U2100" s="42" t="s">
        <v>1017</v>
      </c>
      <c r="V2100" t="s">
        <v>1017</v>
      </c>
      <c r="W2100" s="50"/>
      <c r="X2100" s="50"/>
      <c r="AA2100" s="50"/>
      <c r="AD2100" s="50"/>
      <c r="AE2100" s="75" t="s">
        <v>1017</v>
      </c>
      <c r="AF2100" s="50"/>
      <c r="AG2100" s="50"/>
      <c r="AH2100" s="171" t="s">
        <v>4178</v>
      </c>
      <c r="AI2100" s="168" t="str">
        <f t="shared" si="898"/>
        <v/>
      </c>
      <c r="AJ2100" s="168" t="str">
        <f t="shared" si="899"/>
        <v/>
      </c>
      <c r="AK2100" s="168" t="str">
        <f t="shared" si="900"/>
        <v/>
      </c>
      <c r="AL2100" s="168" t="str">
        <f t="shared" si="901"/>
        <v/>
      </c>
      <c r="AM2100" s="168" t="str">
        <f t="shared" si="902"/>
        <v/>
      </c>
      <c r="AN2100" s="167" t="str">
        <f t="shared" si="885"/>
        <v>2012</v>
      </c>
      <c r="AO2100" s="167" t="str">
        <f t="shared" si="886"/>
        <v>2012</v>
      </c>
      <c r="AP2100" s="167" t="str">
        <f t="shared" si="887"/>
        <v>2012</v>
      </c>
      <c r="AQ2100" s="169" t="str">
        <f t="shared" si="888"/>
        <v/>
      </c>
      <c r="AR2100" s="170" t="str">
        <f t="shared" si="889"/>
        <v>BiK81a1bK12y08</v>
      </c>
      <c r="AS2100" s="169" t="str">
        <f t="shared" si="890"/>
        <v/>
      </c>
      <c r="AT2100">
        <f t="shared" si="891"/>
        <v>14</v>
      </c>
      <c r="AU2100" s="170" t="str">
        <f t="shared" si="892"/>
        <v>0-0,15 MW, Bonusregeln a1, b, y und K erstmals 2012</v>
      </c>
      <c r="AV2100" s="169" t="str">
        <f t="shared" si="893"/>
        <v/>
      </c>
      <c r="AW2100" s="170" t="str">
        <f t="shared" si="894"/>
        <v>Anteil KWK, erstmals 2012</v>
      </c>
      <c r="AX2100" s="169" t="str">
        <f t="shared" si="895"/>
        <v/>
      </c>
      <c r="AY2100" t="str">
        <f t="shared" si="896"/>
        <v/>
      </c>
      <c r="AZ2100" t="str">
        <f t="shared" si="897"/>
        <v>x</v>
      </c>
    </row>
    <row r="2101" spans="1:52" x14ac:dyDescent="0.35">
      <c r="A2101" s="497" t="s">
        <v>1060</v>
      </c>
      <c r="B2101" s="13" t="s">
        <v>5547</v>
      </c>
      <c r="C2101" s="13" t="s">
        <v>5539</v>
      </c>
      <c r="D2101" s="13" t="s">
        <v>6930</v>
      </c>
      <c r="E2101" s="13" t="s">
        <v>4809</v>
      </c>
      <c r="F2101" s="373">
        <f t="shared" si="904"/>
        <v>20.67</v>
      </c>
      <c r="G2101" s="430">
        <v>20.67</v>
      </c>
      <c r="H2101" s="399">
        <f t="shared" si="905"/>
        <v>16.54</v>
      </c>
      <c r="I2101" s="576"/>
      <c r="J2101" s="549" t="s">
        <v>5804</v>
      </c>
      <c r="K2101" s="11"/>
      <c r="M2101" s="37">
        <f t="shared" si="906"/>
        <v>20.67</v>
      </c>
      <c r="N2101" s="29">
        <v>11.67</v>
      </c>
      <c r="O2101" s="149"/>
      <c r="P2101" s="144"/>
      <c r="Q2101" s="145"/>
      <c r="R2101" s="145"/>
      <c r="S2101" s="145" t="s">
        <v>4179</v>
      </c>
      <c r="T2101" t="s">
        <v>4179</v>
      </c>
      <c r="U2101" s="146"/>
      <c r="V2101" s="145"/>
      <c r="W2101" s="147"/>
      <c r="X2101" s="147"/>
      <c r="Y2101" s="145" t="s">
        <v>1017</v>
      </c>
      <c r="Z2101" s="145"/>
      <c r="AA2101" s="147"/>
      <c r="AB2101" s="145"/>
      <c r="AC2101" s="145"/>
      <c r="AD2101" s="147"/>
      <c r="AE2101" s="148" t="s">
        <v>1017</v>
      </c>
      <c r="AF2101" s="147"/>
      <c r="AG2101" s="147"/>
      <c r="AH2101" s="166" t="str">
        <f t="shared" ref="AH2101:AH2106" si="913">IF(ISERROR(SEARCH("K erstmals 201",D2101)),"",RIGHT(D2101,4))</f>
        <v/>
      </c>
      <c r="AI2101" s="168" t="str">
        <f t="shared" si="898"/>
        <v/>
      </c>
      <c r="AJ2101" s="168" t="str">
        <f t="shared" si="899"/>
        <v/>
      </c>
      <c r="AK2101" s="168" t="str">
        <f t="shared" si="900"/>
        <v/>
      </c>
      <c r="AL2101" s="168" t="str">
        <f t="shared" si="901"/>
        <v/>
      </c>
      <c r="AM2101" s="168" t="str">
        <f t="shared" si="902"/>
        <v/>
      </c>
      <c r="AN2101" s="167" t="str">
        <f t="shared" si="885"/>
        <v/>
      </c>
      <c r="AO2101" s="167" t="str">
        <f t="shared" si="886"/>
        <v/>
      </c>
      <c r="AP2101" s="167" t="str">
        <f t="shared" si="887"/>
        <v/>
      </c>
      <c r="AQ2101" s="169" t="str">
        <f t="shared" si="888"/>
        <v/>
      </c>
      <c r="AR2101" s="170" t="str">
        <f t="shared" si="889"/>
        <v>BiK81Gb-----08</v>
      </c>
      <c r="AS2101" s="169" t="str">
        <f t="shared" si="890"/>
        <v/>
      </c>
      <c r="AT2101">
        <f t="shared" si="891"/>
        <v>14</v>
      </c>
      <c r="AU2101" s="170" t="str">
        <f t="shared" si="892"/>
        <v>0-0,15 MW, Bonusregeln G, b</v>
      </c>
      <c r="AV2101" s="169" t="str">
        <f t="shared" si="893"/>
        <v/>
      </c>
      <c r="AW2101" s="170" t="str">
        <f t="shared" si="894"/>
        <v>Anteil Nicht-KWK</v>
      </c>
      <c r="AX2101" s="169" t="str">
        <f t="shared" si="895"/>
        <v/>
      </c>
      <c r="AY2101" t="str">
        <f t="shared" si="896"/>
        <v/>
      </c>
      <c r="AZ2101" t="str">
        <f t="shared" si="897"/>
        <v/>
      </c>
    </row>
    <row r="2102" spans="1:52" x14ac:dyDescent="0.35">
      <c r="A2102" s="497" t="s">
        <v>1061</v>
      </c>
      <c r="B2102" s="13" t="s">
        <v>5547</v>
      </c>
      <c r="C2102" s="13" t="s">
        <v>5539</v>
      </c>
      <c r="D2102" s="13" t="s">
        <v>6931</v>
      </c>
      <c r="E2102" s="13" t="s">
        <v>4811</v>
      </c>
      <c r="F2102" s="373">
        <f t="shared" si="904"/>
        <v>22.67</v>
      </c>
      <c r="G2102" s="430">
        <v>22.67</v>
      </c>
      <c r="H2102" s="399">
        <f t="shared" si="905"/>
        <v>18.14</v>
      </c>
      <c r="I2102" s="576"/>
      <c r="J2102" s="549" t="s">
        <v>5804</v>
      </c>
      <c r="K2102" s="11"/>
      <c r="M2102" s="37">
        <f t="shared" si="906"/>
        <v>22.67</v>
      </c>
      <c r="N2102" s="29">
        <v>11.67</v>
      </c>
      <c r="O2102" s="149" t="s">
        <v>1017</v>
      </c>
      <c r="P2102" s="144"/>
      <c r="Q2102" s="145"/>
      <c r="R2102" s="145"/>
      <c r="S2102" s="145" t="s">
        <v>4179</v>
      </c>
      <c r="T2102" t="s">
        <v>4179</v>
      </c>
      <c r="U2102" s="146"/>
      <c r="V2102" s="145"/>
      <c r="W2102" s="147"/>
      <c r="X2102" s="147"/>
      <c r="Y2102" s="145" t="s">
        <v>1017</v>
      </c>
      <c r="Z2102" s="145"/>
      <c r="AA2102" s="147"/>
      <c r="AB2102" s="145"/>
      <c r="AC2102" s="145"/>
      <c r="AD2102" s="147"/>
      <c r="AE2102" s="148" t="s">
        <v>1017</v>
      </c>
      <c r="AF2102" s="147"/>
      <c r="AG2102" s="147"/>
      <c r="AH2102" s="166" t="str">
        <f t="shared" si="913"/>
        <v/>
      </c>
      <c r="AI2102" s="168" t="str">
        <f t="shared" si="898"/>
        <v/>
      </c>
      <c r="AJ2102" s="168" t="str">
        <f t="shared" si="899"/>
        <v/>
      </c>
      <c r="AK2102" s="168" t="str">
        <f t="shared" si="900"/>
        <v/>
      </c>
      <c r="AL2102" s="168" t="str">
        <f t="shared" si="901"/>
        <v/>
      </c>
      <c r="AM2102" s="168" t="str">
        <f t="shared" si="902"/>
        <v/>
      </c>
      <c r="AN2102" s="167" t="str">
        <f t="shared" si="885"/>
        <v/>
      </c>
      <c r="AO2102" s="167" t="str">
        <f t="shared" si="886"/>
        <v/>
      </c>
      <c r="AP2102" s="167" t="str">
        <f t="shared" si="887"/>
        <v/>
      </c>
      <c r="AQ2102" s="169" t="str">
        <f t="shared" si="888"/>
        <v/>
      </c>
      <c r="AR2102" s="170" t="str">
        <f t="shared" si="889"/>
        <v>BiK81GbKWK--08</v>
      </c>
      <c r="AS2102" s="169" t="str">
        <f t="shared" si="890"/>
        <v/>
      </c>
      <c r="AT2102">
        <f t="shared" si="891"/>
        <v>14</v>
      </c>
      <c r="AU2102" s="170" t="str">
        <f t="shared" si="892"/>
        <v>0-0,15 MW, Bonusregeln G, b und KWK</v>
      </c>
      <c r="AV2102" s="169" t="str">
        <f t="shared" si="893"/>
        <v/>
      </c>
      <c r="AW2102" s="170" t="str">
        <f t="shared" si="894"/>
        <v>Anteil KWK</v>
      </c>
      <c r="AX2102" s="169" t="str">
        <f t="shared" si="895"/>
        <v/>
      </c>
      <c r="AY2102" t="str">
        <f t="shared" si="896"/>
        <v/>
      </c>
      <c r="AZ2102" t="str">
        <f t="shared" si="897"/>
        <v/>
      </c>
    </row>
    <row r="2103" spans="1:52" s="145" customFormat="1" x14ac:dyDescent="0.35">
      <c r="A2103" s="497" t="s">
        <v>1062</v>
      </c>
      <c r="B2103" s="13" t="s">
        <v>5547</v>
      </c>
      <c r="C2103" s="13" t="s">
        <v>5539</v>
      </c>
      <c r="D2103" s="13" t="s">
        <v>6932</v>
      </c>
      <c r="E2103" s="13" t="s">
        <v>4330</v>
      </c>
      <c r="F2103" s="373">
        <f t="shared" si="904"/>
        <v>23.67</v>
      </c>
      <c r="G2103" s="430">
        <v>23.67</v>
      </c>
      <c r="H2103" s="399">
        <f t="shared" si="905"/>
        <v>18.940000000000001</v>
      </c>
      <c r="I2103" s="576"/>
      <c r="J2103" s="549" t="s">
        <v>5804</v>
      </c>
      <c r="K2103" s="11"/>
      <c r="L2103"/>
      <c r="M2103" s="37">
        <f t="shared" si="906"/>
        <v>23.67</v>
      </c>
      <c r="N2103" s="29">
        <v>11.67</v>
      </c>
      <c r="O2103" s="149"/>
      <c r="P2103" s="145" t="s">
        <v>1017</v>
      </c>
      <c r="S2103" s="145" t="s">
        <v>4179</v>
      </c>
      <c r="T2103" s="145" t="s">
        <v>4179</v>
      </c>
      <c r="U2103" s="146"/>
      <c r="W2103" s="147"/>
      <c r="X2103" s="147"/>
      <c r="Y2103" s="145" t="s">
        <v>1017</v>
      </c>
      <c r="AA2103" s="147"/>
      <c r="AD2103" s="147"/>
      <c r="AE2103" s="148" t="s">
        <v>1017</v>
      </c>
      <c r="AF2103" s="147"/>
      <c r="AG2103" s="147"/>
      <c r="AH2103" s="166" t="str">
        <f t="shared" si="913"/>
        <v/>
      </c>
      <c r="AI2103" s="168" t="str">
        <f t="shared" si="898"/>
        <v/>
      </c>
      <c r="AJ2103" s="168" t="str">
        <f t="shared" si="899"/>
        <v/>
      </c>
      <c r="AK2103" s="168" t="str">
        <f t="shared" si="900"/>
        <v/>
      </c>
      <c r="AL2103" s="168" t="str">
        <f t="shared" si="901"/>
        <v/>
      </c>
      <c r="AM2103" s="168" t="str">
        <f t="shared" si="902"/>
        <v/>
      </c>
      <c r="AN2103" s="167" t="str">
        <f t="shared" si="885"/>
        <v/>
      </c>
      <c r="AO2103" s="167" t="str">
        <f t="shared" si="886"/>
        <v/>
      </c>
      <c r="AP2103" s="167" t="str">
        <f t="shared" si="887"/>
        <v/>
      </c>
      <c r="AQ2103" s="169" t="str">
        <f t="shared" si="888"/>
        <v/>
      </c>
      <c r="AR2103" s="170" t="str">
        <f t="shared" si="889"/>
        <v>BiK81GbKA3--08</v>
      </c>
      <c r="AS2103" s="169" t="str">
        <f t="shared" si="890"/>
        <v/>
      </c>
      <c r="AT2103">
        <f t="shared" si="891"/>
        <v>14</v>
      </c>
      <c r="AU2103" s="170" t="str">
        <f t="shared" si="892"/>
        <v>0-0,15 MW, Bonusregeln G, b und K wenn Anlage 3 erfüllt</v>
      </c>
      <c r="AV2103" s="169" t="str">
        <f t="shared" si="893"/>
        <v/>
      </c>
      <c r="AW2103" s="170" t="str">
        <f t="shared" si="894"/>
        <v>Anteil KWK gemäß Anlage 3</v>
      </c>
      <c r="AX2103" s="169" t="str">
        <f t="shared" si="895"/>
        <v/>
      </c>
      <c r="AY2103" t="str">
        <f t="shared" si="896"/>
        <v/>
      </c>
      <c r="AZ2103" t="str">
        <f t="shared" si="897"/>
        <v/>
      </c>
    </row>
    <row r="2104" spans="1:52" s="145" customFormat="1" x14ac:dyDescent="0.35">
      <c r="A2104" s="497" t="s">
        <v>1063</v>
      </c>
      <c r="B2104" s="13" t="s">
        <v>5547</v>
      </c>
      <c r="C2104" s="13" t="s">
        <v>5539</v>
      </c>
      <c r="D2104" s="13" t="s">
        <v>6933</v>
      </c>
      <c r="E2104" s="13" t="s">
        <v>674</v>
      </c>
      <c r="F2104" s="373">
        <f t="shared" si="904"/>
        <v>23.67</v>
      </c>
      <c r="G2104" s="430">
        <v>23.67</v>
      </c>
      <c r="H2104" s="399">
        <f t="shared" si="905"/>
        <v>18.940000000000001</v>
      </c>
      <c r="I2104" s="576"/>
      <c r="J2104" s="549" t="s">
        <v>5804</v>
      </c>
      <c r="K2104" s="11"/>
      <c r="L2104"/>
      <c r="M2104" s="37">
        <f t="shared" si="906"/>
        <v>23.67</v>
      </c>
      <c r="N2104" s="29">
        <v>11.67</v>
      </c>
      <c r="O2104" s="149"/>
      <c r="P2104" s="144"/>
      <c r="Q2104" s="145" t="s">
        <v>1017</v>
      </c>
      <c r="S2104" s="145" t="s">
        <v>4179</v>
      </c>
      <c r="T2104" s="145" t="s">
        <v>4179</v>
      </c>
      <c r="U2104" s="146"/>
      <c r="W2104" s="147"/>
      <c r="X2104" s="147"/>
      <c r="Y2104" s="145" t="s">
        <v>1017</v>
      </c>
      <c r="AA2104" s="147"/>
      <c r="AD2104" s="147"/>
      <c r="AE2104" s="148" t="s">
        <v>1017</v>
      </c>
      <c r="AF2104" s="147"/>
      <c r="AG2104" s="147"/>
      <c r="AH2104" s="166" t="str">
        <f t="shared" si="913"/>
        <v/>
      </c>
      <c r="AI2104" s="168" t="str">
        <f t="shared" si="898"/>
        <v/>
      </c>
      <c r="AJ2104" s="168" t="str">
        <f t="shared" si="899"/>
        <v/>
      </c>
      <c r="AK2104" s="168" t="str">
        <f t="shared" si="900"/>
        <v/>
      </c>
      <c r="AL2104" s="168" t="str">
        <f t="shared" si="901"/>
        <v/>
      </c>
      <c r="AM2104" s="168" t="str">
        <f t="shared" si="902"/>
        <v/>
      </c>
      <c r="AN2104" s="167" t="str">
        <f t="shared" si="885"/>
        <v/>
      </c>
      <c r="AO2104" s="167" t="str">
        <f t="shared" si="886"/>
        <v/>
      </c>
      <c r="AP2104" s="167" t="str">
        <f t="shared" si="887"/>
        <v/>
      </c>
      <c r="AQ2104" s="169" t="str">
        <f t="shared" si="888"/>
        <v/>
      </c>
      <c r="AR2104" s="170" t="str">
        <f t="shared" si="889"/>
        <v>BiK81GbK09--08</v>
      </c>
      <c r="AS2104" s="169" t="str">
        <f t="shared" si="890"/>
        <v/>
      </c>
      <c r="AT2104">
        <f t="shared" si="891"/>
        <v>14</v>
      </c>
      <c r="AU2104" s="170" t="str">
        <f t="shared" si="892"/>
        <v>0-0,15 MW, Bonusregeln G, b und K erstmals 2009</v>
      </c>
      <c r="AV2104" s="169" t="str">
        <f t="shared" si="893"/>
        <v/>
      </c>
      <c r="AW2104" s="170" t="str">
        <f t="shared" si="894"/>
        <v>Anteil KWK, erstmals 2009</v>
      </c>
      <c r="AX2104" s="169" t="str">
        <f t="shared" si="895"/>
        <v/>
      </c>
      <c r="AY2104" t="str">
        <f t="shared" si="896"/>
        <v/>
      </c>
      <c r="AZ2104" t="str">
        <f t="shared" si="897"/>
        <v/>
      </c>
    </row>
    <row r="2105" spans="1:52" s="145" customFormat="1" x14ac:dyDescent="0.35">
      <c r="A2105" s="497" t="s">
        <v>3171</v>
      </c>
      <c r="B2105" s="13" t="s">
        <v>5547</v>
      </c>
      <c r="C2105" s="13" t="s">
        <v>5539</v>
      </c>
      <c r="D2105" s="13" t="s">
        <v>6934</v>
      </c>
      <c r="E2105" s="13" t="s">
        <v>3566</v>
      </c>
      <c r="F2105" s="373">
        <f t="shared" si="904"/>
        <v>23.64</v>
      </c>
      <c r="G2105" s="430">
        <v>23.64</v>
      </c>
      <c r="H2105" s="399">
        <f t="shared" si="905"/>
        <v>18.91</v>
      </c>
      <c r="I2105" s="576"/>
      <c r="J2105" s="549" t="s">
        <v>5804</v>
      </c>
      <c r="K2105" s="11"/>
      <c r="L2105"/>
      <c r="M2105" s="37">
        <f t="shared" si="906"/>
        <v>23.64</v>
      </c>
      <c r="N2105" s="29">
        <v>11.67</v>
      </c>
      <c r="O2105" s="149"/>
      <c r="P2105" s="144"/>
      <c r="R2105" s="145" t="s">
        <v>1017</v>
      </c>
      <c r="S2105" s="145" t="s">
        <v>4179</v>
      </c>
      <c r="T2105" s="145" t="s">
        <v>4179</v>
      </c>
      <c r="U2105" s="146"/>
      <c r="W2105" s="147"/>
      <c r="X2105" s="147"/>
      <c r="Y2105" s="145" t="s">
        <v>1017</v>
      </c>
      <c r="AA2105" s="147"/>
      <c r="AD2105" s="147"/>
      <c r="AE2105" s="148" t="s">
        <v>1017</v>
      </c>
      <c r="AF2105" s="147"/>
      <c r="AG2105" s="147"/>
      <c r="AH2105" s="166" t="str">
        <f t="shared" si="913"/>
        <v>2010</v>
      </c>
      <c r="AI2105" s="168" t="str">
        <f t="shared" si="898"/>
        <v/>
      </c>
      <c r="AJ2105" s="168" t="str">
        <f t="shared" si="899"/>
        <v/>
      </c>
      <c r="AK2105" s="168" t="str">
        <f t="shared" si="900"/>
        <v/>
      </c>
      <c r="AL2105" s="168" t="str">
        <f t="shared" si="901"/>
        <v/>
      </c>
      <c r="AM2105" s="168" t="str">
        <f t="shared" si="902"/>
        <v/>
      </c>
      <c r="AN2105" s="167" t="str">
        <f t="shared" si="885"/>
        <v>2010</v>
      </c>
      <c r="AO2105" s="167" t="str">
        <f t="shared" si="886"/>
        <v>2010</v>
      </c>
      <c r="AP2105" s="167" t="str">
        <f t="shared" si="887"/>
        <v>2010</v>
      </c>
      <c r="AQ2105" s="169" t="str">
        <f t="shared" si="888"/>
        <v/>
      </c>
      <c r="AR2105" s="170" t="str">
        <f t="shared" si="889"/>
        <v>BiK81GbK10--08</v>
      </c>
      <c r="AS2105" s="169" t="str">
        <f t="shared" si="890"/>
        <v/>
      </c>
      <c r="AT2105">
        <f t="shared" si="891"/>
        <v>14</v>
      </c>
      <c r="AU2105" s="170" t="str">
        <f t="shared" si="892"/>
        <v>0-0,15 MW, Bonusregeln G, b und K erstmals 2010</v>
      </c>
      <c r="AV2105" s="169" t="str">
        <f t="shared" si="893"/>
        <v/>
      </c>
      <c r="AW2105" s="170" t="str">
        <f t="shared" si="894"/>
        <v>Anteil KWK, erstmals 2010</v>
      </c>
      <c r="AX2105" s="169" t="str">
        <f t="shared" si="895"/>
        <v/>
      </c>
      <c r="AY2105" t="str">
        <f t="shared" si="896"/>
        <v/>
      </c>
      <c r="AZ2105" t="str">
        <f t="shared" si="897"/>
        <v/>
      </c>
    </row>
    <row r="2106" spans="1:52" s="145" customFormat="1" x14ac:dyDescent="0.35">
      <c r="A2106" s="497" t="s">
        <v>3449</v>
      </c>
      <c r="B2106" s="13" t="s">
        <v>5547</v>
      </c>
      <c r="C2106" s="13" t="s">
        <v>5539</v>
      </c>
      <c r="D2106" s="13" t="s">
        <v>6935</v>
      </c>
      <c r="E2106" s="13" t="s">
        <v>3054</v>
      </c>
      <c r="F2106" s="373">
        <f t="shared" si="904"/>
        <v>23.61</v>
      </c>
      <c r="G2106" s="430">
        <v>23.61</v>
      </c>
      <c r="H2106" s="399">
        <f t="shared" si="905"/>
        <v>18.89</v>
      </c>
      <c r="I2106" s="576"/>
      <c r="J2106" s="549" t="s">
        <v>5804</v>
      </c>
      <c r="K2106" s="11"/>
      <c r="L2106"/>
      <c r="M2106" s="37">
        <f t="shared" si="906"/>
        <v>23.61</v>
      </c>
      <c r="N2106" s="29">
        <v>11.67</v>
      </c>
      <c r="O2106" s="149"/>
      <c r="P2106" s="144"/>
      <c r="S2106" s="145" t="s">
        <v>1017</v>
      </c>
      <c r="T2106" s="145" t="s">
        <v>4179</v>
      </c>
      <c r="U2106" s="146"/>
      <c r="W2106" s="147"/>
      <c r="X2106" s="147"/>
      <c r="Y2106" s="145" t="s">
        <v>1017</v>
      </c>
      <c r="AA2106" s="147"/>
      <c r="AD2106" s="147"/>
      <c r="AE2106" s="148" t="s">
        <v>1017</v>
      </c>
      <c r="AF2106" s="147"/>
      <c r="AG2106" s="147"/>
      <c r="AH2106" s="166" t="str">
        <f t="shared" si="913"/>
        <v>2011</v>
      </c>
      <c r="AI2106" s="168" t="str">
        <f t="shared" si="898"/>
        <v/>
      </c>
      <c r="AJ2106" s="168" t="str">
        <f t="shared" si="899"/>
        <v/>
      </c>
      <c r="AK2106" s="168" t="str">
        <f t="shared" si="900"/>
        <v/>
      </c>
      <c r="AL2106" s="168" t="str">
        <f t="shared" si="901"/>
        <v/>
      </c>
      <c r="AM2106" s="168" t="str">
        <f t="shared" si="902"/>
        <v/>
      </c>
      <c r="AN2106" s="167" t="str">
        <f t="shared" si="885"/>
        <v>2011</v>
      </c>
      <c r="AO2106" s="167" t="str">
        <f t="shared" si="886"/>
        <v>2011</v>
      </c>
      <c r="AP2106" s="167" t="str">
        <f t="shared" si="887"/>
        <v>2011</v>
      </c>
      <c r="AQ2106" s="169" t="str">
        <f t="shared" si="888"/>
        <v/>
      </c>
      <c r="AR2106" s="170" t="str">
        <f t="shared" si="889"/>
        <v>BiK81GbK11--08</v>
      </c>
      <c r="AS2106" s="169" t="str">
        <f t="shared" si="890"/>
        <v/>
      </c>
      <c r="AT2106">
        <f t="shared" si="891"/>
        <v>14</v>
      </c>
      <c r="AU2106" s="170" t="str">
        <f t="shared" si="892"/>
        <v>0-0,15 MW, Bonusregeln G, b und K erstmals 2011</v>
      </c>
      <c r="AV2106" s="169" t="str">
        <f t="shared" si="893"/>
        <v/>
      </c>
      <c r="AW2106" s="170" t="str">
        <f t="shared" si="894"/>
        <v>Anteil KWK, erstmals 2011</v>
      </c>
      <c r="AX2106" s="169" t="str">
        <f t="shared" si="895"/>
        <v/>
      </c>
      <c r="AY2106" t="str">
        <f t="shared" si="896"/>
        <v>x</v>
      </c>
      <c r="AZ2106" t="str">
        <f t="shared" si="897"/>
        <v/>
      </c>
    </row>
    <row r="2107" spans="1:52" s="145" customFormat="1" x14ac:dyDescent="0.35">
      <c r="A2107" s="511" t="s">
        <v>1882</v>
      </c>
      <c r="B2107" s="173" t="s">
        <v>5547</v>
      </c>
      <c r="C2107" s="173" t="s">
        <v>5539</v>
      </c>
      <c r="D2107" s="173" t="s">
        <v>6936</v>
      </c>
      <c r="E2107" s="173" t="s">
        <v>1980</v>
      </c>
      <c r="F2107" s="374">
        <f t="shared" si="904"/>
        <v>23.58</v>
      </c>
      <c r="G2107" s="431">
        <v>23.58</v>
      </c>
      <c r="H2107" s="400">
        <f t="shared" si="905"/>
        <v>18.86</v>
      </c>
      <c r="I2107" s="577"/>
      <c r="J2107" s="549" t="s">
        <v>5804</v>
      </c>
      <c r="K2107" s="11"/>
      <c r="L2107"/>
      <c r="M2107" s="37">
        <f t="shared" si="906"/>
        <v>23.58</v>
      </c>
      <c r="N2107" s="29">
        <v>11.67</v>
      </c>
      <c r="O2107" s="149"/>
      <c r="P2107" s="144"/>
      <c r="S2107" s="145" t="s">
        <v>4179</v>
      </c>
      <c r="T2107" s="145" t="s">
        <v>1017</v>
      </c>
      <c r="U2107" s="146"/>
      <c r="W2107" s="147"/>
      <c r="X2107" s="147"/>
      <c r="Y2107" s="145" t="s">
        <v>1017</v>
      </c>
      <c r="AA2107" s="147"/>
      <c r="AD2107" s="147"/>
      <c r="AE2107" s="148" t="s">
        <v>1017</v>
      </c>
      <c r="AF2107" s="147"/>
      <c r="AG2107" s="147"/>
      <c r="AH2107" s="171" t="s">
        <v>4178</v>
      </c>
      <c r="AI2107" s="168" t="str">
        <f t="shared" si="898"/>
        <v/>
      </c>
      <c r="AJ2107" s="168" t="str">
        <f t="shared" si="899"/>
        <v/>
      </c>
      <c r="AK2107" s="168" t="str">
        <f t="shared" si="900"/>
        <v/>
      </c>
      <c r="AL2107" s="168" t="str">
        <f t="shared" si="901"/>
        <v/>
      </c>
      <c r="AM2107" s="168" t="str">
        <f t="shared" si="902"/>
        <v/>
      </c>
      <c r="AN2107" s="167" t="str">
        <f t="shared" si="885"/>
        <v>2012</v>
      </c>
      <c r="AO2107" s="167" t="str">
        <f t="shared" si="886"/>
        <v>2012</v>
      </c>
      <c r="AP2107" s="167" t="str">
        <f t="shared" si="887"/>
        <v>2012</v>
      </c>
      <c r="AQ2107" s="169" t="str">
        <f t="shared" si="888"/>
        <v/>
      </c>
      <c r="AR2107" s="170" t="str">
        <f t="shared" si="889"/>
        <v>BiK81GbK12--08</v>
      </c>
      <c r="AS2107" s="169" t="str">
        <f t="shared" si="890"/>
        <v/>
      </c>
      <c r="AT2107">
        <f t="shared" si="891"/>
        <v>14</v>
      </c>
      <c r="AU2107" s="170" t="str">
        <f t="shared" si="892"/>
        <v>0-0,15 MW, Bonusregeln G, b und K erstmals 2012</v>
      </c>
      <c r="AV2107" s="169" t="str">
        <f t="shared" si="893"/>
        <v/>
      </c>
      <c r="AW2107" s="170" t="str">
        <f t="shared" si="894"/>
        <v>Anteil KWK, erstmals 2012</v>
      </c>
      <c r="AX2107" s="169" t="str">
        <f t="shared" si="895"/>
        <v/>
      </c>
      <c r="AY2107" t="str">
        <f t="shared" si="896"/>
        <v/>
      </c>
      <c r="AZ2107" t="str">
        <f t="shared" si="897"/>
        <v>x</v>
      </c>
    </row>
    <row r="2108" spans="1:52" s="145" customFormat="1" x14ac:dyDescent="0.35">
      <c r="A2108" s="497" t="s">
        <v>1064</v>
      </c>
      <c r="B2108" s="13" t="s">
        <v>5547</v>
      </c>
      <c r="C2108" s="13" t="s">
        <v>5539</v>
      </c>
      <c r="D2108" s="13" t="s">
        <v>6937</v>
      </c>
      <c r="E2108" s="13" t="s">
        <v>4809</v>
      </c>
      <c r="F2108" s="373">
        <f t="shared" si="904"/>
        <v>21.67</v>
      </c>
      <c r="G2108" s="430">
        <v>21.67</v>
      </c>
      <c r="H2108" s="399">
        <f t="shared" si="905"/>
        <v>17.34</v>
      </c>
      <c r="I2108" s="576"/>
      <c r="J2108" s="549" t="s">
        <v>5804</v>
      </c>
      <c r="K2108" s="11"/>
      <c r="L2108"/>
      <c r="M2108" s="37">
        <f t="shared" si="906"/>
        <v>21.67</v>
      </c>
      <c r="N2108" s="29">
        <v>11.67</v>
      </c>
      <c r="O2108" s="149"/>
      <c r="P2108" s="144"/>
      <c r="S2108" s="145" t="s">
        <v>4179</v>
      </c>
      <c r="T2108" s="145" t="s">
        <v>4179</v>
      </c>
      <c r="U2108" s="146" t="s">
        <v>1017</v>
      </c>
      <c r="W2108" s="147"/>
      <c r="X2108" s="147"/>
      <c r="Y2108" s="145" t="s">
        <v>1017</v>
      </c>
      <c r="AA2108" s="147"/>
      <c r="AD2108" s="147"/>
      <c r="AE2108" s="148" t="s">
        <v>1017</v>
      </c>
      <c r="AF2108" s="147"/>
      <c r="AG2108" s="147"/>
      <c r="AH2108" s="166" t="str">
        <f t="shared" ref="AH2108:AH2113" si="914">IF(ISERROR(SEARCH("K erstmals 201",D2108)),"",RIGHT(D2108,4))</f>
        <v/>
      </c>
      <c r="AI2108" s="168" t="str">
        <f t="shared" si="898"/>
        <v/>
      </c>
      <c r="AJ2108" s="168" t="str">
        <f t="shared" si="899"/>
        <v/>
      </c>
      <c r="AK2108" s="168" t="str">
        <f t="shared" si="900"/>
        <v/>
      </c>
      <c r="AL2108" s="168" t="str">
        <f t="shared" si="901"/>
        <v/>
      </c>
      <c r="AM2108" s="168" t="str">
        <f t="shared" si="902"/>
        <v/>
      </c>
      <c r="AN2108" s="167" t="str">
        <f t="shared" si="885"/>
        <v/>
      </c>
      <c r="AO2108" s="167" t="str">
        <f t="shared" si="886"/>
        <v/>
      </c>
      <c r="AP2108" s="167" t="str">
        <f t="shared" si="887"/>
        <v/>
      </c>
      <c r="AQ2108" s="169" t="str">
        <f t="shared" si="888"/>
        <v/>
      </c>
      <c r="AR2108" s="170" t="str">
        <f t="shared" si="889"/>
        <v>BiK81Gby----08</v>
      </c>
      <c r="AS2108" s="169" t="str">
        <f t="shared" si="890"/>
        <v/>
      </c>
      <c r="AT2108">
        <f t="shared" si="891"/>
        <v>14</v>
      </c>
      <c r="AU2108" s="170" t="str">
        <f t="shared" si="892"/>
        <v>0-0,15 MW, Bonusregeln G, y, b</v>
      </c>
      <c r="AV2108" s="169" t="str">
        <f t="shared" si="893"/>
        <v/>
      </c>
      <c r="AW2108" s="170" t="str">
        <f t="shared" si="894"/>
        <v>Anteil Nicht-KWK</v>
      </c>
      <c r="AX2108" s="169" t="str">
        <f t="shared" si="895"/>
        <v/>
      </c>
      <c r="AY2108" t="str">
        <f t="shared" si="896"/>
        <v/>
      </c>
      <c r="AZ2108" t="str">
        <f t="shared" si="897"/>
        <v/>
      </c>
    </row>
    <row r="2109" spans="1:52" s="145" customFormat="1" x14ac:dyDescent="0.35">
      <c r="A2109" s="497" t="s">
        <v>1065</v>
      </c>
      <c r="B2109" s="13" t="s">
        <v>5547</v>
      </c>
      <c r="C2109" s="13" t="s">
        <v>5539</v>
      </c>
      <c r="D2109" s="13" t="s">
        <v>6938</v>
      </c>
      <c r="E2109" s="13" t="s">
        <v>4811</v>
      </c>
      <c r="F2109" s="373">
        <f t="shared" si="904"/>
        <v>23.67</v>
      </c>
      <c r="G2109" s="430">
        <v>23.67</v>
      </c>
      <c r="H2109" s="399">
        <f t="shared" si="905"/>
        <v>18.940000000000001</v>
      </c>
      <c r="I2109" s="576"/>
      <c r="J2109" s="549" t="s">
        <v>5804</v>
      </c>
      <c r="K2109" s="11"/>
      <c r="L2109"/>
      <c r="M2109" s="37">
        <f t="shared" si="906"/>
        <v>23.67</v>
      </c>
      <c r="N2109" s="29">
        <v>11.67</v>
      </c>
      <c r="O2109" s="149" t="s">
        <v>1017</v>
      </c>
      <c r="P2109" s="144"/>
      <c r="S2109" s="145" t="s">
        <v>4179</v>
      </c>
      <c r="T2109" s="145" t="s">
        <v>4179</v>
      </c>
      <c r="U2109" s="146" t="s">
        <v>1017</v>
      </c>
      <c r="W2109" s="147"/>
      <c r="X2109" s="147"/>
      <c r="Y2109" s="145" t="s">
        <v>1017</v>
      </c>
      <c r="AA2109" s="147"/>
      <c r="AD2109" s="147"/>
      <c r="AE2109" s="148" t="s">
        <v>1017</v>
      </c>
      <c r="AF2109" s="147"/>
      <c r="AG2109" s="147"/>
      <c r="AH2109" s="166" t="str">
        <f t="shared" si="914"/>
        <v/>
      </c>
      <c r="AI2109" s="168" t="str">
        <f t="shared" si="898"/>
        <v/>
      </c>
      <c r="AJ2109" s="168" t="str">
        <f t="shared" si="899"/>
        <v/>
      </c>
      <c r="AK2109" s="168" t="str">
        <f t="shared" si="900"/>
        <v/>
      </c>
      <c r="AL2109" s="168" t="str">
        <f t="shared" si="901"/>
        <v/>
      </c>
      <c r="AM2109" s="168" t="str">
        <f t="shared" si="902"/>
        <v/>
      </c>
      <c r="AN2109" s="167" t="str">
        <f t="shared" si="885"/>
        <v/>
      </c>
      <c r="AO2109" s="167" t="str">
        <f t="shared" si="886"/>
        <v/>
      </c>
      <c r="AP2109" s="167" t="str">
        <f t="shared" si="887"/>
        <v/>
      </c>
      <c r="AQ2109" s="169" t="str">
        <f t="shared" si="888"/>
        <v/>
      </c>
      <c r="AR2109" s="170" t="str">
        <f t="shared" si="889"/>
        <v>BiK81GbKWKy-08</v>
      </c>
      <c r="AS2109" s="169" t="str">
        <f t="shared" si="890"/>
        <v/>
      </c>
      <c r="AT2109">
        <f t="shared" si="891"/>
        <v>14</v>
      </c>
      <c r="AU2109" s="170" t="str">
        <f t="shared" si="892"/>
        <v>0-0,15 MW, Bonusregeln G, y, b und KWK</v>
      </c>
      <c r="AV2109" s="169" t="str">
        <f t="shared" si="893"/>
        <v/>
      </c>
      <c r="AW2109" s="170" t="str">
        <f t="shared" si="894"/>
        <v>Anteil KWK</v>
      </c>
      <c r="AX2109" s="169" t="str">
        <f t="shared" si="895"/>
        <v/>
      </c>
      <c r="AY2109" t="str">
        <f t="shared" si="896"/>
        <v/>
      </c>
      <c r="AZ2109" t="str">
        <f t="shared" si="897"/>
        <v/>
      </c>
    </row>
    <row r="2110" spans="1:52" s="145" customFormat="1" x14ac:dyDescent="0.35">
      <c r="A2110" s="497" t="s">
        <v>1066</v>
      </c>
      <c r="B2110" s="13" t="s">
        <v>5547</v>
      </c>
      <c r="C2110" s="13" t="s">
        <v>5539</v>
      </c>
      <c r="D2110" s="88" t="s">
        <v>6939</v>
      </c>
      <c r="E2110" s="13" t="s">
        <v>4330</v>
      </c>
      <c r="F2110" s="373">
        <f t="shared" si="904"/>
        <v>24.67</v>
      </c>
      <c r="G2110" s="430">
        <v>24.67</v>
      </c>
      <c r="H2110" s="399">
        <f t="shared" si="905"/>
        <v>19.739999999999998</v>
      </c>
      <c r="I2110" s="576"/>
      <c r="J2110" s="549" t="s">
        <v>5804</v>
      </c>
      <c r="K2110" s="11"/>
      <c r="L2110"/>
      <c r="M2110" s="37">
        <f t="shared" si="906"/>
        <v>24.67</v>
      </c>
      <c r="N2110" s="29">
        <v>11.67</v>
      </c>
      <c r="O2110" s="149"/>
      <c r="P2110" s="145" t="s">
        <v>1017</v>
      </c>
      <c r="S2110" s="145" t="s">
        <v>4179</v>
      </c>
      <c r="T2110" s="145" t="s">
        <v>4179</v>
      </c>
      <c r="U2110" s="146" t="s">
        <v>1017</v>
      </c>
      <c r="W2110" s="147"/>
      <c r="X2110" s="147"/>
      <c r="Y2110" s="145" t="s">
        <v>1017</v>
      </c>
      <c r="AA2110" s="147"/>
      <c r="AD2110" s="147"/>
      <c r="AE2110" s="148" t="s">
        <v>1017</v>
      </c>
      <c r="AF2110" s="147"/>
      <c r="AG2110" s="147"/>
      <c r="AH2110" s="166" t="str">
        <f t="shared" si="914"/>
        <v/>
      </c>
      <c r="AI2110" s="168" t="str">
        <f t="shared" si="898"/>
        <v/>
      </c>
      <c r="AJ2110" s="168" t="str">
        <f t="shared" si="899"/>
        <v/>
      </c>
      <c r="AK2110" s="168" t="str">
        <f t="shared" si="900"/>
        <v/>
      </c>
      <c r="AL2110" s="168" t="str">
        <f t="shared" si="901"/>
        <v/>
      </c>
      <c r="AM2110" s="168" t="str">
        <f t="shared" si="902"/>
        <v/>
      </c>
      <c r="AN2110" s="167" t="str">
        <f t="shared" si="885"/>
        <v/>
      </c>
      <c r="AO2110" s="167" t="str">
        <f t="shared" si="886"/>
        <v/>
      </c>
      <c r="AP2110" s="167" t="str">
        <f t="shared" si="887"/>
        <v/>
      </c>
      <c r="AQ2110" s="169" t="str">
        <f t="shared" si="888"/>
        <v/>
      </c>
      <c r="AR2110" s="170" t="str">
        <f t="shared" si="889"/>
        <v>BiK81GbKA3y-08</v>
      </c>
      <c r="AS2110" s="169" t="str">
        <f t="shared" si="890"/>
        <v/>
      </c>
      <c r="AT2110">
        <f t="shared" si="891"/>
        <v>14</v>
      </c>
      <c r="AU2110" s="170" t="str">
        <f t="shared" si="892"/>
        <v>0-0,15 MW, Bonusregeln G, y, b und K wenn Anlage 3 erfüllt</v>
      </c>
      <c r="AV2110" s="169" t="str">
        <f t="shared" si="893"/>
        <v/>
      </c>
      <c r="AW2110" s="170" t="str">
        <f t="shared" si="894"/>
        <v>Anteil KWK gemäß Anlage 3</v>
      </c>
      <c r="AX2110" s="169" t="str">
        <f t="shared" si="895"/>
        <v/>
      </c>
      <c r="AY2110" t="str">
        <f t="shared" si="896"/>
        <v/>
      </c>
      <c r="AZ2110" t="str">
        <f t="shared" si="897"/>
        <v/>
      </c>
    </row>
    <row r="2111" spans="1:52" s="145" customFormat="1" x14ac:dyDescent="0.35">
      <c r="A2111" s="497" t="s">
        <v>1067</v>
      </c>
      <c r="B2111" s="13" t="s">
        <v>5547</v>
      </c>
      <c r="C2111" s="13" t="s">
        <v>5539</v>
      </c>
      <c r="D2111" s="13" t="s">
        <v>6940</v>
      </c>
      <c r="E2111" s="13" t="s">
        <v>674</v>
      </c>
      <c r="F2111" s="373">
        <f t="shared" si="904"/>
        <v>24.67</v>
      </c>
      <c r="G2111" s="430">
        <v>24.67</v>
      </c>
      <c r="H2111" s="399">
        <f t="shared" si="905"/>
        <v>19.739999999999998</v>
      </c>
      <c r="I2111" s="576"/>
      <c r="J2111" s="549" t="s">
        <v>5804</v>
      </c>
      <c r="K2111" s="11"/>
      <c r="L2111"/>
      <c r="M2111" s="37">
        <f t="shared" si="906"/>
        <v>24.67</v>
      </c>
      <c r="N2111" s="29">
        <v>11.67</v>
      </c>
      <c r="O2111" s="149"/>
      <c r="P2111" s="144"/>
      <c r="Q2111" s="145" t="s">
        <v>1017</v>
      </c>
      <c r="S2111" s="145" t="s">
        <v>4179</v>
      </c>
      <c r="T2111" s="145" t="s">
        <v>4179</v>
      </c>
      <c r="U2111" s="146" t="s">
        <v>1017</v>
      </c>
      <c r="W2111" s="147"/>
      <c r="X2111" s="147"/>
      <c r="Y2111" s="145" t="s">
        <v>1017</v>
      </c>
      <c r="AA2111" s="147"/>
      <c r="AD2111" s="147"/>
      <c r="AE2111" s="148" t="s">
        <v>1017</v>
      </c>
      <c r="AF2111" s="147"/>
      <c r="AG2111" s="147"/>
      <c r="AH2111" s="166" t="str">
        <f t="shared" si="914"/>
        <v/>
      </c>
      <c r="AI2111" s="168" t="str">
        <f t="shared" si="898"/>
        <v/>
      </c>
      <c r="AJ2111" s="168" t="str">
        <f t="shared" si="899"/>
        <v/>
      </c>
      <c r="AK2111" s="168" t="str">
        <f t="shared" si="900"/>
        <v/>
      </c>
      <c r="AL2111" s="168" t="str">
        <f t="shared" si="901"/>
        <v/>
      </c>
      <c r="AM2111" s="168" t="str">
        <f t="shared" si="902"/>
        <v/>
      </c>
      <c r="AN2111" s="167" t="str">
        <f t="shared" ref="AN2111:AN2174" si="915">IF(ISERROR(SEARCH("K1",A2111)),"","20"&amp;MID(A2111,SEARCH("K1",A2111)+1,2))</f>
        <v/>
      </c>
      <c r="AO2111" s="167" t="str">
        <f t="shared" ref="AO2111:AO2174" si="916">IF(ISERROR(SEARCH("erstmals 201",E2111)),"",MID(E2111,SEARCH("erstmals ",E2111)+9,4))</f>
        <v/>
      </c>
      <c r="AP2111" s="167" t="str">
        <f t="shared" ref="AP2111:AP2174" si="917">IF(R2111="x","2010",IF(S2111="x","2011",IF(T2111="x","2012","")))</f>
        <v/>
      </c>
      <c r="AQ2111" s="169" t="str">
        <f t="shared" ref="AQ2111:AQ2174" si="918">IF(OR(AH2111&lt;&gt;AN2111,AH2111&lt;&gt;AO2111,AH2111&lt;&gt;AP2111),"DIFF","")</f>
        <v/>
      </c>
      <c r="AR2111" s="170" t="str">
        <f t="shared" ref="AR2111:AR2174" si="919">IF(A2111="","",IF(ISERROR(SEARCH("K1",A2111)),A2111,LEFT(A2111,SEARCH("K1",A2111)+1)&amp;RIGHT(AH2111,1)&amp;MID(A2111,SEARCH("K1",A2111)+3,14)))</f>
        <v>BiK81GbK09y-08</v>
      </c>
      <c r="AS2111" s="169" t="str">
        <f t="shared" ref="AS2111:AS2174" si="920">IF(OR(A2111&lt;&gt;AR2111),"DIFF","")</f>
        <v/>
      </c>
      <c r="AT2111">
        <f t="shared" ref="AT2111:AT2174" si="921">LEN(AR2111)</f>
        <v>14</v>
      </c>
      <c r="AU2111" s="170" t="str">
        <f t="shared" ref="AU2111:AU2174" si="922">IF(D2111="","",IF(OR(A2111="",ISERROR(SEARCH("erstmals 201",D2111))),D2111,LEFT(D2111,SEARCH("erstmals 201",D2111)+8) &amp; AH2111 &amp; MID(D2111,SEARCH("erstmals 201",D2111)+13,255)))</f>
        <v>0-0,15 MW, Bonusregeln G, y, b und K erstmals 2009</v>
      </c>
      <c r="AV2111" s="169" t="str">
        <f t="shared" ref="AV2111:AV2174" si="923">IF(OR(D2111&lt;&gt;AU2111),"DIFF","")</f>
        <v/>
      </c>
      <c r="AW2111" s="170" t="str">
        <f t="shared" ref="AW2111:AW2174" si="924">IF(E2111="","",IF(OR(E2111="",ISERROR(SEARCH("erstmals 201",E2111))),E2111,LEFT(E2111,SEARCH("erstmals 201",E2111)+8) &amp; AH2111 &amp; MID(E2111,SEARCH("erstmals 201",E2111)+13,255)))</f>
        <v>Anteil KWK, erstmals 2009</v>
      </c>
      <c r="AX2111" s="169" t="str">
        <f t="shared" ref="AX2111:AX2174" si="925">IF(OR(E2111&lt;&gt;AW2111),"DIFF","")</f>
        <v/>
      </c>
      <c r="AY2111" t="str">
        <f t="shared" ref="AY2111:AY2174" si="926">IF(AH2111="2011","x",IF(AH2111="2012","","" &amp; S2111))</f>
        <v/>
      </c>
      <c r="AZ2111" t="str">
        <f t="shared" ref="AZ2111:AZ2174" si="927">IF(AH2111="2012","x",IF(AH2111="2011","","" &amp; T2111))</f>
        <v/>
      </c>
    </row>
    <row r="2112" spans="1:52" x14ac:dyDescent="0.35">
      <c r="A2112" s="497" t="s">
        <v>3172</v>
      </c>
      <c r="B2112" s="13" t="s">
        <v>5547</v>
      </c>
      <c r="C2112" s="13" t="s">
        <v>5539</v>
      </c>
      <c r="D2112" s="13" t="s">
        <v>6941</v>
      </c>
      <c r="E2112" s="13" t="s">
        <v>3566</v>
      </c>
      <c r="F2112" s="373">
        <f t="shared" si="904"/>
        <v>24.64</v>
      </c>
      <c r="G2112" s="430">
        <v>24.64</v>
      </c>
      <c r="H2112" s="399">
        <f t="shared" si="905"/>
        <v>19.71</v>
      </c>
      <c r="I2112" s="576"/>
      <c r="J2112" s="549" t="s">
        <v>5804</v>
      </c>
      <c r="K2112" s="11"/>
      <c r="M2112" s="37">
        <f t="shared" si="906"/>
        <v>24.64</v>
      </c>
      <c r="N2112" s="29">
        <v>11.67</v>
      </c>
      <c r="O2112" s="149"/>
      <c r="P2112" s="144"/>
      <c r="Q2112" s="145"/>
      <c r="R2112" s="145" t="s">
        <v>1017</v>
      </c>
      <c r="S2112" s="145" t="s">
        <v>4179</v>
      </c>
      <c r="T2112" t="s">
        <v>4179</v>
      </c>
      <c r="U2112" s="146" t="s">
        <v>1017</v>
      </c>
      <c r="V2112" s="145"/>
      <c r="W2112" s="147"/>
      <c r="X2112" s="147"/>
      <c r="Y2112" s="145" t="s">
        <v>1017</v>
      </c>
      <c r="Z2112" s="145"/>
      <c r="AA2112" s="147"/>
      <c r="AB2112" s="145"/>
      <c r="AC2112" s="145"/>
      <c r="AD2112" s="147"/>
      <c r="AE2112" s="148" t="s">
        <v>1017</v>
      </c>
      <c r="AF2112" s="147"/>
      <c r="AG2112" s="147"/>
      <c r="AH2112" s="166" t="str">
        <f t="shared" si="914"/>
        <v>2010</v>
      </c>
      <c r="AI2112" s="168" t="str">
        <f t="shared" ref="AI2112:AI2175" si="928">IF(AND($AH2112&lt;&gt;"",AH2112 =AH2111),"Gleich","")</f>
        <v/>
      </c>
      <c r="AJ2112" s="168" t="str">
        <f t="shared" ref="AJ2112:AJ2175" si="929">IF(AND($AH2112&lt;&gt;"",A2112 =A2111),"Gleich","")</f>
        <v/>
      </c>
      <c r="AK2112" s="168" t="str">
        <f t="shared" ref="AK2112:AK2175" si="930">IF(AND($AH2112&lt;&gt;"",D2112 =D2111),"Gleich","")</f>
        <v/>
      </c>
      <c r="AL2112" s="168" t="str">
        <f t="shared" ref="AL2112:AL2175" si="931">IF(AND($AH2112&lt;&gt;"",E2112 =E2111),"Gleich","")</f>
        <v/>
      </c>
      <c r="AM2112" s="168" t="str">
        <f t="shared" ref="AM2112:AM2175" si="932">IF(AND($AH2112&lt;&gt;"",F2112 =F2111),"Gleich","")</f>
        <v/>
      </c>
      <c r="AN2112" s="167" t="str">
        <f t="shared" si="915"/>
        <v>2010</v>
      </c>
      <c r="AO2112" s="167" t="str">
        <f t="shared" si="916"/>
        <v>2010</v>
      </c>
      <c r="AP2112" s="167" t="str">
        <f t="shared" si="917"/>
        <v>2010</v>
      </c>
      <c r="AQ2112" s="169" t="str">
        <f t="shared" si="918"/>
        <v/>
      </c>
      <c r="AR2112" s="170" t="str">
        <f t="shared" si="919"/>
        <v>BiK81GbK10y-08</v>
      </c>
      <c r="AS2112" s="169" t="str">
        <f t="shared" si="920"/>
        <v/>
      </c>
      <c r="AT2112">
        <f t="shared" si="921"/>
        <v>14</v>
      </c>
      <c r="AU2112" s="170" t="str">
        <f t="shared" si="922"/>
        <v>0-0,15 MW, Bonusregeln G, y, b und K erstmals 2010</v>
      </c>
      <c r="AV2112" s="169" t="str">
        <f t="shared" si="923"/>
        <v/>
      </c>
      <c r="AW2112" s="170" t="str">
        <f t="shared" si="924"/>
        <v>Anteil KWK, erstmals 2010</v>
      </c>
      <c r="AX2112" s="169" t="str">
        <f t="shared" si="925"/>
        <v/>
      </c>
      <c r="AY2112" t="str">
        <f t="shared" si="926"/>
        <v/>
      </c>
      <c r="AZ2112" t="str">
        <f t="shared" si="927"/>
        <v/>
      </c>
    </row>
    <row r="2113" spans="1:52" x14ac:dyDescent="0.35">
      <c r="A2113" s="497" t="s">
        <v>3450</v>
      </c>
      <c r="B2113" s="13" t="s">
        <v>5547</v>
      </c>
      <c r="C2113" s="13" t="s">
        <v>5539</v>
      </c>
      <c r="D2113" s="13" t="s">
        <v>6942</v>
      </c>
      <c r="E2113" s="13" t="s">
        <v>3054</v>
      </c>
      <c r="F2113" s="373">
        <f t="shared" si="904"/>
        <v>24.61</v>
      </c>
      <c r="G2113" s="430">
        <v>24.61</v>
      </c>
      <c r="H2113" s="399">
        <f t="shared" si="905"/>
        <v>19.690000000000001</v>
      </c>
      <c r="I2113" s="576"/>
      <c r="J2113" s="549" t="s">
        <v>5804</v>
      </c>
      <c r="K2113" s="11"/>
      <c r="M2113" s="37">
        <f t="shared" si="906"/>
        <v>24.61</v>
      </c>
      <c r="N2113" s="29">
        <v>11.67</v>
      </c>
      <c r="O2113" s="149"/>
      <c r="P2113" s="144"/>
      <c r="Q2113" s="145"/>
      <c r="R2113" s="145"/>
      <c r="S2113" s="145" t="s">
        <v>1017</v>
      </c>
      <c r="T2113" t="s">
        <v>4179</v>
      </c>
      <c r="U2113" s="146" t="s">
        <v>1017</v>
      </c>
      <c r="V2113" s="145"/>
      <c r="W2113" s="147"/>
      <c r="X2113" s="147"/>
      <c r="Y2113" s="145" t="s">
        <v>1017</v>
      </c>
      <c r="Z2113" s="145"/>
      <c r="AA2113" s="147"/>
      <c r="AB2113" s="145"/>
      <c r="AC2113" s="145"/>
      <c r="AD2113" s="147"/>
      <c r="AE2113" s="148" t="s">
        <v>1017</v>
      </c>
      <c r="AF2113" s="147"/>
      <c r="AG2113" s="147"/>
      <c r="AH2113" s="166" t="str">
        <f t="shared" si="914"/>
        <v>2011</v>
      </c>
      <c r="AI2113" s="168" t="str">
        <f t="shared" si="928"/>
        <v/>
      </c>
      <c r="AJ2113" s="168" t="str">
        <f t="shared" si="929"/>
        <v/>
      </c>
      <c r="AK2113" s="168" t="str">
        <f t="shared" si="930"/>
        <v/>
      </c>
      <c r="AL2113" s="168" t="str">
        <f t="shared" si="931"/>
        <v/>
      </c>
      <c r="AM2113" s="168" t="str">
        <f t="shared" si="932"/>
        <v/>
      </c>
      <c r="AN2113" s="167" t="str">
        <f t="shared" si="915"/>
        <v>2011</v>
      </c>
      <c r="AO2113" s="167" t="str">
        <f t="shared" si="916"/>
        <v>2011</v>
      </c>
      <c r="AP2113" s="167" t="str">
        <f t="shared" si="917"/>
        <v>2011</v>
      </c>
      <c r="AQ2113" s="169" t="str">
        <f t="shared" si="918"/>
        <v/>
      </c>
      <c r="AR2113" s="170" t="str">
        <f t="shared" si="919"/>
        <v>BiK81GbK11y-08</v>
      </c>
      <c r="AS2113" s="169" t="str">
        <f t="shared" si="920"/>
        <v/>
      </c>
      <c r="AT2113">
        <f t="shared" si="921"/>
        <v>14</v>
      </c>
      <c r="AU2113" s="170" t="str">
        <f t="shared" si="922"/>
        <v>0-0,15 MW, Bonusregeln G, y, b und K erstmals 2011</v>
      </c>
      <c r="AV2113" s="169" t="str">
        <f t="shared" si="923"/>
        <v/>
      </c>
      <c r="AW2113" s="170" t="str">
        <f t="shared" si="924"/>
        <v>Anteil KWK, erstmals 2011</v>
      </c>
      <c r="AX2113" s="169" t="str">
        <f t="shared" si="925"/>
        <v/>
      </c>
      <c r="AY2113" t="str">
        <f t="shared" si="926"/>
        <v>x</v>
      </c>
      <c r="AZ2113" t="str">
        <f t="shared" si="927"/>
        <v/>
      </c>
    </row>
    <row r="2114" spans="1:52" x14ac:dyDescent="0.35">
      <c r="A2114" s="511" t="s">
        <v>1883</v>
      </c>
      <c r="B2114" s="173" t="s">
        <v>5547</v>
      </c>
      <c r="C2114" s="173" t="s">
        <v>5539</v>
      </c>
      <c r="D2114" s="173" t="s">
        <v>6943</v>
      </c>
      <c r="E2114" s="173" t="s">
        <v>1980</v>
      </c>
      <c r="F2114" s="374">
        <f t="shared" si="904"/>
        <v>24.58</v>
      </c>
      <c r="G2114" s="431">
        <v>24.58</v>
      </c>
      <c r="H2114" s="400">
        <f t="shared" si="905"/>
        <v>19.66</v>
      </c>
      <c r="I2114" s="577"/>
      <c r="J2114" s="549" t="s">
        <v>5804</v>
      </c>
      <c r="K2114" s="11"/>
      <c r="M2114" s="37">
        <f t="shared" si="906"/>
        <v>24.58</v>
      </c>
      <c r="N2114" s="29">
        <v>11.67</v>
      </c>
      <c r="O2114" s="149"/>
      <c r="P2114" s="144"/>
      <c r="Q2114" s="145"/>
      <c r="R2114" s="145"/>
      <c r="S2114" s="145" t="s">
        <v>4179</v>
      </c>
      <c r="T2114" t="s">
        <v>1017</v>
      </c>
      <c r="U2114" s="146" t="s">
        <v>1017</v>
      </c>
      <c r="V2114" s="145"/>
      <c r="W2114" s="147"/>
      <c r="X2114" s="147"/>
      <c r="Y2114" s="145" t="s">
        <v>1017</v>
      </c>
      <c r="Z2114" s="145"/>
      <c r="AA2114" s="147"/>
      <c r="AB2114" s="145"/>
      <c r="AC2114" s="145"/>
      <c r="AD2114" s="147"/>
      <c r="AE2114" s="148" t="s">
        <v>1017</v>
      </c>
      <c r="AF2114" s="147"/>
      <c r="AG2114" s="147"/>
      <c r="AH2114" s="171" t="s">
        <v>4178</v>
      </c>
      <c r="AI2114" s="168" t="str">
        <f t="shared" si="928"/>
        <v/>
      </c>
      <c r="AJ2114" s="168" t="str">
        <f t="shared" si="929"/>
        <v/>
      </c>
      <c r="AK2114" s="168" t="str">
        <f t="shared" si="930"/>
        <v/>
      </c>
      <c r="AL2114" s="168" t="str">
        <f t="shared" si="931"/>
        <v/>
      </c>
      <c r="AM2114" s="168" t="str">
        <f t="shared" si="932"/>
        <v/>
      </c>
      <c r="AN2114" s="167" t="str">
        <f t="shared" si="915"/>
        <v>2012</v>
      </c>
      <c r="AO2114" s="167" t="str">
        <f t="shared" si="916"/>
        <v>2012</v>
      </c>
      <c r="AP2114" s="167" t="str">
        <f t="shared" si="917"/>
        <v>2012</v>
      </c>
      <c r="AQ2114" s="169" t="str">
        <f t="shared" si="918"/>
        <v/>
      </c>
      <c r="AR2114" s="170" t="str">
        <f t="shared" si="919"/>
        <v>BiK81GbK12y-08</v>
      </c>
      <c r="AS2114" s="169" t="str">
        <f t="shared" si="920"/>
        <v/>
      </c>
      <c r="AT2114">
        <f t="shared" si="921"/>
        <v>14</v>
      </c>
      <c r="AU2114" s="170" t="str">
        <f t="shared" si="922"/>
        <v>0-0,15 MW, Bonusregeln G, y, b und K erstmals 2012</v>
      </c>
      <c r="AV2114" s="169" t="str">
        <f t="shared" si="923"/>
        <v/>
      </c>
      <c r="AW2114" s="170" t="str">
        <f t="shared" si="924"/>
        <v>Anteil KWK, erstmals 2012</v>
      </c>
      <c r="AX2114" s="169" t="str">
        <f t="shared" si="925"/>
        <v/>
      </c>
      <c r="AY2114" t="str">
        <f t="shared" si="926"/>
        <v/>
      </c>
      <c r="AZ2114" t="str">
        <f t="shared" si="927"/>
        <v>x</v>
      </c>
    </row>
    <row r="2115" spans="1:52" x14ac:dyDescent="0.35">
      <c r="A2115" s="497" t="s">
        <v>4875</v>
      </c>
      <c r="B2115" s="13" t="s">
        <v>5547</v>
      </c>
      <c r="C2115" s="13" t="s">
        <v>5539</v>
      </c>
      <c r="D2115" s="13" t="s">
        <v>6944</v>
      </c>
      <c r="E2115" s="13" t="s">
        <v>4809</v>
      </c>
      <c r="F2115" s="373">
        <f t="shared" si="904"/>
        <v>24.67</v>
      </c>
      <c r="G2115" s="430">
        <v>24.67</v>
      </c>
      <c r="H2115" s="399">
        <f t="shared" si="905"/>
        <v>19.739999999999998</v>
      </c>
      <c r="I2115" s="576"/>
      <c r="J2115" s="549" t="s">
        <v>5804</v>
      </c>
      <c r="K2115" s="11"/>
      <c r="M2115" s="37">
        <f t="shared" si="906"/>
        <v>24.67</v>
      </c>
      <c r="N2115" s="29">
        <v>11.67</v>
      </c>
      <c r="O2115" s="149"/>
      <c r="P2115" s="144"/>
      <c r="Q2115" s="145"/>
      <c r="R2115" s="145"/>
      <c r="S2115" s="145" t="s">
        <v>4179</v>
      </c>
      <c r="T2115" t="s">
        <v>4179</v>
      </c>
      <c r="U2115" s="146"/>
      <c r="V2115" s="145"/>
      <c r="W2115" s="147"/>
      <c r="X2115" s="147"/>
      <c r="Y2115" s="145"/>
      <c r="Z2115" s="145" t="s">
        <v>1017</v>
      </c>
      <c r="AA2115" s="147"/>
      <c r="AB2115" s="145"/>
      <c r="AC2115" s="145"/>
      <c r="AD2115" s="147"/>
      <c r="AE2115" s="148" t="s">
        <v>1017</v>
      </c>
      <c r="AF2115" s="147"/>
      <c r="AG2115" s="147"/>
      <c r="AH2115" s="166" t="str">
        <f t="shared" ref="AH2115:AH2120" si="933">IF(ISERROR(SEARCH("K erstmals 201",D2115)),"",RIGHT(D2115,4))</f>
        <v/>
      </c>
      <c r="AI2115" s="168" t="str">
        <f t="shared" si="928"/>
        <v/>
      </c>
      <c r="AJ2115" s="168" t="str">
        <f t="shared" si="929"/>
        <v/>
      </c>
      <c r="AK2115" s="168" t="str">
        <f t="shared" si="930"/>
        <v/>
      </c>
      <c r="AL2115" s="168" t="str">
        <f t="shared" si="931"/>
        <v/>
      </c>
      <c r="AM2115" s="168" t="str">
        <f t="shared" si="932"/>
        <v/>
      </c>
      <c r="AN2115" s="167" t="str">
        <f t="shared" si="915"/>
        <v/>
      </c>
      <c r="AO2115" s="167" t="str">
        <f t="shared" si="916"/>
        <v/>
      </c>
      <c r="AP2115" s="167" t="str">
        <f t="shared" si="917"/>
        <v/>
      </c>
      <c r="AQ2115" s="169" t="str">
        <f t="shared" si="918"/>
        <v/>
      </c>
      <c r="AR2115" s="170" t="str">
        <f t="shared" si="919"/>
        <v>BiK81M1b----08</v>
      </c>
      <c r="AS2115" s="169" t="str">
        <f t="shared" si="920"/>
        <v/>
      </c>
      <c r="AT2115">
        <f t="shared" si="921"/>
        <v>14</v>
      </c>
      <c r="AU2115" s="170" t="str">
        <f t="shared" si="922"/>
        <v>0-0,15 MW, Bonusregeln M1, b</v>
      </c>
      <c r="AV2115" s="169" t="str">
        <f t="shared" si="923"/>
        <v/>
      </c>
      <c r="AW2115" s="170" t="str">
        <f t="shared" si="924"/>
        <v>Anteil Nicht-KWK</v>
      </c>
      <c r="AX2115" s="169" t="str">
        <f t="shared" si="925"/>
        <v/>
      </c>
      <c r="AY2115" t="str">
        <f t="shared" si="926"/>
        <v/>
      </c>
      <c r="AZ2115" t="str">
        <f t="shared" si="927"/>
        <v/>
      </c>
    </row>
    <row r="2116" spans="1:52" x14ac:dyDescent="0.35">
      <c r="A2116" s="497" t="s">
        <v>4876</v>
      </c>
      <c r="B2116" s="13" t="s">
        <v>5547</v>
      </c>
      <c r="C2116" s="13" t="s">
        <v>5539</v>
      </c>
      <c r="D2116" s="13" t="s">
        <v>6945</v>
      </c>
      <c r="E2116" s="13" t="s">
        <v>4811</v>
      </c>
      <c r="F2116" s="373">
        <f t="shared" si="904"/>
        <v>26.67</v>
      </c>
      <c r="G2116" s="430">
        <v>26.67</v>
      </c>
      <c r="H2116" s="399">
        <f t="shared" si="905"/>
        <v>21.34</v>
      </c>
      <c r="I2116" s="576"/>
      <c r="J2116" s="549" t="s">
        <v>5804</v>
      </c>
      <c r="K2116" s="11"/>
      <c r="M2116" s="37">
        <f t="shared" si="906"/>
        <v>26.67</v>
      </c>
      <c r="N2116" s="29">
        <v>11.67</v>
      </c>
      <c r="O2116" s="149" t="s">
        <v>1017</v>
      </c>
      <c r="P2116" s="144"/>
      <c r="Q2116" s="145"/>
      <c r="R2116" s="145"/>
      <c r="S2116" s="145" t="s">
        <v>4179</v>
      </c>
      <c r="T2116" t="s">
        <v>4179</v>
      </c>
      <c r="U2116" s="146"/>
      <c r="V2116" s="145"/>
      <c r="W2116" s="147"/>
      <c r="X2116" s="147"/>
      <c r="Y2116" s="145"/>
      <c r="Z2116" s="145" t="s">
        <v>1017</v>
      </c>
      <c r="AA2116" s="147"/>
      <c r="AB2116" s="145"/>
      <c r="AC2116" s="145"/>
      <c r="AD2116" s="147"/>
      <c r="AE2116" s="148" t="s">
        <v>1017</v>
      </c>
      <c r="AF2116" s="147"/>
      <c r="AG2116" s="147"/>
      <c r="AH2116" s="166" t="str">
        <f t="shared" si="933"/>
        <v/>
      </c>
      <c r="AI2116" s="168" t="str">
        <f t="shared" si="928"/>
        <v/>
      </c>
      <c r="AJ2116" s="168" t="str">
        <f t="shared" si="929"/>
        <v/>
      </c>
      <c r="AK2116" s="168" t="str">
        <f t="shared" si="930"/>
        <v/>
      </c>
      <c r="AL2116" s="168" t="str">
        <f t="shared" si="931"/>
        <v/>
      </c>
      <c r="AM2116" s="168" t="str">
        <f t="shared" si="932"/>
        <v/>
      </c>
      <c r="AN2116" s="167" t="str">
        <f t="shared" si="915"/>
        <v/>
      </c>
      <c r="AO2116" s="167" t="str">
        <f t="shared" si="916"/>
        <v/>
      </c>
      <c r="AP2116" s="167" t="str">
        <f t="shared" si="917"/>
        <v/>
      </c>
      <c r="AQ2116" s="169" t="str">
        <f t="shared" si="918"/>
        <v/>
      </c>
      <c r="AR2116" s="170" t="str">
        <f t="shared" si="919"/>
        <v>BiK81M1bKWK-08</v>
      </c>
      <c r="AS2116" s="169" t="str">
        <f t="shared" si="920"/>
        <v/>
      </c>
      <c r="AT2116">
        <f t="shared" si="921"/>
        <v>14</v>
      </c>
      <c r="AU2116" s="170" t="str">
        <f t="shared" si="922"/>
        <v>0-0,15 MW, Bonusregeln M1, b und KWK</v>
      </c>
      <c r="AV2116" s="169" t="str">
        <f t="shared" si="923"/>
        <v/>
      </c>
      <c r="AW2116" s="170" t="str">
        <f t="shared" si="924"/>
        <v>Anteil KWK</v>
      </c>
      <c r="AX2116" s="169" t="str">
        <f t="shared" si="925"/>
        <v/>
      </c>
      <c r="AY2116" t="str">
        <f t="shared" si="926"/>
        <v/>
      </c>
      <c r="AZ2116" t="str">
        <f t="shared" si="927"/>
        <v/>
      </c>
    </row>
    <row r="2117" spans="1:52" x14ac:dyDescent="0.35">
      <c r="A2117" s="497" t="s">
        <v>4877</v>
      </c>
      <c r="B2117" s="13" t="s">
        <v>5547</v>
      </c>
      <c r="C2117" s="13" t="s">
        <v>5539</v>
      </c>
      <c r="D2117" s="13" t="s">
        <v>6946</v>
      </c>
      <c r="E2117" s="13" t="s">
        <v>4330</v>
      </c>
      <c r="F2117" s="373">
        <f t="shared" ref="F2117:F2180" si="934">M2117</f>
        <v>27.67</v>
      </c>
      <c r="G2117" s="430">
        <v>27.67</v>
      </c>
      <c r="H2117" s="399">
        <f t="shared" ref="H2117:H2180" si="935">IF(ISNUMBER(G2117),ROUND(0.8*G2117,2),"")</f>
        <v>22.14</v>
      </c>
      <c r="I2117" s="576"/>
      <c r="J2117" s="549" t="s">
        <v>5804</v>
      </c>
      <c r="K2117" s="11"/>
      <c r="M2117" s="37">
        <f t="shared" ref="M2117:M2180" si="936">N2117+SUMIF(O2117:AG2117,"x",O$1988:AG$1988)</f>
        <v>27.67</v>
      </c>
      <c r="N2117" s="29">
        <v>11.67</v>
      </c>
      <c r="O2117" s="149"/>
      <c r="P2117" s="145" t="s">
        <v>1017</v>
      </c>
      <c r="Q2117" s="145"/>
      <c r="R2117" s="145"/>
      <c r="S2117" s="145" t="s">
        <v>4179</v>
      </c>
      <c r="T2117" t="s">
        <v>4179</v>
      </c>
      <c r="U2117" s="146"/>
      <c r="V2117" s="145"/>
      <c r="W2117" s="147"/>
      <c r="X2117" s="147"/>
      <c r="Y2117" s="145"/>
      <c r="Z2117" s="145" t="s">
        <v>1017</v>
      </c>
      <c r="AA2117" s="147"/>
      <c r="AB2117" s="145"/>
      <c r="AC2117" s="145"/>
      <c r="AD2117" s="147"/>
      <c r="AE2117" s="148" t="s">
        <v>1017</v>
      </c>
      <c r="AF2117" s="147"/>
      <c r="AG2117" s="147"/>
      <c r="AH2117" s="166" t="str">
        <f t="shared" si="933"/>
        <v/>
      </c>
      <c r="AI2117" s="168" t="str">
        <f t="shared" si="928"/>
        <v/>
      </c>
      <c r="AJ2117" s="168" t="str">
        <f t="shared" si="929"/>
        <v/>
      </c>
      <c r="AK2117" s="168" t="str">
        <f t="shared" si="930"/>
        <v/>
      </c>
      <c r="AL2117" s="168" t="str">
        <f t="shared" si="931"/>
        <v/>
      </c>
      <c r="AM2117" s="168" t="str">
        <f t="shared" si="932"/>
        <v/>
      </c>
      <c r="AN2117" s="167" t="str">
        <f t="shared" si="915"/>
        <v/>
      </c>
      <c r="AO2117" s="167" t="str">
        <f t="shared" si="916"/>
        <v/>
      </c>
      <c r="AP2117" s="167" t="str">
        <f t="shared" si="917"/>
        <v/>
      </c>
      <c r="AQ2117" s="169" t="str">
        <f t="shared" si="918"/>
        <v/>
      </c>
      <c r="AR2117" s="170" t="str">
        <f t="shared" si="919"/>
        <v>BiK81M1bKA3-08</v>
      </c>
      <c r="AS2117" s="169" t="str">
        <f t="shared" si="920"/>
        <v/>
      </c>
      <c r="AT2117">
        <f t="shared" si="921"/>
        <v>14</v>
      </c>
      <c r="AU2117" s="170" t="str">
        <f t="shared" si="922"/>
        <v>0-0,15 MW, Bonusregeln M1, b und K wenn Anlage 3 erfüllt</v>
      </c>
      <c r="AV2117" s="169" t="str">
        <f t="shared" si="923"/>
        <v/>
      </c>
      <c r="AW2117" s="170" t="str">
        <f t="shared" si="924"/>
        <v>Anteil KWK gemäß Anlage 3</v>
      </c>
      <c r="AX2117" s="169" t="str">
        <f t="shared" si="925"/>
        <v/>
      </c>
      <c r="AY2117" t="str">
        <f t="shared" si="926"/>
        <v/>
      </c>
      <c r="AZ2117" t="str">
        <f t="shared" si="927"/>
        <v/>
      </c>
    </row>
    <row r="2118" spans="1:52" x14ac:dyDescent="0.35">
      <c r="A2118" s="497" t="s">
        <v>4878</v>
      </c>
      <c r="B2118" s="13" t="s">
        <v>5547</v>
      </c>
      <c r="C2118" s="13" t="s">
        <v>5539</v>
      </c>
      <c r="D2118" s="13" t="s">
        <v>6947</v>
      </c>
      <c r="E2118" s="13" t="s">
        <v>674</v>
      </c>
      <c r="F2118" s="373">
        <f t="shared" si="934"/>
        <v>27.67</v>
      </c>
      <c r="G2118" s="430">
        <v>27.67</v>
      </c>
      <c r="H2118" s="399">
        <f t="shared" si="935"/>
        <v>22.14</v>
      </c>
      <c r="I2118" s="576"/>
      <c r="J2118" s="549" t="s">
        <v>5804</v>
      </c>
      <c r="K2118" s="11"/>
      <c r="M2118" s="37">
        <f t="shared" si="936"/>
        <v>27.67</v>
      </c>
      <c r="N2118" s="29">
        <v>11.67</v>
      </c>
      <c r="O2118" s="149"/>
      <c r="P2118" s="144"/>
      <c r="Q2118" s="145" t="s">
        <v>1017</v>
      </c>
      <c r="R2118" s="145"/>
      <c r="S2118" s="145" t="s">
        <v>4179</v>
      </c>
      <c r="T2118" t="s">
        <v>4179</v>
      </c>
      <c r="U2118" s="146"/>
      <c r="V2118" s="145"/>
      <c r="W2118" s="147"/>
      <c r="X2118" s="147"/>
      <c r="Y2118" s="145"/>
      <c r="Z2118" s="145" t="s">
        <v>1017</v>
      </c>
      <c r="AA2118" s="147"/>
      <c r="AB2118" s="145"/>
      <c r="AC2118" s="145"/>
      <c r="AD2118" s="147"/>
      <c r="AE2118" s="148" t="s">
        <v>1017</v>
      </c>
      <c r="AF2118" s="147"/>
      <c r="AG2118" s="147"/>
      <c r="AH2118" s="166" t="str">
        <f t="shared" si="933"/>
        <v/>
      </c>
      <c r="AI2118" s="168" t="str">
        <f t="shared" si="928"/>
        <v/>
      </c>
      <c r="AJ2118" s="168" t="str">
        <f t="shared" si="929"/>
        <v/>
      </c>
      <c r="AK2118" s="168" t="str">
        <f t="shared" si="930"/>
        <v/>
      </c>
      <c r="AL2118" s="168" t="str">
        <f t="shared" si="931"/>
        <v/>
      </c>
      <c r="AM2118" s="168" t="str">
        <f t="shared" si="932"/>
        <v/>
      </c>
      <c r="AN2118" s="167" t="str">
        <f t="shared" si="915"/>
        <v/>
      </c>
      <c r="AO2118" s="167" t="str">
        <f t="shared" si="916"/>
        <v/>
      </c>
      <c r="AP2118" s="167" t="str">
        <f t="shared" si="917"/>
        <v/>
      </c>
      <c r="AQ2118" s="169" t="str">
        <f t="shared" si="918"/>
        <v/>
      </c>
      <c r="AR2118" s="170" t="str">
        <f t="shared" si="919"/>
        <v>BiK81M1bK09-08</v>
      </c>
      <c r="AS2118" s="169" t="str">
        <f t="shared" si="920"/>
        <v/>
      </c>
      <c r="AT2118">
        <f t="shared" si="921"/>
        <v>14</v>
      </c>
      <c r="AU2118" s="170" t="str">
        <f t="shared" si="922"/>
        <v>0-0,15 MW, Bonusregeln M1, b und K erstmals 2009</v>
      </c>
      <c r="AV2118" s="169" t="str">
        <f t="shared" si="923"/>
        <v/>
      </c>
      <c r="AW2118" s="170" t="str">
        <f t="shared" si="924"/>
        <v>Anteil KWK, erstmals 2009</v>
      </c>
      <c r="AX2118" s="169" t="str">
        <f t="shared" si="925"/>
        <v/>
      </c>
      <c r="AY2118" t="str">
        <f t="shared" si="926"/>
        <v/>
      </c>
      <c r="AZ2118" t="str">
        <f t="shared" si="927"/>
        <v/>
      </c>
    </row>
    <row r="2119" spans="1:52" x14ac:dyDescent="0.35">
      <c r="A2119" s="497" t="s">
        <v>3173</v>
      </c>
      <c r="B2119" s="13" t="s">
        <v>5547</v>
      </c>
      <c r="C2119" s="13" t="s">
        <v>5539</v>
      </c>
      <c r="D2119" s="13" t="s">
        <v>6948</v>
      </c>
      <c r="E2119" s="13" t="s">
        <v>3566</v>
      </c>
      <c r="F2119" s="373">
        <f t="shared" si="934"/>
        <v>27.64</v>
      </c>
      <c r="G2119" s="430">
        <v>27.64</v>
      </c>
      <c r="H2119" s="399">
        <f t="shared" si="935"/>
        <v>22.11</v>
      </c>
      <c r="I2119" s="576"/>
      <c r="J2119" s="549" t="s">
        <v>5804</v>
      </c>
      <c r="K2119" s="11"/>
      <c r="M2119" s="37">
        <f t="shared" si="936"/>
        <v>27.64</v>
      </c>
      <c r="N2119" s="29">
        <v>11.67</v>
      </c>
      <c r="O2119" s="149"/>
      <c r="P2119" s="144"/>
      <c r="Q2119" s="145"/>
      <c r="R2119" s="145" t="s">
        <v>1017</v>
      </c>
      <c r="S2119" s="145" t="s">
        <v>4179</v>
      </c>
      <c r="T2119" t="s">
        <v>4179</v>
      </c>
      <c r="U2119" s="146"/>
      <c r="V2119" s="145"/>
      <c r="W2119" s="147"/>
      <c r="X2119" s="147"/>
      <c r="Y2119" s="145"/>
      <c r="Z2119" s="145" t="s">
        <v>1017</v>
      </c>
      <c r="AA2119" s="147"/>
      <c r="AB2119" s="145"/>
      <c r="AC2119" s="145"/>
      <c r="AD2119" s="147"/>
      <c r="AE2119" s="148" t="s">
        <v>1017</v>
      </c>
      <c r="AF2119" s="147"/>
      <c r="AG2119" s="147"/>
      <c r="AH2119" s="166" t="str">
        <f t="shared" si="933"/>
        <v>2010</v>
      </c>
      <c r="AI2119" s="168" t="str">
        <f t="shared" si="928"/>
        <v/>
      </c>
      <c r="AJ2119" s="168" t="str">
        <f t="shared" si="929"/>
        <v/>
      </c>
      <c r="AK2119" s="168" t="str">
        <f t="shared" si="930"/>
        <v/>
      </c>
      <c r="AL2119" s="168" t="str">
        <f t="shared" si="931"/>
        <v/>
      </c>
      <c r="AM2119" s="168" t="str">
        <f t="shared" si="932"/>
        <v/>
      </c>
      <c r="AN2119" s="167" t="str">
        <f t="shared" si="915"/>
        <v>2010</v>
      </c>
      <c r="AO2119" s="167" t="str">
        <f t="shared" si="916"/>
        <v>2010</v>
      </c>
      <c r="AP2119" s="167" t="str">
        <f t="shared" si="917"/>
        <v>2010</v>
      </c>
      <c r="AQ2119" s="169" t="str">
        <f t="shared" si="918"/>
        <v/>
      </c>
      <c r="AR2119" s="170" t="str">
        <f t="shared" si="919"/>
        <v>BiK81M1bK10-08</v>
      </c>
      <c r="AS2119" s="169" t="str">
        <f t="shared" si="920"/>
        <v/>
      </c>
      <c r="AT2119">
        <f t="shared" si="921"/>
        <v>14</v>
      </c>
      <c r="AU2119" s="170" t="str">
        <f t="shared" si="922"/>
        <v>0-0,15 MW, Bonusregeln M1, b und K erstmals 2010</v>
      </c>
      <c r="AV2119" s="169" t="str">
        <f t="shared" si="923"/>
        <v/>
      </c>
      <c r="AW2119" s="170" t="str">
        <f t="shared" si="924"/>
        <v>Anteil KWK, erstmals 2010</v>
      </c>
      <c r="AX2119" s="169" t="str">
        <f t="shared" si="925"/>
        <v/>
      </c>
      <c r="AY2119" t="str">
        <f t="shared" si="926"/>
        <v/>
      </c>
      <c r="AZ2119" t="str">
        <f t="shared" si="927"/>
        <v/>
      </c>
    </row>
    <row r="2120" spans="1:52" x14ac:dyDescent="0.35">
      <c r="A2120" s="497" t="s">
        <v>3451</v>
      </c>
      <c r="B2120" s="13" t="s">
        <v>5547</v>
      </c>
      <c r="C2120" s="13" t="s">
        <v>5539</v>
      </c>
      <c r="D2120" s="13" t="s">
        <v>6949</v>
      </c>
      <c r="E2120" s="13" t="s">
        <v>3054</v>
      </c>
      <c r="F2120" s="373">
        <f t="shared" si="934"/>
        <v>27.61</v>
      </c>
      <c r="G2120" s="430">
        <v>27.61</v>
      </c>
      <c r="H2120" s="399">
        <f t="shared" si="935"/>
        <v>22.09</v>
      </c>
      <c r="I2120" s="576"/>
      <c r="J2120" s="549" t="s">
        <v>5804</v>
      </c>
      <c r="K2120" s="11"/>
      <c r="M2120" s="37">
        <f t="shared" si="936"/>
        <v>27.61</v>
      </c>
      <c r="N2120" s="29">
        <v>11.67</v>
      </c>
      <c r="O2120" s="149"/>
      <c r="P2120" s="144"/>
      <c r="Q2120" s="145"/>
      <c r="R2120" s="145"/>
      <c r="S2120" s="145" t="s">
        <v>1017</v>
      </c>
      <c r="T2120" t="s">
        <v>4179</v>
      </c>
      <c r="U2120" s="146"/>
      <c r="V2120" s="145"/>
      <c r="W2120" s="147"/>
      <c r="X2120" s="147"/>
      <c r="Y2120" s="145"/>
      <c r="Z2120" s="145" t="s">
        <v>1017</v>
      </c>
      <c r="AA2120" s="147"/>
      <c r="AB2120" s="145"/>
      <c r="AC2120" s="145"/>
      <c r="AD2120" s="147"/>
      <c r="AE2120" s="148" t="s">
        <v>1017</v>
      </c>
      <c r="AF2120" s="147"/>
      <c r="AG2120" s="147"/>
      <c r="AH2120" s="166" t="str">
        <f t="shared" si="933"/>
        <v>2011</v>
      </c>
      <c r="AI2120" s="168" t="str">
        <f t="shared" si="928"/>
        <v/>
      </c>
      <c r="AJ2120" s="168" t="str">
        <f t="shared" si="929"/>
        <v/>
      </c>
      <c r="AK2120" s="168" t="str">
        <f t="shared" si="930"/>
        <v/>
      </c>
      <c r="AL2120" s="168" t="str">
        <f t="shared" si="931"/>
        <v/>
      </c>
      <c r="AM2120" s="168" t="str">
        <f t="shared" si="932"/>
        <v/>
      </c>
      <c r="AN2120" s="167" t="str">
        <f t="shared" si="915"/>
        <v>2011</v>
      </c>
      <c r="AO2120" s="167" t="str">
        <f t="shared" si="916"/>
        <v>2011</v>
      </c>
      <c r="AP2120" s="167" t="str">
        <f t="shared" si="917"/>
        <v>2011</v>
      </c>
      <c r="AQ2120" s="169" t="str">
        <f t="shared" si="918"/>
        <v/>
      </c>
      <c r="AR2120" s="170" t="str">
        <f t="shared" si="919"/>
        <v>BiK81M1bK11-08</v>
      </c>
      <c r="AS2120" s="169" t="str">
        <f t="shared" si="920"/>
        <v/>
      </c>
      <c r="AT2120">
        <f t="shared" si="921"/>
        <v>14</v>
      </c>
      <c r="AU2120" s="170" t="str">
        <f t="shared" si="922"/>
        <v>0-0,15 MW, Bonusregeln M1, b und K erstmals 2011</v>
      </c>
      <c r="AV2120" s="169" t="str">
        <f t="shared" si="923"/>
        <v/>
      </c>
      <c r="AW2120" s="170" t="str">
        <f t="shared" si="924"/>
        <v>Anteil KWK, erstmals 2011</v>
      </c>
      <c r="AX2120" s="169" t="str">
        <f t="shared" si="925"/>
        <v/>
      </c>
      <c r="AY2120" t="str">
        <f t="shared" si="926"/>
        <v>x</v>
      </c>
      <c r="AZ2120" t="str">
        <f t="shared" si="927"/>
        <v/>
      </c>
    </row>
    <row r="2121" spans="1:52" x14ac:dyDescent="0.35">
      <c r="A2121" s="511" t="s">
        <v>1884</v>
      </c>
      <c r="B2121" s="173" t="s">
        <v>5547</v>
      </c>
      <c r="C2121" s="173" t="s">
        <v>5539</v>
      </c>
      <c r="D2121" s="173" t="s">
        <v>6950</v>
      </c>
      <c r="E2121" s="173" t="s">
        <v>1980</v>
      </c>
      <c r="F2121" s="374">
        <f t="shared" si="934"/>
        <v>27.58</v>
      </c>
      <c r="G2121" s="431">
        <v>27.58</v>
      </c>
      <c r="H2121" s="400">
        <f t="shared" si="935"/>
        <v>22.06</v>
      </c>
      <c r="I2121" s="577"/>
      <c r="J2121" s="549" t="s">
        <v>5804</v>
      </c>
      <c r="K2121" s="11"/>
      <c r="M2121" s="37">
        <f t="shared" si="936"/>
        <v>27.58</v>
      </c>
      <c r="N2121" s="29">
        <v>11.67</v>
      </c>
      <c r="O2121" s="149"/>
      <c r="P2121" s="144"/>
      <c r="Q2121" s="145"/>
      <c r="R2121" s="145"/>
      <c r="S2121" s="145" t="s">
        <v>4179</v>
      </c>
      <c r="T2121" t="s">
        <v>1017</v>
      </c>
      <c r="U2121" s="146"/>
      <c r="V2121" s="145"/>
      <c r="W2121" s="147"/>
      <c r="X2121" s="147"/>
      <c r="Y2121" s="145"/>
      <c r="Z2121" s="145" t="s">
        <v>1017</v>
      </c>
      <c r="AA2121" s="147"/>
      <c r="AB2121" s="145"/>
      <c r="AC2121" s="145"/>
      <c r="AD2121" s="147"/>
      <c r="AE2121" s="148" t="s">
        <v>1017</v>
      </c>
      <c r="AF2121" s="147"/>
      <c r="AG2121" s="147"/>
      <c r="AH2121" s="171" t="s">
        <v>4178</v>
      </c>
      <c r="AI2121" s="168" t="str">
        <f t="shared" si="928"/>
        <v/>
      </c>
      <c r="AJ2121" s="168" t="str">
        <f t="shared" si="929"/>
        <v/>
      </c>
      <c r="AK2121" s="168" t="str">
        <f t="shared" si="930"/>
        <v/>
      </c>
      <c r="AL2121" s="168" t="str">
        <f t="shared" si="931"/>
        <v/>
      </c>
      <c r="AM2121" s="168" t="str">
        <f t="shared" si="932"/>
        <v/>
      </c>
      <c r="AN2121" s="167" t="str">
        <f t="shared" si="915"/>
        <v>2012</v>
      </c>
      <c r="AO2121" s="167" t="str">
        <f t="shared" si="916"/>
        <v>2012</v>
      </c>
      <c r="AP2121" s="167" t="str">
        <f t="shared" si="917"/>
        <v>2012</v>
      </c>
      <c r="AQ2121" s="169" t="str">
        <f t="shared" si="918"/>
        <v/>
      </c>
      <c r="AR2121" s="170" t="str">
        <f t="shared" si="919"/>
        <v>BiK81M1bK12-08</v>
      </c>
      <c r="AS2121" s="169" t="str">
        <f t="shared" si="920"/>
        <v/>
      </c>
      <c r="AT2121">
        <f t="shared" si="921"/>
        <v>14</v>
      </c>
      <c r="AU2121" s="170" t="str">
        <f t="shared" si="922"/>
        <v>0-0,15 MW, Bonusregeln M1, b und K erstmals 2012</v>
      </c>
      <c r="AV2121" s="169" t="str">
        <f t="shared" si="923"/>
        <v/>
      </c>
      <c r="AW2121" s="170" t="str">
        <f t="shared" si="924"/>
        <v>Anteil KWK, erstmals 2012</v>
      </c>
      <c r="AX2121" s="169" t="str">
        <f t="shared" si="925"/>
        <v/>
      </c>
      <c r="AY2121" t="str">
        <f t="shared" si="926"/>
        <v/>
      </c>
      <c r="AZ2121" t="str">
        <f t="shared" si="927"/>
        <v>x</v>
      </c>
    </row>
    <row r="2122" spans="1:52" x14ac:dyDescent="0.35">
      <c r="A2122" s="497" t="s">
        <v>4879</v>
      </c>
      <c r="B2122" s="13" t="s">
        <v>5547</v>
      </c>
      <c r="C2122" s="13" t="s">
        <v>5539</v>
      </c>
      <c r="D2122" s="13" t="s">
        <v>6951</v>
      </c>
      <c r="E2122" s="13" t="s">
        <v>4809</v>
      </c>
      <c r="F2122" s="373">
        <f t="shared" si="934"/>
        <v>25.67</v>
      </c>
      <c r="G2122" s="430">
        <v>25.67</v>
      </c>
      <c r="H2122" s="399">
        <f t="shared" si="935"/>
        <v>20.54</v>
      </c>
      <c r="I2122" s="576"/>
      <c r="J2122" s="549" t="s">
        <v>5804</v>
      </c>
      <c r="K2122" s="11"/>
      <c r="M2122" s="37">
        <f t="shared" si="936"/>
        <v>25.67</v>
      </c>
      <c r="N2122" s="29">
        <v>11.67</v>
      </c>
      <c r="O2122" s="149"/>
      <c r="P2122" s="144"/>
      <c r="Q2122" s="145"/>
      <c r="R2122" s="145"/>
      <c r="S2122" s="145" t="s">
        <v>4179</v>
      </c>
      <c r="T2122" t="s">
        <v>4179</v>
      </c>
      <c r="U2122" s="146" t="s">
        <v>1017</v>
      </c>
      <c r="V2122" s="145"/>
      <c r="W2122" s="147"/>
      <c r="X2122" s="147"/>
      <c r="Y2122" s="145"/>
      <c r="Z2122" s="145" t="s">
        <v>1017</v>
      </c>
      <c r="AA2122" s="147"/>
      <c r="AB2122" s="145"/>
      <c r="AC2122" s="145"/>
      <c r="AD2122" s="147"/>
      <c r="AE2122" s="148" t="s">
        <v>1017</v>
      </c>
      <c r="AF2122" s="147"/>
      <c r="AG2122" s="147"/>
      <c r="AH2122" s="166" t="str">
        <f t="shared" ref="AH2122:AH2127" si="937">IF(ISERROR(SEARCH("K erstmals 201",D2122)),"",RIGHT(D2122,4))</f>
        <v/>
      </c>
      <c r="AI2122" s="168" t="str">
        <f t="shared" si="928"/>
        <v/>
      </c>
      <c r="AJ2122" s="168" t="str">
        <f t="shared" si="929"/>
        <v/>
      </c>
      <c r="AK2122" s="168" t="str">
        <f t="shared" si="930"/>
        <v/>
      </c>
      <c r="AL2122" s="168" t="str">
        <f t="shared" si="931"/>
        <v/>
      </c>
      <c r="AM2122" s="168" t="str">
        <f t="shared" si="932"/>
        <v/>
      </c>
      <c r="AN2122" s="167" t="str">
        <f t="shared" si="915"/>
        <v/>
      </c>
      <c r="AO2122" s="167" t="str">
        <f t="shared" si="916"/>
        <v/>
      </c>
      <c r="AP2122" s="167" t="str">
        <f t="shared" si="917"/>
        <v/>
      </c>
      <c r="AQ2122" s="169" t="str">
        <f t="shared" si="918"/>
        <v/>
      </c>
      <c r="AR2122" s="170" t="str">
        <f t="shared" si="919"/>
        <v>BiK81M1by---08</v>
      </c>
      <c r="AS2122" s="169" t="str">
        <f t="shared" si="920"/>
        <v/>
      </c>
      <c r="AT2122">
        <f t="shared" si="921"/>
        <v>14</v>
      </c>
      <c r="AU2122" s="170" t="str">
        <f t="shared" si="922"/>
        <v>0-0,15 MW, Bonusregeln M1, y, b</v>
      </c>
      <c r="AV2122" s="169" t="str">
        <f t="shared" si="923"/>
        <v/>
      </c>
      <c r="AW2122" s="170" t="str">
        <f t="shared" si="924"/>
        <v>Anteil Nicht-KWK</v>
      </c>
      <c r="AX2122" s="169" t="str">
        <f t="shared" si="925"/>
        <v/>
      </c>
      <c r="AY2122" t="str">
        <f t="shared" si="926"/>
        <v/>
      </c>
      <c r="AZ2122" t="str">
        <f t="shared" si="927"/>
        <v/>
      </c>
    </row>
    <row r="2123" spans="1:52" x14ac:dyDescent="0.35">
      <c r="A2123" s="497" t="s">
        <v>4880</v>
      </c>
      <c r="B2123" s="13" t="s">
        <v>5547</v>
      </c>
      <c r="C2123" s="13" t="s">
        <v>5539</v>
      </c>
      <c r="D2123" s="13" t="s">
        <v>6952</v>
      </c>
      <c r="E2123" s="13" t="s">
        <v>4811</v>
      </c>
      <c r="F2123" s="373">
        <f t="shared" si="934"/>
        <v>27.67</v>
      </c>
      <c r="G2123" s="430">
        <v>27.67</v>
      </c>
      <c r="H2123" s="399">
        <f t="shared" si="935"/>
        <v>22.14</v>
      </c>
      <c r="I2123" s="576"/>
      <c r="J2123" s="549" t="s">
        <v>5804</v>
      </c>
      <c r="K2123" s="11"/>
      <c r="M2123" s="37">
        <f t="shared" si="936"/>
        <v>27.67</v>
      </c>
      <c r="N2123" s="29">
        <v>11.67</v>
      </c>
      <c r="O2123" s="149" t="s">
        <v>1017</v>
      </c>
      <c r="P2123" s="144"/>
      <c r="Q2123" s="145"/>
      <c r="R2123" s="145"/>
      <c r="S2123" s="145" t="s">
        <v>4179</v>
      </c>
      <c r="T2123" t="s">
        <v>4179</v>
      </c>
      <c r="U2123" s="146" t="s">
        <v>1017</v>
      </c>
      <c r="V2123" s="145"/>
      <c r="W2123" s="147"/>
      <c r="X2123" s="147"/>
      <c r="Y2123" s="145"/>
      <c r="Z2123" s="145" t="s">
        <v>1017</v>
      </c>
      <c r="AA2123" s="147"/>
      <c r="AB2123" s="145"/>
      <c r="AC2123" s="145"/>
      <c r="AD2123" s="147"/>
      <c r="AE2123" s="148" t="s">
        <v>1017</v>
      </c>
      <c r="AF2123" s="147"/>
      <c r="AG2123" s="147"/>
      <c r="AH2123" s="166" t="str">
        <f t="shared" si="937"/>
        <v/>
      </c>
      <c r="AI2123" s="168" t="str">
        <f t="shared" si="928"/>
        <v/>
      </c>
      <c r="AJ2123" s="168" t="str">
        <f t="shared" si="929"/>
        <v/>
      </c>
      <c r="AK2123" s="168" t="str">
        <f t="shared" si="930"/>
        <v/>
      </c>
      <c r="AL2123" s="168" t="str">
        <f t="shared" si="931"/>
        <v/>
      </c>
      <c r="AM2123" s="168" t="str">
        <f t="shared" si="932"/>
        <v/>
      </c>
      <c r="AN2123" s="167" t="str">
        <f t="shared" si="915"/>
        <v/>
      </c>
      <c r="AO2123" s="167" t="str">
        <f t="shared" si="916"/>
        <v/>
      </c>
      <c r="AP2123" s="167" t="str">
        <f t="shared" si="917"/>
        <v/>
      </c>
      <c r="AQ2123" s="169" t="str">
        <f t="shared" si="918"/>
        <v/>
      </c>
      <c r="AR2123" s="170" t="str">
        <f t="shared" si="919"/>
        <v>BiK81M1bKWKy08</v>
      </c>
      <c r="AS2123" s="169" t="str">
        <f t="shared" si="920"/>
        <v/>
      </c>
      <c r="AT2123">
        <f t="shared" si="921"/>
        <v>14</v>
      </c>
      <c r="AU2123" s="170" t="str">
        <f t="shared" si="922"/>
        <v>0-0,15 MW, Bonusregeln M1, y, b und KWK</v>
      </c>
      <c r="AV2123" s="169" t="str">
        <f t="shared" si="923"/>
        <v/>
      </c>
      <c r="AW2123" s="170" t="str">
        <f t="shared" si="924"/>
        <v>Anteil KWK</v>
      </c>
      <c r="AX2123" s="169" t="str">
        <f t="shared" si="925"/>
        <v/>
      </c>
      <c r="AY2123" t="str">
        <f t="shared" si="926"/>
        <v/>
      </c>
      <c r="AZ2123" t="str">
        <f t="shared" si="927"/>
        <v/>
      </c>
    </row>
    <row r="2124" spans="1:52" x14ac:dyDescent="0.35">
      <c r="A2124" s="497" t="s">
        <v>4881</v>
      </c>
      <c r="B2124" s="13" t="s">
        <v>5547</v>
      </c>
      <c r="C2124" s="13" t="s">
        <v>5539</v>
      </c>
      <c r="D2124" s="88" t="s">
        <v>6953</v>
      </c>
      <c r="E2124" s="13" t="s">
        <v>4330</v>
      </c>
      <c r="F2124" s="373">
        <f t="shared" si="934"/>
        <v>28.67</v>
      </c>
      <c r="G2124" s="430">
        <v>28.67</v>
      </c>
      <c r="H2124" s="399">
        <f t="shared" si="935"/>
        <v>22.94</v>
      </c>
      <c r="I2124" s="576"/>
      <c r="J2124" s="549" t="s">
        <v>5804</v>
      </c>
      <c r="K2124" s="11"/>
      <c r="M2124" s="37">
        <f t="shared" si="936"/>
        <v>28.67</v>
      </c>
      <c r="N2124" s="29">
        <v>11.67</v>
      </c>
      <c r="O2124" s="149"/>
      <c r="P2124" s="145" t="s">
        <v>1017</v>
      </c>
      <c r="Q2124" s="145"/>
      <c r="R2124" s="145"/>
      <c r="S2124" s="145" t="s">
        <v>4179</v>
      </c>
      <c r="T2124" t="s">
        <v>4179</v>
      </c>
      <c r="U2124" s="146" t="s">
        <v>1017</v>
      </c>
      <c r="V2124" s="145"/>
      <c r="W2124" s="147"/>
      <c r="X2124" s="147"/>
      <c r="Y2124" s="145"/>
      <c r="Z2124" s="145" t="s">
        <v>1017</v>
      </c>
      <c r="AA2124" s="147"/>
      <c r="AB2124" s="145"/>
      <c r="AC2124" s="145"/>
      <c r="AD2124" s="147"/>
      <c r="AE2124" s="148" t="s">
        <v>1017</v>
      </c>
      <c r="AF2124" s="147"/>
      <c r="AG2124" s="147"/>
      <c r="AH2124" s="166" t="str">
        <f t="shared" si="937"/>
        <v/>
      </c>
      <c r="AI2124" s="168" t="str">
        <f t="shared" si="928"/>
        <v/>
      </c>
      <c r="AJ2124" s="168" t="str">
        <f t="shared" si="929"/>
        <v/>
      </c>
      <c r="AK2124" s="168" t="str">
        <f t="shared" si="930"/>
        <v/>
      </c>
      <c r="AL2124" s="168" t="str">
        <f t="shared" si="931"/>
        <v/>
      </c>
      <c r="AM2124" s="168" t="str">
        <f t="shared" si="932"/>
        <v/>
      </c>
      <c r="AN2124" s="167" t="str">
        <f t="shared" si="915"/>
        <v/>
      </c>
      <c r="AO2124" s="167" t="str">
        <f t="shared" si="916"/>
        <v/>
      </c>
      <c r="AP2124" s="167" t="str">
        <f t="shared" si="917"/>
        <v/>
      </c>
      <c r="AQ2124" s="169" t="str">
        <f t="shared" si="918"/>
        <v/>
      </c>
      <c r="AR2124" s="170" t="str">
        <f t="shared" si="919"/>
        <v>BiK81M1bKA3y08</v>
      </c>
      <c r="AS2124" s="169" t="str">
        <f t="shared" si="920"/>
        <v/>
      </c>
      <c r="AT2124">
        <f t="shared" si="921"/>
        <v>14</v>
      </c>
      <c r="AU2124" s="170" t="str">
        <f t="shared" si="922"/>
        <v>0-0,15 MW, Bonusregeln M1, y, b und K wenn Anlage 3 erfüllt</v>
      </c>
      <c r="AV2124" s="169" t="str">
        <f t="shared" si="923"/>
        <v/>
      </c>
      <c r="AW2124" s="170" t="str">
        <f t="shared" si="924"/>
        <v>Anteil KWK gemäß Anlage 3</v>
      </c>
      <c r="AX2124" s="169" t="str">
        <f t="shared" si="925"/>
        <v/>
      </c>
      <c r="AY2124" t="str">
        <f t="shared" si="926"/>
        <v/>
      </c>
      <c r="AZ2124" t="str">
        <f t="shared" si="927"/>
        <v/>
      </c>
    </row>
    <row r="2125" spans="1:52" x14ac:dyDescent="0.35">
      <c r="A2125" s="497" t="s">
        <v>4882</v>
      </c>
      <c r="B2125" s="13" t="s">
        <v>5547</v>
      </c>
      <c r="C2125" s="13" t="s">
        <v>5539</v>
      </c>
      <c r="D2125" s="13" t="s">
        <v>6954</v>
      </c>
      <c r="E2125" s="13" t="s">
        <v>674</v>
      </c>
      <c r="F2125" s="373">
        <f t="shared" si="934"/>
        <v>28.67</v>
      </c>
      <c r="G2125" s="430">
        <v>28.67</v>
      </c>
      <c r="H2125" s="399">
        <f t="shared" si="935"/>
        <v>22.94</v>
      </c>
      <c r="I2125" s="576"/>
      <c r="J2125" s="549" t="s">
        <v>5804</v>
      </c>
      <c r="K2125" s="11"/>
      <c r="M2125" s="37">
        <f t="shared" si="936"/>
        <v>28.67</v>
      </c>
      <c r="N2125" s="29">
        <v>11.67</v>
      </c>
      <c r="O2125" s="149"/>
      <c r="P2125" s="144"/>
      <c r="Q2125" s="145" t="s">
        <v>1017</v>
      </c>
      <c r="R2125" s="145"/>
      <c r="S2125" s="145" t="s">
        <v>4179</v>
      </c>
      <c r="T2125" t="s">
        <v>4179</v>
      </c>
      <c r="U2125" s="146" t="s">
        <v>1017</v>
      </c>
      <c r="V2125" s="145"/>
      <c r="W2125" s="147"/>
      <c r="X2125" s="147"/>
      <c r="Y2125" s="145"/>
      <c r="Z2125" s="145" t="s">
        <v>1017</v>
      </c>
      <c r="AA2125" s="147"/>
      <c r="AB2125" s="145"/>
      <c r="AC2125" s="145"/>
      <c r="AD2125" s="147"/>
      <c r="AE2125" s="148" t="s">
        <v>1017</v>
      </c>
      <c r="AF2125" s="147"/>
      <c r="AG2125" s="147"/>
      <c r="AH2125" s="166" t="str">
        <f t="shared" si="937"/>
        <v/>
      </c>
      <c r="AI2125" s="168" t="str">
        <f t="shared" si="928"/>
        <v/>
      </c>
      <c r="AJ2125" s="168" t="str">
        <f t="shared" si="929"/>
        <v/>
      </c>
      <c r="AK2125" s="168" t="str">
        <f t="shared" si="930"/>
        <v/>
      </c>
      <c r="AL2125" s="168" t="str">
        <f t="shared" si="931"/>
        <v/>
      </c>
      <c r="AM2125" s="168" t="str">
        <f t="shared" si="932"/>
        <v/>
      </c>
      <c r="AN2125" s="167" t="str">
        <f t="shared" si="915"/>
        <v/>
      </c>
      <c r="AO2125" s="167" t="str">
        <f t="shared" si="916"/>
        <v/>
      </c>
      <c r="AP2125" s="167" t="str">
        <f t="shared" si="917"/>
        <v/>
      </c>
      <c r="AQ2125" s="169" t="str">
        <f t="shared" si="918"/>
        <v/>
      </c>
      <c r="AR2125" s="170" t="str">
        <f t="shared" si="919"/>
        <v>BiK81M1bK09y08</v>
      </c>
      <c r="AS2125" s="169" t="str">
        <f t="shared" si="920"/>
        <v/>
      </c>
      <c r="AT2125">
        <f t="shared" si="921"/>
        <v>14</v>
      </c>
      <c r="AU2125" s="170" t="str">
        <f t="shared" si="922"/>
        <v>0-0,15 MW, Bonusregeln M1, y, b und K erstmals 2009</v>
      </c>
      <c r="AV2125" s="169" t="str">
        <f t="shared" si="923"/>
        <v/>
      </c>
      <c r="AW2125" s="170" t="str">
        <f t="shared" si="924"/>
        <v>Anteil KWK, erstmals 2009</v>
      </c>
      <c r="AX2125" s="169" t="str">
        <f t="shared" si="925"/>
        <v/>
      </c>
      <c r="AY2125" t="str">
        <f t="shared" si="926"/>
        <v/>
      </c>
      <c r="AZ2125" t="str">
        <f t="shared" si="927"/>
        <v/>
      </c>
    </row>
    <row r="2126" spans="1:52" s="145" customFormat="1" x14ac:dyDescent="0.35">
      <c r="A2126" s="497" t="s">
        <v>3174</v>
      </c>
      <c r="B2126" s="13" t="s">
        <v>5547</v>
      </c>
      <c r="C2126" s="13" t="s">
        <v>5539</v>
      </c>
      <c r="D2126" s="13" t="s">
        <v>6955</v>
      </c>
      <c r="E2126" s="13" t="s">
        <v>3566</v>
      </c>
      <c r="F2126" s="373">
        <f t="shared" si="934"/>
        <v>28.64</v>
      </c>
      <c r="G2126" s="430">
        <v>28.64</v>
      </c>
      <c r="H2126" s="399">
        <f t="shared" si="935"/>
        <v>22.91</v>
      </c>
      <c r="I2126" s="576"/>
      <c r="J2126" s="549" t="s">
        <v>5804</v>
      </c>
      <c r="K2126" s="11"/>
      <c r="L2126"/>
      <c r="M2126" s="37">
        <f t="shared" si="936"/>
        <v>28.64</v>
      </c>
      <c r="N2126" s="29">
        <v>11.67</v>
      </c>
      <c r="O2126" s="149"/>
      <c r="P2126" s="144"/>
      <c r="R2126" s="145" t="s">
        <v>1017</v>
      </c>
      <c r="S2126" s="145" t="s">
        <v>4179</v>
      </c>
      <c r="T2126" s="145" t="s">
        <v>4179</v>
      </c>
      <c r="U2126" s="146" t="s">
        <v>1017</v>
      </c>
      <c r="W2126" s="147"/>
      <c r="X2126" s="147"/>
      <c r="Z2126" s="145" t="s">
        <v>1017</v>
      </c>
      <c r="AA2126" s="147"/>
      <c r="AD2126" s="147"/>
      <c r="AE2126" s="148" t="s">
        <v>1017</v>
      </c>
      <c r="AF2126" s="147"/>
      <c r="AG2126" s="147"/>
      <c r="AH2126" s="166" t="str">
        <f t="shared" si="937"/>
        <v>2010</v>
      </c>
      <c r="AI2126" s="168" t="str">
        <f t="shared" si="928"/>
        <v/>
      </c>
      <c r="AJ2126" s="168" t="str">
        <f t="shared" si="929"/>
        <v/>
      </c>
      <c r="AK2126" s="168" t="str">
        <f t="shared" si="930"/>
        <v/>
      </c>
      <c r="AL2126" s="168" t="str">
        <f t="shared" si="931"/>
        <v/>
      </c>
      <c r="AM2126" s="168" t="str">
        <f t="shared" si="932"/>
        <v/>
      </c>
      <c r="AN2126" s="167" t="str">
        <f t="shared" si="915"/>
        <v>2010</v>
      </c>
      <c r="AO2126" s="167" t="str">
        <f t="shared" si="916"/>
        <v>2010</v>
      </c>
      <c r="AP2126" s="167" t="str">
        <f t="shared" si="917"/>
        <v>2010</v>
      </c>
      <c r="AQ2126" s="169" t="str">
        <f t="shared" si="918"/>
        <v/>
      </c>
      <c r="AR2126" s="170" t="str">
        <f t="shared" si="919"/>
        <v>BiK81M1bK10y08</v>
      </c>
      <c r="AS2126" s="169" t="str">
        <f t="shared" si="920"/>
        <v/>
      </c>
      <c r="AT2126">
        <f t="shared" si="921"/>
        <v>14</v>
      </c>
      <c r="AU2126" s="170" t="str">
        <f t="shared" si="922"/>
        <v>0-0,15 MW, Bonusregeln M1, y, b und K erstmals 2010</v>
      </c>
      <c r="AV2126" s="169" t="str">
        <f t="shared" si="923"/>
        <v/>
      </c>
      <c r="AW2126" s="170" t="str">
        <f t="shared" si="924"/>
        <v>Anteil KWK, erstmals 2010</v>
      </c>
      <c r="AX2126" s="169" t="str">
        <f t="shared" si="925"/>
        <v/>
      </c>
      <c r="AY2126" t="str">
        <f t="shared" si="926"/>
        <v/>
      </c>
      <c r="AZ2126" t="str">
        <f t="shared" si="927"/>
        <v/>
      </c>
    </row>
    <row r="2127" spans="1:52" s="145" customFormat="1" x14ac:dyDescent="0.35">
      <c r="A2127" s="497" t="s">
        <v>3452</v>
      </c>
      <c r="B2127" s="13" t="s">
        <v>5547</v>
      </c>
      <c r="C2127" s="13" t="s">
        <v>5539</v>
      </c>
      <c r="D2127" s="13" t="s">
        <v>6956</v>
      </c>
      <c r="E2127" s="13" t="s">
        <v>3054</v>
      </c>
      <c r="F2127" s="373">
        <f t="shared" si="934"/>
        <v>28.61</v>
      </c>
      <c r="G2127" s="430">
        <v>28.61</v>
      </c>
      <c r="H2127" s="399">
        <f t="shared" si="935"/>
        <v>22.89</v>
      </c>
      <c r="I2127" s="576"/>
      <c r="J2127" s="549" t="s">
        <v>5804</v>
      </c>
      <c r="K2127" s="11"/>
      <c r="L2127"/>
      <c r="M2127" s="37">
        <f t="shared" si="936"/>
        <v>28.61</v>
      </c>
      <c r="N2127" s="29">
        <v>11.67</v>
      </c>
      <c r="O2127" s="149"/>
      <c r="P2127" s="144"/>
      <c r="S2127" s="145" t="s">
        <v>1017</v>
      </c>
      <c r="T2127" s="145" t="s">
        <v>4179</v>
      </c>
      <c r="U2127" s="146" t="s">
        <v>1017</v>
      </c>
      <c r="W2127" s="147"/>
      <c r="X2127" s="147"/>
      <c r="Z2127" s="145" t="s">
        <v>1017</v>
      </c>
      <c r="AA2127" s="147"/>
      <c r="AD2127" s="147"/>
      <c r="AE2127" s="148" t="s">
        <v>1017</v>
      </c>
      <c r="AF2127" s="147"/>
      <c r="AG2127" s="147"/>
      <c r="AH2127" s="166" t="str">
        <f t="shared" si="937"/>
        <v>2011</v>
      </c>
      <c r="AI2127" s="168" t="str">
        <f t="shared" si="928"/>
        <v/>
      </c>
      <c r="AJ2127" s="168" t="str">
        <f t="shared" si="929"/>
        <v/>
      </c>
      <c r="AK2127" s="168" t="str">
        <f t="shared" si="930"/>
        <v/>
      </c>
      <c r="AL2127" s="168" t="str">
        <f t="shared" si="931"/>
        <v/>
      </c>
      <c r="AM2127" s="168" t="str">
        <f t="shared" si="932"/>
        <v/>
      </c>
      <c r="AN2127" s="167" t="str">
        <f t="shared" si="915"/>
        <v>2011</v>
      </c>
      <c r="AO2127" s="167" t="str">
        <f t="shared" si="916"/>
        <v>2011</v>
      </c>
      <c r="AP2127" s="167" t="str">
        <f t="shared" si="917"/>
        <v>2011</v>
      </c>
      <c r="AQ2127" s="169" t="str">
        <f t="shared" si="918"/>
        <v/>
      </c>
      <c r="AR2127" s="170" t="str">
        <f t="shared" si="919"/>
        <v>BiK81M1bK11y08</v>
      </c>
      <c r="AS2127" s="169" t="str">
        <f t="shared" si="920"/>
        <v/>
      </c>
      <c r="AT2127">
        <f t="shared" si="921"/>
        <v>14</v>
      </c>
      <c r="AU2127" s="170" t="str">
        <f t="shared" si="922"/>
        <v>0-0,15 MW, Bonusregeln M1, y, b und K erstmals 2011</v>
      </c>
      <c r="AV2127" s="169" t="str">
        <f t="shared" si="923"/>
        <v/>
      </c>
      <c r="AW2127" s="170" t="str">
        <f t="shared" si="924"/>
        <v>Anteil KWK, erstmals 2011</v>
      </c>
      <c r="AX2127" s="169" t="str">
        <f t="shared" si="925"/>
        <v/>
      </c>
      <c r="AY2127" t="str">
        <f t="shared" si="926"/>
        <v>x</v>
      </c>
      <c r="AZ2127" t="str">
        <f t="shared" si="927"/>
        <v/>
      </c>
    </row>
    <row r="2128" spans="1:52" s="145" customFormat="1" x14ac:dyDescent="0.35">
      <c r="A2128" s="511" t="s">
        <v>1885</v>
      </c>
      <c r="B2128" s="173" t="s">
        <v>5547</v>
      </c>
      <c r="C2128" s="173" t="s">
        <v>5539</v>
      </c>
      <c r="D2128" s="173" t="s">
        <v>6957</v>
      </c>
      <c r="E2128" s="173" t="s">
        <v>1980</v>
      </c>
      <c r="F2128" s="374">
        <f t="shared" si="934"/>
        <v>28.58</v>
      </c>
      <c r="G2128" s="431">
        <v>28.58</v>
      </c>
      <c r="H2128" s="400">
        <f t="shared" si="935"/>
        <v>22.86</v>
      </c>
      <c r="I2128" s="577"/>
      <c r="J2128" s="549" t="s">
        <v>5804</v>
      </c>
      <c r="K2128" s="11"/>
      <c r="L2128"/>
      <c r="M2128" s="37">
        <f t="shared" si="936"/>
        <v>28.58</v>
      </c>
      <c r="N2128" s="29">
        <v>11.67</v>
      </c>
      <c r="O2128" s="149"/>
      <c r="P2128" s="144"/>
      <c r="S2128" s="145" t="s">
        <v>4179</v>
      </c>
      <c r="T2128" s="145" t="s">
        <v>1017</v>
      </c>
      <c r="U2128" s="146" t="s">
        <v>1017</v>
      </c>
      <c r="W2128" s="147"/>
      <c r="X2128" s="147"/>
      <c r="Z2128" s="145" t="s">
        <v>1017</v>
      </c>
      <c r="AA2128" s="147"/>
      <c r="AD2128" s="147"/>
      <c r="AE2128" s="148" t="s">
        <v>1017</v>
      </c>
      <c r="AF2128" s="147"/>
      <c r="AG2128" s="147"/>
      <c r="AH2128" s="171" t="s">
        <v>4178</v>
      </c>
      <c r="AI2128" s="168" t="str">
        <f t="shared" si="928"/>
        <v/>
      </c>
      <c r="AJ2128" s="168" t="str">
        <f t="shared" si="929"/>
        <v/>
      </c>
      <c r="AK2128" s="168" t="str">
        <f t="shared" si="930"/>
        <v/>
      </c>
      <c r="AL2128" s="168" t="str">
        <f t="shared" si="931"/>
        <v/>
      </c>
      <c r="AM2128" s="168" t="str">
        <f t="shared" si="932"/>
        <v/>
      </c>
      <c r="AN2128" s="167" t="str">
        <f t="shared" si="915"/>
        <v>2012</v>
      </c>
      <c r="AO2128" s="167" t="str">
        <f t="shared" si="916"/>
        <v>2012</v>
      </c>
      <c r="AP2128" s="167" t="str">
        <f t="shared" si="917"/>
        <v>2012</v>
      </c>
      <c r="AQ2128" s="169" t="str">
        <f t="shared" si="918"/>
        <v/>
      </c>
      <c r="AR2128" s="170" t="str">
        <f t="shared" si="919"/>
        <v>BiK81M1bK12y08</v>
      </c>
      <c r="AS2128" s="169" t="str">
        <f t="shared" si="920"/>
        <v/>
      </c>
      <c r="AT2128">
        <f t="shared" si="921"/>
        <v>14</v>
      </c>
      <c r="AU2128" s="170" t="str">
        <f t="shared" si="922"/>
        <v>0-0,15 MW, Bonusregeln M1, y, b und K erstmals 2012</v>
      </c>
      <c r="AV2128" s="169" t="str">
        <f t="shared" si="923"/>
        <v/>
      </c>
      <c r="AW2128" s="170" t="str">
        <f t="shared" si="924"/>
        <v>Anteil KWK, erstmals 2012</v>
      </c>
      <c r="AX2128" s="169" t="str">
        <f t="shared" si="925"/>
        <v/>
      </c>
      <c r="AY2128" t="str">
        <f t="shared" si="926"/>
        <v/>
      </c>
      <c r="AZ2128" t="str">
        <f t="shared" si="927"/>
        <v>x</v>
      </c>
    </row>
    <row r="2129" spans="1:52" s="145" customFormat="1" x14ac:dyDescent="0.35">
      <c r="A2129" s="497" t="s">
        <v>4074</v>
      </c>
      <c r="B2129" s="13" t="s">
        <v>5547</v>
      </c>
      <c r="C2129" s="13" t="s">
        <v>5539</v>
      </c>
      <c r="D2129" s="13" t="s">
        <v>6958</v>
      </c>
      <c r="E2129" s="13" t="s">
        <v>4809</v>
      </c>
      <c r="F2129" s="373">
        <f t="shared" si="934"/>
        <v>22.67</v>
      </c>
      <c r="G2129" s="430">
        <v>22.67</v>
      </c>
      <c r="H2129" s="399">
        <f t="shared" si="935"/>
        <v>18.14</v>
      </c>
      <c r="I2129" s="576"/>
      <c r="J2129" s="549" t="s">
        <v>5804</v>
      </c>
      <c r="K2129" s="11"/>
      <c r="L2129"/>
      <c r="M2129" s="37">
        <f t="shared" si="936"/>
        <v>22.67</v>
      </c>
      <c r="N2129" s="29">
        <v>11.67</v>
      </c>
      <c r="O2129" s="149"/>
      <c r="P2129" s="144"/>
      <c r="S2129" s="145" t="s">
        <v>4179</v>
      </c>
      <c r="T2129" s="145" t="s">
        <v>4179</v>
      </c>
      <c r="U2129" s="146"/>
      <c r="W2129" s="147"/>
      <c r="X2129" s="147"/>
      <c r="AA2129" s="147"/>
      <c r="AB2129" s="145" t="s">
        <v>1017</v>
      </c>
      <c r="AD2129" s="147"/>
      <c r="AE2129" s="148" t="s">
        <v>1017</v>
      </c>
      <c r="AF2129" s="147"/>
      <c r="AG2129" s="147"/>
      <c r="AH2129" s="166" t="str">
        <f t="shared" ref="AH2129:AH2134" si="938">IF(ISERROR(SEARCH("K erstmals 201",D2129)),"",RIGHT(D2129,4))</f>
        <v/>
      </c>
      <c r="AI2129" s="168" t="str">
        <f t="shared" si="928"/>
        <v/>
      </c>
      <c r="AJ2129" s="168" t="str">
        <f t="shared" si="929"/>
        <v/>
      </c>
      <c r="AK2129" s="168" t="str">
        <f t="shared" si="930"/>
        <v/>
      </c>
      <c r="AL2129" s="168" t="str">
        <f t="shared" si="931"/>
        <v/>
      </c>
      <c r="AM2129" s="168" t="str">
        <f t="shared" si="932"/>
        <v/>
      </c>
      <c r="AN2129" s="167" t="str">
        <f t="shared" si="915"/>
        <v/>
      </c>
      <c r="AO2129" s="167" t="str">
        <f t="shared" si="916"/>
        <v/>
      </c>
      <c r="AP2129" s="167" t="str">
        <f t="shared" si="917"/>
        <v/>
      </c>
      <c r="AQ2129" s="169" t="str">
        <f t="shared" si="918"/>
        <v/>
      </c>
      <c r="AR2129" s="170" t="str">
        <f t="shared" si="919"/>
        <v>BiK81Lb-----08</v>
      </c>
      <c r="AS2129" s="169" t="str">
        <f t="shared" si="920"/>
        <v/>
      </c>
      <c r="AT2129">
        <f t="shared" si="921"/>
        <v>14</v>
      </c>
      <c r="AU2129" s="170" t="str">
        <f t="shared" si="922"/>
        <v>0-0,15 MW, Bonusregeln L, b</v>
      </c>
      <c r="AV2129" s="169" t="str">
        <f t="shared" si="923"/>
        <v/>
      </c>
      <c r="AW2129" s="170" t="str">
        <f t="shared" si="924"/>
        <v>Anteil Nicht-KWK</v>
      </c>
      <c r="AX2129" s="169" t="str">
        <f t="shared" si="925"/>
        <v/>
      </c>
      <c r="AY2129" t="str">
        <f t="shared" si="926"/>
        <v/>
      </c>
      <c r="AZ2129" t="str">
        <f t="shared" si="927"/>
        <v/>
      </c>
    </row>
    <row r="2130" spans="1:52" s="145" customFormat="1" x14ac:dyDescent="0.35">
      <c r="A2130" s="497" t="s">
        <v>4075</v>
      </c>
      <c r="B2130" s="13" t="s">
        <v>5547</v>
      </c>
      <c r="C2130" s="13" t="s">
        <v>5539</v>
      </c>
      <c r="D2130" s="13" t="s">
        <v>6959</v>
      </c>
      <c r="E2130" s="13" t="s">
        <v>4811</v>
      </c>
      <c r="F2130" s="373">
        <f t="shared" si="934"/>
        <v>24.67</v>
      </c>
      <c r="G2130" s="430">
        <v>24.67</v>
      </c>
      <c r="H2130" s="399">
        <f t="shared" si="935"/>
        <v>19.739999999999998</v>
      </c>
      <c r="I2130" s="576"/>
      <c r="J2130" s="549" t="s">
        <v>5804</v>
      </c>
      <c r="K2130" s="11"/>
      <c r="L2130"/>
      <c r="M2130" s="37">
        <f t="shared" si="936"/>
        <v>24.67</v>
      </c>
      <c r="N2130" s="29">
        <v>11.67</v>
      </c>
      <c r="O2130" s="149" t="s">
        <v>1017</v>
      </c>
      <c r="P2130" s="144"/>
      <c r="S2130" s="145" t="s">
        <v>4179</v>
      </c>
      <c r="T2130" s="145" t="s">
        <v>4179</v>
      </c>
      <c r="U2130" s="146"/>
      <c r="W2130" s="147"/>
      <c r="X2130" s="147"/>
      <c r="AA2130" s="147"/>
      <c r="AB2130" s="145" t="s">
        <v>1017</v>
      </c>
      <c r="AD2130" s="147"/>
      <c r="AE2130" s="148" t="s">
        <v>1017</v>
      </c>
      <c r="AF2130" s="147"/>
      <c r="AG2130" s="147"/>
      <c r="AH2130" s="166" t="str">
        <f t="shared" si="938"/>
        <v/>
      </c>
      <c r="AI2130" s="168" t="str">
        <f t="shared" si="928"/>
        <v/>
      </c>
      <c r="AJ2130" s="168" t="str">
        <f t="shared" si="929"/>
        <v/>
      </c>
      <c r="AK2130" s="168" t="str">
        <f t="shared" si="930"/>
        <v/>
      </c>
      <c r="AL2130" s="168" t="str">
        <f t="shared" si="931"/>
        <v/>
      </c>
      <c r="AM2130" s="168" t="str">
        <f t="shared" si="932"/>
        <v/>
      </c>
      <c r="AN2130" s="167" t="str">
        <f t="shared" si="915"/>
        <v/>
      </c>
      <c r="AO2130" s="167" t="str">
        <f t="shared" si="916"/>
        <v/>
      </c>
      <c r="AP2130" s="167" t="str">
        <f t="shared" si="917"/>
        <v/>
      </c>
      <c r="AQ2130" s="169" t="str">
        <f t="shared" si="918"/>
        <v/>
      </c>
      <c r="AR2130" s="170" t="str">
        <f t="shared" si="919"/>
        <v>BiK81LbKWK--08</v>
      </c>
      <c r="AS2130" s="169" t="str">
        <f t="shared" si="920"/>
        <v/>
      </c>
      <c r="AT2130">
        <f t="shared" si="921"/>
        <v>14</v>
      </c>
      <c r="AU2130" s="170" t="str">
        <f t="shared" si="922"/>
        <v>0-0,15 MW, Bonusregeln L, b und KWK</v>
      </c>
      <c r="AV2130" s="169" t="str">
        <f t="shared" si="923"/>
        <v/>
      </c>
      <c r="AW2130" s="170" t="str">
        <f t="shared" si="924"/>
        <v>Anteil KWK</v>
      </c>
      <c r="AX2130" s="169" t="str">
        <f t="shared" si="925"/>
        <v/>
      </c>
      <c r="AY2130" t="str">
        <f t="shared" si="926"/>
        <v/>
      </c>
      <c r="AZ2130" t="str">
        <f t="shared" si="927"/>
        <v/>
      </c>
    </row>
    <row r="2131" spans="1:52" s="145" customFormat="1" x14ac:dyDescent="0.35">
      <c r="A2131" s="497" t="s">
        <v>4076</v>
      </c>
      <c r="B2131" s="13" t="s">
        <v>5547</v>
      </c>
      <c r="C2131" s="13" t="s">
        <v>5539</v>
      </c>
      <c r="D2131" s="13" t="s">
        <v>6960</v>
      </c>
      <c r="E2131" s="13" t="s">
        <v>4330</v>
      </c>
      <c r="F2131" s="373">
        <f t="shared" si="934"/>
        <v>25.67</v>
      </c>
      <c r="G2131" s="430">
        <v>25.67</v>
      </c>
      <c r="H2131" s="399">
        <f t="shared" si="935"/>
        <v>20.54</v>
      </c>
      <c r="I2131" s="576"/>
      <c r="J2131" s="549" t="s">
        <v>5804</v>
      </c>
      <c r="K2131" s="11"/>
      <c r="L2131"/>
      <c r="M2131" s="37">
        <f t="shared" si="936"/>
        <v>25.67</v>
      </c>
      <c r="N2131" s="29">
        <v>11.67</v>
      </c>
      <c r="O2131" s="149"/>
      <c r="P2131" s="145" t="s">
        <v>1017</v>
      </c>
      <c r="S2131" s="145" t="s">
        <v>4179</v>
      </c>
      <c r="T2131" s="145" t="s">
        <v>4179</v>
      </c>
      <c r="U2131" s="146"/>
      <c r="W2131" s="147"/>
      <c r="X2131" s="147"/>
      <c r="AA2131" s="147"/>
      <c r="AB2131" s="145" t="s">
        <v>1017</v>
      </c>
      <c r="AD2131" s="147"/>
      <c r="AE2131" s="148" t="s">
        <v>1017</v>
      </c>
      <c r="AF2131" s="147"/>
      <c r="AG2131" s="147"/>
      <c r="AH2131" s="166" t="str">
        <f t="shared" si="938"/>
        <v/>
      </c>
      <c r="AI2131" s="168" t="str">
        <f t="shared" si="928"/>
        <v/>
      </c>
      <c r="AJ2131" s="168" t="str">
        <f t="shared" si="929"/>
        <v/>
      </c>
      <c r="AK2131" s="168" t="str">
        <f t="shared" si="930"/>
        <v/>
      </c>
      <c r="AL2131" s="168" t="str">
        <f t="shared" si="931"/>
        <v/>
      </c>
      <c r="AM2131" s="168" t="str">
        <f t="shared" si="932"/>
        <v/>
      </c>
      <c r="AN2131" s="167" t="str">
        <f t="shared" si="915"/>
        <v/>
      </c>
      <c r="AO2131" s="167" t="str">
        <f t="shared" si="916"/>
        <v/>
      </c>
      <c r="AP2131" s="167" t="str">
        <f t="shared" si="917"/>
        <v/>
      </c>
      <c r="AQ2131" s="169" t="str">
        <f t="shared" si="918"/>
        <v/>
      </c>
      <c r="AR2131" s="170" t="str">
        <f t="shared" si="919"/>
        <v>BiK81LbKA3--08</v>
      </c>
      <c r="AS2131" s="169" t="str">
        <f t="shared" si="920"/>
        <v/>
      </c>
      <c r="AT2131">
        <f t="shared" si="921"/>
        <v>14</v>
      </c>
      <c r="AU2131" s="170" t="str">
        <f t="shared" si="922"/>
        <v>0-0,15 MW, Bonusregeln L, b und K wenn Anlage 3 erfüllt</v>
      </c>
      <c r="AV2131" s="169" t="str">
        <f t="shared" si="923"/>
        <v/>
      </c>
      <c r="AW2131" s="170" t="str">
        <f t="shared" si="924"/>
        <v>Anteil KWK gemäß Anlage 3</v>
      </c>
      <c r="AX2131" s="169" t="str">
        <f t="shared" si="925"/>
        <v/>
      </c>
      <c r="AY2131" t="str">
        <f t="shared" si="926"/>
        <v/>
      </c>
      <c r="AZ2131" t="str">
        <f t="shared" si="927"/>
        <v/>
      </c>
    </row>
    <row r="2132" spans="1:52" s="145" customFormat="1" x14ac:dyDescent="0.35">
      <c r="A2132" s="497" t="s">
        <v>4077</v>
      </c>
      <c r="B2132" s="13" t="s">
        <v>5547</v>
      </c>
      <c r="C2132" s="13" t="s">
        <v>5539</v>
      </c>
      <c r="D2132" s="13" t="s">
        <v>6961</v>
      </c>
      <c r="E2132" s="13" t="s">
        <v>674</v>
      </c>
      <c r="F2132" s="373">
        <f t="shared" si="934"/>
        <v>25.67</v>
      </c>
      <c r="G2132" s="430">
        <v>25.67</v>
      </c>
      <c r="H2132" s="399">
        <f t="shared" si="935"/>
        <v>20.54</v>
      </c>
      <c r="I2132" s="576"/>
      <c r="J2132" s="549" t="s">
        <v>5804</v>
      </c>
      <c r="K2132" s="11"/>
      <c r="L2132"/>
      <c r="M2132" s="37">
        <f t="shared" si="936"/>
        <v>25.67</v>
      </c>
      <c r="N2132" s="29">
        <v>11.67</v>
      </c>
      <c r="O2132" s="149"/>
      <c r="P2132" s="144"/>
      <c r="Q2132" s="145" t="s">
        <v>1017</v>
      </c>
      <c r="S2132" s="145" t="s">
        <v>4179</v>
      </c>
      <c r="T2132" s="145" t="s">
        <v>4179</v>
      </c>
      <c r="U2132" s="146"/>
      <c r="W2132" s="147"/>
      <c r="X2132" s="147"/>
      <c r="AA2132" s="147"/>
      <c r="AB2132" s="145" t="s">
        <v>1017</v>
      </c>
      <c r="AD2132" s="147"/>
      <c r="AE2132" s="148" t="s">
        <v>1017</v>
      </c>
      <c r="AF2132" s="147"/>
      <c r="AG2132" s="147"/>
      <c r="AH2132" s="166" t="str">
        <f t="shared" si="938"/>
        <v/>
      </c>
      <c r="AI2132" s="168" t="str">
        <f t="shared" si="928"/>
        <v/>
      </c>
      <c r="AJ2132" s="168" t="str">
        <f t="shared" si="929"/>
        <v/>
      </c>
      <c r="AK2132" s="168" t="str">
        <f t="shared" si="930"/>
        <v/>
      </c>
      <c r="AL2132" s="168" t="str">
        <f t="shared" si="931"/>
        <v/>
      </c>
      <c r="AM2132" s="168" t="str">
        <f t="shared" si="932"/>
        <v/>
      </c>
      <c r="AN2132" s="167" t="str">
        <f t="shared" si="915"/>
        <v/>
      </c>
      <c r="AO2132" s="167" t="str">
        <f t="shared" si="916"/>
        <v/>
      </c>
      <c r="AP2132" s="167" t="str">
        <f t="shared" si="917"/>
        <v/>
      </c>
      <c r="AQ2132" s="169" t="str">
        <f t="shared" si="918"/>
        <v/>
      </c>
      <c r="AR2132" s="170" t="str">
        <f t="shared" si="919"/>
        <v>BiK81LbK09--08</v>
      </c>
      <c r="AS2132" s="169" t="str">
        <f t="shared" si="920"/>
        <v/>
      </c>
      <c r="AT2132">
        <f t="shared" si="921"/>
        <v>14</v>
      </c>
      <c r="AU2132" s="170" t="str">
        <f t="shared" si="922"/>
        <v>0-0,15 MW, Bonusregeln L, b und K erstmals 2009</v>
      </c>
      <c r="AV2132" s="169" t="str">
        <f t="shared" si="923"/>
        <v/>
      </c>
      <c r="AW2132" s="170" t="str">
        <f t="shared" si="924"/>
        <v>Anteil KWK, erstmals 2009</v>
      </c>
      <c r="AX2132" s="169" t="str">
        <f t="shared" si="925"/>
        <v/>
      </c>
      <c r="AY2132" t="str">
        <f t="shared" si="926"/>
        <v/>
      </c>
      <c r="AZ2132" t="str">
        <f t="shared" si="927"/>
        <v/>
      </c>
    </row>
    <row r="2133" spans="1:52" s="145" customFormat="1" x14ac:dyDescent="0.35">
      <c r="A2133" s="497" t="s">
        <v>3175</v>
      </c>
      <c r="B2133" s="13" t="s">
        <v>5547</v>
      </c>
      <c r="C2133" s="13" t="s">
        <v>5539</v>
      </c>
      <c r="D2133" s="13" t="s">
        <v>6962</v>
      </c>
      <c r="E2133" s="13" t="s">
        <v>3566</v>
      </c>
      <c r="F2133" s="373">
        <f t="shared" si="934"/>
        <v>25.64</v>
      </c>
      <c r="G2133" s="430">
        <v>25.64</v>
      </c>
      <c r="H2133" s="399">
        <f t="shared" si="935"/>
        <v>20.51</v>
      </c>
      <c r="I2133" s="576"/>
      <c r="J2133" s="549" t="s">
        <v>5804</v>
      </c>
      <c r="K2133" s="11"/>
      <c r="L2133"/>
      <c r="M2133" s="37">
        <f t="shared" si="936"/>
        <v>25.64</v>
      </c>
      <c r="N2133" s="29">
        <v>11.67</v>
      </c>
      <c r="O2133" s="149"/>
      <c r="P2133" s="144"/>
      <c r="R2133" s="145" t="s">
        <v>1017</v>
      </c>
      <c r="S2133" s="145" t="s">
        <v>4179</v>
      </c>
      <c r="T2133" s="145" t="s">
        <v>4179</v>
      </c>
      <c r="U2133" s="146"/>
      <c r="W2133" s="147"/>
      <c r="X2133" s="147"/>
      <c r="AA2133" s="147"/>
      <c r="AB2133" s="145" t="s">
        <v>1017</v>
      </c>
      <c r="AD2133" s="147"/>
      <c r="AE2133" s="148" t="s">
        <v>1017</v>
      </c>
      <c r="AF2133" s="147"/>
      <c r="AG2133" s="147"/>
      <c r="AH2133" s="166" t="str">
        <f t="shared" si="938"/>
        <v>2010</v>
      </c>
      <c r="AI2133" s="168" t="str">
        <f t="shared" si="928"/>
        <v/>
      </c>
      <c r="AJ2133" s="168" t="str">
        <f t="shared" si="929"/>
        <v/>
      </c>
      <c r="AK2133" s="168" t="str">
        <f t="shared" si="930"/>
        <v/>
      </c>
      <c r="AL2133" s="168" t="str">
        <f t="shared" si="931"/>
        <v/>
      </c>
      <c r="AM2133" s="168" t="str">
        <f t="shared" si="932"/>
        <v/>
      </c>
      <c r="AN2133" s="167" t="str">
        <f t="shared" si="915"/>
        <v>2010</v>
      </c>
      <c r="AO2133" s="167" t="str">
        <f t="shared" si="916"/>
        <v>2010</v>
      </c>
      <c r="AP2133" s="167" t="str">
        <f t="shared" si="917"/>
        <v>2010</v>
      </c>
      <c r="AQ2133" s="169" t="str">
        <f t="shared" si="918"/>
        <v/>
      </c>
      <c r="AR2133" s="170" t="str">
        <f t="shared" si="919"/>
        <v>BiK81LbK10--08</v>
      </c>
      <c r="AS2133" s="169" t="str">
        <f t="shared" si="920"/>
        <v/>
      </c>
      <c r="AT2133">
        <f t="shared" si="921"/>
        <v>14</v>
      </c>
      <c r="AU2133" s="170" t="str">
        <f t="shared" si="922"/>
        <v>0-0,15 MW, Bonusregeln L, b und K erstmals 2010</v>
      </c>
      <c r="AV2133" s="169" t="str">
        <f t="shared" si="923"/>
        <v/>
      </c>
      <c r="AW2133" s="170" t="str">
        <f t="shared" si="924"/>
        <v>Anteil KWK, erstmals 2010</v>
      </c>
      <c r="AX2133" s="169" t="str">
        <f t="shared" si="925"/>
        <v/>
      </c>
      <c r="AY2133" t="str">
        <f t="shared" si="926"/>
        <v/>
      </c>
      <c r="AZ2133" t="str">
        <f t="shared" si="927"/>
        <v/>
      </c>
    </row>
    <row r="2134" spans="1:52" s="145" customFormat="1" x14ac:dyDescent="0.35">
      <c r="A2134" s="497" t="s">
        <v>3453</v>
      </c>
      <c r="B2134" s="13" t="s">
        <v>5547</v>
      </c>
      <c r="C2134" s="13" t="s">
        <v>5539</v>
      </c>
      <c r="D2134" s="13" t="s">
        <v>6963</v>
      </c>
      <c r="E2134" s="13" t="s">
        <v>3054</v>
      </c>
      <c r="F2134" s="373">
        <f t="shared" si="934"/>
        <v>25.61</v>
      </c>
      <c r="G2134" s="430">
        <v>25.61</v>
      </c>
      <c r="H2134" s="399">
        <f t="shared" si="935"/>
        <v>20.49</v>
      </c>
      <c r="I2134" s="576"/>
      <c r="J2134" s="549" t="s">
        <v>5804</v>
      </c>
      <c r="K2134" s="11"/>
      <c r="L2134"/>
      <c r="M2134" s="37">
        <f t="shared" si="936"/>
        <v>25.61</v>
      </c>
      <c r="N2134" s="29">
        <v>11.67</v>
      </c>
      <c r="O2134" s="149"/>
      <c r="P2134" s="144"/>
      <c r="S2134" s="145" t="s">
        <v>1017</v>
      </c>
      <c r="T2134" s="145" t="s">
        <v>4179</v>
      </c>
      <c r="U2134" s="146"/>
      <c r="W2134" s="147"/>
      <c r="X2134" s="147"/>
      <c r="AA2134" s="147"/>
      <c r="AB2134" s="145" t="s">
        <v>1017</v>
      </c>
      <c r="AD2134" s="147"/>
      <c r="AE2134" s="148" t="s">
        <v>1017</v>
      </c>
      <c r="AF2134" s="147"/>
      <c r="AG2134" s="147"/>
      <c r="AH2134" s="166" t="str">
        <f t="shared" si="938"/>
        <v>2011</v>
      </c>
      <c r="AI2134" s="168" t="str">
        <f t="shared" si="928"/>
        <v/>
      </c>
      <c r="AJ2134" s="168" t="str">
        <f t="shared" si="929"/>
        <v/>
      </c>
      <c r="AK2134" s="168" t="str">
        <f t="shared" si="930"/>
        <v/>
      </c>
      <c r="AL2134" s="168" t="str">
        <f t="shared" si="931"/>
        <v/>
      </c>
      <c r="AM2134" s="168" t="str">
        <f t="shared" si="932"/>
        <v/>
      </c>
      <c r="AN2134" s="167" t="str">
        <f t="shared" si="915"/>
        <v>2011</v>
      </c>
      <c r="AO2134" s="167" t="str">
        <f t="shared" si="916"/>
        <v>2011</v>
      </c>
      <c r="AP2134" s="167" t="str">
        <f t="shared" si="917"/>
        <v>2011</v>
      </c>
      <c r="AQ2134" s="169" t="str">
        <f t="shared" si="918"/>
        <v/>
      </c>
      <c r="AR2134" s="170" t="str">
        <f t="shared" si="919"/>
        <v>BiK81LbK11--08</v>
      </c>
      <c r="AS2134" s="169" t="str">
        <f t="shared" si="920"/>
        <v/>
      </c>
      <c r="AT2134">
        <f t="shared" si="921"/>
        <v>14</v>
      </c>
      <c r="AU2134" s="170" t="str">
        <f t="shared" si="922"/>
        <v>0-0,15 MW, Bonusregeln L, b und K erstmals 2011</v>
      </c>
      <c r="AV2134" s="169" t="str">
        <f t="shared" si="923"/>
        <v/>
      </c>
      <c r="AW2134" s="170" t="str">
        <f t="shared" si="924"/>
        <v>Anteil KWK, erstmals 2011</v>
      </c>
      <c r="AX2134" s="169" t="str">
        <f t="shared" si="925"/>
        <v/>
      </c>
      <c r="AY2134" t="str">
        <f t="shared" si="926"/>
        <v>x</v>
      </c>
      <c r="AZ2134" t="str">
        <f t="shared" si="927"/>
        <v/>
      </c>
    </row>
    <row r="2135" spans="1:52" s="145" customFormat="1" x14ac:dyDescent="0.35">
      <c r="A2135" s="511" t="s">
        <v>1886</v>
      </c>
      <c r="B2135" s="173" t="s">
        <v>5547</v>
      </c>
      <c r="C2135" s="173" t="s">
        <v>5539</v>
      </c>
      <c r="D2135" s="173" t="s">
        <v>6964</v>
      </c>
      <c r="E2135" s="173" t="s">
        <v>1980</v>
      </c>
      <c r="F2135" s="374">
        <f t="shared" si="934"/>
        <v>25.58</v>
      </c>
      <c r="G2135" s="431">
        <v>25.58</v>
      </c>
      <c r="H2135" s="400">
        <f t="shared" si="935"/>
        <v>20.46</v>
      </c>
      <c r="I2135" s="577"/>
      <c r="J2135" s="549" t="s">
        <v>5804</v>
      </c>
      <c r="K2135" s="11"/>
      <c r="L2135"/>
      <c r="M2135" s="37">
        <f t="shared" si="936"/>
        <v>25.58</v>
      </c>
      <c r="N2135" s="29">
        <v>11.67</v>
      </c>
      <c r="O2135" s="149"/>
      <c r="P2135" s="144"/>
      <c r="S2135" s="145" t="s">
        <v>4179</v>
      </c>
      <c r="T2135" s="145" t="s">
        <v>1017</v>
      </c>
      <c r="U2135" s="146"/>
      <c r="W2135" s="147"/>
      <c r="X2135" s="147"/>
      <c r="AA2135" s="147"/>
      <c r="AB2135" s="145" t="s">
        <v>1017</v>
      </c>
      <c r="AD2135" s="147"/>
      <c r="AE2135" s="148" t="s">
        <v>1017</v>
      </c>
      <c r="AF2135" s="147"/>
      <c r="AG2135" s="147"/>
      <c r="AH2135" s="171" t="s">
        <v>4178</v>
      </c>
      <c r="AI2135" s="168" t="str">
        <f t="shared" si="928"/>
        <v/>
      </c>
      <c r="AJ2135" s="168" t="str">
        <f t="shared" si="929"/>
        <v/>
      </c>
      <c r="AK2135" s="168" t="str">
        <f t="shared" si="930"/>
        <v/>
      </c>
      <c r="AL2135" s="168" t="str">
        <f t="shared" si="931"/>
        <v/>
      </c>
      <c r="AM2135" s="168" t="str">
        <f t="shared" si="932"/>
        <v/>
      </c>
      <c r="AN2135" s="167" t="str">
        <f t="shared" si="915"/>
        <v>2012</v>
      </c>
      <c r="AO2135" s="167" t="str">
        <f t="shared" si="916"/>
        <v>2012</v>
      </c>
      <c r="AP2135" s="167" t="str">
        <f t="shared" si="917"/>
        <v>2012</v>
      </c>
      <c r="AQ2135" s="169" t="str">
        <f t="shared" si="918"/>
        <v/>
      </c>
      <c r="AR2135" s="170" t="str">
        <f t="shared" si="919"/>
        <v>BiK81LbK12--08</v>
      </c>
      <c r="AS2135" s="169" t="str">
        <f t="shared" si="920"/>
        <v/>
      </c>
      <c r="AT2135">
        <f t="shared" si="921"/>
        <v>14</v>
      </c>
      <c r="AU2135" s="170" t="str">
        <f t="shared" si="922"/>
        <v>0-0,15 MW, Bonusregeln L, b und K erstmals 2012</v>
      </c>
      <c r="AV2135" s="169" t="str">
        <f t="shared" si="923"/>
        <v/>
      </c>
      <c r="AW2135" s="170" t="str">
        <f t="shared" si="924"/>
        <v>Anteil KWK, erstmals 2012</v>
      </c>
      <c r="AX2135" s="169" t="str">
        <f t="shared" si="925"/>
        <v/>
      </c>
      <c r="AY2135" t="str">
        <f t="shared" si="926"/>
        <v/>
      </c>
      <c r="AZ2135" t="str">
        <f t="shared" si="927"/>
        <v>x</v>
      </c>
    </row>
    <row r="2136" spans="1:52" x14ac:dyDescent="0.35">
      <c r="A2136" s="497" t="s">
        <v>4610</v>
      </c>
      <c r="B2136" s="13" t="s">
        <v>5547</v>
      </c>
      <c r="C2136" s="13" t="s">
        <v>5539</v>
      </c>
      <c r="D2136" s="13" t="s">
        <v>6965</v>
      </c>
      <c r="E2136" s="13" t="s">
        <v>4809</v>
      </c>
      <c r="F2136" s="373">
        <f t="shared" si="934"/>
        <v>23.67</v>
      </c>
      <c r="G2136" s="430">
        <v>23.67</v>
      </c>
      <c r="H2136" s="399">
        <f t="shared" si="935"/>
        <v>18.940000000000001</v>
      </c>
      <c r="I2136" s="576"/>
      <c r="J2136" s="549" t="s">
        <v>5804</v>
      </c>
      <c r="K2136" s="11"/>
      <c r="M2136" s="37">
        <f t="shared" si="936"/>
        <v>23.67</v>
      </c>
      <c r="N2136" s="29">
        <v>11.67</v>
      </c>
      <c r="O2136" s="149"/>
      <c r="P2136" s="144"/>
      <c r="Q2136" s="145"/>
      <c r="R2136" s="145"/>
      <c r="S2136" s="145" t="s">
        <v>4179</v>
      </c>
      <c r="T2136" t="s">
        <v>4179</v>
      </c>
      <c r="U2136" s="146" t="s">
        <v>1017</v>
      </c>
      <c r="V2136" s="145"/>
      <c r="W2136" s="147"/>
      <c r="X2136" s="147"/>
      <c r="Y2136" s="145"/>
      <c r="Z2136" s="145"/>
      <c r="AA2136" s="147"/>
      <c r="AB2136" s="145" t="s">
        <v>1017</v>
      </c>
      <c r="AC2136" s="145"/>
      <c r="AD2136" s="147"/>
      <c r="AE2136" s="148" t="s">
        <v>1017</v>
      </c>
      <c r="AF2136" s="147"/>
      <c r="AG2136" s="147"/>
      <c r="AH2136" s="166" t="str">
        <f t="shared" ref="AH2136:AH2141" si="939">IF(ISERROR(SEARCH("K erstmals 201",D2136)),"",RIGHT(D2136,4))</f>
        <v/>
      </c>
      <c r="AI2136" s="168" t="str">
        <f t="shared" si="928"/>
        <v/>
      </c>
      <c r="AJ2136" s="168" t="str">
        <f t="shared" si="929"/>
        <v/>
      </c>
      <c r="AK2136" s="168" t="str">
        <f t="shared" si="930"/>
        <v/>
      </c>
      <c r="AL2136" s="168" t="str">
        <f t="shared" si="931"/>
        <v/>
      </c>
      <c r="AM2136" s="168" t="str">
        <f t="shared" si="932"/>
        <v/>
      </c>
      <c r="AN2136" s="167" t="str">
        <f t="shared" si="915"/>
        <v/>
      </c>
      <c r="AO2136" s="167" t="str">
        <f t="shared" si="916"/>
        <v/>
      </c>
      <c r="AP2136" s="167" t="str">
        <f t="shared" si="917"/>
        <v/>
      </c>
      <c r="AQ2136" s="169" t="str">
        <f t="shared" si="918"/>
        <v/>
      </c>
      <c r="AR2136" s="170" t="str">
        <f t="shared" si="919"/>
        <v>BiK81Lby----08</v>
      </c>
      <c r="AS2136" s="169" t="str">
        <f t="shared" si="920"/>
        <v/>
      </c>
      <c r="AT2136">
        <f t="shared" si="921"/>
        <v>14</v>
      </c>
      <c r="AU2136" s="170" t="str">
        <f t="shared" si="922"/>
        <v>0-0,15 MW, Bonusregeln L, y, b</v>
      </c>
      <c r="AV2136" s="169" t="str">
        <f t="shared" si="923"/>
        <v/>
      </c>
      <c r="AW2136" s="170" t="str">
        <f t="shared" si="924"/>
        <v>Anteil Nicht-KWK</v>
      </c>
      <c r="AX2136" s="169" t="str">
        <f t="shared" si="925"/>
        <v/>
      </c>
      <c r="AY2136" t="str">
        <f t="shared" si="926"/>
        <v/>
      </c>
      <c r="AZ2136" t="str">
        <f t="shared" si="927"/>
        <v/>
      </c>
    </row>
    <row r="2137" spans="1:52" x14ac:dyDescent="0.35">
      <c r="A2137" s="497" t="s">
        <v>4611</v>
      </c>
      <c r="B2137" s="13" t="s">
        <v>5547</v>
      </c>
      <c r="C2137" s="13" t="s">
        <v>5539</v>
      </c>
      <c r="D2137" s="13" t="s">
        <v>6966</v>
      </c>
      <c r="E2137" s="13" t="s">
        <v>4811</v>
      </c>
      <c r="F2137" s="373">
        <f t="shared" si="934"/>
        <v>25.67</v>
      </c>
      <c r="G2137" s="430">
        <v>25.67</v>
      </c>
      <c r="H2137" s="399">
        <f t="shared" si="935"/>
        <v>20.54</v>
      </c>
      <c r="I2137" s="576"/>
      <c r="J2137" s="549" t="s">
        <v>5804</v>
      </c>
      <c r="K2137" s="11"/>
      <c r="M2137" s="37">
        <f t="shared" si="936"/>
        <v>25.67</v>
      </c>
      <c r="N2137" s="29">
        <v>11.67</v>
      </c>
      <c r="O2137" s="149" t="s">
        <v>1017</v>
      </c>
      <c r="P2137" s="144"/>
      <c r="Q2137" s="145"/>
      <c r="R2137" s="145"/>
      <c r="S2137" s="145" t="s">
        <v>4179</v>
      </c>
      <c r="T2137" t="s">
        <v>4179</v>
      </c>
      <c r="U2137" s="146" t="s">
        <v>1017</v>
      </c>
      <c r="V2137" s="145"/>
      <c r="W2137" s="147"/>
      <c r="X2137" s="147"/>
      <c r="Y2137" s="145"/>
      <c r="Z2137" s="145"/>
      <c r="AA2137" s="147"/>
      <c r="AB2137" s="145" t="s">
        <v>1017</v>
      </c>
      <c r="AC2137" s="145"/>
      <c r="AD2137" s="147"/>
      <c r="AE2137" s="148" t="s">
        <v>1017</v>
      </c>
      <c r="AF2137" s="147"/>
      <c r="AG2137" s="147"/>
      <c r="AH2137" s="166" t="str">
        <f t="shared" si="939"/>
        <v/>
      </c>
      <c r="AI2137" s="168" t="str">
        <f t="shared" si="928"/>
        <v/>
      </c>
      <c r="AJ2137" s="168" t="str">
        <f t="shared" si="929"/>
        <v/>
      </c>
      <c r="AK2137" s="168" t="str">
        <f t="shared" si="930"/>
        <v/>
      </c>
      <c r="AL2137" s="168" t="str">
        <f t="shared" si="931"/>
        <v/>
      </c>
      <c r="AM2137" s="168" t="str">
        <f t="shared" si="932"/>
        <v/>
      </c>
      <c r="AN2137" s="167" t="str">
        <f t="shared" si="915"/>
        <v/>
      </c>
      <c r="AO2137" s="167" t="str">
        <f t="shared" si="916"/>
        <v/>
      </c>
      <c r="AP2137" s="167" t="str">
        <f t="shared" si="917"/>
        <v/>
      </c>
      <c r="AQ2137" s="169" t="str">
        <f t="shared" si="918"/>
        <v/>
      </c>
      <c r="AR2137" s="170" t="str">
        <f t="shared" si="919"/>
        <v>BiK81LbKWKy-08</v>
      </c>
      <c r="AS2137" s="169" t="str">
        <f t="shared" si="920"/>
        <v/>
      </c>
      <c r="AT2137">
        <f t="shared" si="921"/>
        <v>14</v>
      </c>
      <c r="AU2137" s="170" t="str">
        <f t="shared" si="922"/>
        <v>0-0,15 MW, Bonusregeln L, y, b und KWK</v>
      </c>
      <c r="AV2137" s="169" t="str">
        <f t="shared" si="923"/>
        <v/>
      </c>
      <c r="AW2137" s="170" t="str">
        <f t="shared" si="924"/>
        <v>Anteil KWK</v>
      </c>
      <c r="AX2137" s="169" t="str">
        <f t="shared" si="925"/>
        <v/>
      </c>
      <c r="AY2137" t="str">
        <f t="shared" si="926"/>
        <v/>
      </c>
      <c r="AZ2137" t="str">
        <f t="shared" si="927"/>
        <v/>
      </c>
    </row>
    <row r="2138" spans="1:52" x14ac:dyDescent="0.35">
      <c r="A2138" s="497" t="s">
        <v>4612</v>
      </c>
      <c r="B2138" s="13" t="s">
        <v>5547</v>
      </c>
      <c r="C2138" s="13" t="s">
        <v>5539</v>
      </c>
      <c r="D2138" s="88" t="s">
        <v>6967</v>
      </c>
      <c r="E2138" s="13" t="s">
        <v>4330</v>
      </c>
      <c r="F2138" s="373">
        <f t="shared" si="934"/>
        <v>26.67</v>
      </c>
      <c r="G2138" s="430">
        <v>26.67</v>
      </c>
      <c r="H2138" s="399">
        <f t="shared" si="935"/>
        <v>21.34</v>
      </c>
      <c r="I2138" s="576"/>
      <c r="J2138" s="549" t="s">
        <v>5804</v>
      </c>
      <c r="K2138" s="11"/>
      <c r="M2138" s="37">
        <f t="shared" si="936"/>
        <v>26.67</v>
      </c>
      <c r="N2138" s="29">
        <v>11.67</v>
      </c>
      <c r="O2138" s="149"/>
      <c r="P2138" s="145" t="s">
        <v>1017</v>
      </c>
      <c r="Q2138" s="145"/>
      <c r="R2138" s="145"/>
      <c r="S2138" s="145" t="s">
        <v>4179</v>
      </c>
      <c r="T2138" t="s">
        <v>4179</v>
      </c>
      <c r="U2138" s="146" t="s">
        <v>1017</v>
      </c>
      <c r="V2138" s="145"/>
      <c r="W2138" s="147"/>
      <c r="X2138" s="147"/>
      <c r="Y2138" s="145"/>
      <c r="Z2138" s="145"/>
      <c r="AA2138" s="147"/>
      <c r="AB2138" s="145" t="s">
        <v>1017</v>
      </c>
      <c r="AC2138" s="145"/>
      <c r="AD2138" s="147"/>
      <c r="AE2138" s="148" t="s">
        <v>1017</v>
      </c>
      <c r="AF2138" s="147"/>
      <c r="AG2138" s="147"/>
      <c r="AH2138" s="166" t="str">
        <f t="shared" si="939"/>
        <v/>
      </c>
      <c r="AI2138" s="168" t="str">
        <f t="shared" si="928"/>
        <v/>
      </c>
      <c r="AJ2138" s="168" t="str">
        <f t="shared" si="929"/>
        <v/>
      </c>
      <c r="AK2138" s="168" t="str">
        <f t="shared" si="930"/>
        <v/>
      </c>
      <c r="AL2138" s="168" t="str">
        <f t="shared" si="931"/>
        <v/>
      </c>
      <c r="AM2138" s="168" t="str">
        <f t="shared" si="932"/>
        <v/>
      </c>
      <c r="AN2138" s="167" t="str">
        <f t="shared" si="915"/>
        <v/>
      </c>
      <c r="AO2138" s="167" t="str">
        <f t="shared" si="916"/>
        <v/>
      </c>
      <c r="AP2138" s="167" t="str">
        <f t="shared" si="917"/>
        <v/>
      </c>
      <c r="AQ2138" s="169" t="str">
        <f t="shared" si="918"/>
        <v/>
      </c>
      <c r="AR2138" s="170" t="str">
        <f t="shared" si="919"/>
        <v>BiK81LbKA3y-08</v>
      </c>
      <c r="AS2138" s="169" t="str">
        <f t="shared" si="920"/>
        <v/>
      </c>
      <c r="AT2138">
        <f t="shared" si="921"/>
        <v>14</v>
      </c>
      <c r="AU2138" s="170" t="str">
        <f t="shared" si="922"/>
        <v>0-0,15 MW, Bonusregeln L, y, b und K wenn Anlage 3 erfüllt</v>
      </c>
      <c r="AV2138" s="169" t="str">
        <f t="shared" si="923"/>
        <v/>
      </c>
      <c r="AW2138" s="170" t="str">
        <f t="shared" si="924"/>
        <v>Anteil KWK gemäß Anlage 3</v>
      </c>
      <c r="AX2138" s="169" t="str">
        <f t="shared" si="925"/>
        <v/>
      </c>
      <c r="AY2138" t="str">
        <f t="shared" si="926"/>
        <v/>
      </c>
      <c r="AZ2138" t="str">
        <f t="shared" si="927"/>
        <v/>
      </c>
    </row>
    <row r="2139" spans="1:52" x14ac:dyDescent="0.35">
      <c r="A2139" s="497" t="s">
        <v>4613</v>
      </c>
      <c r="B2139" s="13" t="s">
        <v>5547</v>
      </c>
      <c r="C2139" s="13" t="s">
        <v>5539</v>
      </c>
      <c r="D2139" s="13" t="s">
        <v>6968</v>
      </c>
      <c r="E2139" s="13" t="s">
        <v>674</v>
      </c>
      <c r="F2139" s="373">
        <f t="shared" si="934"/>
        <v>26.67</v>
      </c>
      <c r="G2139" s="430">
        <v>26.67</v>
      </c>
      <c r="H2139" s="399">
        <f t="shared" si="935"/>
        <v>21.34</v>
      </c>
      <c r="I2139" s="576"/>
      <c r="J2139" s="549" t="s">
        <v>5804</v>
      </c>
      <c r="K2139" s="11"/>
      <c r="M2139" s="37">
        <f t="shared" si="936"/>
        <v>26.67</v>
      </c>
      <c r="N2139" s="29">
        <v>11.67</v>
      </c>
      <c r="O2139" s="149"/>
      <c r="P2139" s="144"/>
      <c r="Q2139" s="145" t="s">
        <v>1017</v>
      </c>
      <c r="R2139" s="145"/>
      <c r="S2139" s="145" t="s">
        <v>4179</v>
      </c>
      <c r="T2139" t="s">
        <v>4179</v>
      </c>
      <c r="U2139" s="146" t="s">
        <v>1017</v>
      </c>
      <c r="V2139" s="145"/>
      <c r="W2139" s="147"/>
      <c r="X2139" s="147"/>
      <c r="Y2139" s="145"/>
      <c r="Z2139" s="145"/>
      <c r="AA2139" s="147"/>
      <c r="AB2139" s="145" t="s">
        <v>1017</v>
      </c>
      <c r="AC2139" s="145"/>
      <c r="AD2139" s="147"/>
      <c r="AE2139" s="148" t="s">
        <v>1017</v>
      </c>
      <c r="AF2139" s="147"/>
      <c r="AG2139" s="147"/>
      <c r="AH2139" s="166" t="str">
        <f t="shared" si="939"/>
        <v/>
      </c>
      <c r="AI2139" s="168" t="str">
        <f t="shared" si="928"/>
        <v/>
      </c>
      <c r="AJ2139" s="168" t="str">
        <f t="shared" si="929"/>
        <v/>
      </c>
      <c r="AK2139" s="168" t="str">
        <f t="shared" si="930"/>
        <v/>
      </c>
      <c r="AL2139" s="168" t="str">
        <f t="shared" si="931"/>
        <v/>
      </c>
      <c r="AM2139" s="168" t="str">
        <f t="shared" si="932"/>
        <v/>
      </c>
      <c r="AN2139" s="167" t="str">
        <f t="shared" si="915"/>
        <v/>
      </c>
      <c r="AO2139" s="167" t="str">
        <f t="shared" si="916"/>
        <v/>
      </c>
      <c r="AP2139" s="167" t="str">
        <f t="shared" si="917"/>
        <v/>
      </c>
      <c r="AQ2139" s="169" t="str">
        <f t="shared" si="918"/>
        <v/>
      </c>
      <c r="AR2139" s="170" t="str">
        <f t="shared" si="919"/>
        <v>BiK81LbK09y-08</v>
      </c>
      <c r="AS2139" s="169" t="str">
        <f t="shared" si="920"/>
        <v/>
      </c>
      <c r="AT2139">
        <f t="shared" si="921"/>
        <v>14</v>
      </c>
      <c r="AU2139" s="170" t="str">
        <f t="shared" si="922"/>
        <v>0-0,15 MW, Bonusregeln L, y, b und K erstmals 2009</v>
      </c>
      <c r="AV2139" s="169" t="str">
        <f t="shared" si="923"/>
        <v/>
      </c>
      <c r="AW2139" s="170" t="str">
        <f t="shared" si="924"/>
        <v>Anteil KWK, erstmals 2009</v>
      </c>
      <c r="AX2139" s="169" t="str">
        <f t="shared" si="925"/>
        <v/>
      </c>
      <c r="AY2139" t="str">
        <f t="shared" si="926"/>
        <v/>
      </c>
      <c r="AZ2139" t="str">
        <f t="shared" si="927"/>
        <v/>
      </c>
    </row>
    <row r="2140" spans="1:52" s="145" customFormat="1" x14ac:dyDescent="0.35">
      <c r="A2140" s="497" t="s">
        <v>3176</v>
      </c>
      <c r="B2140" s="13" t="s">
        <v>5547</v>
      </c>
      <c r="C2140" s="13" t="s">
        <v>5539</v>
      </c>
      <c r="D2140" s="13" t="s">
        <v>6969</v>
      </c>
      <c r="E2140" s="13" t="s">
        <v>3566</v>
      </c>
      <c r="F2140" s="373">
        <f t="shared" si="934"/>
        <v>26.64</v>
      </c>
      <c r="G2140" s="430">
        <v>26.64</v>
      </c>
      <c r="H2140" s="399">
        <f t="shared" si="935"/>
        <v>21.31</v>
      </c>
      <c r="I2140" s="576"/>
      <c r="J2140" s="549" t="s">
        <v>5804</v>
      </c>
      <c r="K2140" s="11"/>
      <c r="L2140"/>
      <c r="M2140" s="37">
        <f t="shared" si="936"/>
        <v>26.64</v>
      </c>
      <c r="N2140" s="29">
        <v>11.67</v>
      </c>
      <c r="O2140" s="149"/>
      <c r="P2140" s="144"/>
      <c r="R2140" s="145" t="s">
        <v>1017</v>
      </c>
      <c r="S2140" s="145" t="s">
        <v>4179</v>
      </c>
      <c r="T2140" s="145" t="s">
        <v>4179</v>
      </c>
      <c r="U2140" s="146" t="s">
        <v>1017</v>
      </c>
      <c r="W2140" s="147"/>
      <c r="X2140" s="147"/>
      <c r="AA2140" s="147"/>
      <c r="AB2140" s="145" t="s">
        <v>1017</v>
      </c>
      <c r="AD2140" s="147"/>
      <c r="AE2140" s="148" t="s">
        <v>1017</v>
      </c>
      <c r="AF2140" s="147"/>
      <c r="AG2140" s="147"/>
      <c r="AH2140" s="166" t="str">
        <f t="shared" si="939"/>
        <v>2010</v>
      </c>
      <c r="AI2140" s="168" t="str">
        <f t="shared" si="928"/>
        <v/>
      </c>
      <c r="AJ2140" s="168" t="str">
        <f t="shared" si="929"/>
        <v/>
      </c>
      <c r="AK2140" s="168" t="str">
        <f t="shared" si="930"/>
        <v/>
      </c>
      <c r="AL2140" s="168" t="str">
        <f t="shared" si="931"/>
        <v/>
      </c>
      <c r="AM2140" s="168" t="str">
        <f t="shared" si="932"/>
        <v/>
      </c>
      <c r="AN2140" s="167" t="str">
        <f t="shared" si="915"/>
        <v>2010</v>
      </c>
      <c r="AO2140" s="167" t="str">
        <f t="shared" si="916"/>
        <v>2010</v>
      </c>
      <c r="AP2140" s="167" t="str">
        <f t="shared" si="917"/>
        <v>2010</v>
      </c>
      <c r="AQ2140" s="169" t="str">
        <f t="shared" si="918"/>
        <v/>
      </c>
      <c r="AR2140" s="170" t="str">
        <f t="shared" si="919"/>
        <v>BiK81LbK10y-08</v>
      </c>
      <c r="AS2140" s="169" t="str">
        <f t="shared" si="920"/>
        <v/>
      </c>
      <c r="AT2140">
        <f t="shared" si="921"/>
        <v>14</v>
      </c>
      <c r="AU2140" s="170" t="str">
        <f t="shared" si="922"/>
        <v>0-0,15 MW, Bonusregeln L, y, b und K erstmals 2010</v>
      </c>
      <c r="AV2140" s="169" t="str">
        <f t="shared" si="923"/>
        <v/>
      </c>
      <c r="AW2140" s="170" t="str">
        <f t="shared" si="924"/>
        <v>Anteil KWK, erstmals 2010</v>
      </c>
      <c r="AX2140" s="169" t="str">
        <f t="shared" si="925"/>
        <v/>
      </c>
      <c r="AY2140" t="str">
        <f t="shared" si="926"/>
        <v/>
      </c>
      <c r="AZ2140" t="str">
        <f t="shared" si="927"/>
        <v/>
      </c>
    </row>
    <row r="2141" spans="1:52" s="145" customFormat="1" x14ac:dyDescent="0.35">
      <c r="A2141" s="497" t="s">
        <v>3454</v>
      </c>
      <c r="B2141" s="13" t="s">
        <v>5547</v>
      </c>
      <c r="C2141" s="13" t="s">
        <v>5539</v>
      </c>
      <c r="D2141" s="13" t="s">
        <v>6970</v>
      </c>
      <c r="E2141" s="13" t="s">
        <v>3054</v>
      </c>
      <c r="F2141" s="373">
        <f t="shared" si="934"/>
        <v>26.61</v>
      </c>
      <c r="G2141" s="430">
        <v>26.61</v>
      </c>
      <c r="H2141" s="399">
        <f t="shared" si="935"/>
        <v>21.29</v>
      </c>
      <c r="I2141" s="576"/>
      <c r="J2141" s="549" t="s">
        <v>5804</v>
      </c>
      <c r="K2141" s="11"/>
      <c r="L2141"/>
      <c r="M2141" s="37">
        <f t="shared" si="936"/>
        <v>26.61</v>
      </c>
      <c r="N2141" s="29">
        <v>11.67</v>
      </c>
      <c r="O2141" s="149"/>
      <c r="P2141" s="144"/>
      <c r="S2141" s="145" t="s">
        <v>1017</v>
      </c>
      <c r="T2141" s="145" t="s">
        <v>4179</v>
      </c>
      <c r="U2141" s="146" t="s">
        <v>1017</v>
      </c>
      <c r="W2141" s="147"/>
      <c r="X2141" s="147"/>
      <c r="AA2141" s="147"/>
      <c r="AB2141" s="145" t="s">
        <v>1017</v>
      </c>
      <c r="AD2141" s="147"/>
      <c r="AE2141" s="148" t="s">
        <v>1017</v>
      </c>
      <c r="AF2141" s="147"/>
      <c r="AG2141" s="147"/>
      <c r="AH2141" s="166" t="str">
        <f t="shared" si="939"/>
        <v>2011</v>
      </c>
      <c r="AI2141" s="168" t="str">
        <f t="shared" si="928"/>
        <v/>
      </c>
      <c r="AJ2141" s="168" t="str">
        <f t="shared" si="929"/>
        <v/>
      </c>
      <c r="AK2141" s="168" t="str">
        <f t="shared" si="930"/>
        <v/>
      </c>
      <c r="AL2141" s="168" t="str">
        <f t="shared" si="931"/>
        <v/>
      </c>
      <c r="AM2141" s="168" t="str">
        <f t="shared" si="932"/>
        <v/>
      </c>
      <c r="AN2141" s="167" t="str">
        <f t="shared" si="915"/>
        <v>2011</v>
      </c>
      <c r="AO2141" s="167" t="str">
        <f t="shared" si="916"/>
        <v>2011</v>
      </c>
      <c r="AP2141" s="167" t="str">
        <f t="shared" si="917"/>
        <v>2011</v>
      </c>
      <c r="AQ2141" s="169" t="str">
        <f t="shared" si="918"/>
        <v/>
      </c>
      <c r="AR2141" s="170" t="str">
        <f t="shared" si="919"/>
        <v>BiK81LbK11y-08</v>
      </c>
      <c r="AS2141" s="169" t="str">
        <f t="shared" si="920"/>
        <v/>
      </c>
      <c r="AT2141">
        <f t="shared" si="921"/>
        <v>14</v>
      </c>
      <c r="AU2141" s="170" t="str">
        <f t="shared" si="922"/>
        <v>0-0,15 MW, Bonusregeln L, y, b und K erstmals 2011</v>
      </c>
      <c r="AV2141" s="169" t="str">
        <f t="shared" si="923"/>
        <v/>
      </c>
      <c r="AW2141" s="170" t="str">
        <f t="shared" si="924"/>
        <v>Anteil KWK, erstmals 2011</v>
      </c>
      <c r="AX2141" s="169" t="str">
        <f t="shared" si="925"/>
        <v/>
      </c>
      <c r="AY2141" t="str">
        <f t="shared" si="926"/>
        <v>x</v>
      </c>
      <c r="AZ2141" t="str">
        <f t="shared" si="927"/>
        <v/>
      </c>
    </row>
    <row r="2142" spans="1:52" s="145" customFormat="1" x14ac:dyDescent="0.35">
      <c r="A2142" s="511" t="s">
        <v>1887</v>
      </c>
      <c r="B2142" s="173" t="s">
        <v>5547</v>
      </c>
      <c r="C2142" s="173" t="s">
        <v>5539</v>
      </c>
      <c r="D2142" s="173" t="s">
        <v>6971</v>
      </c>
      <c r="E2142" s="173" t="s">
        <v>1980</v>
      </c>
      <c r="F2142" s="374">
        <f t="shared" si="934"/>
        <v>26.58</v>
      </c>
      <c r="G2142" s="431">
        <v>26.58</v>
      </c>
      <c r="H2142" s="400">
        <f t="shared" si="935"/>
        <v>21.26</v>
      </c>
      <c r="I2142" s="577"/>
      <c r="J2142" s="549" t="s">
        <v>5804</v>
      </c>
      <c r="K2142" s="11"/>
      <c r="L2142"/>
      <c r="M2142" s="37">
        <f t="shared" si="936"/>
        <v>26.58</v>
      </c>
      <c r="N2142" s="29">
        <v>11.67</v>
      </c>
      <c r="O2142" s="149"/>
      <c r="P2142" s="144"/>
      <c r="S2142" s="145" t="s">
        <v>4179</v>
      </c>
      <c r="T2142" s="145" t="s">
        <v>1017</v>
      </c>
      <c r="U2142" s="146" t="s">
        <v>1017</v>
      </c>
      <c r="W2142" s="147"/>
      <c r="X2142" s="147"/>
      <c r="AA2142" s="147"/>
      <c r="AB2142" s="145" t="s">
        <v>1017</v>
      </c>
      <c r="AD2142" s="147"/>
      <c r="AE2142" s="148" t="s">
        <v>1017</v>
      </c>
      <c r="AF2142" s="147"/>
      <c r="AG2142" s="147"/>
      <c r="AH2142" s="171" t="s">
        <v>4178</v>
      </c>
      <c r="AI2142" s="168" t="str">
        <f t="shared" si="928"/>
        <v/>
      </c>
      <c r="AJ2142" s="168" t="str">
        <f t="shared" si="929"/>
        <v/>
      </c>
      <c r="AK2142" s="168" t="str">
        <f t="shared" si="930"/>
        <v/>
      </c>
      <c r="AL2142" s="168" t="str">
        <f t="shared" si="931"/>
        <v/>
      </c>
      <c r="AM2142" s="168" t="str">
        <f t="shared" si="932"/>
        <v/>
      </c>
      <c r="AN2142" s="167" t="str">
        <f t="shared" si="915"/>
        <v>2012</v>
      </c>
      <c r="AO2142" s="167" t="str">
        <f t="shared" si="916"/>
        <v>2012</v>
      </c>
      <c r="AP2142" s="167" t="str">
        <f t="shared" si="917"/>
        <v>2012</v>
      </c>
      <c r="AQ2142" s="169" t="str">
        <f t="shared" si="918"/>
        <v/>
      </c>
      <c r="AR2142" s="170" t="str">
        <f t="shared" si="919"/>
        <v>BiK81LbK12y-08</v>
      </c>
      <c r="AS2142" s="169" t="str">
        <f t="shared" si="920"/>
        <v/>
      </c>
      <c r="AT2142">
        <f t="shared" si="921"/>
        <v>14</v>
      </c>
      <c r="AU2142" s="170" t="str">
        <f t="shared" si="922"/>
        <v>0-0,15 MW, Bonusregeln L, y, b und K erstmals 2012</v>
      </c>
      <c r="AV2142" s="169" t="str">
        <f t="shared" si="923"/>
        <v/>
      </c>
      <c r="AW2142" s="170" t="str">
        <f t="shared" si="924"/>
        <v>Anteil KWK, erstmals 2012</v>
      </c>
      <c r="AX2142" s="169" t="str">
        <f t="shared" si="925"/>
        <v/>
      </c>
      <c r="AY2142" t="str">
        <f t="shared" si="926"/>
        <v/>
      </c>
      <c r="AZ2142" t="str">
        <f t="shared" si="927"/>
        <v>x</v>
      </c>
    </row>
    <row r="2143" spans="1:52" s="145" customFormat="1" x14ac:dyDescent="0.35">
      <c r="A2143" s="497" t="s">
        <v>4614</v>
      </c>
      <c r="B2143" s="13" t="s">
        <v>5547</v>
      </c>
      <c r="C2143" s="13" t="s">
        <v>5539</v>
      </c>
      <c r="D2143" s="13" t="s">
        <v>6972</v>
      </c>
      <c r="E2143" s="13" t="s">
        <v>4809</v>
      </c>
      <c r="F2143" s="373">
        <f t="shared" si="934"/>
        <v>26.67</v>
      </c>
      <c r="G2143" s="430">
        <v>26.67</v>
      </c>
      <c r="H2143" s="399">
        <f t="shared" si="935"/>
        <v>21.34</v>
      </c>
      <c r="I2143" s="576"/>
      <c r="J2143" s="549" t="s">
        <v>5804</v>
      </c>
      <c r="K2143" s="11"/>
      <c r="L2143"/>
      <c r="M2143" s="37">
        <f t="shared" si="936"/>
        <v>26.67</v>
      </c>
      <c r="N2143" s="29">
        <v>11.67</v>
      </c>
      <c r="O2143" s="149"/>
      <c r="P2143" s="144"/>
      <c r="S2143" s="145" t="s">
        <v>4179</v>
      </c>
      <c r="T2143" s="145" t="s">
        <v>4179</v>
      </c>
      <c r="U2143" s="146"/>
      <c r="W2143" s="147"/>
      <c r="X2143" s="147"/>
      <c r="AA2143" s="147"/>
      <c r="AC2143" s="145" t="s">
        <v>1017</v>
      </c>
      <c r="AD2143" s="147"/>
      <c r="AE2143" s="148" t="s">
        <v>1017</v>
      </c>
      <c r="AF2143" s="147"/>
      <c r="AG2143" s="147"/>
      <c r="AH2143" s="166" t="str">
        <f t="shared" ref="AH2143:AH2148" si="940">IF(ISERROR(SEARCH("K erstmals 201",D2143)),"",RIGHT(D2143,4))</f>
        <v/>
      </c>
      <c r="AI2143" s="168" t="str">
        <f t="shared" si="928"/>
        <v/>
      </c>
      <c r="AJ2143" s="168" t="str">
        <f t="shared" si="929"/>
        <v/>
      </c>
      <c r="AK2143" s="168" t="str">
        <f t="shared" si="930"/>
        <v/>
      </c>
      <c r="AL2143" s="168" t="str">
        <f t="shared" si="931"/>
        <v/>
      </c>
      <c r="AM2143" s="168" t="str">
        <f t="shared" si="932"/>
        <v/>
      </c>
      <c r="AN2143" s="167" t="str">
        <f t="shared" si="915"/>
        <v/>
      </c>
      <c r="AO2143" s="167" t="str">
        <f t="shared" si="916"/>
        <v/>
      </c>
      <c r="AP2143" s="167" t="str">
        <f t="shared" si="917"/>
        <v/>
      </c>
      <c r="AQ2143" s="169" t="str">
        <f t="shared" si="918"/>
        <v/>
      </c>
      <c r="AR2143" s="170" t="str">
        <f t="shared" si="919"/>
        <v>BiK81X1b----08</v>
      </c>
      <c r="AS2143" s="169" t="str">
        <f t="shared" si="920"/>
        <v/>
      </c>
      <c r="AT2143">
        <f t="shared" si="921"/>
        <v>14</v>
      </c>
      <c r="AU2143" s="170" t="str">
        <f t="shared" si="922"/>
        <v>0-0,15 MW, Bonusregeln X1, b</v>
      </c>
      <c r="AV2143" s="169" t="str">
        <f t="shared" si="923"/>
        <v/>
      </c>
      <c r="AW2143" s="170" t="str">
        <f t="shared" si="924"/>
        <v>Anteil Nicht-KWK</v>
      </c>
      <c r="AX2143" s="169" t="str">
        <f t="shared" si="925"/>
        <v/>
      </c>
      <c r="AY2143" t="str">
        <f t="shared" si="926"/>
        <v/>
      </c>
      <c r="AZ2143" t="str">
        <f t="shared" si="927"/>
        <v/>
      </c>
    </row>
    <row r="2144" spans="1:52" s="145" customFormat="1" x14ac:dyDescent="0.35">
      <c r="A2144" s="497" t="s">
        <v>4615</v>
      </c>
      <c r="B2144" s="13" t="s">
        <v>5547</v>
      </c>
      <c r="C2144" s="13" t="s">
        <v>5539</v>
      </c>
      <c r="D2144" s="13" t="s">
        <v>6973</v>
      </c>
      <c r="E2144" s="13" t="s">
        <v>4811</v>
      </c>
      <c r="F2144" s="373">
        <f t="shared" si="934"/>
        <v>28.67</v>
      </c>
      <c r="G2144" s="430">
        <v>28.67</v>
      </c>
      <c r="H2144" s="399">
        <f t="shared" si="935"/>
        <v>22.94</v>
      </c>
      <c r="I2144" s="576"/>
      <c r="J2144" s="549" t="s">
        <v>5804</v>
      </c>
      <c r="K2144" s="11"/>
      <c r="L2144"/>
      <c r="M2144" s="37">
        <f t="shared" si="936"/>
        <v>28.67</v>
      </c>
      <c r="N2144" s="29">
        <v>11.67</v>
      </c>
      <c r="O2144" s="149" t="s">
        <v>1017</v>
      </c>
      <c r="P2144" s="144"/>
      <c r="S2144" s="145" t="s">
        <v>4179</v>
      </c>
      <c r="T2144" s="145" t="s">
        <v>4179</v>
      </c>
      <c r="U2144" s="146"/>
      <c r="W2144" s="147"/>
      <c r="X2144" s="147"/>
      <c r="AA2144" s="147"/>
      <c r="AC2144" s="145" t="s">
        <v>1017</v>
      </c>
      <c r="AD2144" s="147"/>
      <c r="AE2144" s="148" t="s">
        <v>1017</v>
      </c>
      <c r="AF2144" s="147"/>
      <c r="AG2144" s="147"/>
      <c r="AH2144" s="166" t="str">
        <f t="shared" si="940"/>
        <v/>
      </c>
      <c r="AI2144" s="168" t="str">
        <f t="shared" si="928"/>
        <v/>
      </c>
      <c r="AJ2144" s="168" t="str">
        <f t="shared" si="929"/>
        <v/>
      </c>
      <c r="AK2144" s="168" t="str">
        <f t="shared" si="930"/>
        <v/>
      </c>
      <c r="AL2144" s="168" t="str">
        <f t="shared" si="931"/>
        <v/>
      </c>
      <c r="AM2144" s="168" t="str">
        <f t="shared" si="932"/>
        <v/>
      </c>
      <c r="AN2144" s="167" t="str">
        <f t="shared" si="915"/>
        <v/>
      </c>
      <c r="AO2144" s="167" t="str">
        <f t="shared" si="916"/>
        <v/>
      </c>
      <c r="AP2144" s="167" t="str">
        <f t="shared" si="917"/>
        <v/>
      </c>
      <c r="AQ2144" s="169" t="str">
        <f t="shared" si="918"/>
        <v/>
      </c>
      <c r="AR2144" s="170" t="str">
        <f t="shared" si="919"/>
        <v>BiK81X1bKWK-08</v>
      </c>
      <c r="AS2144" s="169" t="str">
        <f t="shared" si="920"/>
        <v/>
      </c>
      <c r="AT2144">
        <f t="shared" si="921"/>
        <v>14</v>
      </c>
      <c r="AU2144" s="170" t="str">
        <f t="shared" si="922"/>
        <v>0-0,15 MW, Bonusregeln X1, b und KWK</v>
      </c>
      <c r="AV2144" s="169" t="str">
        <f t="shared" si="923"/>
        <v/>
      </c>
      <c r="AW2144" s="170" t="str">
        <f t="shared" si="924"/>
        <v>Anteil KWK</v>
      </c>
      <c r="AX2144" s="169" t="str">
        <f t="shared" si="925"/>
        <v/>
      </c>
      <c r="AY2144" t="str">
        <f t="shared" si="926"/>
        <v/>
      </c>
      <c r="AZ2144" t="str">
        <f t="shared" si="927"/>
        <v/>
      </c>
    </row>
    <row r="2145" spans="1:52" s="145" customFormat="1" x14ac:dyDescent="0.35">
      <c r="A2145" s="497" t="s">
        <v>4616</v>
      </c>
      <c r="B2145" s="13" t="s">
        <v>5547</v>
      </c>
      <c r="C2145" s="13" t="s">
        <v>5539</v>
      </c>
      <c r="D2145" s="13" t="s">
        <v>6974</v>
      </c>
      <c r="E2145" s="13" t="s">
        <v>4330</v>
      </c>
      <c r="F2145" s="373">
        <f t="shared" si="934"/>
        <v>29.67</v>
      </c>
      <c r="G2145" s="430">
        <v>29.67</v>
      </c>
      <c r="H2145" s="399">
        <f t="shared" si="935"/>
        <v>23.74</v>
      </c>
      <c r="I2145" s="576"/>
      <c r="J2145" s="549" t="s">
        <v>5804</v>
      </c>
      <c r="K2145" s="11"/>
      <c r="L2145"/>
      <c r="M2145" s="37">
        <f t="shared" si="936"/>
        <v>29.67</v>
      </c>
      <c r="N2145" s="29">
        <v>11.67</v>
      </c>
      <c r="O2145" s="149"/>
      <c r="P2145" s="145" t="s">
        <v>1017</v>
      </c>
      <c r="S2145" s="145" t="s">
        <v>4179</v>
      </c>
      <c r="T2145" s="145" t="s">
        <v>4179</v>
      </c>
      <c r="U2145" s="146"/>
      <c r="W2145" s="147"/>
      <c r="X2145" s="147"/>
      <c r="AA2145" s="147"/>
      <c r="AC2145" s="145" t="s">
        <v>1017</v>
      </c>
      <c r="AD2145" s="147"/>
      <c r="AE2145" s="148" t="s">
        <v>1017</v>
      </c>
      <c r="AF2145" s="147"/>
      <c r="AG2145" s="147"/>
      <c r="AH2145" s="166" t="str">
        <f t="shared" si="940"/>
        <v/>
      </c>
      <c r="AI2145" s="168" t="str">
        <f t="shared" si="928"/>
        <v/>
      </c>
      <c r="AJ2145" s="168" t="str">
        <f t="shared" si="929"/>
        <v/>
      </c>
      <c r="AK2145" s="168" t="str">
        <f t="shared" si="930"/>
        <v/>
      </c>
      <c r="AL2145" s="168" t="str">
        <f t="shared" si="931"/>
        <v/>
      </c>
      <c r="AM2145" s="168" t="str">
        <f t="shared" si="932"/>
        <v/>
      </c>
      <c r="AN2145" s="167" t="str">
        <f t="shared" si="915"/>
        <v/>
      </c>
      <c r="AO2145" s="167" t="str">
        <f t="shared" si="916"/>
        <v/>
      </c>
      <c r="AP2145" s="167" t="str">
        <f t="shared" si="917"/>
        <v/>
      </c>
      <c r="AQ2145" s="169" t="str">
        <f t="shared" si="918"/>
        <v/>
      </c>
      <c r="AR2145" s="170" t="str">
        <f t="shared" si="919"/>
        <v>BiK81X1bKA3-08</v>
      </c>
      <c r="AS2145" s="169" t="str">
        <f t="shared" si="920"/>
        <v/>
      </c>
      <c r="AT2145">
        <f t="shared" si="921"/>
        <v>14</v>
      </c>
      <c r="AU2145" s="170" t="str">
        <f t="shared" si="922"/>
        <v>0-0,15 MW, Bonusregeln X1, b und K wenn Anlage 3 erfüllt</v>
      </c>
      <c r="AV2145" s="169" t="str">
        <f t="shared" si="923"/>
        <v/>
      </c>
      <c r="AW2145" s="170" t="str">
        <f t="shared" si="924"/>
        <v>Anteil KWK gemäß Anlage 3</v>
      </c>
      <c r="AX2145" s="169" t="str">
        <f t="shared" si="925"/>
        <v/>
      </c>
      <c r="AY2145" t="str">
        <f t="shared" si="926"/>
        <v/>
      </c>
      <c r="AZ2145" t="str">
        <f t="shared" si="927"/>
        <v/>
      </c>
    </row>
    <row r="2146" spans="1:52" s="145" customFormat="1" x14ac:dyDescent="0.35">
      <c r="A2146" s="497" t="s">
        <v>4617</v>
      </c>
      <c r="B2146" s="13" t="s">
        <v>5547</v>
      </c>
      <c r="C2146" s="13" t="s">
        <v>5539</v>
      </c>
      <c r="D2146" s="13" t="s">
        <v>6975</v>
      </c>
      <c r="E2146" s="13" t="s">
        <v>674</v>
      </c>
      <c r="F2146" s="373">
        <f t="shared" si="934"/>
        <v>29.67</v>
      </c>
      <c r="G2146" s="430">
        <v>29.67</v>
      </c>
      <c r="H2146" s="399">
        <f t="shared" si="935"/>
        <v>23.74</v>
      </c>
      <c r="I2146" s="576"/>
      <c r="J2146" s="549" t="s">
        <v>5804</v>
      </c>
      <c r="K2146" s="11"/>
      <c r="L2146"/>
      <c r="M2146" s="37">
        <f t="shared" si="936"/>
        <v>29.67</v>
      </c>
      <c r="N2146" s="29">
        <v>11.67</v>
      </c>
      <c r="O2146" s="149"/>
      <c r="P2146" s="144"/>
      <c r="Q2146" s="145" t="s">
        <v>1017</v>
      </c>
      <c r="S2146" s="145" t="s">
        <v>4179</v>
      </c>
      <c r="T2146" s="145" t="s">
        <v>4179</v>
      </c>
      <c r="U2146" s="146"/>
      <c r="W2146" s="147"/>
      <c r="X2146" s="147"/>
      <c r="AA2146" s="147"/>
      <c r="AC2146" s="145" t="s">
        <v>1017</v>
      </c>
      <c r="AD2146" s="147"/>
      <c r="AE2146" s="148" t="s">
        <v>1017</v>
      </c>
      <c r="AF2146" s="147"/>
      <c r="AG2146" s="147"/>
      <c r="AH2146" s="166" t="str">
        <f t="shared" si="940"/>
        <v/>
      </c>
      <c r="AI2146" s="168" t="str">
        <f t="shared" si="928"/>
        <v/>
      </c>
      <c r="AJ2146" s="168" t="str">
        <f t="shared" si="929"/>
        <v/>
      </c>
      <c r="AK2146" s="168" t="str">
        <f t="shared" si="930"/>
        <v/>
      </c>
      <c r="AL2146" s="168" t="str">
        <f t="shared" si="931"/>
        <v/>
      </c>
      <c r="AM2146" s="168" t="str">
        <f t="shared" si="932"/>
        <v/>
      </c>
      <c r="AN2146" s="167" t="str">
        <f t="shared" si="915"/>
        <v/>
      </c>
      <c r="AO2146" s="167" t="str">
        <f t="shared" si="916"/>
        <v/>
      </c>
      <c r="AP2146" s="167" t="str">
        <f t="shared" si="917"/>
        <v/>
      </c>
      <c r="AQ2146" s="169" t="str">
        <f t="shared" si="918"/>
        <v/>
      </c>
      <c r="AR2146" s="170" t="str">
        <f t="shared" si="919"/>
        <v>BiK81X1bK09-08</v>
      </c>
      <c r="AS2146" s="169" t="str">
        <f t="shared" si="920"/>
        <v/>
      </c>
      <c r="AT2146">
        <f t="shared" si="921"/>
        <v>14</v>
      </c>
      <c r="AU2146" s="170" t="str">
        <f t="shared" si="922"/>
        <v>0-0,15 MW, Bonusregeln X1, b und K erstmals 2009</v>
      </c>
      <c r="AV2146" s="169" t="str">
        <f t="shared" si="923"/>
        <v/>
      </c>
      <c r="AW2146" s="170" t="str">
        <f t="shared" si="924"/>
        <v>Anteil KWK, erstmals 2009</v>
      </c>
      <c r="AX2146" s="169" t="str">
        <f t="shared" si="925"/>
        <v/>
      </c>
      <c r="AY2146" t="str">
        <f t="shared" si="926"/>
        <v/>
      </c>
      <c r="AZ2146" t="str">
        <f t="shared" si="927"/>
        <v/>
      </c>
    </row>
    <row r="2147" spans="1:52" s="145" customFormat="1" x14ac:dyDescent="0.35">
      <c r="A2147" s="497" t="s">
        <v>3177</v>
      </c>
      <c r="B2147" s="13" t="s">
        <v>5547</v>
      </c>
      <c r="C2147" s="13" t="s">
        <v>5539</v>
      </c>
      <c r="D2147" s="13" t="s">
        <v>6976</v>
      </c>
      <c r="E2147" s="13" t="s">
        <v>3566</v>
      </c>
      <c r="F2147" s="373">
        <f t="shared" si="934"/>
        <v>29.64</v>
      </c>
      <c r="G2147" s="430">
        <v>29.64</v>
      </c>
      <c r="H2147" s="399">
        <f t="shared" si="935"/>
        <v>23.71</v>
      </c>
      <c r="I2147" s="576"/>
      <c r="J2147" s="549" t="s">
        <v>5804</v>
      </c>
      <c r="K2147" s="11"/>
      <c r="L2147"/>
      <c r="M2147" s="37">
        <f t="shared" si="936"/>
        <v>29.64</v>
      </c>
      <c r="N2147" s="29">
        <v>11.67</v>
      </c>
      <c r="O2147" s="149"/>
      <c r="P2147" s="144"/>
      <c r="R2147" s="145" t="s">
        <v>1017</v>
      </c>
      <c r="S2147" s="145" t="s">
        <v>4179</v>
      </c>
      <c r="T2147" s="145" t="s">
        <v>4179</v>
      </c>
      <c r="U2147" s="146"/>
      <c r="W2147" s="147"/>
      <c r="X2147" s="147"/>
      <c r="AA2147" s="147"/>
      <c r="AC2147" s="145" t="s">
        <v>1017</v>
      </c>
      <c r="AD2147" s="147"/>
      <c r="AE2147" s="148" t="s">
        <v>1017</v>
      </c>
      <c r="AF2147" s="147"/>
      <c r="AG2147" s="147"/>
      <c r="AH2147" s="166" t="str">
        <f t="shared" si="940"/>
        <v>2010</v>
      </c>
      <c r="AI2147" s="168" t="str">
        <f t="shared" si="928"/>
        <v/>
      </c>
      <c r="AJ2147" s="168" t="str">
        <f t="shared" si="929"/>
        <v/>
      </c>
      <c r="AK2147" s="168" t="str">
        <f t="shared" si="930"/>
        <v/>
      </c>
      <c r="AL2147" s="168" t="str">
        <f t="shared" si="931"/>
        <v/>
      </c>
      <c r="AM2147" s="168" t="str">
        <f t="shared" si="932"/>
        <v/>
      </c>
      <c r="AN2147" s="167" t="str">
        <f t="shared" si="915"/>
        <v>2010</v>
      </c>
      <c r="AO2147" s="167" t="str">
        <f t="shared" si="916"/>
        <v>2010</v>
      </c>
      <c r="AP2147" s="167" t="str">
        <f t="shared" si="917"/>
        <v>2010</v>
      </c>
      <c r="AQ2147" s="169" t="str">
        <f t="shared" si="918"/>
        <v/>
      </c>
      <c r="AR2147" s="170" t="str">
        <f t="shared" si="919"/>
        <v>BiK81X1bK10-08</v>
      </c>
      <c r="AS2147" s="169" t="str">
        <f t="shared" si="920"/>
        <v/>
      </c>
      <c r="AT2147">
        <f t="shared" si="921"/>
        <v>14</v>
      </c>
      <c r="AU2147" s="170" t="str">
        <f t="shared" si="922"/>
        <v>0-0,15 MW, Bonusregeln X1, b und K erstmals 2010</v>
      </c>
      <c r="AV2147" s="169" t="str">
        <f t="shared" si="923"/>
        <v/>
      </c>
      <c r="AW2147" s="170" t="str">
        <f t="shared" si="924"/>
        <v>Anteil KWK, erstmals 2010</v>
      </c>
      <c r="AX2147" s="169" t="str">
        <f t="shared" si="925"/>
        <v/>
      </c>
      <c r="AY2147" t="str">
        <f t="shared" si="926"/>
        <v/>
      </c>
      <c r="AZ2147" t="str">
        <f t="shared" si="927"/>
        <v/>
      </c>
    </row>
    <row r="2148" spans="1:52" s="145" customFormat="1" x14ac:dyDescent="0.35">
      <c r="A2148" s="497" t="s">
        <v>3455</v>
      </c>
      <c r="B2148" s="13" t="s">
        <v>5547</v>
      </c>
      <c r="C2148" s="13" t="s">
        <v>5539</v>
      </c>
      <c r="D2148" s="13" t="s">
        <v>6977</v>
      </c>
      <c r="E2148" s="13" t="s">
        <v>3054</v>
      </c>
      <c r="F2148" s="373">
        <f t="shared" si="934"/>
        <v>29.61</v>
      </c>
      <c r="G2148" s="430">
        <v>29.61</v>
      </c>
      <c r="H2148" s="399">
        <f t="shared" si="935"/>
        <v>23.69</v>
      </c>
      <c r="I2148" s="576"/>
      <c r="J2148" s="549" t="s">
        <v>5804</v>
      </c>
      <c r="K2148" s="11"/>
      <c r="L2148"/>
      <c r="M2148" s="37">
        <f t="shared" si="936"/>
        <v>29.61</v>
      </c>
      <c r="N2148" s="29">
        <v>11.67</v>
      </c>
      <c r="O2148" s="149"/>
      <c r="P2148" s="144"/>
      <c r="S2148" s="145" t="s">
        <v>1017</v>
      </c>
      <c r="T2148" s="145" t="s">
        <v>4179</v>
      </c>
      <c r="U2148" s="146"/>
      <c r="W2148" s="147"/>
      <c r="X2148" s="147"/>
      <c r="AA2148" s="147"/>
      <c r="AC2148" s="145" t="s">
        <v>1017</v>
      </c>
      <c r="AD2148" s="147"/>
      <c r="AE2148" s="148" t="s">
        <v>1017</v>
      </c>
      <c r="AF2148" s="147"/>
      <c r="AG2148" s="147"/>
      <c r="AH2148" s="166" t="str">
        <f t="shared" si="940"/>
        <v>2011</v>
      </c>
      <c r="AI2148" s="168" t="str">
        <f t="shared" si="928"/>
        <v/>
      </c>
      <c r="AJ2148" s="168" t="str">
        <f t="shared" si="929"/>
        <v/>
      </c>
      <c r="AK2148" s="168" t="str">
        <f t="shared" si="930"/>
        <v/>
      </c>
      <c r="AL2148" s="168" t="str">
        <f t="shared" si="931"/>
        <v/>
      </c>
      <c r="AM2148" s="168" t="str">
        <f t="shared" si="932"/>
        <v/>
      </c>
      <c r="AN2148" s="167" t="str">
        <f t="shared" si="915"/>
        <v>2011</v>
      </c>
      <c r="AO2148" s="167" t="str">
        <f t="shared" si="916"/>
        <v>2011</v>
      </c>
      <c r="AP2148" s="167" t="str">
        <f t="shared" si="917"/>
        <v>2011</v>
      </c>
      <c r="AQ2148" s="169" t="str">
        <f t="shared" si="918"/>
        <v/>
      </c>
      <c r="AR2148" s="170" t="str">
        <f t="shared" si="919"/>
        <v>BiK81X1bK11-08</v>
      </c>
      <c r="AS2148" s="169" t="str">
        <f t="shared" si="920"/>
        <v/>
      </c>
      <c r="AT2148">
        <f t="shared" si="921"/>
        <v>14</v>
      </c>
      <c r="AU2148" s="170" t="str">
        <f t="shared" si="922"/>
        <v>0-0,15 MW, Bonusregeln X1, b und K erstmals 2011</v>
      </c>
      <c r="AV2148" s="169" t="str">
        <f t="shared" si="923"/>
        <v/>
      </c>
      <c r="AW2148" s="170" t="str">
        <f t="shared" si="924"/>
        <v>Anteil KWK, erstmals 2011</v>
      </c>
      <c r="AX2148" s="169" t="str">
        <f t="shared" si="925"/>
        <v/>
      </c>
      <c r="AY2148" t="str">
        <f t="shared" si="926"/>
        <v>x</v>
      </c>
      <c r="AZ2148" t="str">
        <f t="shared" si="927"/>
        <v/>
      </c>
    </row>
    <row r="2149" spans="1:52" s="145" customFormat="1" x14ac:dyDescent="0.35">
      <c r="A2149" s="511" t="s">
        <v>1888</v>
      </c>
      <c r="B2149" s="173" t="s">
        <v>5547</v>
      </c>
      <c r="C2149" s="173" t="s">
        <v>5539</v>
      </c>
      <c r="D2149" s="173" t="s">
        <v>6978</v>
      </c>
      <c r="E2149" s="173" t="s">
        <v>1980</v>
      </c>
      <c r="F2149" s="374">
        <f t="shared" si="934"/>
        <v>29.58</v>
      </c>
      <c r="G2149" s="431">
        <v>29.58</v>
      </c>
      <c r="H2149" s="400">
        <f t="shared" si="935"/>
        <v>23.66</v>
      </c>
      <c r="I2149" s="577"/>
      <c r="J2149" s="549" t="s">
        <v>5804</v>
      </c>
      <c r="K2149" s="11"/>
      <c r="L2149"/>
      <c r="M2149" s="37">
        <f t="shared" si="936"/>
        <v>29.58</v>
      </c>
      <c r="N2149" s="29">
        <v>11.67</v>
      </c>
      <c r="O2149" s="149"/>
      <c r="P2149" s="144"/>
      <c r="S2149" s="145" t="s">
        <v>4179</v>
      </c>
      <c r="T2149" s="145" t="s">
        <v>1017</v>
      </c>
      <c r="U2149" s="146"/>
      <c r="W2149" s="147"/>
      <c r="X2149" s="147"/>
      <c r="AA2149" s="147"/>
      <c r="AC2149" s="145" t="s">
        <v>1017</v>
      </c>
      <c r="AD2149" s="147"/>
      <c r="AE2149" s="148" t="s">
        <v>1017</v>
      </c>
      <c r="AF2149" s="147"/>
      <c r="AG2149" s="147"/>
      <c r="AH2149" s="171" t="s">
        <v>4178</v>
      </c>
      <c r="AI2149" s="168" t="str">
        <f t="shared" si="928"/>
        <v/>
      </c>
      <c r="AJ2149" s="168" t="str">
        <f t="shared" si="929"/>
        <v/>
      </c>
      <c r="AK2149" s="168" t="str">
        <f t="shared" si="930"/>
        <v/>
      </c>
      <c r="AL2149" s="168" t="str">
        <f t="shared" si="931"/>
        <v/>
      </c>
      <c r="AM2149" s="168" t="str">
        <f t="shared" si="932"/>
        <v/>
      </c>
      <c r="AN2149" s="167" t="str">
        <f t="shared" si="915"/>
        <v>2012</v>
      </c>
      <c r="AO2149" s="167" t="str">
        <f t="shared" si="916"/>
        <v>2012</v>
      </c>
      <c r="AP2149" s="167" t="str">
        <f t="shared" si="917"/>
        <v>2012</v>
      </c>
      <c r="AQ2149" s="169" t="str">
        <f t="shared" si="918"/>
        <v/>
      </c>
      <c r="AR2149" s="170" t="str">
        <f t="shared" si="919"/>
        <v>BiK81X1bK12-08</v>
      </c>
      <c r="AS2149" s="169" t="str">
        <f t="shared" si="920"/>
        <v/>
      </c>
      <c r="AT2149">
        <f t="shared" si="921"/>
        <v>14</v>
      </c>
      <c r="AU2149" s="170" t="str">
        <f t="shared" si="922"/>
        <v>0-0,15 MW, Bonusregeln X1, b und K erstmals 2012</v>
      </c>
      <c r="AV2149" s="169" t="str">
        <f t="shared" si="923"/>
        <v/>
      </c>
      <c r="AW2149" s="170" t="str">
        <f t="shared" si="924"/>
        <v>Anteil KWK, erstmals 2012</v>
      </c>
      <c r="AX2149" s="169" t="str">
        <f t="shared" si="925"/>
        <v/>
      </c>
      <c r="AY2149" t="str">
        <f t="shared" si="926"/>
        <v/>
      </c>
      <c r="AZ2149" t="str">
        <f t="shared" si="927"/>
        <v>x</v>
      </c>
    </row>
    <row r="2150" spans="1:52" x14ac:dyDescent="0.35">
      <c r="A2150" s="497" t="s">
        <v>2101</v>
      </c>
      <c r="B2150" s="13" t="s">
        <v>5547</v>
      </c>
      <c r="C2150" s="13" t="s">
        <v>5539</v>
      </c>
      <c r="D2150" s="13" t="s">
        <v>6979</v>
      </c>
      <c r="E2150" s="13" t="s">
        <v>4809</v>
      </c>
      <c r="F2150" s="373">
        <f t="shared" si="934"/>
        <v>27.67</v>
      </c>
      <c r="G2150" s="430">
        <v>27.67</v>
      </c>
      <c r="H2150" s="399">
        <f t="shared" si="935"/>
        <v>22.14</v>
      </c>
      <c r="I2150" s="576"/>
      <c r="J2150" s="549" t="s">
        <v>5804</v>
      </c>
      <c r="K2150" s="11"/>
      <c r="M2150" s="37">
        <f t="shared" si="936"/>
        <v>27.67</v>
      </c>
      <c r="N2150" s="29">
        <v>11.67</v>
      </c>
      <c r="O2150" s="149"/>
      <c r="P2150" s="144"/>
      <c r="Q2150" s="145"/>
      <c r="R2150" s="145"/>
      <c r="S2150" s="145" t="s">
        <v>4179</v>
      </c>
      <c r="T2150" t="s">
        <v>4179</v>
      </c>
      <c r="U2150" s="146" t="s">
        <v>1017</v>
      </c>
      <c r="V2150" s="145"/>
      <c r="W2150" s="147"/>
      <c r="X2150" s="147"/>
      <c r="Y2150" s="145"/>
      <c r="Z2150" s="145"/>
      <c r="AA2150" s="147"/>
      <c r="AB2150" s="145"/>
      <c r="AC2150" s="145" t="s">
        <v>1017</v>
      </c>
      <c r="AD2150" s="147"/>
      <c r="AE2150" s="148" t="s">
        <v>1017</v>
      </c>
      <c r="AF2150" s="147"/>
      <c r="AG2150" s="147"/>
      <c r="AH2150" s="166" t="str">
        <f t="shared" ref="AH2150:AH2155" si="941">IF(ISERROR(SEARCH("K erstmals 201",D2150)),"",RIGHT(D2150,4))</f>
        <v/>
      </c>
      <c r="AI2150" s="168" t="str">
        <f t="shared" si="928"/>
        <v/>
      </c>
      <c r="AJ2150" s="168" t="str">
        <f t="shared" si="929"/>
        <v/>
      </c>
      <c r="AK2150" s="168" t="str">
        <f t="shared" si="930"/>
        <v/>
      </c>
      <c r="AL2150" s="168" t="str">
        <f t="shared" si="931"/>
        <v/>
      </c>
      <c r="AM2150" s="168" t="str">
        <f t="shared" si="932"/>
        <v/>
      </c>
      <c r="AN2150" s="167" t="str">
        <f t="shared" si="915"/>
        <v/>
      </c>
      <c r="AO2150" s="167" t="str">
        <f t="shared" si="916"/>
        <v/>
      </c>
      <c r="AP2150" s="167" t="str">
        <f t="shared" si="917"/>
        <v/>
      </c>
      <c r="AQ2150" s="169" t="str">
        <f t="shared" si="918"/>
        <v/>
      </c>
      <c r="AR2150" s="170" t="str">
        <f t="shared" si="919"/>
        <v>BiK81X1by---08</v>
      </c>
      <c r="AS2150" s="169" t="str">
        <f t="shared" si="920"/>
        <v/>
      </c>
      <c r="AT2150">
        <f t="shared" si="921"/>
        <v>14</v>
      </c>
      <c r="AU2150" s="170" t="str">
        <f t="shared" si="922"/>
        <v>0-0,15 MW, Bonusregeln X1, y, b</v>
      </c>
      <c r="AV2150" s="169" t="str">
        <f t="shared" si="923"/>
        <v/>
      </c>
      <c r="AW2150" s="170" t="str">
        <f t="shared" si="924"/>
        <v>Anteil Nicht-KWK</v>
      </c>
      <c r="AX2150" s="169" t="str">
        <f t="shared" si="925"/>
        <v/>
      </c>
      <c r="AY2150" t="str">
        <f t="shared" si="926"/>
        <v/>
      </c>
      <c r="AZ2150" t="str">
        <f t="shared" si="927"/>
        <v/>
      </c>
    </row>
    <row r="2151" spans="1:52" x14ac:dyDescent="0.35">
      <c r="A2151" s="497" t="s">
        <v>2102</v>
      </c>
      <c r="B2151" s="13" t="s">
        <v>5547</v>
      </c>
      <c r="C2151" s="13" t="s">
        <v>5539</v>
      </c>
      <c r="D2151" s="13" t="s">
        <v>6980</v>
      </c>
      <c r="E2151" s="13" t="s">
        <v>4811</v>
      </c>
      <c r="F2151" s="373">
        <f t="shared" si="934"/>
        <v>29.67</v>
      </c>
      <c r="G2151" s="430">
        <v>29.67</v>
      </c>
      <c r="H2151" s="399">
        <f t="shared" si="935"/>
        <v>23.74</v>
      </c>
      <c r="I2151" s="576"/>
      <c r="J2151" s="549" t="s">
        <v>5804</v>
      </c>
      <c r="K2151" s="11"/>
      <c r="M2151" s="37">
        <f t="shared" si="936"/>
        <v>29.67</v>
      </c>
      <c r="N2151" s="29">
        <v>11.67</v>
      </c>
      <c r="O2151" s="149" t="s">
        <v>1017</v>
      </c>
      <c r="P2151" s="144"/>
      <c r="Q2151" s="145"/>
      <c r="R2151" s="145"/>
      <c r="S2151" s="145" t="s">
        <v>4179</v>
      </c>
      <c r="T2151" t="s">
        <v>4179</v>
      </c>
      <c r="U2151" s="146" t="s">
        <v>1017</v>
      </c>
      <c r="V2151" s="145"/>
      <c r="W2151" s="147"/>
      <c r="X2151" s="147"/>
      <c r="Y2151" s="145"/>
      <c r="Z2151" s="145"/>
      <c r="AA2151" s="147"/>
      <c r="AB2151" s="145"/>
      <c r="AC2151" s="145" t="s">
        <v>1017</v>
      </c>
      <c r="AD2151" s="147"/>
      <c r="AE2151" s="148" t="s">
        <v>1017</v>
      </c>
      <c r="AF2151" s="147"/>
      <c r="AG2151" s="147"/>
      <c r="AH2151" s="166" t="str">
        <f t="shared" si="941"/>
        <v/>
      </c>
      <c r="AI2151" s="168" t="str">
        <f t="shared" si="928"/>
        <v/>
      </c>
      <c r="AJ2151" s="168" t="str">
        <f t="shared" si="929"/>
        <v/>
      </c>
      <c r="AK2151" s="168" t="str">
        <f t="shared" si="930"/>
        <v/>
      </c>
      <c r="AL2151" s="168" t="str">
        <f t="shared" si="931"/>
        <v/>
      </c>
      <c r="AM2151" s="168" t="str">
        <f t="shared" si="932"/>
        <v/>
      </c>
      <c r="AN2151" s="167" t="str">
        <f t="shared" si="915"/>
        <v/>
      </c>
      <c r="AO2151" s="167" t="str">
        <f t="shared" si="916"/>
        <v/>
      </c>
      <c r="AP2151" s="167" t="str">
        <f t="shared" si="917"/>
        <v/>
      </c>
      <c r="AQ2151" s="169" t="str">
        <f t="shared" si="918"/>
        <v/>
      </c>
      <c r="AR2151" s="170" t="str">
        <f t="shared" si="919"/>
        <v>BiK81X1bKWKy08</v>
      </c>
      <c r="AS2151" s="169" t="str">
        <f t="shared" si="920"/>
        <v/>
      </c>
      <c r="AT2151">
        <f t="shared" si="921"/>
        <v>14</v>
      </c>
      <c r="AU2151" s="170" t="str">
        <f t="shared" si="922"/>
        <v>0-0,15 MW, Bonusregeln X1, y, b und KWK</v>
      </c>
      <c r="AV2151" s="169" t="str">
        <f t="shared" si="923"/>
        <v/>
      </c>
      <c r="AW2151" s="170" t="str">
        <f t="shared" si="924"/>
        <v>Anteil KWK</v>
      </c>
      <c r="AX2151" s="169" t="str">
        <f t="shared" si="925"/>
        <v/>
      </c>
      <c r="AY2151" t="str">
        <f t="shared" si="926"/>
        <v/>
      </c>
      <c r="AZ2151" t="str">
        <f t="shared" si="927"/>
        <v/>
      </c>
    </row>
    <row r="2152" spans="1:52" x14ac:dyDescent="0.35">
      <c r="A2152" s="497" t="s">
        <v>2103</v>
      </c>
      <c r="B2152" s="13" t="s">
        <v>5547</v>
      </c>
      <c r="C2152" s="13" t="s">
        <v>5539</v>
      </c>
      <c r="D2152" s="88" t="s">
        <v>6981</v>
      </c>
      <c r="E2152" s="13" t="s">
        <v>4330</v>
      </c>
      <c r="F2152" s="373">
        <f t="shared" si="934"/>
        <v>30.67</v>
      </c>
      <c r="G2152" s="430">
        <v>30.67</v>
      </c>
      <c r="H2152" s="399">
        <f t="shared" si="935"/>
        <v>24.54</v>
      </c>
      <c r="I2152" s="576"/>
      <c r="J2152" s="549" t="s">
        <v>5804</v>
      </c>
      <c r="K2152" s="11"/>
      <c r="M2152" s="37">
        <f t="shared" si="936"/>
        <v>30.67</v>
      </c>
      <c r="N2152" s="29">
        <v>11.67</v>
      </c>
      <c r="O2152" s="149"/>
      <c r="P2152" s="145" t="s">
        <v>1017</v>
      </c>
      <c r="Q2152" s="145"/>
      <c r="R2152" s="145"/>
      <c r="S2152" s="145" t="s">
        <v>4179</v>
      </c>
      <c r="T2152" t="s">
        <v>4179</v>
      </c>
      <c r="U2152" s="146" t="s">
        <v>1017</v>
      </c>
      <c r="V2152" s="145"/>
      <c r="W2152" s="147"/>
      <c r="X2152" s="147"/>
      <c r="Y2152" s="145"/>
      <c r="Z2152" s="145"/>
      <c r="AA2152" s="147"/>
      <c r="AB2152" s="145"/>
      <c r="AC2152" s="145" t="s">
        <v>1017</v>
      </c>
      <c r="AD2152" s="147"/>
      <c r="AE2152" s="148" t="s">
        <v>1017</v>
      </c>
      <c r="AF2152" s="147"/>
      <c r="AG2152" s="147"/>
      <c r="AH2152" s="166" t="str">
        <f t="shared" si="941"/>
        <v/>
      </c>
      <c r="AI2152" s="168" t="str">
        <f t="shared" si="928"/>
        <v/>
      </c>
      <c r="AJ2152" s="168" t="str">
        <f t="shared" si="929"/>
        <v/>
      </c>
      <c r="AK2152" s="168" t="str">
        <f t="shared" si="930"/>
        <v/>
      </c>
      <c r="AL2152" s="168" t="str">
        <f t="shared" si="931"/>
        <v/>
      </c>
      <c r="AM2152" s="168" t="str">
        <f t="shared" si="932"/>
        <v/>
      </c>
      <c r="AN2152" s="167" t="str">
        <f t="shared" si="915"/>
        <v/>
      </c>
      <c r="AO2152" s="167" t="str">
        <f t="shared" si="916"/>
        <v/>
      </c>
      <c r="AP2152" s="167" t="str">
        <f t="shared" si="917"/>
        <v/>
      </c>
      <c r="AQ2152" s="169" t="str">
        <f t="shared" si="918"/>
        <v/>
      </c>
      <c r="AR2152" s="170" t="str">
        <f t="shared" si="919"/>
        <v>BiK81X1bKA3y08</v>
      </c>
      <c r="AS2152" s="169" t="str">
        <f t="shared" si="920"/>
        <v/>
      </c>
      <c r="AT2152">
        <f t="shared" si="921"/>
        <v>14</v>
      </c>
      <c r="AU2152" s="170" t="str">
        <f t="shared" si="922"/>
        <v>0-0,15 MW, Bonusregeln X1, y, b und K wenn Anlage 3 erfüllt</v>
      </c>
      <c r="AV2152" s="169" t="str">
        <f t="shared" si="923"/>
        <v/>
      </c>
      <c r="AW2152" s="170" t="str">
        <f t="shared" si="924"/>
        <v>Anteil KWK gemäß Anlage 3</v>
      </c>
      <c r="AX2152" s="169" t="str">
        <f t="shared" si="925"/>
        <v/>
      </c>
      <c r="AY2152" t="str">
        <f t="shared" si="926"/>
        <v/>
      </c>
      <c r="AZ2152" t="str">
        <f t="shared" si="927"/>
        <v/>
      </c>
    </row>
    <row r="2153" spans="1:52" x14ac:dyDescent="0.35">
      <c r="A2153" s="497" t="s">
        <v>2104</v>
      </c>
      <c r="B2153" s="13" t="s">
        <v>5547</v>
      </c>
      <c r="C2153" s="13" t="s">
        <v>5539</v>
      </c>
      <c r="D2153" s="13" t="s">
        <v>6982</v>
      </c>
      <c r="E2153" s="13" t="s">
        <v>674</v>
      </c>
      <c r="F2153" s="373">
        <f t="shared" si="934"/>
        <v>30.67</v>
      </c>
      <c r="G2153" s="430">
        <v>30.67</v>
      </c>
      <c r="H2153" s="399">
        <f t="shared" si="935"/>
        <v>24.54</v>
      </c>
      <c r="I2153" s="576"/>
      <c r="J2153" s="549" t="s">
        <v>5804</v>
      </c>
      <c r="K2153" s="11"/>
      <c r="M2153" s="37">
        <f t="shared" si="936"/>
        <v>30.67</v>
      </c>
      <c r="N2153" s="29">
        <v>11.67</v>
      </c>
      <c r="O2153" s="149"/>
      <c r="P2153" s="144"/>
      <c r="Q2153" s="145" t="s">
        <v>1017</v>
      </c>
      <c r="R2153" s="145"/>
      <c r="S2153" s="145" t="s">
        <v>4179</v>
      </c>
      <c r="T2153" t="s">
        <v>4179</v>
      </c>
      <c r="U2153" s="146" t="s">
        <v>1017</v>
      </c>
      <c r="V2153" s="145"/>
      <c r="W2153" s="147"/>
      <c r="X2153" s="147"/>
      <c r="Y2153" s="145"/>
      <c r="Z2153" s="145"/>
      <c r="AA2153" s="147"/>
      <c r="AB2153" s="145"/>
      <c r="AC2153" s="145" t="s">
        <v>1017</v>
      </c>
      <c r="AD2153" s="147"/>
      <c r="AE2153" s="148" t="s">
        <v>1017</v>
      </c>
      <c r="AF2153" s="147"/>
      <c r="AG2153" s="147"/>
      <c r="AH2153" s="166" t="str">
        <f t="shared" si="941"/>
        <v/>
      </c>
      <c r="AI2153" s="168" t="str">
        <f t="shared" si="928"/>
        <v/>
      </c>
      <c r="AJ2153" s="168" t="str">
        <f t="shared" si="929"/>
        <v/>
      </c>
      <c r="AK2153" s="168" t="str">
        <f t="shared" si="930"/>
        <v/>
      </c>
      <c r="AL2153" s="168" t="str">
        <f t="shared" si="931"/>
        <v/>
      </c>
      <c r="AM2153" s="168" t="str">
        <f t="shared" si="932"/>
        <v/>
      </c>
      <c r="AN2153" s="167" t="str">
        <f t="shared" si="915"/>
        <v/>
      </c>
      <c r="AO2153" s="167" t="str">
        <f t="shared" si="916"/>
        <v/>
      </c>
      <c r="AP2153" s="167" t="str">
        <f t="shared" si="917"/>
        <v/>
      </c>
      <c r="AQ2153" s="169" t="str">
        <f t="shared" si="918"/>
        <v/>
      </c>
      <c r="AR2153" s="170" t="str">
        <f t="shared" si="919"/>
        <v>BiK81X1bK09y08</v>
      </c>
      <c r="AS2153" s="169" t="str">
        <f t="shared" si="920"/>
        <v/>
      </c>
      <c r="AT2153">
        <f t="shared" si="921"/>
        <v>14</v>
      </c>
      <c r="AU2153" s="170" t="str">
        <f t="shared" si="922"/>
        <v>0-0,15 MW, Bonusregeln X1, y, b und K erstmals 2009</v>
      </c>
      <c r="AV2153" s="169" t="str">
        <f t="shared" si="923"/>
        <v/>
      </c>
      <c r="AW2153" s="170" t="str">
        <f t="shared" si="924"/>
        <v>Anteil KWK, erstmals 2009</v>
      </c>
      <c r="AX2153" s="169" t="str">
        <f t="shared" si="925"/>
        <v/>
      </c>
      <c r="AY2153" t="str">
        <f t="shared" si="926"/>
        <v/>
      </c>
      <c r="AZ2153" t="str">
        <f t="shared" si="927"/>
        <v/>
      </c>
    </row>
    <row r="2154" spans="1:52" s="145" customFormat="1" x14ac:dyDescent="0.35">
      <c r="A2154" s="497" t="s">
        <v>3178</v>
      </c>
      <c r="B2154" s="13" t="s">
        <v>5547</v>
      </c>
      <c r="C2154" s="13" t="s">
        <v>5539</v>
      </c>
      <c r="D2154" s="13" t="s">
        <v>6983</v>
      </c>
      <c r="E2154" s="13" t="s">
        <v>3566</v>
      </c>
      <c r="F2154" s="373">
        <f t="shared" si="934"/>
        <v>30.64</v>
      </c>
      <c r="G2154" s="430">
        <v>30.64</v>
      </c>
      <c r="H2154" s="399">
        <f t="shared" si="935"/>
        <v>24.51</v>
      </c>
      <c r="I2154" s="576"/>
      <c r="J2154" s="549" t="s">
        <v>5804</v>
      </c>
      <c r="K2154" s="11"/>
      <c r="L2154"/>
      <c r="M2154" s="37">
        <f t="shared" si="936"/>
        <v>30.64</v>
      </c>
      <c r="N2154" s="29">
        <v>11.67</v>
      </c>
      <c r="O2154" s="149"/>
      <c r="P2154" s="144"/>
      <c r="R2154" s="145" t="s">
        <v>1017</v>
      </c>
      <c r="S2154" s="145" t="s">
        <v>4179</v>
      </c>
      <c r="T2154" s="145" t="s">
        <v>4179</v>
      </c>
      <c r="U2154" s="146" t="s">
        <v>1017</v>
      </c>
      <c r="W2154" s="147"/>
      <c r="X2154" s="147"/>
      <c r="AA2154" s="147"/>
      <c r="AC2154" s="145" t="s">
        <v>1017</v>
      </c>
      <c r="AD2154" s="147"/>
      <c r="AE2154" s="148" t="s">
        <v>1017</v>
      </c>
      <c r="AF2154" s="147"/>
      <c r="AG2154" s="147"/>
      <c r="AH2154" s="166" t="str">
        <f t="shared" si="941"/>
        <v>2010</v>
      </c>
      <c r="AI2154" s="168" t="str">
        <f t="shared" si="928"/>
        <v/>
      </c>
      <c r="AJ2154" s="168" t="str">
        <f t="shared" si="929"/>
        <v/>
      </c>
      <c r="AK2154" s="168" t="str">
        <f t="shared" si="930"/>
        <v/>
      </c>
      <c r="AL2154" s="168" t="str">
        <f t="shared" si="931"/>
        <v/>
      </c>
      <c r="AM2154" s="168" t="str">
        <f t="shared" si="932"/>
        <v/>
      </c>
      <c r="AN2154" s="167" t="str">
        <f t="shared" si="915"/>
        <v>2010</v>
      </c>
      <c r="AO2154" s="167" t="str">
        <f t="shared" si="916"/>
        <v>2010</v>
      </c>
      <c r="AP2154" s="167" t="str">
        <f t="shared" si="917"/>
        <v>2010</v>
      </c>
      <c r="AQ2154" s="169" t="str">
        <f t="shared" si="918"/>
        <v/>
      </c>
      <c r="AR2154" s="170" t="str">
        <f t="shared" si="919"/>
        <v>BiK81X1bK10y08</v>
      </c>
      <c r="AS2154" s="169" t="str">
        <f t="shared" si="920"/>
        <v/>
      </c>
      <c r="AT2154">
        <f t="shared" si="921"/>
        <v>14</v>
      </c>
      <c r="AU2154" s="170" t="str">
        <f t="shared" si="922"/>
        <v>0-0,15 MW, Bonusregeln X1, y, b und K erstmals 2010</v>
      </c>
      <c r="AV2154" s="169" t="str">
        <f t="shared" si="923"/>
        <v/>
      </c>
      <c r="AW2154" s="170" t="str">
        <f t="shared" si="924"/>
        <v>Anteil KWK, erstmals 2010</v>
      </c>
      <c r="AX2154" s="169" t="str">
        <f t="shared" si="925"/>
        <v/>
      </c>
      <c r="AY2154" t="str">
        <f t="shared" si="926"/>
        <v/>
      </c>
      <c r="AZ2154" t="str">
        <f t="shared" si="927"/>
        <v/>
      </c>
    </row>
    <row r="2155" spans="1:52" s="145" customFormat="1" x14ac:dyDescent="0.35">
      <c r="A2155" s="497" t="s">
        <v>3456</v>
      </c>
      <c r="B2155" s="13" t="s">
        <v>5547</v>
      </c>
      <c r="C2155" s="13" t="s">
        <v>5539</v>
      </c>
      <c r="D2155" s="13" t="s">
        <v>6984</v>
      </c>
      <c r="E2155" s="13" t="s">
        <v>3054</v>
      </c>
      <c r="F2155" s="373">
        <f t="shared" si="934"/>
        <v>30.61</v>
      </c>
      <c r="G2155" s="430">
        <v>30.61</v>
      </c>
      <c r="H2155" s="399">
        <f t="shared" si="935"/>
        <v>24.49</v>
      </c>
      <c r="I2155" s="576"/>
      <c r="J2155" s="549" t="s">
        <v>5804</v>
      </c>
      <c r="K2155" s="11"/>
      <c r="L2155"/>
      <c r="M2155" s="37">
        <f t="shared" si="936"/>
        <v>30.61</v>
      </c>
      <c r="N2155" s="29">
        <v>11.67</v>
      </c>
      <c r="O2155" s="149"/>
      <c r="P2155" s="144"/>
      <c r="S2155" s="145" t="s">
        <v>1017</v>
      </c>
      <c r="T2155" s="145" t="s">
        <v>4179</v>
      </c>
      <c r="U2155" s="146" t="s">
        <v>1017</v>
      </c>
      <c r="W2155" s="147"/>
      <c r="X2155" s="147"/>
      <c r="AA2155" s="147"/>
      <c r="AC2155" s="145" t="s">
        <v>1017</v>
      </c>
      <c r="AD2155" s="147"/>
      <c r="AE2155" s="148" t="s">
        <v>1017</v>
      </c>
      <c r="AF2155" s="147"/>
      <c r="AG2155" s="147"/>
      <c r="AH2155" s="166" t="str">
        <f t="shared" si="941"/>
        <v>2011</v>
      </c>
      <c r="AI2155" s="168" t="str">
        <f t="shared" si="928"/>
        <v/>
      </c>
      <c r="AJ2155" s="168" t="str">
        <f t="shared" si="929"/>
        <v/>
      </c>
      <c r="AK2155" s="168" t="str">
        <f t="shared" si="930"/>
        <v/>
      </c>
      <c r="AL2155" s="168" t="str">
        <f t="shared" si="931"/>
        <v/>
      </c>
      <c r="AM2155" s="168" t="str">
        <f t="shared" si="932"/>
        <v/>
      </c>
      <c r="AN2155" s="167" t="str">
        <f t="shared" si="915"/>
        <v>2011</v>
      </c>
      <c r="AO2155" s="167" t="str">
        <f t="shared" si="916"/>
        <v>2011</v>
      </c>
      <c r="AP2155" s="167" t="str">
        <f t="shared" si="917"/>
        <v>2011</v>
      </c>
      <c r="AQ2155" s="169" t="str">
        <f t="shared" si="918"/>
        <v/>
      </c>
      <c r="AR2155" s="170" t="str">
        <f t="shared" si="919"/>
        <v>BiK81X1bK11y08</v>
      </c>
      <c r="AS2155" s="169" t="str">
        <f t="shared" si="920"/>
        <v/>
      </c>
      <c r="AT2155">
        <f t="shared" si="921"/>
        <v>14</v>
      </c>
      <c r="AU2155" s="170" t="str">
        <f t="shared" si="922"/>
        <v>0-0,15 MW, Bonusregeln X1, y, b und K erstmals 2011</v>
      </c>
      <c r="AV2155" s="169" t="str">
        <f t="shared" si="923"/>
        <v/>
      </c>
      <c r="AW2155" s="170" t="str">
        <f t="shared" si="924"/>
        <v>Anteil KWK, erstmals 2011</v>
      </c>
      <c r="AX2155" s="169" t="str">
        <f t="shared" si="925"/>
        <v/>
      </c>
      <c r="AY2155" t="str">
        <f t="shared" si="926"/>
        <v>x</v>
      </c>
      <c r="AZ2155" t="str">
        <f t="shared" si="927"/>
        <v/>
      </c>
    </row>
    <row r="2156" spans="1:52" s="145" customFormat="1" x14ac:dyDescent="0.35">
      <c r="A2156" s="511" t="s">
        <v>1889</v>
      </c>
      <c r="B2156" s="173" t="s">
        <v>5547</v>
      </c>
      <c r="C2156" s="173" t="s">
        <v>5539</v>
      </c>
      <c r="D2156" s="173" t="s">
        <v>6985</v>
      </c>
      <c r="E2156" s="173" t="s">
        <v>1980</v>
      </c>
      <c r="F2156" s="374">
        <f t="shared" si="934"/>
        <v>30.58</v>
      </c>
      <c r="G2156" s="431">
        <v>30.58</v>
      </c>
      <c r="H2156" s="400">
        <f t="shared" si="935"/>
        <v>24.46</v>
      </c>
      <c r="I2156" s="577"/>
      <c r="J2156" s="549" t="s">
        <v>5804</v>
      </c>
      <c r="K2156" s="11"/>
      <c r="L2156"/>
      <c r="M2156" s="37">
        <f t="shared" si="936"/>
        <v>30.58</v>
      </c>
      <c r="N2156" s="29">
        <v>11.67</v>
      </c>
      <c r="O2156" s="149"/>
      <c r="P2156" s="144"/>
      <c r="S2156" s="145" t="s">
        <v>4179</v>
      </c>
      <c r="T2156" s="145" t="s">
        <v>1017</v>
      </c>
      <c r="U2156" s="146" t="s">
        <v>1017</v>
      </c>
      <c r="W2156" s="147"/>
      <c r="X2156" s="147"/>
      <c r="AA2156" s="147"/>
      <c r="AC2156" s="145" t="s">
        <v>1017</v>
      </c>
      <c r="AD2156" s="147"/>
      <c r="AE2156" s="148" t="s">
        <v>1017</v>
      </c>
      <c r="AF2156" s="147"/>
      <c r="AG2156" s="147"/>
      <c r="AH2156" s="171" t="s">
        <v>4178</v>
      </c>
      <c r="AI2156" s="168" t="str">
        <f t="shared" si="928"/>
        <v/>
      </c>
      <c r="AJ2156" s="168" t="str">
        <f t="shared" si="929"/>
        <v/>
      </c>
      <c r="AK2156" s="168" t="str">
        <f t="shared" si="930"/>
        <v/>
      </c>
      <c r="AL2156" s="168" t="str">
        <f t="shared" si="931"/>
        <v/>
      </c>
      <c r="AM2156" s="168" t="str">
        <f t="shared" si="932"/>
        <v/>
      </c>
      <c r="AN2156" s="167" t="str">
        <f t="shared" si="915"/>
        <v>2012</v>
      </c>
      <c r="AO2156" s="167" t="str">
        <f t="shared" si="916"/>
        <v>2012</v>
      </c>
      <c r="AP2156" s="167" t="str">
        <f t="shared" si="917"/>
        <v>2012</v>
      </c>
      <c r="AQ2156" s="169" t="str">
        <f t="shared" si="918"/>
        <v/>
      </c>
      <c r="AR2156" s="170" t="str">
        <f t="shared" si="919"/>
        <v>BiK81X1bK12y08</v>
      </c>
      <c r="AS2156" s="169" t="str">
        <f t="shared" si="920"/>
        <v/>
      </c>
      <c r="AT2156">
        <f t="shared" si="921"/>
        <v>14</v>
      </c>
      <c r="AU2156" s="170" t="str">
        <f t="shared" si="922"/>
        <v>0-0,15 MW, Bonusregeln X1, y, b und K erstmals 2012</v>
      </c>
      <c r="AV2156" s="169" t="str">
        <f t="shared" si="923"/>
        <v/>
      </c>
      <c r="AW2156" s="170" t="str">
        <f t="shared" si="924"/>
        <v>Anteil KWK, erstmals 2012</v>
      </c>
      <c r="AX2156" s="169" t="str">
        <f t="shared" si="925"/>
        <v/>
      </c>
      <c r="AY2156" t="str">
        <f t="shared" si="926"/>
        <v/>
      </c>
      <c r="AZ2156" t="str">
        <f t="shared" si="927"/>
        <v>x</v>
      </c>
    </row>
    <row r="2157" spans="1:52" s="145" customFormat="1" x14ac:dyDescent="0.35">
      <c r="A2157" s="496" t="s">
        <v>3678</v>
      </c>
      <c r="B2157" s="1" t="s">
        <v>5547</v>
      </c>
      <c r="C2157" s="1" t="s">
        <v>5539</v>
      </c>
      <c r="D2157" s="1" t="s">
        <v>1779</v>
      </c>
      <c r="E2157" s="1" t="s">
        <v>4809</v>
      </c>
      <c r="F2157" s="375">
        <f t="shared" si="934"/>
        <v>9.32</v>
      </c>
      <c r="G2157" s="432">
        <v>9.32</v>
      </c>
      <c r="H2157" s="401">
        <f t="shared" si="935"/>
        <v>7.46</v>
      </c>
      <c r="I2157" s="578"/>
      <c r="J2157" s="549" t="s">
        <v>5804</v>
      </c>
      <c r="K2157" s="11"/>
      <c r="L2157"/>
      <c r="M2157" s="37">
        <f t="shared" si="936"/>
        <v>9.32</v>
      </c>
      <c r="N2157" s="29">
        <v>9.32</v>
      </c>
      <c r="O2157" s="41"/>
      <c r="P2157" s="11"/>
      <c r="Q2157"/>
      <c r="R2157"/>
      <c r="S2157" t="s">
        <v>4179</v>
      </c>
      <c r="T2157" s="145" t="s">
        <v>4179</v>
      </c>
      <c r="U2157" s="42"/>
      <c r="V2157"/>
      <c r="W2157" s="50"/>
      <c r="X2157" s="50"/>
      <c r="Y2157"/>
      <c r="Z2157" s="50"/>
      <c r="AA2157"/>
      <c r="AB2157"/>
      <c r="AC2157" s="50"/>
      <c r="AD2157"/>
      <c r="AE2157" s="75"/>
      <c r="AF2157" s="50"/>
      <c r="AG2157" s="50"/>
      <c r="AH2157" s="166" t="str">
        <f t="shared" ref="AH2157:AH2162" si="942">IF(ISERROR(SEARCH("K erstmals 201",D2157)),"",RIGHT(D2157,4))</f>
        <v/>
      </c>
      <c r="AI2157" s="168" t="str">
        <f t="shared" si="928"/>
        <v/>
      </c>
      <c r="AJ2157" s="168" t="str">
        <f t="shared" si="929"/>
        <v/>
      </c>
      <c r="AK2157" s="168" t="str">
        <f t="shared" si="930"/>
        <v/>
      </c>
      <c r="AL2157" s="168" t="str">
        <f t="shared" si="931"/>
        <v/>
      </c>
      <c r="AM2157" s="168" t="str">
        <f t="shared" si="932"/>
        <v/>
      </c>
      <c r="AN2157" s="167" t="str">
        <f t="shared" si="915"/>
        <v/>
      </c>
      <c r="AO2157" s="167" t="str">
        <f t="shared" si="916"/>
        <v/>
      </c>
      <c r="AP2157" s="167" t="str">
        <f t="shared" si="917"/>
        <v/>
      </c>
      <c r="AQ2157" s="169" t="str">
        <f t="shared" si="918"/>
        <v/>
      </c>
      <c r="AR2157" s="170" t="str">
        <f t="shared" si="919"/>
        <v>BiK82-------08</v>
      </c>
      <c r="AS2157" s="169" t="str">
        <f t="shared" si="920"/>
        <v/>
      </c>
      <c r="AT2157">
        <f t="shared" si="921"/>
        <v>14</v>
      </c>
      <c r="AU2157" s="170" t="str">
        <f t="shared" si="922"/>
        <v>0,15-0,5 MW</v>
      </c>
      <c r="AV2157" s="169" t="str">
        <f t="shared" si="923"/>
        <v/>
      </c>
      <c r="AW2157" s="170" t="str">
        <f t="shared" si="924"/>
        <v>Anteil Nicht-KWK</v>
      </c>
      <c r="AX2157" s="169" t="str">
        <f t="shared" si="925"/>
        <v/>
      </c>
      <c r="AY2157" t="str">
        <f t="shared" si="926"/>
        <v/>
      </c>
      <c r="AZ2157" t="str">
        <f t="shared" si="927"/>
        <v/>
      </c>
    </row>
    <row r="2158" spans="1:52" s="145" customFormat="1" x14ac:dyDescent="0.35">
      <c r="A2158" s="496" t="s">
        <v>3679</v>
      </c>
      <c r="B2158" s="1" t="s">
        <v>5547</v>
      </c>
      <c r="C2158" s="1" t="s">
        <v>5539</v>
      </c>
      <c r="D2158" s="1" t="s">
        <v>7086</v>
      </c>
      <c r="E2158" s="1" t="s">
        <v>4811</v>
      </c>
      <c r="F2158" s="375">
        <f t="shared" si="934"/>
        <v>11.32</v>
      </c>
      <c r="G2158" s="432">
        <v>11.32</v>
      </c>
      <c r="H2158" s="401">
        <f t="shared" si="935"/>
        <v>9.06</v>
      </c>
      <c r="I2158" s="578"/>
      <c r="J2158" s="549" t="s">
        <v>5804</v>
      </c>
      <c r="K2158" s="11"/>
      <c r="L2158"/>
      <c r="M2158" s="37">
        <f t="shared" si="936"/>
        <v>11.32</v>
      </c>
      <c r="N2158" s="29">
        <v>9.32</v>
      </c>
      <c r="O2158" s="41" t="s">
        <v>1017</v>
      </c>
      <c r="P2158" s="11"/>
      <c r="Q2158"/>
      <c r="R2158"/>
      <c r="S2158" t="s">
        <v>4179</v>
      </c>
      <c r="T2158" s="145" t="s">
        <v>4179</v>
      </c>
      <c r="U2158" s="42"/>
      <c r="V2158"/>
      <c r="W2158" s="50"/>
      <c r="X2158" s="50"/>
      <c r="Y2158"/>
      <c r="Z2158" s="50"/>
      <c r="AA2158"/>
      <c r="AB2158"/>
      <c r="AC2158" s="50"/>
      <c r="AD2158"/>
      <c r="AE2158" s="75"/>
      <c r="AF2158" s="50"/>
      <c r="AG2158" s="50"/>
      <c r="AH2158" s="166" t="str">
        <f t="shared" si="942"/>
        <v/>
      </c>
      <c r="AI2158" s="168" t="str">
        <f t="shared" si="928"/>
        <v/>
      </c>
      <c r="AJ2158" s="168" t="str">
        <f t="shared" si="929"/>
        <v/>
      </c>
      <c r="AK2158" s="168" t="str">
        <f t="shared" si="930"/>
        <v/>
      </c>
      <c r="AL2158" s="168" t="str">
        <f t="shared" si="931"/>
        <v/>
      </c>
      <c r="AM2158" s="168" t="str">
        <f t="shared" si="932"/>
        <v/>
      </c>
      <c r="AN2158" s="167" t="str">
        <f t="shared" si="915"/>
        <v/>
      </c>
      <c r="AO2158" s="167" t="str">
        <f t="shared" si="916"/>
        <v/>
      </c>
      <c r="AP2158" s="167" t="str">
        <f t="shared" si="917"/>
        <v/>
      </c>
      <c r="AQ2158" s="169" t="str">
        <f t="shared" si="918"/>
        <v/>
      </c>
      <c r="AR2158" s="170" t="str">
        <f t="shared" si="919"/>
        <v>BiK82KWK----08</v>
      </c>
      <c r="AS2158" s="169" t="str">
        <f t="shared" si="920"/>
        <v/>
      </c>
      <c r="AT2158">
        <f t="shared" si="921"/>
        <v>14</v>
      </c>
      <c r="AU2158" s="170" t="str">
        <f t="shared" si="922"/>
        <v>0,15-0,5 MW, Bonusregel KWK</v>
      </c>
      <c r="AV2158" s="169" t="str">
        <f t="shared" si="923"/>
        <v/>
      </c>
      <c r="AW2158" s="170" t="str">
        <f t="shared" si="924"/>
        <v>Anteil KWK</v>
      </c>
      <c r="AX2158" s="169" t="str">
        <f t="shared" si="925"/>
        <v/>
      </c>
      <c r="AY2158" t="str">
        <f t="shared" si="926"/>
        <v/>
      </c>
      <c r="AZ2158" t="str">
        <f t="shared" si="927"/>
        <v/>
      </c>
    </row>
    <row r="2159" spans="1:52" s="145" customFormat="1" x14ac:dyDescent="0.35">
      <c r="A2159" s="497" t="s">
        <v>2339</v>
      </c>
      <c r="B2159" s="13" t="s">
        <v>5547</v>
      </c>
      <c r="C2159" s="13" t="s">
        <v>5539</v>
      </c>
      <c r="D2159" s="13" t="s">
        <v>7087</v>
      </c>
      <c r="E2159" s="13" t="s">
        <v>4330</v>
      </c>
      <c r="F2159" s="373">
        <f t="shared" si="934"/>
        <v>12.32</v>
      </c>
      <c r="G2159" s="430">
        <v>12.32</v>
      </c>
      <c r="H2159" s="399">
        <f t="shared" si="935"/>
        <v>9.86</v>
      </c>
      <c r="I2159" s="576"/>
      <c r="J2159" s="549" t="s">
        <v>5804</v>
      </c>
      <c r="K2159" s="11"/>
      <c r="L2159"/>
      <c r="M2159" s="37">
        <f t="shared" si="936"/>
        <v>12.32</v>
      </c>
      <c r="N2159" s="29">
        <v>9.32</v>
      </c>
      <c r="O2159" s="41"/>
      <c r="P2159" t="s">
        <v>1017</v>
      </c>
      <c r="Q2159"/>
      <c r="R2159"/>
      <c r="S2159" t="s">
        <v>4179</v>
      </c>
      <c r="T2159" s="145" t="s">
        <v>4179</v>
      </c>
      <c r="U2159" s="42"/>
      <c r="V2159"/>
      <c r="W2159" s="50"/>
      <c r="X2159" s="50"/>
      <c r="Y2159"/>
      <c r="Z2159" s="50"/>
      <c r="AA2159"/>
      <c r="AB2159"/>
      <c r="AC2159" s="50"/>
      <c r="AD2159"/>
      <c r="AE2159" s="75"/>
      <c r="AF2159" s="50"/>
      <c r="AG2159" s="50"/>
      <c r="AH2159" s="166" t="str">
        <f t="shared" si="942"/>
        <v/>
      </c>
      <c r="AI2159" s="168" t="str">
        <f t="shared" si="928"/>
        <v/>
      </c>
      <c r="AJ2159" s="168" t="str">
        <f t="shared" si="929"/>
        <v/>
      </c>
      <c r="AK2159" s="168" t="str">
        <f t="shared" si="930"/>
        <v/>
      </c>
      <c r="AL2159" s="168" t="str">
        <f t="shared" si="931"/>
        <v/>
      </c>
      <c r="AM2159" s="168" t="str">
        <f t="shared" si="932"/>
        <v/>
      </c>
      <c r="AN2159" s="167" t="str">
        <f t="shared" si="915"/>
        <v/>
      </c>
      <c r="AO2159" s="167" t="str">
        <f t="shared" si="916"/>
        <v/>
      </c>
      <c r="AP2159" s="167" t="str">
        <f t="shared" si="917"/>
        <v/>
      </c>
      <c r="AQ2159" s="169" t="str">
        <f t="shared" si="918"/>
        <v/>
      </c>
      <c r="AR2159" s="170" t="str">
        <f t="shared" si="919"/>
        <v>BiK82KA3----08</v>
      </c>
      <c r="AS2159" s="169" t="str">
        <f t="shared" si="920"/>
        <v/>
      </c>
      <c r="AT2159">
        <f t="shared" si="921"/>
        <v>14</v>
      </c>
      <c r="AU2159" s="170" t="str">
        <f t="shared" si="922"/>
        <v>0,15-0,5 MW, Bonusregel K wenn Anlage 3 erfüllt</v>
      </c>
      <c r="AV2159" s="169" t="str">
        <f t="shared" si="923"/>
        <v/>
      </c>
      <c r="AW2159" s="170" t="str">
        <f t="shared" si="924"/>
        <v>Anteil KWK gemäß Anlage 3</v>
      </c>
      <c r="AX2159" s="169" t="str">
        <f t="shared" si="925"/>
        <v/>
      </c>
      <c r="AY2159" t="str">
        <f t="shared" si="926"/>
        <v/>
      </c>
      <c r="AZ2159" t="str">
        <f t="shared" si="927"/>
        <v/>
      </c>
    </row>
    <row r="2160" spans="1:52" s="145" customFormat="1" x14ac:dyDescent="0.35">
      <c r="A2160" s="497" t="s">
        <v>906</v>
      </c>
      <c r="B2160" s="13" t="s">
        <v>5547</v>
      </c>
      <c r="C2160" s="13" t="s">
        <v>5539</v>
      </c>
      <c r="D2160" s="13" t="s">
        <v>7088</v>
      </c>
      <c r="E2160" s="13" t="s">
        <v>674</v>
      </c>
      <c r="F2160" s="373">
        <f t="shared" si="934"/>
        <v>12.32</v>
      </c>
      <c r="G2160" s="430">
        <v>12.32</v>
      </c>
      <c r="H2160" s="399">
        <f t="shared" si="935"/>
        <v>9.86</v>
      </c>
      <c r="I2160" s="576"/>
      <c r="J2160" s="549" t="s">
        <v>5804</v>
      </c>
      <c r="K2160" s="11"/>
      <c r="L2160"/>
      <c r="M2160" s="37">
        <f t="shared" si="936"/>
        <v>12.32</v>
      </c>
      <c r="N2160" s="29">
        <v>9.32</v>
      </c>
      <c r="O2160" s="41"/>
      <c r="P2160" s="11"/>
      <c r="Q2160" t="s">
        <v>1017</v>
      </c>
      <c r="R2160"/>
      <c r="S2160" t="s">
        <v>4179</v>
      </c>
      <c r="T2160" s="145" t="s">
        <v>4179</v>
      </c>
      <c r="U2160" s="42"/>
      <c r="V2160"/>
      <c r="W2160" s="50"/>
      <c r="X2160" s="50"/>
      <c r="Y2160"/>
      <c r="Z2160" s="50"/>
      <c r="AA2160"/>
      <c r="AB2160"/>
      <c r="AC2160" s="50"/>
      <c r="AD2160"/>
      <c r="AE2160" s="75"/>
      <c r="AF2160" s="50"/>
      <c r="AG2160" s="50"/>
      <c r="AH2160" s="166" t="str">
        <f t="shared" si="942"/>
        <v/>
      </c>
      <c r="AI2160" s="168" t="str">
        <f t="shared" si="928"/>
        <v/>
      </c>
      <c r="AJ2160" s="168" t="str">
        <f t="shared" si="929"/>
        <v/>
      </c>
      <c r="AK2160" s="168" t="str">
        <f t="shared" si="930"/>
        <v/>
      </c>
      <c r="AL2160" s="168" t="str">
        <f t="shared" si="931"/>
        <v/>
      </c>
      <c r="AM2160" s="168" t="str">
        <f t="shared" si="932"/>
        <v/>
      </c>
      <c r="AN2160" s="167" t="str">
        <f t="shared" si="915"/>
        <v/>
      </c>
      <c r="AO2160" s="167" t="str">
        <f t="shared" si="916"/>
        <v/>
      </c>
      <c r="AP2160" s="167" t="str">
        <f t="shared" si="917"/>
        <v/>
      </c>
      <c r="AQ2160" s="169" t="str">
        <f t="shared" si="918"/>
        <v/>
      </c>
      <c r="AR2160" s="170" t="str">
        <f t="shared" si="919"/>
        <v>BiK82K09----08</v>
      </c>
      <c r="AS2160" s="169" t="str">
        <f t="shared" si="920"/>
        <v/>
      </c>
      <c r="AT2160">
        <f t="shared" si="921"/>
        <v>14</v>
      </c>
      <c r="AU2160" s="170" t="str">
        <f t="shared" si="922"/>
        <v>0,15-0,5 MW, Bonusregel K erstmals 2009</v>
      </c>
      <c r="AV2160" s="169" t="str">
        <f t="shared" si="923"/>
        <v/>
      </c>
      <c r="AW2160" s="170" t="str">
        <f t="shared" si="924"/>
        <v>Anteil KWK, erstmals 2009</v>
      </c>
      <c r="AX2160" s="169" t="str">
        <f t="shared" si="925"/>
        <v/>
      </c>
      <c r="AY2160" t="str">
        <f t="shared" si="926"/>
        <v/>
      </c>
      <c r="AZ2160" t="str">
        <f t="shared" si="927"/>
        <v/>
      </c>
    </row>
    <row r="2161" spans="1:52" s="145" customFormat="1" x14ac:dyDescent="0.35">
      <c r="A2161" s="497" t="s">
        <v>3181</v>
      </c>
      <c r="B2161" s="13" t="s">
        <v>5547</v>
      </c>
      <c r="C2161" s="13" t="s">
        <v>5539</v>
      </c>
      <c r="D2161" s="13" t="s">
        <v>7089</v>
      </c>
      <c r="E2161" s="13" t="s">
        <v>3566</v>
      </c>
      <c r="F2161" s="373">
        <f t="shared" si="934"/>
        <v>12.290000000000001</v>
      </c>
      <c r="G2161" s="430">
        <v>12.290000000000001</v>
      </c>
      <c r="H2161" s="399">
        <f t="shared" si="935"/>
        <v>9.83</v>
      </c>
      <c r="I2161" s="576"/>
      <c r="J2161" s="549" t="s">
        <v>5804</v>
      </c>
      <c r="K2161" s="11"/>
      <c r="L2161"/>
      <c r="M2161" s="37">
        <f t="shared" si="936"/>
        <v>12.290000000000001</v>
      </c>
      <c r="N2161" s="29">
        <v>9.32</v>
      </c>
      <c r="O2161" s="41"/>
      <c r="P2161" s="11"/>
      <c r="Q2161"/>
      <c r="R2161" t="s">
        <v>1017</v>
      </c>
      <c r="S2161" t="s">
        <v>4179</v>
      </c>
      <c r="T2161" s="145" t="s">
        <v>4179</v>
      </c>
      <c r="U2161" s="42"/>
      <c r="V2161"/>
      <c r="W2161" s="50"/>
      <c r="X2161" s="50"/>
      <c r="Y2161"/>
      <c r="Z2161" s="50"/>
      <c r="AA2161"/>
      <c r="AB2161"/>
      <c r="AC2161" s="50"/>
      <c r="AD2161"/>
      <c r="AE2161" s="75"/>
      <c r="AF2161" s="50"/>
      <c r="AG2161" s="50"/>
      <c r="AH2161" s="166" t="str">
        <f t="shared" si="942"/>
        <v>2010</v>
      </c>
      <c r="AI2161" s="168" t="str">
        <f t="shared" si="928"/>
        <v/>
      </c>
      <c r="AJ2161" s="168" t="str">
        <f t="shared" si="929"/>
        <v/>
      </c>
      <c r="AK2161" s="168" t="str">
        <f t="shared" si="930"/>
        <v/>
      </c>
      <c r="AL2161" s="168" t="str">
        <f t="shared" si="931"/>
        <v/>
      </c>
      <c r="AM2161" s="168" t="str">
        <f t="shared" si="932"/>
        <v/>
      </c>
      <c r="AN2161" s="167" t="str">
        <f t="shared" si="915"/>
        <v>2010</v>
      </c>
      <c r="AO2161" s="167" t="str">
        <f t="shared" si="916"/>
        <v>2010</v>
      </c>
      <c r="AP2161" s="167" t="str">
        <f t="shared" si="917"/>
        <v>2010</v>
      </c>
      <c r="AQ2161" s="169" t="str">
        <f t="shared" si="918"/>
        <v/>
      </c>
      <c r="AR2161" s="170" t="str">
        <f t="shared" si="919"/>
        <v>BiK82K10----08</v>
      </c>
      <c r="AS2161" s="169" t="str">
        <f t="shared" si="920"/>
        <v/>
      </c>
      <c r="AT2161">
        <f t="shared" si="921"/>
        <v>14</v>
      </c>
      <c r="AU2161" s="170" t="str">
        <f t="shared" si="922"/>
        <v>0,15-0,5 MW, Bonusregel K erstmals 2010</v>
      </c>
      <c r="AV2161" s="169" t="str">
        <f t="shared" si="923"/>
        <v/>
      </c>
      <c r="AW2161" s="170" t="str">
        <f t="shared" si="924"/>
        <v>Anteil KWK, erstmals 2010</v>
      </c>
      <c r="AX2161" s="169" t="str">
        <f t="shared" si="925"/>
        <v/>
      </c>
      <c r="AY2161" t="str">
        <f t="shared" si="926"/>
        <v/>
      </c>
      <c r="AZ2161" t="str">
        <f t="shared" si="927"/>
        <v/>
      </c>
    </row>
    <row r="2162" spans="1:52" s="145" customFormat="1" x14ac:dyDescent="0.35">
      <c r="A2162" s="497" t="s">
        <v>3457</v>
      </c>
      <c r="B2162" s="13" t="s">
        <v>5547</v>
      </c>
      <c r="C2162" s="13" t="s">
        <v>5539</v>
      </c>
      <c r="D2162" s="13" t="s">
        <v>7090</v>
      </c>
      <c r="E2162" s="13" t="s">
        <v>3054</v>
      </c>
      <c r="F2162" s="373">
        <f t="shared" si="934"/>
        <v>12.26</v>
      </c>
      <c r="G2162" s="430">
        <v>12.26</v>
      </c>
      <c r="H2162" s="399">
        <f t="shared" si="935"/>
        <v>9.81</v>
      </c>
      <c r="I2162" s="576"/>
      <c r="J2162" s="549" t="s">
        <v>5804</v>
      </c>
      <c r="K2162" s="11"/>
      <c r="L2162"/>
      <c r="M2162" s="37">
        <f t="shared" si="936"/>
        <v>12.26</v>
      </c>
      <c r="N2162" s="29">
        <v>9.32</v>
      </c>
      <c r="O2162" s="41"/>
      <c r="P2162" s="11"/>
      <c r="Q2162"/>
      <c r="R2162"/>
      <c r="S2162" t="s">
        <v>1017</v>
      </c>
      <c r="T2162" s="145" t="s">
        <v>4179</v>
      </c>
      <c r="U2162" s="42"/>
      <c r="V2162"/>
      <c r="W2162" s="50"/>
      <c r="X2162" s="50"/>
      <c r="Y2162"/>
      <c r="Z2162" s="50"/>
      <c r="AA2162"/>
      <c r="AB2162"/>
      <c r="AC2162" s="50"/>
      <c r="AD2162"/>
      <c r="AE2162" s="75"/>
      <c r="AF2162" s="50"/>
      <c r="AG2162" s="50"/>
      <c r="AH2162" s="166" t="str">
        <f t="shared" si="942"/>
        <v>2011</v>
      </c>
      <c r="AI2162" s="168" t="str">
        <f t="shared" si="928"/>
        <v/>
      </c>
      <c r="AJ2162" s="168" t="str">
        <f t="shared" si="929"/>
        <v/>
      </c>
      <c r="AK2162" s="168" t="str">
        <f t="shared" si="930"/>
        <v/>
      </c>
      <c r="AL2162" s="168" t="str">
        <f t="shared" si="931"/>
        <v/>
      </c>
      <c r="AM2162" s="168" t="str">
        <f t="shared" si="932"/>
        <v/>
      </c>
      <c r="AN2162" s="167" t="str">
        <f t="shared" si="915"/>
        <v>2011</v>
      </c>
      <c r="AO2162" s="167" t="str">
        <f t="shared" si="916"/>
        <v>2011</v>
      </c>
      <c r="AP2162" s="167" t="str">
        <f t="shared" si="917"/>
        <v>2011</v>
      </c>
      <c r="AQ2162" s="169" t="str">
        <f t="shared" si="918"/>
        <v/>
      </c>
      <c r="AR2162" s="170" t="str">
        <f t="shared" si="919"/>
        <v>BiK82K11----08</v>
      </c>
      <c r="AS2162" s="169" t="str">
        <f t="shared" si="920"/>
        <v/>
      </c>
      <c r="AT2162">
        <f t="shared" si="921"/>
        <v>14</v>
      </c>
      <c r="AU2162" s="170" t="str">
        <f t="shared" si="922"/>
        <v>0,15-0,5 MW, Bonusregel K erstmals 2011</v>
      </c>
      <c r="AV2162" s="169" t="str">
        <f t="shared" si="923"/>
        <v/>
      </c>
      <c r="AW2162" s="170" t="str">
        <f t="shared" si="924"/>
        <v>Anteil KWK, erstmals 2011</v>
      </c>
      <c r="AX2162" s="169" t="str">
        <f t="shared" si="925"/>
        <v/>
      </c>
      <c r="AY2162" t="str">
        <f t="shared" si="926"/>
        <v>x</v>
      </c>
      <c r="AZ2162" t="str">
        <f t="shared" si="927"/>
        <v/>
      </c>
    </row>
    <row r="2163" spans="1:52" s="145" customFormat="1" x14ac:dyDescent="0.35">
      <c r="A2163" s="511" t="s">
        <v>1890</v>
      </c>
      <c r="B2163" s="173" t="s">
        <v>5547</v>
      </c>
      <c r="C2163" s="173" t="s">
        <v>5539</v>
      </c>
      <c r="D2163" s="173" t="s">
        <v>7091</v>
      </c>
      <c r="E2163" s="173" t="s">
        <v>1980</v>
      </c>
      <c r="F2163" s="374">
        <f t="shared" si="934"/>
        <v>12.23</v>
      </c>
      <c r="G2163" s="431">
        <v>12.23</v>
      </c>
      <c r="H2163" s="400">
        <f t="shared" si="935"/>
        <v>9.7799999999999994</v>
      </c>
      <c r="I2163" s="577"/>
      <c r="J2163" s="549" t="s">
        <v>5804</v>
      </c>
      <c r="K2163" s="11"/>
      <c r="L2163"/>
      <c r="M2163" s="37">
        <f t="shared" si="936"/>
        <v>12.23</v>
      </c>
      <c r="N2163" s="29">
        <v>9.32</v>
      </c>
      <c r="O2163" s="41"/>
      <c r="P2163" s="11"/>
      <c r="Q2163"/>
      <c r="R2163"/>
      <c r="S2163" t="s">
        <v>4179</v>
      </c>
      <c r="T2163" s="145" t="s">
        <v>1017</v>
      </c>
      <c r="U2163" s="42"/>
      <c r="V2163"/>
      <c r="W2163" s="50"/>
      <c r="X2163" s="50"/>
      <c r="Y2163"/>
      <c r="Z2163" s="50"/>
      <c r="AA2163"/>
      <c r="AB2163"/>
      <c r="AC2163" s="50"/>
      <c r="AD2163"/>
      <c r="AE2163" s="75"/>
      <c r="AF2163" s="50"/>
      <c r="AG2163" s="50"/>
      <c r="AH2163" s="171" t="s">
        <v>4178</v>
      </c>
      <c r="AI2163" s="168" t="str">
        <f t="shared" si="928"/>
        <v/>
      </c>
      <c r="AJ2163" s="168" t="str">
        <f t="shared" si="929"/>
        <v/>
      </c>
      <c r="AK2163" s="168" t="str">
        <f t="shared" si="930"/>
        <v/>
      </c>
      <c r="AL2163" s="168" t="str">
        <f t="shared" si="931"/>
        <v/>
      </c>
      <c r="AM2163" s="168" t="str">
        <f t="shared" si="932"/>
        <v/>
      </c>
      <c r="AN2163" s="167" t="str">
        <f t="shared" si="915"/>
        <v>2012</v>
      </c>
      <c r="AO2163" s="167" t="str">
        <f t="shared" si="916"/>
        <v>2012</v>
      </c>
      <c r="AP2163" s="167" t="str">
        <f t="shared" si="917"/>
        <v>2012</v>
      </c>
      <c r="AQ2163" s="169" t="str">
        <f t="shared" si="918"/>
        <v/>
      </c>
      <c r="AR2163" s="170" t="str">
        <f t="shared" si="919"/>
        <v>BiK82K12----08</v>
      </c>
      <c r="AS2163" s="169" t="str">
        <f t="shared" si="920"/>
        <v/>
      </c>
      <c r="AT2163">
        <f t="shared" si="921"/>
        <v>14</v>
      </c>
      <c r="AU2163" s="170" t="str">
        <f t="shared" si="922"/>
        <v>0,15-0,5 MW, Bonusregel K erstmals 2012</v>
      </c>
      <c r="AV2163" s="169" t="str">
        <f t="shared" si="923"/>
        <v/>
      </c>
      <c r="AW2163" s="170" t="str">
        <f t="shared" si="924"/>
        <v>Anteil KWK, erstmals 2012</v>
      </c>
      <c r="AX2163" s="169" t="str">
        <f t="shared" si="925"/>
        <v/>
      </c>
      <c r="AY2163" t="str">
        <f t="shared" si="926"/>
        <v/>
      </c>
      <c r="AZ2163" t="str">
        <f t="shared" si="927"/>
        <v>x</v>
      </c>
    </row>
    <row r="2164" spans="1:52" x14ac:dyDescent="0.35">
      <c r="A2164" s="497" t="s">
        <v>4080</v>
      </c>
      <c r="B2164" s="13" t="s">
        <v>5547</v>
      </c>
      <c r="C2164" s="13" t="s">
        <v>5539</v>
      </c>
      <c r="D2164" s="13" t="s">
        <v>7092</v>
      </c>
      <c r="E2164" s="13" t="s">
        <v>4809</v>
      </c>
      <c r="F2164" s="373">
        <f t="shared" si="934"/>
        <v>10.32</v>
      </c>
      <c r="G2164" s="430">
        <v>10.32</v>
      </c>
      <c r="H2164" s="399">
        <f t="shared" si="935"/>
        <v>8.26</v>
      </c>
      <c r="I2164" s="576"/>
      <c r="J2164" s="549" t="s">
        <v>5804</v>
      </c>
      <c r="K2164" s="11"/>
      <c r="M2164" s="37">
        <f t="shared" si="936"/>
        <v>10.32</v>
      </c>
      <c r="N2164" s="29">
        <v>9.32</v>
      </c>
      <c r="O2164" s="41"/>
      <c r="P2164" s="11"/>
      <c r="S2164" t="s">
        <v>4179</v>
      </c>
      <c r="T2164" t="s">
        <v>4179</v>
      </c>
      <c r="U2164" s="42" t="s">
        <v>1017</v>
      </c>
      <c r="W2164" s="50"/>
      <c r="X2164" s="50"/>
      <c r="Z2164" s="50"/>
      <c r="AC2164" s="50"/>
      <c r="AE2164" s="75"/>
      <c r="AF2164" s="50"/>
      <c r="AG2164" s="50"/>
      <c r="AH2164" s="166" t="str">
        <f t="shared" ref="AH2164:AH2169" si="943">IF(ISERROR(SEARCH("K erstmals 201",D2164)),"",RIGHT(D2164,4))</f>
        <v/>
      </c>
      <c r="AI2164" s="168" t="str">
        <f t="shared" si="928"/>
        <v/>
      </c>
      <c r="AJ2164" s="168" t="str">
        <f t="shared" si="929"/>
        <v/>
      </c>
      <c r="AK2164" s="168" t="str">
        <f t="shared" si="930"/>
        <v/>
      </c>
      <c r="AL2164" s="168" t="str">
        <f t="shared" si="931"/>
        <v/>
      </c>
      <c r="AM2164" s="168" t="str">
        <f t="shared" si="932"/>
        <v/>
      </c>
      <c r="AN2164" s="167" t="str">
        <f t="shared" si="915"/>
        <v/>
      </c>
      <c r="AO2164" s="167" t="str">
        <f t="shared" si="916"/>
        <v/>
      </c>
      <c r="AP2164" s="167" t="str">
        <f t="shared" si="917"/>
        <v/>
      </c>
      <c r="AQ2164" s="169" t="str">
        <f t="shared" si="918"/>
        <v/>
      </c>
      <c r="AR2164" s="170" t="str">
        <f t="shared" si="919"/>
        <v>BiK82y------08</v>
      </c>
      <c r="AS2164" s="169" t="str">
        <f t="shared" si="920"/>
        <v/>
      </c>
      <c r="AT2164">
        <f t="shared" si="921"/>
        <v>14</v>
      </c>
      <c r="AU2164" s="170" t="str">
        <f t="shared" si="922"/>
        <v>0,15-0,5 MW, Bonusregel y</v>
      </c>
      <c r="AV2164" s="169" t="str">
        <f t="shared" si="923"/>
        <v/>
      </c>
      <c r="AW2164" s="170" t="str">
        <f t="shared" si="924"/>
        <v>Anteil Nicht-KWK</v>
      </c>
      <c r="AX2164" s="169" t="str">
        <f t="shared" si="925"/>
        <v/>
      </c>
      <c r="AY2164" t="str">
        <f t="shared" si="926"/>
        <v/>
      </c>
      <c r="AZ2164" t="str">
        <f t="shared" si="927"/>
        <v/>
      </c>
    </row>
    <row r="2165" spans="1:52" x14ac:dyDescent="0.35">
      <c r="A2165" s="497" t="s">
        <v>4079</v>
      </c>
      <c r="B2165" s="13" t="s">
        <v>5547</v>
      </c>
      <c r="C2165" s="13" t="s">
        <v>5539</v>
      </c>
      <c r="D2165" s="13" t="s">
        <v>7093</v>
      </c>
      <c r="E2165" s="13" t="s">
        <v>4811</v>
      </c>
      <c r="F2165" s="373">
        <f t="shared" si="934"/>
        <v>12.32</v>
      </c>
      <c r="G2165" s="430">
        <v>12.32</v>
      </c>
      <c r="H2165" s="399">
        <f t="shared" si="935"/>
        <v>9.86</v>
      </c>
      <c r="I2165" s="576"/>
      <c r="J2165" s="549" t="s">
        <v>5804</v>
      </c>
      <c r="K2165" s="11"/>
      <c r="M2165" s="37">
        <f t="shared" si="936"/>
        <v>12.32</v>
      </c>
      <c r="N2165" s="29">
        <v>9.32</v>
      </c>
      <c r="O2165" s="41" t="s">
        <v>1017</v>
      </c>
      <c r="P2165" s="11"/>
      <c r="S2165" t="s">
        <v>4179</v>
      </c>
      <c r="T2165" t="s">
        <v>4179</v>
      </c>
      <c r="U2165" s="42" t="s">
        <v>1017</v>
      </c>
      <c r="W2165" s="50"/>
      <c r="X2165" s="50"/>
      <c r="Z2165" s="50"/>
      <c r="AC2165" s="50"/>
      <c r="AE2165" s="75"/>
      <c r="AF2165" s="50"/>
      <c r="AG2165" s="50"/>
      <c r="AH2165" s="166" t="str">
        <f t="shared" si="943"/>
        <v/>
      </c>
      <c r="AI2165" s="168" t="str">
        <f t="shared" si="928"/>
        <v/>
      </c>
      <c r="AJ2165" s="168" t="str">
        <f t="shared" si="929"/>
        <v/>
      </c>
      <c r="AK2165" s="168" t="str">
        <f t="shared" si="930"/>
        <v/>
      </c>
      <c r="AL2165" s="168" t="str">
        <f t="shared" si="931"/>
        <v/>
      </c>
      <c r="AM2165" s="168" t="str">
        <f t="shared" si="932"/>
        <v/>
      </c>
      <c r="AN2165" s="167" t="str">
        <f t="shared" si="915"/>
        <v/>
      </c>
      <c r="AO2165" s="167" t="str">
        <f t="shared" si="916"/>
        <v/>
      </c>
      <c r="AP2165" s="167" t="str">
        <f t="shared" si="917"/>
        <v/>
      </c>
      <c r="AQ2165" s="169" t="str">
        <f t="shared" si="918"/>
        <v/>
      </c>
      <c r="AR2165" s="170" t="str">
        <f t="shared" si="919"/>
        <v>BiK82KWKy---08</v>
      </c>
      <c r="AS2165" s="169" t="str">
        <f t="shared" si="920"/>
        <v/>
      </c>
      <c r="AT2165">
        <f t="shared" si="921"/>
        <v>14</v>
      </c>
      <c r="AU2165" s="170" t="str">
        <f t="shared" si="922"/>
        <v>0,15-0,5 MW, Bonusregeln y und KWK</v>
      </c>
      <c r="AV2165" s="169" t="str">
        <f t="shared" si="923"/>
        <v/>
      </c>
      <c r="AW2165" s="170" t="str">
        <f t="shared" si="924"/>
        <v>Anteil KWK</v>
      </c>
      <c r="AX2165" s="169" t="str">
        <f t="shared" si="925"/>
        <v/>
      </c>
      <c r="AY2165" t="str">
        <f t="shared" si="926"/>
        <v/>
      </c>
      <c r="AZ2165" t="str">
        <f t="shared" si="927"/>
        <v/>
      </c>
    </row>
    <row r="2166" spans="1:52" x14ac:dyDescent="0.35">
      <c r="A2166" s="497" t="s">
        <v>4078</v>
      </c>
      <c r="B2166" s="13" t="s">
        <v>5547</v>
      </c>
      <c r="C2166" s="13" t="s">
        <v>5539</v>
      </c>
      <c r="D2166" s="13" t="s">
        <v>7094</v>
      </c>
      <c r="E2166" s="13" t="s">
        <v>4330</v>
      </c>
      <c r="F2166" s="373">
        <f t="shared" si="934"/>
        <v>13.32</v>
      </c>
      <c r="G2166" s="430">
        <v>13.32</v>
      </c>
      <c r="H2166" s="399">
        <f t="shared" si="935"/>
        <v>10.66</v>
      </c>
      <c r="I2166" s="576"/>
      <c r="J2166" s="549" t="s">
        <v>5804</v>
      </c>
      <c r="K2166" s="11"/>
      <c r="M2166" s="37">
        <f t="shared" si="936"/>
        <v>13.32</v>
      </c>
      <c r="N2166" s="29">
        <v>9.32</v>
      </c>
      <c r="O2166" s="41"/>
      <c r="P2166" t="s">
        <v>1017</v>
      </c>
      <c r="S2166" t="s">
        <v>4179</v>
      </c>
      <c r="T2166" t="s">
        <v>4179</v>
      </c>
      <c r="U2166" s="42" t="s">
        <v>1017</v>
      </c>
      <c r="W2166" s="50"/>
      <c r="X2166" s="50"/>
      <c r="Z2166" s="50"/>
      <c r="AC2166" s="50"/>
      <c r="AE2166" s="75"/>
      <c r="AF2166" s="50"/>
      <c r="AG2166" s="50"/>
      <c r="AH2166" s="166" t="str">
        <f t="shared" si="943"/>
        <v/>
      </c>
      <c r="AI2166" s="168" t="str">
        <f t="shared" si="928"/>
        <v/>
      </c>
      <c r="AJ2166" s="168" t="str">
        <f t="shared" si="929"/>
        <v/>
      </c>
      <c r="AK2166" s="168" t="str">
        <f t="shared" si="930"/>
        <v/>
      </c>
      <c r="AL2166" s="168" t="str">
        <f t="shared" si="931"/>
        <v/>
      </c>
      <c r="AM2166" s="168" t="str">
        <f t="shared" si="932"/>
        <v/>
      </c>
      <c r="AN2166" s="167" t="str">
        <f t="shared" si="915"/>
        <v/>
      </c>
      <c r="AO2166" s="167" t="str">
        <f t="shared" si="916"/>
        <v/>
      </c>
      <c r="AP2166" s="167" t="str">
        <f t="shared" si="917"/>
        <v/>
      </c>
      <c r="AQ2166" s="169" t="str">
        <f t="shared" si="918"/>
        <v/>
      </c>
      <c r="AR2166" s="170" t="str">
        <f t="shared" si="919"/>
        <v>BiK82KA3y---08</v>
      </c>
      <c r="AS2166" s="169" t="str">
        <f t="shared" si="920"/>
        <v/>
      </c>
      <c r="AT2166">
        <f t="shared" si="921"/>
        <v>14</v>
      </c>
      <c r="AU2166" s="170" t="str">
        <f t="shared" si="922"/>
        <v>0,15-0,5 MW, Bonusregeln y und K wenn Anlage 3 erfüllt</v>
      </c>
      <c r="AV2166" s="169" t="str">
        <f t="shared" si="923"/>
        <v/>
      </c>
      <c r="AW2166" s="170" t="str">
        <f t="shared" si="924"/>
        <v>Anteil KWK gemäß Anlage 3</v>
      </c>
      <c r="AX2166" s="169" t="str">
        <f t="shared" si="925"/>
        <v/>
      </c>
      <c r="AY2166" t="str">
        <f t="shared" si="926"/>
        <v/>
      </c>
      <c r="AZ2166" t="str">
        <f t="shared" si="927"/>
        <v/>
      </c>
    </row>
    <row r="2167" spans="1:52" x14ac:dyDescent="0.35">
      <c r="A2167" s="497" t="s">
        <v>4081</v>
      </c>
      <c r="B2167" s="13" t="s">
        <v>5547</v>
      </c>
      <c r="C2167" s="13" t="s">
        <v>5539</v>
      </c>
      <c r="D2167" s="13" t="s">
        <v>7095</v>
      </c>
      <c r="E2167" s="13" t="s">
        <v>674</v>
      </c>
      <c r="F2167" s="373">
        <f t="shared" si="934"/>
        <v>13.32</v>
      </c>
      <c r="G2167" s="430">
        <v>13.32</v>
      </c>
      <c r="H2167" s="399">
        <f t="shared" si="935"/>
        <v>10.66</v>
      </c>
      <c r="I2167" s="576"/>
      <c r="J2167" s="549" t="s">
        <v>5804</v>
      </c>
      <c r="K2167" s="11"/>
      <c r="M2167" s="37">
        <f t="shared" si="936"/>
        <v>13.32</v>
      </c>
      <c r="N2167" s="29">
        <v>9.32</v>
      </c>
      <c r="O2167" s="41"/>
      <c r="P2167" s="11"/>
      <c r="Q2167" t="s">
        <v>1017</v>
      </c>
      <c r="S2167" t="s">
        <v>4179</v>
      </c>
      <c r="T2167" t="s">
        <v>4179</v>
      </c>
      <c r="U2167" s="42" t="s">
        <v>1017</v>
      </c>
      <c r="W2167" s="50"/>
      <c r="X2167" s="50"/>
      <c r="Z2167" s="50"/>
      <c r="AC2167" s="50"/>
      <c r="AE2167" s="75"/>
      <c r="AF2167" s="50"/>
      <c r="AG2167" s="50"/>
      <c r="AH2167" s="166" t="str">
        <f t="shared" si="943"/>
        <v/>
      </c>
      <c r="AI2167" s="168" t="str">
        <f t="shared" si="928"/>
        <v/>
      </c>
      <c r="AJ2167" s="168" t="str">
        <f t="shared" si="929"/>
        <v/>
      </c>
      <c r="AK2167" s="168" t="str">
        <f t="shared" si="930"/>
        <v/>
      </c>
      <c r="AL2167" s="168" t="str">
        <f t="shared" si="931"/>
        <v/>
      </c>
      <c r="AM2167" s="168" t="str">
        <f t="shared" si="932"/>
        <v/>
      </c>
      <c r="AN2167" s="167" t="str">
        <f t="shared" si="915"/>
        <v/>
      </c>
      <c r="AO2167" s="167" t="str">
        <f t="shared" si="916"/>
        <v/>
      </c>
      <c r="AP2167" s="167" t="str">
        <f t="shared" si="917"/>
        <v/>
      </c>
      <c r="AQ2167" s="169" t="str">
        <f t="shared" si="918"/>
        <v/>
      </c>
      <c r="AR2167" s="170" t="str">
        <f t="shared" si="919"/>
        <v>BiK82K09y---08</v>
      </c>
      <c r="AS2167" s="169" t="str">
        <f t="shared" si="920"/>
        <v/>
      </c>
      <c r="AT2167">
        <f t="shared" si="921"/>
        <v>14</v>
      </c>
      <c r="AU2167" s="170" t="str">
        <f t="shared" si="922"/>
        <v>0,15-0,5 MW, Bonusregeln y und K erstmals 2009</v>
      </c>
      <c r="AV2167" s="169" t="str">
        <f t="shared" si="923"/>
        <v/>
      </c>
      <c r="AW2167" s="170" t="str">
        <f t="shared" si="924"/>
        <v>Anteil KWK, erstmals 2009</v>
      </c>
      <c r="AX2167" s="169" t="str">
        <f t="shared" si="925"/>
        <v/>
      </c>
      <c r="AY2167" t="str">
        <f t="shared" si="926"/>
        <v/>
      </c>
      <c r="AZ2167" t="str">
        <f t="shared" si="927"/>
        <v/>
      </c>
    </row>
    <row r="2168" spans="1:52" s="145" customFormat="1" x14ac:dyDescent="0.35">
      <c r="A2168" s="497" t="s">
        <v>3182</v>
      </c>
      <c r="B2168" s="13" t="s">
        <v>5547</v>
      </c>
      <c r="C2168" s="13" t="s">
        <v>5539</v>
      </c>
      <c r="D2168" s="13" t="s">
        <v>7096</v>
      </c>
      <c r="E2168" s="13" t="s">
        <v>3566</v>
      </c>
      <c r="F2168" s="373">
        <f t="shared" si="934"/>
        <v>13.290000000000001</v>
      </c>
      <c r="G2168" s="430">
        <v>13.290000000000001</v>
      </c>
      <c r="H2168" s="399">
        <f t="shared" si="935"/>
        <v>10.63</v>
      </c>
      <c r="I2168" s="576"/>
      <c r="J2168" s="549" t="s">
        <v>5804</v>
      </c>
      <c r="K2168" s="11"/>
      <c r="L2168"/>
      <c r="M2168" s="37">
        <f t="shared" si="936"/>
        <v>13.290000000000001</v>
      </c>
      <c r="N2168" s="29">
        <v>9.32</v>
      </c>
      <c r="O2168" s="41"/>
      <c r="P2168" s="11"/>
      <c r="Q2168"/>
      <c r="R2168" t="s">
        <v>1017</v>
      </c>
      <c r="S2168" t="s">
        <v>4179</v>
      </c>
      <c r="T2168" s="145" t="s">
        <v>4179</v>
      </c>
      <c r="U2168" s="42" t="s">
        <v>1017</v>
      </c>
      <c r="V2168"/>
      <c r="W2168" s="50"/>
      <c r="X2168" s="50"/>
      <c r="Y2168"/>
      <c r="Z2168" s="50"/>
      <c r="AA2168"/>
      <c r="AB2168"/>
      <c r="AC2168" s="50"/>
      <c r="AD2168"/>
      <c r="AE2168" s="75"/>
      <c r="AF2168" s="50"/>
      <c r="AG2168" s="50"/>
      <c r="AH2168" s="166" t="str">
        <f t="shared" si="943"/>
        <v>2010</v>
      </c>
      <c r="AI2168" s="168" t="str">
        <f t="shared" si="928"/>
        <v/>
      </c>
      <c r="AJ2168" s="168" t="str">
        <f t="shared" si="929"/>
        <v/>
      </c>
      <c r="AK2168" s="168" t="str">
        <f t="shared" si="930"/>
        <v/>
      </c>
      <c r="AL2168" s="168" t="str">
        <f t="shared" si="931"/>
        <v/>
      </c>
      <c r="AM2168" s="168" t="str">
        <f t="shared" si="932"/>
        <v/>
      </c>
      <c r="AN2168" s="167" t="str">
        <f t="shared" si="915"/>
        <v>2010</v>
      </c>
      <c r="AO2168" s="167" t="str">
        <f t="shared" si="916"/>
        <v>2010</v>
      </c>
      <c r="AP2168" s="167" t="str">
        <f t="shared" si="917"/>
        <v>2010</v>
      </c>
      <c r="AQ2168" s="169" t="str">
        <f t="shared" si="918"/>
        <v/>
      </c>
      <c r="AR2168" s="170" t="str">
        <f t="shared" si="919"/>
        <v>BiK82K10y---08</v>
      </c>
      <c r="AS2168" s="169" t="str">
        <f t="shared" si="920"/>
        <v/>
      </c>
      <c r="AT2168">
        <f t="shared" si="921"/>
        <v>14</v>
      </c>
      <c r="AU2168" s="170" t="str">
        <f t="shared" si="922"/>
        <v>0,15-0,5 MW, Bonusregeln y und K erstmals 2010</v>
      </c>
      <c r="AV2168" s="169" t="str">
        <f t="shared" si="923"/>
        <v/>
      </c>
      <c r="AW2168" s="170" t="str">
        <f t="shared" si="924"/>
        <v>Anteil KWK, erstmals 2010</v>
      </c>
      <c r="AX2168" s="169" t="str">
        <f t="shared" si="925"/>
        <v/>
      </c>
      <c r="AY2168" t="str">
        <f t="shared" si="926"/>
        <v/>
      </c>
      <c r="AZ2168" t="str">
        <f t="shared" si="927"/>
        <v/>
      </c>
    </row>
    <row r="2169" spans="1:52" s="145" customFormat="1" x14ac:dyDescent="0.35">
      <c r="A2169" s="497" t="s">
        <v>3458</v>
      </c>
      <c r="B2169" s="13" t="s">
        <v>5547</v>
      </c>
      <c r="C2169" s="13" t="s">
        <v>5539</v>
      </c>
      <c r="D2169" s="13" t="s">
        <v>7097</v>
      </c>
      <c r="E2169" s="13" t="s">
        <v>3054</v>
      </c>
      <c r="F2169" s="373">
        <f t="shared" si="934"/>
        <v>13.26</v>
      </c>
      <c r="G2169" s="430">
        <v>13.26</v>
      </c>
      <c r="H2169" s="399">
        <f t="shared" si="935"/>
        <v>10.61</v>
      </c>
      <c r="I2169" s="576"/>
      <c r="J2169" s="549" t="s">
        <v>5804</v>
      </c>
      <c r="K2169" s="11"/>
      <c r="L2169"/>
      <c r="M2169" s="37">
        <f t="shared" si="936"/>
        <v>13.26</v>
      </c>
      <c r="N2169" s="29">
        <v>9.32</v>
      </c>
      <c r="O2169" s="41"/>
      <c r="P2169" s="11"/>
      <c r="Q2169"/>
      <c r="R2169"/>
      <c r="S2169" t="s">
        <v>1017</v>
      </c>
      <c r="T2169" s="145" t="s">
        <v>4179</v>
      </c>
      <c r="U2169" s="42" t="s">
        <v>1017</v>
      </c>
      <c r="V2169"/>
      <c r="W2169" s="50"/>
      <c r="X2169" s="50"/>
      <c r="Y2169"/>
      <c r="Z2169" s="50"/>
      <c r="AA2169"/>
      <c r="AB2169"/>
      <c r="AC2169" s="50"/>
      <c r="AD2169"/>
      <c r="AE2169" s="75"/>
      <c r="AF2169" s="50"/>
      <c r="AG2169" s="50"/>
      <c r="AH2169" s="166" t="str">
        <f t="shared" si="943"/>
        <v>2011</v>
      </c>
      <c r="AI2169" s="168" t="str">
        <f t="shared" si="928"/>
        <v/>
      </c>
      <c r="AJ2169" s="168" t="str">
        <f t="shared" si="929"/>
        <v/>
      </c>
      <c r="AK2169" s="168" t="str">
        <f t="shared" si="930"/>
        <v/>
      </c>
      <c r="AL2169" s="168" t="str">
        <f t="shared" si="931"/>
        <v/>
      </c>
      <c r="AM2169" s="168" t="str">
        <f t="shared" si="932"/>
        <v/>
      </c>
      <c r="AN2169" s="167" t="str">
        <f t="shared" si="915"/>
        <v>2011</v>
      </c>
      <c r="AO2169" s="167" t="str">
        <f t="shared" si="916"/>
        <v>2011</v>
      </c>
      <c r="AP2169" s="167" t="str">
        <f t="shared" si="917"/>
        <v>2011</v>
      </c>
      <c r="AQ2169" s="169" t="str">
        <f t="shared" si="918"/>
        <v/>
      </c>
      <c r="AR2169" s="170" t="str">
        <f t="shared" si="919"/>
        <v>BiK82K11y---08</v>
      </c>
      <c r="AS2169" s="169" t="str">
        <f t="shared" si="920"/>
        <v/>
      </c>
      <c r="AT2169">
        <f t="shared" si="921"/>
        <v>14</v>
      </c>
      <c r="AU2169" s="170" t="str">
        <f t="shared" si="922"/>
        <v>0,15-0,5 MW, Bonusregeln y und K erstmals 2011</v>
      </c>
      <c r="AV2169" s="169" t="str">
        <f t="shared" si="923"/>
        <v/>
      </c>
      <c r="AW2169" s="170" t="str">
        <f t="shared" si="924"/>
        <v>Anteil KWK, erstmals 2011</v>
      </c>
      <c r="AX2169" s="169" t="str">
        <f t="shared" si="925"/>
        <v/>
      </c>
      <c r="AY2169" t="str">
        <f t="shared" si="926"/>
        <v>x</v>
      </c>
      <c r="AZ2169" t="str">
        <f t="shared" si="927"/>
        <v/>
      </c>
    </row>
    <row r="2170" spans="1:52" s="145" customFormat="1" x14ac:dyDescent="0.35">
      <c r="A2170" s="511" t="s">
        <v>1891</v>
      </c>
      <c r="B2170" s="173" t="s">
        <v>5547</v>
      </c>
      <c r="C2170" s="173" t="s">
        <v>5539</v>
      </c>
      <c r="D2170" s="173" t="s">
        <v>7098</v>
      </c>
      <c r="E2170" s="173" t="s">
        <v>1980</v>
      </c>
      <c r="F2170" s="374">
        <f t="shared" si="934"/>
        <v>13.23</v>
      </c>
      <c r="G2170" s="431">
        <v>13.23</v>
      </c>
      <c r="H2170" s="400">
        <f t="shared" si="935"/>
        <v>10.58</v>
      </c>
      <c r="I2170" s="577"/>
      <c r="J2170" s="549" t="s">
        <v>5804</v>
      </c>
      <c r="K2170" s="11"/>
      <c r="L2170"/>
      <c r="M2170" s="37">
        <f t="shared" si="936"/>
        <v>13.23</v>
      </c>
      <c r="N2170" s="29">
        <v>9.32</v>
      </c>
      <c r="O2170" s="41"/>
      <c r="P2170" s="11"/>
      <c r="Q2170"/>
      <c r="R2170"/>
      <c r="S2170" t="s">
        <v>4179</v>
      </c>
      <c r="T2170" s="145" t="s">
        <v>1017</v>
      </c>
      <c r="U2170" s="42" t="s">
        <v>1017</v>
      </c>
      <c r="V2170"/>
      <c r="W2170" s="50"/>
      <c r="X2170" s="50"/>
      <c r="Y2170"/>
      <c r="Z2170" s="50"/>
      <c r="AA2170"/>
      <c r="AB2170"/>
      <c r="AC2170" s="50"/>
      <c r="AD2170"/>
      <c r="AE2170" s="75"/>
      <c r="AF2170" s="50"/>
      <c r="AG2170" s="50"/>
      <c r="AH2170" s="171" t="s">
        <v>4178</v>
      </c>
      <c r="AI2170" s="168" t="str">
        <f t="shared" si="928"/>
        <v/>
      </c>
      <c r="AJ2170" s="168" t="str">
        <f t="shared" si="929"/>
        <v/>
      </c>
      <c r="AK2170" s="168" t="str">
        <f t="shared" si="930"/>
        <v/>
      </c>
      <c r="AL2170" s="168" t="str">
        <f t="shared" si="931"/>
        <v/>
      </c>
      <c r="AM2170" s="168" t="str">
        <f t="shared" si="932"/>
        <v/>
      </c>
      <c r="AN2170" s="167" t="str">
        <f t="shared" si="915"/>
        <v>2012</v>
      </c>
      <c r="AO2170" s="167" t="str">
        <f t="shared" si="916"/>
        <v>2012</v>
      </c>
      <c r="AP2170" s="167" t="str">
        <f t="shared" si="917"/>
        <v>2012</v>
      </c>
      <c r="AQ2170" s="169" t="str">
        <f t="shared" si="918"/>
        <v/>
      </c>
      <c r="AR2170" s="170" t="str">
        <f t="shared" si="919"/>
        <v>BiK82K12y---08</v>
      </c>
      <c r="AS2170" s="169" t="str">
        <f t="shared" si="920"/>
        <v/>
      </c>
      <c r="AT2170">
        <f t="shared" si="921"/>
        <v>14</v>
      </c>
      <c r="AU2170" s="170" t="str">
        <f t="shared" si="922"/>
        <v>0,15-0,5 MW, Bonusregeln y und K erstmals 2012</v>
      </c>
      <c r="AV2170" s="169" t="str">
        <f t="shared" si="923"/>
        <v/>
      </c>
      <c r="AW2170" s="170" t="str">
        <f t="shared" si="924"/>
        <v>Anteil KWK, erstmals 2012</v>
      </c>
      <c r="AX2170" s="169" t="str">
        <f t="shared" si="925"/>
        <v/>
      </c>
      <c r="AY2170" t="str">
        <f t="shared" si="926"/>
        <v/>
      </c>
      <c r="AZ2170" t="str">
        <f t="shared" si="927"/>
        <v>x</v>
      </c>
    </row>
    <row r="2171" spans="1:52" s="145" customFormat="1" x14ac:dyDescent="0.35">
      <c r="A2171" s="496" t="s">
        <v>3680</v>
      </c>
      <c r="B2171" s="1" t="s">
        <v>5547</v>
      </c>
      <c r="C2171" s="1" t="s">
        <v>5539</v>
      </c>
      <c r="D2171" s="1" t="s">
        <v>7099</v>
      </c>
      <c r="E2171" s="1" t="s">
        <v>4809</v>
      </c>
      <c r="F2171" s="375">
        <f t="shared" si="934"/>
        <v>15.32</v>
      </c>
      <c r="G2171" s="432">
        <v>15.32</v>
      </c>
      <c r="H2171" s="401">
        <f t="shared" si="935"/>
        <v>12.26</v>
      </c>
      <c r="I2171" s="578"/>
      <c r="J2171" s="549" t="s">
        <v>5804</v>
      </c>
      <c r="K2171" s="11"/>
      <c r="L2171"/>
      <c r="M2171" s="37">
        <f t="shared" si="936"/>
        <v>15.32</v>
      </c>
      <c r="N2171" s="29">
        <v>9.32</v>
      </c>
      <c r="O2171" s="41"/>
      <c r="P2171" s="11"/>
      <c r="Q2171"/>
      <c r="R2171"/>
      <c r="S2171" t="s">
        <v>4179</v>
      </c>
      <c r="T2171" s="145" t="s">
        <v>4179</v>
      </c>
      <c r="U2171" s="42"/>
      <c r="V2171" t="s">
        <v>1017</v>
      </c>
      <c r="W2171" s="50"/>
      <c r="X2171" s="50"/>
      <c r="Y2171"/>
      <c r="Z2171" s="50"/>
      <c r="AA2171"/>
      <c r="AB2171"/>
      <c r="AC2171" s="50"/>
      <c r="AD2171"/>
      <c r="AE2171" s="75"/>
      <c r="AF2171" s="50"/>
      <c r="AG2171" s="50"/>
      <c r="AH2171" s="166" t="str">
        <f t="shared" ref="AH2171:AH2176" si="944">IF(ISERROR(SEARCH("K erstmals 201",D2171)),"",RIGHT(D2171,4))</f>
        <v/>
      </c>
      <c r="AI2171" s="168" t="str">
        <f t="shared" si="928"/>
        <v/>
      </c>
      <c r="AJ2171" s="168" t="str">
        <f t="shared" si="929"/>
        <v/>
      </c>
      <c r="AK2171" s="168" t="str">
        <f t="shared" si="930"/>
        <v/>
      </c>
      <c r="AL2171" s="168" t="str">
        <f t="shared" si="931"/>
        <v/>
      </c>
      <c r="AM2171" s="168" t="str">
        <f t="shared" si="932"/>
        <v/>
      </c>
      <c r="AN2171" s="167" t="str">
        <f t="shared" si="915"/>
        <v/>
      </c>
      <c r="AO2171" s="167" t="str">
        <f t="shared" si="916"/>
        <v/>
      </c>
      <c r="AP2171" s="167" t="str">
        <f t="shared" si="917"/>
        <v/>
      </c>
      <c r="AQ2171" s="169" t="str">
        <f t="shared" si="918"/>
        <v/>
      </c>
      <c r="AR2171" s="170" t="str">
        <f t="shared" si="919"/>
        <v>BiK82a1-----08</v>
      </c>
      <c r="AS2171" s="169" t="str">
        <f t="shared" si="920"/>
        <v/>
      </c>
      <c r="AT2171">
        <f t="shared" si="921"/>
        <v>14</v>
      </c>
      <c r="AU2171" s="170" t="str">
        <f t="shared" si="922"/>
        <v>0,15-0,5 MW, Bonusregel a1</v>
      </c>
      <c r="AV2171" s="169" t="str">
        <f t="shared" si="923"/>
        <v/>
      </c>
      <c r="AW2171" s="170" t="str">
        <f t="shared" si="924"/>
        <v>Anteil Nicht-KWK</v>
      </c>
      <c r="AX2171" s="169" t="str">
        <f t="shared" si="925"/>
        <v/>
      </c>
      <c r="AY2171" t="str">
        <f t="shared" si="926"/>
        <v/>
      </c>
      <c r="AZ2171" t="str">
        <f t="shared" si="927"/>
        <v/>
      </c>
    </row>
    <row r="2172" spans="1:52" s="145" customFormat="1" x14ac:dyDescent="0.35">
      <c r="A2172" s="496" t="s">
        <v>3681</v>
      </c>
      <c r="B2172" s="1" t="s">
        <v>5547</v>
      </c>
      <c r="C2172" s="1" t="s">
        <v>5539</v>
      </c>
      <c r="D2172" s="1" t="s">
        <v>7212</v>
      </c>
      <c r="E2172" s="1" t="s">
        <v>4811</v>
      </c>
      <c r="F2172" s="375">
        <f t="shared" si="934"/>
        <v>17.32</v>
      </c>
      <c r="G2172" s="432">
        <v>17.32</v>
      </c>
      <c r="H2172" s="401">
        <f t="shared" si="935"/>
        <v>13.86</v>
      </c>
      <c r="I2172" s="578"/>
      <c r="J2172" s="549" t="s">
        <v>5804</v>
      </c>
      <c r="K2172" s="11"/>
      <c r="L2172"/>
      <c r="M2172" s="37">
        <f t="shared" si="936"/>
        <v>17.32</v>
      </c>
      <c r="N2172" s="29">
        <v>9.32</v>
      </c>
      <c r="O2172" s="41" t="s">
        <v>1017</v>
      </c>
      <c r="P2172" s="11"/>
      <c r="Q2172"/>
      <c r="R2172"/>
      <c r="S2172" t="s">
        <v>4179</v>
      </c>
      <c r="T2172" s="145" t="s">
        <v>4179</v>
      </c>
      <c r="U2172" s="42"/>
      <c r="V2172" t="s">
        <v>1017</v>
      </c>
      <c r="W2172" s="50"/>
      <c r="X2172" s="50"/>
      <c r="Y2172"/>
      <c r="Z2172" s="50"/>
      <c r="AA2172"/>
      <c r="AB2172"/>
      <c r="AC2172" s="50"/>
      <c r="AD2172"/>
      <c r="AE2172" s="75"/>
      <c r="AF2172" s="50"/>
      <c r="AG2172" s="50"/>
      <c r="AH2172" s="166" t="str">
        <f t="shared" si="944"/>
        <v/>
      </c>
      <c r="AI2172" s="168" t="str">
        <f t="shared" si="928"/>
        <v/>
      </c>
      <c r="AJ2172" s="168" t="str">
        <f t="shared" si="929"/>
        <v/>
      </c>
      <c r="AK2172" s="168" t="str">
        <f t="shared" si="930"/>
        <v/>
      </c>
      <c r="AL2172" s="168" t="str">
        <f t="shared" si="931"/>
        <v/>
      </c>
      <c r="AM2172" s="168" t="str">
        <f t="shared" si="932"/>
        <v/>
      </c>
      <c r="AN2172" s="167" t="str">
        <f t="shared" si="915"/>
        <v/>
      </c>
      <c r="AO2172" s="167" t="str">
        <f t="shared" si="916"/>
        <v/>
      </c>
      <c r="AP2172" s="167" t="str">
        <f t="shared" si="917"/>
        <v/>
      </c>
      <c r="AQ2172" s="169" t="str">
        <f t="shared" si="918"/>
        <v/>
      </c>
      <c r="AR2172" s="170" t="str">
        <f t="shared" si="919"/>
        <v>BiK82a1KWK--08</v>
      </c>
      <c r="AS2172" s="169" t="str">
        <f t="shared" si="920"/>
        <v/>
      </c>
      <c r="AT2172">
        <f t="shared" si="921"/>
        <v>14</v>
      </c>
      <c r="AU2172" s="170" t="str">
        <f t="shared" si="922"/>
        <v>0,15-0,5 MW, Bonusregeln a1 und KWK</v>
      </c>
      <c r="AV2172" s="169" t="str">
        <f t="shared" si="923"/>
        <v/>
      </c>
      <c r="AW2172" s="170" t="str">
        <f t="shared" si="924"/>
        <v>Anteil KWK</v>
      </c>
      <c r="AX2172" s="169" t="str">
        <f t="shared" si="925"/>
        <v/>
      </c>
      <c r="AY2172" t="str">
        <f t="shared" si="926"/>
        <v/>
      </c>
      <c r="AZ2172" t="str">
        <f t="shared" si="927"/>
        <v/>
      </c>
    </row>
    <row r="2173" spans="1:52" s="145" customFormat="1" x14ac:dyDescent="0.35">
      <c r="A2173" s="497" t="s">
        <v>2340</v>
      </c>
      <c r="B2173" s="13" t="s">
        <v>5547</v>
      </c>
      <c r="C2173" s="13" t="s">
        <v>5539</v>
      </c>
      <c r="D2173" s="13" t="s">
        <v>7101</v>
      </c>
      <c r="E2173" s="13" t="s">
        <v>4330</v>
      </c>
      <c r="F2173" s="373">
        <f t="shared" si="934"/>
        <v>18.32</v>
      </c>
      <c r="G2173" s="430">
        <v>18.32</v>
      </c>
      <c r="H2173" s="399">
        <f t="shared" si="935"/>
        <v>14.66</v>
      </c>
      <c r="I2173" s="576"/>
      <c r="J2173" s="549" t="s">
        <v>5804</v>
      </c>
      <c r="K2173" s="11"/>
      <c r="L2173"/>
      <c r="M2173" s="37">
        <f t="shared" si="936"/>
        <v>18.32</v>
      </c>
      <c r="N2173" s="29">
        <v>9.32</v>
      </c>
      <c r="O2173" s="41"/>
      <c r="P2173" t="s">
        <v>1017</v>
      </c>
      <c r="Q2173"/>
      <c r="R2173"/>
      <c r="S2173" t="s">
        <v>4179</v>
      </c>
      <c r="T2173" s="145" t="s">
        <v>4179</v>
      </c>
      <c r="U2173" s="42"/>
      <c r="V2173" t="s">
        <v>1017</v>
      </c>
      <c r="W2173" s="50"/>
      <c r="X2173" s="50"/>
      <c r="Y2173"/>
      <c r="Z2173" s="50"/>
      <c r="AA2173"/>
      <c r="AB2173"/>
      <c r="AC2173" s="50"/>
      <c r="AD2173"/>
      <c r="AE2173" s="75"/>
      <c r="AF2173" s="50"/>
      <c r="AG2173" s="50"/>
      <c r="AH2173" s="166" t="str">
        <f t="shared" si="944"/>
        <v/>
      </c>
      <c r="AI2173" s="168" t="str">
        <f t="shared" si="928"/>
        <v/>
      </c>
      <c r="AJ2173" s="168" t="str">
        <f t="shared" si="929"/>
        <v/>
      </c>
      <c r="AK2173" s="168" t="str">
        <f t="shared" si="930"/>
        <v/>
      </c>
      <c r="AL2173" s="168" t="str">
        <f t="shared" si="931"/>
        <v/>
      </c>
      <c r="AM2173" s="168" t="str">
        <f t="shared" si="932"/>
        <v/>
      </c>
      <c r="AN2173" s="167" t="str">
        <f t="shared" si="915"/>
        <v/>
      </c>
      <c r="AO2173" s="167" t="str">
        <f t="shared" si="916"/>
        <v/>
      </c>
      <c r="AP2173" s="167" t="str">
        <f t="shared" si="917"/>
        <v/>
      </c>
      <c r="AQ2173" s="169" t="str">
        <f t="shared" si="918"/>
        <v/>
      </c>
      <c r="AR2173" s="170" t="str">
        <f t="shared" si="919"/>
        <v>BiK82a1KA3--08</v>
      </c>
      <c r="AS2173" s="169" t="str">
        <f t="shared" si="920"/>
        <v/>
      </c>
      <c r="AT2173">
        <f t="shared" si="921"/>
        <v>14</v>
      </c>
      <c r="AU2173" s="170" t="str">
        <f t="shared" si="922"/>
        <v>0,15-0,5 MW, Bonusregeln a1 und K wenn Anlage 3 erfüllt</v>
      </c>
      <c r="AV2173" s="169" t="str">
        <f t="shared" si="923"/>
        <v/>
      </c>
      <c r="AW2173" s="170" t="str">
        <f t="shared" si="924"/>
        <v>Anteil KWK gemäß Anlage 3</v>
      </c>
      <c r="AX2173" s="169" t="str">
        <f t="shared" si="925"/>
        <v/>
      </c>
      <c r="AY2173" t="str">
        <f t="shared" si="926"/>
        <v/>
      </c>
      <c r="AZ2173" t="str">
        <f t="shared" si="927"/>
        <v/>
      </c>
    </row>
    <row r="2174" spans="1:52" s="145" customFormat="1" x14ac:dyDescent="0.35">
      <c r="A2174" s="497" t="s">
        <v>5041</v>
      </c>
      <c r="B2174" s="13" t="s">
        <v>5547</v>
      </c>
      <c r="C2174" s="13" t="s">
        <v>5539</v>
      </c>
      <c r="D2174" s="13" t="s">
        <v>7102</v>
      </c>
      <c r="E2174" s="13" t="s">
        <v>674</v>
      </c>
      <c r="F2174" s="373">
        <f t="shared" si="934"/>
        <v>18.32</v>
      </c>
      <c r="G2174" s="430">
        <v>18.32</v>
      </c>
      <c r="H2174" s="399">
        <f t="shared" si="935"/>
        <v>14.66</v>
      </c>
      <c r="I2174" s="576"/>
      <c r="J2174" s="549" t="s">
        <v>5804</v>
      </c>
      <c r="K2174" s="11"/>
      <c r="L2174"/>
      <c r="M2174" s="37">
        <f t="shared" si="936"/>
        <v>18.32</v>
      </c>
      <c r="N2174" s="29">
        <v>9.32</v>
      </c>
      <c r="O2174" s="41"/>
      <c r="P2174" s="11"/>
      <c r="Q2174" t="s">
        <v>1017</v>
      </c>
      <c r="R2174"/>
      <c r="S2174" t="s">
        <v>4179</v>
      </c>
      <c r="T2174" s="145" t="s">
        <v>4179</v>
      </c>
      <c r="U2174" s="42"/>
      <c r="V2174" t="s">
        <v>1017</v>
      </c>
      <c r="W2174" s="50"/>
      <c r="X2174" s="50"/>
      <c r="Y2174"/>
      <c r="Z2174" s="50"/>
      <c r="AA2174"/>
      <c r="AB2174"/>
      <c r="AC2174" s="50"/>
      <c r="AD2174"/>
      <c r="AE2174" s="75"/>
      <c r="AF2174" s="50"/>
      <c r="AG2174" s="50"/>
      <c r="AH2174" s="166" t="str">
        <f t="shared" si="944"/>
        <v/>
      </c>
      <c r="AI2174" s="168" t="str">
        <f t="shared" si="928"/>
        <v/>
      </c>
      <c r="AJ2174" s="168" t="str">
        <f t="shared" si="929"/>
        <v/>
      </c>
      <c r="AK2174" s="168" t="str">
        <f t="shared" si="930"/>
        <v/>
      </c>
      <c r="AL2174" s="168" t="str">
        <f t="shared" si="931"/>
        <v/>
      </c>
      <c r="AM2174" s="168" t="str">
        <f t="shared" si="932"/>
        <v/>
      </c>
      <c r="AN2174" s="167" t="str">
        <f t="shared" si="915"/>
        <v/>
      </c>
      <c r="AO2174" s="167" t="str">
        <f t="shared" si="916"/>
        <v/>
      </c>
      <c r="AP2174" s="167" t="str">
        <f t="shared" si="917"/>
        <v/>
      </c>
      <c r="AQ2174" s="169" t="str">
        <f t="shared" si="918"/>
        <v/>
      </c>
      <c r="AR2174" s="170" t="str">
        <f t="shared" si="919"/>
        <v>BiK82a1K09--08</v>
      </c>
      <c r="AS2174" s="169" t="str">
        <f t="shared" si="920"/>
        <v/>
      </c>
      <c r="AT2174">
        <f t="shared" si="921"/>
        <v>14</v>
      </c>
      <c r="AU2174" s="170" t="str">
        <f t="shared" si="922"/>
        <v>0,15-0,5 MW, Bonusregeln a1 und K erstmals 2009</v>
      </c>
      <c r="AV2174" s="169" t="str">
        <f t="shared" si="923"/>
        <v/>
      </c>
      <c r="AW2174" s="170" t="str">
        <f t="shared" si="924"/>
        <v>Anteil KWK, erstmals 2009</v>
      </c>
      <c r="AX2174" s="169" t="str">
        <f t="shared" si="925"/>
        <v/>
      </c>
      <c r="AY2174" t="str">
        <f t="shared" si="926"/>
        <v/>
      </c>
      <c r="AZ2174" t="str">
        <f t="shared" si="927"/>
        <v/>
      </c>
    </row>
    <row r="2175" spans="1:52" s="145" customFormat="1" x14ac:dyDescent="0.35">
      <c r="A2175" s="497" t="s">
        <v>3183</v>
      </c>
      <c r="B2175" s="13" t="s">
        <v>5547</v>
      </c>
      <c r="C2175" s="13" t="s">
        <v>5539</v>
      </c>
      <c r="D2175" s="13" t="s">
        <v>7103</v>
      </c>
      <c r="E2175" s="13" t="s">
        <v>3566</v>
      </c>
      <c r="F2175" s="373">
        <f t="shared" si="934"/>
        <v>18.29</v>
      </c>
      <c r="G2175" s="430">
        <v>18.29</v>
      </c>
      <c r="H2175" s="399">
        <f t="shared" si="935"/>
        <v>14.63</v>
      </c>
      <c r="I2175" s="576"/>
      <c r="J2175" s="549" t="s">
        <v>5804</v>
      </c>
      <c r="K2175" s="11"/>
      <c r="L2175"/>
      <c r="M2175" s="37">
        <f t="shared" si="936"/>
        <v>18.29</v>
      </c>
      <c r="N2175" s="29">
        <v>9.32</v>
      </c>
      <c r="O2175" s="41"/>
      <c r="P2175" s="11"/>
      <c r="Q2175"/>
      <c r="R2175" t="s">
        <v>1017</v>
      </c>
      <c r="S2175" t="s">
        <v>4179</v>
      </c>
      <c r="T2175" s="145" t="s">
        <v>4179</v>
      </c>
      <c r="U2175" s="42"/>
      <c r="V2175" t="s">
        <v>1017</v>
      </c>
      <c r="W2175" s="50"/>
      <c r="X2175" s="50"/>
      <c r="Y2175"/>
      <c r="Z2175" s="50"/>
      <c r="AA2175"/>
      <c r="AB2175"/>
      <c r="AC2175" s="50"/>
      <c r="AD2175"/>
      <c r="AE2175" s="75"/>
      <c r="AF2175" s="50"/>
      <c r="AG2175" s="50"/>
      <c r="AH2175" s="166" t="str">
        <f t="shared" si="944"/>
        <v>2010</v>
      </c>
      <c r="AI2175" s="168" t="str">
        <f t="shared" si="928"/>
        <v/>
      </c>
      <c r="AJ2175" s="168" t="str">
        <f t="shared" si="929"/>
        <v/>
      </c>
      <c r="AK2175" s="168" t="str">
        <f t="shared" si="930"/>
        <v/>
      </c>
      <c r="AL2175" s="168" t="str">
        <f t="shared" si="931"/>
        <v/>
      </c>
      <c r="AM2175" s="168" t="str">
        <f t="shared" si="932"/>
        <v/>
      </c>
      <c r="AN2175" s="167" t="str">
        <f t="shared" ref="AN2175:AN2238" si="945">IF(ISERROR(SEARCH("K1",A2175)),"","20"&amp;MID(A2175,SEARCH("K1",A2175)+1,2))</f>
        <v>2010</v>
      </c>
      <c r="AO2175" s="167" t="str">
        <f t="shared" ref="AO2175:AO2238" si="946">IF(ISERROR(SEARCH("erstmals 201",E2175)),"",MID(E2175,SEARCH("erstmals ",E2175)+9,4))</f>
        <v>2010</v>
      </c>
      <c r="AP2175" s="167" t="str">
        <f t="shared" ref="AP2175:AP2238" si="947">IF(R2175="x","2010",IF(S2175="x","2011",IF(T2175="x","2012","")))</f>
        <v>2010</v>
      </c>
      <c r="AQ2175" s="169" t="str">
        <f t="shared" ref="AQ2175:AQ2238" si="948">IF(OR(AH2175&lt;&gt;AN2175,AH2175&lt;&gt;AO2175,AH2175&lt;&gt;AP2175),"DIFF","")</f>
        <v/>
      </c>
      <c r="AR2175" s="170" t="str">
        <f t="shared" ref="AR2175:AR2238" si="949">IF(A2175="","",IF(ISERROR(SEARCH("K1",A2175)),A2175,LEFT(A2175,SEARCH("K1",A2175)+1)&amp;RIGHT(AH2175,1)&amp;MID(A2175,SEARCH("K1",A2175)+3,14)))</f>
        <v>BiK82a1K10--08</v>
      </c>
      <c r="AS2175" s="169" t="str">
        <f t="shared" ref="AS2175:AS2238" si="950">IF(OR(A2175&lt;&gt;AR2175),"DIFF","")</f>
        <v/>
      </c>
      <c r="AT2175">
        <f t="shared" ref="AT2175:AT2238" si="951">LEN(AR2175)</f>
        <v>14</v>
      </c>
      <c r="AU2175" s="170" t="str">
        <f t="shared" ref="AU2175:AU2238" si="952">IF(D2175="","",IF(OR(A2175="",ISERROR(SEARCH("erstmals 201",D2175))),D2175,LEFT(D2175,SEARCH("erstmals 201",D2175)+8) &amp; AH2175 &amp; MID(D2175,SEARCH("erstmals 201",D2175)+13,255)))</f>
        <v>0,15-0,5 MW, Bonusregeln a1 und K erstmals 2010</v>
      </c>
      <c r="AV2175" s="169" t="str">
        <f t="shared" ref="AV2175:AV2238" si="953">IF(OR(D2175&lt;&gt;AU2175),"DIFF","")</f>
        <v/>
      </c>
      <c r="AW2175" s="170" t="str">
        <f t="shared" ref="AW2175:AW2238" si="954">IF(E2175="","",IF(OR(E2175="",ISERROR(SEARCH("erstmals 201",E2175))),E2175,LEFT(E2175,SEARCH("erstmals 201",E2175)+8) &amp; AH2175 &amp; MID(E2175,SEARCH("erstmals 201",E2175)+13,255)))</f>
        <v>Anteil KWK, erstmals 2010</v>
      </c>
      <c r="AX2175" s="169" t="str">
        <f t="shared" ref="AX2175:AX2238" si="955">IF(OR(E2175&lt;&gt;AW2175),"DIFF","")</f>
        <v/>
      </c>
      <c r="AY2175" t="str">
        <f t="shared" ref="AY2175:AY2238" si="956">IF(AH2175="2011","x",IF(AH2175="2012","","" &amp; S2175))</f>
        <v/>
      </c>
      <c r="AZ2175" t="str">
        <f t="shared" ref="AZ2175:AZ2238" si="957">IF(AH2175="2012","x",IF(AH2175="2011","","" &amp; T2175))</f>
        <v/>
      </c>
    </row>
    <row r="2176" spans="1:52" s="145" customFormat="1" x14ac:dyDescent="0.35">
      <c r="A2176" s="497" t="s">
        <v>3459</v>
      </c>
      <c r="B2176" s="13" t="s">
        <v>5547</v>
      </c>
      <c r="C2176" s="13" t="s">
        <v>5539</v>
      </c>
      <c r="D2176" s="13" t="s">
        <v>7104</v>
      </c>
      <c r="E2176" s="13" t="s">
        <v>3054</v>
      </c>
      <c r="F2176" s="373">
        <f t="shared" si="934"/>
        <v>18.259999999999998</v>
      </c>
      <c r="G2176" s="430">
        <v>18.259999999999998</v>
      </c>
      <c r="H2176" s="399">
        <f t="shared" si="935"/>
        <v>14.61</v>
      </c>
      <c r="I2176" s="576"/>
      <c r="J2176" s="549" t="s">
        <v>5804</v>
      </c>
      <c r="K2176" s="11"/>
      <c r="L2176"/>
      <c r="M2176" s="37">
        <f t="shared" si="936"/>
        <v>18.259999999999998</v>
      </c>
      <c r="N2176" s="29">
        <v>9.32</v>
      </c>
      <c r="O2176" s="41"/>
      <c r="P2176" s="11"/>
      <c r="Q2176"/>
      <c r="R2176"/>
      <c r="S2176" t="s">
        <v>1017</v>
      </c>
      <c r="T2176" s="145" t="s">
        <v>4179</v>
      </c>
      <c r="U2176" s="42"/>
      <c r="V2176" t="s">
        <v>1017</v>
      </c>
      <c r="W2176" s="50"/>
      <c r="X2176" s="50"/>
      <c r="Y2176"/>
      <c r="Z2176" s="50"/>
      <c r="AA2176"/>
      <c r="AB2176"/>
      <c r="AC2176" s="50"/>
      <c r="AD2176"/>
      <c r="AE2176" s="75"/>
      <c r="AF2176" s="50"/>
      <c r="AG2176" s="50"/>
      <c r="AH2176" s="166" t="str">
        <f t="shared" si="944"/>
        <v>2011</v>
      </c>
      <c r="AI2176" s="168" t="str">
        <f t="shared" ref="AI2176:AI2239" si="958">IF(AND($AH2176&lt;&gt;"",AH2176 =AH2175),"Gleich","")</f>
        <v/>
      </c>
      <c r="AJ2176" s="168" t="str">
        <f t="shared" ref="AJ2176:AJ2239" si="959">IF(AND($AH2176&lt;&gt;"",A2176 =A2175),"Gleich","")</f>
        <v/>
      </c>
      <c r="AK2176" s="168" t="str">
        <f t="shared" ref="AK2176:AK2239" si="960">IF(AND($AH2176&lt;&gt;"",D2176 =D2175),"Gleich","")</f>
        <v/>
      </c>
      <c r="AL2176" s="168" t="str">
        <f t="shared" ref="AL2176:AL2239" si="961">IF(AND($AH2176&lt;&gt;"",E2176 =E2175),"Gleich","")</f>
        <v/>
      </c>
      <c r="AM2176" s="168" t="str">
        <f t="shared" ref="AM2176:AM2239" si="962">IF(AND($AH2176&lt;&gt;"",F2176 =F2175),"Gleich","")</f>
        <v/>
      </c>
      <c r="AN2176" s="167" t="str">
        <f t="shared" si="945"/>
        <v>2011</v>
      </c>
      <c r="AO2176" s="167" t="str">
        <f t="shared" si="946"/>
        <v>2011</v>
      </c>
      <c r="AP2176" s="167" t="str">
        <f t="shared" si="947"/>
        <v>2011</v>
      </c>
      <c r="AQ2176" s="169" t="str">
        <f t="shared" si="948"/>
        <v/>
      </c>
      <c r="AR2176" s="170" t="str">
        <f t="shared" si="949"/>
        <v>BiK82a1K11--08</v>
      </c>
      <c r="AS2176" s="169" t="str">
        <f t="shared" si="950"/>
        <v/>
      </c>
      <c r="AT2176">
        <f t="shared" si="951"/>
        <v>14</v>
      </c>
      <c r="AU2176" s="170" t="str">
        <f t="shared" si="952"/>
        <v>0,15-0,5 MW, Bonusregeln a1 und K erstmals 2011</v>
      </c>
      <c r="AV2176" s="169" t="str">
        <f t="shared" si="953"/>
        <v/>
      </c>
      <c r="AW2176" s="170" t="str">
        <f t="shared" si="954"/>
        <v>Anteil KWK, erstmals 2011</v>
      </c>
      <c r="AX2176" s="169" t="str">
        <f t="shared" si="955"/>
        <v/>
      </c>
      <c r="AY2176" t="str">
        <f t="shared" si="956"/>
        <v>x</v>
      </c>
      <c r="AZ2176" t="str">
        <f t="shared" si="957"/>
        <v/>
      </c>
    </row>
    <row r="2177" spans="1:52" s="145" customFormat="1" x14ac:dyDescent="0.35">
      <c r="A2177" s="511" t="s">
        <v>1892</v>
      </c>
      <c r="B2177" s="173" t="s">
        <v>5547</v>
      </c>
      <c r="C2177" s="173" t="s">
        <v>5539</v>
      </c>
      <c r="D2177" s="173" t="s">
        <v>7105</v>
      </c>
      <c r="E2177" s="173" t="s">
        <v>1980</v>
      </c>
      <c r="F2177" s="374">
        <f t="shared" si="934"/>
        <v>18.23</v>
      </c>
      <c r="G2177" s="431">
        <v>18.23</v>
      </c>
      <c r="H2177" s="400">
        <f t="shared" si="935"/>
        <v>14.58</v>
      </c>
      <c r="I2177" s="577"/>
      <c r="J2177" s="549" t="s">
        <v>5804</v>
      </c>
      <c r="K2177" s="11"/>
      <c r="L2177"/>
      <c r="M2177" s="37">
        <f t="shared" si="936"/>
        <v>18.23</v>
      </c>
      <c r="N2177" s="29">
        <v>9.32</v>
      </c>
      <c r="O2177" s="41"/>
      <c r="P2177" s="11"/>
      <c r="Q2177"/>
      <c r="R2177"/>
      <c r="S2177" t="s">
        <v>4179</v>
      </c>
      <c r="T2177" s="145" t="s">
        <v>1017</v>
      </c>
      <c r="U2177" s="42"/>
      <c r="V2177" t="s">
        <v>1017</v>
      </c>
      <c r="W2177" s="50"/>
      <c r="X2177" s="50"/>
      <c r="Y2177"/>
      <c r="Z2177" s="50"/>
      <c r="AA2177"/>
      <c r="AB2177"/>
      <c r="AC2177" s="50"/>
      <c r="AD2177"/>
      <c r="AE2177" s="75"/>
      <c r="AF2177" s="50"/>
      <c r="AG2177" s="50"/>
      <c r="AH2177" s="171" t="s">
        <v>4178</v>
      </c>
      <c r="AI2177" s="168" t="str">
        <f t="shared" si="958"/>
        <v/>
      </c>
      <c r="AJ2177" s="168" t="str">
        <f t="shared" si="959"/>
        <v/>
      </c>
      <c r="AK2177" s="168" t="str">
        <f t="shared" si="960"/>
        <v/>
      </c>
      <c r="AL2177" s="168" t="str">
        <f t="shared" si="961"/>
        <v/>
      </c>
      <c r="AM2177" s="168" t="str">
        <f t="shared" si="962"/>
        <v/>
      </c>
      <c r="AN2177" s="167" t="str">
        <f t="shared" si="945"/>
        <v>2012</v>
      </c>
      <c r="AO2177" s="167" t="str">
        <f t="shared" si="946"/>
        <v>2012</v>
      </c>
      <c r="AP2177" s="167" t="str">
        <f t="shared" si="947"/>
        <v>2012</v>
      </c>
      <c r="AQ2177" s="169" t="str">
        <f t="shared" si="948"/>
        <v/>
      </c>
      <c r="AR2177" s="170" t="str">
        <f t="shared" si="949"/>
        <v>BiK82a1K12--08</v>
      </c>
      <c r="AS2177" s="169" t="str">
        <f t="shared" si="950"/>
        <v/>
      </c>
      <c r="AT2177">
        <f t="shared" si="951"/>
        <v>14</v>
      </c>
      <c r="AU2177" s="170" t="str">
        <f t="shared" si="952"/>
        <v>0,15-0,5 MW, Bonusregeln a1 und K erstmals 2012</v>
      </c>
      <c r="AV2177" s="169" t="str">
        <f t="shared" si="953"/>
        <v/>
      </c>
      <c r="AW2177" s="170" t="str">
        <f t="shared" si="954"/>
        <v>Anteil KWK, erstmals 2012</v>
      </c>
      <c r="AX2177" s="169" t="str">
        <f t="shared" si="955"/>
        <v/>
      </c>
      <c r="AY2177" t="str">
        <f t="shared" si="956"/>
        <v/>
      </c>
      <c r="AZ2177" t="str">
        <f t="shared" si="957"/>
        <v>x</v>
      </c>
    </row>
    <row r="2178" spans="1:52" x14ac:dyDescent="0.35">
      <c r="A2178" s="497" t="s">
        <v>4082</v>
      </c>
      <c r="B2178" s="13" t="s">
        <v>5547</v>
      </c>
      <c r="C2178" s="13" t="s">
        <v>5539</v>
      </c>
      <c r="D2178" s="13" t="s">
        <v>7106</v>
      </c>
      <c r="E2178" s="13" t="s">
        <v>4809</v>
      </c>
      <c r="F2178" s="373">
        <f t="shared" si="934"/>
        <v>16.32</v>
      </c>
      <c r="G2178" s="430">
        <v>16.32</v>
      </c>
      <c r="H2178" s="399">
        <f t="shared" si="935"/>
        <v>13.06</v>
      </c>
      <c r="I2178" s="576"/>
      <c r="J2178" s="549" t="s">
        <v>5804</v>
      </c>
      <c r="K2178" s="11"/>
      <c r="M2178" s="37">
        <f t="shared" si="936"/>
        <v>16.32</v>
      </c>
      <c r="N2178" s="29">
        <v>9.32</v>
      </c>
      <c r="O2178" s="41"/>
      <c r="P2178" s="11"/>
      <c r="S2178" t="s">
        <v>4179</v>
      </c>
      <c r="T2178" t="s">
        <v>4179</v>
      </c>
      <c r="U2178" s="42" t="s">
        <v>1017</v>
      </c>
      <c r="V2178" t="s">
        <v>1017</v>
      </c>
      <c r="W2178" s="50"/>
      <c r="X2178" s="50"/>
      <c r="Z2178" s="50"/>
      <c r="AC2178" s="50"/>
      <c r="AE2178" s="75"/>
      <c r="AF2178" s="50"/>
      <c r="AG2178" s="50"/>
      <c r="AH2178" s="166" t="str">
        <f t="shared" ref="AH2178:AH2183" si="963">IF(ISERROR(SEARCH("K erstmals 201",D2178)),"",RIGHT(D2178,4))</f>
        <v/>
      </c>
      <c r="AI2178" s="168" t="str">
        <f t="shared" si="958"/>
        <v/>
      </c>
      <c r="AJ2178" s="168" t="str">
        <f t="shared" si="959"/>
        <v/>
      </c>
      <c r="AK2178" s="168" t="str">
        <f t="shared" si="960"/>
        <v/>
      </c>
      <c r="AL2178" s="168" t="str">
        <f t="shared" si="961"/>
        <v/>
      </c>
      <c r="AM2178" s="168" t="str">
        <f t="shared" si="962"/>
        <v/>
      </c>
      <c r="AN2178" s="167" t="str">
        <f t="shared" si="945"/>
        <v/>
      </c>
      <c r="AO2178" s="167" t="str">
        <f t="shared" si="946"/>
        <v/>
      </c>
      <c r="AP2178" s="167" t="str">
        <f t="shared" si="947"/>
        <v/>
      </c>
      <c r="AQ2178" s="169" t="str">
        <f t="shared" si="948"/>
        <v/>
      </c>
      <c r="AR2178" s="170" t="str">
        <f t="shared" si="949"/>
        <v>BiK82a1y----08</v>
      </c>
      <c r="AS2178" s="169" t="str">
        <f t="shared" si="950"/>
        <v/>
      </c>
      <c r="AT2178">
        <f t="shared" si="951"/>
        <v>14</v>
      </c>
      <c r="AU2178" s="170" t="str">
        <f t="shared" si="952"/>
        <v>0,15-0,5 MW, Bonusregeln a1, y</v>
      </c>
      <c r="AV2178" s="169" t="str">
        <f t="shared" si="953"/>
        <v/>
      </c>
      <c r="AW2178" s="170" t="str">
        <f t="shared" si="954"/>
        <v>Anteil Nicht-KWK</v>
      </c>
      <c r="AX2178" s="169" t="str">
        <f t="shared" si="955"/>
        <v/>
      </c>
      <c r="AY2178" t="str">
        <f t="shared" si="956"/>
        <v/>
      </c>
      <c r="AZ2178" t="str">
        <f t="shared" si="957"/>
        <v/>
      </c>
    </row>
    <row r="2179" spans="1:52" x14ac:dyDescent="0.35">
      <c r="A2179" s="497" t="s">
        <v>4083</v>
      </c>
      <c r="B2179" s="13" t="s">
        <v>5547</v>
      </c>
      <c r="C2179" s="13" t="s">
        <v>5539</v>
      </c>
      <c r="D2179" s="13" t="s">
        <v>7107</v>
      </c>
      <c r="E2179" s="13" t="s">
        <v>4811</v>
      </c>
      <c r="F2179" s="373">
        <f t="shared" si="934"/>
        <v>18.32</v>
      </c>
      <c r="G2179" s="430">
        <v>18.32</v>
      </c>
      <c r="H2179" s="399">
        <f t="shared" si="935"/>
        <v>14.66</v>
      </c>
      <c r="I2179" s="576"/>
      <c r="J2179" s="549" t="s">
        <v>5804</v>
      </c>
      <c r="K2179" s="11"/>
      <c r="M2179" s="37">
        <f t="shared" si="936"/>
        <v>18.32</v>
      </c>
      <c r="N2179" s="29">
        <v>9.32</v>
      </c>
      <c r="O2179" s="41" t="s">
        <v>1017</v>
      </c>
      <c r="P2179" s="11"/>
      <c r="S2179" t="s">
        <v>4179</v>
      </c>
      <c r="T2179" t="s">
        <v>4179</v>
      </c>
      <c r="U2179" s="42" t="s">
        <v>1017</v>
      </c>
      <c r="V2179" t="s">
        <v>1017</v>
      </c>
      <c r="W2179" s="50"/>
      <c r="X2179" s="50"/>
      <c r="Z2179" s="50"/>
      <c r="AC2179" s="50"/>
      <c r="AE2179" s="75"/>
      <c r="AF2179" s="50"/>
      <c r="AG2179" s="50"/>
      <c r="AH2179" s="166" t="str">
        <f t="shared" si="963"/>
        <v/>
      </c>
      <c r="AI2179" s="168" t="str">
        <f t="shared" si="958"/>
        <v/>
      </c>
      <c r="AJ2179" s="168" t="str">
        <f t="shared" si="959"/>
        <v/>
      </c>
      <c r="AK2179" s="168" t="str">
        <f t="shared" si="960"/>
        <v/>
      </c>
      <c r="AL2179" s="168" t="str">
        <f t="shared" si="961"/>
        <v/>
      </c>
      <c r="AM2179" s="168" t="str">
        <f t="shared" si="962"/>
        <v/>
      </c>
      <c r="AN2179" s="167" t="str">
        <f t="shared" si="945"/>
        <v/>
      </c>
      <c r="AO2179" s="167" t="str">
        <f t="shared" si="946"/>
        <v/>
      </c>
      <c r="AP2179" s="167" t="str">
        <f t="shared" si="947"/>
        <v/>
      </c>
      <c r="AQ2179" s="169" t="str">
        <f t="shared" si="948"/>
        <v/>
      </c>
      <c r="AR2179" s="170" t="str">
        <f t="shared" si="949"/>
        <v>BiK82a1KWKy-08</v>
      </c>
      <c r="AS2179" s="169" t="str">
        <f t="shared" si="950"/>
        <v/>
      </c>
      <c r="AT2179">
        <f t="shared" si="951"/>
        <v>14</v>
      </c>
      <c r="AU2179" s="170" t="str">
        <f t="shared" si="952"/>
        <v>0,15-0,5 MW, Bonusregeln a1, y und KWK</v>
      </c>
      <c r="AV2179" s="169" t="str">
        <f t="shared" si="953"/>
        <v/>
      </c>
      <c r="AW2179" s="170" t="str">
        <f t="shared" si="954"/>
        <v>Anteil KWK</v>
      </c>
      <c r="AX2179" s="169" t="str">
        <f t="shared" si="955"/>
        <v/>
      </c>
      <c r="AY2179" t="str">
        <f t="shared" si="956"/>
        <v/>
      </c>
      <c r="AZ2179" t="str">
        <f t="shared" si="957"/>
        <v/>
      </c>
    </row>
    <row r="2180" spans="1:52" x14ac:dyDescent="0.35">
      <c r="A2180" s="497" t="s">
        <v>4084</v>
      </c>
      <c r="B2180" s="13" t="s">
        <v>5547</v>
      </c>
      <c r="C2180" s="13" t="s">
        <v>5539</v>
      </c>
      <c r="D2180" s="13" t="s">
        <v>7108</v>
      </c>
      <c r="E2180" s="13" t="s">
        <v>4330</v>
      </c>
      <c r="F2180" s="373">
        <f t="shared" si="934"/>
        <v>19.32</v>
      </c>
      <c r="G2180" s="430">
        <v>19.32</v>
      </c>
      <c r="H2180" s="399">
        <f t="shared" si="935"/>
        <v>15.46</v>
      </c>
      <c r="I2180" s="576"/>
      <c r="J2180" s="549" t="s">
        <v>5804</v>
      </c>
      <c r="K2180" s="11"/>
      <c r="M2180" s="37">
        <f t="shared" si="936"/>
        <v>19.32</v>
      </c>
      <c r="N2180" s="29">
        <v>9.32</v>
      </c>
      <c r="O2180" s="41"/>
      <c r="P2180" t="s">
        <v>1017</v>
      </c>
      <c r="S2180" t="s">
        <v>4179</v>
      </c>
      <c r="T2180" t="s">
        <v>4179</v>
      </c>
      <c r="U2180" s="42" t="s">
        <v>1017</v>
      </c>
      <c r="V2180" t="s">
        <v>1017</v>
      </c>
      <c r="W2180" s="50"/>
      <c r="X2180" s="50"/>
      <c r="Z2180" s="50"/>
      <c r="AC2180" s="50"/>
      <c r="AE2180" s="75"/>
      <c r="AF2180" s="50"/>
      <c r="AG2180" s="50"/>
      <c r="AH2180" s="166" t="str">
        <f t="shared" si="963"/>
        <v/>
      </c>
      <c r="AI2180" s="168" t="str">
        <f t="shared" si="958"/>
        <v/>
      </c>
      <c r="AJ2180" s="168" t="str">
        <f t="shared" si="959"/>
        <v/>
      </c>
      <c r="AK2180" s="168" t="str">
        <f t="shared" si="960"/>
        <v/>
      </c>
      <c r="AL2180" s="168" t="str">
        <f t="shared" si="961"/>
        <v/>
      </c>
      <c r="AM2180" s="168" t="str">
        <f t="shared" si="962"/>
        <v/>
      </c>
      <c r="AN2180" s="167" t="str">
        <f t="shared" si="945"/>
        <v/>
      </c>
      <c r="AO2180" s="167" t="str">
        <f t="shared" si="946"/>
        <v/>
      </c>
      <c r="AP2180" s="167" t="str">
        <f t="shared" si="947"/>
        <v/>
      </c>
      <c r="AQ2180" s="169" t="str">
        <f t="shared" si="948"/>
        <v/>
      </c>
      <c r="AR2180" s="170" t="str">
        <f t="shared" si="949"/>
        <v>BiK82a1KA3y-08</v>
      </c>
      <c r="AS2180" s="169" t="str">
        <f t="shared" si="950"/>
        <v/>
      </c>
      <c r="AT2180">
        <f t="shared" si="951"/>
        <v>14</v>
      </c>
      <c r="AU2180" s="170" t="str">
        <f t="shared" si="952"/>
        <v>0,15-0,5 MW, Bonusregeln a1, y und K wenn Anlage 3 erfüllt</v>
      </c>
      <c r="AV2180" s="169" t="str">
        <f t="shared" si="953"/>
        <v/>
      </c>
      <c r="AW2180" s="170" t="str">
        <f t="shared" si="954"/>
        <v>Anteil KWK gemäß Anlage 3</v>
      </c>
      <c r="AX2180" s="169" t="str">
        <f t="shared" si="955"/>
        <v/>
      </c>
      <c r="AY2180" t="str">
        <f t="shared" si="956"/>
        <v/>
      </c>
      <c r="AZ2180" t="str">
        <f t="shared" si="957"/>
        <v/>
      </c>
    </row>
    <row r="2181" spans="1:52" x14ac:dyDescent="0.35">
      <c r="A2181" s="497" t="s">
        <v>4085</v>
      </c>
      <c r="B2181" s="13" t="s">
        <v>5547</v>
      </c>
      <c r="C2181" s="13" t="s">
        <v>5539</v>
      </c>
      <c r="D2181" s="13" t="s">
        <v>7109</v>
      </c>
      <c r="E2181" s="13" t="s">
        <v>674</v>
      </c>
      <c r="F2181" s="373">
        <f t="shared" ref="F2181:F2244" si="964">M2181</f>
        <v>19.32</v>
      </c>
      <c r="G2181" s="430">
        <v>19.32</v>
      </c>
      <c r="H2181" s="399">
        <f t="shared" ref="H2181:H2244" si="965">IF(ISNUMBER(G2181),ROUND(0.8*G2181,2),"")</f>
        <v>15.46</v>
      </c>
      <c r="I2181" s="576"/>
      <c r="J2181" s="549" t="s">
        <v>5804</v>
      </c>
      <c r="K2181" s="11"/>
      <c r="M2181" s="37">
        <f t="shared" ref="M2181:M2244" si="966">N2181+SUMIF(O2181:AG2181,"x",O$1988:AG$1988)</f>
        <v>19.32</v>
      </c>
      <c r="N2181" s="29">
        <v>9.32</v>
      </c>
      <c r="O2181" s="41"/>
      <c r="P2181" s="11"/>
      <c r="Q2181" t="s">
        <v>1017</v>
      </c>
      <c r="S2181" t="s">
        <v>4179</v>
      </c>
      <c r="T2181" t="s">
        <v>4179</v>
      </c>
      <c r="U2181" s="42" t="s">
        <v>1017</v>
      </c>
      <c r="V2181" t="s">
        <v>1017</v>
      </c>
      <c r="W2181" s="50"/>
      <c r="X2181" s="50"/>
      <c r="Z2181" s="50"/>
      <c r="AC2181" s="50"/>
      <c r="AE2181" s="75"/>
      <c r="AF2181" s="50"/>
      <c r="AG2181" s="50"/>
      <c r="AH2181" s="166" t="str">
        <f t="shared" si="963"/>
        <v/>
      </c>
      <c r="AI2181" s="168" t="str">
        <f t="shared" si="958"/>
        <v/>
      </c>
      <c r="AJ2181" s="168" t="str">
        <f t="shared" si="959"/>
        <v/>
      </c>
      <c r="AK2181" s="168" t="str">
        <f t="shared" si="960"/>
        <v/>
      </c>
      <c r="AL2181" s="168" t="str">
        <f t="shared" si="961"/>
        <v/>
      </c>
      <c r="AM2181" s="168" t="str">
        <f t="shared" si="962"/>
        <v/>
      </c>
      <c r="AN2181" s="167" t="str">
        <f t="shared" si="945"/>
        <v/>
      </c>
      <c r="AO2181" s="167" t="str">
        <f t="shared" si="946"/>
        <v/>
      </c>
      <c r="AP2181" s="167" t="str">
        <f t="shared" si="947"/>
        <v/>
      </c>
      <c r="AQ2181" s="169" t="str">
        <f t="shared" si="948"/>
        <v/>
      </c>
      <c r="AR2181" s="170" t="str">
        <f t="shared" si="949"/>
        <v>BiK82a1K09y-08</v>
      </c>
      <c r="AS2181" s="169" t="str">
        <f t="shared" si="950"/>
        <v/>
      </c>
      <c r="AT2181">
        <f t="shared" si="951"/>
        <v>14</v>
      </c>
      <c r="AU2181" s="170" t="str">
        <f t="shared" si="952"/>
        <v>0,15-0,5 MW, Bonusregeln a1, y und K erstmals 2009</v>
      </c>
      <c r="AV2181" s="169" t="str">
        <f t="shared" si="953"/>
        <v/>
      </c>
      <c r="AW2181" s="170" t="str">
        <f t="shared" si="954"/>
        <v>Anteil KWK, erstmals 2009</v>
      </c>
      <c r="AX2181" s="169" t="str">
        <f t="shared" si="955"/>
        <v/>
      </c>
      <c r="AY2181" t="str">
        <f t="shared" si="956"/>
        <v/>
      </c>
      <c r="AZ2181" t="str">
        <f t="shared" si="957"/>
        <v/>
      </c>
    </row>
    <row r="2182" spans="1:52" x14ac:dyDescent="0.35">
      <c r="A2182" s="497" t="s">
        <v>3184</v>
      </c>
      <c r="B2182" s="13" t="s">
        <v>5547</v>
      </c>
      <c r="C2182" s="13" t="s">
        <v>5539</v>
      </c>
      <c r="D2182" s="13" t="s">
        <v>7110</v>
      </c>
      <c r="E2182" s="13" t="s">
        <v>3566</v>
      </c>
      <c r="F2182" s="373">
        <f t="shared" si="964"/>
        <v>19.29</v>
      </c>
      <c r="G2182" s="430">
        <v>19.29</v>
      </c>
      <c r="H2182" s="399">
        <f t="shared" si="965"/>
        <v>15.43</v>
      </c>
      <c r="I2182" s="576"/>
      <c r="J2182" s="549" t="s">
        <v>5804</v>
      </c>
      <c r="K2182" s="11"/>
      <c r="M2182" s="37">
        <f t="shared" si="966"/>
        <v>19.29</v>
      </c>
      <c r="N2182" s="29">
        <v>9.32</v>
      </c>
      <c r="O2182" s="41"/>
      <c r="P2182" s="11"/>
      <c r="R2182" t="s">
        <v>1017</v>
      </c>
      <c r="S2182" t="s">
        <v>4179</v>
      </c>
      <c r="T2182" t="s">
        <v>4179</v>
      </c>
      <c r="U2182" s="42" t="s">
        <v>1017</v>
      </c>
      <c r="V2182" t="s">
        <v>1017</v>
      </c>
      <c r="W2182" s="50"/>
      <c r="X2182" s="50"/>
      <c r="Z2182" s="50"/>
      <c r="AC2182" s="50"/>
      <c r="AE2182" s="75"/>
      <c r="AF2182" s="50"/>
      <c r="AG2182" s="50"/>
      <c r="AH2182" s="166" t="str">
        <f t="shared" si="963"/>
        <v>2010</v>
      </c>
      <c r="AI2182" s="168" t="str">
        <f t="shared" si="958"/>
        <v/>
      </c>
      <c r="AJ2182" s="168" t="str">
        <f t="shared" si="959"/>
        <v/>
      </c>
      <c r="AK2182" s="168" t="str">
        <f t="shared" si="960"/>
        <v/>
      </c>
      <c r="AL2182" s="168" t="str">
        <f t="shared" si="961"/>
        <v/>
      </c>
      <c r="AM2182" s="168" t="str">
        <f t="shared" si="962"/>
        <v/>
      </c>
      <c r="AN2182" s="167" t="str">
        <f t="shared" si="945"/>
        <v>2010</v>
      </c>
      <c r="AO2182" s="167" t="str">
        <f t="shared" si="946"/>
        <v>2010</v>
      </c>
      <c r="AP2182" s="167" t="str">
        <f t="shared" si="947"/>
        <v>2010</v>
      </c>
      <c r="AQ2182" s="169" t="str">
        <f t="shared" si="948"/>
        <v/>
      </c>
      <c r="AR2182" s="170" t="str">
        <f t="shared" si="949"/>
        <v>BiK82a1K10y-08</v>
      </c>
      <c r="AS2182" s="169" t="str">
        <f t="shared" si="950"/>
        <v/>
      </c>
      <c r="AT2182">
        <f t="shared" si="951"/>
        <v>14</v>
      </c>
      <c r="AU2182" s="170" t="str">
        <f t="shared" si="952"/>
        <v>0,15-0,5 MW, Bonusregeln a1, y und K erstmals 2010</v>
      </c>
      <c r="AV2182" s="169" t="str">
        <f t="shared" si="953"/>
        <v/>
      </c>
      <c r="AW2182" s="170" t="str">
        <f t="shared" si="954"/>
        <v>Anteil KWK, erstmals 2010</v>
      </c>
      <c r="AX2182" s="169" t="str">
        <f t="shared" si="955"/>
        <v/>
      </c>
      <c r="AY2182" t="str">
        <f t="shared" si="956"/>
        <v/>
      </c>
      <c r="AZ2182" t="str">
        <f t="shared" si="957"/>
        <v/>
      </c>
    </row>
    <row r="2183" spans="1:52" x14ac:dyDescent="0.35">
      <c r="A2183" s="497" t="s">
        <v>3460</v>
      </c>
      <c r="B2183" s="13" t="s">
        <v>5547</v>
      </c>
      <c r="C2183" s="13" t="s">
        <v>5539</v>
      </c>
      <c r="D2183" s="13" t="s">
        <v>7111</v>
      </c>
      <c r="E2183" s="13" t="s">
        <v>3054</v>
      </c>
      <c r="F2183" s="373">
        <f t="shared" si="964"/>
        <v>19.259999999999998</v>
      </c>
      <c r="G2183" s="430">
        <v>19.259999999999998</v>
      </c>
      <c r="H2183" s="399">
        <f t="shared" si="965"/>
        <v>15.41</v>
      </c>
      <c r="I2183" s="576"/>
      <c r="J2183" s="549" t="s">
        <v>5804</v>
      </c>
      <c r="K2183" s="11"/>
      <c r="M2183" s="37">
        <f t="shared" si="966"/>
        <v>19.259999999999998</v>
      </c>
      <c r="N2183" s="29">
        <v>9.32</v>
      </c>
      <c r="O2183" s="41"/>
      <c r="P2183" s="11"/>
      <c r="S2183" t="s">
        <v>1017</v>
      </c>
      <c r="T2183" t="s">
        <v>4179</v>
      </c>
      <c r="U2183" s="42" t="s">
        <v>1017</v>
      </c>
      <c r="V2183" t="s">
        <v>1017</v>
      </c>
      <c r="W2183" s="50"/>
      <c r="X2183" s="50"/>
      <c r="Z2183" s="50"/>
      <c r="AC2183" s="50"/>
      <c r="AE2183" s="75"/>
      <c r="AF2183" s="50"/>
      <c r="AG2183" s="50"/>
      <c r="AH2183" s="166" t="str">
        <f t="shared" si="963"/>
        <v>2011</v>
      </c>
      <c r="AI2183" s="168" t="str">
        <f t="shared" si="958"/>
        <v/>
      </c>
      <c r="AJ2183" s="168" t="str">
        <f t="shared" si="959"/>
        <v/>
      </c>
      <c r="AK2183" s="168" t="str">
        <f t="shared" si="960"/>
        <v/>
      </c>
      <c r="AL2183" s="168" t="str">
        <f t="shared" si="961"/>
        <v/>
      </c>
      <c r="AM2183" s="168" t="str">
        <f t="shared" si="962"/>
        <v/>
      </c>
      <c r="AN2183" s="167" t="str">
        <f t="shared" si="945"/>
        <v>2011</v>
      </c>
      <c r="AO2183" s="167" t="str">
        <f t="shared" si="946"/>
        <v>2011</v>
      </c>
      <c r="AP2183" s="167" t="str">
        <f t="shared" si="947"/>
        <v>2011</v>
      </c>
      <c r="AQ2183" s="169" t="str">
        <f t="shared" si="948"/>
        <v/>
      </c>
      <c r="AR2183" s="170" t="str">
        <f t="shared" si="949"/>
        <v>BiK82a1K11y-08</v>
      </c>
      <c r="AS2183" s="169" t="str">
        <f t="shared" si="950"/>
        <v/>
      </c>
      <c r="AT2183">
        <f t="shared" si="951"/>
        <v>14</v>
      </c>
      <c r="AU2183" s="170" t="str">
        <f t="shared" si="952"/>
        <v>0,15-0,5 MW, Bonusregeln a1, y und K erstmals 2011</v>
      </c>
      <c r="AV2183" s="169" t="str">
        <f t="shared" si="953"/>
        <v/>
      </c>
      <c r="AW2183" s="170" t="str">
        <f t="shared" si="954"/>
        <v>Anteil KWK, erstmals 2011</v>
      </c>
      <c r="AX2183" s="169" t="str">
        <f t="shared" si="955"/>
        <v/>
      </c>
      <c r="AY2183" t="str">
        <f t="shared" si="956"/>
        <v>x</v>
      </c>
      <c r="AZ2183" t="str">
        <f t="shared" si="957"/>
        <v/>
      </c>
    </row>
    <row r="2184" spans="1:52" x14ac:dyDescent="0.35">
      <c r="A2184" s="511" t="s">
        <v>1893</v>
      </c>
      <c r="B2184" s="173" t="s">
        <v>5547</v>
      </c>
      <c r="C2184" s="173" t="s">
        <v>5539</v>
      </c>
      <c r="D2184" s="173" t="s">
        <v>7112</v>
      </c>
      <c r="E2184" s="173" t="s">
        <v>1980</v>
      </c>
      <c r="F2184" s="374">
        <f t="shared" si="964"/>
        <v>19.23</v>
      </c>
      <c r="G2184" s="431">
        <v>19.23</v>
      </c>
      <c r="H2184" s="400">
        <f t="shared" si="965"/>
        <v>15.38</v>
      </c>
      <c r="I2184" s="577"/>
      <c r="J2184" s="549" t="s">
        <v>5804</v>
      </c>
      <c r="K2184" s="11"/>
      <c r="M2184" s="37">
        <f t="shared" si="966"/>
        <v>19.23</v>
      </c>
      <c r="N2184" s="29">
        <v>9.32</v>
      </c>
      <c r="O2184" s="41"/>
      <c r="P2184" s="11"/>
      <c r="S2184" t="s">
        <v>4179</v>
      </c>
      <c r="T2184" t="s">
        <v>1017</v>
      </c>
      <c r="U2184" s="42" t="s">
        <v>1017</v>
      </c>
      <c r="V2184" t="s">
        <v>1017</v>
      </c>
      <c r="W2184" s="50"/>
      <c r="X2184" s="50"/>
      <c r="Z2184" s="50"/>
      <c r="AC2184" s="50"/>
      <c r="AE2184" s="75"/>
      <c r="AF2184" s="50"/>
      <c r="AG2184" s="50"/>
      <c r="AH2184" s="171" t="s">
        <v>4178</v>
      </c>
      <c r="AI2184" s="168" t="str">
        <f t="shared" si="958"/>
        <v/>
      </c>
      <c r="AJ2184" s="168" t="str">
        <f t="shared" si="959"/>
        <v/>
      </c>
      <c r="AK2184" s="168" t="str">
        <f t="shared" si="960"/>
        <v/>
      </c>
      <c r="AL2184" s="168" t="str">
        <f t="shared" si="961"/>
        <v/>
      </c>
      <c r="AM2184" s="168" t="str">
        <f t="shared" si="962"/>
        <v/>
      </c>
      <c r="AN2184" s="167" t="str">
        <f t="shared" si="945"/>
        <v>2012</v>
      </c>
      <c r="AO2184" s="167" t="str">
        <f t="shared" si="946"/>
        <v>2012</v>
      </c>
      <c r="AP2184" s="167" t="str">
        <f t="shared" si="947"/>
        <v>2012</v>
      </c>
      <c r="AQ2184" s="169" t="str">
        <f t="shared" si="948"/>
        <v/>
      </c>
      <c r="AR2184" s="170" t="str">
        <f t="shared" si="949"/>
        <v>BiK82a1K12y-08</v>
      </c>
      <c r="AS2184" s="169" t="str">
        <f t="shared" si="950"/>
        <v/>
      </c>
      <c r="AT2184">
        <f t="shared" si="951"/>
        <v>14</v>
      </c>
      <c r="AU2184" s="170" t="str">
        <f t="shared" si="952"/>
        <v>0,15-0,5 MW, Bonusregeln a1, y und K erstmals 2012</v>
      </c>
      <c r="AV2184" s="169" t="str">
        <f t="shared" si="953"/>
        <v/>
      </c>
      <c r="AW2184" s="170" t="str">
        <f t="shared" si="954"/>
        <v>Anteil KWK, erstmals 2012</v>
      </c>
      <c r="AX2184" s="169" t="str">
        <f t="shared" si="955"/>
        <v/>
      </c>
      <c r="AY2184" t="str">
        <f t="shared" si="956"/>
        <v/>
      </c>
      <c r="AZ2184" t="str">
        <f t="shared" si="957"/>
        <v>x</v>
      </c>
    </row>
    <row r="2185" spans="1:52" x14ac:dyDescent="0.35">
      <c r="A2185" s="497" t="s">
        <v>4045</v>
      </c>
      <c r="B2185" s="13" t="s">
        <v>5547</v>
      </c>
      <c r="C2185" s="13" t="s">
        <v>5539</v>
      </c>
      <c r="D2185" s="13" t="s">
        <v>7029</v>
      </c>
      <c r="E2185" s="13" t="s">
        <v>4809</v>
      </c>
      <c r="F2185" s="373">
        <f t="shared" si="964"/>
        <v>16.32</v>
      </c>
      <c r="G2185" s="430">
        <v>16.32</v>
      </c>
      <c r="H2185" s="399">
        <f t="shared" si="965"/>
        <v>13.06</v>
      </c>
      <c r="I2185" s="576"/>
      <c r="J2185" s="549" t="s">
        <v>5804</v>
      </c>
      <c r="K2185" s="11"/>
      <c r="M2185" s="37">
        <f t="shared" si="966"/>
        <v>16.32</v>
      </c>
      <c r="N2185" s="29">
        <v>9.32</v>
      </c>
      <c r="O2185" s="149"/>
      <c r="P2185" s="144"/>
      <c r="Q2185" s="145"/>
      <c r="R2185" s="145"/>
      <c r="S2185" s="145" t="s">
        <v>4179</v>
      </c>
      <c r="T2185" t="s">
        <v>4179</v>
      </c>
      <c r="U2185" s="146"/>
      <c r="V2185" s="145"/>
      <c r="W2185" s="147"/>
      <c r="X2185" s="147"/>
      <c r="Y2185" s="145" t="s">
        <v>1017</v>
      </c>
      <c r="Z2185" s="147"/>
      <c r="AA2185" s="145"/>
      <c r="AB2185" s="145"/>
      <c r="AC2185" s="147"/>
      <c r="AD2185" s="145"/>
      <c r="AE2185" s="148"/>
      <c r="AF2185" s="147"/>
      <c r="AG2185" s="147"/>
      <c r="AH2185" s="166" t="str">
        <f t="shared" ref="AH2185:AH2190" si="967">IF(ISERROR(SEARCH("K erstmals 201",D2185)),"",RIGHT(D2185,4))</f>
        <v/>
      </c>
      <c r="AI2185" s="168" t="str">
        <f t="shared" si="958"/>
        <v/>
      </c>
      <c r="AJ2185" s="168" t="str">
        <f t="shared" si="959"/>
        <v/>
      </c>
      <c r="AK2185" s="168" t="str">
        <f t="shared" si="960"/>
        <v/>
      </c>
      <c r="AL2185" s="168" t="str">
        <f t="shared" si="961"/>
        <v/>
      </c>
      <c r="AM2185" s="168" t="str">
        <f t="shared" si="962"/>
        <v/>
      </c>
      <c r="AN2185" s="167" t="str">
        <f t="shared" si="945"/>
        <v/>
      </c>
      <c r="AO2185" s="167" t="str">
        <f t="shared" si="946"/>
        <v/>
      </c>
      <c r="AP2185" s="167" t="str">
        <f t="shared" si="947"/>
        <v/>
      </c>
      <c r="AQ2185" s="169" t="str">
        <f t="shared" si="948"/>
        <v/>
      </c>
      <c r="AR2185" s="170" t="str">
        <f t="shared" si="949"/>
        <v>BiK82G------08</v>
      </c>
      <c r="AS2185" s="169" t="str">
        <f t="shared" si="950"/>
        <v/>
      </c>
      <c r="AT2185">
        <f t="shared" si="951"/>
        <v>14</v>
      </c>
      <c r="AU2185" s="170" t="str">
        <f t="shared" si="952"/>
        <v>0,15-0,5 MW, Bonusregel G</v>
      </c>
      <c r="AV2185" s="169" t="str">
        <f t="shared" si="953"/>
        <v/>
      </c>
      <c r="AW2185" s="170" t="str">
        <f t="shared" si="954"/>
        <v>Anteil Nicht-KWK</v>
      </c>
      <c r="AX2185" s="169" t="str">
        <f t="shared" si="955"/>
        <v/>
      </c>
      <c r="AY2185" t="str">
        <f t="shared" si="956"/>
        <v/>
      </c>
      <c r="AZ2185" t="str">
        <f t="shared" si="957"/>
        <v/>
      </c>
    </row>
    <row r="2186" spans="1:52" x14ac:dyDescent="0.35">
      <c r="A2186" s="497" t="s">
        <v>4046</v>
      </c>
      <c r="B2186" s="13" t="s">
        <v>5547</v>
      </c>
      <c r="C2186" s="13" t="s">
        <v>5539</v>
      </c>
      <c r="D2186" s="13" t="s">
        <v>7113</v>
      </c>
      <c r="E2186" s="13" t="s">
        <v>4811</v>
      </c>
      <c r="F2186" s="373">
        <f t="shared" si="964"/>
        <v>18.32</v>
      </c>
      <c r="G2186" s="430">
        <v>18.32</v>
      </c>
      <c r="H2186" s="399">
        <f t="shared" si="965"/>
        <v>14.66</v>
      </c>
      <c r="I2186" s="576"/>
      <c r="J2186" s="549" t="s">
        <v>5804</v>
      </c>
      <c r="K2186" s="11"/>
      <c r="M2186" s="37">
        <f t="shared" si="966"/>
        <v>18.32</v>
      </c>
      <c r="N2186" s="29">
        <v>9.32</v>
      </c>
      <c r="O2186" s="149" t="s">
        <v>1017</v>
      </c>
      <c r="P2186" s="144"/>
      <c r="Q2186" s="145"/>
      <c r="R2186" s="145"/>
      <c r="S2186" s="145" t="s">
        <v>4179</v>
      </c>
      <c r="T2186" t="s">
        <v>4179</v>
      </c>
      <c r="U2186" s="146"/>
      <c r="V2186" s="145"/>
      <c r="W2186" s="147"/>
      <c r="X2186" s="147"/>
      <c r="Y2186" s="145" t="s">
        <v>1017</v>
      </c>
      <c r="Z2186" s="147"/>
      <c r="AA2186" s="145"/>
      <c r="AB2186" s="145"/>
      <c r="AC2186" s="147"/>
      <c r="AD2186" s="145"/>
      <c r="AE2186" s="148"/>
      <c r="AF2186" s="147"/>
      <c r="AG2186" s="147"/>
      <c r="AH2186" s="166" t="str">
        <f t="shared" si="967"/>
        <v/>
      </c>
      <c r="AI2186" s="168" t="str">
        <f t="shared" si="958"/>
        <v/>
      </c>
      <c r="AJ2186" s="168" t="str">
        <f t="shared" si="959"/>
        <v/>
      </c>
      <c r="AK2186" s="168" t="str">
        <f t="shared" si="960"/>
        <v/>
      </c>
      <c r="AL2186" s="168" t="str">
        <f t="shared" si="961"/>
        <v/>
      </c>
      <c r="AM2186" s="168" t="str">
        <f t="shared" si="962"/>
        <v/>
      </c>
      <c r="AN2186" s="167" t="str">
        <f t="shared" si="945"/>
        <v/>
      </c>
      <c r="AO2186" s="167" t="str">
        <f t="shared" si="946"/>
        <v/>
      </c>
      <c r="AP2186" s="167" t="str">
        <f t="shared" si="947"/>
        <v/>
      </c>
      <c r="AQ2186" s="169" t="str">
        <f t="shared" si="948"/>
        <v/>
      </c>
      <c r="AR2186" s="170" t="str">
        <f t="shared" si="949"/>
        <v>BiK82GKWK---08</v>
      </c>
      <c r="AS2186" s="169" t="str">
        <f t="shared" si="950"/>
        <v/>
      </c>
      <c r="AT2186">
        <f t="shared" si="951"/>
        <v>14</v>
      </c>
      <c r="AU2186" s="170" t="str">
        <f t="shared" si="952"/>
        <v>0,15-0,5 MW, Bonusregeln G und KWK</v>
      </c>
      <c r="AV2186" s="169" t="str">
        <f t="shared" si="953"/>
        <v/>
      </c>
      <c r="AW2186" s="170" t="str">
        <f t="shared" si="954"/>
        <v>Anteil KWK</v>
      </c>
      <c r="AX2186" s="169" t="str">
        <f t="shared" si="955"/>
        <v/>
      </c>
      <c r="AY2186" t="str">
        <f t="shared" si="956"/>
        <v/>
      </c>
      <c r="AZ2186" t="str">
        <f t="shared" si="957"/>
        <v/>
      </c>
    </row>
    <row r="2187" spans="1:52" x14ac:dyDescent="0.35">
      <c r="A2187" s="497" t="s">
        <v>4047</v>
      </c>
      <c r="B2187" s="13" t="s">
        <v>5547</v>
      </c>
      <c r="C2187" s="13" t="s">
        <v>5539</v>
      </c>
      <c r="D2187" s="13" t="s">
        <v>7030</v>
      </c>
      <c r="E2187" s="13" t="s">
        <v>4330</v>
      </c>
      <c r="F2187" s="373">
        <f t="shared" si="964"/>
        <v>19.32</v>
      </c>
      <c r="G2187" s="430">
        <v>19.32</v>
      </c>
      <c r="H2187" s="399">
        <f t="shared" si="965"/>
        <v>15.46</v>
      </c>
      <c r="I2187" s="576"/>
      <c r="J2187" s="549" t="s">
        <v>5804</v>
      </c>
      <c r="K2187" s="11"/>
      <c r="M2187" s="37">
        <f t="shared" si="966"/>
        <v>19.32</v>
      </c>
      <c r="N2187" s="29">
        <v>9.32</v>
      </c>
      <c r="O2187" s="149"/>
      <c r="P2187" s="145" t="s">
        <v>1017</v>
      </c>
      <c r="Q2187" s="145"/>
      <c r="R2187" s="145"/>
      <c r="S2187" s="145" t="s">
        <v>4179</v>
      </c>
      <c r="T2187" t="s">
        <v>4179</v>
      </c>
      <c r="U2187" s="146"/>
      <c r="V2187" s="145"/>
      <c r="W2187" s="147"/>
      <c r="X2187" s="147"/>
      <c r="Y2187" s="145" t="s">
        <v>1017</v>
      </c>
      <c r="Z2187" s="147"/>
      <c r="AA2187" s="145"/>
      <c r="AB2187" s="145"/>
      <c r="AC2187" s="147"/>
      <c r="AD2187" s="145"/>
      <c r="AE2187" s="148"/>
      <c r="AF2187" s="147"/>
      <c r="AG2187" s="147"/>
      <c r="AH2187" s="166" t="str">
        <f t="shared" si="967"/>
        <v/>
      </c>
      <c r="AI2187" s="168" t="str">
        <f t="shared" si="958"/>
        <v/>
      </c>
      <c r="AJ2187" s="168" t="str">
        <f t="shared" si="959"/>
        <v/>
      </c>
      <c r="AK2187" s="168" t="str">
        <f t="shared" si="960"/>
        <v/>
      </c>
      <c r="AL2187" s="168" t="str">
        <f t="shared" si="961"/>
        <v/>
      </c>
      <c r="AM2187" s="168" t="str">
        <f t="shared" si="962"/>
        <v/>
      </c>
      <c r="AN2187" s="167" t="str">
        <f t="shared" si="945"/>
        <v/>
      </c>
      <c r="AO2187" s="167" t="str">
        <f t="shared" si="946"/>
        <v/>
      </c>
      <c r="AP2187" s="167" t="str">
        <f t="shared" si="947"/>
        <v/>
      </c>
      <c r="AQ2187" s="169" t="str">
        <f t="shared" si="948"/>
        <v/>
      </c>
      <c r="AR2187" s="170" t="str">
        <f t="shared" si="949"/>
        <v>BiK82GKA3---08</v>
      </c>
      <c r="AS2187" s="169" t="str">
        <f t="shared" si="950"/>
        <v/>
      </c>
      <c r="AT2187">
        <f t="shared" si="951"/>
        <v>14</v>
      </c>
      <c r="AU2187" s="170" t="str">
        <f t="shared" si="952"/>
        <v>0,15-0,5 MW, Bonusregeln G und K wenn Anlage 3 erfüllt</v>
      </c>
      <c r="AV2187" s="169" t="str">
        <f t="shared" si="953"/>
        <v/>
      </c>
      <c r="AW2187" s="170" t="str">
        <f t="shared" si="954"/>
        <v>Anteil KWK gemäß Anlage 3</v>
      </c>
      <c r="AX2187" s="169" t="str">
        <f t="shared" si="955"/>
        <v/>
      </c>
      <c r="AY2187" t="str">
        <f t="shared" si="956"/>
        <v/>
      </c>
      <c r="AZ2187" t="str">
        <f t="shared" si="957"/>
        <v/>
      </c>
    </row>
    <row r="2188" spans="1:52" x14ac:dyDescent="0.35">
      <c r="A2188" s="497" t="s">
        <v>4048</v>
      </c>
      <c r="B2188" s="13" t="s">
        <v>5547</v>
      </c>
      <c r="C2188" s="13" t="s">
        <v>5539</v>
      </c>
      <c r="D2188" s="13" t="s">
        <v>7031</v>
      </c>
      <c r="E2188" s="13" t="s">
        <v>674</v>
      </c>
      <c r="F2188" s="373">
        <f t="shared" si="964"/>
        <v>19.32</v>
      </c>
      <c r="G2188" s="430">
        <v>19.32</v>
      </c>
      <c r="H2188" s="399">
        <f t="shared" si="965"/>
        <v>15.46</v>
      </c>
      <c r="I2188" s="576"/>
      <c r="J2188" s="549" t="s">
        <v>5804</v>
      </c>
      <c r="K2188" s="11"/>
      <c r="M2188" s="37">
        <f t="shared" si="966"/>
        <v>19.32</v>
      </c>
      <c r="N2188" s="29">
        <v>9.32</v>
      </c>
      <c r="O2188" s="149"/>
      <c r="P2188" s="144"/>
      <c r="Q2188" s="145" t="s">
        <v>1017</v>
      </c>
      <c r="R2188" s="145"/>
      <c r="S2188" s="145" t="s">
        <v>4179</v>
      </c>
      <c r="T2188" t="s">
        <v>4179</v>
      </c>
      <c r="U2188" s="146"/>
      <c r="V2188" s="145"/>
      <c r="W2188" s="147"/>
      <c r="X2188" s="147"/>
      <c r="Y2188" s="145" t="s">
        <v>1017</v>
      </c>
      <c r="Z2188" s="147"/>
      <c r="AA2188" s="145"/>
      <c r="AB2188" s="145"/>
      <c r="AC2188" s="147"/>
      <c r="AD2188" s="145"/>
      <c r="AE2188" s="148"/>
      <c r="AF2188" s="147"/>
      <c r="AG2188" s="147"/>
      <c r="AH2188" s="166" t="str">
        <f t="shared" si="967"/>
        <v/>
      </c>
      <c r="AI2188" s="168" t="str">
        <f t="shared" si="958"/>
        <v/>
      </c>
      <c r="AJ2188" s="168" t="str">
        <f t="shared" si="959"/>
        <v/>
      </c>
      <c r="AK2188" s="168" t="str">
        <f t="shared" si="960"/>
        <v/>
      </c>
      <c r="AL2188" s="168" t="str">
        <f t="shared" si="961"/>
        <v/>
      </c>
      <c r="AM2188" s="168" t="str">
        <f t="shared" si="962"/>
        <v/>
      </c>
      <c r="AN2188" s="167" t="str">
        <f t="shared" si="945"/>
        <v/>
      </c>
      <c r="AO2188" s="167" t="str">
        <f t="shared" si="946"/>
        <v/>
      </c>
      <c r="AP2188" s="167" t="str">
        <f t="shared" si="947"/>
        <v/>
      </c>
      <c r="AQ2188" s="169" t="str">
        <f t="shared" si="948"/>
        <v/>
      </c>
      <c r="AR2188" s="170" t="str">
        <f t="shared" si="949"/>
        <v>BiK82GK09---08</v>
      </c>
      <c r="AS2188" s="169" t="str">
        <f t="shared" si="950"/>
        <v/>
      </c>
      <c r="AT2188">
        <f t="shared" si="951"/>
        <v>14</v>
      </c>
      <c r="AU2188" s="170" t="str">
        <f t="shared" si="952"/>
        <v>0,15-0,5 MW, Bonusregeln G und K erstmals 2009</v>
      </c>
      <c r="AV2188" s="169" t="str">
        <f t="shared" si="953"/>
        <v/>
      </c>
      <c r="AW2188" s="170" t="str">
        <f t="shared" si="954"/>
        <v>Anteil KWK, erstmals 2009</v>
      </c>
      <c r="AX2188" s="169" t="str">
        <f t="shared" si="955"/>
        <v/>
      </c>
      <c r="AY2188" t="str">
        <f t="shared" si="956"/>
        <v/>
      </c>
      <c r="AZ2188" t="str">
        <f t="shared" si="957"/>
        <v/>
      </c>
    </row>
    <row r="2189" spans="1:52" x14ac:dyDescent="0.35">
      <c r="A2189" s="497" t="s">
        <v>3185</v>
      </c>
      <c r="B2189" s="13" t="s">
        <v>5547</v>
      </c>
      <c r="C2189" s="13" t="s">
        <v>5539</v>
      </c>
      <c r="D2189" s="13" t="s">
        <v>7032</v>
      </c>
      <c r="E2189" s="13" t="s">
        <v>3566</v>
      </c>
      <c r="F2189" s="373">
        <f t="shared" si="964"/>
        <v>19.29</v>
      </c>
      <c r="G2189" s="430">
        <v>19.29</v>
      </c>
      <c r="H2189" s="399">
        <f t="shared" si="965"/>
        <v>15.43</v>
      </c>
      <c r="I2189" s="576"/>
      <c r="J2189" s="549" t="s">
        <v>5804</v>
      </c>
      <c r="K2189" s="11"/>
      <c r="M2189" s="37">
        <f t="shared" si="966"/>
        <v>19.29</v>
      </c>
      <c r="N2189" s="29">
        <v>9.32</v>
      </c>
      <c r="O2189" s="149"/>
      <c r="P2189" s="144"/>
      <c r="Q2189" s="145"/>
      <c r="R2189" s="145" t="s">
        <v>1017</v>
      </c>
      <c r="S2189" s="145" t="s">
        <v>4179</v>
      </c>
      <c r="T2189" t="s">
        <v>4179</v>
      </c>
      <c r="U2189" s="146"/>
      <c r="V2189" s="145"/>
      <c r="W2189" s="147"/>
      <c r="X2189" s="147"/>
      <c r="Y2189" s="145" t="s">
        <v>1017</v>
      </c>
      <c r="Z2189" s="147"/>
      <c r="AA2189" s="145"/>
      <c r="AB2189" s="145"/>
      <c r="AC2189" s="147"/>
      <c r="AD2189" s="145"/>
      <c r="AE2189" s="148"/>
      <c r="AF2189" s="147"/>
      <c r="AG2189" s="147"/>
      <c r="AH2189" s="166" t="str">
        <f t="shared" si="967"/>
        <v>2010</v>
      </c>
      <c r="AI2189" s="168" t="str">
        <f t="shared" si="958"/>
        <v/>
      </c>
      <c r="AJ2189" s="168" t="str">
        <f t="shared" si="959"/>
        <v/>
      </c>
      <c r="AK2189" s="168" t="str">
        <f t="shared" si="960"/>
        <v/>
      </c>
      <c r="AL2189" s="168" t="str">
        <f t="shared" si="961"/>
        <v/>
      </c>
      <c r="AM2189" s="168" t="str">
        <f t="shared" si="962"/>
        <v/>
      </c>
      <c r="AN2189" s="167" t="str">
        <f t="shared" si="945"/>
        <v>2010</v>
      </c>
      <c r="AO2189" s="167" t="str">
        <f t="shared" si="946"/>
        <v>2010</v>
      </c>
      <c r="AP2189" s="167" t="str">
        <f t="shared" si="947"/>
        <v>2010</v>
      </c>
      <c r="AQ2189" s="169" t="str">
        <f t="shared" si="948"/>
        <v/>
      </c>
      <c r="AR2189" s="170" t="str">
        <f t="shared" si="949"/>
        <v>BiK82GK10---08</v>
      </c>
      <c r="AS2189" s="169" t="str">
        <f t="shared" si="950"/>
        <v/>
      </c>
      <c r="AT2189">
        <f t="shared" si="951"/>
        <v>14</v>
      </c>
      <c r="AU2189" s="170" t="str">
        <f t="shared" si="952"/>
        <v>0,15-0,5 MW, Bonusregeln G und K erstmals 2010</v>
      </c>
      <c r="AV2189" s="169" t="str">
        <f t="shared" si="953"/>
        <v/>
      </c>
      <c r="AW2189" s="170" t="str">
        <f t="shared" si="954"/>
        <v>Anteil KWK, erstmals 2010</v>
      </c>
      <c r="AX2189" s="169" t="str">
        <f t="shared" si="955"/>
        <v/>
      </c>
      <c r="AY2189" t="str">
        <f t="shared" si="956"/>
        <v/>
      </c>
      <c r="AZ2189" t="str">
        <f t="shared" si="957"/>
        <v/>
      </c>
    </row>
    <row r="2190" spans="1:52" s="145" customFormat="1" x14ac:dyDescent="0.35">
      <c r="A2190" s="497" t="s">
        <v>3461</v>
      </c>
      <c r="B2190" s="13" t="s">
        <v>5547</v>
      </c>
      <c r="C2190" s="13" t="s">
        <v>5539</v>
      </c>
      <c r="D2190" s="13" t="s">
        <v>7033</v>
      </c>
      <c r="E2190" s="13" t="s">
        <v>3054</v>
      </c>
      <c r="F2190" s="373">
        <f t="shared" si="964"/>
        <v>19.259999999999998</v>
      </c>
      <c r="G2190" s="430">
        <v>19.259999999999998</v>
      </c>
      <c r="H2190" s="399">
        <f t="shared" si="965"/>
        <v>15.41</v>
      </c>
      <c r="I2190" s="576"/>
      <c r="J2190" s="549" t="s">
        <v>5804</v>
      </c>
      <c r="K2190" s="11"/>
      <c r="L2190"/>
      <c r="M2190" s="37">
        <f t="shared" si="966"/>
        <v>19.259999999999998</v>
      </c>
      <c r="N2190" s="29">
        <v>9.32</v>
      </c>
      <c r="O2190" s="149"/>
      <c r="P2190" s="144"/>
      <c r="S2190" s="145" t="s">
        <v>1017</v>
      </c>
      <c r="T2190" s="145" t="s">
        <v>4179</v>
      </c>
      <c r="U2190" s="146"/>
      <c r="W2190" s="147"/>
      <c r="X2190" s="147"/>
      <c r="Y2190" s="145" t="s">
        <v>1017</v>
      </c>
      <c r="Z2190" s="147"/>
      <c r="AC2190" s="147"/>
      <c r="AE2190" s="148"/>
      <c r="AF2190" s="147"/>
      <c r="AG2190" s="147"/>
      <c r="AH2190" s="166" t="str">
        <f t="shared" si="967"/>
        <v>2011</v>
      </c>
      <c r="AI2190" s="168" t="str">
        <f t="shared" si="958"/>
        <v/>
      </c>
      <c r="AJ2190" s="168" t="str">
        <f t="shared" si="959"/>
        <v/>
      </c>
      <c r="AK2190" s="168" t="str">
        <f t="shared" si="960"/>
        <v/>
      </c>
      <c r="AL2190" s="168" t="str">
        <f t="shared" si="961"/>
        <v/>
      </c>
      <c r="AM2190" s="168" t="str">
        <f t="shared" si="962"/>
        <v/>
      </c>
      <c r="AN2190" s="167" t="str">
        <f t="shared" si="945"/>
        <v>2011</v>
      </c>
      <c r="AO2190" s="167" t="str">
        <f t="shared" si="946"/>
        <v>2011</v>
      </c>
      <c r="AP2190" s="167" t="str">
        <f t="shared" si="947"/>
        <v>2011</v>
      </c>
      <c r="AQ2190" s="169" t="str">
        <f t="shared" si="948"/>
        <v/>
      </c>
      <c r="AR2190" s="170" t="str">
        <f t="shared" si="949"/>
        <v>BiK82GK11---08</v>
      </c>
      <c r="AS2190" s="169" t="str">
        <f t="shared" si="950"/>
        <v/>
      </c>
      <c r="AT2190">
        <f t="shared" si="951"/>
        <v>14</v>
      </c>
      <c r="AU2190" s="170" t="str">
        <f t="shared" si="952"/>
        <v>0,15-0,5 MW, Bonusregeln G und K erstmals 2011</v>
      </c>
      <c r="AV2190" s="169" t="str">
        <f t="shared" si="953"/>
        <v/>
      </c>
      <c r="AW2190" s="170" t="str">
        <f t="shared" si="954"/>
        <v>Anteil KWK, erstmals 2011</v>
      </c>
      <c r="AX2190" s="169" t="str">
        <f t="shared" si="955"/>
        <v/>
      </c>
      <c r="AY2190" t="str">
        <f t="shared" si="956"/>
        <v>x</v>
      </c>
      <c r="AZ2190" t="str">
        <f t="shared" si="957"/>
        <v/>
      </c>
    </row>
    <row r="2191" spans="1:52" s="145" customFormat="1" x14ac:dyDescent="0.35">
      <c r="A2191" s="511" t="s">
        <v>1894</v>
      </c>
      <c r="B2191" s="173" t="s">
        <v>5547</v>
      </c>
      <c r="C2191" s="173" t="s">
        <v>5539</v>
      </c>
      <c r="D2191" s="173" t="s">
        <v>7034</v>
      </c>
      <c r="E2191" s="173" t="s">
        <v>1980</v>
      </c>
      <c r="F2191" s="374">
        <f t="shared" si="964"/>
        <v>19.23</v>
      </c>
      <c r="G2191" s="431">
        <v>19.23</v>
      </c>
      <c r="H2191" s="400">
        <f t="shared" si="965"/>
        <v>15.38</v>
      </c>
      <c r="I2191" s="577"/>
      <c r="J2191" s="549" t="s">
        <v>5804</v>
      </c>
      <c r="K2191" s="11"/>
      <c r="L2191"/>
      <c r="M2191" s="37">
        <f t="shared" si="966"/>
        <v>19.23</v>
      </c>
      <c r="N2191" s="29">
        <v>9.32</v>
      </c>
      <c r="O2191" s="149"/>
      <c r="P2191" s="144"/>
      <c r="S2191" s="145" t="s">
        <v>4179</v>
      </c>
      <c r="T2191" s="145" t="s">
        <v>1017</v>
      </c>
      <c r="U2191" s="146"/>
      <c r="W2191" s="147"/>
      <c r="X2191" s="147"/>
      <c r="Y2191" s="145" t="s">
        <v>1017</v>
      </c>
      <c r="Z2191" s="147"/>
      <c r="AC2191" s="147"/>
      <c r="AE2191" s="148"/>
      <c r="AF2191" s="147"/>
      <c r="AG2191" s="147"/>
      <c r="AH2191" s="171" t="s">
        <v>4178</v>
      </c>
      <c r="AI2191" s="168" t="str">
        <f t="shared" si="958"/>
        <v/>
      </c>
      <c r="AJ2191" s="168" t="str">
        <f t="shared" si="959"/>
        <v/>
      </c>
      <c r="AK2191" s="168" t="str">
        <f t="shared" si="960"/>
        <v/>
      </c>
      <c r="AL2191" s="168" t="str">
        <f t="shared" si="961"/>
        <v/>
      </c>
      <c r="AM2191" s="168" t="str">
        <f t="shared" si="962"/>
        <v/>
      </c>
      <c r="AN2191" s="167" t="str">
        <f t="shared" si="945"/>
        <v>2012</v>
      </c>
      <c r="AO2191" s="167" t="str">
        <f t="shared" si="946"/>
        <v>2012</v>
      </c>
      <c r="AP2191" s="167" t="str">
        <f t="shared" si="947"/>
        <v>2012</v>
      </c>
      <c r="AQ2191" s="169" t="str">
        <f t="shared" si="948"/>
        <v/>
      </c>
      <c r="AR2191" s="170" t="str">
        <f t="shared" si="949"/>
        <v>BiK82GK12---08</v>
      </c>
      <c r="AS2191" s="169" t="str">
        <f t="shared" si="950"/>
        <v/>
      </c>
      <c r="AT2191">
        <f t="shared" si="951"/>
        <v>14</v>
      </c>
      <c r="AU2191" s="170" t="str">
        <f t="shared" si="952"/>
        <v>0,15-0,5 MW, Bonusregeln G und K erstmals 2012</v>
      </c>
      <c r="AV2191" s="169" t="str">
        <f t="shared" si="953"/>
        <v/>
      </c>
      <c r="AW2191" s="170" t="str">
        <f t="shared" si="954"/>
        <v>Anteil KWK, erstmals 2012</v>
      </c>
      <c r="AX2191" s="169" t="str">
        <f t="shared" si="955"/>
        <v/>
      </c>
      <c r="AY2191" t="str">
        <f t="shared" si="956"/>
        <v/>
      </c>
      <c r="AZ2191" t="str">
        <f t="shared" si="957"/>
        <v>x</v>
      </c>
    </row>
    <row r="2192" spans="1:52" s="145" customFormat="1" x14ac:dyDescent="0.35">
      <c r="A2192" s="497" t="s">
        <v>4049</v>
      </c>
      <c r="B2192" s="13" t="s">
        <v>5547</v>
      </c>
      <c r="C2192" s="13" t="s">
        <v>5539</v>
      </c>
      <c r="D2192" s="13" t="s">
        <v>7035</v>
      </c>
      <c r="E2192" s="13" t="s">
        <v>4809</v>
      </c>
      <c r="F2192" s="373">
        <f t="shared" si="964"/>
        <v>17.32</v>
      </c>
      <c r="G2192" s="430">
        <v>17.32</v>
      </c>
      <c r="H2192" s="399">
        <f t="shared" si="965"/>
        <v>13.86</v>
      </c>
      <c r="I2192" s="576"/>
      <c r="J2192" s="549" t="s">
        <v>5804</v>
      </c>
      <c r="K2192" s="11"/>
      <c r="L2192"/>
      <c r="M2192" s="37">
        <f t="shared" si="966"/>
        <v>17.32</v>
      </c>
      <c r="N2192" s="29">
        <v>9.32</v>
      </c>
      <c r="O2192" s="149"/>
      <c r="P2192" s="144"/>
      <c r="S2192" s="145" t="s">
        <v>4179</v>
      </c>
      <c r="T2192" s="145" t="s">
        <v>4179</v>
      </c>
      <c r="U2192" s="146" t="s">
        <v>1017</v>
      </c>
      <c r="W2192" s="147"/>
      <c r="X2192" s="147"/>
      <c r="Y2192" s="145" t="s">
        <v>1017</v>
      </c>
      <c r="Z2192" s="147"/>
      <c r="AC2192" s="147"/>
      <c r="AE2192" s="148"/>
      <c r="AF2192" s="147"/>
      <c r="AG2192" s="147"/>
      <c r="AH2192" s="166" t="str">
        <f t="shared" ref="AH2192:AH2197" si="968">IF(ISERROR(SEARCH("K erstmals 201",D2192)),"",RIGHT(D2192,4))</f>
        <v/>
      </c>
      <c r="AI2192" s="168" t="str">
        <f t="shared" si="958"/>
        <v/>
      </c>
      <c r="AJ2192" s="168" t="str">
        <f t="shared" si="959"/>
        <v/>
      </c>
      <c r="AK2192" s="168" t="str">
        <f t="shared" si="960"/>
        <v/>
      </c>
      <c r="AL2192" s="168" t="str">
        <f t="shared" si="961"/>
        <v/>
      </c>
      <c r="AM2192" s="168" t="str">
        <f t="shared" si="962"/>
        <v/>
      </c>
      <c r="AN2192" s="167" t="str">
        <f t="shared" si="945"/>
        <v/>
      </c>
      <c r="AO2192" s="167" t="str">
        <f t="shared" si="946"/>
        <v/>
      </c>
      <c r="AP2192" s="167" t="str">
        <f t="shared" si="947"/>
        <v/>
      </c>
      <c r="AQ2192" s="169" t="str">
        <f t="shared" si="948"/>
        <v/>
      </c>
      <c r="AR2192" s="170" t="str">
        <f t="shared" si="949"/>
        <v>BiK82Gy-----08</v>
      </c>
      <c r="AS2192" s="169" t="str">
        <f t="shared" si="950"/>
        <v/>
      </c>
      <c r="AT2192">
        <f t="shared" si="951"/>
        <v>14</v>
      </c>
      <c r="AU2192" s="170" t="str">
        <f t="shared" si="952"/>
        <v>0,15-0,5 MW, Bonusregel G, y</v>
      </c>
      <c r="AV2192" s="169" t="str">
        <f t="shared" si="953"/>
        <v/>
      </c>
      <c r="AW2192" s="170" t="str">
        <f t="shared" si="954"/>
        <v>Anteil Nicht-KWK</v>
      </c>
      <c r="AX2192" s="169" t="str">
        <f t="shared" si="955"/>
        <v/>
      </c>
      <c r="AY2192" t="str">
        <f t="shared" si="956"/>
        <v/>
      </c>
      <c r="AZ2192" t="str">
        <f t="shared" si="957"/>
        <v/>
      </c>
    </row>
    <row r="2193" spans="1:52" s="145" customFormat="1" x14ac:dyDescent="0.35">
      <c r="A2193" s="497" t="s">
        <v>4050</v>
      </c>
      <c r="B2193" s="13" t="s">
        <v>5547</v>
      </c>
      <c r="C2193" s="13" t="s">
        <v>5539</v>
      </c>
      <c r="D2193" s="13" t="s">
        <v>7114</v>
      </c>
      <c r="E2193" s="13" t="s">
        <v>4811</v>
      </c>
      <c r="F2193" s="373">
        <f t="shared" si="964"/>
        <v>19.32</v>
      </c>
      <c r="G2193" s="430">
        <v>19.32</v>
      </c>
      <c r="H2193" s="399">
        <f t="shared" si="965"/>
        <v>15.46</v>
      </c>
      <c r="I2193" s="576"/>
      <c r="J2193" s="549" t="s">
        <v>5804</v>
      </c>
      <c r="K2193" s="11"/>
      <c r="L2193"/>
      <c r="M2193" s="37">
        <f t="shared" si="966"/>
        <v>19.32</v>
      </c>
      <c r="N2193" s="29">
        <v>9.32</v>
      </c>
      <c r="O2193" s="149" t="s">
        <v>1017</v>
      </c>
      <c r="P2193" s="144"/>
      <c r="S2193" s="145" t="s">
        <v>4179</v>
      </c>
      <c r="T2193" s="145" t="s">
        <v>4179</v>
      </c>
      <c r="U2193" s="146" t="s">
        <v>1017</v>
      </c>
      <c r="W2193" s="147"/>
      <c r="X2193" s="147"/>
      <c r="Y2193" s="145" t="s">
        <v>1017</v>
      </c>
      <c r="Z2193" s="147"/>
      <c r="AC2193" s="147"/>
      <c r="AE2193" s="148"/>
      <c r="AF2193" s="147"/>
      <c r="AG2193" s="147"/>
      <c r="AH2193" s="166" t="str">
        <f t="shared" si="968"/>
        <v/>
      </c>
      <c r="AI2193" s="168" t="str">
        <f t="shared" si="958"/>
        <v/>
      </c>
      <c r="AJ2193" s="168" t="str">
        <f t="shared" si="959"/>
        <v/>
      </c>
      <c r="AK2193" s="168" t="str">
        <f t="shared" si="960"/>
        <v/>
      </c>
      <c r="AL2193" s="168" t="str">
        <f t="shared" si="961"/>
        <v/>
      </c>
      <c r="AM2193" s="168" t="str">
        <f t="shared" si="962"/>
        <v/>
      </c>
      <c r="AN2193" s="167" t="str">
        <f t="shared" si="945"/>
        <v/>
      </c>
      <c r="AO2193" s="167" t="str">
        <f t="shared" si="946"/>
        <v/>
      </c>
      <c r="AP2193" s="167" t="str">
        <f t="shared" si="947"/>
        <v/>
      </c>
      <c r="AQ2193" s="169" t="str">
        <f t="shared" si="948"/>
        <v/>
      </c>
      <c r="AR2193" s="170" t="str">
        <f t="shared" si="949"/>
        <v>BiK82GKWKy--08</v>
      </c>
      <c r="AS2193" s="169" t="str">
        <f t="shared" si="950"/>
        <v/>
      </c>
      <c r="AT2193">
        <f t="shared" si="951"/>
        <v>14</v>
      </c>
      <c r="AU2193" s="170" t="str">
        <f t="shared" si="952"/>
        <v>0,15-0,5 MW, Bonusregeln G, y und KWK</v>
      </c>
      <c r="AV2193" s="169" t="str">
        <f t="shared" si="953"/>
        <v/>
      </c>
      <c r="AW2193" s="170" t="str">
        <f t="shared" si="954"/>
        <v>Anteil KWK</v>
      </c>
      <c r="AX2193" s="169" t="str">
        <f t="shared" si="955"/>
        <v/>
      </c>
      <c r="AY2193" t="str">
        <f t="shared" si="956"/>
        <v/>
      </c>
      <c r="AZ2193" t="str">
        <f t="shared" si="957"/>
        <v/>
      </c>
    </row>
    <row r="2194" spans="1:52" s="145" customFormat="1" x14ac:dyDescent="0.35">
      <c r="A2194" s="497" t="s">
        <v>4051</v>
      </c>
      <c r="B2194" s="13" t="s">
        <v>5547</v>
      </c>
      <c r="C2194" s="13" t="s">
        <v>5539</v>
      </c>
      <c r="D2194" s="88" t="s">
        <v>7036</v>
      </c>
      <c r="E2194" s="13" t="s">
        <v>4330</v>
      </c>
      <c r="F2194" s="373">
        <f t="shared" si="964"/>
        <v>20.32</v>
      </c>
      <c r="G2194" s="430">
        <v>20.32</v>
      </c>
      <c r="H2194" s="399">
        <f t="shared" si="965"/>
        <v>16.260000000000002</v>
      </c>
      <c r="I2194" s="576"/>
      <c r="J2194" s="549" t="s">
        <v>5804</v>
      </c>
      <c r="K2194" s="11"/>
      <c r="L2194"/>
      <c r="M2194" s="37">
        <f t="shared" si="966"/>
        <v>20.32</v>
      </c>
      <c r="N2194" s="29">
        <v>9.32</v>
      </c>
      <c r="O2194" s="149"/>
      <c r="P2194" s="145" t="s">
        <v>1017</v>
      </c>
      <c r="S2194" s="145" t="s">
        <v>4179</v>
      </c>
      <c r="T2194" s="145" t="s">
        <v>4179</v>
      </c>
      <c r="U2194" s="146" t="s">
        <v>1017</v>
      </c>
      <c r="W2194" s="147"/>
      <c r="X2194" s="147"/>
      <c r="Y2194" s="145" t="s">
        <v>1017</v>
      </c>
      <c r="Z2194" s="147"/>
      <c r="AC2194" s="147"/>
      <c r="AE2194" s="148"/>
      <c r="AF2194" s="147"/>
      <c r="AG2194" s="147"/>
      <c r="AH2194" s="166" t="str">
        <f t="shared" si="968"/>
        <v/>
      </c>
      <c r="AI2194" s="168" t="str">
        <f t="shared" si="958"/>
        <v/>
      </c>
      <c r="AJ2194" s="168" t="str">
        <f t="shared" si="959"/>
        <v/>
      </c>
      <c r="AK2194" s="168" t="str">
        <f t="shared" si="960"/>
        <v/>
      </c>
      <c r="AL2194" s="168" t="str">
        <f t="shared" si="961"/>
        <v/>
      </c>
      <c r="AM2194" s="168" t="str">
        <f t="shared" si="962"/>
        <v/>
      </c>
      <c r="AN2194" s="167" t="str">
        <f t="shared" si="945"/>
        <v/>
      </c>
      <c r="AO2194" s="167" t="str">
        <f t="shared" si="946"/>
        <v/>
      </c>
      <c r="AP2194" s="167" t="str">
        <f t="shared" si="947"/>
        <v/>
      </c>
      <c r="AQ2194" s="169" t="str">
        <f t="shared" si="948"/>
        <v/>
      </c>
      <c r="AR2194" s="170" t="str">
        <f t="shared" si="949"/>
        <v>BiK82GKA3y--08</v>
      </c>
      <c r="AS2194" s="169" t="str">
        <f t="shared" si="950"/>
        <v/>
      </c>
      <c r="AT2194">
        <f t="shared" si="951"/>
        <v>14</v>
      </c>
      <c r="AU2194" s="170" t="str">
        <f t="shared" si="952"/>
        <v>0,15-0,5 MW, Bonusregeln G, y und K wenn Anlage 3 erfüllt</v>
      </c>
      <c r="AV2194" s="169" t="str">
        <f t="shared" si="953"/>
        <v/>
      </c>
      <c r="AW2194" s="170" t="str">
        <f t="shared" si="954"/>
        <v>Anteil KWK gemäß Anlage 3</v>
      </c>
      <c r="AX2194" s="169" t="str">
        <f t="shared" si="955"/>
        <v/>
      </c>
      <c r="AY2194" t="str">
        <f t="shared" si="956"/>
        <v/>
      </c>
      <c r="AZ2194" t="str">
        <f t="shared" si="957"/>
        <v/>
      </c>
    </row>
    <row r="2195" spans="1:52" s="145" customFormat="1" x14ac:dyDescent="0.35">
      <c r="A2195" s="497" t="s">
        <v>4052</v>
      </c>
      <c r="B2195" s="13" t="s">
        <v>5547</v>
      </c>
      <c r="C2195" s="13" t="s">
        <v>5539</v>
      </c>
      <c r="D2195" s="13" t="s">
        <v>7037</v>
      </c>
      <c r="E2195" s="13" t="s">
        <v>674</v>
      </c>
      <c r="F2195" s="373">
        <f t="shared" si="964"/>
        <v>20.32</v>
      </c>
      <c r="G2195" s="430">
        <v>20.32</v>
      </c>
      <c r="H2195" s="399">
        <f t="shared" si="965"/>
        <v>16.260000000000002</v>
      </c>
      <c r="I2195" s="576"/>
      <c r="J2195" s="549" t="s">
        <v>5804</v>
      </c>
      <c r="K2195" s="11"/>
      <c r="L2195"/>
      <c r="M2195" s="37">
        <f t="shared" si="966"/>
        <v>20.32</v>
      </c>
      <c r="N2195" s="29">
        <v>9.32</v>
      </c>
      <c r="O2195" s="149"/>
      <c r="P2195" s="144"/>
      <c r="Q2195" s="145" t="s">
        <v>1017</v>
      </c>
      <c r="S2195" s="145" t="s">
        <v>4179</v>
      </c>
      <c r="T2195" s="145" t="s">
        <v>4179</v>
      </c>
      <c r="U2195" s="146" t="s">
        <v>1017</v>
      </c>
      <c r="W2195" s="147"/>
      <c r="X2195" s="147"/>
      <c r="Y2195" s="145" t="s">
        <v>1017</v>
      </c>
      <c r="Z2195" s="147"/>
      <c r="AC2195" s="147"/>
      <c r="AE2195" s="148"/>
      <c r="AF2195" s="147"/>
      <c r="AG2195" s="147"/>
      <c r="AH2195" s="166" t="str">
        <f t="shared" si="968"/>
        <v/>
      </c>
      <c r="AI2195" s="168" t="str">
        <f t="shared" si="958"/>
        <v/>
      </c>
      <c r="AJ2195" s="168" t="str">
        <f t="shared" si="959"/>
        <v/>
      </c>
      <c r="AK2195" s="168" t="str">
        <f t="shared" si="960"/>
        <v/>
      </c>
      <c r="AL2195" s="168" t="str">
        <f t="shared" si="961"/>
        <v/>
      </c>
      <c r="AM2195" s="168" t="str">
        <f t="shared" si="962"/>
        <v/>
      </c>
      <c r="AN2195" s="167" t="str">
        <f t="shared" si="945"/>
        <v/>
      </c>
      <c r="AO2195" s="167" t="str">
        <f t="shared" si="946"/>
        <v/>
      </c>
      <c r="AP2195" s="167" t="str">
        <f t="shared" si="947"/>
        <v/>
      </c>
      <c r="AQ2195" s="169" t="str">
        <f t="shared" si="948"/>
        <v/>
      </c>
      <c r="AR2195" s="170" t="str">
        <f t="shared" si="949"/>
        <v>BiK82GK09y--08</v>
      </c>
      <c r="AS2195" s="169" t="str">
        <f t="shared" si="950"/>
        <v/>
      </c>
      <c r="AT2195">
        <f t="shared" si="951"/>
        <v>14</v>
      </c>
      <c r="AU2195" s="170" t="str">
        <f t="shared" si="952"/>
        <v>0,15-0,5 MW, Bonusregeln G, y und K erstmals 2009</v>
      </c>
      <c r="AV2195" s="169" t="str">
        <f t="shared" si="953"/>
        <v/>
      </c>
      <c r="AW2195" s="170" t="str">
        <f t="shared" si="954"/>
        <v>Anteil KWK, erstmals 2009</v>
      </c>
      <c r="AX2195" s="169" t="str">
        <f t="shared" si="955"/>
        <v/>
      </c>
      <c r="AY2195" t="str">
        <f t="shared" si="956"/>
        <v/>
      </c>
      <c r="AZ2195" t="str">
        <f t="shared" si="957"/>
        <v/>
      </c>
    </row>
    <row r="2196" spans="1:52" s="145" customFormat="1" x14ac:dyDescent="0.35">
      <c r="A2196" s="497" t="s">
        <v>3186</v>
      </c>
      <c r="B2196" s="13" t="s">
        <v>5547</v>
      </c>
      <c r="C2196" s="13" t="s">
        <v>5539</v>
      </c>
      <c r="D2196" s="13" t="s">
        <v>7038</v>
      </c>
      <c r="E2196" s="13" t="s">
        <v>3566</v>
      </c>
      <c r="F2196" s="373">
        <f t="shared" si="964"/>
        <v>20.29</v>
      </c>
      <c r="G2196" s="430">
        <v>20.29</v>
      </c>
      <c r="H2196" s="399">
        <f t="shared" si="965"/>
        <v>16.23</v>
      </c>
      <c r="I2196" s="576"/>
      <c r="J2196" s="549" t="s">
        <v>5804</v>
      </c>
      <c r="K2196" s="11"/>
      <c r="L2196"/>
      <c r="M2196" s="37">
        <f t="shared" si="966"/>
        <v>20.29</v>
      </c>
      <c r="N2196" s="29">
        <v>9.32</v>
      </c>
      <c r="O2196" s="149"/>
      <c r="P2196" s="144"/>
      <c r="R2196" s="145" t="s">
        <v>1017</v>
      </c>
      <c r="S2196" s="145" t="s">
        <v>4179</v>
      </c>
      <c r="T2196" s="145" t="s">
        <v>4179</v>
      </c>
      <c r="U2196" s="146" t="s">
        <v>1017</v>
      </c>
      <c r="W2196" s="147"/>
      <c r="X2196" s="147"/>
      <c r="Y2196" s="145" t="s">
        <v>1017</v>
      </c>
      <c r="Z2196" s="147"/>
      <c r="AC2196" s="147"/>
      <c r="AE2196" s="148"/>
      <c r="AF2196" s="147"/>
      <c r="AG2196" s="147"/>
      <c r="AH2196" s="166" t="str">
        <f t="shared" si="968"/>
        <v>2010</v>
      </c>
      <c r="AI2196" s="168" t="str">
        <f t="shared" si="958"/>
        <v/>
      </c>
      <c r="AJ2196" s="168" t="str">
        <f t="shared" si="959"/>
        <v/>
      </c>
      <c r="AK2196" s="168" t="str">
        <f t="shared" si="960"/>
        <v/>
      </c>
      <c r="AL2196" s="168" t="str">
        <f t="shared" si="961"/>
        <v/>
      </c>
      <c r="AM2196" s="168" t="str">
        <f t="shared" si="962"/>
        <v/>
      </c>
      <c r="AN2196" s="167" t="str">
        <f t="shared" si="945"/>
        <v>2010</v>
      </c>
      <c r="AO2196" s="167" t="str">
        <f t="shared" si="946"/>
        <v>2010</v>
      </c>
      <c r="AP2196" s="167" t="str">
        <f t="shared" si="947"/>
        <v>2010</v>
      </c>
      <c r="AQ2196" s="169" t="str">
        <f t="shared" si="948"/>
        <v/>
      </c>
      <c r="AR2196" s="170" t="str">
        <f t="shared" si="949"/>
        <v>BiK82GK10y--08</v>
      </c>
      <c r="AS2196" s="169" t="str">
        <f t="shared" si="950"/>
        <v/>
      </c>
      <c r="AT2196">
        <f t="shared" si="951"/>
        <v>14</v>
      </c>
      <c r="AU2196" s="170" t="str">
        <f t="shared" si="952"/>
        <v>0,15-0,5 MW, Bonusregeln G, y und K erstmals 2010</v>
      </c>
      <c r="AV2196" s="169" t="str">
        <f t="shared" si="953"/>
        <v/>
      </c>
      <c r="AW2196" s="170" t="str">
        <f t="shared" si="954"/>
        <v>Anteil KWK, erstmals 2010</v>
      </c>
      <c r="AX2196" s="169" t="str">
        <f t="shared" si="955"/>
        <v/>
      </c>
      <c r="AY2196" t="str">
        <f t="shared" si="956"/>
        <v/>
      </c>
      <c r="AZ2196" t="str">
        <f t="shared" si="957"/>
        <v/>
      </c>
    </row>
    <row r="2197" spans="1:52" s="145" customFormat="1" x14ac:dyDescent="0.35">
      <c r="A2197" s="497" t="s">
        <v>3462</v>
      </c>
      <c r="B2197" s="13" t="s">
        <v>5547</v>
      </c>
      <c r="C2197" s="13" t="s">
        <v>5539</v>
      </c>
      <c r="D2197" s="13" t="s">
        <v>7039</v>
      </c>
      <c r="E2197" s="13" t="s">
        <v>3054</v>
      </c>
      <c r="F2197" s="373">
        <f t="shared" si="964"/>
        <v>20.259999999999998</v>
      </c>
      <c r="G2197" s="430">
        <v>20.259999999999998</v>
      </c>
      <c r="H2197" s="399">
        <f t="shared" si="965"/>
        <v>16.21</v>
      </c>
      <c r="I2197" s="576"/>
      <c r="J2197" s="549" t="s">
        <v>5804</v>
      </c>
      <c r="K2197" s="11"/>
      <c r="L2197"/>
      <c r="M2197" s="37">
        <f t="shared" si="966"/>
        <v>20.259999999999998</v>
      </c>
      <c r="N2197" s="29">
        <v>9.32</v>
      </c>
      <c r="O2197" s="149"/>
      <c r="P2197" s="144"/>
      <c r="S2197" s="145" t="s">
        <v>1017</v>
      </c>
      <c r="T2197" s="145" t="s">
        <v>4179</v>
      </c>
      <c r="U2197" s="146" t="s">
        <v>1017</v>
      </c>
      <c r="W2197" s="147"/>
      <c r="X2197" s="147"/>
      <c r="Y2197" s="145" t="s">
        <v>1017</v>
      </c>
      <c r="Z2197" s="147"/>
      <c r="AC2197" s="147"/>
      <c r="AE2197" s="148"/>
      <c r="AF2197" s="147"/>
      <c r="AG2197" s="147"/>
      <c r="AH2197" s="166" t="str">
        <f t="shared" si="968"/>
        <v>2011</v>
      </c>
      <c r="AI2197" s="168" t="str">
        <f t="shared" si="958"/>
        <v/>
      </c>
      <c r="AJ2197" s="168" t="str">
        <f t="shared" si="959"/>
        <v/>
      </c>
      <c r="AK2197" s="168" t="str">
        <f t="shared" si="960"/>
        <v/>
      </c>
      <c r="AL2197" s="168" t="str">
        <f t="shared" si="961"/>
        <v/>
      </c>
      <c r="AM2197" s="168" t="str">
        <f t="shared" si="962"/>
        <v/>
      </c>
      <c r="AN2197" s="167" t="str">
        <f t="shared" si="945"/>
        <v>2011</v>
      </c>
      <c r="AO2197" s="167" t="str">
        <f t="shared" si="946"/>
        <v>2011</v>
      </c>
      <c r="AP2197" s="167" t="str">
        <f t="shared" si="947"/>
        <v>2011</v>
      </c>
      <c r="AQ2197" s="169" t="str">
        <f t="shared" si="948"/>
        <v/>
      </c>
      <c r="AR2197" s="170" t="str">
        <f t="shared" si="949"/>
        <v>BiK82GK11y--08</v>
      </c>
      <c r="AS2197" s="169" t="str">
        <f t="shared" si="950"/>
        <v/>
      </c>
      <c r="AT2197">
        <f t="shared" si="951"/>
        <v>14</v>
      </c>
      <c r="AU2197" s="170" t="str">
        <f t="shared" si="952"/>
        <v>0,15-0,5 MW, Bonusregeln G, y und K erstmals 2011</v>
      </c>
      <c r="AV2197" s="169" t="str">
        <f t="shared" si="953"/>
        <v/>
      </c>
      <c r="AW2197" s="170" t="str">
        <f t="shared" si="954"/>
        <v>Anteil KWK, erstmals 2011</v>
      </c>
      <c r="AX2197" s="169" t="str">
        <f t="shared" si="955"/>
        <v/>
      </c>
      <c r="AY2197" t="str">
        <f t="shared" si="956"/>
        <v>x</v>
      </c>
      <c r="AZ2197" t="str">
        <f t="shared" si="957"/>
        <v/>
      </c>
    </row>
    <row r="2198" spans="1:52" s="145" customFormat="1" x14ac:dyDescent="0.35">
      <c r="A2198" s="511" t="s">
        <v>1895</v>
      </c>
      <c r="B2198" s="173" t="s">
        <v>5547</v>
      </c>
      <c r="C2198" s="173" t="s">
        <v>5539</v>
      </c>
      <c r="D2198" s="173" t="s">
        <v>7040</v>
      </c>
      <c r="E2198" s="173" t="s">
        <v>1980</v>
      </c>
      <c r="F2198" s="374">
        <f t="shared" si="964"/>
        <v>20.23</v>
      </c>
      <c r="G2198" s="431">
        <v>20.23</v>
      </c>
      <c r="H2198" s="400">
        <f t="shared" si="965"/>
        <v>16.18</v>
      </c>
      <c r="I2198" s="577"/>
      <c r="J2198" s="549" t="s">
        <v>5804</v>
      </c>
      <c r="K2198" s="11"/>
      <c r="L2198"/>
      <c r="M2198" s="37">
        <f t="shared" si="966"/>
        <v>20.23</v>
      </c>
      <c r="N2198" s="29">
        <v>9.32</v>
      </c>
      <c r="O2198" s="149"/>
      <c r="P2198" s="144"/>
      <c r="S2198" s="145" t="s">
        <v>4179</v>
      </c>
      <c r="T2198" s="145" t="s">
        <v>1017</v>
      </c>
      <c r="U2198" s="146" t="s">
        <v>1017</v>
      </c>
      <c r="W2198" s="147"/>
      <c r="X2198" s="147"/>
      <c r="Y2198" s="145" t="s">
        <v>1017</v>
      </c>
      <c r="Z2198" s="147"/>
      <c r="AC2198" s="147"/>
      <c r="AE2198" s="148"/>
      <c r="AF2198" s="147"/>
      <c r="AG2198" s="147"/>
      <c r="AH2198" s="171" t="s">
        <v>4178</v>
      </c>
      <c r="AI2198" s="168" t="str">
        <f t="shared" si="958"/>
        <v/>
      </c>
      <c r="AJ2198" s="168" t="str">
        <f t="shared" si="959"/>
        <v/>
      </c>
      <c r="AK2198" s="168" t="str">
        <f t="shared" si="960"/>
        <v/>
      </c>
      <c r="AL2198" s="168" t="str">
        <f t="shared" si="961"/>
        <v/>
      </c>
      <c r="AM2198" s="168" t="str">
        <f t="shared" si="962"/>
        <v/>
      </c>
      <c r="AN2198" s="167" t="str">
        <f t="shared" si="945"/>
        <v>2012</v>
      </c>
      <c r="AO2198" s="167" t="str">
        <f t="shared" si="946"/>
        <v>2012</v>
      </c>
      <c r="AP2198" s="167" t="str">
        <f t="shared" si="947"/>
        <v>2012</v>
      </c>
      <c r="AQ2198" s="169" t="str">
        <f t="shared" si="948"/>
        <v/>
      </c>
      <c r="AR2198" s="170" t="str">
        <f t="shared" si="949"/>
        <v>BiK82GK12y--08</v>
      </c>
      <c r="AS2198" s="169" t="str">
        <f t="shared" si="950"/>
        <v/>
      </c>
      <c r="AT2198">
        <f t="shared" si="951"/>
        <v>14</v>
      </c>
      <c r="AU2198" s="170" t="str">
        <f t="shared" si="952"/>
        <v>0,15-0,5 MW, Bonusregeln G, y und K erstmals 2012</v>
      </c>
      <c r="AV2198" s="169" t="str">
        <f t="shared" si="953"/>
        <v/>
      </c>
      <c r="AW2198" s="170" t="str">
        <f t="shared" si="954"/>
        <v>Anteil KWK, erstmals 2012</v>
      </c>
      <c r="AX2198" s="169" t="str">
        <f t="shared" si="955"/>
        <v/>
      </c>
      <c r="AY2198" t="str">
        <f t="shared" si="956"/>
        <v/>
      </c>
      <c r="AZ2198" t="str">
        <f t="shared" si="957"/>
        <v>x</v>
      </c>
    </row>
    <row r="2199" spans="1:52" s="145" customFormat="1" x14ac:dyDescent="0.35">
      <c r="A2199" s="497" t="s">
        <v>4516</v>
      </c>
      <c r="B2199" s="13" t="s">
        <v>5547</v>
      </c>
      <c r="C2199" s="13" t="s">
        <v>5539</v>
      </c>
      <c r="D2199" s="13" t="s">
        <v>7041</v>
      </c>
      <c r="E2199" s="13" t="s">
        <v>4809</v>
      </c>
      <c r="F2199" s="373">
        <f t="shared" si="964"/>
        <v>17.32</v>
      </c>
      <c r="G2199" s="430">
        <v>17.32</v>
      </c>
      <c r="H2199" s="399">
        <f t="shared" si="965"/>
        <v>13.86</v>
      </c>
      <c r="I2199" s="576"/>
      <c r="J2199" s="549" t="s">
        <v>5804</v>
      </c>
      <c r="K2199" s="11"/>
      <c r="L2199"/>
      <c r="M2199" s="37">
        <f t="shared" si="966"/>
        <v>17.32</v>
      </c>
      <c r="N2199" s="29">
        <v>9.32</v>
      </c>
      <c r="O2199" s="149"/>
      <c r="P2199" s="144"/>
      <c r="S2199" s="145" t="s">
        <v>4179</v>
      </c>
      <c r="T2199" s="145" t="s">
        <v>4179</v>
      </c>
      <c r="U2199" s="146"/>
      <c r="W2199" s="147"/>
      <c r="X2199" s="147"/>
      <c r="Z2199" s="147"/>
      <c r="AA2199" s="145" t="s">
        <v>1017</v>
      </c>
      <c r="AC2199" s="147"/>
      <c r="AE2199" s="148"/>
      <c r="AF2199" s="147"/>
      <c r="AG2199" s="147"/>
      <c r="AH2199" s="166" t="str">
        <f t="shared" ref="AH2199:AH2204" si="969">IF(ISERROR(SEARCH("K erstmals 201",D2199)),"",RIGHT(D2199,4))</f>
        <v/>
      </c>
      <c r="AI2199" s="168" t="str">
        <f t="shared" si="958"/>
        <v/>
      </c>
      <c r="AJ2199" s="168" t="str">
        <f t="shared" si="959"/>
        <v/>
      </c>
      <c r="AK2199" s="168" t="str">
        <f t="shared" si="960"/>
        <v/>
      </c>
      <c r="AL2199" s="168" t="str">
        <f t="shared" si="961"/>
        <v/>
      </c>
      <c r="AM2199" s="168" t="str">
        <f t="shared" si="962"/>
        <v/>
      </c>
      <c r="AN2199" s="167" t="str">
        <f t="shared" si="945"/>
        <v/>
      </c>
      <c r="AO2199" s="167" t="str">
        <f t="shared" si="946"/>
        <v/>
      </c>
      <c r="AP2199" s="167" t="str">
        <f t="shared" si="947"/>
        <v/>
      </c>
      <c r="AQ2199" s="169" t="str">
        <f t="shared" si="948"/>
        <v/>
      </c>
      <c r="AR2199" s="170" t="str">
        <f t="shared" si="949"/>
        <v>BiK82M2-----08</v>
      </c>
      <c r="AS2199" s="169" t="str">
        <f t="shared" si="950"/>
        <v/>
      </c>
      <c r="AT2199">
        <f t="shared" si="951"/>
        <v>14</v>
      </c>
      <c r="AU2199" s="170" t="str">
        <f t="shared" si="952"/>
        <v>0,15-0,5 MW, Bonusregel M2</v>
      </c>
      <c r="AV2199" s="169" t="str">
        <f t="shared" si="953"/>
        <v/>
      </c>
      <c r="AW2199" s="170" t="str">
        <f t="shared" si="954"/>
        <v>Anteil Nicht-KWK</v>
      </c>
      <c r="AX2199" s="169" t="str">
        <f t="shared" si="955"/>
        <v/>
      </c>
      <c r="AY2199" t="str">
        <f t="shared" si="956"/>
        <v/>
      </c>
      <c r="AZ2199" t="str">
        <f t="shared" si="957"/>
        <v/>
      </c>
    </row>
    <row r="2200" spans="1:52" x14ac:dyDescent="0.35">
      <c r="A2200" s="497" t="s">
        <v>4517</v>
      </c>
      <c r="B2200" s="13" t="s">
        <v>5547</v>
      </c>
      <c r="C2200" s="13" t="s">
        <v>5539</v>
      </c>
      <c r="D2200" s="13" t="s">
        <v>7115</v>
      </c>
      <c r="E2200" s="13" t="s">
        <v>4811</v>
      </c>
      <c r="F2200" s="373">
        <f t="shared" si="964"/>
        <v>19.32</v>
      </c>
      <c r="G2200" s="430">
        <v>19.32</v>
      </c>
      <c r="H2200" s="399">
        <f t="shared" si="965"/>
        <v>15.46</v>
      </c>
      <c r="I2200" s="576"/>
      <c r="J2200" s="549" t="s">
        <v>5804</v>
      </c>
      <c r="K2200" s="11"/>
      <c r="M2200" s="37">
        <f t="shared" si="966"/>
        <v>19.32</v>
      </c>
      <c r="N2200" s="29">
        <v>9.32</v>
      </c>
      <c r="O2200" s="149" t="s">
        <v>1017</v>
      </c>
      <c r="P2200" s="144"/>
      <c r="Q2200" s="145"/>
      <c r="R2200" s="145"/>
      <c r="S2200" s="145" t="s">
        <v>4179</v>
      </c>
      <c r="T2200" t="s">
        <v>4179</v>
      </c>
      <c r="U2200" s="146"/>
      <c r="V2200" s="145"/>
      <c r="W2200" s="147"/>
      <c r="X2200" s="147"/>
      <c r="Y2200" s="145"/>
      <c r="Z2200" s="147"/>
      <c r="AA2200" s="145" t="s">
        <v>1017</v>
      </c>
      <c r="AB2200" s="145"/>
      <c r="AC2200" s="147"/>
      <c r="AD2200" s="145"/>
      <c r="AE2200" s="148"/>
      <c r="AF2200" s="147"/>
      <c r="AG2200" s="147"/>
      <c r="AH2200" s="166" t="str">
        <f t="shared" si="969"/>
        <v/>
      </c>
      <c r="AI2200" s="168" t="str">
        <f t="shared" si="958"/>
        <v/>
      </c>
      <c r="AJ2200" s="168" t="str">
        <f t="shared" si="959"/>
        <v/>
      </c>
      <c r="AK2200" s="168" t="str">
        <f t="shared" si="960"/>
        <v/>
      </c>
      <c r="AL2200" s="168" t="str">
        <f t="shared" si="961"/>
        <v/>
      </c>
      <c r="AM2200" s="168" t="str">
        <f t="shared" si="962"/>
        <v/>
      </c>
      <c r="AN2200" s="167" t="str">
        <f t="shared" si="945"/>
        <v/>
      </c>
      <c r="AO2200" s="167" t="str">
        <f t="shared" si="946"/>
        <v/>
      </c>
      <c r="AP2200" s="167" t="str">
        <f t="shared" si="947"/>
        <v/>
      </c>
      <c r="AQ2200" s="169" t="str">
        <f t="shared" si="948"/>
        <v/>
      </c>
      <c r="AR2200" s="170" t="str">
        <f t="shared" si="949"/>
        <v>BiK82M2KWK--08</v>
      </c>
      <c r="AS2200" s="169" t="str">
        <f t="shared" si="950"/>
        <v/>
      </c>
      <c r="AT2200">
        <f t="shared" si="951"/>
        <v>14</v>
      </c>
      <c r="AU2200" s="170" t="str">
        <f t="shared" si="952"/>
        <v>0,15-0,5 MW, Bonusregeln M2 und KWK</v>
      </c>
      <c r="AV2200" s="169" t="str">
        <f t="shared" si="953"/>
        <v/>
      </c>
      <c r="AW2200" s="170" t="str">
        <f t="shared" si="954"/>
        <v>Anteil KWK</v>
      </c>
      <c r="AX2200" s="169" t="str">
        <f t="shared" si="955"/>
        <v/>
      </c>
      <c r="AY2200" t="str">
        <f t="shared" si="956"/>
        <v/>
      </c>
      <c r="AZ2200" t="str">
        <f t="shared" si="957"/>
        <v/>
      </c>
    </row>
    <row r="2201" spans="1:52" x14ac:dyDescent="0.35">
      <c r="A2201" s="497" t="s">
        <v>4518</v>
      </c>
      <c r="B2201" s="13" t="s">
        <v>5547</v>
      </c>
      <c r="C2201" s="13" t="s">
        <v>5539</v>
      </c>
      <c r="D2201" s="13" t="s">
        <v>7042</v>
      </c>
      <c r="E2201" s="13" t="s">
        <v>4330</v>
      </c>
      <c r="F2201" s="373">
        <f t="shared" si="964"/>
        <v>20.32</v>
      </c>
      <c r="G2201" s="430">
        <v>20.32</v>
      </c>
      <c r="H2201" s="399">
        <f t="shared" si="965"/>
        <v>16.260000000000002</v>
      </c>
      <c r="I2201" s="576"/>
      <c r="J2201" s="549" t="s">
        <v>5804</v>
      </c>
      <c r="K2201" s="11"/>
      <c r="M2201" s="37">
        <f t="shared" si="966"/>
        <v>20.32</v>
      </c>
      <c r="N2201" s="29">
        <v>9.32</v>
      </c>
      <c r="O2201" s="149"/>
      <c r="P2201" s="145" t="s">
        <v>1017</v>
      </c>
      <c r="Q2201" s="145"/>
      <c r="R2201" s="145"/>
      <c r="S2201" s="145" t="s">
        <v>4179</v>
      </c>
      <c r="T2201" t="s">
        <v>4179</v>
      </c>
      <c r="U2201" s="146"/>
      <c r="V2201" s="145"/>
      <c r="W2201" s="147"/>
      <c r="X2201" s="147"/>
      <c r="Y2201" s="145"/>
      <c r="Z2201" s="147"/>
      <c r="AA2201" s="145" t="s">
        <v>1017</v>
      </c>
      <c r="AB2201" s="145"/>
      <c r="AC2201" s="147"/>
      <c r="AD2201" s="145"/>
      <c r="AE2201" s="148"/>
      <c r="AF2201" s="147"/>
      <c r="AG2201" s="147"/>
      <c r="AH2201" s="166" t="str">
        <f t="shared" si="969"/>
        <v/>
      </c>
      <c r="AI2201" s="168" t="str">
        <f t="shared" si="958"/>
        <v/>
      </c>
      <c r="AJ2201" s="168" t="str">
        <f t="shared" si="959"/>
        <v/>
      </c>
      <c r="AK2201" s="168" t="str">
        <f t="shared" si="960"/>
        <v/>
      </c>
      <c r="AL2201" s="168" t="str">
        <f t="shared" si="961"/>
        <v/>
      </c>
      <c r="AM2201" s="168" t="str">
        <f t="shared" si="962"/>
        <v/>
      </c>
      <c r="AN2201" s="167" t="str">
        <f t="shared" si="945"/>
        <v/>
      </c>
      <c r="AO2201" s="167" t="str">
        <f t="shared" si="946"/>
        <v/>
      </c>
      <c r="AP2201" s="167" t="str">
        <f t="shared" si="947"/>
        <v/>
      </c>
      <c r="AQ2201" s="169" t="str">
        <f t="shared" si="948"/>
        <v/>
      </c>
      <c r="AR2201" s="170" t="str">
        <f t="shared" si="949"/>
        <v>BiK82M2KA3--08</v>
      </c>
      <c r="AS2201" s="169" t="str">
        <f t="shared" si="950"/>
        <v/>
      </c>
      <c r="AT2201">
        <f t="shared" si="951"/>
        <v>14</v>
      </c>
      <c r="AU2201" s="170" t="str">
        <f t="shared" si="952"/>
        <v>0,15-0,5 MW, Bonusregeln M2 und K wenn Anlage 3 erfüllt</v>
      </c>
      <c r="AV2201" s="169" t="str">
        <f t="shared" si="953"/>
        <v/>
      </c>
      <c r="AW2201" s="170" t="str">
        <f t="shared" si="954"/>
        <v>Anteil KWK gemäß Anlage 3</v>
      </c>
      <c r="AX2201" s="169" t="str">
        <f t="shared" si="955"/>
        <v/>
      </c>
      <c r="AY2201" t="str">
        <f t="shared" si="956"/>
        <v/>
      </c>
      <c r="AZ2201" t="str">
        <f t="shared" si="957"/>
        <v/>
      </c>
    </row>
    <row r="2202" spans="1:52" x14ac:dyDescent="0.35">
      <c r="A2202" s="497" t="s">
        <v>4519</v>
      </c>
      <c r="B2202" s="13" t="s">
        <v>5547</v>
      </c>
      <c r="C2202" s="13" t="s">
        <v>5539</v>
      </c>
      <c r="D2202" s="13" t="s">
        <v>7116</v>
      </c>
      <c r="E2202" s="13" t="s">
        <v>674</v>
      </c>
      <c r="F2202" s="373">
        <f t="shared" si="964"/>
        <v>20.32</v>
      </c>
      <c r="G2202" s="430">
        <v>20.32</v>
      </c>
      <c r="H2202" s="399">
        <f t="shared" si="965"/>
        <v>16.260000000000002</v>
      </c>
      <c r="I2202" s="576"/>
      <c r="J2202" s="549" t="s">
        <v>5804</v>
      </c>
      <c r="K2202" s="11"/>
      <c r="M2202" s="37">
        <f t="shared" si="966"/>
        <v>20.32</v>
      </c>
      <c r="N2202" s="29">
        <v>9.32</v>
      </c>
      <c r="O2202" s="149"/>
      <c r="P2202" s="144"/>
      <c r="Q2202" s="145" t="s">
        <v>1017</v>
      </c>
      <c r="R2202" s="145"/>
      <c r="S2202" s="145" t="s">
        <v>4179</v>
      </c>
      <c r="T2202" t="s">
        <v>4179</v>
      </c>
      <c r="U2202" s="146"/>
      <c r="V2202" s="145"/>
      <c r="W2202" s="147"/>
      <c r="X2202" s="147"/>
      <c r="Y2202" s="145"/>
      <c r="Z2202" s="147"/>
      <c r="AA2202" s="145" t="s">
        <v>1017</v>
      </c>
      <c r="AB2202" s="145"/>
      <c r="AC2202" s="147"/>
      <c r="AD2202" s="145"/>
      <c r="AE2202" s="148"/>
      <c r="AF2202" s="147"/>
      <c r="AG2202" s="147"/>
      <c r="AH2202" s="166" t="str">
        <f t="shared" si="969"/>
        <v/>
      </c>
      <c r="AI2202" s="168" t="str">
        <f t="shared" si="958"/>
        <v/>
      </c>
      <c r="AJ2202" s="168" t="str">
        <f t="shared" si="959"/>
        <v/>
      </c>
      <c r="AK2202" s="168" t="str">
        <f t="shared" si="960"/>
        <v/>
      </c>
      <c r="AL2202" s="168" t="str">
        <f t="shared" si="961"/>
        <v/>
      </c>
      <c r="AM2202" s="168" t="str">
        <f t="shared" si="962"/>
        <v/>
      </c>
      <c r="AN2202" s="167" t="str">
        <f t="shared" si="945"/>
        <v/>
      </c>
      <c r="AO2202" s="167" t="str">
        <f t="shared" si="946"/>
        <v/>
      </c>
      <c r="AP2202" s="167" t="str">
        <f t="shared" si="947"/>
        <v/>
      </c>
      <c r="AQ2202" s="169" t="str">
        <f t="shared" si="948"/>
        <v/>
      </c>
      <c r="AR2202" s="170" t="str">
        <f t="shared" si="949"/>
        <v>BiK82M2K09--08</v>
      </c>
      <c r="AS2202" s="169" t="str">
        <f t="shared" si="950"/>
        <v/>
      </c>
      <c r="AT2202">
        <f t="shared" si="951"/>
        <v>14</v>
      </c>
      <c r="AU2202" s="170" t="str">
        <f t="shared" si="952"/>
        <v>0,15-0,5 MW, Bonusregeln M2, K erstmals 2009</v>
      </c>
      <c r="AV2202" s="169" t="str">
        <f t="shared" si="953"/>
        <v/>
      </c>
      <c r="AW2202" s="170" t="str">
        <f t="shared" si="954"/>
        <v>Anteil KWK, erstmals 2009</v>
      </c>
      <c r="AX2202" s="169" t="str">
        <f t="shared" si="955"/>
        <v/>
      </c>
      <c r="AY2202" t="str">
        <f t="shared" si="956"/>
        <v/>
      </c>
      <c r="AZ2202" t="str">
        <f t="shared" si="957"/>
        <v/>
      </c>
    </row>
    <row r="2203" spans="1:52" x14ac:dyDescent="0.35">
      <c r="A2203" s="497" t="s">
        <v>3187</v>
      </c>
      <c r="B2203" s="13" t="s">
        <v>5547</v>
      </c>
      <c r="C2203" s="13" t="s">
        <v>5539</v>
      </c>
      <c r="D2203" s="13" t="s">
        <v>7117</v>
      </c>
      <c r="E2203" s="13" t="s">
        <v>3566</v>
      </c>
      <c r="F2203" s="373">
        <f t="shared" si="964"/>
        <v>20.29</v>
      </c>
      <c r="G2203" s="430">
        <v>20.29</v>
      </c>
      <c r="H2203" s="399">
        <f t="shared" si="965"/>
        <v>16.23</v>
      </c>
      <c r="I2203" s="576"/>
      <c r="J2203" s="549" t="s">
        <v>5804</v>
      </c>
      <c r="K2203" s="11"/>
      <c r="M2203" s="37">
        <f t="shared" si="966"/>
        <v>20.29</v>
      </c>
      <c r="N2203" s="29">
        <v>9.32</v>
      </c>
      <c r="O2203" s="149"/>
      <c r="P2203" s="144"/>
      <c r="Q2203" s="145"/>
      <c r="R2203" s="145" t="s">
        <v>1017</v>
      </c>
      <c r="S2203" s="145" t="s">
        <v>4179</v>
      </c>
      <c r="T2203" t="s">
        <v>4179</v>
      </c>
      <c r="U2203" s="146"/>
      <c r="V2203" s="145"/>
      <c r="W2203" s="147"/>
      <c r="X2203" s="147"/>
      <c r="Y2203" s="145"/>
      <c r="Z2203" s="147"/>
      <c r="AA2203" s="145" t="s">
        <v>1017</v>
      </c>
      <c r="AB2203" s="145"/>
      <c r="AC2203" s="147"/>
      <c r="AD2203" s="145"/>
      <c r="AE2203" s="148"/>
      <c r="AF2203" s="147"/>
      <c r="AG2203" s="147"/>
      <c r="AH2203" s="166" t="str">
        <f t="shared" si="969"/>
        <v>2010</v>
      </c>
      <c r="AI2203" s="168" t="str">
        <f t="shared" si="958"/>
        <v/>
      </c>
      <c r="AJ2203" s="168" t="str">
        <f t="shared" si="959"/>
        <v/>
      </c>
      <c r="AK2203" s="168" t="str">
        <f t="shared" si="960"/>
        <v/>
      </c>
      <c r="AL2203" s="168" t="str">
        <f t="shared" si="961"/>
        <v/>
      </c>
      <c r="AM2203" s="168" t="str">
        <f t="shared" si="962"/>
        <v/>
      </c>
      <c r="AN2203" s="167" t="str">
        <f t="shared" si="945"/>
        <v>2010</v>
      </c>
      <c r="AO2203" s="167" t="str">
        <f t="shared" si="946"/>
        <v>2010</v>
      </c>
      <c r="AP2203" s="167" t="str">
        <f t="shared" si="947"/>
        <v>2010</v>
      </c>
      <c r="AQ2203" s="169" t="str">
        <f t="shared" si="948"/>
        <v/>
      </c>
      <c r="AR2203" s="170" t="str">
        <f t="shared" si="949"/>
        <v>BiK82M2K10--08</v>
      </c>
      <c r="AS2203" s="169" t="str">
        <f t="shared" si="950"/>
        <v/>
      </c>
      <c r="AT2203">
        <f t="shared" si="951"/>
        <v>14</v>
      </c>
      <c r="AU2203" s="170" t="str">
        <f t="shared" si="952"/>
        <v>0,15-0,5 MW, Bonusregeln M2, K erstmals 2010</v>
      </c>
      <c r="AV2203" s="169" t="str">
        <f t="shared" si="953"/>
        <v/>
      </c>
      <c r="AW2203" s="170" t="str">
        <f t="shared" si="954"/>
        <v>Anteil KWK, erstmals 2010</v>
      </c>
      <c r="AX2203" s="169" t="str">
        <f t="shared" si="955"/>
        <v/>
      </c>
      <c r="AY2203" t="str">
        <f t="shared" si="956"/>
        <v/>
      </c>
      <c r="AZ2203" t="str">
        <f t="shared" si="957"/>
        <v/>
      </c>
    </row>
    <row r="2204" spans="1:52" s="145" customFormat="1" x14ac:dyDescent="0.35">
      <c r="A2204" s="497" t="s">
        <v>3463</v>
      </c>
      <c r="B2204" s="13" t="s">
        <v>5547</v>
      </c>
      <c r="C2204" s="13" t="s">
        <v>5539</v>
      </c>
      <c r="D2204" s="13" t="s">
        <v>7118</v>
      </c>
      <c r="E2204" s="13" t="s">
        <v>3054</v>
      </c>
      <c r="F2204" s="373">
        <f t="shared" si="964"/>
        <v>20.259999999999998</v>
      </c>
      <c r="G2204" s="430">
        <v>20.259999999999998</v>
      </c>
      <c r="H2204" s="399">
        <f t="shared" si="965"/>
        <v>16.21</v>
      </c>
      <c r="I2204" s="576"/>
      <c r="J2204" s="549" t="s">
        <v>5804</v>
      </c>
      <c r="K2204" s="11"/>
      <c r="L2204"/>
      <c r="M2204" s="37">
        <f t="shared" si="966"/>
        <v>20.259999999999998</v>
      </c>
      <c r="N2204" s="29">
        <v>9.32</v>
      </c>
      <c r="O2204" s="149"/>
      <c r="P2204" s="144"/>
      <c r="S2204" s="145" t="s">
        <v>1017</v>
      </c>
      <c r="T2204" s="145" t="s">
        <v>4179</v>
      </c>
      <c r="U2204" s="146"/>
      <c r="W2204" s="147"/>
      <c r="X2204" s="147"/>
      <c r="Z2204" s="147"/>
      <c r="AA2204" s="145" t="s">
        <v>1017</v>
      </c>
      <c r="AC2204" s="147"/>
      <c r="AE2204" s="148"/>
      <c r="AF2204" s="147"/>
      <c r="AG2204" s="147"/>
      <c r="AH2204" s="166" t="str">
        <f t="shared" si="969"/>
        <v>2011</v>
      </c>
      <c r="AI2204" s="168" t="str">
        <f t="shared" si="958"/>
        <v/>
      </c>
      <c r="AJ2204" s="168" t="str">
        <f t="shared" si="959"/>
        <v/>
      </c>
      <c r="AK2204" s="168" t="str">
        <f t="shared" si="960"/>
        <v/>
      </c>
      <c r="AL2204" s="168" t="str">
        <f t="shared" si="961"/>
        <v/>
      </c>
      <c r="AM2204" s="168" t="str">
        <f t="shared" si="962"/>
        <v/>
      </c>
      <c r="AN2204" s="167" t="str">
        <f t="shared" si="945"/>
        <v>2011</v>
      </c>
      <c r="AO2204" s="167" t="str">
        <f t="shared" si="946"/>
        <v>2011</v>
      </c>
      <c r="AP2204" s="167" t="str">
        <f t="shared" si="947"/>
        <v>2011</v>
      </c>
      <c r="AQ2204" s="169" t="str">
        <f t="shared" si="948"/>
        <v/>
      </c>
      <c r="AR2204" s="170" t="str">
        <f t="shared" si="949"/>
        <v>BiK82M2K11--08</v>
      </c>
      <c r="AS2204" s="169" t="str">
        <f t="shared" si="950"/>
        <v/>
      </c>
      <c r="AT2204">
        <f t="shared" si="951"/>
        <v>14</v>
      </c>
      <c r="AU2204" s="170" t="str">
        <f t="shared" si="952"/>
        <v>0,15-0,5 MW, Bonusregeln M2, K erstmals 2011</v>
      </c>
      <c r="AV2204" s="169" t="str">
        <f t="shared" si="953"/>
        <v/>
      </c>
      <c r="AW2204" s="170" t="str">
        <f t="shared" si="954"/>
        <v>Anteil KWK, erstmals 2011</v>
      </c>
      <c r="AX2204" s="169" t="str">
        <f t="shared" si="955"/>
        <v/>
      </c>
      <c r="AY2204" t="str">
        <f t="shared" si="956"/>
        <v>x</v>
      </c>
      <c r="AZ2204" t="str">
        <f t="shared" si="957"/>
        <v/>
      </c>
    </row>
    <row r="2205" spans="1:52" s="145" customFormat="1" x14ac:dyDescent="0.35">
      <c r="A2205" s="511" t="s">
        <v>1896</v>
      </c>
      <c r="B2205" s="173" t="s">
        <v>5547</v>
      </c>
      <c r="C2205" s="173" t="s">
        <v>5539</v>
      </c>
      <c r="D2205" s="173" t="s">
        <v>7119</v>
      </c>
      <c r="E2205" s="173" t="s">
        <v>1980</v>
      </c>
      <c r="F2205" s="374">
        <f t="shared" si="964"/>
        <v>20.23</v>
      </c>
      <c r="G2205" s="431">
        <v>20.23</v>
      </c>
      <c r="H2205" s="400">
        <f t="shared" si="965"/>
        <v>16.18</v>
      </c>
      <c r="I2205" s="577"/>
      <c r="J2205" s="549" t="s">
        <v>5804</v>
      </c>
      <c r="K2205" s="11"/>
      <c r="L2205"/>
      <c r="M2205" s="37">
        <f t="shared" si="966"/>
        <v>20.23</v>
      </c>
      <c r="N2205" s="29">
        <v>9.32</v>
      </c>
      <c r="O2205" s="149"/>
      <c r="P2205" s="144"/>
      <c r="S2205" s="145" t="s">
        <v>4179</v>
      </c>
      <c r="T2205" s="145" t="s">
        <v>1017</v>
      </c>
      <c r="U2205" s="146"/>
      <c r="W2205" s="147"/>
      <c r="X2205" s="147"/>
      <c r="Z2205" s="147"/>
      <c r="AA2205" s="145" t="s">
        <v>1017</v>
      </c>
      <c r="AC2205" s="147"/>
      <c r="AE2205" s="148"/>
      <c r="AF2205" s="147"/>
      <c r="AG2205" s="147"/>
      <c r="AH2205" s="171" t="s">
        <v>4178</v>
      </c>
      <c r="AI2205" s="168" t="str">
        <f t="shared" si="958"/>
        <v/>
      </c>
      <c r="AJ2205" s="168" t="str">
        <f t="shared" si="959"/>
        <v/>
      </c>
      <c r="AK2205" s="168" t="str">
        <f t="shared" si="960"/>
        <v/>
      </c>
      <c r="AL2205" s="168" t="str">
        <f t="shared" si="961"/>
        <v/>
      </c>
      <c r="AM2205" s="168" t="str">
        <f t="shared" si="962"/>
        <v/>
      </c>
      <c r="AN2205" s="167" t="str">
        <f t="shared" si="945"/>
        <v>2012</v>
      </c>
      <c r="AO2205" s="167" t="str">
        <f t="shared" si="946"/>
        <v>2012</v>
      </c>
      <c r="AP2205" s="167" t="str">
        <f t="shared" si="947"/>
        <v>2012</v>
      </c>
      <c r="AQ2205" s="169" t="str">
        <f t="shared" si="948"/>
        <v/>
      </c>
      <c r="AR2205" s="170" t="str">
        <f t="shared" si="949"/>
        <v>BiK82M2K12--08</v>
      </c>
      <c r="AS2205" s="169" t="str">
        <f t="shared" si="950"/>
        <v/>
      </c>
      <c r="AT2205">
        <f t="shared" si="951"/>
        <v>14</v>
      </c>
      <c r="AU2205" s="170" t="str">
        <f t="shared" si="952"/>
        <v>0,15-0,5 MW, Bonusregeln M2, K erstmals 2012</v>
      </c>
      <c r="AV2205" s="169" t="str">
        <f t="shared" si="953"/>
        <v/>
      </c>
      <c r="AW2205" s="170" t="str">
        <f t="shared" si="954"/>
        <v>Anteil KWK, erstmals 2012</v>
      </c>
      <c r="AX2205" s="169" t="str">
        <f t="shared" si="955"/>
        <v/>
      </c>
      <c r="AY2205" t="str">
        <f t="shared" si="956"/>
        <v/>
      </c>
      <c r="AZ2205" t="str">
        <f t="shared" si="957"/>
        <v>x</v>
      </c>
    </row>
    <row r="2206" spans="1:52" s="145" customFormat="1" x14ac:dyDescent="0.35">
      <c r="A2206" s="497" t="s">
        <v>4520</v>
      </c>
      <c r="B2206" s="13" t="s">
        <v>5547</v>
      </c>
      <c r="C2206" s="13" t="s">
        <v>5539</v>
      </c>
      <c r="D2206" s="13" t="s">
        <v>7047</v>
      </c>
      <c r="E2206" s="13" t="s">
        <v>4809</v>
      </c>
      <c r="F2206" s="373">
        <f t="shared" si="964"/>
        <v>18.32</v>
      </c>
      <c r="G2206" s="430">
        <v>18.32</v>
      </c>
      <c r="H2206" s="399">
        <f t="shared" si="965"/>
        <v>14.66</v>
      </c>
      <c r="I2206" s="576"/>
      <c r="J2206" s="549" t="s">
        <v>5804</v>
      </c>
      <c r="K2206" s="11"/>
      <c r="L2206"/>
      <c r="M2206" s="37">
        <f t="shared" si="966"/>
        <v>18.32</v>
      </c>
      <c r="N2206" s="29">
        <v>9.32</v>
      </c>
      <c r="O2206" s="149"/>
      <c r="P2206" s="144"/>
      <c r="S2206" s="145" t="s">
        <v>4179</v>
      </c>
      <c r="T2206" s="145" t="s">
        <v>4179</v>
      </c>
      <c r="U2206" s="146" t="s">
        <v>1017</v>
      </c>
      <c r="W2206" s="147"/>
      <c r="X2206" s="147"/>
      <c r="Z2206" s="147"/>
      <c r="AA2206" s="145" t="s">
        <v>1017</v>
      </c>
      <c r="AC2206" s="147"/>
      <c r="AE2206" s="148"/>
      <c r="AF2206" s="147"/>
      <c r="AG2206" s="147"/>
      <c r="AH2206" s="166" t="str">
        <f t="shared" ref="AH2206:AH2211" si="970">IF(ISERROR(SEARCH("K erstmals 201",D2206)),"",RIGHT(D2206,4))</f>
        <v/>
      </c>
      <c r="AI2206" s="168" t="str">
        <f t="shared" si="958"/>
        <v/>
      </c>
      <c r="AJ2206" s="168" t="str">
        <f t="shared" si="959"/>
        <v/>
      </c>
      <c r="AK2206" s="168" t="str">
        <f t="shared" si="960"/>
        <v/>
      </c>
      <c r="AL2206" s="168" t="str">
        <f t="shared" si="961"/>
        <v/>
      </c>
      <c r="AM2206" s="168" t="str">
        <f t="shared" si="962"/>
        <v/>
      </c>
      <c r="AN2206" s="167" t="str">
        <f t="shared" si="945"/>
        <v/>
      </c>
      <c r="AO2206" s="167" t="str">
        <f t="shared" si="946"/>
        <v/>
      </c>
      <c r="AP2206" s="167" t="str">
        <f t="shared" si="947"/>
        <v/>
      </c>
      <c r="AQ2206" s="169" t="str">
        <f t="shared" si="948"/>
        <v/>
      </c>
      <c r="AR2206" s="170" t="str">
        <f t="shared" si="949"/>
        <v>BiK82M2y----08</v>
      </c>
      <c r="AS2206" s="169" t="str">
        <f t="shared" si="950"/>
        <v/>
      </c>
      <c r="AT2206">
        <f t="shared" si="951"/>
        <v>14</v>
      </c>
      <c r="AU2206" s="170" t="str">
        <f t="shared" si="952"/>
        <v>0,15-0,5 MW, Bonusregeln M2, y</v>
      </c>
      <c r="AV2206" s="169" t="str">
        <f t="shared" si="953"/>
        <v/>
      </c>
      <c r="AW2206" s="170" t="str">
        <f t="shared" si="954"/>
        <v>Anteil Nicht-KWK</v>
      </c>
      <c r="AX2206" s="169" t="str">
        <f t="shared" si="955"/>
        <v/>
      </c>
      <c r="AY2206" t="str">
        <f t="shared" si="956"/>
        <v/>
      </c>
      <c r="AZ2206" t="str">
        <f t="shared" si="957"/>
        <v/>
      </c>
    </row>
    <row r="2207" spans="1:52" s="145" customFormat="1" x14ac:dyDescent="0.35">
      <c r="A2207" s="497" t="s">
        <v>5602</v>
      </c>
      <c r="B2207" s="13" t="s">
        <v>5547</v>
      </c>
      <c r="C2207" s="13" t="s">
        <v>5539</v>
      </c>
      <c r="D2207" s="13" t="s">
        <v>7120</v>
      </c>
      <c r="E2207" s="13" t="s">
        <v>4811</v>
      </c>
      <c r="F2207" s="373">
        <f t="shared" si="964"/>
        <v>20.32</v>
      </c>
      <c r="G2207" s="430">
        <v>20.32</v>
      </c>
      <c r="H2207" s="399">
        <f t="shared" si="965"/>
        <v>16.260000000000002</v>
      </c>
      <c r="I2207" s="576"/>
      <c r="J2207" s="549" t="s">
        <v>5804</v>
      </c>
      <c r="K2207" s="11"/>
      <c r="L2207"/>
      <c r="M2207" s="37">
        <f t="shared" si="966"/>
        <v>20.32</v>
      </c>
      <c r="N2207" s="29">
        <v>9.32</v>
      </c>
      <c r="O2207" s="149" t="s">
        <v>1017</v>
      </c>
      <c r="P2207" s="144"/>
      <c r="S2207" s="145" t="s">
        <v>4179</v>
      </c>
      <c r="T2207" s="145" t="s">
        <v>4179</v>
      </c>
      <c r="U2207" s="146" t="s">
        <v>1017</v>
      </c>
      <c r="W2207" s="147"/>
      <c r="X2207" s="147"/>
      <c r="Z2207" s="147"/>
      <c r="AA2207" s="145" t="s">
        <v>1017</v>
      </c>
      <c r="AC2207" s="147"/>
      <c r="AE2207" s="148"/>
      <c r="AF2207" s="147"/>
      <c r="AG2207" s="147"/>
      <c r="AH2207" s="166" t="str">
        <f t="shared" si="970"/>
        <v/>
      </c>
      <c r="AI2207" s="168" t="str">
        <f t="shared" si="958"/>
        <v/>
      </c>
      <c r="AJ2207" s="168" t="str">
        <f t="shared" si="959"/>
        <v/>
      </c>
      <c r="AK2207" s="168" t="str">
        <f t="shared" si="960"/>
        <v/>
      </c>
      <c r="AL2207" s="168" t="str">
        <f t="shared" si="961"/>
        <v/>
      </c>
      <c r="AM2207" s="168" t="str">
        <f t="shared" si="962"/>
        <v/>
      </c>
      <c r="AN2207" s="167" t="str">
        <f t="shared" si="945"/>
        <v/>
      </c>
      <c r="AO2207" s="167" t="str">
        <f t="shared" si="946"/>
        <v/>
      </c>
      <c r="AP2207" s="167" t="str">
        <f t="shared" si="947"/>
        <v/>
      </c>
      <c r="AQ2207" s="169" t="str">
        <f t="shared" si="948"/>
        <v/>
      </c>
      <c r="AR2207" s="170" t="str">
        <f t="shared" si="949"/>
        <v>BiK82M2KWKy-08</v>
      </c>
      <c r="AS2207" s="169" t="str">
        <f t="shared" si="950"/>
        <v/>
      </c>
      <c r="AT2207">
        <f t="shared" si="951"/>
        <v>14</v>
      </c>
      <c r="AU2207" s="170" t="str">
        <f t="shared" si="952"/>
        <v>0,15-0,5 MW, Bonusregeln M2, y und KWK</v>
      </c>
      <c r="AV2207" s="169" t="str">
        <f t="shared" si="953"/>
        <v/>
      </c>
      <c r="AW2207" s="170" t="str">
        <f t="shared" si="954"/>
        <v>Anteil KWK</v>
      </c>
      <c r="AX2207" s="169" t="str">
        <f t="shared" si="955"/>
        <v/>
      </c>
      <c r="AY2207" t="str">
        <f t="shared" si="956"/>
        <v/>
      </c>
      <c r="AZ2207" t="str">
        <f t="shared" si="957"/>
        <v/>
      </c>
    </row>
    <row r="2208" spans="1:52" s="145" customFormat="1" x14ac:dyDescent="0.35">
      <c r="A2208" s="497" t="s">
        <v>5603</v>
      </c>
      <c r="B2208" s="13" t="s">
        <v>5547</v>
      </c>
      <c r="C2208" s="13" t="s">
        <v>5539</v>
      </c>
      <c r="D2208" s="88" t="s">
        <v>7048</v>
      </c>
      <c r="E2208" s="13" t="s">
        <v>4330</v>
      </c>
      <c r="F2208" s="373">
        <f t="shared" si="964"/>
        <v>21.32</v>
      </c>
      <c r="G2208" s="430">
        <v>21.32</v>
      </c>
      <c r="H2208" s="399">
        <f t="shared" si="965"/>
        <v>17.059999999999999</v>
      </c>
      <c r="I2208" s="576"/>
      <c r="J2208" s="549" t="s">
        <v>5804</v>
      </c>
      <c r="K2208" s="11"/>
      <c r="L2208"/>
      <c r="M2208" s="37">
        <f t="shared" si="966"/>
        <v>21.32</v>
      </c>
      <c r="N2208" s="29">
        <v>9.32</v>
      </c>
      <c r="O2208" s="149"/>
      <c r="P2208" s="145" t="s">
        <v>1017</v>
      </c>
      <c r="S2208" s="145" t="s">
        <v>4179</v>
      </c>
      <c r="T2208" s="145" t="s">
        <v>4179</v>
      </c>
      <c r="U2208" s="146" t="s">
        <v>1017</v>
      </c>
      <c r="W2208" s="147"/>
      <c r="X2208" s="147"/>
      <c r="Z2208" s="147"/>
      <c r="AA2208" s="145" t="s">
        <v>1017</v>
      </c>
      <c r="AC2208" s="147"/>
      <c r="AE2208" s="148"/>
      <c r="AF2208" s="147"/>
      <c r="AG2208" s="147"/>
      <c r="AH2208" s="166" t="str">
        <f t="shared" si="970"/>
        <v/>
      </c>
      <c r="AI2208" s="168" t="str">
        <f t="shared" si="958"/>
        <v/>
      </c>
      <c r="AJ2208" s="168" t="str">
        <f t="shared" si="959"/>
        <v/>
      </c>
      <c r="AK2208" s="168" t="str">
        <f t="shared" si="960"/>
        <v/>
      </c>
      <c r="AL2208" s="168" t="str">
        <f t="shared" si="961"/>
        <v/>
      </c>
      <c r="AM2208" s="168" t="str">
        <f t="shared" si="962"/>
        <v/>
      </c>
      <c r="AN2208" s="167" t="str">
        <f t="shared" si="945"/>
        <v/>
      </c>
      <c r="AO2208" s="167" t="str">
        <f t="shared" si="946"/>
        <v/>
      </c>
      <c r="AP2208" s="167" t="str">
        <f t="shared" si="947"/>
        <v/>
      </c>
      <c r="AQ2208" s="169" t="str">
        <f t="shared" si="948"/>
        <v/>
      </c>
      <c r="AR2208" s="170" t="str">
        <f t="shared" si="949"/>
        <v>BiK82M2KA3y-08</v>
      </c>
      <c r="AS2208" s="169" t="str">
        <f t="shared" si="950"/>
        <v/>
      </c>
      <c r="AT2208">
        <f t="shared" si="951"/>
        <v>14</v>
      </c>
      <c r="AU2208" s="170" t="str">
        <f t="shared" si="952"/>
        <v>0,15-0,5 MW, Bonusregeln M2, y und K wenn Anlage 3 erfüllt</v>
      </c>
      <c r="AV2208" s="169" t="str">
        <f t="shared" si="953"/>
        <v/>
      </c>
      <c r="AW2208" s="170" t="str">
        <f t="shared" si="954"/>
        <v>Anteil KWK gemäß Anlage 3</v>
      </c>
      <c r="AX2208" s="169" t="str">
        <f t="shared" si="955"/>
        <v/>
      </c>
      <c r="AY2208" t="str">
        <f t="shared" si="956"/>
        <v/>
      </c>
      <c r="AZ2208" t="str">
        <f t="shared" si="957"/>
        <v/>
      </c>
    </row>
    <row r="2209" spans="1:52" s="145" customFormat="1" x14ac:dyDescent="0.35">
      <c r="A2209" s="497" t="s">
        <v>5604</v>
      </c>
      <c r="B2209" s="13" t="s">
        <v>5547</v>
      </c>
      <c r="C2209" s="13" t="s">
        <v>5539</v>
      </c>
      <c r="D2209" s="13" t="s">
        <v>7049</v>
      </c>
      <c r="E2209" s="13" t="s">
        <v>674</v>
      </c>
      <c r="F2209" s="373">
        <f t="shared" si="964"/>
        <v>21.32</v>
      </c>
      <c r="G2209" s="430">
        <v>21.32</v>
      </c>
      <c r="H2209" s="399">
        <f t="shared" si="965"/>
        <v>17.059999999999999</v>
      </c>
      <c r="I2209" s="576"/>
      <c r="J2209" s="549" t="s">
        <v>5804</v>
      </c>
      <c r="K2209" s="11"/>
      <c r="L2209"/>
      <c r="M2209" s="37">
        <f t="shared" si="966"/>
        <v>21.32</v>
      </c>
      <c r="N2209" s="29">
        <v>9.32</v>
      </c>
      <c r="O2209" s="149"/>
      <c r="P2209" s="144"/>
      <c r="Q2209" s="145" t="s">
        <v>1017</v>
      </c>
      <c r="S2209" s="145" t="s">
        <v>4179</v>
      </c>
      <c r="T2209" s="145" t="s">
        <v>4179</v>
      </c>
      <c r="U2209" s="146" t="s">
        <v>1017</v>
      </c>
      <c r="W2209" s="147"/>
      <c r="X2209" s="147"/>
      <c r="Z2209" s="147"/>
      <c r="AA2209" s="145" t="s">
        <v>1017</v>
      </c>
      <c r="AC2209" s="147"/>
      <c r="AE2209" s="148"/>
      <c r="AF2209" s="147"/>
      <c r="AG2209" s="147"/>
      <c r="AH2209" s="166" t="str">
        <f t="shared" si="970"/>
        <v/>
      </c>
      <c r="AI2209" s="168" t="str">
        <f t="shared" si="958"/>
        <v/>
      </c>
      <c r="AJ2209" s="168" t="str">
        <f t="shared" si="959"/>
        <v/>
      </c>
      <c r="AK2209" s="168" t="str">
        <f t="shared" si="960"/>
        <v/>
      </c>
      <c r="AL2209" s="168" t="str">
        <f t="shared" si="961"/>
        <v/>
      </c>
      <c r="AM2209" s="168" t="str">
        <f t="shared" si="962"/>
        <v/>
      </c>
      <c r="AN2209" s="167" t="str">
        <f t="shared" si="945"/>
        <v/>
      </c>
      <c r="AO2209" s="167" t="str">
        <f t="shared" si="946"/>
        <v/>
      </c>
      <c r="AP2209" s="167" t="str">
        <f t="shared" si="947"/>
        <v/>
      </c>
      <c r="AQ2209" s="169" t="str">
        <f t="shared" si="948"/>
        <v/>
      </c>
      <c r="AR2209" s="170" t="str">
        <f t="shared" si="949"/>
        <v>BiK82M2K09y-08</v>
      </c>
      <c r="AS2209" s="169" t="str">
        <f t="shared" si="950"/>
        <v/>
      </c>
      <c r="AT2209">
        <f t="shared" si="951"/>
        <v>14</v>
      </c>
      <c r="AU2209" s="170" t="str">
        <f t="shared" si="952"/>
        <v>0,15-0,5 MW, Bonusregeln M2, y und K erstmals 2009</v>
      </c>
      <c r="AV2209" s="169" t="str">
        <f t="shared" si="953"/>
        <v/>
      </c>
      <c r="AW2209" s="170" t="str">
        <f t="shared" si="954"/>
        <v>Anteil KWK, erstmals 2009</v>
      </c>
      <c r="AX2209" s="169" t="str">
        <f t="shared" si="955"/>
        <v/>
      </c>
      <c r="AY2209" t="str">
        <f t="shared" si="956"/>
        <v/>
      </c>
      <c r="AZ2209" t="str">
        <f t="shared" si="957"/>
        <v/>
      </c>
    </row>
    <row r="2210" spans="1:52" s="145" customFormat="1" x14ac:dyDescent="0.35">
      <c r="A2210" s="497" t="s">
        <v>3188</v>
      </c>
      <c r="B2210" s="13" t="s">
        <v>5547</v>
      </c>
      <c r="C2210" s="13" t="s">
        <v>5539</v>
      </c>
      <c r="D2210" s="13" t="s">
        <v>7050</v>
      </c>
      <c r="E2210" s="13" t="s">
        <v>3566</v>
      </c>
      <c r="F2210" s="373">
        <f t="shared" si="964"/>
        <v>21.29</v>
      </c>
      <c r="G2210" s="430">
        <v>21.29</v>
      </c>
      <c r="H2210" s="399">
        <f t="shared" si="965"/>
        <v>17.03</v>
      </c>
      <c r="I2210" s="576"/>
      <c r="J2210" s="549" t="s">
        <v>5804</v>
      </c>
      <c r="K2210" s="11"/>
      <c r="L2210"/>
      <c r="M2210" s="37">
        <f t="shared" si="966"/>
        <v>21.29</v>
      </c>
      <c r="N2210" s="29">
        <v>9.32</v>
      </c>
      <c r="O2210" s="149"/>
      <c r="P2210" s="144"/>
      <c r="R2210" s="145" t="s">
        <v>1017</v>
      </c>
      <c r="S2210" s="145" t="s">
        <v>4179</v>
      </c>
      <c r="T2210" s="145" t="s">
        <v>4179</v>
      </c>
      <c r="U2210" s="146" t="s">
        <v>1017</v>
      </c>
      <c r="W2210" s="147"/>
      <c r="X2210" s="147"/>
      <c r="Z2210" s="147"/>
      <c r="AA2210" s="145" t="s">
        <v>1017</v>
      </c>
      <c r="AC2210" s="147"/>
      <c r="AE2210" s="148"/>
      <c r="AF2210" s="147"/>
      <c r="AG2210" s="147"/>
      <c r="AH2210" s="166" t="str">
        <f t="shared" si="970"/>
        <v>2010</v>
      </c>
      <c r="AI2210" s="168" t="str">
        <f t="shared" si="958"/>
        <v/>
      </c>
      <c r="AJ2210" s="168" t="str">
        <f t="shared" si="959"/>
        <v/>
      </c>
      <c r="AK2210" s="168" t="str">
        <f t="shared" si="960"/>
        <v/>
      </c>
      <c r="AL2210" s="168" t="str">
        <f t="shared" si="961"/>
        <v/>
      </c>
      <c r="AM2210" s="168" t="str">
        <f t="shared" si="962"/>
        <v/>
      </c>
      <c r="AN2210" s="167" t="str">
        <f t="shared" si="945"/>
        <v>2010</v>
      </c>
      <c r="AO2210" s="167" t="str">
        <f t="shared" si="946"/>
        <v>2010</v>
      </c>
      <c r="AP2210" s="167" t="str">
        <f t="shared" si="947"/>
        <v>2010</v>
      </c>
      <c r="AQ2210" s="169" t="str">
        <f t="shared" si="948"/>
        <v/>
      </c>
      <c r="AR2210" s="170" t="str">
        <f t="shared" si="949"/>
        <v>BiK82M2K10y-08</v>
      </c>
      <c r="AS2210" s="169" t="str">
        <f t="shared" si="950"/>
        <v/>
      </c>
      <c r="AT2210">
        <f t="shared" si="951"/>
        <v>14</v>
      </c>
      <c r="AU2210" s="170" t="str">
        <f t="shared" si="952"/>
        <v>0,15-0,5 MW, Bonusregeln M2, y und K erstmals 2010</v>
      </c>
      <c r="AV2210" s="169" t="str">
        <f t="shared" si="953"/>
        <v/>
      </c>
      <c r="AW2210" s="170" t="str">
        <f t="shared" si="954"/>
        <v>Anteil KWK, erstmals 2010</v>
      </c>
      <c r="AX2210" s="169" t="str">
        <f t="shared" si="955"/>
        <v/>
      </c>
      <c r="AY2210" t="str">
        <f t="shared" si="956"/>
        <v/>
      </c>
      <c r="AZ2210" t="str">
        <f t="shared" si="957"/>
        <v/>
      </c>
    </row>
    <row r="2211" spans="1:52" s="145" customFormat="1" x14ac:dyDescent="0.35">
      <c r="A2211" s="497" t="s">
        <v>3464</v>
      </c>
      <c r="B2211" s="13" t="s">
        <v>5547</v>
      </c>
      <c r="C2211" s="13" t="s">
        <v>5539</v>
      </c>
      <c r="D2211" s="13" t="s">
        <v>7051</v>
      </c>
      <c r="E2211" s="13" t="s">
        <v>3054</v>
      </c>
      <c r="F2211" s="373">
        <f t="shared" si="964"/>
        <v>21.259999999999998</v>
      </c>
      <c r="G2211" s="430">
        <v>21.259999999999998</v>
      </c>
      <c r="H2211" s="399">
        <f t="shared" si="965"/>
        <v>17.010000000000002</v>
      </c>
      <c r="I2211" s="576"/>
      <c r="J2211" s="549" t="s">
        <v>5804</v>
      </c>
      <c r="K2211" s="11"/>
      <c r="L2211"/>
      <c r="M2211" s="37">
        <f t="shared" si="966"/>
        <v>21.259999999999998</v>
      </c>
      <c r="N2211" s="29">
        <v>9.32</v>
      </c>
      <c r="O2211" s="149"/>
      <c r="P2211" s="144"/>
      <c r="S2211" s="145" t="s">
        <v>1017</v>
      </c>
      <c r="T2211" s="145" t="s">
        <v>4179</v>
      </c>
      <c r="U2211" s="146" t="s">
        <v>1017</v>
      </c>
      <c r="W2211" s="147"/>
      <c r="X2211" s="147"/>
      <c r="Z2211" s="147"/>
      <c r="AA2211" s="145" t="s">
        <v>1017</v>
      </c>
      <c r="AC2211" s="147"/>
      <c r="AE2211" s="148"/>
      <c r="AF2211" s="147"/>
      <c r="AG2211" s="147"/>
      <c r="AH2211" s="166" t="str">
        <f t="shared" si="970"/>
        <v>2011</v>
      </c>
      <c r="AI2211" s="168" t="str">
        <f t="shared" si="958"/>
        <v/>
      </c>
      <c r="AJ2211" s="168" t="str">
        <f t="shared" si="959"/>
        <v/>
      </c>
      <c r="AK2211" s="168" t="str">
        <f t="shared" si="960"/>
        <v/>
      </c>
      <c r="AL2211" s="168" t="str">
        <f t="shared" si="961"/>
        <v/>
      </c>
      <c r="AM2211" s="168" t="str">
        <f t="shared" si="962"/>
        <v/>
      </c>
      <c r="AN2211" s="167" t="str">
        <f t="shared" si="945"/>
        <v>2011</v>
      </c>
      <c r="AO2211" s="167" t="str">
        <f t="shared" si="946"/>
        <v>2011</v>
      </c>
      <c r="AP2211" s="167" t="str">
        <f t="shared" si="947"/>
        <v>2011</v>
      </c>
      <c r="AQ2211" s="169" t="str">
        <f t="shared" si="948"/>
        <v/>
      </c>
      <c r="AR2211" s="170" t="str">
        <f t="shared" si="949"/>
        <v>BiK82M2K11y-08</v>
      </c>
      <c r="AS2211" s="169" t="str">
        <f t="shared" si="950"/>
        <v/>
      </c>
      <c r="AT2211">
        <f t="shared" si="951"/>
        <v>14</v>
      </c>
      <c r="AU2211" s="170" t="str">
        <f t="shared" si="952"/>
        <v>0,15-0,5 MW, Bonusregeln M2, y und K erstmals 2011</v>
      </c>
      <c r="AV2211" s="169" t="str">
        <f t="shared" si="953"/>
        <v/>
      </c>
      <c r="AW2211" s="170" t="str">
        <f t="shared" si="954"/>
        <v>Anteil KWK, erstmals 2011</v>
      </c>
      <c r="AX2211" s="169" t="str">
        <f t="shared" si="955"/>
        <v/>
      </c>
      <c r="AY2211" t="str">
        <f t="shared" si="956"/>
        <v>x</v>
      </c>
      <c r="AZ2211" t="str">
        <f t="shared" si="957"/>
        <v/>
      </c>
    </row>
    <row r="2212" spans="1:52" s="145" customFormat="1" x14ac:dyDescent="0.35">
      <c r="A2212" s="511" t="s">
        <v>1897</v>
      </c>
      <c r="B2212" s="173" t="s">
        <v>5547</v>
      </c>
      <c r="C2212" s="173" t="s">
        <v>5539</v>
      </c>
      <c r="D2212" s="173" t="s">
        <v>7052</v>
      </c>
      <c r="E2212" s="173" t="s">
        <v>1980</v>
      </c>
      <c r="F2212" s="374">
        <f t="shared" si="964"/>
        <v>21.23</v>
      </c>
      <c r="G2212" s="431">
        <v>21.23</v>
      </c>
      <c r="H2212" s="400">
        <f t="shared" si="965"/>
        <v>16.98</v>
      </c>
      <c r="I2212" s="577"/>
      <c r="J2212" s="549" t="s">
        <v>5804</v>
      </c>
      <c r="K2212" s="11"/>
      <c r="L2212"/>
      <c r="M2212" s="37">
        <f t="shared" si="966"/>
        <v>21.23</v>
      </c>
      <c r="N2212" s="29">
        <v>9.32</v>
      </c>
      <c r="O2212" s="149"/>
      <c r="P2212" s="144"/>
      <c r="S2212" s="145" t="s">
        <v>4179</v>
      </c>
      <c r="T2212" s="145" t="s">
        <v>1017</v>
      </c>
      <c r="U2212" s="146" t="s">
        <v>1017</v>
      </c>
      <c r="W2212" s="147"/>
      <c r="X2212" s="147"/>
      <c r="Z2212" s="147"/>
      <c r="AA2212" s="145" t="s">
        <v>1017</v>
      </c>
      <c r="AC2212" s="147"/>
      <c r="AE2212" s="148"/>
      <c r="AF2212" s="147"/>
      <c r="AG2212" s="147"/>
      <c r="AH2212" s="171" t="s">
        <v>4178</v>
      </c>
      <c r="AI2212" s="168" t="str">
        <f t="shared" si="958"/>
        <v/>
      </c>
      <c r="AJ2212" s="168" t="str">
        <f t="shared" si="959"/>
        <v/>
      </c>
      <c r="AK2212" s="168" t="str">
        <f t="shared" si="960"/>
        <v/>
      </c>
      <c r="AL2212" s="168" t="str">
        <f t="shared" si="961"/>
        <v/>
      </c>
      <c r="AM2212" s="168" t="str">
        <f t="shared" si="962"/>
        <v/>
      </c>
      <c r="AN2212" s="167" t="str">
        <f t="shared" si="945"/>
        <v>2012</v>
      </c>
      <c r="AO2212" s="167" t="str">
        <f t="shared" si="946"/>
        <v>2012</v>
      </c>
      <c r="AP2212" s="167" t="str">
        <f t="shared" si="947"/>
        <v>2012</v>
      </c>
      <c r="AQ2212" s="169" t="str">
        <f t="shared" si="948"/>
        <v/>
      </c>
      <c r="AR2212" s="170" t="str">
        <f t="shared" si="949"/>
        <v>BiK82M2K12y-08</v>
      </c>
      <c r="AS2212" s="169" t="str">
        <f t="shared" si="950"/>
        <v/>
      </c>
      <c r="AT2212">
        <f t="shared" si="951"/>
        <v>14</v>
      </c>
      <c r="AU2212" s="170" t="str">
        <f t="shared" si="952"/>
        <v>0,15-0,5 MW, Bonusregeln M2, y und K erstmals 2012</v>
      </c>
      <c r="AV2212" s="169" t="str">
        <f t="shared" si="953"/>
        <v/>
      </c>
      <c r="AW2212" s="170" t="str">
        <f t="shared" si="954"/>
        <v>Anteil KWK, erstmals 2012</v>
      </c>
      <c r="AX2212" s="169" t="str">
        <f t="shared" si="955"/>
        <v/>
      </c>
      <c r="AY2212" t="str">
        <f t="shared" si="956"/>
        <v/>
      </c>
      <c r="AZ2212" t="str">
        <f t="shared" si="957"/>
        <v>x</v>
      </c>
    </row>
    <row r="2213" spans="1:52" s="145" customFormat="1" x14ac:dyDescent="0.35">
      <c r="A2213" s="497" t="s">
        <v>4053</v>
      </c>
      <c r="B2213" s="13" t="s">
        <v>5547</v>
      </c>
      <c r="C2213" s="13" t="s">
        <v>5539</v>
      </c>
      <c r="D2213" s="13" t="s">
        <v>7053</v>
      </c>
      <c r="E2213" s="13" t="s">
        <v>4809</v>
      </c>
      <c r="F2213" s="373">
        <f t="shared" si="964"/>
        <v>18.32</v>
      </c>
      <c r="G2213" s="430">
        <v>18.32</v>
      </c>
      <c r="H2213" s="399">
        <f t="shared" si="965"/>
        <v>14.66</v>
      </c>
      <c r="I2213" s="576"/>
      <c r="J2213" s="549" t="s">
        <v>5804</v>
      </c>
      <c r="K2213" s="11"/>
      <c r="L2213"/>
      <c r="M2213" s="37">
        <f t="shared" si="966"/>
        <v>18.32</v>
      </c>
      <c r="N2213" s="29">
        <v>9.32</v>
      </c>
      <c r="O2213" s="149"/>
      <c r="P2213" s="144"/>
      <c r="S2213" s="145" t="s">
        <v>4179</v>
      </c>
      <c r="T2213" s="145" t="s">
        <v>4179</v>
      </c>
      <c r="U2213" s="146"/>
      <c r="W2213" s="147"/>
      <c r="X2213" s="147"/>
      <c r="Z2213" s="147"/>
      <c r="AB2213" s="145" t="s">
        <v>1017</v>
      </c>
      <c r="AC2213" s="147"/>
      <c r="AE2213" s="148"/>
      <c r="AF2213" s="147"/>
      <c r="AG2213" s="147"/>
      <c r="AH2213" s="166" t="str">
        <f t="shared" ref="AH2213:AH2218" si="971">IF(ISERROR(SEARCH("K erstmals 201",D2213)),"",RIGHT(D2213,4))</f>
        <v/>
      </c>
      <c r="AI2213" s="168" t="str">
        <f t="shared" si="958"/>
        <v/>
      </c>
      <c r="AJ2213" s="168" t="str">
        <f t="shared" si="959"/>
        <v/>
      </c>
      <c r="AK2213" s="168" t="str">
        <f t="shared" si="960"/>
        <v/>
      </c>
      <c r="AL2213" s="168" t="str">
        <f t="shared" si="961"/>
        <v/>
      </c>
      <c r="AM2213" s="168" t="str">
        <f t="shared" si="962"/>
        <v/>
      </c>
      <c r="AN2213" s="167" t="str">
        <f t="shared" si="945"/>
        <v/>
      </c>
      <c r="AO2213" s="167" t="str">
        <f t="shared" si="946"/>
        <v/>
      </c>
      <c r="AP2213" s="167" t="str">
        <f t="shared" si="947"/>
        <v/>
      </c>
      <c r="AQ2213" s="169" t="str">
        <f t="shared" si="948"/>
        <v/>
      </c>
      <c r="AR2213" s="170" t="str">
        <f t="shared" si="949"/>
        <v>BiK82L------08</v>
      </c>
      <c r="AS2213" s="169" t="str">
        <f t="shared" si="950"/>
        <v/>
      </c>
      <c r="AT2213">
        <f t="shared" si="951"/>
        <v>14</v>
      </c>
      <c r="AU2213" s="170" t="str">
        <f t="shared" si="952"/>
        <v>0,15-0,5 MW, Bonusregel L</v>
      </c>
      <c r="AV2213" s="169" t="str">
        <f t="shared" si="953"/>
        <v/>
      </c>
      <c r="AW2213" s="170" t="str">
        <f t="shared" si="954"/>
        <v>Anteil Nicht-KWK</v>
      </c>
      <c r="AX2213" s="169" t="str">
        <f t="shared" si="955"/>
        <v/>
      </c>
      <c r="AY2213" t="str">
        <f t="shared" si="956"/>
        <v/>
      </c>
      <c r="AZ2213" t="str">
        <f t="shared" si="957"/>
        <v/>
      </c>
    </row>
    <row r="2214" spans="1:52" x14ac:dyDescent="0.35">
      <c r="A2214" s="497" t="s">
        <v>4054</v>
      </c>
      <c r="B2214" s="13" t="s">
        <v>5547</v>
      </c>
      <c r="C2214" s="13" t="s">
        <v>5539</v>
      </c>
      <c r="D2214" s="13" t="s">
        <v>7121</v>
      </c>
      <c r="E2214" s="13" t="s">
        <v>4811</v>
      </c>
      <c r="F2214" s="373">
        <f t="shared" si="964"/>
        <v>20.32</v>
      </c>
      <c r="G2214" s="430">
        <v>20.32</v>
      </c>
      <c r="H2214" s="399">
        <f t="shared" si="965"/>
        <v>16.260000000000002</v>
      </c>
      <c r="I2214" s="576"/>
      <c r="J2214" s="549" t="s">
        <v>5804</v>
      </c>
      <c r="K2214" s="11"/>
      <c r="M2214" s="37">
        <f t="shared" si="966"/>
        <v>20.32</v>
      </c>
      <c r="N2214" s="29">
        <v>9.32</v>
      </c>
      <c r="O2214" s="149" t="s">
        <v>1017</v>
      </c>
      <c r="P2214" s="144"/>
      <c r="Q2214" s="145"/>
      <c r="R2214" s="145"/>
      <c r="S2214" s="145" t="s">
        <v>4179</v>
      </c>
      <c r="T2214" t="s">
        <v>4179</v>
      </c>
      <c r="U2214" s="146"/>
      <c r="V2214" s="145"/>
      <c r="W2214" s="147"/>
      <c r="X2214" s="147"/>
      <c r="Y2214" s="145"/>
      <c r="Z2214" s="147"/>
      <c r="AA2214" s="145"/>
      <c r="AB2214" s="145" t="s">
        <v>1017</v>
      </c>
      <c r="AC2214" s="147"/>
      <c r="AD2214" s="145"/>
      <c r="AE2214" s="148"/>
      <c r="AF2214" s="147"/>
      <c r="AG2214" s="147"/>
      <c r="AH2214" s="166" t="str">
        <f t="shared" si="971"/>
        <v/>
      </c>
      <c r="AI2214" s="168" t="str">
        <f t="shared" si="958"/>
        <v/>
      </c>
      <c r="AJ2214" s="168" t="str">
        <f t="shared" si="959"/>
        <v/>
      </c>
      <c r="AK2214" s="168" t="str">
        <f t="shared" si="960"/>
        <v/>
      </c>
      <c r="AL2214" s="168" t="str">
        <f t="shared" si="961"/>
        <v/>
      </c>
      <c r="AM2214" s="168" t="str">
        <f t="shared" si="962"/>
        <v/>
      </c>
      <c r="AN2214" s="167" t="str">
        <f t="shared" si="945"/>
        <v/>
      </c>
      <c r="AO2214" s="167" t="str">
        <f t="shared" si="946"/>
        <v/>
      </c>
      <c r="AP2214" s="167" t="str">
        <f t="shared" si="947"/>
        <v/>
      </c>
      <c r="AQ2214" s="169" t="str">
        <f t="shared" si="948"/>
        <v/>
      </c>
      <c r="AR2214" s="170" t="str">
        <f t="shared" si="949"/>
        <v>BiK82LKWK---08</v>
      </c>
      <c r="AS2214" s="169" t="str">
        <f t="shared" si="950"/>
        <v/>
      </c>
      <c r="AT2214">
        <f t="shared" si="951"/>
        <v>14</v>
      </c>
      <c r="AU2214" s="170" t="str">
        <f t="shared" si="952"/>
        <v>0,15-0,5 MW, Bonusregeln L und KWK</v>
      </c>
      <c r="AV2214" s="169" t="str">
        <f t="shared" si="953"/>
        <v/>
      </c>
      <c r="AW2214" s="170" t="str">
        <f t="shared" si="954"/>
        <v>Anteil KWK</v>
      </c>
      <c r="AX2214" s="169" t="str">
        <f t="shared" si="955"/>
        <v/>
      </c>
      <c r="AY2214" t="str">
        <f t="shared" si="956"/>
        <v/>
      </c>
      <c r="AZ2214" t="str">
        <f t="shared" si="957"/>
        <v/>
      </c>
    </row>
    <row r="2215" spans="1:52" x14ac:dyDescent="0.35">
      <c r="A2215" s="497" t="s">
        <v>4055</v>
      </c>
      <c r="B2215" s="13" t="s">
        <v>5547</v>
      </c>
      <c r="C2215" s="13" t="s">
        <v>5539</v>
      </c>
      <c r="D2215" s="13" t="s">
        <v>7054</v>
      </c>
      <c r="E2215" s="13" t="s">
        <v>4330</v>
      </c>
      <c r="F2215" s="373">
        <f t="shared" si="964"/>
        <v>21.32</v>
      </c>
      <c r="G2215" s="430">
        <v>21.32</v>
      </c>
      <c r="H2215" s="399">
        <f t="shared" si="965"/>
        <v>17.059999999999999</v>
      </c>
      <c r="I2215" s="576"/>
      <c r="J2215" s="549" t="s">
        <v>5804</v>
      </c>
      <c r="K2215" s="11"/>
      <c r="M2215" s="37">
        <f t="shared" si="966"/>
        <v>21.32</v>
      </c>
      <c r="N2215" s="29">
        <v>9.32</v>
      </c>
      <c r="O2215" s="149"/>
      <c r="P2215" s="145" t="s">
        <v>1017</v>
      </c>
      <c r="Q2215" s="145"/>
      <c r="R2215" s="145"/>
      <c r="S2215" s="145" t="s">
        <v>4179</v>
      </c>
      <c r="T2215" t="s">
        <v>4179</v>
      </c>
      <c r="U2215" s="146"/>
      <c r="V2215" s="145"/>
      <c r="W2215" s="147"/>
      <c r="X2215" s="147"/>
      <c r="Y2215" s="145"/>
      <c r="Z2215" s="147"/>
      <c r="AA2215" s="145"/>
      <c r="AB2215" s="145" t="s">
        <v>1017</v>
      </c>
      <c r="AC2215" s="147"/>
      <c r="AD2215" s="145"/>
      <c r="AE2215" s="148"/>
      <c r="AF2215" s="147"/>
      <c r="AG2215" s="147"/>
      <c r="AH2215" s="166" t="str">
        <f t="shared" si="971"/>
        <v/>
      </c>
      <c r="AI2215" s="168" t="str">
        <f t="shared" si="958"/>
        <v/>
      </c>
      <c r="AJ2215" s="168" t="str">
        <f t="shared" si="959"/>
        <v/>
      </c>
      <c r="AK2215" s="168" t="str">
        <f t="shared" si="960"/>
        <v/>
      </c>
      <c r="AL2215" s="168" t="str">
        <f t="shared" si="961"/>
        <v/>
      </c>
      <c r="AM2215" s="168" t="str">
        <f t="shared" si="962"/>
        <v/>
      </c>
      <c r="AN2215" s="167" t="str">
        <f t="shared" si="945"/>
        <v/>
      </c>
      <c r="AO2215" s="167" t="str">
        <f t="shared" si="946"/>
        <v/>
      </c>
      <c r="AP2215" s="167" t="str">
        <f t="shared" si="947"/>
        <v/>
      </c>
      <c r="AQ2215" s="169" t="str">
        <f t="shared" si="948"/>
        <v/>
      </c>
      <c r="AR2215" s="170" t="str">
        <f t="shared" si="949"/>
        <v>BiK82LKA3---08</v>
      </c>
      <c r="AS2215" s="169" t="str">
        <f t="shared" si="950"/>
        <v/>
      </c>
      <c r="AT2215">
        <f t="shared" si="951"/>
        <v>14</v>
      </c>
      <c r="AU2215" s="170" t="str">
        <f t="shared" si="952"/>
        <v>0,15-0,5 MW, Bonusregeln L und K wenn Anlage 3 erfüllt</v>
      </c>
      <c r="AV2215" s="169" t="str">
        <f t="shared" si="953"/>
        <v/>
      </c>
      <c r="AW2215" s="170" t="str">
        <f t="shared" si="954"/>
        <v>Anteil KWK gemäß Anlage 3</v>
      </c>
      <c r="AX2215" s="169" t="str">
        <f t="shared" si="955"/>
        <v/>
      </c>
      <c r="AY2215" t="str">
        <f t="shared" si="956"/>
        <v/>
      </c>
      <c r="AZ2215" t="str">
        <f t="shared" si="957"/>
        <v/>
      </c>
    </row>
    <row r="2216" spans="1:52" x14ac:dyDescent="0.35">
      <c r="A2216" s="497" t="s">
        <v>4056</v>
      </c>
      <c r="B2216" s="13" t="s">
        <v>5547</v>
      </c>
      <c r="C2216" s="13" t="s">
        <v>5539</v>
      </c>
      <c r="D2216" s="13" t="s">
        <v>7055</v>
      </c>
      <c r="E2216" s="13" t="s">
        <v>674</v>
      </c>
      <c r="F2216" s="373">
        <f t="shared" si="964"/>
        <v>21.32</v>
      </c>
      <c r="G2216" s="430">
        <v>21.32</v>
      </c>
      <c r="H2216" s="399">
        <f t="shared" si="965"/>
        <v>17.059999999999999</v>
      </c>
      <c r="I2216" s="576"/>
      <c r="J2216" s="549" t="s">
        <v>5804</v>
      </c>
      <c r="K2216" s="11"/>
      <c r="M2216" s="37">
        <f t="shared" si="966"/>
        <v>21.32</v>
      </c>
      <c r="N2216" s="29">
        <v>9.32</v>
      </c>
      <c r="O2216" s="149"/>
      <c r="P2216" s="144"/>
      <c r="Q2216" s="145" t="s">
        <v>1017</v>
      </c>
      <c r="R2216" s="145"/>
      <c r="S2216" s="145" t="s">
        <v>4179</v>
      </c>
      <c r="T2216" t="s">
        <v>4179</v>
      </c>
      <c r="U2216" s="146"/>
      <c r="V2216" s="145"/>
      <c r="W2216" s="147"/>
      <c r="X2216" s="147"/>
      <c r="Y2216" s="145"/>
      <c r="Z2216" s="147"/>
      <c r="AA2216" s="145"/>
      <c r="AB2216" s="145" t="s">
        <v>1017</v>
      </c>
      <c r="AC2216" s="147"/>
      <c r="AD2216" s="145"/>
      <c r="AE2216" s="148"/>
      <c r="AF2216" s="147"/>
      <c r="AG2216" s="147"/>
      <c r="AH2216" s="166" t="str">
        <f t="shared" si="971"/>
        <v/>
      </c>
      <c r="AI2216" s="168" t="str">
        <f t="shared" si="958"/>
        <v/>
      </c>
      <c r="AJ2216" s="168" t="str">
        <f t="shared" si="959"/>
        <v/>
      </c>
      <c r="AK2216" s="168" t="str">
        <f t="shared" si="960"/>
        <v/>
      </c>
      <c r="AL2216" s="168" t="str">
        <f t="shared" si="961"/>
        <v/>
      </c>
      <c r="AM2216" s="168" t="str">
        <f t="shared" si="962"/>
        <v/>
      </c>
      <c r="AN2216" s="167" t="str">
        <f t="shared" si="945"/>
        <v/>
      </c>
      <c r="AO2216" s="167" t="str">
        <f t="shared" si="946"/>
        <v/>
      </c>
      <c r="AP2216" s="167" t="str">
        <f t="shared" si="947"/>
        <v/>
      </c>
      <c r="AQ2216" s="169" t="str">
        <f t="shared" si="948"/>
        <v/>
      </c>
      <c r="AR2216" s="170" t="str">
        <f t="shared" si="949"/>
        <v>BiK82LK09---08</v>
      </c>
      <c r="AS2216" s="169" t="str">
        <f t="shared" si="950"/>
        <v/>
      </c>
      <c r="AT2216">
        <f t="shared" si="951"/>
        <v>14</v>
      </c>
      <c r="AU2216" s="170" t="str">
        <f t="shared" si="952"/>
        <v>0,15-0,5 MW, Bonusregeln L und K erstmals 2009</v>
      </c>
      <c r="AV2216" s="169" t="str">
        <f t="shared" si="953"/>
        <v/>
      </c>
      <c r="AW2216" s="170" t="str">
        <f t="shared" si="954"/>
        <v>Anteil KWK, erstmals 2009</v>
      </c>
      <c r="AX2216" s="169" t="str">
        <f t="shared" si="955"/>
        <v/>
      </c>
      <c r="AY2216" t="str">
        <f t="shared" si="956"/>
        <v/>
      </c>
      <c r="AZ2216" t="str">
        <f t="shared" si="957"/>
        <v/>
      </c>
    </row>
    <row r="2217" spans="1:52" x14ac:dyDescent="0.35">
      <c r="A2217" s="497" t="s">
        <v>3189</v>
      </c>
      <c r="B2217" s="13" t="s">
        <v>5547</v>
      </c>
      <c r="C2217" s="13" t="s">
        <v>5539</v>
      </c>
      <c r="D2217" s="13" t="s">
        <v>7056</v>
      </c>
      <c r="E2217" s="13" t="s">
        <v>3566</v>
      </c>
      <c r="F2217" s="373">
        <f t="shared" si="964"/>
        <v>21.29</v>
      </c>
      <c r="G2217" s="430">
        <v>21.29</v>
      </c>
      <c r="H2217" s="399">
        <f t="shared" si="965"/>
        <v>17.03</v>
      </c>
      <c r="I2217" s="576"/>
      <c r="J2217" s="549" t="s">
        <v>5804</v>
      </c>
      <c r="K2217" s="11"/>
      <c r="M2217" s="37">
        <f t="shared" si="966"/>
        <v>21.29</v>
      </c>
      <c r="N2217" s="29">
        <v>9.32</v>
      </c>
      <c r="O2217" s="149"/>
      <c r="P2217" s="144"/>
      <c r="Q2217" s="145"/>
      <c r="R2217" s="145" t="s">
        <v>1017</v>
      </c>
      <c r="S2217" s="145" t="s">
        <v>4179</v>
      </c>
      <c r="T2217" t="s">
        <v>4179</v>
      </c>
      <c r="U2217" s="146"/>
      <c r="V2217" s="145"/>
      <c r="W2217" s="147"/>
      <c r="X2217" s="147"/>
      <c r="Y2217" s="145"/>
      <c r="Z2217" s="147"/>
      <c r="AA2217" s="145"/>
      <c r="AB2217" s="145" t="s">
        <v>1017</v>
      </c>
      <c r="AC2217" s="147"/>
      <c r="AD2217" s="145"/>
      <c r="AE2217" s="148"/>
      <c r="AF2217" s="147"/>
      <c r="AG2217" s="147"/>
      <c r="AH2217" s="166" t="str">
        <f t="shared" si="971"/>
        <v>2010</v>
      </c>
      <c r="AI2217" s="168" t="str">
        <f t="shared" si="958"/>
        <v/>
      </c>
      <c r="AJ2217" s="168" t="str">
        <f t="shared" si="959"/>
        <v/>
      </c>
      <c r="AK2217" s="168" t="str">
        <f t="shared" si="960"/>
        <v/>
      </c>
      <c r="AL2217" s="168" t="str">
        <f t="shared" si="961"/>
        <v/>
      </c>
      <c r="AM2217" s="168" t="str">
        <f t="shared" si="962"/>
        <v/>
      </c>
      <c r="AN2217" s="167" t="str">
        <f t="shared" si="945"/>
        <v>2010</v>
      </c>
      <c r="AO2217" s="167" t="str">
        <f t="shared" si="946"/>
        <v>2010</v>
      </c>
      <c r="AP2217" s="167" t="str">
        <f t="shared" si="947"/>
        <v>2010</v>
      </c>
      <c r="AQ2217" s="169" t="str">
        <f t="shared" si="948"/>
        <v/>
      </c>
      <c r="AR2217" s="170" t="str">
        <f t="shared" si="949"/>
        <v>BiK82LK10---08</v>
      </c>
      <c r="AS2217" s="169" t="str">
        <f t="shared" si="950"/>
        <v/>
      </c>
      <c r="AT2217">
        <f t="shared" si="951"/>
        <v>14</v>
      </c>
      <c r="AU2217" s="170" t="str">
        <f t="shared" si="952"/>
        <v>0,15-0,5 MW, Bonusregeln L und K erstmals 2010</v>
      </c>
      <c r="AV2217" s="169" t="str">
        <f t="shared" si="953"/>
        <v/>
      </c>
      <c r="AW2217" s="170" t="str">
        <f t="shared" si="954"/>
        <v>Anteil KWK, erstmals 2010</v>
      </c>
      <c r="AX2217" s="169" t="str">
        <f t="shared" si="955"/>
        <v/>
      </c>
      <c r="AY2217" t="str">
        <f t="shared" si="956"/>
        <v/>
      </c>
      <c r="AZ2217" t="str">
        <f t="shared" si="957"/>
        <v/>
      </c>
    </row>
    <row r="2218" spans="1:52" s="145" customFormat="1" x14ac:dyDescent="0.35">
      <c r="A2218" s="497" t="s">
        <v>3465</v>
      </c>
      <c r="B2218" s="13" t="s">
        <v>5547</v>
      </c>
      <c r="C2218" s="13" t="s">
        <v>5539</v>
      </c>
      <c r="D2218" s="13" t="s">
        <v>7057</v>
      </c>
      <c r="E2218" s="13" t="s">
        <v>3054</v>
      </c>
      <c r="F2218" s="373">
        <f t="shared" si="964"/>
        <v>21.259999999999998</v>
      </c>
      <c r="G2218" s="430">
        <v>21.259999999999998</v>
      </c>
      <c r="H2218" s="399">
        <f t="shared" si="965"/>
        <v>17.010000000000002</v>
      </c>
      <c r="I2218" s="576"/>
      <c r="J2218" s="549" t="s">
        <v>5804</v>
      </c>
      <c r="K2218" s="11"/>
      <c r="L2218"/>
      <c r="M2218" s="37">
        <f t="shared" si="966"/>
        <v>21.259999999999998</v>
      </c>
      <c r="N2218" s="29">
        <v>9.32</v>
      </c>
      <c r="O2218" s="149"/>
      <c r="P2218" s="144"/>
      <c r="S2218" s="145" t="s">
        <v>1017</v>
      </c>
      <c r="T2218" s="145" t="s">
        <v>4179</v>
      </c>
      <c r="U2218" s="146"/>
      <c r="W2218" s="147"/>
      <c r="X2218" s="147"/>
      <c r="Z2218" s="147"/>
      <c r="AB2218" s="145" t="s">
        <v>1017</v>
      </c>
      <c r="AC2218" s="147"/>
      <c r="AE2218" s="148"/>
      <c r="AF2218" s="147"/>
      <c r="AG2218" s="147"/>
      <c r="AH2218" s="166" t="str">
        <f t="shared" si="971"/>
        <v>2011</v>
      </c>
      <c r="AI2218" s="168" t="str">
        <f t="shared" si="958"/>
        <v/>
      </c>
      <c r="AJ2218" s="168" t="str">
        <f t="shared" si="959"/>
        <v/>
      </c>
      <c r="AK2218" s="168" t="str">
        <f t="shared" si="960"/>
        <v/>
      </c>
      <c r="AL2218" s="168" t="str">
        <f t="shared" si="961"/>
        <v/>
      </c>
      <c r="AM2218" s="168" t="str">
        <f t="shared" si="962"/>
        <v/>
      </c>
      <c r="AN2218" s="167" t="str">
        <f t="shared" si="945"/>
        <v>2011</v>
      </c>
      <c r="AO2218" s="167" t="str">
        <f t="shared" si="946"/>
        <v>2011</v>
      </c>
      <c r="AP2218" s="167" t="str">
        <f t="shared" si="947"/>
        <v>2011</v>
      </c>
      <c r="AQ2218" s="169" t="str">
        <f t="shared" si="948"/>
        <v/>
      </c>
      <c r="AR2218" s="170" t="str">
        <f t="shared" si="949"/>
        <v>BiK82LK11---08</v>
      </c>
      <c r="AS2218" s="169" t="str">
        <f t="shared" si="950"/>
        <v/>
      </c>
      <c r="AT2218">
        <f t="shared" si="951"/>
        <v>14</v>
      </c>
      <c r="AU2218" s="170" t="str">
        <f t="shared" si="952"/>
        <v>0,15-0,5 MW, Bonusregeln L und K erstmals 2011</v>
      </c>
      <c r="AV2218" s="169" t="str">
        <f t="shared" si="953"/>
        <v/>
      </c>
      <c r="AW2218" s="170" t="str">
        <f t="shared" si="954"/>
        <v>Anteil KWK, erstmals 2011</v>
      </c>
      <c r="AX2218" s="169" t="str">
        <f t="shared" si="955"/>
        <v/>
      </c>
      <c r="AY2218" t="str">
        <f t="shared" si="956"/>
        <v>x</v>
      </c>
      <c r="AZ2218" t="str">
        <f t="shared" si="957"/>
        <v/>
      </c>
    </row>
    <row r="2219" spans="1:52" s="145" customFormat="1" x14ac:dyDescent="0.35">
      <c r="A2219" s="511" t="s">
        <v>1898</v>
      </c>
      <c r="B2219" s="173" t="s">
        <v>5547</v>
      </c>
      <c r="C2219" s="173" t="s">
        <v>5539</v>
      </c>
      <c r="D2219" s="173" t="s">
        <v>7058</v>
      </c>
      <c r="E2219" s="173" t="s">
        <v>1980</v>
      </c>
      <c r="F2219" s="374">
        <f t="shared" si="964"/>
        <v>21.23</v>
      </c>
      <c r="G2219" s="431">
        <v>21.23</v>
      </c>
      <c r="H2219" s="400">
        <f t="shared" si="965"/>
        <v>16.98</v>
      </c>
      <c r="I2219" s="577"/>
      <c r="J2219" s="549" t="s">
        <v>5804</v>
      </c>
      <c r="K2219" s="11"/>
      <c r="L2219"/>
      <c r="M2219" s="37">
        <f t="shared" si="966"/>
        <v>21.23</v>
      </c>
      <c r="N2219" s="29">
        <v>9.32</v>
      </c>
      <c r="O2219" s="149"/>
      <c r="P2219" s="144"/>
      <c r="S2219" s="145" t="s">
        <v>4179</v>
      </c>
      <c r="T2219" s="145" t="s">
        <v>1017</v>
      </c>
      <c r="U2219" s="146"/>
      <c r="W2219" s="147"/>
      <c r="X2219" s="147"/>
      <c r="Z2219" s="147"/>
      <c r="AB2219" s="145" t="s">
        <v>1017</v>
      </c>
      <c r="AC2219" s="147"/>
      <c r="AE2219" s="148"/>
      <c r="AF2219" s="147"/>
      <c r="AG2219" s="147"/>
      <c r="AH2219" s="171" t="s">
        <v>4178</v>
      </c>
      <c r="AI2219" s="168" t="str">
        <f t="shared" si="958"/>
        <v/>
      </c>
      <c r="AJ2219" s="168" t="str">
        <f t="shared" si="959"/>
        <v/>
      </c>
      <c r="AK2219" s="168" t="str">
        <f t="shared" si="960"/>
        <v/>
      </c>
      <c r="AL2219" s="168" t="str">
        <f t="shared" si="961"/>
        <v/>
      </c>
      <c r="AM2219" s="168" t="str">
        <f t="shared" si="962"/>
        <v/>
      </c>
      <c r="AN2219" s="167" t="str">
        <f t="shared" si="945"/>
        <v>2012</v>
      </c>
      <c r="AO2219" s="167" t="str">
        <f t="shared" si="946"/>
        <v>2012</v>
      </c>
      <c r="AP2219" s="167" t="str">
        <f t="shared" si="947"/>
        <v>2012</v>
      </c>
      <c r="AQ2219" s="169" t="str">
        <f t="shared" si="948"/>
        <v/>
      </c>
      <c r="AR2219" s="170" t="str">
        <f t="shared" si="949"/>
        <v>BiK82LK12---08</v>
      </c>
      <c r="AS2219" s="169" t="str">
        <f t="shared" si="950"/>
        <v/>
      </c>
      <c r="AT2219">
        <f t="shared" si="951"/>
        <v>14</v>
      </c>
      <c r="AU2219" s="170" t="str">
        <f t="shared" si="952"/>
        <v>0,15-0,5 MW, Bonusregeln L und K erstmals 2012</v>
      </c>
      <c r="AV2219" s="169" t="str">
        <f t="shared" si="953"/>
        <v/>
      </c>
      <c r="AW2219" s="170" t="str">
        <f t="shared" si="954"/>
        <v>Anteil KWK, erstmals 2012</v>
      </c>
      <c r="AX2219" s="169" t="str">
        <f t="shared" si="955"/>
        <v/>
      </c>
      <c r="AY2219" t="str">
        <f t="shared" si="956"/>
        <v/>
      </c>
      <c r="AZ2219" t="str">
        <f t="shared" si="957"/>
        <v>x</v>
      </c>
    </row>
    <row r="2220" spans="1:52" s="145" customFormat="1" x14ac:dyDescent="0.35">
      <c r="A2220" s="497" t="s">
        <v>4057</v>
      </c>
      <c r="B2220" s="13" t="s">
        <v>5547</v>
      </c>
      <c r="C2220" s="13" t="s">
        <v>5539</v>
      </c>
      <c r="D2220" s="13" t="s">
        <v>7059</v>
      </c>
      <c r="E2220" s="13" t="s">
        <v>4809</v>
      </c>
      <c r="F2220" s="373">
        <f t="shared" si="964"/>
        <v>19.32</v>
      </c>
      <c r="G2220" s="430">
        <v>19.32</v>
      </c>
      <c r="H2220" s="399">
        <f t="shared" si="965"/>
        <v>15.46</v>
      </c>
      <c r="I2220" s="576"/>
      <c r="J2220" s="549" t="s">
        <v>5804</v>
      </c>
      <c r="K2220" s="11"/>
      <c r="L2220"/>
      <c r="M2220" s="37">
        <f t="shared" si="966"/>
        <v>19.32</v>
      </c>
      <c r="N2220" s="29">
        <v>9.32</v>
      </c>
      <c r="O2220" s="149"/>
      <c r="P2220" s="144"/>
      <c r="S2220" s="145" t="s">
        <v>4179</v>
      </c>
      <c r="T2220" s="145" t="s">
        <v>4179</v>
      </c>
      <c r="U2220" s="146" t="s">
        <v>1017</v>
      </c>
      <c r="W2220" s="147"/>
      <c r="X2220" s="147"/>
      <c r="Z2220" s="147"/>
      <c r="AB2220" s="145" t="s">
        <v>1017</v>
      </c>
      <c r="AC2220" s="147"/>
      <c r="AE2220" s="148"/>
      <c r="AF2220" s="147"/>
      <c r="AG2220" s="147"/>
      <c r="AH2220" s="166" t="str">
        <f t="shared" ref="AH2220:AH2225" si="972">IF(ISERROR(SEARCH("K erstmals 201",D2220)),"",RIGHT(D2220,4))</f>
        <v/>
      </c>
      <c r="AI2220" s="168" t="str">
        <f t="shared" si="958"/>
        <v/>
      </c>
      <c r="AJ2220" s="168" t="str">
        <f t="shared" si="959"/>
        <v/>
      </c>
      <c r="AK2220" s="168" t="str">
        <f t="shared" si="960"/>
        <v/>
      </c>
      <c r="AL2220" s="168" t="str">
        <f t="shared" si="961"/>
        <v/>
      </c>
      <c r="AM2220" s="168" t="str">
        <f t="shared" si="962"/>
        <v/>
      </c>
      <c r="AN2220" s="167" t="str">
        <f t="shared" si="945"/>
        <v/>
      </c>
      <c r="AO2220" s="167" t="str">
        <f t="shared" si="946"/>
        <v/>
      </c>
      <c r="AP2220" s="167" t="str">
        <f t="shared" si="947"/>
        <v/>
      </c>
      <c r="AQ2220" s="169" t="str">
        <f t="shared" si="948"/>
        <v/>
      </c>
      <c r="AR2220" s="170" t="str">
        <f t="shared" si="949"/>
        <v>BiK82Ly-----08</v>
      </c>
      <c r="AS2220" s="169" t="str">
        <f t="shared" si="950"/>
        <v/>
      </c>
      <c r="AT2220">
        <f t="shared" si="951"/>
        <v>14</v>
      </c>
      <c r="AU2220" s="170" t="str">
        <f t="shared" si="952"/>
        <v>0,15-0,5 MW, Bonusregeln L, y</v>
      </c>
      <c r="AV2220" s="169" t="str">
        <f t="shared" si="953"/>
        <v/>
      </c>
      <c r="AW2220" s="170" t="str">
        <f t="shared" si="954"/>
        <v>Anteil Nicht-KWK</v>
      </c>
      <c r="AX2220" s="169" t="str">
        <f t="shared" si="955"/>
        <v/>
      </c>
      <c r="AY2220" t="str">
        <f t="shared" si="956"/>
        <v/>
      </c>
      <c r="AZ2220" t="str">
        <f t="shared" si="957"/>
        <v/>
      </c>
    </row>
    <row r="2221" spans="1:52" s="145" customFormat="1" x14ac:dyDescent="0.35">
      <c r="A2221" s="497" t="s">
        <v>4058</v>
      </c>
      <c r="B2221" s="13" t="s">
        <v>5547</v>
      </c>
      <c r="C2221" s="13" t="s">
        <v>5539</v>
      </c>
      <c r="D2221" s="13" t="s">
        <v>7122</v>
      </c>
      <c r="E2221" s="13" t="s">
        <v>4811</v>
      </c>
      <c r="F2221" s="373">
        <f t="shared" si="964"/>
        <v>21.32</v>
      </c>
      <c r="G2221" s="430">
        <v>21.32</v>
      </c>
      <c r="H2221" s="399">
        <f t="shared" si="965"/>
        <v>17.059999999999999</v>
      </c>
      <c r="I2221" s="576"/>
      <c r="J2221" s="549" t="s">
        <v>5804</v>
      </c>
      <c r="K2221" s="11"/>
      <c r="L2221"/>
      <c r="M2221" s="37">
        <f t="shared" si="966"/>
        <v>21.32</v>
      </c>
      <c r="N2221" s="29">
        <v>9.32</v>
      </c>
      <c r="O2221" s="149" t="s">
        <v>1017</v>
      </c>
      <c r="P2221" s="144"/>
      <c r="S2221" s="145" t="s">
        <v>4179</v>
      </c>
      <c r="T2221" s="145" t="s">
        <v>4179</v>
      </c>
      <c r="U2221" s="146" t="s">
        <v>1017</v>
      </c>
      <c r="W2221" s="147"/>
      <c r="X2221" s="147"/>
      <c r="Z2221" s="147"/>
      <c r="AB2221" s="145" t="s">
        <v>1017</v>
      </c>
      <c r="AC2221" s="147"/>
      <c r="AE2221" s="148"/>
      <c r="AF2221" s="147"/>
      <c r="AG2221" s="147"/>
      <c r="AH2221" s="166" t="str">
        <f t="shared" si="972"/>
        <v/>
      </c>
      <c r="AI2221" s="168" t="str">
        <f t="shared" si="958"/>
        <v/>
      </c>
      <c r="AJ2221" s="168" t="str">
        <f t="shared" si="959"/>
        <v/>
      </c>
      <c r="AK2221" s="168" t="str">
        <f t="shared" si="960"/>
        <v/>
      </c>
      <c r="AL2221" s="168" t="str">
        <f t="shared" si="961"/>
        <v/>
      </c>
      <c r="AM2221" s="168" t="str">
        <f t="shared" si="962"/>
        <v/>
      </c>
      <c r="AN2221" s="167" t="str">
        <f t="shared" si="945"/>
        <v/>
      </c>
      <c r="AO2221" s="167" t="str">
        <f t="shared" si="946"/>
        <v/>
      </c>
      <c r="AP2221" s="167" t="str">
        <f t="shared" si="947"/>
        <v/>
      </c>
      <c r="AQ2221" s="169" t="str">
        <f t="shared" si="948"/>
        <v/>
      </c>
      <c r="AR2221" s="170" t="str">
        <f t="shared" si="949"/>
        <v>BiK82LKWKy--08</v>
      </c>
      <c r="AS2221" s="169" t="str">
        <f t="shared" si="950"/>
        <v/>
      </c>
      <c r="AT2221">
        <f t="shared" si="951"/>
        <v>14</v>
      </c>
      <c r="AU2221" s="170" t="str">
        <f t="shared" si="952"/>
        <v>0,15-0,5 MW, Bonusregeln L, y und KWK</v>
      </c>
      <c r="AV2221" s="169" t="str">
        <f t="shared" si="953"/>
        <v/>
      </c>
      <c r="AW2221" s="170" t="str">
        <f t="shared" si="954"/>
        <v>Anteil KWK</v>
      </c>
      <c r="AX2221" s="169" t="str">
        <f t="shared" si="955"/>
        <v/>
      </c>
      <c r="AY2221" t="str">
        <f t="shared" si="956"/>
        <v/>
      </c>
      <c r="AZ2221" t="str">
        <f t="shared" si="957"/>
        <v/>
      </c>
    </row>
    <row r="2222" spans="1:52" s="145" customFormat="1" x14ac:dyDescent="0.35">
      <c r="A2222" s="497" t="s">
        <v>4059</v>
      </c>
      <c r="B2222" s="13" t="s">
        <v>5547</v>
      </c>
      <c r="C2222" s="13" t="s">
        <v>5539</v>
      </c>
      <c r="D2222" s="88" t="s">
        <v>7060</v>
      </c>
      <c r="E2222" s="13" t="s">
        <v>4330</v>
      </c>
      <c r="F2222" s="373">
        <f t="shared" si="964"/>
        <v>22.32</v>
      </c>
      <c r="G2222" s="430">
        <v>22.32</v>
      </c>
      <c r="H2222" s="399">
        <f t="shared" si="965"/>
        <v>17.86</v>
      </c>
      <c r="I2222" s="576"/>
      <c r="J2222" s="549" t="s">
        <v>5804</v>
      </c>
      <c r="K2222" s="11"/>
      <c r="L2222"/>
      <c r="M2222" s="37">
        <f t="shared" si="966"/>
        <v>22.32</v>
      </c>
      <c r="N2222" s="29">
        <v>9.32</v>
      </c>
      <c r="O2222" s="149"/>
      <c r="P2222" s="145" t="s">
        <v>1017</v>
      </c>
      <c r="S2222" s="145" t="s">
        <v>4179</v>
      </c>
      <c r="T2222" s="145" t="s">
        <v>4179</v>
      </c>
      <c r="U2222" s="146" t="s">
        <v>1017</v>
      </c>
      <c r="W2222" s="147"/>
      <c r="X2222" s="147"/>
      <c r="Z2222" s="147"/>
      <c r="AB2222" s="145" t="s">
        <v>1017</v>
      </c>
      <c r="AC2222" s="147"/>
      <c r="AE2222" s="148"/>
      <c r="AF2222" s="147"/>
      <c r="AG2222" s="147"/>
      <c r="AH2222" s="166" t="str">
        <f t="shared" si="972"/>
        <v/>
      </c>
      <c r="AI2222" s="168" t="str">
        <f t="shared" si="958"/>
        <v/>
      </c>
      <c r="AJ2222" s="168" t="str">
        <f t="shared" si="959"/>
        <v/>
      </c>
      <c r="AK2222" s="168" t="str">
        <f t="shared" si="960"/>
        <v/>
      </c>
      <c r="AL2222" s="168" t="str">
        <f t="shared" si="961"/>
        <v/>
      </c>
      <c r="AM2222" s="168" t="str">
        <f t="shared" si="962"/>
        <v/>
      </c>
      <c r="AN2222" s="167" t="str">
        <f t="shared" si="945"/>
        <v/>
      </c>
      <c r="AO2222" s="167" t="str">
        <f t="shared" si="946"/>
        <v/>
      </c>
      <c r="AP2222" s="167" t="str">
        <f t="shared" si="947"/>
        <v/>
      </c>
      <c r="AQ2222" s="169" t="str">
        <f t="shared" si="948"/>
        <v/>
      </c>
      <c r="AR2222" s="170" t="str">
        <f t="shared" si="949"/>
        <v>BiK82LKA3y--08</v>
      </c>
      <c r="AS2222" s="169" t="str">
        <f t="shared" si="950"/>
        <v/>
      </c>
      <c r="AT2222">
        <f t="shared" si="951"/>
        <v>14</v>
      </c>
      <c r="AU2222" s="170" t="str">
        <f t="shared" si="952"/>
        <v>0,15-0,5 MW, Bonusregeln L, y und K wenn Anlage 3 erfüllt</v>
      </c>
      <c r="AV2222" s="169" t="str">
        <f t="shared" si="953"/>
        <v/>
      </c>
      <c r="AW2222" s="170" t="str">
        <f t="shared" si="954"/>
        <v>Anteil KWK gemäß Anlage 3</v>
      </c>
      <c r="AX2222" s="169" t="str">
        <f t="shared" si="955"/>
        <v/>
      </c>
      <c r="AY2222" t="str">
        <f t="shared" si="956"/>
        <v/>
      </c>
      <c r="AZ2222" t="str">
        <f t="shared" si="957"/>
        <v/>
      </c>
    </row>
    <row r="2223" spans="1:52" s="145" customFormat="1" x14ac:dyDescent="0.35">
      <c r="A2223" s="497" t="s">
        <v>4060</v>
      </c>
      <c r="B2223" s="13" t="s">
        <v>5547</v>
      </c>
      <c r="C2223" s="13" t="s">
        <v>5539</v>
      </c>
      <c r="D2223" s="13" t="s">
        <v>7061</v>
      </c>
      <c r="E2223" s="13" t="s">
        <v>674</v>
      </c>
      <c r="F2223" s="373">
        <f t="shared" si="964"/>
        <v>22.32</v>
      </c>
      <c r="G2223" s="430">
        <v>22.32</v>
      </c>
      <c r="H2223" s="399">
        <f t="shared" si="965"/>
        <v>17.86</v>
      </c>
      <c r="I2223" s="576"/>
      <c r="J2223" s="549" t="s">
        <v>5804</v>
      </c>
      <c r="K2223" s="11"/>
      <c r="L2223"/>
      <c r="M2223" s="37">
        <f t="shared" si="966"/>
        <v>22.32</v>
      </c>
      <c r="N2223" s="29">
        <v>9.32</v>
      </c>
      <c r="O2223" s="149"/>
      <c r="P2223" s="144"/>
      <c r="Q2223" s="145" t="s">
        <v>1017</v>
      </c>
      <c r="S2223" s="145" t="s">
        <v>4179</v>
      </c>
      <c r="T2223" s="145" t="s">
        <v>4179</v>
      </c>
      <c r="U2223" s="146" t="s">
        <v>1017</v>
      </c>
      <c r="W2223" s="147"/>
      <c r="X2223" s="147"/>
      <c r="Z2223" s="147"/>
      <c r="AB2223" s="145" t="s">
        <v>1017</v>
      </c>
      <c r="AC2223" s="147"/>
      <c r="AE2223" s="148"/>
      <c r="AF2223" s="147"/>
      <c r="AG2223" s="147"/>
      <c r="AH2223" s="166" t="str">
        <f t="shared" si="972"/>
        <v/>
      </c>
      <c r="AI2223" s="168" t="str">
        <f t="shared" si="958"/>
        <v/>
      </c>
      <c r="AJ2223" s="168" t="str">
        <f t="shared" si="959"/>
        <v/>
      </c>
      <c r="AK2223" s="168" t="str">
        <f t="shared" si="960"/>
        <v/>
      </c>
      <c r="AL2223" s="168" t="str">
        <f t="shared" si="961"/>
        <v/>
      </c>
      <c r="AM2223" s="168" t="str">
        <f t="shared" si="962"/>
        <v/>
      </c>
      <c r="AN2223" s="167" t="str">
        <f t="shared" si="945"/>
        <v/>
      </c>
      <c r="AO2223" s="167" t="str">
        <f t="shared" si="946"/>
        <v/>
      </c>
      <c r="AP2223" s="167" t="str">
        <f t="shared" si="947"/>
        <v/>
      </c>
      <c r="AQ2223" s="169" t="str">
        <f t="shared" si="948"/>
        <v/>
      </c>
      <c r="AR2223" s="170" t="str">
        <f t="shared" si="949"/>
        <v>BiK82LK09y--08</v>
      </c>
      <c r="AS2223" s="169" t="str">
        <f t="shared" si="950"/>
        <v/>
      </c>
      <c r="AT2223">
        <f t="shared" si="951"/>
        <v>14</v>
      </c>
      <c r="AU2223" s="170" t="str">
        <f t="shared" si="952"/>
        <v>0,15-0,5 MW, Bonusregeln L, y und K erstmals 2009</v>
      </c>
      <c r="AV2223" s="169" t="str">
        <f t="shared" si="953"/>
        <v/>
      </c>
      <c r="AW2223" s="170" t="str">
        <f t="shared" si="954"/>
        <v>Anteil KWK, erstmals 2009</v>
      </c>
      <c r="AX2223" s="169" t="str">
        <f t="shared" si="955"/>
        <v/>
      </c>
      <c r="AY2223" t="str">
        <f t="shared" si="956"/>
        <v/>
      </c>
      <c r="AZ2223" t="str">
        <f t="shared" si="957"/>
        <v/>
      </c>
    </row>
    <row r="2224" spans="1:52" s="145" customFormat="1" x14ac:dyDescent="0.35">
      <c r="A2224" s="497" t="s">
        <v>3190</v>
      </c>
      <c r="B2224" s="13" t="s">
        <v>5547</v>
      </c>
      <c r="C2224" s="13" t="s">
        <v>5539</v>
      </c>
      <c r="D2224" s="13" t="s">
        <v>7062</v>
      </c>
      <c r="E2224" s="13" t="s">
        <v>3566</v>
      </c>
      <c r="F2224" s="373">
        <f t="shared" si="964"/>
        <v>22.29</v>
      </c>
      <c r="G2224" s="430">
        <v>22.29</v>
      </c>
      <c r="H2224" s="399">
        <f t="shared" si="965"/>
        <v>17.829999999999998</v>
      </c>
      <c r="I2224" s="576"/>
      <c r="J2224" s="549" t="s">
        <v>5804</v>
      </c>
      <c r="K2224" s="11"/>
      <c r="L2224"/>
      <c r="M2224" s="37">
        <f t="shared" si="966"/>
        <v>22.29</v>
      </c>
      <c r="N2224" s="29">
        <v>9.32</v>
      </c>
      <c r="O2224" s="149"/>
      <c r="P2224" s="144"/>
      <c r="R2224" s="145" t="s">
        <v>1017</v>
      </c>
      <c r="S2224" s="145" t="s">
        <v>4179</v>
      </c>
      <c r="T2224" s="145" t="s">
        <v>4179</v>
      </c>
      <c r="U2224" s="146" t="s">
        <v>1017</v>
      </c>
      <c r="W2224" s="147"/>
      <c r="X2224" s="147"/>
      <c r="Z2224" s="147"/>
      <c r="AB2224" s="145" t="s">
        <v>1017</v>
      </c>
      <c r="AC2224" s="147"/>
      <c r="AE2224" s="148"/>
      <c r="AF2224" s="147"/>
      <c r="AG2224" s="147"/>
      <c r="AH2224" s="166" t="str">
        <f t="shared" si="972"/>
        <v>2010</v>
      </c>
      <c r="AI2224" s="168" t="str">
        <f t="shared" si="958"/>
        <v/>
      </c>
      <c r="AJ2224" s="168" t="str">
        <f t="shared" si="959"/>
        <v/>
      </c>
      <c r="AK2224" s="168" t="str">
        <f t="shared" si="960"/>
        <v/>
      </c>
      <c r="AL2224" s="168" t="str">
        <f t="shared" si="961"/>
        <v/>
      </c>
      <c r="AM2224" s="168" t="str">
        <f t="shared" si="962"/>
        <v/>
      </c>
      <c r="AN2224" s="167" t="str">
        <f t="shared" si="945"/>
        <v>2010</v>
      </c>
      <c r="AO2224" s="167" t="str">
        <f t="shared" si="946"/>
        <v>2010</v>
      </c>
      <c r="AP2224" s="167" t="str">
        <f t="shared" si="947"/>
        <v>2010</v>
      </c>
      <c r="AQ2224" s="169" t="str">
        <f t="shared" si="948"/>
        <v/>
      </c>
      <c r="AR2224" s="170" t="str">
        <f t="shared" si="949"/>
        <v>BiK82LK10y--08</v>
      </c>
      <c r="AS2224" s="169" t="str">
        <f t="shared" si="950"/>
        <v/>
      </c>
      <c r="AT2224">
        <f t="shared" si="951"/>
        <v>14</v>
      </c>
      <c r="AU2224" s="170" t="str">
        <f t="shared" si="952"/>
        <v>0,15-0,5 MW, Bonusregeln L, y und K erstmals 2010</v>
      </c>
      <c r="AV2224" s="169" t="str">
        <f t="shared" si="953"/>
        <v/>
      </c>
      <c r="AW2224" s="170" t="str">
        <f t="shared" si="954"/>
        <v>Anteil KWK, erstmals 2010</v>
      </c>
      <c r="AX2224" s="169" t="str">
        <f t="shared" si="955"/>
        <v/>
      </c>
      <c r="AY2224" t="str">
        <f t="shared" si="956"/>
        <v/>
      </c>
      <c r="AZ2224" t="str">
        <f t="shared" si="957"/>
        <v/>
      </c>
    </row>
    <row r="2225" spans="1:52" s="145" customFormat="1" x14ac:dyDescent="0.35">
      <c r="A2225" s="497" t="s">
        <v>3466</v>
      </c>
      <c r="B2225" s="13" t="s">
        <v>5547</v>
      </c>
      <c r="C2225" s="13" t="s">
        <v>5539</v>
      </c>
      <c r="D2225" s="13" t="s">
        <v>7063</v>
      </c>
      <c r="E2225" s="13" t="s">
        <v>3054</v>
      </c>
      <c r="F2225" s="373">
        <f t="shared" si="964"/>
        <v>22.259999999999998</v>
      </c>
      <c r="G2225" s="430">
        <v>22.259999999999998</v>
      </c>
      <c r="H2225" s="399">
        <f t="shared" si="965"/>
        <v>17.809999999999999</v>
      </c>
      <c r="I2225" s="576"/>
      <c r="J2225" s="549" t="s">
        <v>5804</v>
      </c>
      <c r="K2225" s="11"/>
      <c r="L2225"/>
      <c r="M2225" s="37">
        <f t="shared" si="966"/>
        <v>22.259999999999998</v>
      </c>
      <c r="N2225" s="29">
        <v>9.32</v>
      </c>
      <c r="O2225" s="149"/>
      <c r="P2225" s="144"/>
      <c r="S2225" s="145" t="s">
        <v>1017</v>
      </c>
      <c r="T2225" s="145" t="s">
        <v>4179</v>
      </c>
      <c r="U2225" s="146" t="s">
        <v>1017</v>
      </c>
      <c r="W2225" s="147"/>
      <c r="X2225" s="147"/>
      <c r="Z2225" s="147"/>
      <c r="AB2225" s="145" t="s">
        <v>1017</v>
      </c>
      <c r="AC2225" s="147"/>
      <c r="AE2225" s="148"/>
      <c r="AF2225" s="147"/>
      <c r="AG2225" s="147"/>
      <c r="AH2225" s="166" t="str">
        <f t="shared" si="972"/>
        <v>2011</v>
      </c>
      <c r="AI2225" s="168" t="str">
        <f t="shared" si="958"/>
        <v/>
      </c>
      <c r="AJ2225" s="168" t="str">
        <f t="shared" si="959"/>
        <v/>
      </c>
      <c r="AK2225" s="168" t="str">
        <f t="shared" si="960"/>
        <v/>
      </c>
      <c r="AL2225" s="168" t="str">
        <f t="shared" si="961"/>
        <v/>
      </c>
      <c r="AM2225" s="168" t="str">
        <f t="shared" si="962"/>
        <v/>
      </c>
      <c r="AN2225" s="167" t="str">
        <f t="shared" si="945"/>
        <v>2011</v>
      </c>
      <c r="AO2225" s="167" t="str">
        <f t="shared" si="946"/>
        <v>2011</v>
      </c>
      <c r="AP2225" s="167" t="str">
        <f t="shared" si="947"/>
        <v>2011</v>
      </c>
      <c r="AQ2225" s="169" t="str">
        <f t="shared" si="948"/>
        <v/>
      </c>
      <c r="AR2225" s="170" t="str">
        <f t="shared" si="949"/>
        <v>BiK82LK11y--08</v>
      </c>
      <c r="AS2225" s="169" t="str">
        <f t="shared" si="950"/>
        <v/>
      </c>
      <c r="AT2225">
        <f t="shared" si="951"/>
        <v>14</v>
      </c>
      <c r="AU2225" s="170" t="str">
        <f t="shared" si="952"/>
        <v>0,15-0,5 MW, Bonusregeln L, y und K erstmals 2011</v>
      </c>
      <c r="AV2225" s="169" t="str">
        <f t="shared" si="953"/>
        <v/>
      </c>
      <c r="AW2225" s="170" t="str">
        <f t="shared" si="954"/>
        <v>Anteil KWK, erstmals 2011</v>
      </c>
      <c r="AX2225" s="169" t="str">
        <f t="shared" si="955"/>
        <v/>
      </c>
      <c r="AY2225" t="str">
        <f t="shared" si="956"/>
        <v>x</v>
      </c>
      <c r="AZ2225" t="str">
        <f t="shared" si="957"/>
        <v/>
      </c>
    </row>
    <row r="2226" spans="1:52" s="145" customFormat="1" x14ac:dyDescent="0.35">
      <c r="A2226" s="511" t="s">
        <v>1899</v>
      </c>
      <c r="B2226" s="173" t="s">
        <v>5547</v>
      </c>
      <c r="C2226" s="173" t="s">
        <v>5539</v>
      </c>
      <c r="D2226" s="173" t="s">
        <v>7064</v>
      </c>
      <c r="E2226" s="173" t="s">
        <v>1980</v>
      </c>
      <c r="F2226" s="374">
        <f t="shared" si="964"/>
        <v>22.23</v>
      </c>
      <c r="G2226" s="431">
        <v>22.23</v>
      </c>
      <c r="H2226" s="400">
        <f t="shared" si="965"/>
        <v>17.78</v>
      </c>
      <c r="I2226" s="577"/>
      <c r="J2226" s="549" t="s">
        <v>5804</v>
      </c>
      <c r="K2226" s="11"/>
      <c r="L2226"/>
      <c r="M2226" s="37">
        <f t="shared" si="966"/>
        <v>22.23</v>
      </c>
      <c r="N2226" s="29">
        <v>9.32</v>
      </c>
      <c r="O2226" s="149"/>
      <c r="P2226" s="144"/>
      <c r="S2226" s="145" t="s">
        <v>4179</v>
      </c>
      <c r="T2226" s="145" t="s">
        <v>1017</v>
      </c>
      <c r="U2226" s="146" t="s">
        <v>1017</v>
      </c>
      <c r="W2226" s="147"/>
      <c r="X2226" s="147"/>
      <c r="Z2226" s="147"/>
      <c r="AB2226" s="145" t="s">
        <v>1017</v>
      </c>
      <c r="AC2226" s="147"/>
      <c r="AE2226" s="148"/>
      <c r="AF2226" s="147"/>
      <c r="AG2226" s="147"/>
      <c r="AH2226" s="171" t="s">
        <v>4178</v>
      </c>
      <c r="AI2226" s="168" t="str">
        <f t="shared" si="958"/>
        <v/>
      </c>
      <c r="AJ2226" s="168" t="str">
        <f t="shared" si="959"/>
        <v/>
      </c>
      <c r="AK2226" s="168" t="str">
        <f t="shared" si="960"/>
        <v/>
      </c>
      <c r="AL2226" s="168" t="str">
        <f t="shared" si="961"/>
        <v/>
      </c>
      <c r="AM2226" s="168" t="str">
        <f t="shared" si="962"/>
        <v/>
      </c>
      <c r="AN2226" s="167" t="str">
        <f t="shared" si="945"/>
        <v>2012</v>
      </c>
      <c r="AO2226" s="167" t="str">
        <f t="shared" si="946"/>
        <v>2012</v>
      </c>
      <c r="AP2226" s="167" t="str">
        <f t="shared" si="947"/>
        <v>2012</v>
      </c>
      <c r="AQ2226" s="169" t="str">
        <f t="shared" si="948"/>
        <v/>
      </c>
      <c r="AR2226" s="170" t="str">
        <f t="shared" si="949"/>
        <v>BiK82LK12y--08</v>
      </c>
      <c r="AS2226" s="169" t="str">
        <f t="shared" si="950"/>
        <v/>
      </c>
      <c r="AT2226">
        <f t="shared" si="951"/>
        <v>14</v>
      </c>
      <c r="AU2226" s="170" t="str">
        <f t="shared" si="952"/>
        <v>0,15-0,5 MW, Bonusregeln L, y und K erstmals 2012</v>
      </c>
      <c r="AV2226" s="169" t="str">
        <f t="shared" si="953"/>
        <v/>
      </c>
      <c r="AW2226" s="170" t="str">
        <f t="shared" si="954"/>
        <v>Anteil KWK, erstmals 2012</v>
      </c>
      <c r="AX2226" s="169" t="str">
        <f t="shared" si="955"/>
        <v/>
      </c>
      <c r="AY2226" t="str">
        <f t="shared" si="956"/>
        <v/>
      </c>
      <c r="AZ2226" t="str">
        <f t="shared" si="957"/>
        <v>x</v>
      </c>
    </row>
    <row r="2227" spans="1:52" s="145" customFormat="1" x14ac:dyDescent="0.35">
      <c r="A2227" s="497" t="s">
        <v>5605</v>
      </c>
      <c r="B2227" s="13" t="s">
        <v>5547</v>
      </c>
      <c r="C2227" s="13" t="s">
        <v>5539</v>
      </c>
      <c r="D2227" s="13" t="s">
        <v>7065</v>
      </c>
      <c r="E2227" s="13" t="s">
        <v>4809</v>
      </c>
      <c r="F2227" s="373">
        <f t="shared" si="964"/>
        <v>19.32</v>
      </c>
      <c r="G2227" s="430">
        <v>19.32</v>
      </c>
      <c r="H2227" s="399">
        <f t="shared" si="965"/>
        <v>15.46</v>
      </c>
      <c r="I2227" s="576"/>
      <c r="J2227" s="549" t="s">
        <v>5804</v>
      </c>
      <c r="K2227" s="11"/>
      <c r="L2227"/>
      <c r="M2227" s="37">
        <f t="shared" si="966"/>
        <v>19.32</v>
      </c>
      <c r="N2227" s="29">
        <v>9.32</v>
      </c>
      <c r="O2227" s="149"/>
      <c r="P2227" s="144"/>
      <c r="S2227" s="145" t="s">
        <v>4179</v>
      </c>
      <c r="T2227" s="145" t="s">
        <v>4179</v>
      </c>
      <c r="U2227" s="146"/>
      <c r="W2227" s="147"/>
      <c r="X2227" s="147"/>
      <c r="Z2227" s="147"/>
      <c r="AC2227" s="147"/>
      <c r="AD2227" s="145" t="s">
        <v>1017</v>
      </c>
      <c r="AE2227" s="148"/>
      <c r="AF2227" s="147"/>
      <c r="AG2227" s="147"/>
      <c r="AH2227" s="166" t="str">
        <f t="shared" ref="AH2227:AH2232" si="973">IF(ISERROR(SEARCH("K erstmals 201",D2227)),"",RIGHT(D2227,4))</f>
        <v/>
      </c>
      <c r="AI2227" s="168" t="str">
        <f t="shared" si="958"/>
        <v/>
      </c>
      <c r="AJ2227" s="168" t="str">
        <f t="shared" si="959"/>
        <v/>
      </c>
      <c r="AK2227" s="168" t="str">
        <f t="shared" si="960"/>
        <v/>
      </c>
      <c r="AL2227" s="168" t="str">
        <f t="shared" si="961"/>
        <v/>
      </c>
      <c r="AM2227" s="168" t="str">
        <f t="shared" si="962"/>
        <v/>
      </c>
      <c r="AN2227" s="167" t="str">
        <f t="shared" si="945"/>
        <v/>
      </c>
      <c r="AO2227" s="167" t="str">
        <f t="shared" si="946"/>
        <v/>
      </c>
      <c r="AP2227" s="167" t="str">
        <f t="shared" si="947"/>
        <v/>
      </c>
      <c r="AQ2227" s="169" t="str">
        <f t="shared" si="948"/>
        <v/>
      </c>
      <c r="AR2227" s="170" t="str">
        <f t="shared" si="949"/>
        <v>BiK82X2-----08</v>
      </c>
      <c r="AS2227" s="169" t="str">
        <f t="shared" si="950"/>
        <v/>
      </c>
      <c r="AT2227">
        <f t="shared" si="951"/>
        <v>14</v>
      </c>
      <c r="AU2227" s="170" t="str">
        <f t="shared" si="952"/>
        <v>0,15-0,5 MW, Bonusregel X2</v>
      </c>
      <c r="AV2227" s="169" t="str">
        <f t="shared" si="953"/>
        <v/>
      </c>
      <c r="AW2227" s="170" t="str">
        <f t="shared" si="954"/>
        <v>Anteil Nicht-KWK</v>
      </c>
      <c r="AX2227" s="169" t="str">
        <f t="shared" si="955"/>
        <v/>
      </c>
      <c r="AY2227" t="str">
        <f t="shared" si="956"/>
        <v/>
      </c>
      <c r="AZ2227" t="str">
        <f t="shared" si="957"/>
        <v/>
      </c>
    </row>
    <row r="2228" spans="1:52" x14ac:dyDescent="0.35">
      <c r="A2228" s="497" t="s">
        <v>5606</v>
      </c>
      <c r="B2228" s="13" t="s">
        <v>5547</v>
      </c>
      <c r="C2228" s="13" t="s">
        <v>5539</v>
      </c>
      <c r="D2228" s="13" t="s">
        <v>7123</v>
      </c>
      <c r="E2228" s="13" t="s">
        <v>4811</v>
      </c>
      <c r="F2228" s="373">
        <f t="shared" si="964"/>
        <v>21.32</v>
      </c>
      <c r="G2228" s="430">
        <v>21.32</v>
      </c>
      <c r="H2228" s="399">
        <f t="shared" si="965"/>
        <v>17.059999999999999</v>
      </c>
      <c r="I2228" s="576"/>
      <c r="J2228" s="549" t="s">
        <v>5804</v>
      </c>
      <c r="K2228" s="11"/>
      <c r="M2228" s="37">
        <f t="shared" si="966"/>
        <v>21.32</v>
      </c>
      <c r="N2228" s="29">
        <v>9.32</v>
      </c>
      <c r="O2228" s="149" t="s">
        <v>1017</v>
      </c>
      <c r="P2228" s="144"/>
      <c r="Q2228" s="145"/>
      <c r="R2228" s="145"/>
      <c r="S2228" s="145" t="s">
        <v>4179</v>
      </c>
      <c r="T2228" t="s">
        <v>4179</v>
      </c>
      <c r="U2228" s="146"/>
      <c r="V2228" s="145"/>
      <c r="W2228" s="147"/>
      <c r="X2228" s="147"/>
      <c r="Y2228" s="145"/>
      <c r="Z2228" s="147"/>
      <c r="AA2228" s="145"/>
      <c r="AB2228" s="145"/>
      <c r="AC2228" s="147"/>
      <c r="AD2228" s="145" t="s">
        <v>1017</v>
      </c>
      <c r="AE2228" s="148"/>
      <c r="AF2228" s="147"/>
      <c r="AG2228" s="147"/>
      <c r="AH2228" s="166" t="str">
        <f t="shared" si="973"/>
        <v/>
      </c>
      <c r="AI2228" s="168" t="str">
        <f t="shared" si="958"/>
        <v/>
      </c>
      <c r="AJ2228" s="168" t="str">
        <f t="shared" si="959"/>
        <v/>
      </c>
      <c r="AK2228" s="168" t="str">
        <f t="shared" si="960"/>
        <v/>
      </c>
      <c r="AL2228" s="168" t="str">
        <f t="shared" si="961"/>
        <v/>
      </c>
      <c r="AM2228" s="168" t="str">
        <f t="shared" si="962"/>
        <v/>
      </c>
      <c r="AN2228" s="167" t="str">
        <f t="shared" si="945"/>
        <v/>
      </c>
      <c r="AO2228" s="167" t="str">
        <f t="shared" si="946"/>
        <v/>
      </c>
      <c r="AP2228" s="167" t="str">
        <f t="shared" si="947"/>
        <v/>
      </c>
      <c r="AQ2228" s="169" t="str">
        <f t="shared" si="948"/>
        <v/>
      </c>
      <c r="AR2228" s="170" t="str">
        <f t="shared" si="949"/>
        <v>BiK82X2KWK--08</v>
      </c>
      <c r="AS2228" s="169" t="str">
        <f t="shared" si="950"/>
        <v/>
      </c>
      <c r="AT2228">
        <f t="shared" si="951"/>
        <v>14</v>
      </c>
      <c r="AU2228" s="170" t="str">
        <f t="shared" si="952"/>
        <v>0,15-0,5 MW, Bonusregeln X2 und KWK</v>
      </c>
      <c r="AV2228" s="169" t="str">
        <f t="shared" si="953"/>
        <v/>
      </c>
      <c r="AW2228" s="170" t="str">
        <f t="shared" si="954"/>
        <v>Anteil KWK</v>
      </c>
      <c r="AX2228" s="169" t="str">
        <f t="shared" si="955"/>
        <v/>
      </c>
      <c r="AY2228" t="str">
        <f t="shared" si="956"/>
        <v/>
      </c>
      <c r="AZ2228" t="str">
        <f t="shared" si="957"/>
        <v/>
      </c>
    </row>
    <row r="2229" spans="1:52" x14ac:dyDescent="0.35">
      <c r="A2229" s="497" t="s">
        <v>5607</v>
      </c>
      <c r="B2229" s="13" t="s">
        <v>5547</v>
      </c>
      <c r="C2229" s="13" t="s">
        <v>5539</v>
      </c>
      <c r="D2229" s="13" t="s">
        <v>7066</v>
      </c>
      <c r="E2229" s="13" t="s">
        <v>4330</v>
      </c>
      <c r="F2229" s="373">
        <f t="shared" si="964"/>
        <v>22.32</v>
      </c>
      <c r="G2229" s="430">
        <v>22.32</v>
      </c>
      <c r="H2229" s="399">
        <f t="shared" si="965"/>
        <v>17.86</v>
      </c>
      <c r="I2229" s="576"/>
      <c r="J2229" s="549" t="s">
        <v>5804</v>
      </c>
      <c r="K2229" s="11"/>
      <c r="M2229" s="37">
        <f t="shared" si="966"/>
        <v>22.32</v>
      </c>
      <c r="N2229" s="29">
        <v>9.32</v>
      </c>
      <c r="O2229" s="149"/>
      <c r="P2229" s="145" t="s">
        <v>1017</v>
      </c>
      <c r="Q2229" s="145"/>
      <c r="R2229" s="145"/>
      <c r="S2229" s="145" t="s">
        <v>4179</v>
      </c>
      <c r="T2229" t="s">
        <v>4179</v>
      </c>
      <c r="U2229" s="146"/>
      <c r="V2229" s="145"/>
      <c r="W2229" s="147"/>
      <c r="X2229" s="147"/>
      <c r="Y2229" s="145"/>
      <c r="Z2229" s="147"/>
      <c r="AA2229" s="145"/>
      <c r="AB2229" s="145"/>
      <c r="AC2229" s="147"/>
      <c r="AD2229" s="145" t="s">
        <v>1017</v>
      </c>
      <c r="AE2229" s="148"/>
      <c r="AF2229" s="147"/>
      <c r="AG2229" s="147"/>
      <c r="AH2229" s="166" t="str">
        <f t="shared" si="973"/>
        <v/>
      </c>
      <c r="AI2229" s="168" t="str">
        <f t="shared" si="958"/>
        <v/>
      </c>
      <c r="AJ2229" s="168" t="str">
        <f t="shared" si="959"/>
        <v/>
      </c>
      <c r="AK2229" s="168" t="str">
        <f t="shared" si="960"/>
        <v/>
      </c>
      <c r="AL2229" s="168" t="str">
        <f t="shared" si="961"/>
        <v/>
      </c>
      <c r="AM2229" s="168" t="str">
        <f t="shared" si="962"/>
        <v/>
      </c>
      <c r="AN2229" s="167" t="str">
        <f t="shared" si="945"/>
        <v/>
      </c>
      <c r="AO2229" s="167" t="str">
        <f t="shared" si="946"/>
        <v/>
      </c>
      <c r="AP2229" s="167" t="str">
        <f t="shared" si="947"/>
        <v/>
      </c>
      <c r="AQ2229" s="169" t="str">
        <f t="shared" si="948"/>
        <v/>
      </c>
      <c r="AR2229" s="170" t="str">
        <f t="shared" si="949"/>
        <v>BiK82X2KA3--08</v>
      </c>
      <c r="AS2229" s="169" t="str">
        <f t="shared" si="950"/>
        <v/>
      </c>
      <c r="AT2229">
        <f t="shared" si="951"/>
        <v>14</v>
      </c>
      <c r="AU2229" s="170" t="str">
        <f t="shared" si="952"/>
        <v>0,15-0,5 MW, Bonusregeln X2 und K wenn Anlage 3 erfüllt</v>
      </c>
      <c r="AV2229" s="169" t="str">
        <f t="shared" si="953"/>
        <v/>
      </c>
      <c r="AW2229" s="170" t="str">
        <f t="shared" si="954"/>
        <v>Anteil KWK gemäß Anlage 3</v>
      </c>
      <c r="AX2229" s="169" t="str">
        <f t="shared" si="955"/>
        <v/>
      </c>
      <c r="AY2229" t="str">
        <f t="shared" si="956"/>
        <v/>
      </c>
      <c r="AZ2229" t="str">
        <f t="shared" si="957"/>
        <v/>
      </c>
    </row>
    <row r="2230" spans="1:52" x14ac:dyDescent="0.35">
      <c r="A2230" s="497" t="s">
        <v>5608</v>
      </c>
      <c r="B2230" s="13" t="s">
        <v>5547</v>
      </c>
      <c r="C2230" s="13" t="s">
        <v>5539</v>
      </c>
      <c r="D2230" s="13" t="s">
        <v>7067</v>
      </c>
      <c r="E2230" s="13" t="s">
        <v>674</v>
      </c>
      <c r="F2230" s="373">
        <f t="shared" si="964"/>
        <v>22.32</v>
      </c>
      <c r="G2230" s="430">
        <v>22.32</v>
      </c>
      <c r="H2230" s="399">
        <f t="shared" si="965"/>
        <v>17.86</v>
      </c>
      <c r="I2230" s="576"/>
      <c r="J2230" s="549" t="s">
        <v>5804</v>
      </c>
      <c r="K2230" s="11"/>
      <c r="M2230" s="37">
        <f t="shared" si="966"/>
        <v>22.32</v>
      </c>
      <c r="N2230" s="29">
        <v>9.32</v>
      </c>
      <c r="O2230" s="149"/>
      <c r="P2230" s="144"/>
      <c r="Q2230" s="145" t="s">
        <v>1017</v>
      </c>
      <c r="R2230" s="145"/>
      <c r="S2230" s="145" t="s">
        <v>4179</v>
      </c>
      <c r="T2230" t="s">
        <v>4179</v>
      </c>
      <c r="U2230" s="146"/>
      <c r="V2230" s="145"/>
      <c r="W2230" s="147"/>
      <c r="X2230" s="147"/>
      <c r="Y2230" s="145"/>
      <c r="Z2230" s="147"/>
      <c r="AA2230" s="145"/>
      <c r="AB2230" s="145"/>
      <c r="AC2230" s="147"/>
      <c r="AD2230" s="145" t="s">
        <v>1017</v>
      </c>
      <c r="AE2230" s="148"/>
      <c r="AF2230" s="147"/>
      <c r="AG2230" s="147"/>
      <c r="AH2230" s="166" t="str">
        <f t="shared" si="973"/>
        <v/>
      </c>
      <c r="AI2230" s="168" t="str">
        <f t="shared" si="958"/>
        <v/>
      </c>
      <c r="AJ2230" s="168" t="str">
        <f t="shared" si="959"/>
        <v/>
      </c>
      <c r="AK2230" s="168" t="str">
        <f t="shared" si="960"/>
        <v/>
      </c>
      <c r="AL2230" s="168" t="str">
        <f t="shared" si="961"/>
        <v/>
      </c>
      <c r="AM2230" s="168" t="str">
        <f t="shared" si="962"/>
        <v/>
      </c>
      <c r="AN2230" s="167" t="str">
        <f t="shared" si="945"/>
        <v/>
      </c>
      <c r="AO2230" s="167" t="str">
        <f t="shared" si="946"/>
        <v/>
      </c>
      <c r="AP2230" s="167" t="str">
        <f t="shared" si="947"/>
        <v/>
      </c>
      <c r="AQ2230" s="169" t="str">
        <f t="shared" si="948"/>
        <v/>
      </c>
      <c r="AR2230" s="170" t="str">
        <f t="shared" si="949"/>
        <v>BiK82X2K09--08</v>
      </c>
      <c r="AS2230" s="169" t="str">
        <f t="shared" si="950"/>
        <v/>
      </c>
      <c r="AT2230">
        <f t="shared" si="951"/>
        <v>14</v>
      </c>
      <c r="AU2230" s="170" t="str">
        <f t="shared" si="952"/>
        <v>0,15-0,5 MW, Bonusregeln X2 und K erstmals 2009</v>
      </c>
      <c r="AV2230" s="169" t="str">
        <f t="shared" si="953"/>
        <v/>
      </c>
      <c r="AW2230" s="170" t="str">
        <f t="shared" si="954"/>
        <v>Anteil KWK, erstmals 2009</v>
      </c>
      <c r="AX2230" s="169" t="str">
        <f t="shared" si="955"/>
        <v/>
      </c>
      <c r="AY2230" t="str">
        <f t="shared" si="956"/>
        <v/>
      </c>
      <c r="AZ2230" t="str">
        <f t="shared" si="957"/>
        <v/>
      </c>
    </row>
    <row r="2231" spans="1:52" x14ac:dyDescent="0.35">
      <c r="A2231" s="497" t="s">
        <v>3191</v>
      </c>
      <c r="B2231" s="13" t="s">
        <v>5547</v>
      </c>
      <c r="C2231" s="13" t="s">
        <v>5539</v>
      </c>
      <c r="D2231" s="13" t="s">
        <v>7068</v>
      </c>
      <c r="E2231" s="13" t="s">
        <v>3566</v>
      </c>
      <c r="F2231" s="373">
        <f t="shared" si="964"/>
        <v>22.29</v>
      </c>
      <c r="G2231" s="430">
        <v>22.29</v>
      </c>
      <c r="H2231" s="399">
        <f t="shared" si="965"/>
        <v>17.829999999999998</v>
      </c>
      <c r="I2231" s="576"/>
      <c r="J2231" s="549" t="s">
        <v>5804</v>
      </c>
      <c r="K2231" s="11"/>
      <c r="M2231" s="37">
        <f t="shared" si="966"/>
        <v>22.29</v>
      </c>
      <c r="N2231" s="29">
        <v>9.32</v>
      </c>
      <c r="O2231" s="149"/>
      <c r="P2231" s="144"/>
      <c r="Q2231" s="145"/>
      <c r="R2231" s="145" t="s">
        <v>1017</v>
      </c>
      <c r="S2231" s="145" t="s">
        <v>4179</v>
      </c>
      <c r="T2231" t="s">
        <v>4179</v>
      </c>
      <c r="U2231" s="146"/>
      <c r="V2231" s="145"/>
      <c r="W2231" s="147"/>
      <c r="X2231" s="147"/>
      <c r="Y2231" s="145"/>
      <c r="Z2231" s="147"/>
      <c r="AA2231" s="145"/>
      <c r="AB2231" s="145"/>
      <c r="AC2231" s="147"/>
      <c r="AD2231" s="145" t="s">
        <v>1017</v>
      </c>
      <c r="AE2231" s="148"/>
      <c r="AF2231" s="147"/>
      <c r="AG2231" s="147"/>
      <c r="AH2231" s="166" t="str">
        <f t="shared" si="973"/>
        <v>2010</v>
      </c>
      <c r="AI2231" s="168" t="str">
        <f t="shared" si="958"/>
        <v/>
      </c>
      <c r="AJ2231" s="168" t="str">
        <f t="shared" si="959"/>
        <v/>
      </c>
      <c r="AK2231" s="168" t="str">
        <f t="shared" si="960"/>
        <v/>
      </c>
      <c r="AL2231" s="168" t="str">
        <f t="shared" si="961"/>
        <v/>
      </c>
      <c r="AM2231" s="168" t="str">
        <f t="shared" si="962"/>
        <v/>
      </c>
      <c r="AN2231" s="167" t="str">
        <f t="shared" si="945"/>
        <v>2010</v>
      </c>
      <c r="AO2231" s="167" t="str">
        <f t="shared" si="946"/>
        <v>2010</v>
      </c>
      <c r="AP2231" s="167" t="str">
        <f t="shared" si="947"/>
        <v>2010</v>
      </c>
      <c r="AQ2231" s="169" t="str">
        <f t="shared" si="948"/>
        <v/>
      </c>
      <c r="AR2231" s="170" t="str">
        <f t="shared" si="949"/>
        <v>BiK82X2K10--08</v>
      </c>
      <c r="AS2231" s="169" t="str">
        <f t="shared" si="950"/>
        <v/>
      </c>
      <c r="AT2231">
        <f t="shared" si="951"/>
        <v>14</v>
      </c>
      <c r="AU2231" s="170" t="str">
        <f t="shared" si="952"/>
        <v>0,15-0,5 MW, Bonusregeln X2 und K erstmals 2010</v>
      </c>
      <c r="AV2231" s="169" t="str">
        <f t="shared" si="953"/>
        <v/>
      </c>
      <c r="AW2231" s="170" t="str">
        <f t="shared" si="954"/>
        <v>Anteil KWK, erstmals 2010</v>
      </c>
      <c r="AX2231" s="169" t="str">
        <f t="shared" si="955"/>
        <v/>
      </c>
      <c r="AY2231" t="str">
        <f t="shared" si="956"/>
        <v/>
      </c>
      <c r="AZ2231" t="str">
        <f t="shared" si="957"/>
        <v/>
      </c>
    </row>
    <row r="2232" spans="1:52" s="145" customFormat="1" x14ac:dyDescent="0.35">
      <c r="A2232" s="497" t="s">
        <v>3467</v>
      </c>
      <c r="B2232" s="13" t="s">
        <v>5547</v>
      </c>
      <c r="C2232" s="13" t="s">
        <v>5539</v>
      </c>
      <c r="D2232" s="13" t="s">
        <v>7069</v>
      </c>
      <c r="E2232" s="13" t="s">
        <v>3054</v>
      </c>
      <c r="F2232" s="373">
        <f t="shared" si="964"/>
        <v>22.259999999999998</v>
      </c>
      <c r="G2232" s="430">
        <v>22.259999999999998</v>
      </c>
      <c r="H2232" s="399">
        <f t="shared" si="965"/>
        <v>17.809999999999999</v>
      </c>
      <c r="I2232" s="576"/>
      <c r="J2232" s="549" t="s">
        <v>5804</v>
      </c>
      <c r="K2232" s="11"/>
      <c r="L2232"/>
      <c r="M2232" s="37">
        <f t="shared" si="966"/>
        <v>22.259999999999998</v>
      </c>
      <c r="N2232" s="29">
        <v>9.32</v>
      </c>
      <c r="O2232" s="149"/>
      <c r="P2232" s="144"/>
      <c r="S2232" s="145" t="s">
        <v>1017</v>
      </c>
      <c r="T2232" s="145" t="s">
        <v>4179</v>
      </c>
      <c r="U2232" s="146"/>
      <c r="W2232" s="147"/>
      <c r="X2232" s="147"/>
      <c r="Z2232" s="147"/>
      <c r="AC2232" s="147"/>
      <c r="AD2232" s="145" t="s">
        <v>1017</v>
      </c>
      <c r="AE2232" s="148"/>
      <c r="AF2232" s="147"/>
      <c r="AG2232" s="147"/>
      <c r="AH2232" s="166" t="str">
        <f t="shared" si="973"/>
        <v>2011</v>
      </c>
      <c r="AI2232" s="168" t="str">
        <f t="shared" si="958"/>
        <v/>
      </c>
      <c r="AJ2232" s="168" t="str">
        <f t="shared" si="959"/>
        <v/>
      </c>
      <c r="AK2232" s="168" t="str">
        <f t="shared" si="960"/>
        <v/>
      </c>
      <c r="AL2232" s="168" t="str">
        <f t="shared" si="961"/>
        <v/>
      </c>
      <c r="AM2232" s="168" t="str">
        <f t="shared" si="962"/>
        <v/>
      </c>
      <c r="AN2232" s="167" t="str">
        <f t="shared" si="945"/>
        <v>2011</v>
      </c>
      <c r="AO2232" s="167" t="str">
        <f t="shared" si="946"/>
        <v>2011</v>
      </c>
      <c r="AP2232" s="167" t="str">
        <f t="shared" si="947"/>
        <v>2011</v>
      </c>
      <c r="AQ2232" s="169" t="str">
        <f t="shared" si="948"/>
        <v/>
      </c>
      <c r="AR2232" s="170" t="str">
        <f t="shared" si="949"/>
        <v>BiK82X2K11--08</v>
      </c>
      <c r="AS2232" s="169" t="str">
        <f t="shared" si="950"/>
        <v/>
      </c>
      <c r="AT2232">
        <f t="shared" si="951"/>
        <v>14</v>
      </c>
      <c r="AU2232" s="170" t="str">
        <f t="shared" si="952"/>
        <v>0,15-0,5 MW, Bonusregeln X2 und K erstmals 2011</v>
      </c>
      <c r="AV2232" s="169" t="str">
        <f t="shared" si="953"/>
        <v/>
      </c>
      <c r="AW2232" s="170" t="str">
        <f t="shared" si="954"/>
        <v>Anteil KWK, erstmals 2011</v>
      </c>
      <c r="AX2232" s="169" t="str">
        <f t="shared" si="955"/>
        <v/>
      </c>
      <c r="AY2232" t="str">
        <f t="shared" si="956"/>
        <v>x</v>
      </c>
      <c r="AZ2232" t="str">
        <f t="shared" si="957"/>
        <v/>
      </c>
    </row>
    <row r="2233" spans="1:52" s="145" customFormat="1" x14ac:dyDescent="0.35">
      <c r="A2233" s="511" t="s">
        <v>1900</v>
      </c>
      <c r="B2233" s="173" t="s">
        <v>5547</v>
      </c>
      <c r="C2233" s="173" t="s">
        <v>5539</v>
      </c>
      <c r="D2233" s="173" t="s">
        <v>7070</v>
      </c>
      <c r="E2233" s="173" t="s">
        <v>1980</v>
      </c>
      <c r="F2233" s="374">
        <f t="shared" si="964"/>
        <v>22.23</v>
      </c>
      <c r="G2233" s="431">
        <v>22.23</v>
      </c>
      <c r="H2233" s="400">
        <f t="shared" si="965"/>
        <v>17.78</v>
      </c>
      <c r="I2233" s="577"/>
      <c r="J2233" s="549" t="s">
        <v>5804</v>
      </c>
      <c r="K2233" s="11"/>
      <c r="L2233"/>
      <c r="M2233" s="37">
        <f t="shared" si="966"/>
        <v>22.23</v>
      </c>
      <c r="N2233" s="29">
        <v>9.32</v>
      </c>
      <c r="O2233" s="149"/>
      <c r="P2233" s="144"/>
      <c r="S2233" s="145" t="s">
        <v>4179</v>
      </c>
      <c r="T2233" s="145" t="s">
        <v>1017</v>
      </c>
      <c r="U2233" s="146"/>
      <c r="W2233" s="147"/>
      <c r="X2233" s="147"/>
      <c r="Z2233" s="147"/>
      <c r="AC2233" s="147"/>
      <c r="AD2233" s="145" t="s">
        <v>1017</v>
      </c>
      <c r="AE2233" s="148"/>
      <c r="AF2233" s="147"/>
      <c r="AG2233" s="147"/>
      <c r="AH2233" s="171" t="s">
        <v>4178</v>
      </c>
      <c r="AI2233" s="168" t="str">
        <f t="shared" si="958"/>
        <v/>
      </c>
      <c r="AJ2233" s="168" t="str">
        <f t="shared" si="959"/>
        <v/>
      </c>
      <c r="AK2233" s="168" t="str">
        <f t="shared" si="960"/>
        <v/>
      </c>
      <c r="AL2233" s="168" t="str">
        <f t="shared" si="961"/>
        <v/>
      </c>
      <c r="AM2233" s="168" t="str">
        <f t="shared" si="962"/>
        <v/>
      </c>
      <c r="AN2233" s="167" t="str">
        <f t="shared" si="945"/>
        <v>2012</v>
      </c>
      <c r="AO2233" s="167" t="str">
        <f t="shared" si="946"/>
        <v>2012</v>
      </c>
      <c r="AP2233" s="167" t="str">
        <f t="shared" si="947"/>
        <v>2012</v>
      </c>
      <c r="AQ2233" s="169" t="str">
        <f t="shared" si="948"/>
        <v/>
      </c>
      <c r="AR2233" s="170" t="str">
        <f t="shared" si="949"/>
        <v>BiK82X2K12--08</v>
      </c>
      <c r="AS2233" s="169" t="str">
        <f t="shared" si="950"/>
        <v/>
      </c>
      <c r="AT2233">
        <f t="shared" si="951"/>
        <v>14</v>
      </c>
      <c r="AU2233" s="170" t="str">
        <f t="shared" si="952"/>
        <v>0,15-0,5 MW, Bonusregeln X2 und K erstmals 2012</v>
      </c>
      <c r="AV2233" s="169" t="str">
        <f t="shared" si="953"/>
        <v/>
      </c>
      <c r="AW2233" s="170" t="str">
        <f t="shared" si="954"/>
        <v>Anteil KWK, erstmals 2012</v>
      </c>
      <c r="AX2233" s="169" t="str">
        <f t="shared" si="955"/>
        <v/>
      </c>
      <c r="AY2233" t="str">
        <f t="shared" si="956"/>
        <v/>
      </c>
      <c r="AZ2233" t="str">
        <f t="shared" si="957"/>
        <v>x</v>
      </c>
    </row>
    <row r="2234" spans="1:52" s="145" customFormat="1" x14ac:dyDescent="0.35">
      <c r="A2234" s="497" t="s">
        <v>5609</v>
      </c>
      <c r="B2234" s="13" t="s">
        <v>5547</v>
      </c>
      <c r="C2234" s="13" t="s">
        <v>5539</v>
      </c>
      <c r="D2234" s="13" t="s">
        <v>7071</v>
      </c>
      <c r="E2234" s="13" t="s">
        <v>4809</v>
      </c>
      <c r="F2234" s="373">
        <f t="shared" si="964"/>
        <v>20.32</v>
      </c>
      <c r="G2234" s="430">
        <v>20.32</v>
      </c>
      <c r="H2234" s="399">
        <f t="shared" si="965"/>
        <v>16.260000000000002</v>
      </c>
      <c r="I2234" s="576"/>
      <c r="J2234" s="549" t="s">
        <v>5804</v>
      </c>
      <c r="K2234" s="11"/>
      <c r="L2234"/>
      <c r="M2234" s="37">
        <f t="shared" si="966"/>
        <v>20.32</v>
      </c>
      <c r="N2234" s="29">
        <v>9.32</v>
      </c>
      <c r="O2234" s="149"/>
      <c r="P2234" s="144"/>
      <c r="S2234" s="145" t="s">
        <v>4179</v>
      </c>
      <c r="T2234" s="145" t="s">
        <v>4179</v>
      </c>
      <c r="U2234" s="146" t="s">
        <v>1017</v>
      </c>
      <c r="W2234" s="147"/>
      <c r="X2234" s="147"/>
      <c r="Z2234" s="147"/>
      <c r="AC2234" s="147"/>
      <c r="AD2234" s="145" t="s">
        <v>1017</v>
      </c>
      <c r="AE2234" s="148"/>
      <c r="AF2234" s="147"/>
      <c r="AG2234" s="147"/>
      <c r="AH2234" s="166" t="str">
        <f t="shared" ref="AH2234:AH2239" si="974">IF(ISERROR(SEARCH("K erstmals 201",D2234)),"",RIGHT(D2234,4))</f>
        <v/>
      </c>
      <c r="AI2234" s="168" t="str">
        <f t="shared" si="958"/>
        <v/>
      </c>
      <c r="AJ2234" s="168" t="str">
        <f t="shared" si="959"/>
        <v/>
      </c>
      <c r="AK2234" s="168" t="str">
        <f t="shared" si="960"/>
        <v/>
      </c>
      <c r="AL2234" s="168" t="str">
        <f t="shared" si="961"/>
        <v/>
      </c>
      <c r="AM2234" s="168" t="str">
        <f t="shared" si="962"/>
        <v/>
      </c>
      <c r="AN2234" s="167" t="str">
        <f t="shared" si="945"/>
        <v/>
      </c>
      <c r="AO2234" s="167" t="str">
        <f t="shared" si="946"/>
        <v/>
      </c>
      <c r="AP2234" s="167" t="str">
        <f t="shared" si="947"/>
        <v/>
      </c>
      <c r="AQ2234" s="169" t="str">
        <f t="shared" si="948"/>
        <v/>
      </c>
      <c r="AR2234" s="170" t="str">
        <f t="shared" si="949"/>
        <v>BiK82X2y----08</v>
      </c>
      <c r="AS2234" s="169" t="str">
        <f t="shared" si="950"/>
        <v/>
      </c>
      <c r="AT2234">
        <f t="shared" si="951"/>
        <v>14</v>
      </c>
      <c r="AU2234" s="170" t="str">
        <f t="shared" si="952"/>
        <v>0,15-0,5 MW, Bonusregeln X2, y</v>
      </c>
      <c r="AV2234" s="169" t="str">
        <f t="shared" si="953"/>
        <v/>
      </c>
      <c r="AW2234" s="170" t="str">
        <f t="shared" si="954"/>
        <v>Anteil Nicht-KWK</v>
      </c>
      <c r="AX2234" s="169" t="str">
        <f t="shared" si="955"/>
        <v/>
      </c>
      <c r="AY2234" t="str">
        <f t="shared" si="956"/>
        <v/>
      </c>
      <c r="AZ2234" t="str">
        <f t="shared" si="957"/>
        <v/>
      </c>
    </row>
    <row r="2235" spans="1:52" s="145" customFormat="1" x14ac:dyDescent="0.35">
      <c r="A2235" s="497" t="s">
        <v>3659</v>
      </c>
      <c r="B2235" s="13" t="s">
        <v>5547</v>
      </c>
      <c r="C2235" s="13" t="s">
        <v>5539</v>
      </c>
      <c r="D2235" s="13" t="s">
        <v>7124</v>
      </c>
      <c r="E2235" s="13" t="s">
        <v>4811</v>
      </c>
      <c r="F2235" s="373">
        <f t="shared" si="964"/>
        <v>22.32</v>
      </c>
      <c r="G2235" s="430">
        <v>22.32</v>
      </c>
      <c r="H2235" s="399">
        <f t="shared" si="965"/>
        <v>17.86</v>
      </c>
      <c r="I2235" s="576"/>
      <c r="J2235" s="549" t="s">
        <v>5804</v>
      </c>
      <c r="K2235" s="11"/>
      <c r="L2235"/>
      <c r="M2235" s="37">
        <f t="shared" si="966"/>
        <v>22.32</v>
      </c>
      <c r="N2235" s="29">
        <v>9.32</v>
      </c>
      <c r="O2235" s="149" t="s">
        <v>1017</v>
      </c>
      <c r="P2235" s="144"/>
      <c r="S2235" s="145" t="s">
        <v>4179</v>
      </c>
      <c r="T2235" s="145" t="s">
        <v>4179</v>
      </c>
      <c r="U2235" s="146" t="s">
        <v>1017</v>
      </c>
      <c r="W2235" s="147"/>
      <c r="X2235" s="147"/>
      <c r="Z2235" s="147"/>
      <c r="AC2235" s="147"/>
      <c r="AD2235" s="145" t="s">
        <v>1017</v>
      </c>
      <c r="AE2235" s="148"/>
      <c r="AF2235" s="147"/>
      <c r="AG2235" s="147"/>
      <c r="AH2235" s="166" t="str">
        <f t="shared" si="974"/>
        <v/>
      </c>
      <c r="AI2235" s="168" t="str">
        <f t="shared" si="958"/>
        <v/>
      </c>
      <c r="AJ2235" s="168" t="str">
        <f t="shared" si="959"/>
        <v/>
      </c>
      <c r="AK2235" s="168" t="str">
        <f t="shared" si="960"/>
        <v/>
      </c>
      <c r="AL2235" s="168" t="str">
        <f t="shared" si="961"/>
        <v/>
      </c>
      <c r="AM2235" s="168" t="str">
        <f t="shared" si="962"/>
        <v/>
      </c>
      <c r="AN2235" s="167" t="str">
        <f t="shared" si="945"/>
        <v/>
      </c>
      <c r="AO2235" s="167" t="str">
        <f t="shared" si="946"/>
        <v/>
      </c>
      <c r="AP2235" s="167" t="str">
        <f t="shared" si="947"/>
        <v/>
      </c>
      <c r="AQ2235" s="169" t="str">
        <f t="shared" si="948"/>
        <v/>
      </c>
      <c r="AR2235" s="170" t="str">
        <f t="shared" si="949"/>
        <v>BiK82X2KWKy-08</v>
      </c>
      <c r="AS2235" s="169" t="str">
        <f t="shared" si="950"/>
        <v/>
      </c>
      <c r="AT2235">
        <f t="shared" si="951"/>
        <v>14</v>
      </c>
      <c r="AU2235" s="170" t="str">
        <f t="shared" si="952"/>
        <v>0,15-0,5 MW, Bonusregeln X2, y und KWK</v>
      </c>
      <c r="AV2235" s="169" t="str">
        <f t="shared" si="953"/>
        <v/>
      </c>
      <c r="AW2235" s="170" t="str">
        <f t="shared" si="954"/>
        <v>Anteil KWK</v>
      </c>
      <c r="AX2235" s="169" t="str">
        <f t="shared" si="955"/>
        <v/>
      </c>
      <c r="AY2235" t="str">
        <f t="shared" si="956"/>
        <v/>
      </c>
      <c r="AZ2235" t="str">
        <f t="shared" si="957"/>
        <v/>
      </c>
    </row>
    <row r="2236" spans="1:52" s="145" customFormat="1" x14ac:dyDescent="0.35">
      <c r="A2236" s="497" t="s">
        <v>3660</v>
      </c>
      <c r="B2236" s="13" t="s">
        <v>5547</v>
      </c>
      <c r="C2236" s="13" t="s">
        <v>5539</v>
      </c>
      <c r="D2236" s="88" t="s">
        <v>7072</v>
      </c>
      <c r="E2236" s="13" t="s">
        <v>4330</v>
      </c>
      <c r="F2236" s="373">
        <f t="shared" si="964"/>
        <v>23.32</v>
      </c>
      <c r="G2236" s="430">
        <v>23.32</v>
      </c>
      <c r="H2236" s="399">
        <f t="shared" si="965"/>
        <v>18.66</v>
      </c>
      <c r="I2236" s="576"/>
      <c r="J2236" s="549" t="s">
        <v>5804</v>
      </c>
      <c r="K2236" s="11"/>
      <c r="L2236"/>
      <c r="M2236" s="37">
        <f t="shared" si="966"/>
        <v>23.32</v>
      </c>
      <c r="N2236" s="29">
        <v>9.32</v>
      </c>
      <c r="O2236" s="149"/>
      <c r="P2236" s="145" t="s">
        <v>1017</v>
      </c>
      <c r="S2236" s="145" t="s">
        <v>4179</v>
      </c>
      <c r="T2236" s="145" t="s">
        <v>4179</v>
      </c>
      <c r="U2236" s="146" t="s">
        <v>1017</v>
      </c>
      <c r="W2236" s="147"/>
      <c r="X2236" s="147"/>
      <c r="Z2236" s="147"/>
      <c r="AC2236" s="147"/>
      <c r="AD2236" s="145" t="s">
        <v>1017</v>
      </c>
      <c r="AE2236" s="148"/>
      <c r="AF2236" s="147"/>
      <c r="AG2236" s="147"/>
      <c r="AH2236" s="166" t="str">
        <f t="shared" si="974"/>
        <v/>
      </c>
      <c r="AI2236" s="168" t="str">
        <f t="shared" si="958"/>
        <v/>
      </c>
      <c r="AJ2236" s="168" t="str">
        <f t="shared" si="959"/>
        <v/>
      </c>
      <c r="AK2236" s="168" t="str">
        <f t="shared" si="960"/>
        <v/>
      </c>
      <c r="AL2236" s="168" t="str">
        <f t="shared" si="961"/>
        <v/>
      </c>
      <c r="AM2236" s="168" t="str">
        <f t="shared" si="962"/>
        <v/>
      </c>
      <c r="AN2236" s="167" t="str">
        <f t="shared" si="945"/>
        <v/>
      </c>
      <c r="AO2236" s="167" t="str">
        <f t="shared" si="946"/>
        <v/>
      </c>
      <c r="AP2236" s="167" t="str">
        <f t="shared" si="947"/>
        <v/>
      </c>
      <c r="AQ2236" s="169" t="str">
        <f t="shared" si="948"/>
        <v/>
      </c>
      <c r="AR2236" s="170" t="str">
        <f t="shared" si="949"/>
        <v>BiK82X2KA3y-08</v>
      </c>
      <c r="AS2236" s="169" t="str">
        <f t="shared" si="950"/>
        <v/>
      </c>
      <c r="AT2236">
        <f t="shared" si="951"/>
        <v>14</v>
      </c>
      <c r="AU2236" s="170" t="str">
        <f t="shared" si="952"/>
        <v>0,15-0,5 MW, Bonusregeln X2, y und K wenn Anlage 3 erfüllt</v>
      </c>
      <c r="AV2236" s="169" t="str">
        <f t="shared" si="953"/>
        <v/>
      </c>
      <c r="AW2236" s="170" t="str">
        <f t="shared" si="954"/>
        <v>Anteil KWK gemäß Anlage 3</v>
      </c>
      <c r="AX2236" s="169" t="str">
        <f t="shared" si="955"/>
        <v/>
      </c>
      <c r="AY2236" t="str">
        <f t="shared" si="956"/>
        <v/>
      </c>
      <c r="AZ2236" t="str">
        <f t="shared" si="957"/>
        <v/>
      </c>
    </row>
    <row r="2237" spans="1:52" s="145" customFormat="1" x14ac:dyDescent="0.35">
      <c r="A2237" s="497" t="s">
        <v>3661</v>
      </c>
      <c r="B2237" s="13" t="s">
        <v>5547</v>
      </c>
      <c r="C2237" s="13" t="s">
        <v>5539</v>
      </c>
      <c r="D2237" s="13" t="s">
        <v>7073</v>
      </c>
      <c r="E2237" s="13" t="s">
        <v>674</v>
      </c>
      <c r="F2237" s="373">
        <f t="shared" si="964"/>
        <v>23.32</v>
      </c>
      <c r="G2237" s="430">
        <v>23.32</v>
      </c>
      <c r="H2237" s="399">
        <f t="shared" si="965"/>
        <v>18.66</v>
      </c>
      <c r="I2237" s="576"/>
      <c r="J2237" s="549" t="s">
        <v>5804</v>
      </c>
      <c r="K2237" s="11"/>
      <c r="L2237"/>
      <c r="M2237" s="37">
        <f t="shared" si="966"/>
        <v>23.32</v>
      </c>
      <c r="N2237" s="29">
        <v>9.32</v>
      </c>
      <c r="O2237" s="149"/>
      <c r="P2237" s="144"/>
      <c r="Q2237" s="145" t="s">
        <v>1017</v>
      </c>
      <c r="S2237" s="145" t="s">
        <v>4179</v>
      </c>
      <c r="T2237" s="145" t="s">
        <v>4179</v>
      </c>
      <c r="U2237" s="146" t="s">
        <v>1017</v>
      </c>
      <c r="W2237" s="147"/>
      <c r="X2237" s="147"/>
      <c r="Z2237" s="147"/>
      <c r="AC2237" s="147"/>
      <c r="AD2237" s="145" t="s">
        <v>1017</v>
      </c>
      <c r="AE2237" s="148"/>
      <c r="AF2237" s="147"/>
      <c r="AG2237" s="147"/>
      <c r="AH2237" s="166" t="str">
        <f t="shared" si="974"/>
        <v/>
      </c>
      <c r="AI2237" s="168" t="str">
        <f t="shared" si="958"/>
        <v/>
      </c>
      <c r="AJ2237" s="168" t="str">
        <f t="shared" si="959"/>
        <v/>
      </c>
      <c r="AK2237" s="168" t="str">
        <f t="shared" si="960"/>
        <v/>
      </c>
      <c r="AL2237" s="168" t="str">
        <f t="shared" si="961"/>
        <v/>
      </c>
      <c r="AM2237" s="168" t="str">
        <f t="shared" si="962"/>
        <v/>
      </c>
      <c r="AN2237" s="167" t="str">
        <f t="shared" si="945"/>
        <v/>
      </c>
      <c r="AO2237" s="167" t="str">
        <f t="shared" si="946"/>
        <v/>
      </c>
      <c r="AP2237" s="167" t="str">
        <f t="shared" si="947"/>
        <v/>
      </c>
      <c r="AQ2237" s="169" t="str">
        <f t="shared" si="948"/>
        <v/>
      </c>
      <c r="AR2237" s="170" t="str">
        <f t="shared" si="949"/>
        <v>BiK82X2K09y-08</v>
      </c>
      <c r="AS2237" s="169" t="str">
        <f t="shared" si="950"/>
        <v/>
      </c>
      <c r="AT2237">
        <f t="shared" si="951"/>
        <v>14</v>
      </c>
      <c r="AU2237" s="170" t="str">
        <f t="shared" si="952"/>
        <v>0,15-0,5 MW, Bonusregeln X2, y und K erstmals 2009</v>
      </c>
      <c r="AV2237" s="169" t="str">
        <f t="shared" si="953"/>
        <v/>
      </c>
      <c r="AW2237" s="170" t="str">
        <f t="shared" si="954"/>
        <v>Anteil KWK, erstmals 2009</v>
      </c>
      <c r="AX2237" s="169" t="str">
        <f t="shared" si="955"/>
        <v/>
      </c>
      <c r="AY2237" t="str">
        <f t="shared" si="956"/>
        <v/>
      </c>
      <c r="AZ2237" t="str">
        <f t="shared" si="957"/>
        <v/>
      </c>
    </row>
    <row r="2238" spans="1:52" s="145" customFormat="1" x14ac:dyDescent="0.35">
      <c r="A2238" s="497" t="s">
        <v>3263</v>
      </c>
      <c r="B2238" s="13" t="s">
        <v>5547</v>
      </c>
      <c r="C2238" s="13" t="s">
        <v>5539</v>
      </c>
      <c r="D2238" s="13" t="s">
        <v>7074</v>
      </c>
      <c r="E2238" s="13" t="s">
        <v>3566</v>
      </c>
      <c r="F2238" s="373">
        <f t="shared" si="964"/>
        <v>23.29</v>
      </c>
      <c r="G2238" s="430">
        <v>23.29</v>
      </c>
      <c r="H2238" s="399">
        <f t="shared" si="965"/>
        <v>18.63</v>
      </c>
      <c r="I2238" s="576"/>
      <c r="J2238" s="549" t="s">
        <v>5804</v>
      </c>
      <c r="K2238" s="11"/>
      <c r="L2238"/>
      <c r="M2238" s="37">
        <f t="shared" si="966"/>
        <v>23.29</v>
      </c>
      <c r="N2238" s="29">
        <v>9.32</v>
      </c>
      <c r="O2238" s="149"/>
      <c r="P2238" s="144"/>
      <c r="R2238" s="145" t="s">
        <v>1017</v>
      </c>
      <c r="S2238" s="145" t="s">
        <v>4179</v>
      </c>
      <c r="T2238" s="145" t="s">
        <v>4179</v>
      </c>
      <c r="U2238" s="146" t="s">
        <v>1017</v>
      </c>
      <c r="W2238" s="147"/>
      <c r="X2238" s="147"/>
      <c r="Z2238" s="147"/>
      <c r="AC2238" s="147"/>
      <c r="AD2238" s="145" t="s">
        <v>1017</v>
      </c>
      <c r="AE2238" s="148"/>
      <c r="AF2238" s="147"/>
      <c r="AG2238" s="147"/>
      <c r="AH2238" s="166" t="str">
        <f t="shared" si="974"/>
        <v>2010</v>
      </c>
      <c r="AI2238" s="168" t="str">
        <f t="shared" si="958"/>
        <v/>
      </c>
      <c r="AJ2238" s="168" t="str">
        <f t="shared" si="959"/>
        <v/>
      </c>
      <c r="AK2238" s="168" t="str">
        <f t="shared" si="960"/>
        <v/>
      </c>
      <c r="AL2238" s="168" t="str">
        <f t="shared" si="961"/>
        <v/>
      </c>
      <c r="AM2238" s="168" t="str">
        <f t="shared" si="962"/>
        <v/>
      </c>
      <c r="AN2238" s="167" t="str">
        <f t="shared" si="945"/>
        <v>2010</v>
      </c>
      <c r="AO2238" s="167" t="str">
        <f t="shared" si="946"/>
        <v>2010</v>
      </c>
      <c r="AP2238" s="167" t="str">
        <f t="shared" si="947"/>
        <v>2010</v>
      </c>
      <c r="AQ2238" s="169" t="str">
        <f t="shared" si="948"/>
        <v/>
      </c>
      <c r="AR2238" s="170" t="str">
        <f t="shared" si="949"/>
        <v>BiK82X2K10y-08</v>
      </c>
      <c r="AS2238" s="169" t="str">
        <f t="shared" si="950"/>
        <v/>
      </c>
      <c r="AT2238">
        <f t="shared" si="951"/>
        <v>14</v>
      </c>
      <c r="AU2238" s="170" t="str">
        <f t="shared" si="952"/>
        <v>0,15-0,5 MW, Bonusregeln X2, y und K erstmals 2010</v>
      </c>
      <c r="AV2238" s="169" t="str">
        <f t="shared" si="953"/>
        <v/>
      </c>
      <c r="AW2238" s="170" t="str">
        <f t="shared" si="954"/>
        <v>Anteil KWK, erstmals 2010</v>
      </c>
      <c r="AX2238" s="169" t="str">
        <f t="shared" si="955"/>
        <v/>
      </c>
      <c r="AY2238" t="str">
        <f t="shared" si="956"/>
        <v/>
      </c>
      <c r="AZ2238" t="str">
        <f t="shared" si="957"/>
        <v/>
      </c>
    </row>
    <row r="2239" spans="1:52" s="145" customFormat="1" x14ac:dyDescent="0.35">
      <c r="A2239" s="497" t="s">
        <v>3468</v>
      </c>
      <c r="B2239" s="13" t="s">
        <v>5547</v>
      </c>
      <c r="C2239" s="13" t="s">
        <v>5539</v>
      </c>
      <c r="D2239" s="13" t="s">
        <v>7075</v>
      </c>
      <c r="E2239" s="13" t="s">
        <v>3054</v>
      </c>
      <c r="F2239" s="373">
        <f t="shared" si="964"/>
        <v>23.259999999999998</v>
      </c>
      <c r="G2239" s="430">
        <v>23.259999999999998</v>
      </c>
      <c r="H2239" s="399">
        <f t="shared" si="965"/>
        <v>18.61</v>
      </c>
      <c r="I2239" s="576"/>
      <c r="J2239" s="549" t="s">
        <v>5804</v>
      </c>
      <c r="K2239" s="11"/>
      <c r="L2239"/>
      <c r="M2239" s="37">
        <f t="shared" si="966"/>
        <v>23.259999999999998</v>
      </c>
      <c r="N2239" s="29">
        <v>9.32</v>
      </c>
      <c r="O2239" s="149"/>
      <c r="P2239" s="144"/>
      <c r="S2239" s="145" t="s">
        <v>1017</v>
      </c>
      <c r="T2239" s="145" t="s">
        <v>4179</v>
      </c>
      <c r="U2239" s="146" t="s">
        <v>1017</v>
      </c>
      <c r="W2239" s="147"/>
      <c r="X2239" s="147"/>
      <c r="Z2239" s="147"/>
      <c r="AC2239" s="147"/>
      <c r="AD2239" s="145" t="s">
        <v>1017</v>
      </c>
      <c r="AE2239" s="148"/>
      <c r="AF2239" s="147"/>
      <c r="AG2239" s="147"/>
      <c r="AH2239" s="166" t="str">
        <f t="shared" si="974"/>
        <v>2011</v>
      </c>
      <c r="AI2239" s="168" t="str">
        <f t="shared" si="958"/>
        <v/>
      </c>
      <c r="AJ2239" s="168" t="str">
        <f t="shared" si="959"/>
        <v/>
      </c>
      <c r="AK2239" s="168" t="str">
        <f t="shared" si="960"/>
        <v/>
      </c>
      <c r="AL2239" s="168" t="str">
        <f t="shared" si="961"/>
        <v/>
      </c>
      <c r="AM2239" s="168" t="str">
        <f t="shared" si="962"/>
        <v/>
      </c>
      <c r="AN2239" s="167" t="str">
        <f t="shared" ref="AN2239:AN2302" si="975">IF(ISERROR(SEARCH("K1",A2239)),"","20"&amp;MID(A2239,SEARCH("K1",A2239)+1,2))</f>
        <v>2011</v>
      </c>
      <c r="AO2239" s="167" t="str">
        <f t="shared" ref="AO2239:AO2302" si="976">IF(ISERROR(SEARCH("erstmals 201",E2239)),"",MID(E2239,SEARCH("erstmals ",E2239)+9,4))</f>
        <v>2011</v>
      </c>
      <c r="AP2239" s="167" t="str">
        <f t="shared" ref="AP2239:AP2302" si="977">IF(R2239="x","2010",IF(S2239="x","2011",IF(T2239="x","2012","")))</f>
        <v>2011</v>
      </c>
      <c r="AQ2239" s="169" t="str">
        <f t="shared" ref="AQ2239:AQ2302" si="978">IF(OR(AH2239&lt;&gt;AN2239,AH2239&lt;&gt;AO2239,AH2239&lt;&gt;AP2239),"DIFF","")</f>
        <v/>
      </c>
      <c r="AR2239" s="170" t="str">
        <f t="shared" ref="AR2239:AR2302" si="979">IF(A2239="","",IF(ISERROR(SEARCH("K1",A2239)),A2239,LEFT(A2239,SEARCH("K1",A2239)+1)&amp;RIGHT(AH2239,1)&amp;MID(A2239,SEARCH("K1",A2239)+3,14)))</f>
        <v>BiK82X2K11y-08</v>
      </c>
      <c r="AS2239" s="169" t="str">
        <f t="shared" ref="AS2239:AS2302" si="980">IF(OR(A2239&lt;&gt;AR2239),"DIFF","")</f>
        <v/>
      </c>
      <c r="AT2239">
        <f t="shared" ref="AT2239:AT2302" si="981">LEN(AR2239)</f>
        <v>14</v>
      </c>
      <c r="AU2239" s="170" t="str">
        <f t="shared" ref="AU2239:AU2302" si="982">IF(D2239="","",IF(OR(A2239="",ISERROR(SEARCH("erstmals 201",D2239))),D2239,LEFT(D2239,SEARCH("erstmals 201",D2239)+8) &amp; AH2239 &amp; MID(D2239,SEARCH("erstmals 201",D2239)+13,255)))</f>
        <v>0,15-0,5 MW, Bonusregeln X2, y und K erstmals 2011</v>
      </c>
      <c r="AV2239" s="169" t="str">
        <f t="shared" ref="AV2239:AV2302" si="983">IF(OR(D2239&lt;&gt;AU2239),"DIFF","")</f>
        <v/>
      </c>
      <c r="AW2239" s="170" t="str">
        <f t="shared" ref="AW2239:AW2302" si="984">IF(E2239="","",IF(OR(E2239="",ISERROR(SEARCH("erstmals 201",E2239))),E2239,LEFT(E2239,SEARCH("erstmals 201",E2239)+8) &amp; AH2239 &amp; MID(E2239,SEARCH("erstmals 201",E2239)+13,255)))</f>
        <v>Anteil KWK, erstmals 2011</v>
      </c>
      <c r="AX2239" s="169" t="str">
        <f t="shared" ref="AX2239:AX2302" si="985">IF(OR(E2239&lt;&gt;AW2239),"DIFF","")</f>
        <v/>
      </c>
      <c r="AY2239" t="str">
        <f t="shared" ref="AY2239:AY2302" si="986">IF(AH2239="2011","x",IF(AH2239="2012","","" &amp; S2239))</f>
        <v>x</v>
      </c>
      <c r="AZ2239" t="str">
        <f t="shared" ref="AZ2239:AZ2302" si="987">IF(AH2239="2012","x",IF(AH2239="2011","","" &amp; T2239))</f>
        <v/>
      </c>
    </row>
    <row r="2240" spans="1:52" s="145" customFormat="1" x14ac:dyDescent="0.35">
      <c r="A2240" s="511" t="s">
        <v>1901</v>
      </c>
      <c r="B2240" s="173" t="s">
        <v>5547</v>
      </c>
      <c r="C2240" s="173" t="s">
        <v>5539</v>
      </c>
      <c r="D2240" s="173" t="s">
        <v>7076</v>
      </c>
      <c r="E2240" s="173" t="s">
        <v>1980</v>
      </c>
      <c r="F2240" s="374">
        <f t="shared" si="964"/>
        <v>23.23</v>
      </c>
      <c r="G2240" s="431">
        <v>23.23</v>
      </c>
      <c r="H2240" s="400">
        <f t="shared" si="965"/>
        <v>18.579999999999998</v>
      </c>
      <c r="I2240" s="577"/>
      <c r="J2240" s="549" t="s">
        <v>5804</v>
      </c>
      <c r="K2240" s="11"/>
      <c r="L2240"/>
      <c r="M2240" s="37">
        <f t="shared" si="966"/>
        <v>23.23</v>
      </c>
      <c r="N2240" s="29">
        <v>9.32</v>
      </c>
      <c r="O2240" s="149"/>
      <c r="P2240" s="144"/>
      <c r="S2240" s="145" t="s">
        <v>4179</v>
      </c>
      <c r="T2240" s="145" t="s">
        <v>1017</v>
      </c>
      <c r="U2240" s="146" t="s">
        <v>1017</v>
      </c>
      <c r="W2240" s="147"/>
      <c r="X2240" s="147"/>
      <c r="Z2240" s="147"/>
      <c r="AC2240" s="147"/>
      <c r="AD2240" s="145" t="s">
        <v>1017</v>
      </c>
      <c r="AE2240" s="148"/>
      <c r="AF2240" s="147"/>
      <c r="AG2240" s="147"/>
      <c r="AH2240" s="171" t="s">
        <v>4178</v>
      </c>
      <c r="AI2240" s="168" t="str">
        <f t="shared" ref="AI2240:AI2303" si="988">IF(AND($AH2240&lt;&gt;"",AH2240 =AH2239),"Gleich","")</f>
        <v/>
      </c>
      <c r="AJ2240" s="168" t="str">
        <f t="shared" ref="AJ2240:AJ2303" si="989">IF(AND($AH2240&lt;&gt;"",A2240 =A2239),"Gleich","")</f>
        <v/>
      </c>
      <c r="AK2240" s="168" t="str">
        <f t="shared" ref="AK2240:AK2303" si="990">IF(AND($AH2240&lt;&gt;"",D2240 =D2239),"Gleich","")</f>
        <v/>
      </c>
      <c r="AL2240" s="168" t="str">
        <f t="shared" ref="AL2240:AL2303" si="991">IF(AND($AH2240&lt;&gt;"",E2240 =E2239),"Gleich","")</f>
        <v/>
      </c>
      <c r="AM2240" s="168" t="str">
        <f t="shared" ref="AM2240:AM2303" si="992">IF(AND($AH2240&lt;&gt;"",F2240 =F2239),"Gleich","")</f>
        <v/>
      </c>
      <c r="AN2240" s="167" t="str">
        <f t="shared" si="975"/>
        <v>2012</v>
      </c>
      <c r="AO2240" s="167" t="str">
        <f t="shared" si="976"/>
        <v>2012</v>
      </c>
      <c r="AP2240" s="167" t="str">
        <f t="shared" si="977"/>
        <v>2012</v>
      </c>
      <c r="AQ2240" s="169" t="str">
        <f t="shared" si="978"/>
        <v/>
      </c>
      <c r="AR2240" s="170" t="str">
        <f t="shared" si="979"/>
        <v>BiK82X2K12y-08</v>
      </c>
      <c r="AS2240" s="169" t="str">
        <f t="shared" si="980"/>
        <v/>
      </c>
      <c r="AT2240">
        <f t="shared" si="981"/>
        <v>14</v>
      </c>
      <c r="AU2240" s="170" t="str">
        <f t="shared" si="982"/>
        <v>0,15-0,5 MW, Bonusregeln X2, y und K erstmals 2012</v>
      </c>
      <c r="AV2240" s="169" t="str">
        <f t="shared" si="983"/>
        <v/>
      </c>
      <c r="AW2240" s="170" t="str">
        <f t="shared" si="984"/>
        <v>Anteil KWK, erstmals 2012</v>
      </c>
      <c r="AX2240" s="169" t="str">
        <f t="shared" si="985"/>
        <v/>
      </c>
      <c r="AY2240" t="str">
        <f t="shared" si="986"/>
        <v/>
      </c>
      <c r="AZ2240" t="str">
        <f t="shared" si="987"/>
        <v>x</v>
      </c>
    </row>
    <row r="2241" spans="1:52" s="145" customFormat="1" x14ac:dyDescent="0.35">
      <c r="A2241" s="496" t="s">
        <v>3682</v>
      </c>
      <c r="B2241" s="1" t="s">
        <v>5547</v>
      </c>
      <c r="C2241" s="1" t="s">
        <v>5539</v>
      </c>
      <c r="D2241" s="1" t="s">
        <v>7125</v>
      </c>
      <c r="E2241" s="1" t="s">
        <v>4809</v>
      </c>
      <c r="F2241" s="375">
        <f t="shared" si="964"/>
        <v>11.32</v>
      </c>
      <c r="G2241" s="432">
        <v>11.32</v>
      </c>
      <c r="H2241" s="401">
        <f t="shared" si="965"/>
        <v>9.06</v>
      </c>
      <c r="I2241" s="578"/>
      <c r="J2241" s="549" t="s">
        <v>5804</v>
      </c>
      <c r="K2241" s="11"/>
      <c r="L2241"/>
      <c r="M2241" s="37">
        <f t="shared" si="966"/>
        <v>11.32</v>
      </c>
      <c r="N2241" s="29">
        <v>9.32</v>
      </c>
      <c r="O2241" s="41"/>
      <c r="P2241" s="11"/>
      <c r="Q2241"/>
      <c r="R2241"/>
      <c r="S2241" t="s">
        <v>4179</v>
      </c>
      <c r="T2241" s="145" t="s">
        <v>4179</v>
      </c>
      <c r="U2241" s="42"/>
      <c r="V2241"/>
      <c r="W2241" s="50"/>
      <c r="X2241" s="50"/>
      <c r="Y2241"/>
      <c r="Z2241" s="50"/>
      <c r="AA2241"/>
      <c r="AB2241"/>
      <c r="AC2241" s="50"/>
      <c r="AD2241"/>
      <c r="AE2241" s="75" t="s">
        <v>1017</v>
      </c>
      <c r="AF2241" s="50"/>
      <c r="AG2241" s="50"/>
      <c r="AH2241" s="166" t="str">
        <f t="shared" ref="AH2241:AH2246" si="993">IF(ISERROR(SEARCH("K erstmals 201",D2241)),"",RIGHT(D2241,4))</f>
        <v/>
      </c>
      <c r="AI2241" s="168" t="str">
        <f t="shared" si="988"/>
        <v/>
      </c>
      <c r="AJ2241" s="168" t="str">
        <f t="shared" si="989"/>
        <v/>
      </c>
      <c r="AK2241" s="168" t="str">
        <f t="shared" si="990"/>
        <v/>
      </c>
      <c r="AL2241" s="168" t="str">
        <f t="shared" si="991"/>
        <v/>
      </c>
      <c r="AM2241" s="168" t="str">
        <f t="shared" si="992"/>
        <v/>
      </c>
      <c r="AN2241" s="167" t="str">
        <f t="shared" si="975"/>
        <v/>
      </c>
      <c r="AO2241" s="167" t="str">
        <f t="shared" si="976"/>
        <v/>
      </c>
      <c r="AP2241" s="167" t="str">
        <f t="shared" si="977"/>
        <v/>
      </c>
      <c r="AQ2241" s="169" t="str">
        <f t="shared" si="978"/>
        <v/>
      </c>
      <c r="AR2241" s="170" t="str">
        <f t="shared" si="979"/>
        <v>BiK82b------08</v>
      </c>
      <c r="AS2241" s="169" t="str">
        <f t="shared" si="980"/>
        <v/>
      </c>
      <c r="AT2241">
        <f t="shared" si="981"/>
        <v>14</v>
      </c>
      <c r="AU2241" s="170" t="str">
        <f t="shared" si="982"/>
        <v>0,15-0,5 MW, Bonusregel b</v>
      </c>
      <c r="AV2241" s="169" t="str">
        <f t="shared" si="983"/>
        <v/>
      </c>
      <c r="AW2241" s="170" t="str">
        <f t="shared" si="984"/>
        <v>Anteil Nicht-KWK</v>
      </c>
      <c r="AX2241" s="169" t="str">
        <f t="shared" si="985"/>
        <v/>
      </c>
      <c r="AY2241" t="str">
        <f t="shared" si="986"/>
        <v/>
      </c>
      <c r="AZ2241" t="str">
        <f t="shared" si="987"/>
        <v/>
      </c>
    </row>
    <row r="2242" spans="1:52" x14ac:dyDescent="0.35">
      <c r="A2242" s="496" t="s">
        <v>3683</v>
      </c>
      <c r="B2242" s="1" t="s">
        <v>5547</v>
      </c>
      <c r="C2242" s="1" t="s">
        <v>5539</v>
      </c>
      <c r="D2242" s="1" t="s">
        <v>7126</v>
      </c>
      <c r="E2242" s="1" t="s">
        <v>4811</v>
      </c>
      <c r="F2242" s="375">
        <f t="shared" si="964"/>
        <v>13.32</v>
      </c>
      <c r="G2242" s="432">
        <v>13.32</v>
      </c>
      <c r="H2242" s="401">
        <f t="shared" si="965"/>
        <v>10.66</v>
      </c>
      <c r="I2242" s="578"/>
      <c r="J2242" s="549" t="s">
        <v>5804</v>
      </c>
      <c r="K2242" s="11"/>
      <c r="M2242" s="37">
        <f t="shared" si="966"/>
        <v>13.32</v>
      </c>
      <c r="N2242" s="29">
        <v>9.32</v>
      </c>
      <c r="O2242" s="41" t="s">
        <v>1017</v>
      </c>
      <c r="P2242" s="11"/>
      <c r="S2242" t="s">
        <v>4179</v>
      </c>
      <c r="T2242" t="s">
        <v>4179</v>
      </c>
      <c r="U2242" s="42"/>
      <c r="W2242" s="50"/>
      <c r="X2242" s="50"/>
      <c r="Z2242" s="50"/>
      <c r="AC2242" s="50"/>
      <c r="AE2242" s="75" t="s">
        <v>1017</v>
      </c>
      <c r="AF2242" s="50"/>
      <c r="AG2242" s="50"/>
      <c r="AH2242" s="166" t="str">
        <f t="shared" si="993"/>
        <v/>
      </c>
      <c r="AI2242" s="168" t="str">
        <f t="shared" si="988"/>
        <v/>
      </c>
      <c r="AJ2242" s="168" t="str">
        <f t="shared" si="989"/>
        <v/>
      </c>
      <c r="AK2242" s="168" t="str">
        <f t="shared" si="990"/>
        <v/>
      </c>
      <c r="AL2242" s="168" t="str">
        <f t="shared" si="991"/>
        <v/>
      </c>
      <c r="AM2242" s="168" t="str">
        <f t="shared" si="992"/>
        <v/>
      </c>
      <c r="AN2242" s="167" t="str">
        <f t="shared" si="975"/>
        <v/>
      </c>
      <c r="AO2242" s="167" t="str">
        <f t="shared" si="976"/>
        <v/>
      </c>
      <c r="AP2242" s="167" t="str">
        <f t="shared" si="977"/>
        <v/>
      </c>
      <c r="AQ2242" s="169" t="str">
        <f t="shared" si="978"/>
        <v/>
      </c>
      <c r="AR2242" s="170" t="str">
        <f t="shared" si="979"/>
        <v>BiK82bKWK---08</v>
      </c>
      <c r="AS2242" s="169" t="str">
        <f t="shared" si="980"/>
        <v/>
      </c>
      <c r="AT2242">
        <f t="shared" si="981"/>
        <v>14</v>
      </c>
      <c r="AU2242" s="170" t="str">
        <f t="shared" si="982"/>
        <v>0,15-0,5 MW, Bonusregeln b und KWK</v>
      </c>
      <c r="AV2242" s="169" t="str">
        <f t="shared" si="983"/>
        <v/>
      </c>
      <c r="AW2242" s="170" t="str">
        <f t="shared" si="984"/>
        <v>Anteil KWK</v>
      </c>
      <c r="AX2242" s="169" t="str">
        <f t="shared" si="985"/>
        <v/>
      </c>
      <c r="AY2242" t="str">
        <f t="shared" si="986"/>
        <v/>
      </c>
      <c r="AZ2242" t="str">
        <f t="shared" si="987"/>
        <v/>
      </c>
    </row>
    <row r="2243" spans="1:52" x14ac:dyDescent="0.35">
      <c r="A2243" s="497" t="s">
        <v>2341</v>
      </c>
      <c r="B2243" s="13" t="s">
        <v>5547</v>
      </c>
      <c r="C2243" s="13" t="s">
        <v>5539</v>
      </c>
      <c r="D2243" s="13" t="s">
        <v>7127</v>
      </c>
      <c r="E2243" s="13" t="s">
        <v>4330</v>
      </c>
      <c r="F2243" s="373">
        <f t="shared" si="964"/>
        <v>14.32</v>
      </c>
      <c r="G2243" s="430">
        <v>14.32</v>
      </c>
      <c r="H2243" s="399">
        <f t="shared" si="965"/>
        <v>11.46</v>
      </c>
      <c r="I2243" s="576"/>
      <c r="J2243" s="549" t="s">
        <v>5804</v>
      </c>
      <c r="K2243" s="11"/>
      <c r="M2243" s="37">
        <f t="shared" si="966"/>
        <v>14.32</v>
      </c>
      <c r="N2243" s="29">
        <v>9.32</v>
      </c>
      <c r="O2243" s="41"/>
      <c r="P2243" t="s">
        <v>1017</v>
      </c>
      <c r="S2243" t="s">
        <v>4179</v>
      </c>
      <c r="T2243" t="s">
        <v>4179</v>
      </c>
      <c r="U2243" s="42"/>
      <c r="W2243" s="50"/>
      <c r="X2243" s="50"/>
      <c r="Z2243" s="50"/>
      <c r="AC2243" s="50"/>
      <c r="AE2243" s="75" t="s">
        <v>1017</v>
      </c>
      <c r="AF2243" s="50"/>
      <c r="AG2243" s="50"/>
      <c r="AH2243" s="166" t="str">
        <f t="shared" si="993"/>
        <v/>
      </c>
      <c r="AI2243" s="168" t="str">
        <f t="shared" si="988"/>
        <v/>
      </c>
      <c r="AJ2243" s="168" t="str">
        <f t="shared" si="989"/>
        <v/>
      </c>
      <c r="AK2243" s="168" t="str">
        <f t="shared" si="990"/>
        <v/>
      </c>
      <c r="AL2243" s="168" t="str">
        <f t="shared" si="991"/>
        <v/>
      </c>
      <c r="AM2243" s="168" t="str">
        <f t="shared" si="992"/>
        <v/>
      </c>
      <c r="AN2243" s="167" t="str">
        <f t="shared" si="975"/>
        <v/>
      </c>
      <c r="AO2243" s="167" t="str">
        <f t="shared" si="976"/>
        <v/>
      </c>
      <c r="AP2243" s="167" t="str">
        <f t="shared" si="977"/>
        <v/>
      </c>
      <c r="AQ2243" s="169" t="str">
        <f t="shared" si="978"/>
        <v/>
      </c>
      <c r="AR2243" s="170" t="str">
        <f t="shared" si="979"/>
        <v>BiK82bKA3---08</v>
      </c>
      <c r="AS2243" s="169" t="str">
        <f t="shared" si="980"/>
        <v/>
      </c>
      <c r="AT2243">
        <f t="shared" si="981"/>
        <v>14</v>
      </c>
      <c r="AU2243" s="170" t="str">
        <f t="shared" si="982"/>
        <v>0,15-0,5 MW, Bonusregeln b und K wenn Anlage 3 erfüllt</v>
      </c>
      <c r="AV2243" s="169" t="str">
        <f t="shared" si="983"/>
        <v/>
      </c>
      <c r="AW2243" s="170" t="str">
        <f t="shared" si="984"/>
        <v>Anteil KWK gemäß Anlage 3</v>
      </c>
      <c r="AX2243" s="169" t="str">
        <f t="shared" si="985"/>
        <v/>
      </c>
      <c r="AY2243" t="str">
        <f t="shared" si="986"/>
        <v/>
      </c>
      <c r="AZ2243" t="str">
        <f t="shared" si="987"/>
        <v/>
      </c>
    </row>
    <row r="2244" spans="1:52" x14ac:dyDescent="0.35">
      <c r="A2244" s="497" t="s">
        <v>2869</v>
      </c>
      <c r="B2244" s="13" t="s">
        <v>5547</v>
      </c>
      <c r="C2244" s="13" t="s">
        <v>5539</v>
      </c>
      <c r="D2244" s="13" t="s">
        <v>7128</v>
      </c>
      <c r="E2244" s="13" t="s">
        <v>674</v>
      </c>
      <c r="F2244" s="373">
        <f t="shared" si="964"/>
        <v>14.32</v>
      </c>
      <c r="G2244" s="430">
        <v>14.32</v>
      </c>
      <c r="H2244" s="399">
        <f t="shared" si="965"/>
        <v>11.46</v>
      </c>
      <c r="I2244" s="576"/>
      <c r="J2244" s="549" t="s">
        <v>5804</v>
      </c>
      <c r="K2244" s="11"/>
      <c r="M2244" s="37">
        <f t="shared" si="966"/>
        <v>14.32</v>
      </c>
      <c r="N2244" s="29">
        <v>9.32</v>
      </c>
      <c r="O2244" s="41"/>
      <c r="P2244" s="11"/>
      <c r="Q2244" t="s">
        <v>1017</v>
      </c>
      <c r="S2244" t="s">
        <v>4179</v>
      </c>
      <c r="T2244" t="s">
        <v>4179</v>
      </c>
      <c r="U2244" s="42"/>
      <c r="W2244" s="50"/>
      <c r="X2244" s="50"/>
      <c r="Z2244" s="50"/>
      <c r="AC2244" s="50"/>
      <c r="AE2244" s="75" t="s">
        <v>1017</v>
      </c>
      <c r="AF2244" s="50"/>
      <c r="AG2244" s="50"/>
      <c r="AH2244" s="166" t="str">
        <f t="shared" si="993"/>
        <v/>
      </c>
      <c r="AI2244" s="168" t="str">
        <f t="shared" si="988"/>
        <v/>
      </c>
      <c r="AJ2244" s="168" t="str">
        <f t="shared" si="989"/>
        <v/>
      </c>
      <c r="AK2244" s="168" t="str">
        <f t="shared" si="990"/>
        <v/>
      </c>
      <c r="AL2244" s="168" t="str">
        <f t="shared" si="991"/>
        <v/>
      </c>
      <c r="AM2244" s="168" t="str">
        <f t="shared" si="992"/>
        <v/>
      </c>
      <c r="AN2244" s="167" t="str">
        <f t="shared" si="975"/>
        <v/>
      </c>
      <c r="AO2244" s="167" t="str">
        <f t="shared" si="976"/>
        <v/>
      </c>
      <c r="AP2244" s="167" t="str">
        <f t="shared" si="977"/>
        <v/>
      </c>
      <c r="AQ2244" s="169" t="str">
        <f t="shared" si="978"/>
        <v/>
      </c>
      <c r="AR2244" s="170" t="str">
        <f t="shared" si="979"/>
        <v>BiK82bK09---08</v>
      </c>
      <c r="AS2244" s="169" t="str">
        <f t="shared" si="980"/>
        <v/>
      </c>
      <c r="AT2244">
        <f t="shared" si="981"/>
        <v>14</v>
      </c>
      <c r="AU2244" s="170" t="str">
        <f t="shared" si="982"/>
        <v>0,15-0,5 MW, Bonusregeln b und K erstmals 2009</v>
      </c>
      <c r="AV2244" s="169" t="str">
        <f t="shared" si="983"/>
        <v/>
      </c>
      <c r="AW2244" s="170" t="str">
        <f t="shared" si="984"/>
        <v>Anteil KWK, erstmals 2009</v>
      </c>
      <c r="AX2244" s="169" t="str">
        <f t="shared" si="985"/>
        <v/>
      </c>
      <c r="AY2244" t="str">
        <f t="shared" si="986"/>
        <v/>
      </c>
      <c r="AZ2244" t="str">
        <f t="shared" si="987"/>
        <v/>
      </c>
    </row>
    <row r="2245" spans="1:52" x14ac:dyDescent="0.35">
      <c r="A2245" s="497" t="s">
        <v>3264</v>
      </c>
      <c r="B2245" s="13" t="s">
        <v>5547</v>
      </c>
      <c r="C2245" s="13" t="s">
        <v>5539</v>
      </c>
      <c r="D2245" s="13" t="s">
        <v>7129</v>
      </c>
      <c r="E2245" s="13" t="s">
        <v>3566</v>
      </c>
      <c r="F2245" s="373">
        <f t="shared" ref="F2245:F2308" si="994">M2245</f>
        <v>14.290000000000001</v>
      </c>
      <c r="G2245" s="430">
        <v>14.290000000000001</v>
      </c>
      <c r="H2245" s="399">
        <f t="shared" ref="H2245:H2308" si="995">IF(ISNUMBER(G2245),ROUND(0.8*G2245,2),"")</f>
        <v>11.43</v>
      </c>
      <c r="I2245" s="576"/>
      <c r="J2245" s="549" t="s">
        <v>5804</v>
      </c>
      <c r="K2245" s="11"/>
      <c r="M2245" s="37">
        <f t="shared" ref="M2245:M2308" si="996">N2245+SUMIF(O2245:AG2245,"x",O$1988:AG$1988)</f>
        <v>14.290000000000001</v>
      </c>
      <c r="N2245" s="29">
        <v>9.32</v>
      </c>
      <c r="O2245" s="41"/>
      <c r="P2245" s="11"/>
      <c r="R2245" t="s">
        <v>1017</v>
      </c>
      <c r="S2245" t="s">
        <v>4179</v>
      </c>
      <c r="T2245" t="s">
        <v>4179</v>
      </c>
      <c r="U2245" s="42"/>
      <c r="W2245" s="50"/>
      <c r="X2245" s="50"/>
      <c r="Z2245" s="50"/>
      <c r="AC2245" s="50"/>
      <c r="AE2245" s="75" t="s">
        <v>1017</v>
      </c>
      <c r="AF2245" s="50"/>
      <c r="AG2245" s="50"/>
      <c r="AH2245" s="166" t="str">
        <f t="shared" si="993"/>
        <v>2010</v>
      </c>
      <c r="AI2245" s="168" t="str">
        <f t="shared" si="988"/>
        <v/>
      </c>
      <c r="AJ2245" s="168" t="str">
        <f t="shared" si="989"/>
        <v/>
      </c>
      <c r="AK2245" s="168" t="str">
        <f t="shared" si="990"/>
        <v/>
      </c>
      <c r="AL2245" s="168" t="str">
        <f t="shared" si="991"/>
        <v/>
      </c>
      <c r="AM2245" s="168" t="str">
        <f t="shared" si="992"/>
        <v/>
      </c>
      <c r="AN2245" s="167" t="str">
        <f t="shared" si="975"/>
        <v>2010</v>
      </c>
      <c r="AO2245" s="167" t="str">
        <f t="shared" si="976"/>
        <v>2010</v>
      </c>
      <c r="AP2245" s="167" t="str">
        <f t="shared" si="977"/>
        <v>2010</v>
      </c>
      <c r="AQ2245" s="169" t="str">
        <f t="shared" si="978"/>
        <v/>
      </c>
      <c r="AR2245" s="170" t="str">
        <f t="shared" si="979"/>
        <v>BiK82bK10---08</v>
      </c>
      <c r="AS2245" s="169" t="str">
        <f t="shared" si="980"/>
        <v/>
      </c>
      <c r="AT2245">
        <f t="shared" si="981"/>
        <v>14</v>
      </c>
      <c r="AU2245" s="170" t="str">
        <f t="shared" si="982"/>
        <v>0,15-0,5 MW, Bonusregeln b und K erstmals 2010</v>
      </c>
      <c r="AV2245" s="169" t="str">
        <f t="shared" si="983"/>
        <v/>
      </c>
      <c r="AW2245" s="170" t="str">
        <f t="shared" si="984"/>
        <v>Anteil KWK, erstmals 2010</v>
      </c>
      <c r="AX2245" s="169" t="str">
        <f t="shared" si="985"/>
        <v/>
      </c>
      <c r="AY2245" t="str">
        <f t="shared" si="986"/>
        <v/>
      </c>
      <c r="AZ2245" t="str">
        <f t="shared" si="987"/>
        <v/>
      </c>
    </row>
    <row r="2246" spans="1:52" x14ac:dyDescent="0.35">
      <c r="A2246" s="497" t="s">
        <v>3469</v>
      </c>
      <c r="B2246" s="13" t="s">
        <v>5547</v>
      </c>
      <c r="C2246" s="13" t="s">
        <v>5539</v>
      </c>
      <c r="D2246" s="13" t="s">
        <v>7130</v>
      </c>
      <c r="E2246" s="13" t="s">
        <v>3054</v>
      </c>
      <c r="F2246" s="373">
        <f t="shared" si="994"/>
        <v>14.26</v>
      </c>
      <c r="G2246" s="430">
        <v>14.26</v>
      </c>
      <c r="H2246" s="399">
        <f t="shared" si="995"/>
        <v>11.41</v>
      </c>
      <c r="I2246" s="576"/>
      <c r="J2246" s="549" t="s">
        <v>5804</v>
      </c>
      <c r="K2246" s="11"/>
      <c r="M2246" s="37">
        <f t="shared" si="996"/>
        <v>14.26</v>
      </c>
      <c r="N2246" s="29">
        <v>9.32</v>
      </c>
      <c r="O2246" s="41"/>
      <c r="P2246" s="11"/>
      <c r="S2246" t="s">
        <v>1017</v>
      </c>
      <c r="T2246" t="s">
        <v>4179</v>
      </c>
      <c r="U2246" s="42"/>
      <c r="W2246" s="50"/>
      <c r="X2246" s="50"/>
      <c r="Z2246" s="50"/>
      <c r="AC2246" s="50"/>
      <c r="AE2246" s="75" t="s">
        <v>1017</v>
      </c>
      <c r="AF2246" s="50"/>
      <c r="AG2246" s="50"/>
      <c r="AH2246" s="166" t="str">
        <f t="shared" si="993"/>
        <v>2011</v>
      </c>
      <c r="AI2246" s="168" t="str">
        <f t="shared" si="988"/>
        <v/>
      </c>
      <c r="AJ2246" s="168" t="str">
        <f t="shared" si="989"/>
        <v/>
      </c>
      <c r="AK2246" s="168" t="str">
        <f t="shared" si="990"/>
        <v/>
      </c>
      <c r="AL2246" s="168" t="str">
        <f t="shared" si="991"/>
        <v/>
      </c>
      <c r="AM2246" s="168" t="str">
        <f t="shared" si="992"/>
        <v/>
      </c>
      <c r="AN2246" s="167" t="str">
        <f t="shared" si="975"/>
        <v>2011</v>
      </c>
      <c r="AO2246" s="167" t="str">
        <f t="shared" si="976"/>
        <v>2011</v>
      </c>
      <c r="AP2246" s="167" t="str">
        <f t="shared" si="977"/>
        <v>2011</v>
      </c>
      <c r="AQ2246" s="169" t="str">
        <f t="shared" si="978"/>
        <v/>
      </c>
      <c r="AR2246" s="170" t="str">
        <f t="shared" si="979"/>
        <v>BiK82bK11---08</v>
      </c>
      <c r="AS2246" s="169" t="str">
        <f t="shared" si="980"/>
        <v/>
      </c>
      <c r="AT2246">
        <f t="shared" si="981"/>
        <v>14</v>
      </c>
      <c r="AU2246" s="170" t="str">
        <f t="shared" si="982"/>
        <v>0,15-0,5 MW, Bonusregeln b und K erstmals 2011</v>
      </c>
      <c r="AV2246" s="169" t="str">
        <f t="shared" si="983"/>
        <v/>
      </c>
      <c r="AW2246" s="170" t="str">
        <f t="shared" si="984"/>
        <v>Anteil KWK, erstmals 2011</v>
      </c>
      <c r="AX2246" s="169" t="str">
        <f t="shared" si="985"/>
        <v/>
      </c>
      <c r="AY2246" t="str">
        <f t="shared" si="986"/>
        <v>x</v>
      </c>
      <c r="AZ2246" t="str">
        <f t="shared" si="987"/>
        <v/>
      </c>
    </row>
    <row r="2247" spans="1:52" x14ac:dyDescent="0.35">
      <c r="A2247" s="511" t="s">
        <v>1902</v>
      </c>
      <c r="B2247" s="173" t="s">
        <v>5547</v>
      </c>
      <c r="C2247" s="173" t="s">
        <v>5539</v>
      </c>
      <c r="D2247" s="173" t="s">
        <v>7131</v>
      </c>
      <c r="E2247" s="173" t="s">
        <v>1980</v>
      </c>
      <c r="F2247" s="374">
        <f t="shared" si="994"/>
        <v>14.23</v>
      </c>
      <c r="G2247" s="431">
        <v>14.23</v>
      </c>
      <c r="H2247" s="400">
        <f t="shared" si="995"/>
        <v>11.38</v>
      </c>
      <c r="I2247" s="577"/>
      <c r="J2247" s="549" t="s">
        <v>5804</v>
      </c>
      <c r="K2247" s="11"/>
      <c r="M2247" s="37">
        <f t="shared" si="996"/>
        <v>14.23</v>
      </c>
      <c r="N2247" s="29">
        <v>9.32</v>
      </c>
      <c r="O2247" s="41"/>
      <c r="P2247" s="11"/>
      <c r="S2247" t="s">
        <v>4179</v>
      </c>
      <c r="T2247" t="s">
        <v>1017</v>
      </c>
      <c r="U2247" s="42"/>
      <c r="W2247" s="50"/>
      <c r="X2247" s="50"/>
      <c r="Z2247" s="50"/>
      <c r="AC2247" s="50"/>
      <c r="AE2247" s="75" t="s">
        <v>1017</v>
      </c>
      <c r="AF2247" s="50"/>
      <c r="AG2247" s="50"/>
      <c r="AH2247" s="171" t="s">
        <v>4178</v>
      </c>
      <c r="AI2247" s="168" t="str">
        <f t="shared" si="988"/>
        <v/>
      </c>
      <c r="AJ2247" s="168" t="str">
        <f t="shared" si="989"/>
        <v/>
      </c>
      <c r="AK2247" s="168" t="str">
        <f t="shared" si="990"/>
        <v/>
      </c>
      <c r="AL2247" s="168" t="str">
        <f t="shared" si="991"/>
        <v/>
      </c>
      <c r="AM2247" s="168" t="str">
        <f t="shared" si="992"/>
        <v/>
      </c>
      <c r="AN2247" s="167" t="str">
        <f t="shared" si="975"/>
        <v>2012</v>
      </c>
      <c r="AO2247" s="167" t="str">
        <f t="shared" si="976"/>
        <v>2012</v>
      </c>
      <c r="AP2247" s="167" t="str">
        <f t="shared" si="977"/>
        <v>2012</v>
      </c>
      <c r="AQ2247" s="169" t="str">
        <f t="shared" si="978"/>
        <v/>
      </c>
      <c r="AR2247" s="170" t="str">
        <f t="shared" si="979"/>
        <v>BiK82bK12---08</v>
      </c>
      <c r="AS2247" s="169" t="str">
        <f t="shared" si="980"/>
        <v/>
      </c>
      <c r="AT2247">
        <f t="shared" si="981"/>
        <v>14</v>
      </c>
      <c r="AU2247" s="170" t="str">
        <f t="shared" si="982"/>
        <v>0,15-0,5 MW, Bonusregeln b und K erstmals 2012</v>
      </c>
      <c r="AV2247" s="169" t="str">
        <f t="shared" si="983"/>
        <v/>
      </c>
      <c r="AW2247" s="170" t="str">
        <f t="shared" si="984"/>
        <v>Anteil KWK, erstmals 2012</v>
      </c>
      <c r="AX2247" s="169" t="str">
        <f t="shared" si="985"/>
        <v/>
      </c>
      <c r="AY2247" t="str">
        <f t="shared" si="986"/>
        <v/>
      </c>
      <c r="AZ2247" t="str">
        <f t="shared" si="987"/>
        <v>x</v>
      </c>
    </row>
    <row r="2248" spans="1:52" x14ac:dyDescent="0.35">
      <c r="A2248" s="497" t="s">
        <v>4086</v>
      </c>
      <c r="B2248" s="13" t="s">
        <v>5547</v>
      </c>
      <c r="C2248" s="13" t="s">
        <v>5539</v>
      </c>
      <c r="D2248" s="13" t="s">
        <v>7132</v>
      </c>
      <c r="E2248" s="13" t="s">
        <v>4809</v>
      </c>
      <c r="F2248" s="373">
        <f t="shared" si="994"/>
        <v>12.32</v>
      </c>
      <c r="G2248" s="430">
        <v>12.32</v>
      </c>
      <c r="H2248" s="399">
        <f t="shared" si="995"/>
        <v>9.86</v>
      </c>
      <c r="I2248" s="576"/>
      <c r="J2248" s="549" t="s">
        <v>5804</v>
      </c>
      <c r="K2248" s="11"/>
      <c r="M2248" s="37">
        <f t="shared" si="996"/>
        <v>12.32</v>
      </c>
      <c r="N2248" s="29">
        <v>9.32</v>
      </c>
      <c r="O2248" s="41"/>
      <c r="P2248" s="11"/>
      <c r="S2248" t="s">
        <v>4179</v>
      </c>
      <c r="T2248" t="s">
        <v>4179</v>
      </c>
      <c r="U2248" s="42" t="s">
        <v>1017</v>
      </c>
      <c r="W2248" s="50"/>
      <c r="X2248" s="50"/>
      <c r="Z2248" s="50"/>
      <c r="AC2248" s="50"/>
      <c r="AE2248" s="75" t="s">
        <v>1017</v>
      </c>
      <c r="AF2248" s="50"/>
      <c r="AG2248" s="50"/>
      <c r="AH2248" s="166" t="str">
        <f t="shared" ref="AH2248:AH2253" si="997">IF(ISERROR(SEARCH("K erstmals 201",D2248)),"",RIGHT(D2248,4))</f>
        <v/>
      </c>
      <c r="AI2248" s="168" t="str">
        <f t="shared" si="988"/>
        <v/>
      </c>
      <c r="AJ2248" s="168" t="str">
        <f t="shared" si="989"/>
        <v/>
      </c>
      <c r="AK2248" s="168" t="str">
        <f t="shared" si="990"/>
        <v/>
      </c>
      <c r="AL2248" s="168" t="str">
        <f t="shared" si="991"/>
        <v/>
      </c>
      <c r="AM2248" s="168" t="str">
        <f t="shared" si="992"/>
        <v/>
      </c>
      <c r="AN2248" s="167" t="str">
        <f t="shared" si="975"/>
        <v/>
      </c>
      <c r="AO2248" s="167" t="str">
        <f t="shared" si="976"/>
        <v/>
      </c>
      <c r="AP2248" s="167" t="str">
        <f t="shared" si="977"/>
        <v/>
      </c>
      <c r="AQ2248" s="169" t="str">
        <f t="shared" si="978"/>
        <v/>
      </c>
      <c r="AR2248" s="170" t="str">
        <f t="shared" si="979"/>
        <v>BiK82by-----08</v>
      </c>
      <c r="AS2248" s="169" t="str">
        <f t="shared" si="980"/>
        <v/>
      </c>
      <c r="AT2248">
        <f t="shared" si="981"/>
        <v>14</v>
      </c>
      <c r="AU2248" s="170" t="str">
        <f t="shared" si="982"/>
        <v>0,15-0,5 MW, Bonusregeln b, y</v>
      </c>
      <c r="AV2248" s="169" t="str">
        <f t="shared" si="983"/>
        <v/>
      </c>
      <c r="AW2248" s="170" t="str">
        <f t="shared" si="984"/>
        <v>Anteil Nicht-KWK</v>
      </c>
      <c r="AX2248" s="169" t="str">
        <f t="shared" si="985"/>
        <v/>
      </c>
      <c r="AY2248" t="str">
        <f t="shared" si="986"/>
        <v/>
      </c>
      <c r="AZ2248" t="str">
        <f t="shared" si="987"/>
        <v/>
      </c>
    </row>
    <row r="2249" spans="1:52" x14ac:dyDescent="0.35">
      <c r="A2249" s="497" t="s">
        <v>4087</v>
      </c>
      <c r="B2249" s="13" t="s">
        <v>5547</v>
      </c>
      <c r="C2249" s="13" t="s">
        <v>5539</v>
      </c>
      <c r="D2249" s="13" t="s">
        <v>7133</v>
      </c>
      <c r="E2249" s="13" t="s">
        <v>4811</v>
      </c>
      <c r="F2249" s="373">
        <f t="shared" si="994"/>
        <v>14.32</v>
      </c>
      <c r="G2249" s="430">
        <v>14.32</v>
      </c>
      <c r="H2249" s="399">
        <f t="shared" si="995"/>
        <v>11.46</v>
      </c>
      <c r="I2249" s="576"/>
      <c r="J2249" s="549" t="s">
        <v>5804</v>
      </c>
      <c r="K2249" s="11"/>
      <c r="M2249" s="37">
        <f t="shared" si="996"/>
        <v>14.32</v>
      </c>
      <c r="N2249" s="29">
        <v>9.32</v>
      </c>
      <c r="O2249" s="41" t="s">
        <v>1017</v>
      </c>
      <c r="P2249" s="11"/>
      <c r="S2249" t="s">
        <v>4179</v>
      </c>
      <c r="T2249" t="s">
        <v>4179</v>
      </c>
      <c r="U2249" s="42" t="s">
        <v>1017</v>
      </c>
      <c r="W2249" s="50"/>
      <c r="X2249" s="50"/>
      <c r="Z2249" s="50"/>
      <c r="AC2249" s="50"/>
      <c r="AE2249" s="75" t="s">
        <v>1017</v>
      </c>
      <c r="AF2249" s="50"/>
      <c r="AG2249" s="50"/>
      <c r="AH2249" s="166" t="str">
        <f t="shared" si="997"/>
        <v/>
      </c>
      <c r="AI2249" s="168" t="str">
        <f t="shared" si="988"/>
        <v/>
      </c>
      <c r="AJ2249" s="168" t="str">
        <f t="shared" si="989"/>
        <v/>
      </c>
      <c r="AK2249" s="168" t="str">
        <f t="shared" si="990"/>
        <v/>
      </c>
      <c r="AL2249" s="168" t="str">
        <f t="shared" si="991"/>
        <v/>
      </c>
      <c r="AM2249" s="168" t="str">
        <f t="shared" si="992"/>
        <v/>
      </c>
      <c r="AN2249" s="167" t="str">
        <f t="shared" si="975"/>
        <v/>
      </c>
      <c r="AO2249" s="167" t="str">
        <f t="shared" si="976"/>
        <v/>
      </c>
      <c r="AP2249" s="167" t="str">
        <f t="shared" si="977"/>
        <v/>
      </c>
      <c r="AQ2249" s="169" t="str">
        <f t="shared" si="978"/>
        <v/>
      </c>
      <c r="AR2249" s="170" t="str">
        <f t="shared" si="979"/>
        <v>BiK82bKWKy--08</v>
      </c>
      <c r="AS2249" s="169" t="str">
        <f t="shared" si="980"/>
        <v/>
      </c>
      <c r="AT2249">
        <f t="shared" si="981"/>
        <v>14</v>
      </c>
      <c r="AU2249" s="170" t="str">
        <f t="shared" si="982"/>
        <v>0,15-0,5 MW, Bonusregeln b, y und KWK</v>
      </c>
      <c r="AV2249" s="169" t="str">
        <f t="shared" si="983"/>
        <v/>
      </c>
      <c r="AW2249" s="170" t="str">
        <f t="shared" si="984"/>
        <v>Anteil KWK</v>
      </c>
      <c r="AX2249" s="169" t="str">
        <f t="shared" si="985"/>
        <v/>
      </c>
      <c r="AY2249" t="str">
        <f t="shared" si="986"/>
        <v/>
      </c>
      <c r="AZ2249" t="str">
        <f t="shared" si="987"/>
        <v/>
      </c>
    </row>
    <row r="2250" spans="1:52" x14ac:dyDescent="0.35">
      <c r="A2250" s="497" t="s">
        <v>4088</v>
      </c>
      <c r="B2250" s="13" t="s">
        <v>5547</v>
      </c>
      <c r="C2250" s="13" t="s">
        <v>5539</v>
      </c>
      <c r="D2250" s="13" t="s">
        <v>7134</v>
      </c>
      <c r="E2250" s="13" t="s">
        <v>4330</v>
      </c>
      <c r="F2250" s="373">
        <f t="shared" si="994"/>
        <v>15.32</v>
      </c>
      <c r="G2250" s="430">
        <v>15.32</v>
      </c>
      <c r="H2250" s="399">
        <f t="shared" si="995"/>
        <v>12.26</v>
      </c>
      <c r="I2250" s="576"/>
      <c r="J2250" s="549" t="s">
        <v>5804</v>
      </c>
      <c r="K2250" s="11"/>
      <c r="M2250" s="37">
        <f t="shared" si="996"/>
        <v>15.32</v>
      </c>
      <c r="N2250" s="29">
        <v>9.32</v>
      </c>
      <c r="O2250" s="41"/>
      <c r="P2250" t="s">
        <v>1017</v>
      </c>
      <c r="S2250" t="s">
        <v>4179</v>
      </c>
      <c r="T2250" t="s">
        <v>4179</v>
      </c>
      <c r="U2250" s="42" t="s">
        <v>1017</v>
      </c>
      <c r="W2250" s="50"/>
      <c r="X2250" s="50"/>
      <c r="Z2250" s="50"/>
      <c r="AC2250" s="50"/>
      <c r="AE2250" s="75" t="s">
        <v>1017</v>
      </c>
      <c r="AF2250" s="50"/>
      <c r="AG2250" s="50"/>
      <c r="AH2250" s="166" t="str">
        <f t="shared" si="997"/>
        <v/>
      </c>
      <c r="AI2250" s="168" t="str">
        <f t="shared" si="988"/>
        <v/>
      </c>
      <c r="AJ2250" s="168" t="str">
        <f t="shared" si="989"/>
        <v/>
      </c>
      <c r="AK2250" s="168" t="str">
        <f t="shared" si="990"/>
        <v/>
      </c>
      <c r="AL2250" s="168" t="str">
        <f t="shared" si="991"/>
        <v/>
      </c>
      <c r="AM2250" s="168" t="str">
        <f t="shared" si="992"/>
        <v/>
      </c>
      <c r="AN2250" s="167" t="str">
        <f t="shared" si="975"/>
        <v/>
      </c>
      <c r="AO2250" s="167" t="str">
        <f t="shared" si="976"/>
        <v/>
      </c>
      <c r="AP2250" s="167" t="str">
        <f t="shared" si="977"/>
        <v/>
      </c>
      <c r="AQ2250" s="169" t="str">
        <f t="shared" si="978"/>
        <v/>
      </c>
      <c r="AR2250" s="170" t="str">
        <f t="shared" si="979"/>
        <v>BiK82bKA3y--08</v>
      </c>
      <c r="AS2250" s="169" t="str">
        <f t="shared" si="980"/>
        <v/>
      </c>
      <c r="AT2250">
        <f t="shared" si="981"/>
        <v>14</v>
      </c>
      <c r="AU2250" s="170" t="str">
        <f t="shared" si="982"/>
        <v>0,15-0,5 MW, Bonusregeln b, y und K wenn Anlage 3 erfüllt</v>
      </c>
      <c r="AV2250" s="169" t="str">
        <f t="shared" si="983"/>
        <v/>
      </c>
      <c r="AW2250" s="170" t="str">
        <f t="shared" si="984"/>
        <v>Anteil KWK gemäß Anlage 3</v>
      </c>
      <c r="AX2250" s="169" t="str">
        <f t="shared" si="985"/>
        <v/>
      </c>
      <c r="AY2250" t="str">
        <f t="shared" si="986"/>
        <v/>
      </c>
      <c r="AZ2250" t="str">
        <f t="shared" si="987"/>
        <v/>
      </c>
    </row>
    <row r="2251" spans="1:52" x14ac:dyDescent="0.35">
      <c r="A2251" s="497" t="s">
        <v>4089</v>
      </c>
      <c r="B2251" s="13" t="s">
        <v>5547</v>
      </c>
      <c r="C2251" s="13" t="s">
        <v>5539</v>
      </c>
      <c r="D2251" s="13" t="s">
        <v>7135</v>
      </c>
      <c r="E2251" s="13" t="s">
        <v>674</v>
      </c>
      <c r="F2251" s="373">
        <f t="shared" si="994"/>
        <v>15.32</v>
      </c>
      <c r="G2251" s="430">
        <v>15.32</v>
      </c>
      <c r="H2251" s="399">
        <f t="shared" si="995"/>
        <v>12.26</v>
      </c>
      <c r="I2251" s="576"/>
      <c r="J2251" s="549" t="s">
        <v>5804</v>
      </c>
      <c r="K2251" s="11"/>
      <c r="M2251" s="37">
        <f t="shared" si="996"/>
        <v>15.32</v>
      </c>
      <c r="N2251" s="29">
        <v>9.32</v>
      </c>
      <c r="O2251" s="41"/>
      <c r="P2251" s="11"/>
      <c r="Q2251" t="s">
        <v>1017</v>
      </c>
      <c r="S2251" t="s">
        <v>4179</v>
      </c>
      <c r="T2251" t="s">
        <v>4179</v>
      </c>
      <c r="U2251" s="42" t="s">
        <v>1017</v>
      </c>
      <c r="W2251" s="50"/>
      <c r="X2251" s="50"/>
      <c r="Z2251" s="50"/>
      <c r="AC2251" s="50"/>
      <c r="AE2251" s="75" t="s">
        <v>1017</v>
      </c>
      <c r="AF2251" s="50"/>
      <c r="AG2251" s="50"/>
      <c r="AH2251" s="166" t="str">
        <f t="shared" si="997"/>
        <v/>
      </c>
      <c r="AI2251" s="168" t="str">
        <f t="shared" si="988"/>
        <v/>
      </c>
      <c r="AJ2251" s="168" t="str">
        <f t="shared" si="989"/>
        <v/>
      </c>
      <c r="AK2251" s="168" t="str">
        <f t="shared" si="990"/>
        <v/>
      </c>
      <c r="AL2251" s="168" t="str">
        <f t="shared" si="991"/>
        <v/>
      </c>
      <c r="AM2251" s="168" t="str">
        <f t="shared" si="992"/>
        <v/>
      </c>
      <c r="AN2251" s="167" t="str">
        <f t="shared" si="975"/>
        <v/>
      </c>
      <c r="AO2251" s="167" t="str">
        <f t="shared" si="976"/>
        <v/>
      </c>
      <c r="AP2251" s="167" t="str">
        <f t="shared" si="977"/>
        <v/>
      </c>
      <c r="AQ2251" s="169" t="str">
        <f t="shared" si="978"/>
        <v/>
      </c>
      <c r="AR2251" s="170" t="str">
        <f t="shared" si="979"/>
        <v>BiK82bK09y--08</v>
      </c>
      <c r="AS2251" s="169" t="str">
        <f t="shared" si="980"/>
        <v/>
      </c>
      <c r="AT2251">
        <f t="shared" si="981"/>
        <v>14</v>
      </c>
      <c r="AU2251" s="170" t="str">
        <f t="shared" si="982"/>
        <v>0,15-0,5 MW, Bonusregeln b, y und K erstmals 2009</v>
      </c>
      <c r="AV2251" s="169" t="str">
        <f t="shared" si="983"/>
        <v/>
      </c>
      <c r="AW2251" s="170" t="str">
        <f t="shared" si="984"/>
        <v>Anteil KWK, erstmals 2009</v>
      </c>
      <c r="AX2251" s="169" t="str">
        <f t="shared" si="985"/>
        <v/>
      </c>
      <c r="AY2251" t="str">
        <f t="shared" si="986"/>
        <v/>
      </c>
      <c r="AZ2251" t="str">
        <f t="shared" si="987"/>
        <v/>
      </c>
    </row>
    <row r="2252" spans="1:52" x14ac:dyDescent="0.35">
      <c r="A2252" s="497" t="s">
        <v>3265</v>
      </c>
      <c r="B2252" s="13" t="s">
        <v>5547</v>
      </c>
      <c r="C2252" s="13" t="s">
        <v>5539</v>
      </c>
      <c r="D2252" s="13" t="s">
        <v>7136</v>
      </c>
      <c r="E2252" s="13" t="s">
        <v>3566</v>
      </c>
      <c r="F2252" s="373">
        <f t="shared" si="994"/>
        <v>15.290000000000001</v>
      </c>
      <c r="G2252" s="430">
        <v>15.290000000000001</v>
      </c>
      <c r="H2252" s="399">
        <f t="shared" si="995"/>
        <v>12.23</v>
      </c>
      <c r="I2252" s="576"/>
      <c r="J2252" s="549" t="s">
        <v>5804</v>
      </c>
      <c r="K2252" s="11"/>
      <c r="M2252" s="37">
        <f t="shared" si="996"/>
        <v>15.290000000000001</v>
      </c>
      <c r="N2252" s="29">
        <v>9.32</v>
      </c>
      <c r="O2252" s="41"/>
      <c r="P2252" s="11"/>
      <c r="R2252" t="s">
        <v>1017</v>
      </c>
      <c r="S2252" t="s">
        <v>4179</v>
      </c>
      <c r="T2252" t="s">
        <v>4179</v>
      </c>
      <c r="U2252" s="42" t="s">
        <v>1017</v>
      </c>
      <c r="W2252" s="50"/>
      <c r="X2252" s="50"/>
      <c r="Z2252" s="50"/>
      <c r="AC2252" s="50"/>
      <c r="AE2252" s="75" t="s">
        <v>1017</v>
      </c>
      <c r="AF2252" s="50"/>
      <c r="AG2252" s="50"/>
      <c r="AH2252" s="166" t="str">
        <f t="shared" si="997"/>
        <v>2010</v>
      </c>
      <c r="AI2252" s="168" t="str">
        <f t="shared" si="988"/>
        <v/>
      </c>
      <c r="AJ2252" s="168" t="str">
        <f t="shared" si="989"/>
        <v/>
      </c>
      <c r="AK2252" s="168" t="str">
        <f t="shared" si="990"/>
        <v/>
      </c>
      <c r="AL2252" s="168" t="str">
        <f t="shared" si="991"/>
        <v/>
      </c>
      <c r="AM2252" s="168" t="str">
        <f t="shared" si="992"/>
        <v/>
      </c>
      <c r="AN2252" s="167" t="str">
        <f t="shared" si="975"/>
        <v>2010</v>
      </c>
      <c r="AO2252" s="167" t="str">
        <f t="shared" si="976"/>
        <v>2010</v>
      </c>
      <c r="AP2252" s="167" t="str">
        <f t="shared" si="977"/>
        <v>2010</v>
      </c>
      <c r="AQ2252" s="169" t="str">
        <f t="shared" si="978"/>
        <v/>
      </c>
      <c r="AR2252" s="170" t="str">
        <f t="shared" si="979"/>
        <v>BiK82bK10y--08</v>
      </c>
      <c r="AS2252" s="169" t="str">
        <f t="shared" si="980"/>
        <v/>
      </c>
      <c r="AT2252">
        <f t="shared" si="981"/>
        <v>14</v>
      </c>
      <c r="AU2252" s="170" t="str">
        <f t="shared" si="982"/>
        <v>0,15-0,5 MW, Bonusregeln b, y und K erstmals 2010</v>
      </c>
      <c r="AV2252" s="169" t="str">
        <f t="shared" si="983"/>
        <v/>
      </c>
      <c r="AW2252" s="170" t="str">
        <f t="shared" si="984"/>
        <v>Anteil KWK, erstmals 2010</v>
      </c>
      <c r="AX2252" s="169" t="str">
        <f t="shared" si="985"/>
        <v/>
      </c>
      <c r="AY2252" t="str">
        <f t="shared" si="986"/>
        <v/>
      </c>
      <c r="AZ2252" t="str">
        <f t="shared" si="987"/>
        <v/>
      </c>
    </row>
    <row r="2253" spans="1:52" x14ac:dyDescent="0.35">
      <c r="A2253" s="497" t="s">
        <v>3470</v>
      </c>
      <c r="B2253" s="13" t="s">
        <v>5547</v>
      </c>
      <c r="C2253" s="13" t="s">
        <v>5539</v>
      </c>
      <c r="D2253" s="13" t="s">
        <v>7137</v>
      </c>
      <c r="E2253" s="13" t="s">
        <v>3054</v>
      </c>
      <c r="F2253" s="373">
        <f t="shared" si="994"/>
        <v>15.26</v>
      </c>
      <c r="G2253" s="430">
        <v>15.26</v>
      </c>
      <c r="H2253" s="399">
        <f t="shared" si="995"/>
        <v>12.21</v>
      </c>
      <c r="I2253" s="576"/>
      <c r="J2253" s="549" t="s">
        <v>5804</v>
      </c>
      <c r="K2253" s="11"/>
      <c r="M2253" s="37">
        <f t="shared" si="996"/>
        <v>15.26</v>
      </c>
      <c r="N2253" s="29">
        <v>9.32</v>
      </c>
      <c r="O2253" s="41"/>
      <c r="P2253" s="11"/>
      <c r="S2253" t="s">
        <v>1017</v>
      </c>
      <c r="T2253" t="s">
        <v>4179</v>
      </c>
      <c r="U2253" s="42" t="s">
        <v>1017</v>
      </c>
      <c r="W2253" s="50"/>
      <c r="X2253" s="50"/>
      <c r="Z2253" s="50"/>
      <c r="AC2253" s="50"/>
      <c r="AE2253" s="75" t="s">
        <v>1017</v>
      </c>
      <c r="AF2253" s="50"/>
      <c r="AG2253" s="50"/>
      <c r="AH2253" s="166" t="str">
        <f t="shared" si="997"/>
        <v>2011</v>
      </c>
      <c r="AI2253" s="168" t="str">
        <f t="shared" si="988"/>
        <v/>
      </c>
      <c r="AJ2253" s="168" t="str">
        <f t="shared" si="989"/>
        <v/>
      </c>
      <c r="AK2253" s="168" t="str">
        <f t="shared" si="990"/>
        <v/>
      </c>
      <c r="AL2253" s="168" t="str">
        <f t="shared" si="991"/>
        <v/>
      </c>
      <c r="AM2253" s="168" t="str">
        <f t="shared" si="992"/>
        <v/>
      </c>
      <c r="AN2253" s="167" t="str">
        <f t="shared" si="975"/>
        <v>2011</v>
      </c>
      <c r="AO2253" s="167" t="str">
        <f t="shared" si="976"/>
        <v>2011</v>
      </c>
      <c r="AP2253" s="167" t="str">
        <f t="shared" si="977"/>
        <v>2011</v>
      </c>
      <c r="AQ2253" s="169" t="str">
        <f t="shared" si="978"/>
        <v/>
      </c>
      <c r="AR2253" s="170" t="str">
        <f t="shared" si="979"/>
        <v>BiK82bK11y--08</v>
      </c>
      <c r="AS2253" s="169" t="str">
        <f t="shared" si="980"/>
        <v/>
      </c>
      <c r="AT2253">
        <f t="shared" si="981"/>
        <v>14</v>
      </c>
      <c r="AU2253" s="170" t="str">
        <f t="shared" si="982"/>
        <v>0,15-0,5 MW, Bonusregeln b, y und K erstmals 2011</v>
      </c>
      <c r="AV2253" s="169" t="str">
        <f t="shared" si="983"/>
        <v/>
      </c>
      <c r="AW2253" s="170" t="str">
        <f t="shared" si="984"/>
        <v>Anteil KWK, erstmals 2011</v>
      </c>
      <c r="AX2253" s="169" t="str">
        <f t="shared" si="985"/>
        <v/>
      </c>
      <c r="AY2253" t="str">
        <f t="shared" si="986"/>
        <v>x</v>
      </c>
      <c r="AZ2253" t="str">
        <f t="shared" si="987"/>
        <v/>
      </c>
    </row>
    <row r="2254" spans="1:52" x14ac:dyDescent="0.35">
      <c r="A2254" s="511" t="s">
        <v>1903</v>
      </c>
      <c r="B2254" s="173" t="s">
        <v>5547</v>
      </c>
      <c r="C2254" s="173" t="s">
        <v>5539</v>
      </c>
      <c r="D2254" s="173" t="s">
        <v>7138</v>
      </c>
      <c r="E2254" s="173" t="s">
        <v>1980</v>
      </c>
      <c r="F2254" s="374">
        <f t="shared" si="994"/>
        <v>15.23</v>
      </c>
      <c r="G2254" s="431">
        <v>15.23</v>
      </c>
      <c r="H2254" s="400">
        <f t="shared" si="995"/>
        <v>12.18</v>
      </c>
      <c r="I2254" s="577"/>
      <c r="J2254" s="549" t="s">
        <v>5804</v>
      </c>
      <c r="K2254" s="11"/>
      <c r="M2254" s="37">
        <f t="shared" si="996"/>
        <v>15.23</v>
      </c>
      <c r="N2254" s="29">
        <v>9.32</v>
      </c>
      <c r="O2254" s="41"/>
      <c r="P2254" s="11"/>
      <c r="S2254" t="s">
        <v>4179</v>
      </c>
      <c r="T2254" t="s">
        <v>1017</v>
      </c>
      <c r="U2254" s="42" t="s">
        <v>1017</v>
      </c>
      <c r="W2254" s="50"/>
      <c r="X2254" s="50"/>
      <c r="Z2254" s="50"/>
      <c r="AC2254" s="50"/>
      <c r="AE2254" s="75" t="s">
        <v>1017</v>
      </c>
      <c r="AF2254" s="50"/>
      <c r="AG2254" s="50"/>
      <c r="AH2254" s="171" t="s">
        <v>4178</v>
      </c>
      <c r="AI2254" s="168" t="str">
        <f t="shared" si="988"/>
        <v/>
      </c>
      <c r="AJ2254" s="168" t="str">
        <f t="shared" si="989"/>
        <v/>
      </c>
      <c r="AK2254" s="168" t="str">
        <f t="shared" si="990"/>
        <v/>
      </c>
      <c r="AL2254" s="168" t="str">
        <f t="shared" si="991"/>
        <v/>
      </c>
      <c r="AM2254" s="168" t="str">
        <f t="shared" si="992"/>
        <v/>
      </c>
      <c r="AN2254" s="167" t="str">
        <f t="shared" si="975"/>
        <v>2012</v>
      </c>
      <c r="AO2254" s="167" t="str">
        <f t="shared" si="976"/>
        <v>2012</v>
      </c>
      <c r="AP2254" s="167" t="str">
        <f t="shared" si="977"/>
        <v>2012</v>
      </c>
      <c r="AQ2254" s="169" t="str">
        <f t="shared" si="978"/>
        <v/>
      </c>
      <c r="AR2254" s="170" t="str">
        <f t="shared" si="979"/>
        <v>BiK82bK12y--08</v>
      </c>
      <c r="AS2254" s="169" t="str">
        <f t="shared" si="980"/>
        <v/>
      </c>
      <c r="AT2254">
        <f t="shared" si="981"/>
        <v>14</v>
      </c>
      <c r="AU2254" s="170" t="str">
        <f t="shared" si="982"/>
        <v>0,15-0,5 MW, Bonusregeln b, y und K erstmals 2012</v>
      </c>
      <c r="AV2254" s="169" t="str">
        <f t="shared" si="983"/>
        <v/>
      </c>
      <c r="AW2254" s="170" t="str">
        <f t="shared" si="984"/>
        <v>Anteil KWK, erstmals 2012</v>
      </c>
      <c r="AX2254" s="169" t="str">
        <f t="shared" si="985"/>
        <v/>
      </c>
      <c r="AY2254" t="str">
        <f t="shared" si="986"/>
        <v/>
      </c>
      <c r="AZ2254" t="str">
        <f t="shared" si="987"/>
        <v>x</v>
      </c>
    </row>
    <row r="2255" spans="1:52" x14ac:dyDescent="0.35">
      <c r="A2255" s="496" t="s">
        <v>3684</v>
      </c>
      <c r="B2255" s="1" t="s">
        <v>5547</v>
      </c>
      <c r="C2255" s="1" t="s">
        <v>5539</v>
      </c>
      <c r="D2255" s="1" t="s">
        <v>7139</v>
      </c>
      <c r="E2255" s="1" t="s">
        <v>4809</v>
      </c>
      <c r="F2255" s="375">
        <f t="shared" si="994"/>
        <v>17.32</v>
      </c>
      <c r="G2255" s="432">
        <v>17.32</v>
      </c>
      <c r="H2255" s="401">
        <f t="shared" si="995"/>
        <v>13.86</v>
      </c>
      <c r="I2255" s="578"/>
      <c r="J2255" s="549" t="s">
        <v>5804</v>
      </c>
      <c r="K2255" s="11"/>
      <c r="M2255" s="37">
        <f t="shared" si="996"/>
        <v>17.32</v>
      </c>
      <c r="N2255" s="29">
        <v>9.32</v>
      </c>
      <c r="O2255" s="41"/>
      <c r="P2255" s="11"/>
      <c r="S2255" t="s">
        <v>4179</v>
      </c>
      <c r="T2255" t="s">
        <v>4179</v>
      </c>
      <c r="U2255" s="42"/>
      <c r="V2255" t="s">
        <v>1017</v>
      </c>
      <c r="W2255" s="50"/>
      <c r="X2255" s="50"/>
      <c r="Z2255" s="50"/>
      <c r="AC2255" s="50"/>
      <c r="AE2255" s="75" t="s">
        <v>1017</v>
      </c>
      <c r="AF2255" s="50"/>
      <c r="AG2255" s="50"/>
      <c r="AH2255" s="166" t="str">
        <f t="shared" ref="AH2255:AH2260" si="998">IF(ISERROR(SEARCH("K erstmals 201",D2255)),"",RIGHT(D2255,4))</f>
        <v/>
      </c>
      <c r="AI2255" s="168" t="str">
        <f t="shared" si="988"/>
        <v/>
      </c>
      <c r="AJ2255" s="168" t="str">
        <f t="shared" si="989"/>
        <v/>
      </c>
      <c r="AK2255" s="168" t="str">
        <f t="shared" si="990"/>
        <v/>
      </c>
      <c r="AL2255" s="168" t="str">
        <f t="shared" si="991"/>
        <v/>
      </c>
      <c r="AM2255" s="168" t="str">
        <f t="shared" si="992"/>
        <v/>
      </c>
      <c r="AN2255" s="167" t="str">
        <f t="shared" si="975"/>
        <v/>
      </c>
      <c r="AO2255" s="167" t="str">
        <f t="shared" si="976"/>
        <v/>
      </c>
      <c r="AP2255" s="167" t="str">
        <f t="shared" si="977"/>
        <v/>
      </c>
      <c r="AQ2255" s="169" t="str">
        <f t="shared" si="978"/>
        <v/>
      </c>
      <c r="AR2255" s="170" t="str">
        <f t="shared" si="979"/>
        <v>BiK82a1b----08</v>
      </c>
      <c r="AS2255" s="169" t="str">
        <f t="shared" si="980"/>
        <v/>
      </c>
      <c r="AT2255">
        <f t="shared" si="981"/>
        <v>14</v>
      </c>
      <c r="AU2255" s="170" t="str">
        <f t="shared" si="982"/>
        <v>0,15-0,5 MW, Bonusregeln a1 und b</v>
      </c>
      <c r="AV2255" s="169" t="str">
        <f t="shared" si="983"/>
        <v/>
      </c>
      <c r="AW2255" s="170" t="str">
        <f t="shared" si="984"/>
        <v>Anteil Nicht-KWK</v>
      </c>
      <c r="AX2255" s="169" t="str">
        <f t="shared" si="985"/>
        <v/>
      </c>
      <c r="AY2255" t="str">
        <f t="shared" si="986"/>
        <v/>
      </c>
      <c r="AZ2255" t="str">
        <f t="shared" si="987"/>
        <v/>
      </c>
    </row>
    <row r="2256" spans="1:52" s="145" customFormat="1" x14ac:dyDescent="0.35">
      <c r="A2256" s="496" t="s">
        <v>3685</v>
      </c>
      <c r="B2256" s="1" t="s">
        <v>5547</v>
      </c>
      <c r="C2256" s="1" t="s">
        <v>5539</v>
      </c>
      <c r="D2256" s="1" t="s">
        <v>7140</v>
      </c>
      <c r="E2256" s="1" t="s">
        <v>4811</v>
      </c>
      <c r="F2256" s="375">
        <f t="shared" si="994"/>
        <v>19.32</v>
      </c>
      <c r="G2256" s="432">
        <v>19.32</v>
      </c>
      <c r="H2256" s="401">
        <f t="shared" si="995"/>
        <v>15.46</v>
      </c>
      <c r="I2256" s="578"/>
      <c r="J2256" s="549" t="s">
        <v>5804</v>
      </c>
      <c r="K2256" s="11"/>
      <c r="L2256"/>
      <c r="M2256" s="37">
        <f t="shared" si="996"/>
        <v>19.32</v>
      </c>
      <c r="N2256" s="29">
        <v>9.32</v>
      </c>
      <c r="O2256" s="41" t="s">
        <v>1017</v>
      </c>
      <c r="P2256" s="11"/>
      <c r="Q2256"/>
      <c r="R2256"/>
      <c r="S2256" t="s">
        <v>4179</v>
      </c>
      <c r="T2256" s="145" t="s">
        <v>4179</v>
      </c>
      <c r="U2256" s="42"/>
      <c r="V2256" t="s">
        <v>1017</v>
      </c>
      <c r="W2256" s="50"/>
      <c r="X2256" s="50"/>
      <c r="Y2256"/>
      <c r="Z2256" s="50"/>
      <c r="AA2256"/>
      <c r="AB2256"/>
      <c r="AC2256" s="50"/>
      <c r="AD2256"/>
      <c r="AE2256" s="75" t="s">
        <v>1017</v>
      </c>
      <c r="AF2256" s="50"/>
      <c r="AG2256" s="50"/>
      <c r="AH2256" s="166" t="str">
        <f t="shared" si="998"/>
        <v/>
      </c>
      <c r="AI2256" s="168" t="str">
        <f t="shared" si="988"/>
        <v/>
      </c>
      <c r="AJ2256" s="168" t="str">
        <f t="shared" si="989"/>
        <v/>
      </c>
      <c r="AK2256" s="168" t="str">
        <f t="shared" si="990"/>
        <v/>
      </c>
      <c r="AL2256" s="168" t="str">
        <f t="shared" si="991"/>
        <v/>
      </c>
      <c r="AM2256" s="168" t="str">
        <f t="shared" si="992"/>
        <v/>
      </c>
      <c r="AN2256" s="167" t="str">
        <f t="shared" si="975"/>
        <v/>
      </c>
      <c r="AO2256" s="167" t="str">
        <f t="shared" si="976"/>
        <v/>
      </c>
      <c r="AP2256" s="167" t="str">
        <f t="shared" si="977"/>
        <v/>
      </c>
      <c r="AQ2256" s="169" t="str">
        <f t="shared" si="978"/>
        <v/>
      </c>
      <c r="AR2256" s="170" t="str">
        <f t="shared" si="979"/>
        <v>BiK82a1bKWK-08</v>
      </c>
      <c r="AS2256" s="169" t="str">
        <f t="shared" si="980"/>
        <v/>
      </c>
      <c r="AT2256">
        <f t="shared" si="981"/>
        <v>14</v>
      </c>
      <c r="AU2256" s="170" t="str">
        <f t="shared" si="982"/>
        <v>0,15-0,5 MW, Bonusregeln a1, b und KWK</v>
      </c>
      <c r="AV2256" s="169" t="str">
        <f t="shared" si="983"/>
        <v/>
      </c>
      <c r="AW2256" s="170" t="str">
        <f t="shared" si="984"/>
        <v>Anteil KWK</v>
      </c>
      <c r="AX2256" s="169" t="str">
        <f t="shared" si="985"/>
        <v/>
      </c>
      <c r="AY2256" t="str">
        <f t="shared" si="986"/>
        <v/>
      </c>
      <c r="AZ2256" t="str">
        <f t="shared" si="987"/>
        <v/>
      </c>
    </row>
    <row r="2257" spans="1:52" s="145" customFormat="1" x14ac:dyDescent="0.35">
      <c r="A2257" s="497" t="s">
        <v>2342</v>
      </c>
      <c r="B2257" s="13" t="s">
        <v>5547</v>
      </c>
      <c r="C2257" s="13" t="s">
        <v>5539</v>
      </c>
      <c r="D2257" s="13" t="s">
        <v>7141</v>
      </c>
      <c r="E2257" s="13" t="s">
        <v>4330</v>
      </c>
      <c r="F2257" s="373">
        <f t="shared" si="994"/>
        <v>20.32</v>
      </c>
      <c r="G2257" s="430">
        <v>20.32</v>
      </c>
      <c r="H2257" s="399">
        <f t="shared" si="995"/>
        <v>16.260000000000002</v>
      </c>
      <c r="I2257" s="576"/>
      <c r="J2257" s="549" t="s">
        <v>5804</v>
      </c>
      <c r="K2257" s="11"/>
      <c r="L2257"/>
      <c r="M2257" s="37">
        <f t="shared" si="996"/>
        <v>20.32</v>
      </c>
      <c r="N2257" s="29">
        <v>9.32</v>
      </c>
      <c r="O2257" s="41"/>
      <c r="P2257" t="s">
        <v>1017</v>
      </c>
      <c r="Q2257"/>
      <c r="R2257"/>
      <c r="S2257" t="s">
        <v>4179</v>
      </c>
      <c r="T2257" s="145" t="s">
        <v>4179</v>
      </c>
      <c r="U2257" s="42"/>
      <c r="V2257" t="s">
        <v>1017</v>
      </c>
      <c r="W2257" s="50"/>
      <c r="X2257" s="50"/>
      <c r="Y2257"/>
      <c r="Z2257" s="50"/>
      <c r="AA2257"/>
      <c r="AB2257"/>
      <c r="AC2257" s="50"/>
      <c r="AD2257"/>
      <c r="AE2257" s="75" t="s">
        <v>1017</v>
      </c>
      <c r="AF2257" s="50"/>
      <c r="AG2257" s="50"/>
      <c r="AH2257" s="166" t="str">
        <f t="shared" si="998"/>
        <v/>
      </c>
      <c r="AI2257" s="168" t="str">
        <f t="shared" si="988"/>
        <v/>
      </c>
      <c r="AJ2257" s="168" t="str">
        <f t="shared" si="989"/>
        <v/>
      </c>
      <c r="AK2257" s="168" t="str">
        <f t="shared" si="990"/>
        <v/>
      </c>
      <c r="AL2257" s="168" t="str">
        <f t="shared" si="991"/>
        <v/>
      </c>
      <c r="AM2257" s="168" t="str">
        <f t="shared" si="992"/>
        <v/>
      </c>
      <c r="AN2257" s="167" t="str">
        <f t="shared" si="975"/>
        <v/>
      </c>
      <c r="AO2257" s="167" t="str">
        <f t="shared" si="976"/>
        <v/>
      </c>
      <c r="AP2257" s="167" t="str">
        <f t="shared" si="977"/>
        <v/>
      </c>
      <c r="AQ2257" s="169" t="str">
        <f t="shared" si="978"/>
        <v/>
      </c>
      <c r="AR2257" s="170" t="str">
        <f t="shared" si="979"/>
        <v>BiK82a1bKA3-08</v>
      </c>
      <c r="AS2257" s="169" t="str">
        <f t="shared" si="980"/>
        <v/>
      </c>
      <c r="AT2257">
        <f t="shared" si="981"/>
        <v>14</v>
      </c>
      <c r="AU2257" s="170" t="str">
        <f t="shared" si="982"/>
        <v>0,15-0,5 MW, Bonusregeln a1, b und K wenn Anlage 3 erfüllt</v>
      </c>
      <c r="AV2257" s="169" t="str">
        <f t="shared" si="983"/>
        <v/>
      </c>
      <c r="AW2257" s="170" t="str">
        <f t="shared" si="984"/>
        <v>Anteil KWK gemäß Anlage 3</v>
      </c>
      <c r="AX2257" s="169" t="str">
        <f t="shared" si="985"/>
        <v/>
      </c>
      <c r="AY2257" t="str">
        <f t="shared" si="986"/>
        <v/>
      </c>
      <c r="AZ2257" t="str">
        <f t="shared" si="987"/>
        <v/>
      </c>
    </row>
    <row r="2258" spans="1:52" s="145" customFormat="1" x14ac:dyDescent="0.35">
      <c r="A2258" s="497" t="s">
        <v>2870</v>
      </c>
      <c r="B2258" s="13" t="s">
        <v>5547</v>
      </c>
      <c r="C2258" s="13" t="s">
        <v>5539</v>
      </c>
      <c r="D2258" s="13" t="s">
        <v>7142</v>
      </c>
      <c r="E2258" s="13" t="s">
        <v>674</v>
      </c>
      <c r="F2258" s="373">
        <f t="shared" si="994"/>
        <v>20.32</v>
      </c>
      <c r="G2258" s="430">
        <v>20.32</v>
      </c>
      <c r="H2258" s="399">
        <f t="shared" si="995"/>
        <v>16.260000000000002</v>
      </c>
      <c r="I2258" s="576"/>
      <c r="J2258" s="549" t="s">
        <v>5804</v>
      </c>
      <c r="K2258" s="11"/>
      <c r="L2258"/>
      <c r="M2258" s="37">
        <f t="shared" si="996"/>
        <v>20.32</v>
      </c>
      <c r="N2258" s="29">
        <v>9.32</v>
      </c>
      <c r="O2258" s="41"/>
      <c r="P2258" s="11"/>
      <c r="Q2258" t="s">
        <v>1017</v>
      </c>
      <c r="R2258"/>
      <c r="S2258" t="s">
        <v>4179</v>
      </c>
      <c r="T2258" s="145" t="s">
        <v>4179</v>
      </c>
      <c r="U2258" s="42"/>
      <c r="V2258" t="s">
        <v>1017</v>
      </c>
      <c r="W2258" s="50"/>
      <c r="X2258" s="50"/>
      <c r="Y2258"/>
      <c r="Z2258" s="50"/>
      <c r="AA2258"/>
      <c r="AB2258"/>
      <c r="AC2258" s="50"/>
      <c r="AD2258"/>
      <c r="AE2258" s="75" t="s">
        <v>1017</v>
      </c>
      <c r="AF2258" s="50"/>
      <c r="AG2258" s="50"/>
      <c r="AH2258" s="166" t="str">
        <f t="shared" si="998"/>
        <v/>
      </c>
      <c r="AI2258" s="168" t="str">
        <f t="shared" si="988"/>
        <v/>
      </c>
      <c r="AJ2258" s="168" t="str">
        <f t="shared" si="989"/>
        <v/>
      </c>
      <c r="AK2258" s="168" t="str">
        <f t="shared" si="990"/>
        <v/>
      </c>
      <c r="AL2258" s="168" t="str">
        <f t="shared" si="991"/>
        <v/>
      </c>
      <c r="AM2258" s="168" t="str">
        <f t="shared" si="992"/>
        <v/>
      </c>
      <c r="AN2258" s="167" t="str">
        <f t="shared" si="975"/>
        <v/>
      </c>
      <c r="AO2258" s="167" t="str">
        <f t="shared" si="976"/>
        <v/>
      </c>
      <c r="AP2258" s="167" t="str">
        <f t="shared" si="977"/>
        <v/>
      </c>
      <c r="AQ2258" s="169" t="str">
        <f t="shared" si="978"/>
        <v/>
      </c>
      <c r="AR2258" s="170" t="str">
        <f t="shared" si="979"/>
        <v>BiK82a1bK09-08</v>
      </c>
      <c r="AS2258" s="169" t="str">
        <f t="shared" si="980"/>
        <v/>
      </c>
      <c r="AT2258">
        <f t="shared" si="981"/>
        <v>14</v>
      </c>
      <c r="AU2258" s="170" t="str">
        <f t="shared" si="982"/>
        <v>0,15-0,5 MW, Bonusregeln a1, b und K erstmals 2009</v>
      </c>
      <c r="AV2258" s="169" t="str">
        <f t="shared" si="983"/>
        <v/>
      </c>
      <c r="AW2258" s="170" t="str">
        <f t="shared" si="984"/>
        <v>Anteil KWK, erstmals 2009</v>
      </c>
      <c r="AX2258" s="169" t="str">
        <f t="shared" si="985"/>
        <v/>
      </c>
      <c r="AY2258" t="str">
        <f t="shared" si="986"/>
        <v/>
      </c>
      <c r="AZ2258" t="str">
        <f t="shared" si="987"/>
        <v/>
      </c>
    </row>
    <row r="2259" spans="1:52" s="145" customFormat="1" x14ac:dyDescent="0.35">
      <c r="A2259" s="497" t="s">
        <v>3266</v>
      </c>
      <c r="B2259" s="13" t="s">
        <v>5547</v>
      </c>
      <c r="C2259" s="13" t="s">
        <v>5539</v>
      </c>
      <c r="D2259" s="13" t="s">
        <v>7143</v>
      </c>
      <c r="E2259" s="13" t="s">
        <v>3566</v>
      </c>
      <c r="F2259" s="373">
        <f t="shared" si="994"/>
        <v>20.29</v>
      </c>
      <c r="G2259" s="430">
        <v>20.29</v>
      </c>
      <c r="H2259" s="399">
        <f t="shared" si="995"/>
        <v>16.23</v>
      </c>
      <c r="I2259" s="576"/>
      <c r="J2259" s="549" t="s">
        <v>5804</v>
      </c>
      <c r="K2259" s="11"/>
      <c r="L2259"/>
      <c r="M2259" s="37">
        <f t="shared" si="996"/>
        <v>20.29</v>
      </c>
      <c r="N2259" s="29">
        <v>9.32</v>
      </c>
      <c r="O2259" s="41"/>
      <c r="P2259" s="11"/>
      <c r="Q2259"/>
      <c r="R2259" t="s">
        <v>1017</v>
      </c>
      <c r="S2259" t="s">
        <v>4179</v>
      </c>
      <c r="T2259" s="145" t="s">
        <v>4179</v>
      </c>
      <c r="U2259" s="42"/>
      <c r="V2259" t="s">
        <v>1017</v>
      </c>
      <c r="W2259" s="50"/>
      <c r="X2259" s="50"/>
      <c r="Y2259"/>
      <c r="Z2259" s="50"/>
      <c r="AA2259"/>
      <c r="AB2259"/>
      <c r="AC2259" s="50"/>
      <c r="AD2259"/>
      <c r="AE2259" s="75" t="s">
        <v>1017</v>
      </c>
      <c r="AF2259" s="50"/>
      <c r="AG2259" s="50"/>
      <c r="AH2259" s="166" t="str">
        <f t="shared" si="998"/>
        <v>2010</v>
      </c>
      <c r="AI2259" s="168" t="str">
        <f t="shared" si="988"/>
        <v/>
      </c>
      <c r="AJ2259" s="168" t="str">
        <f t="shared" si="989"/>
        <v/>
      </c>
      <c r="AK2259" s="168" t="str">
        <f t="shared" si="990"/>
        <v/>
      </c>
      <c r="AL2259" s="168" t="str">
        <f t="shared" si="991"/>
        <v/>
      </c>
      <c r="AM2259" s="168" t="str">
        <f t="shared" si="992"/>
        <v/>
      </c>
      <c r="AN2259" s="167" t="str">
        <f t="shared" si="975"/>
        <v>2010</v>
      </c>
      <c r="AO2259" s="167" t="str">
        <f t="shared" si="976"/>
        <v>2010</v>
      </c>
      <c r="AP2259" s="167" t="str">
        <f t="shared" si="977"/>
        <v>2010</v>
      </c>
      <c r="AQ2259" s="169" t="str">
        <f t="shared" si="978"/>
        <v/>
      </c>
      <c r="AR2259" s="170" t="str">
        <f t="shared" si="979"/>
        <v>BiK82a1bK10-08</v>
      </c>
      <c r="AS2259" s="169" t="str">
        <f t="shared" si="980"/>
        <v/>
      </c>
      <c r="AT2259">
        <f t="shared" si="981"/>
        <v>14</v>
      </c>
      <c r="AU2259" s="170" t="str">
        <f t="shared" si="982"/>
        <v>0,15-0,5 MW, Bonusregeln a1, b und K erstmals 2010</v>
      </c>
      <c r="AV2259" s="169" t="str">
        <f t="shared" si="983"/>
        <v/>
      </c>
      <c r="AW2259" s="170" t="str">
        <f t="shared" si="984"/>
        <v>Anteil KWK, erstmals 2010</v>
      </c>
      <c r="AX2259" s="169" t="str">
        <f t="shared" si="985"/>
        <v/>
      </c>
      <c r="AY2259" t="str">
        <f t="shared" si="986"/>
        <v/>
      </c>
      <c r="AZ2259" t="str">
        <f t="shared" si="987"/>
        <v/>
      </c>
    </row>
    <row r="2260" spans="1:52" s="145" customFormat="1" x14ac:dyDescent="0.35">
      <c r="A2260" s="497" t="s">
        <v>3471</v>
      </c>
      <c r="B2260" s="13" t="s">
        <v>5547</v>
      </c>
      <c r="C2260" s="13" t="s">
        <v>5539</v>
      </c>
      <c r="D2260" s="13" t="s">
        <v>7144</v>
      </c>
      <c r="E2260" s="13" t="s">
        <v>3054</v>
      </c>
      <c r="F2260" s="373">
        <f t="shared" si="994"/>
        <v>20.259999999999998</v>
      </c>
      <c r="G2260" s="430">
        <v>20.259999999999998</v>
      </c>
      <c r="H2260" s="399">
        <f t="shared" si="995"/>
        <v>16.21</v>
      </c>
      <c r="I2260" s="576"/>
      <c r="J2260" s="549" t="s">
        <v>5804</v>
      </c>
      <c r="K2260" s="11"/>
      <c r="L2260"/>
      <c r="M2260" s="37">
        <f t="shared" si="996"/>
        <v>20.259999999999998</v>
      </c>
      <c r="N2260" s="29">
        <v>9.32</v>
      </c>
      <c r="O2260" s="41"/>
      <c r="P2260" s="11"/>
      <c r="Q2260"/>
      <c r="R2260"/>
      <c r="S2260" t="s">
        <v>1017</v>
      </c>
      <c r="T2260" s="145" t="s">
        <v>4179</v>
      </c>
      <c r="U2260" s="42"/>
      <c r="V2260" t="s">
        <v>1017</v>
      </c>
      <c r="W2260" s="50"/>
      <c r="X2260" s="50"/>
      <c r="Y2260"/>
      <c r="Z2260" s="50"/>
      <c r="AA2260"/>
      <c r="AB2260"/>
      <c r="AC2260" s="50"/>
      <c r="AD2260"/>
      <c r="AE2260" s="75" t="s">
        <v>1017</v>
      </c>
      <c r="AF2260" s="50"/>
      <c r="AG2260" s="50"/>
      <c r="AH2260" s="166" t="str">
        <f t="shared" si="998"/>
        <v>2011</v>
      </c>
      <c r="AI2260" s="168" t="str">
        <f t="shared" si="988"/>
        <v/>
      </c>
      <c r="AJ2260" s="168" t="str">
        <f t="shared" si="989"/>
        <v/>
      </c>
      <c r="AK2260" s="168" t="str">
        <f t="shared" si="990"/>
        <v/>
      </c>
      <c r="AL2260" s="168" t="str">
        <f t="shared" si="991"/>
        <v/>
      </c>
      <c r="AM2260" s="168" t="str">
        <f t="shared" si="992"/>
        <v/>
      </c>
      <c r="AN2260" s="167" t="str">
        <f t="shared" si="975"/>
        <v>2011</v>
      </c>
      <c r="AO2260" s="167" t="str">
        <f t="shared" si="976"/>
        <v>2011</v>
      </c>
      <c r="AP2260" s="167" t="str">
        <f t="shared" si="977"/>
        <v>2011</v>
      </c>
      <c r="AQ2260" s="169" t="str">
        <f t="shared" si="978"/>
        <v/>
      </c>
      <c r="AR2260" s="170" t="str">
        <f t="shared" si="979"/>
        <v>BiK82a1bK11-08</v>
      </c>
      <c r="AS2260" s="169" t="str">
        <f t="shared" si="980"/>
        <v/>
      </c>
      <c r="AT2260">
        <f t="shared" si="981"/>
        <v>14</v>
      </c>
      <c r="AU2260" s="170" t="str">
        <f t="shared" si="982"/>
        <v>0,15-0,5 MW, Bonusregeln a1, b und K erstmals 2011</v>
      </c>
      <c r="AV2260" s="169" t="str">
        <f t="shared" si="983"/>
        <v/>
      </c>
      <c r="AW2260" s="170" t="str">
        <f t="shared" si="984"/>
        <v>Anteil KWK, erstmals 2011</v>
      </c>
      <c r="AX2260" s="169" t="str">
        <f t="shared" si="985"/>
        <v/>
      </c>
      <c r="AY2260" t="str">
        <f t="shared" si="986"/>
        <v>x</v>
      </c>
      <c r="AZ2260" t="str">
        <f t="shared" si="987"/>
        <v/>
      </c>
    </row>
    <row r="2261" spans="1:52" s="145" customFormat="1" x14ac:dyDescent="0.35">
      <c r="A2261" s="511" t="s">
        <v>1904</v>
      </c>
      <c r="B2261" s="173" t="s">
        <v>5547</v>
      </c>
      <c r="C2261" s="173" t="s">
        <v>5539</v>
      </c>
      <c r="D2261" s="173" t="s">
        <v>7145</v>
      </c>
      <c r="E2261" s="173" t="s">
        <v>1980</v>
      </c>
      <c r="F2261" s="374">
        <f t="shared" si="994"/>
        <v>20.23</v>
      </c>
      <c r="G2261" s="431">
        <v>20.23</v>
      </c>
      <c r="H2261" s="400">
        <f t="shared" si="995"/>
        <v>16.18</v>
      </c>
      <c r="I2261" s="577"/>
      <c r="J2261" s="549" t="s">
        <v>5804</v>
      </c>
      <c r="K2261" s="11"/>
      <c r="L2261"/>
      <c r="M2261" s="37">
        <f t="shared" si="996"/>
        <v>20.23</v>
      </c>
      <c r="N2261" s="29">
        <v>9.32</v>
      </c>
      <c r="O2261" s="41"/>
      <c r="P2261" s="11"/>
      <c r="Q2261"/>
      <c r="R2261"/>
      <c r="S2261" t="s">
        <v>4179</v>
      </c>
      <c r="T2261" s="145" t="s">
        <v>1017</v>
      </c>
      <c r="U2261" s="42"/>
      <c r="V2261" t="s">
        <v>1017</v>
      </c>
      <c r="W2261" s="50"/>
      <c r="X2261" s="50"/>
      <c r="Y2261"/>
      <c r="Z2261" s="50"/>
      <c r="AA2261"/>
      <c r="AB2261"/>
      <c r="AC2261" s="50"/>
      <c r="AD2261"/>
      <c r="AE2261" s="75" t="s">
        <v>1017</v>
      </c>
      <c r="AF2261" s="50"/>
      <c r="AG2261" s="50"/>
      <c r="AH2261" s="171" t="s">
        <v>4178</v>
      </c>
      <c r="AI2261" s="168" t="str">
        <f t="shared" si="988"/>
        <v/>
      </c>
      <c r="AJ2261" s="168" t="str">
        <f t="shared" si="989"/>
        <v/>
      </c>
      <c r="AK2261" s="168" t="str">
        <f t="shared" si="990"/>
        <v/>
      </c>
      <c r="AL2261" s="168" t="str">
        <f t="shared" si="991"/>
        <v/>
      </c>
      <c r="AM2261" s="168" t="str">
        <f t="shared" si="992"/>
        <v/>
      </c>
      <c r="AN2261" s="167" t="str">
        <f t="shared" si="975"/>
        <v>2012</v>
      </c>
      <c r="AO2261" s="167" t="str">
        <f t="shared" si="976"/>
        <v>2012</v>
      </c>
      <c r="AP2261" s="167" t="str">
        <f t="shared" si="977"/>
        <v>2012</v>
      </c>
      <c r="AQ2261" s="169" t="str">
        <f t="shared" si="978"/>
        <v/>
      </c>
      <c r="AR2261" s="170" t="str">
        <f t="shared" si="979"/>
        <v>BiK82a1bK12-08</v>
      </c>
      <c r="AS2261" s="169" t="str">
        <f t="shared" si="980"/>
        <v/>
      </c>
      <c r="AT2261">
        <f t="shared" si="981"/>
        <v>14</v>
      </c>
      <c r="AU2261" s="170" t="str">
        <f t="shared" si="982"/>
        <v>0,15-0,5 MW, Bonusregeln a1, b und K erstmals 2012</v>
      </c>
      <c r="AV2261" s="169" t="str">
        <f t="shared" si="983"/>
        <v/>
      </c>
      <c r="AW2261" s="170" t="str">
        <f t="shared" si="984"/>
        <v>Anteil KWK, erstmals 2012</v>
      </c>
      <c r="AX2261" s="169" t="str">
        <f t="shared" si="985"/>
        <v/>
      </c>
      <c r="AY2261" t="str">
        <f t="shared" si="986"/>
        <v/>
      </c>
      <c r="AZ2261" t="str">
        <f t="shared" si="987"/>
        <v>x</v>
      </c>
    </row>
    <row r="2262" spans="1:52" s="145" customFormat="1" x14ac:dyDescent="0.35">
      <c r="A2262" s="497" t="s">
        <v>4090</v>
      </c>
      <c r="B2262" s="13" t="s">
        <v>5547</v>
      </c>
      <c r="C2262" s="13" t="s">
        <v>5539</v>
      </c>
      <c r="D2262" s="13" t="s">
        <v>7146</v>
      </c>
      <c r="E2262" s="13" t="s">
        <v>4809</v>
      </c>
      <c r="F2262" s="373">
        <f t="shared" si="994"/>
        <v>18.32</v>
      </c>
      <c r="G2262" s="430">
        <v>18.32</v>
      </c>
      <c r="H2262" s="399">
        <f t="shared" si="995"/>
        <v>14.66</v>
      </c>
      <c r="I2262" s="576"/>
      <c r="J2262" s="549" t="s">
        <v>5804</v>
      </c>
      <c r="K2262" s="11"/>
      <c r="L2262"/>
      <c r="M2262" s="37">
        <f t="shared" si="996"/>
        <v>18.32</v>
      </c>
      <c r="N2262" s="29">
        <v>9.32</v>
      </c>
      <c r="O2262" s="41"/>
      <c r="P2262" s="11"/>
      <c r="Q2262"/>
      <c r="R2262"/>
      <c r="S2262" t="s">
        <v>4179</v>
      </c>
      <c r="T2262" s="145" t="s">
        <v>4179</v>
      </c>
      <c r="U2262" s="42" t="s">
        <v>1017</v>
      </c>
      <c r="V2262" t="s">
        <v>1017</v>
      </c>
      <c r="W2262" s="50"/>
      <c r="X2262" s="50"/>
      <c r="Y2262"/>
      <c r="Z2262" s="50"/>
      <c r="AA2262"/>
      <c r="AB2262"/>
      <c r="AC2262" s="50"/>
      <c r="AD2262"/>
      <c r="AE2262" s="75" t="s">
        <v>1017</v>
      </c>
      <c r="AF2262" s="50"/>
      <c r="AG2262" s="50"/>
      <c r="AH2262" s="166" t="str">
        <f t="shared" ref="AH2262:AH2267" si="999">IF(ISERROR(SEARCH("K erstmals 201",D2262)),"",RIGHT(D2262,4))</f>
        <v/>
      </c>
      <c r="AI2262" s="168" t="str">
        <f t="shared" si="988"/>
        <v/>
      </c>
      <c r="AJ2262" s="168" t="str">
        <f t="shared" si="989"/>
        <v/>
      </c>
      <c r="AK2262" s="168" t="str">
        <f t="shared" si="990"/>
        <v/>
      </c>
      <c r="AL2262" s="168" t="str">
        <f t="shared" si="991"/>
        <v/>
      </c>
      <c r="AM2262" s="168" t="str">
        <f t="shared" si="992"/>
        <v/>
      </c>
      <c r="AN2262" s="167" t="str">
        <f t="shared" si="975"/>
        <v/>
      </c>
      <c r="AO2262" s="167" t="str">
        <f t="shared" si="976"/>
        <v/>
      </c>
      <c r="AP2262" s="167" t="str">
        <f t="shared" si="977"/>
        <v/>
      </c>
      <c r="AQ2262" s="169" t="str">
        <f t="shared" si="978"/>
        <v/>
      </c>
      <c r="AR2262" s="170" t="str">
        <f t="shared" si="979"/>
        <v>BiK82a1by---08</v>
      </c>
      <c r="AS2262" s="169" t="str">
        <f t="shared" si="980"/>
        <v/>
      </c>
      <c r="AT2262">
        <f t="shared" si="981"/>
        <v>14</v>
      </c>
      <c r="AU2262" s="170" t="str">
        <f t="shared" si="982"/>
        <v>0,15-0,5 MW, Bonusregeln a1, b, y</v>
      </c>
      <c r="AV2262" s="169" t="str">
        <f t="shared" si="983"/>
        <v/>
      </c>
      <c r="AW2262" s="170" t="str">
        <f t="shared" si="984"/>
        <v>Anteil Nicht-KWK</v>
      </c>
      <c r="AX2262" s="169" t="str">
        <f t="shared" si="985"/>
        <v/>
      </c>
      <c r="AY2262" t="str">
        <f t="shared" si="986"/>
        <v/>
      </c>
      <c r="AZ2262" t="str">
        <f t="shared" si="987"/>
        <v/>
      </c>
    </row>
    <row r="2263" spans="1:52" s="145" customFormat="1" x14ac:dyDescent="0.35">
      <c r="A2263" s="497" t="s">
        <v>4091</v>
      </c>
      <c r="B2263" s="13" t="s">
        <v>5547</v>
      </c>
      <c r="C2263" s="13" t="s">
        <v>5539</v>
      </c>
      <c r="D2263" s="13" t="s">
        <v>7147</v>
      </c>
      <c r="E2263" s="13" t="s">
        <v>4811</v>
      </c>
      <c r="F2263" s="373">
        <f t="shared" si="994"/>
        <v>20.32</v>
      </c>
      <c r="G2263" s="430">
        <v>20.32</v>
      </c>
      <c r="H2263" s="399">
        <f t="shared" si="995"/>
        <v>16.260000000000002</v>
      </c>
      <c r="I2263" s="576"/>
      <c r="J2263" s="549" t="s">
        <v>5804</v>
      </c>
      <c r="K2263" s="11"/>
      <c r="L2263"/>
      <c r="M2263" s="37">
        <f t="shared" si="996"/>
        <v>20.32</v>
      </c>
      <c r="N2263" s="29">
        <v>9.32</v>
      </c>
      <c r="O2263" s="41" t="s">
        <v>1017</v>
      </c>
      <c r="P2263" s="11"/>
      <c r="Q2263"/>
      <c r="R2263"/>
      <c r="S2263" t="s">
        <v>4179</v>
      </c>
      <c r="T2263" s="145" t="s">
        <v>4179</v>
      </c>
      <c r="U2263" s="42" t="s">
        <v>1017</v>
      </c>
      <c r="V2263" t="s">
        <v>1017</v>
      </c>
      <c r="W2263" s="50"/>
      <c r="X2263" s="50"/>
      <c r="Y2263"/>
      <c r="Z2263" s="50"/>
      <c r="AA2263"/>
      <c r="AB2263"/>
      <c r="AC2263" s="50"/>
      <c r="AD2263"/>
      <c r="AE2263" s="75" t="s">
        <v>1017</v>
      </c>
      <c r="AF2263" s="50"/>
      <c r="AG2263" s="50"/>
      <c r="AH2263" s="166" t="str">
        <f t="shared" si="999"/>
        <v/>
      </c>
      <c r="AI2263" s="168" t="str">
        <f t="shared" si="988"/>
        <v/>
      </c>
      <c r="AJ2263" s="168" t="str">
        <f t="shared" si="989"/>
        <v/>
      </c>
      <c r="AK2263" s="168" t="str">
        <f t="shared" si="990"/>
        <v/>
      </c>
      <c r="AL2263" s="168" t="str">
        <f t="shared" si="991"/>
        <v/>
      </c>
      <c r="AM2263" s="168" t="str">
        <f t="shared" si="992"/>
        <v/>
      </c>
      <c r="AN2263" s="167" t="str">
        <f t="shared" si="975"/>
        <v/>
      </c>
      <c r="AO2263" s="167" t="str">
        <f t="shared" si="976"/>
        <v/>
      </c>
      <c r="AP2263" s="167" t="str">
        <f t="shared" si="977"/>
        <v/>
      </c>
      <c r="AQ2263" s="169" t="str">
        <f t="shared" si="978"/>
        <v/>
      </c>
      <c r="AR2263" s="170" t="str">
        <f t="shared" si="979"/>
        <v>BiK82a1bKWKy08</v>
      </c>
      <c r="AS2263" s="169" t="str">
        <f t="shared" si="980"/>
        <v/>
      </c>
      <c r="AT2263">
        <f t="shared" si="981"/>
        <v>14</v>
      </c>
      <c r="AU2263" s="170" t="str">
        <f t="shared" si="982"/>
        <v>0,15-0,5 MW, Bonusregeln a1, b, y und KWK</v>
      </c>
      <c r="AV2263" s="169" t="str">
        <f t="shared" si="983"/>
        <v/>
      </c>
      <c r="AW2263" s="170" t="str">
        <f t="shared" si="984"/>
        <v>Anteil KWK</v>
      </c>
      <c r="AX2263" s="169" t="str">
        <f t="shared" si="985"/>
        <v/>
      </c>
      <c r="AY2263" t="str">
        <f t="shared" si="986"/>
        <v/>
      </c>
      <c r="AZ2263" t="str">
        <f t="shared" si="987"/>
        <v/>
      </c>
    </row>
    <row r="2264" spans="1:52" s="145" customFormat="1" x14ac:dyDescent="0.35">
      <c r="A2264" s="497" t="s">
        <v>4092</v>
      </c>
      <c r="B2264" s="13" t="s">
        <v>5547</v>
      </c>
      <c r="C2264" s="13" t="s">
        <v>5539</v>
      </c>
      <c r="D2264" s="13" t="s">
        <v>7148</v>
      </c>
      <c r="E2264" s="13" t="s">
        <v>4330</v>
      </c>
      <c r="F2264" s="373">
        <f t="shared" si="994"/>
        <v>21.32</v>
      </c>
      <c r="G2264" s="430">
        <v>21.32</v>
      </c>
      <c r="H2264" s="399">
        <f t="shared" si="995"/>
        <v>17.059999999999999</v>
      </c>
      <c r="I2264" s="576"/>
      <c r="J2264" s="549" t="s">
        <v>5804</v>
      </c>
      <c r="K2264" s="11"/>
      <c r="L2264"/>
      <c r="M2264" s="37">
        <f t="shared" si="996"/>
        <v>21.32</v>
      </c>
      <c r="N2264" s="29">
        <v>9.32</v>
      </c>
      <c r="O2264" s="41"/>
      <c r="P2264" t="s">
        <v>1017</v>
      </c>
      <c r="Q2264"/>
      <c r="R2264"/>
      <c r="S2264" t="s">
        <v>4179</v>
      </c>
      <c r="T2264" s="145" t="s">
        <v>4179</v>
      </c>
      <c r="U2264" s="42" t="s">
        <v>1017</v>
      </c>
      <c r="V2264" t="s">
        <v>1017</v>
      </c>
      <c r="W2264" s="50"/>
      <c r="X2264" s="50"/>
      <c r="Y2264"/>
      <c r="Z2264" s="50"/>
      <c r="AA2264"/>
      <c r="AB2264"/>
      <c r="AC2264" s="50"/>
      <c r="AD2264"/>
      <c r="AE2264" s="75" t="s">
        <v>1017</v>
      </c>
      <c r="AF2264" s="50"/>
      <c r="AG2264" s="50"/>
      <c r="AH2264" s="166" t="str">
        <f t="shared" si="999"/>
        <v/>
      </c>
      <c r="AI2264" s="168" t="str">
        <f t="shared" si="988"/>
        <v/>
      </c>
      <c r="AJ2264" s="168" t="str">
        <f t="shared" si="989"/>
        <v/>
      </c>
      <c r="AK2264" s="168" t="str">
        <f t="shared" si="990"/>
        <v/>
      </c>
      <c r="AL2264" s="168" t="str">
        <f t="shared" si="991"/>
        <v/>
      </c>
      <c r="AM2264" s="168" t="str">
        <f t="shared" si="992"/>
        <v/>
      </c>
      <c r="AN2264" s="167" t="str">
        <f t="shared" si="975"/>
        <v/>
      </c>
      <c r="AO2264" s="167" t="str">
        <f t="shared" si="976"/>
        <v/>
      </c>
      <c r="AP2264" s="167" t="str">
        <f t="shared" si="977"/>
        <v/>
      </c>
      <c r="AQ2264" s="169" t="str">
        <f t="shared" si="978"/>
        <v/>
      </c>
      <c r="AR2264" s="170" t="str">
        <f t="shared" si="979"/>
        <v>BiK82a1bKA3y08</v>
      </c>
      <c r="AS2264" s="169" t="str">
        <f t="shared" si="980"/>
        <v/>
      </c>
      <c r="AT2264">
        <f t="shared" si="981"/>
        <v>14</v>
      </c>
      <c r="AU2264" s="170" t="str">
        <f t="shared" si="982"/>
        <v>0,15-0,5 MW, Bonusregeln a1, b, y und K wenn Anlage 3 erfüllt</v>
      </c>
      <c r="AV2264" s="169" t="str">
        <f t="shared" si="983"/>
        <v/>
      </c>
      <c r="AW2264" s="170" t="str">
        <f t="shared" si="984"/>
        <v>Anteil KWK gemäß Anlage 3</v>
      </c>
      <c r="AX2264" s="169" t="str">
        <f t="shared" si="985"/>
        <v/>
      </c>
      <c r="AY2264" t="str">
        <f t="shared" si="986"/>
        <v/>
      </c>
      <c r="AZ2264" t="str">
        <f t="shared" si="987"/>
        <v/>
      </c>
    </row>
    <row r="2265" spans="1:52" x14ac:dyDescent="0.35">
      <c r="A2265" s="497" t="s">
        <v>4093</v>
      </c>
      <c r="B2265" s="13" t="s">
        <v>5547</v>
      </c>
      <c r="C2265" s="13" t="s">
        <v>5539</v>
      </c>
      <c r="D2265" s="13" t="s">
        <v>7149</v>
      </c>
      <c r="E2265" s="13" t="s">
        <v>674</v>
      </c>
      <c r="F2265" s="373">
        <f t="shared" si="994"/>
        <v>21.32</v>
      </c>
      <c r="G2265" s="430">
        <v>21.32</v>
      </c>
      <c r="H2265" s="399">
        <f t="shared" si="995"/>
        <v>17.059999999999999</v>
      </c>
      <c r="I2265" s="576"/>
      <c r="J2265" s="549" t="s">
        <v>5804</v>
      </c>
      <c r="K2265" s="11"/>
      <c r="M2265" s="37">
        <f t="shared" si="996"/>
        <v>21.32</v>
      </c>
      <c r="N2265" s="29">
        <v>9.32</v>
      </c>
      <c r="O2265" s="41"/>
      <c r="P2265" s="11"/>
      <c r="Q2265" t="s">
        <v>1017</v>
      </c>
      <c r="S2265" t="s">
        <v>4179</v>
      </c>
      <c r="T2265" t="s">
        <v>4179</v>
      </c>
      <c r="U2265" s="42" t="s">
        <v>1017</v>
      </c>
      <c r="V2265" t="s">
        <v>1017</v>
      </c>
      <c r="W2265" s="50"/>
      <c r="X2265" s="50"/>
      <c r="Z2265" s="50"/>
      <c r="AC2265" s="50"/>
      <c r="AE2265" s="75" t="s">
        <v>1017</v>
      </c>
      <c r="AF2265" s="50"/>
      <c r="AG2265" s="50"/>
      <c r="AH2265" s="166" t="str">
        <f t="shared" si="999"/>
        <v/>
      </c>
      <c r="AI2265" s="168" t="str">
        <f t="shared" si="988"/>
        <v/>
      </c>
      <c r="AJ2265" s="168" t="str">
        <f t="shared" si="989"/>
        <v/>
      </c>
      <c r="AK2265" s="168" t="str">
        <f t="shared" si="990"/>
        <v/>
      </c>
      <c r="AL2265" s="168" t="str">
        <f t="shared" si="991"/>
        <v/>
      </c>
      <c r="AM2265" s="168" t="str">
        <f t="shared" si="992"/>
        <v/>
      </c>
      <c r="AN2265" s="167" t="str">
        <f t="shared" si="975"/>
        <v/>
      </c>
      <c r="AO2265" s="167" t="str">
        <f t="shared" si="976"/>
        <v/>
      </c>
      <c r="AP2265" s="167" t="str">
        <f t="shared" si="977"/>
        <v/>
      </c>
      <c r="AQ2265" s="169" t="str">
        <f t="shared" si="978"/>
        <v/>
      </c>
      <c r="AR2265" s="170" t="str">
        <f t="shared" si="979"/>
        <v>BiK82a1bK09y08</v>
      </c>
      <c r="AS2265" s="169" t="str">
        <f t="shared" si="980"/>
        <v/>
      </c>
      <c r="AT2265">
        <f t="shared" si="981"/>
        <v>14</v>
      </c>
      <c r="AU2265" s="170" t="str">
        <f t="shared" si="982"/>
        <v>0,15-0,5 MW, Bonusregeln a1, b, y und K erstmals 2009</v>
      </c>
      <c r="AV2265" s="169" t="str">
        <f t="shared" si="983"/>
        <v/>
      </c>
      <c r="AW2265" s="170" t="str">
        <f t="shared" si="984"/>
        <v>Anteil KWK, erstmals 2009</v>
      </c>
      <c r="AX2265" s="169" t="str">
        <f t="shared" si="985"/>
        <v/>
      </c>
      <c r="AY2265" t="str">
        <f t="shared" si="986"/>
        <v/>
      </c>
      <c r="AZ2265" t="str">
        <f t="shared" si="987"/>
        <v/>
      </c>
    </row>
    <row r="2266" spans="1:52" x14ac:dyDescent="0.35">
      <c r="A2266" s="497" t="s">
        <v>3267</v>
      </c>
      <c r="B2266" s="13" t="s">
        <v>5547</v>
      </c>
      <c r="C2266" s="13" t="s">
        <v>5539</v>
      </c>
      <c r="D2266" s="13" t="s">
        <v>7150</v>
      </c>
      <c r="E2266" s="13" t="s">
        <v>3566</v>
      </c>
      <c r="F2266" s="373">
        <f t="shared" si="994"/>
        <v>21.29</v>
      </c>
      <c r="G2266" s="430">
        <v>21.29</v>
      </c>
      <c r="H2266" s="399">
        <f t="shared" si="995"/>
        <v>17.03</v>
      </c>
      <c r="I2266" s="576"/>
      <c r="J2266" s="549" t="s">
        <v>5804</v>
      </c>
      <c r="K2266" s="11"/>
      <c r="M2266" s="37">
        <f t="shared" si="996"/>
        <v>21.29</v>
      </c>
      <c r="N2266" s="29">
        <v>9.32</v>
      </c>
      <c r="O2266" s="41"/>
      <c r="P2266" s="11"/>
      <c r="R2266" t="s">
        <v>1017</v>
      </c>
      <c r="S2266" t="s">
        <v>4179</v>
      </c>
      <c r="T2266" t="s">
        <v>4179</v>
      </c>
      <c r="U2266" s="42" t="s">
        <v>1017</v>
      </c>
      <c r="V2266" t="s">
        <v>1017</v>
      </c>
      <c r="W2266" s="50"/>
      <c r="X2266" s="50"/>
      <c r="Z2266" s="50"/>
      <c r="AC2266" s="50"/>
      <c r="AE2266" s="75" t="s">
        <v>1017</v>
      </c>
      <c r="AF2266" s="50"/>
      <c r="AG2266" s="50"/>
      <c r="AH2266" s="166" t="str">
        <f t="shared" si="999"/>
        <v>2010</v>
      </c>
      <c r="AI2266" s="168" t="str">
        <f t="shared" si="988"/>
        <v/>
      </c>
      <c r="AJ2266" s="168" t="str">
        <f t="shared" si="989"/>
        <v/>
      </c>
      <c r="AK2266" s="168" t="str">
        <f t="shared" si="990"/>
        <v/>
      </c>
      <c r="AL2266" s="168" t="str">
        <f t="shared" si="991"/>
        <v/>
      </c>
      <c r="AM2266" s="168" t="str">
        <f t="shared" si="992"/>
        <v/>
      </c>
      <c r="AN2266" s="167" t="str">
        <f t="shared" si="975"/>
        <v>2010</v>
      </c>
      <c r="AO2266" s="167" t="str">
        <f t="shared" si="976"/>
        <v>2010</v>
      </c>
      <c r="AP2266" s="167" t="str">
        <f t="shared" si="977"/>
        <v>2010</v>
      </c>
      <c r="AQ2266" s="169" t="str">
        <f t="shared" si="978"/>
        <v/>
      </c>
      <c r="AR2266" s="170" t="str">
        <f t="shared" si="979"/>
        <v>BiK82a1bK10y08</v>
      </c>
      <c r="AS2266" s="169" t="str">
        <f t="shared" si="980"/>
        <v/>
      </c>
      <c r="AT2266">
        <f t="shared" si="981"/>
        <v>14</v>
      </c>
      <c r="AU2266" s="170" t="str">
        <f t="shared" si="982"/>
        <v>0,15-0,5 MW, Bonusregeln a1, b, y und K erstmals 2010</v>
      </c>
      <c r="AV2266" s="169" t="str">
        <f t="shared" si="983"/>
        <v/>
      </c>
      <c r="AW2266" s="170" t="str">
        <f t="shared" si="984"/>
        <v>Anteil KWK, erstmals 2010</v>
      </c>
      <c r="AX2266" s="169" t="str">
        <f t="shared" si="985"/>
        <v/>
      </c>
      <c r="AY2266" t="str">
        <f t="shared" si="986"/>
        <v/>
      </c>
      <c r="AZ2266" t="str">
        <f t="shared" si="987"/>
        <v/>
      </c>
    </row>
    <row r="2267" spans="1:52" x14ac:dyDescent="0.35">
      <c r="A2267" s="497" t="s">
        <v>3472</v>
      </c>
      <c r="B2267" s="13" t="s">
        <v>5547</v>
      </c>
      <c r="C2267" s="13" t="s">
        <v>5539</v>
      </c>
      <c r="D2267" s="13" t="s">
        <v>7151</v>
      </c>
      <c r="E2267" s="13" t="s">
        <v>3054</v>
      </c>
      <c r="F2267" s="373">
        <f t="shared" si="994"/>
        <v>21.259999999999998</v>
      </c>
      <c r="G2267" s="430">
        <v>21.259999999999998</v>
      </c>
      <c r="H2267" s="399">
        <f t="shared" si="995"/>
        <v>17.010000000000002</v>
      </c>
      <c r="I2267" s="576"/>
      <c r="J2267" s="549" t="s">
        <v>5804</v>
      </c>
      <c r="K2267" s="11"/>
      <c r="M2267" s="37">
        <f t="shared" si="996"/>
        <v>21.259999999999998</v>
      </c>
      <c r="N2267" s="29">
        <v>9.32</v>
      </c>
      <c r="O2267" s="41"/>
      <c r="P2267" s="11"/>
      <c r="S2267" t="s">
        <v>1017</v>
      </c>
      <c r="T2267" t="s">
        <v>4179</v>
      </c>
      <c r="U2267" s="42" t="s">
        <v>1017</v>
      </c>
      <c r="V2267" t="s">
        <v>1017</v>
      </c>
      <c r="W2267" s="50"/>
      <c r="X2267" s="50"/>
      <c r="Z2267" s="50"/>
      <c r="AC2267" s="50"/>
      <c r="AE2267" s="75" t="s">
        <v>1017</v>
      </c>
      <c r="AF2267" s="50"/>
      <c r="AG2267" s="50"/>
      <c r="AH2267" s="166" t="str">
        <f t="shared" si="999"/>
        <v>2011</v>
      </c>
      <c r="AI2267" s="168" t="str">
        <f t="shared" si="988"/>
        <v/>
      </c>
      <c r="AJ2267" s="168" t="str">
        <f t="shared" si="989"/>
        <v/>
      </c>
      <c r="AK2267" s="168" t="str">
        <f t="shared" si="990"/>
        <v/>
      </c>
      <c r="AL2267" s="168" t="str">
        <f t="shared" si="991"/>
        <v/>
      </c>
      <c r="AM2267" s="168" t="str">
        <f t="shared" si="992"/>
        <v/>
      </c>
      <c r="AN2267" s="167" t="str">
        <f t="shared" si="975"/>
        <v>2011</v>
      </c>
      <c r="AO2267" s="167" t="str">
        <f t="shared" si="976"/>
        <v>2011</v>
      </c>
      <c r="AP2267" s="167" t="str">
        <f t="shared" si="977"/>
        <v>2011</v>
      </c>
      <c r="AQ2267" s="169" t="str">
        <f t="shared" si="978"/>
        <v/>
      </c>
      <c r="AR2267" s="170" t="str">
        <f t="shared" si="979"/>
        <v>BiK82a1bK11y08</v>
      </c>
      <c r="AS2267" s="169" t="str">
        <f t="shared" si="980"/>
        <v/>
      </c>
      <c r="AT2267">
        <f t="shared" si="981"/>
        <v>14</v>
      </c>
      <c r="AU2267" s="170" t="str">
        <f t="shared" si="982"/>
        <v>0,15-0,5 MW, Bonusregeln a1, b, y und K erstmals 2011</v>
      </c>
      <c r="AV2267" s="169" t="str">
        <f t="shared" si="983"/>
        <v/>
      </c>
      <c r="AW2267" s="170" t="str">
        <f t="shared" si="984"/>
        <v>Anteil KWK, erstmals 2011</v>
      </c>
      <c r="AX2267" s="169" t="str">
        <f t="shared" si="985"/>
        <v/>
      </c>
      <c r="AY2267" t="str">
        <f t="shared" si="986"/>
        <v>x</v>
      </c>
      <c r="AZ2267" t="str">
        <f t="shared" si="987"/>
        <v/>
      </c>
    </row>
    <row r="2268" spans="1:52" x14ac:dyDescent="0.35">
      <c r="A2268" s="511" t="s">
        <v>1905</v>
      </c>
      <c r="B2268" s="173" t="s">
        <v>5547</v>
      </c>
      <c r="C2268" s="173" t="s">
        <v>5539</v>
      </c>
      <c r="D2268" s="173" t="s">
        <v>7152</v>
      </c>
      <c r="E2268" s="173" t="s">
        <v>1980</v>
      </c>
      <c r="F2268" s="374">
        <f t="shared" si="994"/>
        <v>21.23</v>
      </c>
      <c r="G2268" s="431">
        <v>21.23</v>
      </c>
      <c r="H2268" s="400">
        <f t="shared" si="995"/>
        <v>16.98</v>
      </c>
      <c r="I2268" s="577"/>
      <c r="J2268" s="549" t="s">
        <v>5804</v>
      </c>
      <c r="K2268" s="11"/>
      <c r="M2268" s="37">
        <f t="shared" si="996"/>
        <v>21.23</v>
      </c>
      <c r="N2268" s="29">
        <v>9.32</v>
      </c>
      <c r="O2268" s="41"/>
      <c r="P2268" s="11"/>
      <c r="S2268" t="s">
        <v>4179</v>
      </c>
      <c r="T2268" t="s">
        <v>1017</v>
      </c>
      <c r="U2268" s="42" t="s">
        <v>1017</v>
      </c>
      <c r="V2268" t="s">
        <v>1017</v>
      </c>
      <c r="W2268" s="50"/>
      <c r="X2268" s="50"/>
      <c r="Z2268" s="50"/>
      <c r="AC2268" s="50"/>
      <c r="AE2268" s="75" t="s">
        <v>1017</v>
      </c>
      <c r="AF2268" s="50"/>
      <c r="AG2268" s="50"/>
      <c r="AH2268" s="171" t="s">
        <v>4178</v>
      </c>
      <c r="AI2268" s="168" t="str">
        <f t="shared" si="988"/>
        <v/>
      </c>
      <c r="AJ2268" s="168" t="str">
        <f t="shared" si="989"/>
        <v/>
      </c>
      <c r="AK2268" s="168" t="str">
        <f t="shared" si="990"/>
        <v/>
      </c>
      <c r="AL2268" s="168" t="str">
        <f t="shared" si="991"/>
        <v/>
      </c>
      <c r="AM2268" s="168" t="str">
        <f t="shared" si="992"/>
        <v/>
      </c>
      <c r="AN2268" s="167" t="str">
        <f t="shared" si="975"/>
        <v>2012</v>
      </c>
      <c r="AO2268" s="167" t="str">
        <f t="shared" si="976"/>
        <v>2012</v>
      </c>
      <c r="AP2268" s="167" t="str">
        <f t="shared" si="977"/>
        <v>2012</v>
      </c>
      <c r="AQ2268" s="169" t="str">
        <f t="shared" si="978"/>
        <v/>
      </c>
      <c r="AR2268" s="170" t="str">
        <f t="shared" si="979"/>
        <v>BiK82a1bK12y08</v>
      </c>
      <c r="AS2268" s="169" t="str">
        <f t="shared" si="980"/>
        <v/>
      </c>
      <c r="AT2268">
        <f t="shared" si="981"/>
        <v>14</v>
      </c>
      <c r="AU2268" s="170" t="str">
        <f t="shared" si="982"/>
        <v>0,15-0,5 MW, Bonusregeln a1, b, y und K erstmals 2012</v>
      </c>
      <c r="AV2268" s="169" t="str">
        <f t="shared" si="983"/>
        <v/>
      </c>
      <c r="AW2268" s="170" t="str">
        <f t="shared" si="984"/>
        <v>Anteil KWK, erstmals 2012</v>
      </c>
      <c r="AX2268" s="169" t="str">
        <f t="shared" si="985"/>
        <v/>
      </c>
      <c r="AY2268" t="str">
        <f t="shared" si="986"/>
        <v/>
      </c>
      <c r="AZ2268" t="str">
        <f t="shared" si="987"/>
        <v>x</v>
      </c>
    </row>
    <row r="2269" spans="1:52" x14ac:dyDescent="0.35">
      <c r="A2269" s="497" t="s">
        <v>2224</v>
      </c>
      <c r="B2269" s="13" t="s">
        <v>5547</v>
      </c>
      <c r="C2269" s="13" t="s">
        <v>5539</v>
      </c>
      <c r="D2269" s="13" t="s">
        <v>7153</v>
      </c>
      <c r="E2269" s="13" t="s">
        <v>4809</v>
      </c>
      <c r="F2269" s="373">
        <f t="shared" si="994"/>
        <v>18.32</v>
      </c>
      <c r="G2269" s="430">
        <v>18.32</v>
      </c>
      <c r="H2269" s="399">
        <f t="shared" si="995"/>
        <v>14.66</v>
      </c>
      <c r="I2269" s="576"/>
      <c r="J2269" s="549" t="s">
        <v>5804</v>
      </c>
      <c r="K2269" s="11"/>
      <c r="M2269" s="37">
        <f t="shared" si="996"/>
        <v>18.32</v>
      </c>
      <c r="N2269" s="29">
        <v>9.32</v>
      </c>
      <c r="O2269" s="149"/>
      <c r="P2269" s="144"/>
      <c r="Q2269" s="145"/>
      <c r="R2269" s="145"/>
      <c r="S2269" s="145" t="s">
        <v>4179</v>
      </c>
      <c r="T2269" t="s">
        <v>4179</v>
      </c>
      <c r="U2269" s="146"/>
      <c r="V2269" s="145"/>
      <c r="W2269" s="147"/>
      <c r="X2269" s="147"/>
      <c r="Y2269" s="145" t="s">
        <v>1017</v>
      </c>
      <c r="Z2269" s="147"/>
      <c r="AA2269" s="145"/>
      <c r="AB2269" s="145"/>
      <c r="AC2269" s="147"/>
      <c r="AD2269" s="145"/>
      <c r="AE2269" s="148" t="s">
        <v>1017</v>
      </c>
      <c r="AF2269" s="147"/>
      <c r="AG2269" s="147"/>
      <c r="AH2269" s="166" t="str">
        <f t="shared" ref="AH2269:AH2274" si="1000">IF(ISERROR(SEARCH("K erstmals 201",D2269)),"",RIGHT(D2269,4))</f>
        <v/>
      </c>
      <c r="AI2269" s="168" t="str">
        <f t="shared" si="988"/>
        <v/>
      </c>
      <c r="AJ2269" s="168" t="str">
        <f t="shared" si="989"/>
        <v/>
      </c>
      <c r="AK2269" s="168" t="str">
        <f t="shared" si="990"/>
        <v/>
      </c>
      <c r="AL2269" s="168" t="str">
        <f t="shared" si="991"/>
        <v/>
      </c>
      <c r="AM2269" s="168" t="str">
        <f t="shared" si="992"/>
        <v/>
      </c>
      <c r="AN2269" s="167" t="str">
        <f t="shared" si="975"/>
        <v/>
      </c>
      <c r="AO2269" s="167" t="str">
        <f t="shared" si="976"/>
        <v/>
      </c>
      <c r="AP2269" s="167" t="str">
        <f t="shared" si="977"/>
        <v/>
      </c>
      <c r="AQ2269" s="169" t="str">
        <f t="shared" si="978"/>
        <v/>
      </c>
      <c r="AR2269" s="170" t="str">
        <f t="shared" si="979"/>
        <v>BiK82Gb-----08</v>
      </c>
      <c r="AS2269" s="169" t="str">
        <f t="shared" si="980"/>
        <v/>
      </c>
      <c r="AT2269">
        <f t="shared" si="981"/>
        <v>14</v>
      </c>
      <c r="AU2269" s="170" t="str">
        <f t="shared" si="982"/>
        <v>0,15-0,5 MW, Bonusregeln G, b</v>
      </c>
      <c r="AV2269" s="169" t="str">
        <f t="shared" si="983"/>
        <v/>
      </c>
      <c r="AW2269" s="170" t="str">
        <f t="shared" si="984"/>
        <v>Anteil Nicht-KWK</v>
      </c>
      <c r="AX2269" s="169" t="str">
        <f t="shared" si="985"/>
        <v/>
      </c>
      <c r="AY2269" t="str">
        <f t="shared" si="986"/>
        <v/>
      </c>
      <c r="AZ2269" t="str">
        <f t="shared" si="987"/>
        <v/>
      </c>
    </row>
    <row r="2270" spans="1:52" s="145" customFormat="1" x14ac:dyDescent="0.35">
      <c r="A2270" s="497" t="s">
        <v>2225</v>
      </c>
      <c r="B2270" s="13" t="s">
        <v>5547</v>
      </c>
      <c r="C2270" s="13" t="s">
        <v>5539</v>
      </c>
      <c r="D2270" s="13" t="s">
        <v>7154</v>
      </c>
      <c r="E2270" s="13" t="s">
        <v>4811</v>
      </c>
      <c r="F2270" s="373">
        <f t="shared" si="994"/>
        <v>20.32</v>
      </c>
      <c r="G2270" s="430">
        <v>20.32</v>
      </c>
      <c r="H2270" s="399">
        <f t="shared" si="995"/>
        <v>16.260000000000002</v>
      </c>
      <c r="I2270" s="576"/>
      <c r="J2270" s="549" t="s">
        <v>5804</v>
      </c>
      <c r="K2270" s="11"/>
      <c r="L2270"/>
      <c r="M2270" s="37">
        <f t="shared" si="996"/>
        <v>20.32</v>
      </c>
      <c r="N2270" s="29">
        <v>9.32</v>
      </c>
      <c r="O2270" s="149" t="s">
        <v>1017</v>
      </c>
      <c r="P2270" s="144"/>
      <c r="S2270" s="145" t="s">
        <v>4179</v>
      </c>
      <c r="T2270" s="145" t="s">
        <v>4179</v>
      </c>
      <c r="U2270" s="146"/>
      <c r="W2270" s="147"/>
      <c r="X2270" s="147"/>
      <c r="Y2270" s="145" t="s">
        <v>1017</v>
      </c>
      <c r="Z2270" s="147"/>
      <c r="AC2270" s="147"/>
      <c r="AE2270" s="148" t="s">
        <v>1017</v>
      </c>
      <c r="AF2270" s="147"/>
      <c r="AG2270" s="147"/>
      <c r="AH2270" s="166" t="str">
        <f t="shared" si="1000"/>
        <v/>
      </c>
      <c r="AI2270" s="168" t="str">
        <f t="shared" si="988"/>
        <v/>
      </c>
      <c r="AJ2270" s="168" t="str">
        <f t="shared" si="989"/>
        <v/>
      </c>
      <c r="AK2270" s="168" t="str">
        <f t="shared" si="990"/>
        <v/>
      </c>
      <c r="AL2270" s="168" t="str">
        <f t="shared" si="991"/>
        <v/>
      </c>
      <c r="AM2270" s="168" t="str">
        <f t="shared" si="992"/>
        <v/>
      </c>
      <c r="AN2270" s="167" t="str">
        <f t="shared" si="975"/>
        <v/>
      </c>
      <c r="AO2270" s="167" t="str">
        <f t="shared" si="976"/>
        <v/>
      </c>
      <c r="AP2270" s="167" t="str">
        <f t="shared" si="977"/>
        <v/>
      </c>
      <c r="AQ2270" s="169" t="str">
        <f t="shared" si="978"/>
        <v/>
      </c>
      <c r="AR2270" s="170" t="str">
        <f t="shared" si="979"/>
        <v>BiK82GbKWK--08</v>
      </c>
      <c r="AS2270" s="169" t="str">
        <f t="shared" si="980"/>
        <v/>
      </c>
      <c r="AT2270">
        <f t="shared" si="981"/>
        <v>14</v>
      </c>
      <c r="AU2270" s="170" t="str">
        <f t="shared" si="982"/>
        <v>0,15-0,5 MW, Bonusregeln G, b und KWK</v>
      </c>
      <c r="AV2270" s="169" t="str">
        <f t="shared" si="983"/>
        <v/>
      </c>
      <c r="AW2270" s="170" t="str">
        <f t="shared" si="984"/>
        <v>Anteil KWK</v>
      </c>
      <c r="AX2270" s="169" t="str">
        <f t="shared" si="985"/>
        <v/>
      </c>
      <c r="AY2270" t="str">
        <f t="shared" si="986"/>
        <v/>
      </c>
      <c r="AZ2270" t="str">
        <f t="shared" si="987"/>
        <v/>
      </c>
    </row>
    <row r="2271" spans="1:52" s="145" customFormat="1" x14ac:dyDescent="0.35">
      <c r="A2271" s="497" t="s">
        <v>2226</v>
      </c>
      <c r="B2271" s="13" t="s">
        <v>5547</v>
      </c>
      <c r="C2271" s="13" t="s">
        <v>5539</v>
      </c>
      <c r="D2271" s="13" t="s">
        <v>7155</v>
      </c>
      <c r="E2271" s="13" t="s">
        <v>4330</v>
      </c>
      <c r="F2271" s="373">
        <f t="shared" si="994"/>
        <v>21.32</v>
      </c>
      <c r="G2271" s="430">
        <v>21.32</v>
      </c>
      <c r="H2271" s="399">
        <f t="shared" si="995"/>
        <v>17.059999999999999</v>
      </c>
      <c r="I2271" s="576"/>
      <c r="J2271" s="549" t="s">
        <v>5804</v>
      </c>
      <c r="K2271" s="11"/>
      <c r="L2271"/>
      <c r="M2271" s="37">
        <f t="shared" si="996"/>
        <v>21.32</v>
      </c>
      <c r="N2271" s="29">
        <v>9.32</v>
      </c>
      <c r="O2271" s="149"/>
      <c r="P2271" s="145" t="s">
        <v>1017</v>
      </c>
      <c r="S2271" s="145" t="s">
        <v>4179</v>
      </c>
      <c r="T2271" s="145" t="s">
        <v>4179</v>
      </c>
      <c r="U2271" s="146"/>
      <c r="W2271" s="147"/>
      <c r="X2271" s="147"/>
      <c r="Y2271" s="145" t="s">
        <v>1017</v>
      </c>
      <c r="Z2271" s="147"/>
      <c r="AC2271" s="147"/>
      <c r="AE2271" s="148" t="s">
        <v>1017</v>
      </c>
      <c r="AF2271" s="147"/>
      <c r="AG2271" s="147"/>
      <c r="AH2271" s="166" t="str">
        <f t="shared" si="1000"/>
        <v/>
      </c>
      <c r="AI2271" s="168" t="str">
        <f t="shared" si="988"/>
        <v/>
      </c>
      <c r="AJ2271" s="168" t="str">
        <f t="shared" si="989"/>
        <v/>
      </c>
      <c r="AK2271" s="168" t="str">
        <f t="shared" si="990"/>
        <v/>
      </c>
      <c r="AL2271" s="168" t="str">
        <f t="shared" si="991"/>
        <v/>
      </c>
      <c r="AM2271" s="168" t="str">
        <f t="shared" si="992"/>
        <v/>
      </c>
      <c r="AN2271" s="167" t="str">
        <f t="shared" si="975"/>
        <v/>
      </c>
      <c r="AO2271" s="167" t="str">
        <f t="shared" si="976"/>
        <v/>
      </c>
      <c r="AP2271" s="167" t="str">
        <f t="shared" si="977"/>
        <v/>
      </c>
      <c r="AQ2271" s="169" t="str">
        <f t="shared" si="978"/>
        <v/>
      </c>
      <c r="AR2271" s="170" t="str">
        <f t="shared" si="979"/>
        <v>BiK82GbKA3--08</v>
      </c>
      <c r="AS2271" s="169" t="str">
        <f t="shared" si="980"/>
        <v/>
      </c>
      <c r="AT2271">
        <f t="shared" si="981"/>
        <v>14</v>
      </c>
      <c r="AU2271" s="170" t="str">
        <f t="shared" si="982"/>
        <v>0,15-0,5 MW, Bonusregeln G, b und K wenn Anlage 3 erfüllt</v>
      </c>
      <c r="AV2271" s="169" t="str">
        <f t="shared" si="983"/>
        <v/>
      </c>
      <c r="AW2271" s="170" t="str">
        <f t="shared" si="984"/>
        <v>Anteil KWK gemäß Anlage 3</v>
      </c>
      <c r="AX2271" s="169" t="str">
        <f t="shared" si="985"/>
        <v/>
      </c>
      <c r="AY2271" t="str">
        <f t="shared" si="986"/>
        <v/>
      </c>
      <c r="AZ2271" t="str">
        <f t="shared" si="987"/>
        <v/>
      </c>
    </row>
    <row r="2272" spans="1:52" s="145" customFormat="1" x14ac:dyDescent="0.35">
      <c r="A2272" s="497" t="s">
        <v>2227</v>
      </c>
      <c r="B2272" s="13" t="s">
        <v>5547</v>
      </c>
      <c r="C2272" s="13" t="s">
        <v>5539</v>
      </c>
      <c r="D2272" s="13" t="s">
        <v>7156</v>
      </c>
      <c r="E2272" s="13" t="s">
        <v>674</v>
      </c>
      <c r="F2272" s="373">
        <f t="shared" si="994"/>
        <v>21.32</v>
      </c>
      <c r="G2272" s="430">
        <v>21.32</v>
      </c>
      <c r="H2272" s="399">
        <f t="shared" si="995"/>
        <v>17.059999999999999</v>
      </c>
      <c r="I2272" s="576"/>
      <c r="J2272" s="549" t="s">
        <v>5804</v>
      </c>
      <c r="K2272" s="11"/>
      <c r="L2272"/>
      <c r="M2272" s="37">
        <f t="shared" si="996"/>
        <v>21.32</v>
      </c>
      <c r="N2272" s="29">
        <v>9.32</v>
      </c>
      <c r="O2272" s="149"/>
      <c r="P2272" s="144"/>
      <c r="Q2272" s="145" t="s">
        <v>1017</v>
      </c>
      <c r="S2272" s="145" t="s">
        <v>4179</v>
      </c>
      <c r="T2272" s="145" t="s">
        <v>4179</v>
      </c>
      <c r="U2272" s="146"/>
      <c r="W2272" s="147"/>
      <c r="X2272" s="147"/>
      <c r="Y2272" s="145" t="s">
        <v>1017</v>
      </c>
      <c r="Z2272" s="147"/>
      <c r="AC2272" s="147"/>
      <c r="AE2272" s="148" t="s">
        <v>1017</v>
      </c>
      <c r="AF2272" s="147"/>
      <c r="AG2272" s="147"/>
      <c r="AH2272" s="166" t="str">
        <f t="shared" si="1000"/>
        <v/>
      </c>
      <c r="AI2272" s="168" t="str">
        <f t="shared" si="988"/>
        <v/>
      </c>
      <c r="AJ2272" s="168" t="str">
        <f t="shared" si="989"/>
        <v/>
      </c>
      <c r="AK2272" s="168" t="str">
        <f t="shared" si="990"/>
        <v/>
      </c>
      <c r="AL2272" s="168" t="str">
        <f t="shared" si="991"/>
        <v/>
      </c>
      <c r="AM2272" s="168" t="str">
        <f t="shared" si="992"/>
        <v/>
      </c>
      <c r="AN2272" s="167" t="str">
        <f t="shared" si="975"/>
        <v/>
      </c>
      <c r="AO2272" s="167" t="str">
        <f t="shared" si="976"/>
        <v/>
      </c>
      <c r="AP2272" s="167" t="str">
        <f t="shared" si="977"/>
        <v/>
      </c>
      <c r="AQ2272" s="169" t="str">
        <f t="shared" si="978"/>
        <v/>
      </c>
      <c r="AR2272" s="170" t="str">
        <f t="shared" si="979"/>
        <v>BiK82GbK09--08</v>
      </c>
      <c r="AS2272" s="169" t="str">
        <f t="shared" si="980"/>
        <v/>
      </c>
      <c r="AT2272">
        <f t="shared" si="981"/>
        <v>14</v>
      </c>
      <c r="AU2272" s="170" t="str">
        <f t="shared" si="982"/>
        <v>0,15-0,5 MW, Bonusregeln G, b und K erstmals 2009</v>
      </c>
      <c r="AV2272" s="169" t="str">
        <f t="shared" si="983"/>
        <v/>
      </c>
      <c r="AW2272" s="170" t="str">
        <f t="shared" si="984"/>
        <v>Anteil KWK, erstmals 2009</v>
      </c>
      <c r="AX2272" s="169" t="str">
        <f t="shared" si="985"/>
        <v/>
      </c>
      <c r="AY2272" t="str">
        <f t="shared" si="986"/>
        <v/>
      </c>
      <c r="AZ2272" t="str">
        <f t="shared" si="987"/>
        <v/>
      </c>
    </row>
    <row r="2273" spans="1:52" s="145" customFormat="1" x14ac:dyDescent="0.35">
      <c r="A2273" s="497" t="s">
        <v>3268</v>
      </c>
      <c r="B2273" s="13" t="s">
        <v>5547</v>
      </c>
      <c r="C2273" s="13" t="s">
        <v>5539</v>
      </c>
      <c r="D2273" s="13" t="s">
        <v>7157</v>
      </c>
      <c r="E2273" s="13" t="s">
        <v>3566</v>
      </c>
      <c r="F2273" s="373">
        <f t="shared" si="994"/>
        <v>21.29</v>
      </c>
      <c r="G2273" s="430">
        <v>21.29</v>
      </c>
      <c r="H2273" s="399">
        <f t="shared" si="995"/>
        <v>17.03</v>
      </c>
      <c r="I2273" s="576"/>
      <c r="J2273" s="549" t="s">
        <v>5804</v>
      </c>
      <c r="K2273" s="11"/>
      <c r="L2273"/>
      <c r="M2273" s="37">
        <f t="shared" si="996"/>
        <v>21.29</v>
      </c>
      <c r="N2273" s="29">
        <v>9.32</v>
      </c>
      <c r="O2273" s="149"/>
      <c r="P2273" s="144"/>
      <c r="R2273" s="145" t="s">
        <v>1017</v>
      </c>
      <c r="S2273" s="145" t="s">
        <v>4179</v>
      </c>
      <c r="T2273" s="145" t="s">
        <v>4179</v>
      </c>
      <c r="U2273" s="146"/>
      <c r="W2273" s="147"/>
      <c r="X2273" s="147"/>
      <c r="Y2273" s="145" t="s">
        <v>1017</v>
      </c>
      <c r="Z2273" s="147"/>
      <c r="AC2273" s="147"/>
      <c r="AE2273" s="148" t="s">
        <v>1017</v>
      </c>
      <c r="AF2273" s="147"/>
      <c r="AG2273" s="147"/>
      <c r="AH2273" s="166" t="str">
        <f t="shared" si="1000"/>
        <v>2010</v>
      </c>
      <c r="AI2273" s="168" t="str">
        <f t="shared" si="988"/>
        <v/>
      </c>
      <c r="AJ2273" s="168" t="str">
        <f t="shared" si="989"/>
        <v/>
      </c>
      <c r="AK2273" s="168" t="str">
        <f t="shared" si="990"/>
        <v/>
      </c>
      <c r="AL2273" s="168" t="str">
        <f t="shared" si="991"/>
        <v/>
      </c>
      <c r="AM2273" s="168" t="str">
        <f t="shared" si="992"/>
        <v/>
      </c>
      <c r="AN2273" s="167" t="str">
        <f t="shared" si="975"/>
        <v>2010</v>
      </c>
      <c r="AO2273" s="167" t="str">
        <f t="shared" si="976"/>
        <v>2010</v>
      </c>
      <c r="AP2273" s="167" t="str">
        <f t="shared" si="977"/>
        <v>2010</v>
      </c>
      <c r="AQ2273" s="169" t="str">
        <f t="shared" si="978"/>
        <v/>
      </c>
      <c r="AR2273" s="170" t="str">
        <f t="shared" si="979"/>
        <v>BiK82GbK10--08</v>
      </c>
      <c r="AS2273" s="169" t="str">
        <f t="shared" si="980"/>
        <v/>
      </c>
      <c r="AT2273">
        <f t="shared" si="981"/>
        <v>14</v>
      </c>
      <c r="AU2273" s="170" t="str">
        <f t="shared" si="982"/>
        <v>0,15-0,5 MW, Bonusregeln G, b und K erstmals 2010</v>
      </c>
      <c r="AV2273" s="169" t="str">
        <f t="shared" si="983"/>
        <v/>
      </c>
      <c r="AW2273" s="170" t="str">
        <f t="shared" si="984"/>
        <v>Anteil KWK, erstmals 2010</v>
      </c>
      <c r="AX2273" s="169" t="str">
        <f t="shared" si="985"/>
        <v/>
      </c>
      <c r="AY2273" t="str">
        <f t="shared" si="986"/>
        <v/>
      </c>
      <c r="AZ2273" t="str">
        <f t="shared" si="987"/>
        <v/>
      </c>
    </row>
    <row r="2274" spans="1:52" s="145" customFormat="1" x14ac:dyDescent="0.35">
      <c r="A2274" s="497" t="s">
        <v>3473</v>
      </c>
      <c r="B2274" s="13" t="s">
        <v>5547</v>
      </c>
      <c r="C2274" s="13" t="s">
        <v>5539</v>
      </c>
      <c r="D2274" s="13" t="s">
        <v>7158</v>
      </c>
      <c r="E2274" s="13" t="s">
        <v>3054</v>
      </c>
      <c r="F2274" s="373">
        <f t="shared" si="994"/>
        <v>21.259999999999998</v>
      </c>
      <c r="G2274" s="430">
        <v>21.259999999999998</v>
      </c>
      <c r="H2274" s="399">
        <f t="shared" si="995"/>
        <v>17.010000000000002</v>
      </c>
      <c r="I2274" s="576"/>
      <c r="J2274" s="549" t="s">
        <v>5804</v>
      </c>
      <c r="K2274" s="11"/>
      <c r="L2274"/>
      <c r="M2274" s="37">
        <f t="shared" si="996"/>
        <v>21.259999999999998</v>
      </c>
      <c r="N2274" s="29">
        <v>9.32</v>
      </c>
      <c r="O2274" s="149"/>
      <c r="P2274" s="144"/>
      <c r="S2274" s="145" t="s">
        <v>1017</v>
      </c>
      <c r="T2274" s="145" t="s">
        <v>4179</v>
      </c>
      <c r="U2274" s="146"/>
      <c r="W2274" s="147"/>
      <c r="X2274" s="147"/>
      <c r="Y2274" s="145" t="s">
        <v>1017</v>
      </c>
      <c r="Z2274" s="147"/>
      <c r="AC2274" s="147"/>
      <c r="AE2274" s="148" t="s">
        <v>1017</v>
      </c>
      <c r="AF2274" s="147"/>
      <c r="AG2274" s="147"/>
      <c r="AH2274" s="166" t="str">
        <f t="shared" si="1000"/>
        <v>2011</v>
      </c>
      <c r="AI2274" s="168" t="str">
        <f t="shared" si="988"/>
        <v/>
      </c>
      <c r="AJ2274" s="168" t="str">
        <f t="shared" si="989"/>
        <v/>
      </c>
      <c r="AK2274" s="168" t="str">
        <f t="shared" si="990"/>
        <v/>
      </c>
      <c r="AL2274" s="168" t="str">
        <f t="shared" si="991"/>
        <v/>
      </c>
      <c r="AM2274" s="168" t="str">
        <f t="shared" si="992"/>
        <v/>
      </c>
      <c r="AN2274" s="167" t="str">
        <f t="shared" si="975"/>
        <v>2011</v>
      </c>
      <c r="AO2274" s="167" t="str">
        <f t="shared" si="976"/>
        <v>2011</v>
      </c>
      <c r="AP2274" s="167" t="str">
        <f t="shared" si="977"/>
        <v>2011</v>
      </c>
      <c r="AQ2274" s="169" t="str">
        <f t="shared" si="978"/>
        <v/>
      </c>
      <c r="AR2274" s="170" t="str">
        <f t="shared" si="979"/>
        <v>BiK82GbK11--08</v>
      </c>
      <c r="AS2274" s="169" t="str">
        <f t="shared" si="980"/>
        <v/>
      </c>
      <c r="AT2274">
        <f t="shared" si="981"/>
        <v>14</v>
      </c>
      <c r="AU2274" s="170" t="str">
        <f t="shared" si="982"/>
        <v>0,15-0,5 MW, Bonusregeln G, b und K erstmals 2011</v>
      </c>
      <c r="AV2274" s="169" t="str">
        <f t="shared" si="983"/>
        <v/>
      </c>
      <c r="AW2274" s="170" t="str">
        <f t="shared" si="984"/>
        <v>Anteil KWK, erstmals 2011</v>
      </c>
      <c r="AX2274" s="169" t="str">
        <f t="shared" si="985"/>
        <v/>
      </c>
      <c r="AY2274" t="str">
        <f t="shared" si="986"/>
        <v>x</v>
      </c>
      <c r="AZ2274" t="str">
        <f t="shared" si="987"/>
        <v/>
      </c>
    </row>
    <row r="2275" spans="1:52" s="145" customFormat="1" x14ac:dyDescent="0.35">
      <c r="A2275" s="511" t="s">
        <v>1906</v>
      </c>
      <c r="B2275" s="173" t="s">
        <v>5547</v>
      </c>
      <c r="C2275" s="173" t="s">
        <v>5539</v>
      </c>
      <c r="D2275" s="173" t="s">
        <v>7159</v>
      </c>
      <c r="E2275" s="173" t="s">
        <v>1980</v>
      </c>
      <c r="F2275" s="374">
        <f t="shared" si="994"/>
        <v>21.23</v>
      </c>
      <c r="G2275" s="431">
        <v>21.23</v>
      </c>
      <c r="H2275" s="400">
        <f t="shared" si="995"/>
        <v>16.98</v>
      </c>
      <c r="I2275" s="577"/>
      <c r="J2275" s="549" t="s">
        <v>5804</v>
      </c>
      <c r="K2275" s="11"/>
      <c r="L2275"/>
      <c r="M2275" s="37">
        <f t="shared" si="996"/>
        <v>21.23</v>
      </c>
      <c r="N2275" s="29">
        <v>9.32</v>
      </c>
      <c r="O2275" s="149"/>
      <c r="P2275" s="144"/>
      <c r="S2275" s="145" t="s">
        <v>4179</v>
      </c>
      <c r="T2275" s="145" t="s">
        <v>1017</v>
      </c>
      <c r="U2275" s="146"/>
      <c r="W2275" s="147"/>
      <c r="X2275" s="147"/>
      <c r="Y2275" s="145" t="s">
        <v>1017</v>
      </c>
      <c r="Z2275" s="147"/>
      <c r="AC2275" s="147"/>
      <c r="AE2275" s="148" t="s">
        <v>1017</v>
      </c>
      <c r="AF2275" s="147"/>
      <c r="AG2275" s="147"/>
      <c r="AH2275" s="171" t="s">
        <v>4178</v>
      </c>
      <c r="AI2275" s="168" t="str">
        <f t="shared" si="988"/>
        <v/>
      </c>
      <c r="AJ2275" s="168" t="str">
        <f t="shared" si="989"/>
        <v/>
      </c>
      <c r="AK2275" s="168" t="str">
        <f t="shared" si="990"/>
        <v/>
      </c>
      <c r="AL2275" s="168" t="str">
        <f t="shared" si="991"/>
        <v/>
      </c>
      <c r="AM2275" s="168" t="str">
        <f t="shared" si="992"/>
        <v/>
      </c>
      <c r="AN2275" s="167" t="str">
        <f t="shared" si="975"/>
        <v>2012</v>
      </c>
      <c r="AO2275" s="167" t="str">
        <f t="shared" si="976"/>
        <v>2012</v>
      </c>
      <c r="AP2275" s="167" t="str">
        <f t="shared" si="977"/>
        <v>2012</v>
      </c>
      <c r="AQ2275" s="169" t="str">
        <f t="shared" si="978"/>
        <v/>
      </c>
      <c r="AR2275" s="170" t="str">
        <f t="shared" si="979"/>
        <v>BiK82GbK12--08</v>
      </c>
      <c r="AS2275" s="169" t="str">
        <f t="shared" si="980"/>
        <v/>
      </c>
      <c r="AT2275">
        <f t="shared" si="981"/>
        <v>14</v>
      </c>
      <c r="AU2275" s="170" t="str">
        <f t="shared" si="982"/>
        <v>0,15-0,5 MW, Bonusregeln G, b und K erstmals 2012</v>
      </c>
      <c r="AV2275" s="169" t="str">
        <f t="shared" si="983"/>
        <v/>
      </c>
      <c r="AW2275" s="170" t="str">
        <f t="shared" si="984"/>
        <v>Anteil KWK, erstmals 2012</v>
      </c>
      <c r="AX2275" s="169" t="str">
        <f t="shared" si="985"/>
        <v/>
      </c>
      <c r="AY2275" t="str">
        <f t="shared" si="986"/>
        <v/>
      </c>
      <c r="AZ2275" t="str">
        <f t="shared" si="987"/>
        <v>x</v>
      </c>
    </row>
    <row r="2276" spans="1:52" s="145" customFormat="1" x14ac:dyDescent="0.35">
      <c r="A2276" s="497" t="s">
        <v>2228</v>
      </c>
      <c r="B2276" s="13" t="s">
        <v>5547</v>
      </c>
      <c r="C2276" s="13" t="s">
        <v>5539</v>
      </c>
      <c r="D2276" s="13" t="s">
        <v>7160</v>
      </c>
      <c r="E2276" s="13" t="s">
        <v>4809</v>
      </c>
      <c r="F2276" s="373">
        <f t="shared" si="994"/>
        <v>19.32</v>
      </c>
      <c r="G2276" s="430">
        <v>19.32</v>
      </c>
      <c r="H2276" s="399">
        <f t="shared" si="995"/>
        <v>15.46</v>
      </c>
      <c r="I2276" s="576"/>
      <c r="J2276" s="549" t="s">
        <v>5804</v>
      </c>
      <c r="K2276" s="11"/>
      <c r="L2276"/>
      <c r="M2276" s="37">
        <f t="shared" si="996"/>
        <v>19.32</v>
      </c>
      <c r="N2276" s="29">
        <v>9.32</v>
      </c>
      <c r="O2276" s="149"/>
      <c r="P2276" s="144"/>
      <c r="S2276" s="145" t="s">
        <v>4179</v>
      </c>
      <c r="T2276" s="145" t="s">
        <v>4179</v>
      </c>
      <c r="U2276" s="146" t="s">
        <v>1017</v>
      </c>
      <c r="W2276" s="147"/>
      <c r="X2276" s="147"/>
      <c r="Y2276" s="145" t="s">
        <v>1017</v>
      </c>
      <c r="Z2276" s="147"/>
      <c r="AC2276" s="147"/>
      <c r="AE2276" s="148" t="s">
        <v>1017</v>
      </c>
      <c r="AF2276" s="147"/>
      <c r="AG2276" s="147"/>
      <c r="AH2276" s="166" t="str">
        <f t="shared" ref="AH2276:AH2281" si="1001">IF(ISERROR(SEARCH("K erstmals 201",D2276)),"",RIGHT(D2276,4))</f>
        <v/>
      </c>
      <c r="AI2276" s="168" t="str">
        <f t="shared" si="988"/>
        <v/>
      </c>
      <c r="AJ2276" s="168" t="str">
        <f t="shared" si="989"/>
        <v/>
      </c>
      <c r="AK2276" s="168" t="str">
        <f t="shared" si="990"/>
        <v/>
      </c>
      <c r="AL2276" s="168" t="str">
        <f t="shared" si="991"/>
        <v/>
      </c>
      <c r="AM2276" s="168" t="str">
        <f t="shared" si="992"/>
        <v/>
      </c>
      <c r="AN2276" s="167" t="str">
        <f t="shared" si="975"/>
        <v/>
      </c>
      <c r="AO2276" s="167" t="str">
        <f t="shared" si="976"/>
        <v/>
      </c>
      <c r="AP2276" s="167" t="str">
        <f t="shared" si="977"/>
        <v/>
      </c>
      <c r="AQ2276" s="169" t="str">
        <f t="shared" si="978"/>
        <v/>
      </c>
      <c r="AR2276" s="170" t="str">
        <f t="shared" si="979"/>
        <v>BiK82Gby----08</v>
      </c>
      <c r="AS2276" s="169" t="str">
        <f t="shared" si="980"/>
        <v/>
      </c>
      <c r="AT2276">
        <f t="shared" si="981"/>
        <v>14</v>
      </c>
      <c r="AU2276" s="170" t="str">
        <f t="shared" si="982"/>
        <v>0,15-0,5 MW, Bonusregeln G, y, b</v>
      </c>
      <c r="AV2276" s="169" t="str">
        <f t="shared" si="983"/>
        <v/>
      </c>
      <c r="AW2276" s="170" t="str">
        <f t="shared" si="984"/>
        <v>Anteil Nicht-KWK</v>
      </c>
      <c r="AX2276" s="169" t="str">
        <f t="shared" si="985"/>
        <v/>
      </c>
      <c r="AY2276" t="str">
        <f t="shared" si="986"/>
        <v/>
      </c>
      <c r="AZ2276" t="str">
        <f t="shared" si="987"/>
        <v/>
      </c>
    </row>
    <row r="2277" spans="1:52" s="145" customFormat="1" x14ac:dyDescent="0.35">
      <c r="A2277" s="497" t="s">
        <v>2229</v>
      </c>
      <c r="B2277" s="13" t="s">
        <v>5547</v>
      </c>
      <c r="C2277" s="13" t="s">
        <v>5539</v>
      </c>
      <c r="D2277" s="13" t="s">
        <v>7161</v>
      </c>
      <c r="E2277" s="13" t="s">
        <v>4811</v>
      </c>
      <c r="F2277" s="373">
        <f t="shared" si="994"/>
        <v>21.32</v>
      </c>
      <c r="G2277" s="430">
        <v>21.32</v>
      </c>
      <c r="H2277" s="399">
        <f t="shared" si="995"/>
        <v>17.059999999999999</v>
      </c>
      <c r="I2277" s="576"/>
      <c r="J2277" s="549" t="s">
        <v>5804</v>
      </c>
      <c r="K2277" s="11"/>
      <c r="L2277"/>
      <c r="M2277" s="37">
        <f t="shared" si="996"/>
        <v>21.32</v>
      </c>
      <c r="N2277" s="29">
        <v>9.32</v>
      </c>
      <c r="O2277" s="149" t="s">
        <v>1017</v>
      </c>
      <c r="P2277" s="144"/>
      <c r="S2277" s="145" t="s">
        <v>4179</v>
      </c>
      <c r="T2277" s="145" t="s">
        <v>4179</v>
      </c>
      <c r="U2277" s="146" t="s">
        <v>1017</v>
      </c>
      <c r="W2277" s="147"/>
      <c r="X2277" s="147"/>
      <c r="Y2277" s="145" t="s">
        <v>1017</v>
      </c>
      <c r="Z2277" s="147"/>
      <c r="AC2277" s="147"/>
      <c r="AE2277" s="148" t="s">
        <v>1017</v>
      </c>
      <c r="AF2277" s="147"/>
      <c r="AG2277" s="147"/>
      <c r="AH2277" s="166" t="str">
        <f t="shared" si="1001"/>
        <v/>
      </c>
      <c r="AI2277" s="168" t="str">
        <f t="shared" si="988"/>
        <v/>
      </c>
      <c r="AJ2277" s="168" t="str">
        <f t="shared" si="989"/>
        <v/>
      </c>
      <c r="AK2277" s="168" t="str">
        <f t="shared" si="990"/>
        <v/>
      </c>
      <c r="AL2277" s="168" t="str">
        <f t="shared" si="991"/>
        <v/>
      </c>
      <c r="AM2277" s="168" t="str">
        <f t="shared" si="992"/>
        <v/>
      </c>
      <c r="AN2277" s="167" t="str">
        <f t="shared" si="975"/>
        <v/>
      </c>
      <c r="AO2277" s="167" t="str">
        <f t="shared" si="976"/>
        <v/>
      </c>
      <c r="AP2277" s="167" t="str">
        <f t="shared" si="977"/>
        <v/>
      </c>
      <c r="AQ2277" s="169" t="str">
        <f t="shared" si="978"/>
        <v/>
      </c>
      <c r="AR2277" s="170" t="str">
        <f t="shared" si="979"/>
        <v>BiK82GbKWKy-08</v>
      </c>
      <c r="AS2277" s="169" t="str">
        <f t="shared" si="980"/>
        <v/>
      </c>
      <c r="AT2277">
        <f t="shared" si="981"/>
        <v>14</v>
      </c>
      <c r="AU2277" s="170" t="str">
        <f t="shared" si="982"/>
        <v>0,15-0,5 MW, Bonusregeln G, y, b und KWK</v>
      </c>
      <c r="AV2277" s="169" t="str">
        <f t="shared" si="983"/>
        <v/>
      </c>
      <c r="AW2277" s="170" t="str">
        <f t="shared" si="984"/>
        <v>Anteil KWK</v>
      </c>
      <c r="AX2277" s="169" t="str">
        <f t="shared" si="985"/>
        <v/>
      </c>
      <c r="AY2277" t="str">
        <f t="shared" si="986"/>
        <v/>
      </c>
      <c r="AZ2277" t="str">
        <f t="shared" si="987"/>
        <v/>
      </c>
    </row>
    <row r="2278" spans="1:52" s="145" customFormat="1" x14ac:dyDescent="0.35">
      <c r="A2278" s="497" t="s">
        <v>2230</v>
      </c>
      <c r="B2278" s="13" t="s">
        <v>5547</v>
      </c>
      <c r="C2278" s="13" t="s">
        <v>5539</v>
      </c>
      <c r="D2278" s="88" t="s">
        <v>7162</v>
      </c>
      <c r="E2278" s="13" t="s">
        <v>4330</v>
      </c>
      <c r="F2278" s="373">
        <f t="shared" si="994"/>
        <v>22.32</v>
      </c>
      <c r="G2278" s="430">
        <v>22.32</v>
      </c>
      <c r="H2278" s="399">
        <f t="shared" si="995"/>
        <v>17.86</v>
      </c>
      <c r="I2278" s="576"/>
      <c r="J2278" s="549" t="s">
        <v>5804</v>
      </c>
      <c r="K2278" s="11"/>
      <c r="L2278"/>
      <c r="M2278" s="37">
        <f t="shared" si="996"/>
        <v>22.32</v>
      </c>
      <c r="N2278" s="29">
        <v>9.32</v>
      </c>
      <c r="O2278" s="149"/>
      <c r="P2278" s="145" t="s">
        <v>1017</v>
      </c>
      <c r="S2278" s="145" t="s">
        <v>4179</v>
      </c>
      <c r="T2278" s="145" t="s">
        <v>4179</v>
      </c>
      <c r="U2278" s="146" t="s">
        <v>1017</v>
      </c>
      <c r="W2278" s="147"/>
      <c r="X2278" s="147"/>
      <c r="Y2278" s="145" t="s">
        <v>1017</v>
      </c>
      <c r="Z2278" s="147"/>
      <c r="AC2278" s="147"/>
      <c r="AE2278" s="148" t="s">
        <v>1017</v>
      </c>
      <c r="AF2278" s="147"/>
      <c r="AG2278" s="147"/>
      <c r="AH2278" s="166" t="str">
        <f t="shared" si="1001"/>
        <v/>
      </c>
      <c r="AI2278" s="168" t="str">
        <f t="shared" si="988"/>
        <v/>
      </c>
      <c r="AJ2278" s="168" t="str">
        <f t="shared" si="989"/>
        <v/>
      </c>
      <c r="AK2278" s="168" t="str">
        <f t="shared" si="990"/>
        <v/>
      </c>
      <c r="AL2278" s="168" t="str">
        <f t="shared" si="991"/>
        <v/>
      </c>
      <c r="AM2278" s="168" t="str">
        <f t="shared" si="992"/>
        <v/>
      </c>
      <c r="AN2278" s="167" t="str">
        <f t="shared" si="975"/>
        <v/>
      </c>
      <c r="AO2278" s="167" t="str">
        <f t="shared" si="976"/>
        <v/>
      </c>
      <c r="AP2278" s="167" t="str">
        <f t="shared" si="977"/>
        <v/>
      </c>
      <c r="AQ2278" s="169" t="str">
        <f t="shared" si="978"/>
        <v/>
      </c>
      <c r="AR2278" s="170" t="str">
        <f t="shared" si="979"/>
        <v>BiK82GbKA3y-08</v>
      </c>
      <c r="AS2278" s="169" t="str">
        <f t="shared" si="980"/>
        <v/>
      </c>
      <c r="AT2278">
        <f t="shared" si="981"/>
        <v>14</v>
      </c>
      <c r="AU2278" s="170" t="str">
        <f t="shared" si="982"/>
        <v>0,15-0,5 MW, Bonusregeln G, y, b und K wenn Anlage 3 erfüllt</v>
      </c>
      <c r="AV2278" s="169" t="str">
        <f t="shared" si="983"/>
        <v/>
      </c>
      <c r="AW2278" s="170" t="str">
        <f t="shared" si="984"/>
        <v>Anteil KWK gemäß Anlage 3</v>
      </c>
      <c r="AX2278" s="169" t="str">
        <f t="shared" si="985"/>
        <v/>
      </c>
      <c r="AY2278" t="str">
        <f t="shared" si="986"/>
        <v/>
      </c>
      <c r="AZ2278" t="str">
        <f t="shared" si="987"/>
        <v/>
      </c>
    </row>
    <row r="2279" spans="1:52" x14ac:dyDescent="0.35">
      <c r="A2279" s="497" t="s">
        <v>2231</v>
      </c>
      <c r="B2279" s="13" t="s">
        <v>5547</v>
      </c>
      <c r="C2279" s="13" t="s">
        <v>5539</v>
      </c>
      <c r="D2279" s="13" t="s">
        <v>7163</v>
      </c>
      <c r="E2279" s="13" t="s">
        <v>674</v>
      </c>
      <c r="F2279" s="373">
        <f t="shared" si="994"/>
        <v>22.32</v>
      </c>
      <c r="G2279" s="430">
        <v>22.32</v>
      </c>
      <c r="H2279" s="399">
        <f t="shared" si="995"/>
        <v>17.86</v>
      </c>
      <c r="I2279" s="576"/>
      <c r="J2279" s="549" t="s">
        <v>5804</v>
      </c>
      <c r="K2279" s="11"/>
      <c r="M2279" s="37">
        <f t="shared" si="996"/>
        <v>22.32</v>
      </c>
      <c r="N2279" s="29">
        <v>9.32</v>
      </c>
      <c r="O2279" s="149"/>
      <c r="P2279" s="144"/>
      <c r="Q2279" s="145" t="s">
        <v>1017</v>
      </c>
      <c r="R2279" s="145"/>
      <c r="S2279" s="145" t="s">
        <v>4179</v>
      </c>
      <c r="T2279" t="s">
        <v>4179</v>
      </c>
      <c r="U2279" s="146" t="s">
        <v>1017</v>
      </c>
      <c r="V2279" s="145"/>
      <c r="W2279" s="147"/>
      <c r="X2279" s="147"/>
      <c r="Y2279" s="145" t="s">
        <v>1017</v>
      </c>
      <c r="Z2279" s="147"/>
      <c r="AA2279" s="145"/>
      <c r="AB2279" s="145"/>
      <c r="AC2279" s="147"/>
      <c r="AD2279" s="145"/>
      <c r="AE2279" s="148" t="s">
        <v>1017</v>
      </c>
      <c r="AF2279" s="147"/>
      <c r="AG2279" s="147"/>
      <c r="AH2279" s="166" t="str">
        <f t="shared" si="1001"/>
        <v/>
      </c>
      <c r="AI2279" s="168" t="str">
        <f t="shared" si="988"/>
        <v/>
      </c>
      <c r="AJ2279" s="168" t="str">
        <f t="shared" si="989"/>
        <v/>
      </c>
      <c r="AK2279" s="168" t="str">
        <f t="shared" si="990"/>
        <v/>
      </c>
      <c r="AL2279" s="168" t="str">
        <f t="shared" si="991"/>
        <v/>
      </c>
      <c r="AM2279" s="168" t="str">
        <f t="shared" si="992"/>
        <v/>
      </c>
      <c r="AN2279" s="167" t="str">
        <f t="shared" si="975"/>
        <v/>
      </c>
      <c r="AO2279" s="167" t="str">
        <f t="shared" si="976"/>
        <v/>
      </c>
      <c r="AP2279" s="167" t="str">
        <f t="shared" si="977"/>
        <v/>
      </c>
      <c r="AQ2279" s="169" t="str">
        <f t="shared" si="978"/>
        <v/>
      </c>
      <c r="AR2279" s="170" t="str">
        <f t="shared" si="979"/>
        <v>BiK82GbK09y-08</v>
      </c>
      <c r="AS2279" s="169" t="str">
        <f t="shared" si="980"/>
        <v/>
      </c>
      <c r="AT2279">
        <f t="shared" si="981"/>
        <v>14</v>
      </c>
      <c r="AU2279" s="170" t="str">
        <f t="shared" si="982"/>
        <v>0,15-0,5 MW, Bonusregeln G, y, b und K erstmals 2009</v>
      </c>
      <c r="AV2279" s="169" t="str">
        <f t="shared" si="983"/>
        <v/>
      </c>
      <c r="AW2279" s="170" t="str">
        <f t="shared" si="984"/>
        <v>Anteil KWK, erstmals 2009</v>
      </c>
      <c r="AX2279" s="169" t="str">
        <f t="shared" si="985"/>
        <v/>
      </c>
      <c r="AY2279" t="str">
        <f t="shared" si="986"/>
        <v/>
      </c>
      <c r="AZ2279" t="str">
        <f t="shared" si="987"/>
        <v/>
      </c>
    </row>
    <row r="2280" spans="1:52" x14ac:dyDescent="0.35">
      <c r="A2280" s="497" t="s">
        <v>3269</v>
      </c>
      <c r="B2280" s="13" t="s">
        <v>5547</v>
      </c>
      <c r="C2280" s="13" t="s">
        <v>5539</v>
      </c>
      <c r="D2280" s="13" t="s">
        <v>7164</v>
      </c>
      <c r="E2280" s="13" t="s">
        <v>3566</v>
      </c>
      <c r="F2280" s="373">
        <f t="shared" si="994"/>
        <v>22.29</v>
      </c>
      <c r="G2280" s="430">
        <v>22.29</v>
      </c>
      <c r="H2280" s="399">
        <f t="shared" si="995"/>
        <v>17.829999999999998</v>
      </c>
      <c r="I2280" s="576"/>
      <c r="J2280" s="549" t="s">
        <v>5804</v>
      </c>
      <c r="K2280" s="11"/>
      <c r="M2280" s="37">
        <f t="shared" si="996"/>
        <v>22.29</v>
      </c>
      <c r="N2280" s="29">
        <v>9.32</v>
      </c>
      <c r="O2280" s="149"/>
      <c r="P2280" s="144"/>
      <c r="Q2280" s="145"/>
      <c r="R2280" s="145" t="s">
        <v>1017</v>
      </c>
      <c r="S2280" s="145" t="s">
        <v>4179</v>
      </c>
      <c r="T2280" t="s">
        <v>4179</v>
      </c>
      <c r="U2280" s="146" t="s">
        <v>1017</v>
      </c>
      <c r="V2280" s="145"/>
      <c r="W2280" s="147"/>
      <c r="X2280" s="147"/>
      <c r="Y2280" s="145" t="s">
        <v>1017</v>
      </c>
      <c r="Z2280" s="147"/>
      <c r="AA2280" s="145"/>
      <c r="AB2280" s="145"/>
      <c r="AC2280" s="147"/>
      <c r="AD2280" s="145"/>
      <c r="AE2280" s="148" t="s">
        <v>1017</v>
      </c>
      <c r="AF2280" s="147"/>
      <c r="AG2280" s="147"/>
      <c r="AH2280" s="166" t="str">
        <f t="shared" si="1001"/>
        <v>2010</v>
      </c>
      <c r="AI2280" s="168" t="str">
        <f t="shared" si="988"/>
        <v/>
      </c>
      <c r="AJ2280" s="168" t="str">
        <f t="shared" si="989"/>
        <v/>
      </c>
      <c r="AK2280" s="168" t="str">
        <f t="shared" si="990"/>
        <v/>
      </c>
      <c r="AL2280" s="168" t="str">
        <f t="shared" si="991"/>
        <v/>
      </c>
      <c r="AM2280" s="168" t="str">
        <f t="shared" si="992"/>
        <v/>
      </c>
      <c r="AN2280" s="167" t="str">
        <f t="shared" si="975"/>
        <v>2010</v>
      </c>
      <c r="AO2280" s="167" t="str">
        <f t="shared" si="976"/>
        <v>2010</v>
      </c>
      <c r="AP2280" s="167" t="str">
        <f t="shared" si="977"/>
        <v>2010</v>
      </c>
      <c r="AQ2280" s="169" t="str">
        <f t="shared" si="978"/>
        <v/>
      </c>
      <c r="AR2280" s="170" t="str">
        <f t="shared" si="979"/>
        <v>BiK82GbK10y-08</v>
      </c>
      <c r="AS2280" s="169" t="str">
        <f t="shared" si="980"/>
        <v/>
      </c>
      <c r="AT2280">
        <f t="shared" si="981"/>
        <v>14</v>
      </c>
      <c r="AU2280" s="170" t="str">
        <f t="shared" si="982"/>
        <v>0,15-0,5 MW, Bonusregeln G, y, b und K erstmals 2010</v>
      </c>
      <c r="AV2280" s="169" t="str">
        <f t="shared" si="983"/>
        <v/>
      </c>
      <c r="AW2280" s="170" t="str">
        <f t="shared" si="984"/>
        <v>Anteil KWK, erstmals 2010</v>
      </c>
      <c r="AX2280" s="169" t="str">
        <f t="shared" si="985"/>
        <v/>
      </c>
      <c r="AY2280" t="str">
        <f t="shared" si="986"/>
        <v/>
      </c>
      <c r="AZ2280" t="str">
        <f t="shared" si="987"/>
        <v/>
      </c>
    </row>
    <row r="2281" spans="1:52" x14ac:dyDescent="0.35">
      <c r="A2281" s="497" t="s">
        <v>3474</v>
      </c>
      <c r="B2281" s="13" t="s">
        <v>5547</v>
      </c>
      <c r="C2281" s="13" t="s">
        <v>5539</v>
      </c>
      <c r="D2281" s="13" t="s">
        <v>7165</v>
      </c>
      <c r="E2281" s="13" t="s">
        <v>3054</v>
      </c>
      <c r="F2281" s="373">
        <f t="shared" si="994"/>
        <v>22.259999999999998</v>
      </c>
      <c r="G2281" s="430">
        <v>22.259999999999998</v>
      </c>
      <c r="H2281" s="399">
        <f t="shared" si="995"/>
        <v>17.809999999999999</v>
      </c>
      <c r="I2281" s="576"/>
      <c r="J2281" s="549" t="s">
        <v>5804</v>
      </c>
      <c r="K2281" s="11"/>
      <c r="M2281" s="37">
        <f t="shared" si="996"/>
        <v>22.259999999999998</v>
      </c>
      <c r="N2281" s="29">
        <v>9.32</v>
      </c>
      <c r="O2281" s="149"/>
      <c r="P2281" s="144"/>
      <c r="Q2281" s="145"/>
      <c r="R2281" s="145"/>
      <c r="S2281" s="145" t="s">
        <v>1017</v>
      </c>
      <c r="T2281" t="s">
        <v>4179</v>
      </c>
      <c r="U2281" s="146" t="s">
        <v>1017</v>
      </c>
      <c r="V2281" s="145"/>
      <c r="W2281" s="147"/>
      <c r="X2281" s="147"/>
      <c r="Y2281" s="145" t="s">
        <v>1017</v>
      </c>
      <c r="Z2281" s="147"/>
      <c r="AA2281" s="145"/>
      <c r="AB2281" s="145"/>
      <c r="AC2281" s="147"/>
      <c r="AD2281" s="145"/>
      <c r="AE2281" s="148" t="s">
        <v>1017</v>
      </c>
      <c r="AF2281" s="147"/>
      <c r="AG2281" s="147"/>
      <c r="AH2281" s="166" t="str">
        <f t="shared" si="1001"/>
        <v>2011</v>
      </c>
      <c r="AI2281" s="168" t="str">
        <f t="shared" si="988"/>
        <v/>
      </c>
      <c r="AJ2281" s="168" t="str">
        <f t="shared" si="989"/>
        <v/>
      </c>
      <c r="AK2281" s="168" t="str">
        <f t="shared" si="990"/>
        <v/>
      </c>
      <c r="AL2281" s="168" t="str">
        <f t="shared" si="991"/>
        <v/>
      </c>
      <c r="AM2281" s="168" t="str">
        <f t="shared" si="992"/>
        <v/>
      </c>
      <c r="AN2281" s="167" t="str">
        <f t="shared" si="975"/>
        <v>2011</v>
      </c>
      <c r="AO2281" s="167" t="str">
        <f t="shared" si="976"/>
        <v>2011</v>
      </c>
      <c r="AP2281" s="167" t="str">
        <f t="shared" si="977"/>
        <v>2011</v>
      </c>
      <c r="AQ2281" s="169" t="str">
        <f t="shared" si="978"/>
        <v/>
      </c>
      <c r="AR2281" s="170" t="str">
        <f t="shared" si="979"/>
        <v>BiK82GbK11y-08</v>
      </c>
      <c r="AS2281" s="169" t="str">
        <f t="shared" si="980"/>
        <v/>
      </c>
      <c r="AT2281">
        <f t="shared" si="981"/>
        <v>14</v>
      </c>
      <c r="AU2281" s="170" t="str">
        <f t="shared" si="982"/>
        <v>0,15-0,5 MW, Bonusregeln G, y, b und K erstmals 2011</v>
      </c>
      <c r="AV2281" s="169" t="str">
        <f t="shared" si="983"/>
        <v/>
      </c>
      <c r="AW2281" s="170" t="str">
        <f t="shared" si="984"/>
        <v>Anteil KWK, erstmals 2011</v>
      </c>
      <c r="AX2281" s="169" t="str">
        <f t="shared" si="985"/>
        <v/>
      </c>
      <c r="AY2281" t="str">
        <f t="shared" si="986"/>
        <v>x</v>
      </c>
      <c r="AZ2281" t="str">
        <f t="shared" si="987"/>
        <v/>
      </c>
    </row>
    <row r="2282" spans="1:52" x14ac:dyDescent="0.35">
      <c r="A2282" s="511" t="s">
        <v>1907</v>
      </c>
      <c r="B2282" s="173" t="s">
        <v>5547</v>
      </c>
      <c r="C2282" s="173" t="s">
        <v>5539</v>
      </c>
      <c r="D2282" s="173" t="s">
        <v>7166</v>
      </c>
      <c r="E2282" s="173" t="s">
        <v>1980</v>
      </c>
      <c r="F2282" s="374">
        <f t="shared" si="994"/>
        <v>22.23</v>
      </c>
      <c r="G2282" s="431">
        <v>22.23</v>
      </c>
      <c r="H2282" s="400">
        <f t="shared" si="995"/>
        <v>17.78</v>
      </c>
      <c r="I2282" s="577"/>
      <c r="J2282" s="549" t="s">
        <v>5804</v>
      </c>
      <c r="K2282" s="11"/>
      <c r="M2282" s="37">
        <f t="shared" si="996"/>
        <v>22.23</v>
      </c>
      <c r="N2282" s="29">
        <v>9.32</v>
      </c>
      <c r="O2282" s="149"/>
      <c r="P2282" s="144"/>
      <c r="Q2282" s="145"/>
      <c r="R2282" s="145"/>
      <c r="S2282" s="145" t="s">
        <v>4179</v>
      </c>
      <c r="T2282" t="s">
        <v>1017</v>
      </c>
      <c r="U2282" s="146" t="s">
        <v>1017</v>
      </c>
      <c r="V2282" s="145"/>
      <c r="W2282" s="147"/>
      <c r="X2282" s="147"/>
      <c r="Y2282" s="145" t="s">
        <v>1017</v>
      </c>
      <c r="Z2282" s="147"/>
      <c r="AA2282" s="145"/>
      <c r="AB2282" s="145"/>
      <c r="AC2282" s="147"/>
      <c r="AD2282" s="145"/>
      <c r="AE2282" s="148" t="s">
        <v>1017</v>
      </c>
      <c r="AF2282" s="147"/>
      <c r="AG2282" s="147"/>
      <c r="AH2282" s="171" t="s">
        <v>4178</v>
      </c>
      <c r="AI2282" s="168" t="str">
        <f t="shared" si="988"/>
        <v/>
      </c>
      <c r="AJ2282" s="168" t="str">
        <f t="shared" si="989"/>
        <v/>
      </c>
      <c r="AK2282" s="168" t="str">
        <f t="shared" si="990"/>
        <v/>
      </c>
      <c r="AL2282" s="168" t="str">
        <f t="shared" si="991"/>
        <v/>
      </c>
      <c r="AM2282" s="168" t="str">
        <f t="shared" si="992"/>
        <v/>
      </c>
      <c r="AN2282" s="167" t="str">
        <f t="shared" si="975"/>
        <v>2012</v>
      </c>
      <c r="AO2282" s="167" t="str">
        <f t="shared" si="976"/>
        <v>2012</v>
      </c>
      <c r="AP2282" s="167" t="str">
        <f t="shared" si="977"/>
        <v>2012</v>
      </c>
      <c r="AQ2282" s="169" t="str">
        <f t="shared" si="978"/>
        <v/>
      </c>
      <c r="AR2282" s="170" t="str">
        <f t="shared" si="979"/>
        <v>BiK82GbK12y-08</v>
      </c>
      <c r="AS2282" s="169" t="str">
        <f t="shared" si="980"/>
        <v/>
      </c>
      <c r="AT2282">
        <f t="shared" si="981"/>
        <v>14</v>
      </c>
      <c r="AU2282" s="170" t="str">
        <f t="shared" si="982"/>
        <v>0,15-0,5 MW, Bonusregeln G, y, b und K erstmals 2012</v>
      </c>
      <c r="AV2282" s="169" t="str">
        <f t="shared" si="983"/>
        <v/>
      </c>
      <c r="AW2282" s="170" t="str">
        <f t="shared" si="984"/>
        <v>Anteil KWK, erstmals 2012</v>
      </c>
      <c r="AX2282" s="169" t="str">
        <f t="shared" si="985"/>
        <v/>
      </c>
      <c r="AY2282" t="str">
        <f t="shared" si="986"/>
        <v/>
      </c>
      <c r="AZ2282" t="str">
        <f t="shared" si="987"/>
        <v>x</v>
      </c>
    </row>
    <row r="2283" spans="1:52" x14ac:dyDescent="0.35">
      <c r="A2283" s="497" t="s">
        <v>4728</v>
      </c>
      <c r="B2283" s="13" t="s">
        <v>5547</v>
      </c>
      <c r="C2283" s="13" t="s">
        <v>5539</v>
      </c>
      <c r="D2283" s="13" t="s">
        <v>7167</v>
      </c>
      <c r="E2283" s="13" t="s">
        <v>4809</v>
      </c>
      <c r="F2283" s="373">
        <f t="shared" si="994"/>
        <v>19.32</v>
      </c>
      <c r="G2283" s="430">
        <v>19.32</v>
      </c>
      <c r="H2283" s="399">
        <f t="shared" si="995"/>
        <v>15.46</v>
      </c>
      <c r="I2283" s="576"/>
      <c r="J2283" s="549" t="s">
        <v>5804</v>
      </c>
      <c r="K2283" s="11"/>
      <c r="M2283" s="37">
        <f t="shared" si="996"/>
        <v>19.32</v>
      </c>
      <c r="N2283" s="29">
        <v>9.32</v>
      </c>
      <c r="O2283" s="149"/>
      <c r="P2283" s="144"/>
      <c r="Q2283" s="145"/>
      <c r="R2283" s="145"/>
      <c r="S2283" s="145" t="s">
        <v>4179</v>
      </c>
      <c r="T2283" t="s">
        <v>4179</v>
      </c>
      <c r="U2283" s="146"/>
      <c r="V2283" s="145"/>
      <c r="W2283" s="147"/>
      <c r="X2283" s="147"/>
      <c r="Y2283" s="145"/>
      <c r="Z2283" s="147"/>
      <c r="AA2283" s="145" t="s">
        <v>1017</v>
      </c>
      <c r="AB2283" s="145"/>
      <c r="AC2283" s="147"/>
      <c r="AD2283" s="145"/>
      <c r="AE2283" s="148" t="s">
        <v>1017</v>
      </c>
      <c r="AF2283" s="147"/>
      <c r="AG2283" s="147"/>
      <c r="AH2283" s="166" t="str">
        <f t="shared" ref="AH2283:AH2288" si="1002">IF(ISERROR(SEARCH("K erstmals 201",D2283)),"",RIGHT(D2283,4))</f>
        <v/>
      </c>
      <c r="AI2283" s="168" t="str">
        <f t="shared" si="988"/>
        <v/>
      </c>
      <c r="AJ2283" s="168" t="str">
        <f t="shared" si="989"/>
        <v/>
      </c>
      <c r="AK2283" s="168" t="str">
        <f t="shared" si="990"/>
        <v/>
      </c>
      <c r="AL2283" s="168" t="str">
        <f t="shared" si="991"/>
        <v/>
      </c>
      <c r="AM2283" s="168" t="str">
        <f t="shared" si="992"/>
        <v/>
      </c>
      <c r="AN2283" s="167" t="str">
        <f t="shared" si="975"/>
        <v/>
      </c>
      <c r="AO2283" s="167" t="str">
        <f t="shared" si="976"/>
        <v/>
      </c>
      <c r="AP2283" s="167" t="str">
        <f t="shared" si="977"/>
        <v/>
      </c>
      <c r="AQ2283" s="169" t="str">
        <f t="shared" si="978"/>
        <v/>
      </c>
      <c r="AR2283" s="170" t="str">
        <f t="shared" si="979"/>
        <v>BiK82M2b----08</v>
      </c>
      <c r="AS2283" s="169" t="str">
        <f t="shared" si="980"/>
        <v/>
      </c>
      <c r="AT2283">
        <f t="shared" si="981"/>
        <v>14</v>
      </c>
      <c r="AU2283" s="170" t="str">
        <f t="shared" si="982"/>
        <v>0,15-0,5 MW, Bonusregeln M2, b</v>
      </c>
      <c r="AV2283" s="169" t="str">
        <f t="shared" si="983"/>
        <v/>
      </c>
      <c r="AW2283" s="170" t="str">
        <f t="shared" si="984"/>
        <v>Anteil Nicht-KWK</v>
      </c>
      <c r="AX2283" s="169" t="str">
        <f t="shared" si="985"/>
        <v/>
      </c>
      <c r="AY2283" t="str">
        <f t="shared" si="986"/>
        <v/>
      </c>
      <c r="AZ2283" t="str">
        <f t="shared" si="987"/>
        <v/>
      </c>
    </row>
    <row r="2284" spans="1:52" s="145" customFormat="1" x14ac:dyDescent="0.35">
      <c r="A2284" s="497" t="s">
        <v>4729</v>
      </c>
      <c r="B2284" s="13" t="s">
        <v>5547</v>
      </c>
      <c r="C2284" s="13" t="s">
        <v>5539</v>
      </c>
      <c r="D2284" s="13" t="s">
        <v>7168</v>
      </c>
      <c r="E2284" s="13" t="s">
        <v>4811</v>
      </c>
      <c r="F2284" s="373">
        <f t="shared" si="994"/>
        <v>21.32</v>
      </c>
      <c r="G2284" s="430">
        <v>21.32</v>
      </c>
      <c r="H2284" s="399">
        <f t="shared" si="995"/>
        <v>17.059999999999999</v>
      </c>
      <c r="I2284" s="576"/>
      <c r="J2284" s="549" t="s">
        <v>5804</v>
      </c>
      <c r="K2284" s="11"/>
      <c r="L2284"/>
      <c r="M2284" s="37">
        <f t="shared" si="996"/>
        <v>21.32</v>
      </c>
      <c r="N2284" s="29">
        <v>9.32</v>
      </c>
      <c r="O2284" s="149" t="s">
        <v>1017</v>
      </c>
      <c r="P2284" s="144"/>
      <c r="S2284" s="145" t="s">
        <v>4179</v>
      </c>
      <c r="T2284" s="145" t="s">
        <v>4179</v>
      </c>
      <c r="U2284" s="146"/>
      <c r="W2284" s="147"/>
      <c r="X2284" s="147"/>
      <c r="Z2284" s="147"/>
      <c r="AA2284" s="145" t="s">
        <v>1017</v>
      </c>
      <c r="AC2284" s="147"/>
      <c r="AE2284" s="148" t="s">
        <v>1017</v>
      </c>
      <c r="AF2284" s="147"/>
      <c r="AG2284" s="147"/>
      <c r="AH2284" s="166" t="str">
        <f t="shared" si="1002"/>
        <v/>
      </c>
      <c r="AI2284" s="168" t="str">
        <f t="shared" si="988"/>
        <v/>
      </c>
      <c r="AJ2284" s="168" t="str">
        <f t="shared" si="989"/>
        <v/>
      </c>
      <c r="AK2284" s="168" t="str">
        <f t="shared" si="990"/>
        <v/>
      </c>
      <c r="AL2284" s="168" t="str">
        <f t="shared" si="991"/>
        <v/>
      </c>
      <c r="AM2284" s="168" t="str">
        <f t="shared" si="992"/>
        <v/>
      </c>
      <c r="AN2284" s="167" t="str">
        <f t="shared" si="975"/>
        <v/>
      </c>
      <c r="AO2284" s="167" t="str">
        <f t="shared" si="976"/>
        <v/>
      </c>
      <c r="AP2284" s="167" t="str">
        <f t="shared" si="977"/>
        <v/>
      </c>
      <c r="AQ2284" s="169" t="str">
        <f t="shared" si="978"/>
        <v/>
      </c>
      <c r="AR2284" s="170" t="str">
        <f t="shared" si="979"/>
        <v>BiK82M2bKWK-08</v>
      </c>
      <c r="AS2284" s="169" t="str">
        <f t="shared" si="980"/>
        <v/>
      </c>
      <c r="AT2284">
        <f t="shared" si="981"/>
        <v>14</v>
      </c>
      <c r="AU2284" s="170" t="str">
        <f t="shared" si="982"/>
        <v>0,15-0,5 MW, Bonusregeln M2, b und KWK</v>
      </c>
      <c r="AV2284" s="169" t="str">
        <f t="shared" si="983"/>
        <v/>
      </c>
      <c r="AW2284" s="170" t="str">
        <f t="shared" si="984"/>
        <v>Anteil KWK</v>
      </c>
      <c r="AX2284" s="169" t="str">
        <f t="shared" si="985"/>
        <v/>
      </c>
      <c r="AY2284" t="str">
        <f t="shared" si="986"/>
        <v/>
      </c>
      <c r="AZ2284" t="str">
        <f t="shared" si="987"/>
        <v/>
      </c>
    </row>
    <row r="2285" spans="1:52" s="145" customFormat="1" x14ac:dyDescent="0.35">
      <c r="A2285" s="497" t="s">
        <v>4730</v>
      </c>
      <c r="B2285" s="13" t="s">
        <v>5547</v>
      </c>
      <c r="C2285" s="13" t="s">
        <v>5539</v>
      </c>
      <c r="D2285" s="13" t="s">
        <v>7169</v>
      </c>
      <c r="E2285" s="13" t="s">
        <v>4330</v>
      </c>
      <c r="F2285" s="373">
        <f t="shared" si="994"/>
        <v>22.32</v>
      </c>
      <c r="G2285" s="430">
        <v>22.32</v>
      </c>
      <c r="H2285" s="399">
        <f t="shared" si="995"/>
        <v>17.86</v>
      </c>
      <c r="I2285" s="576"/>
      <c r="J2285" s="549" t="s">
        <v>5804</v>
      </c>
      <c r="K2285" s="11"/>
      <c r="L2285"/>
      <c r="M2285" s="37">
        <f t="shared" si="996"/>
        <v>22.32</v>
      </c>
      <c r="N2285" s="29">
        <v>9.32</v>
      </c>
      <c r="O2285" s="149"/>
      <c r="P2285" s="145" t="s">
        <v>1017</v>
      </c>
      <c r="S2285" s="145" t="s">
        <v>4179</v>
      </c>
      <c r="T2285" s="145" t="s">
        <v>4179</v>
      </c>
      <c r="U2285" s="146"/>
      <c r="W2285" s="147"/>
      <c r="X2285" s="147"/>
      <c r="Z2285" s="147"/>
      <c r="AA2285" s="145" t="s">
        <v>1017</v>
      </c>
      <c r="AC2285" s="147"/>
      <c r="AE2285" s="148" t="s">
        <v>1017</v>
      </c>
      <c r="AF2285" s="147"/>
      <c r="AG2285" s="147"/>
      <c r="AH2285" s="166" t="str">
        <f t="shared" si="1002"/>
        <v/>
      </c>
      <c r="AI2285" s="168" t="str">
        <f t="shared" si="988"/>
        <v/>
      </c>
      <c r="AJ2285" s="168" t="str">
        <f t="shared" si="989"/>
        <v/>
      </c>
      <c r="AK2285" s="168" t="str">
        <f t="shared" si="990"/>
        <v/>
      </c>
      <c r="AL2285" s="168" t="str">
        <f t="shared" si="991"/>
        <v/>
      </c>
      <c r="AM2285" s="168" t="str">
        <f t="shared" si="992"/>
        <v/>
      </c>
      <c r="AN2285" s="167" t="str">
        <f t="shared" si="975"/>
        <v/>
      </c>
      <c r="AO2285" s="167" t="str">
        <f t="shared" si="976"/>
        <v/>
      </c>
      <c r="AP2285" s="167" t="str">
        <f t="shared" si="977"/>
        <v/>
      </c>
      <c r="AQ2285" s="169" t="str">
        <f t="shared" si="978"/>
        <v/>
      </c>
      <c r="AR2285" s="170" t="str">
        <f t="shared" si="979"/>
        <v>BiK82M2bKA3-08</v>
      </c>
      <c r="AS2285" s="169" t="str">
        <f t="shared" si="980"/>
        <v/>
      </c>
      <c r="AT2285">
        <f t="shared" si="981"/>
        <v>14</v>
      </c>
      <c r="AU2285" s="170" t="str">
        <f t="shared" si="982"/>
        <v>0,15-0,5 MW, Bonusregeln M2, b und K wenn Anlage 3 erfüllt</v>
      </c>
      <c r="AV2285" s="169" t="str">
        <f t="shared" si="983"/>
        <v/>
      </c>
      <c r="AW2285" s="170" t="str">
        <f t="shared" si="984"/>
        <v>Anteil KWK gemäß Anlage 3</v>
      </c>
      <c r="AX2285" s="169" t="str">
        <f t="shared" si="985"/>
        <v/>
      </c>
      <c r="AY2285" t="str">
        <f t="shared" si="986"/>
        <v/>
      </c>
      <c r="AZ2285" t="str">
        <f t="shared" si="987"/>
        <v/>
      </c>
    </row>
    <row r="2286" spans="1:52" s="145" customFormat="1" x14ac:dyDescent="0.35">
      <c r="A2286" s="497" t="s">
        <v>4731</v>
      </c>
      <c r="B2286" s="13" t="s">
        <v>5547</v>
      </c>
      <c r="C2286" s="13" t="s">
        <v>5539</v>
      </c>
      <c r="D2286" s="13" t="s">
        <v>7170</v>
      </c>
      <c r="E2286" s="13" t="s">
        <v>674</v>
      </c>
      <c r="F2286" s="373">
        <f t="shared" si="994"/>
        <v>22.32</v>
      </c>
      <c r="G2286" s="430">
        <v>22.32</v>
      </c>
      <c r="H2286" s="399">
        <f t="shared" si="995"/>
        <v>17.86</v>
      </c>
      <c r="I2286" s="576"/>
      <c r="J2286" s="549" t="s">
        <v>5804</v>
      </c>
      <c r="K2286" s="11"/>
      <c r="L2286"/>
      <c r="M2286" s="37">
        <f t="shared" si="996"/>
        <v>22.32</v>
      </c>
      <c r="N2286" s="29">
        <v>9.32</v>
      </c>
      <c r="O2286" s="149"/>
      <c r="P2286" s="144"/>
      <c r="Q2286" s="145" t="s">
        <v>1017</v>
      </c>
      <c r="S2286" s="145" t="s">
        <v>4179</v>
      </c>
      <c r="T2286" s="145" t="s">
        <v>4179</v>
      </c>
      <c r="U2286" s="146"/>
      <c r="W2286" s="147"/>
      <c r="X2286" s="147"/>
      <c r="Z2286" s="147"/>
      <c r="AA2286" s="145" t="s">
        <v>1017</v>
      </c>
      <c r="AC2286" s="147"/>
      <c r="AE2286" s="148" t="s">
        <v>1017</v>
      </c>
      <c r="AF2286" s="147"/>
      <c r="AG2286" s="147"/>
      <c r="AH2286" s="166" t="str">
        <f t="shared" si="1002"/>
        <v/>
      </c>
      <c r="AI2286" s="168" t="str">
        <f t="shared" si="988"/>
        <v/>
      </c>
      <c r="AJ2286" s="168" t="str">
        <f t="shared" si="989"/>
        <v/>
      </c>
      <c r="AK2286" s="168" t="str">
        <f t="shared" si="990"/>
        <v/>
      </c>
      <c r="AL2286" s="168" t="str">
        <f t="shared" si="991"/>
        <v/>
      </c>
      <c r="AM2286" s="168" t="str">
        <f t="shared" si="992"/>
        <v/>
      </c>
      <c r="AN2286" s="167" t="str">
        <f t="shared" si="975"/>
        <v/>
      </c>
      <c r="AO2286" s="167" t="str">
        <f t="shared" si="976"/>
        <v/>
      </c>
      <c r="AP2286" s="167" t="str">
        <f t="shared" si="977"/>
        <v/>
      </c>
      <c r="AQ2286" s="169" t="str">
        <f t="shared" si="978"/>
        <v/>
      </c>
      <c r="AR2286" s="170" t="str">
        <f t="shared" si="979"/>
        <v>BiK82M2bK09-08</v>
      </c>
      <c r="AS2286" s="169" t="str">
        <f t="shared" si="980"/>
        <v/>
      </c>
      <c r="AT2286">
        <f t="shared" si="981"/>
        <v>14</v>
      </c>
      <c r="AU2286" s="170" t="str">
        <f t="shared" si="982"/>
        <v>0,15-0,5 MW, Bonusregeln M2, b und K erstmals 2009</v>
      </c>
      <c r="AV2286" s="169" t="str">
        <f t="shared" si="983"/>
        <v/>
      </c>
      <c r="AW2286" s="170" t="str">
        <f t="shared" si="984"/>
        <v>Anteil KWK, erstmals 2009</v>
      </c>
      <c r="AX2286" s="169" t="str">
        <f t="shared" si="985"/>
        <v/>
      </c>
      <c r="AY2286" t="str">
        <f t="shared" si="986"/>
        <v/>
      </c>
      <c r="AZ2286" t="str">
        <f t="shared" si="987"/>
        <v/>
      </c>
    </row>
    <row r="2287" spans="1:52" s="145" customFormat="1" x14ac:dyDescent="0.35">
      <c r="A2287" s="497" t="s">
        <v>3270</v>
      </c>
      <c r="B2287" s="13" t="s">
        <v>5547</v>
      </c>
      <c r="C2287" s="13" t="s">
        <v>5539</v>
      </c>
      <c r="D2287" s="13" t="s">
        <v>7171</v>
      </c>
      <c r="E2287" s="13" t="s">
        <v>3566</v>
      </c>
      <c r="F2287" s="373">
        <f t="shared" si="994"/>
        <v>22.29</v>
      </c>
      <c r="G2287" s="430">
        <v>22.29</v>
      </c>
      <c r="H2287" s="399">
        <f t="shared" si="995"/>
        <v>17.829999999999998</v>
      </c>
      <c r="I2287" s="576"/>
      <c r="J2287" s="549" t="s">
        <v>5804</v>
      </c>
      <c r="K2287" s="11"/>
      <c r="L2287"/>
      <c r="M2287" s="37">
        <f t="shared" si="996"/>
        <v>22.29</v>
      </c>
      <c r="N2287" s="29">
        <v>9.32</v>
      </c>
      <c r="O2287" s="149"/>
      <c r="P2287" s="144"/>
      <c r="R2287" s="145" t="s">
        <v>1017</v>
      </c>
      <c r="S2287" s="145" t="s">
        <v>4179</v>
      </c>
      <c r="T2287" s="145" t="s">
        <v>4179</v>
      </c>
      <c r="U2287" s="146"/>
      <c r="W2287" s="147"/>
      <c r="X2287" s="147"/>
      <c r="Z2287" s="147"/>
      <c r="AA2287" s="145" t="s">
        <v>1017</v>
      </c>
      <c r="AC2287" s="147"/>
      <c r="AE2287" s="148" t="s">
        <v>1017</v>
      </c>
      <c r="AF2287" s="147"/>
      <c r="AG2287" s="147"/>
      <c r="AH2287" s="166" t="str">
        <f t="shared" si="1002"/>
        <v>2010</v>
      </c>
      <c r="AI2287" s="168" t="str">
        <f t="shared" si="988"/>
        <v/>
      </c>
      <c r="AJ2287" s="168" t="str">
        <f t="shared" si="989"/>
        <v/>
      </c>
      <c r="AK2287" s="168" t="str">
        <f t="shared" si="990"/>
        <v/>
      </c>
      <c r="AL2287" s="168" t="str">
        <f t="shared" si="991"/>
        <v/>
      </c>
      <c r="AM2287" s="168" t="str">
        <f t="shared" si="992"/>
        <v/>
      </c>
      <c r="AN2287" s="167" t="str">
        <f t="shared" si="975"/>
        <v>2010</v>
      </c>
      <c r="AO2287" s="167" t="str">
        <f t="shared" si="976"/>
        <v>2010</v>
      </c>
      <c r="AP2287" s="167" t="str">
        <f t="shared" si="977"/>
        <v>2010</v>
      </c>
      <c r="AQ2287" s="169" t="str">
        <f t="shared" si="978"/>
        <v/>
      </c>
      <c r="AR2287" s="170" t="str">
        <f t="shared" si="979"/>
        <v>BiK82M2bK10-08</v>
      </c>
      <c r="AS2287" s="169" t="str">
        <f t="shared" si="980"/>
        <v/>
      </c>
      <c r="AT2287">
        <f t="shared" si="981"/>
        <v>14</v>
      </c>
      <c r="AU2287" s="170" t="str">
        <f t="shared" si="982"/>
        <v>0,15-0,5 MW, Bonusregeln M2, b und K erstmals 2010</v>
      </c>
      <c r="AV2287" s="169" t="str">
        <f t="shared" si="983"/>
        <v/>
      </c>
      <c r="AW2287" s="170" t="str">
        <f t="shared" si="984"/>
        <v>Anteil KWK, erstmals 2010</v>
      </c>
      <c r="AX2287" s="169" t="str">
        <f t="shared" si="985"/>
        <v/>
      </c>
      <c r="AY2287" t="str">
        <f t="shared" si="986"/>
        <v/>
      </c>
      <c r="AZ2287" t="str">
        <f t="shared" si="987"/>
        <v/>
      </c>
    </row>
    <row r="2288" spans="1:52" s="145" customFormat="1" x14ac:dyDescent="0.35">
      <c r="A2288" s="497" t="s">
        <v>3475</v>
      </c>
      <c r="B2288" s="13" t="s">
        <v>5547</v>
      </c>
      <c r="C2288" s="13" t="s">
        <v>5539</v>
      </c>
      <c r="D2288" s="13" t="s">
        <v>7172</v>
      </c>
      <c r="E2288" s="13" t="s">
        <v>3054</v>
      </c>
      <c r="F2288" s="373">
        <f t="shared" si="994"/>
        <v>22.259999999999998</v>
      </c>
      <c r="G2288" s="430">
        <v>22.259999999999998</v>
      </c>
      <c r="H2288" s="399">
        <f t="shared" si="995"/>
        <v>17.809999999999999</v>
      </c>
      <c r="I2288" s="576"/>
      <c r="J2288" s="549" t="s">
        <v>5804</v>
      </c>
      <c r="K2288" s="11"/>
      <c r="L2288"/>
      <c r="M2288" s="37">
        <f t="shared" si="996"/>
        <v>22.259999999999998</v>
      </c>
      <c r="N2288" s="29">
        <v>9.32</v>
      </c>
      <c r="O2288" s="149"/>
      <c r="P2288" s="144"/>
      <c r="S2288" s="145" t="s">
        <v>1017</v>
      </c>
      <c r="T2288" s="145" t="s">
        <v>4179</v>
      </c>
      <c r="U2288" s="146"/>
      <c r="W2288" s="147"/>
      <c r="X2288" s="147"/>
      <c r="Z2288" s="147"/>
      <c r="AA2288" s="145" t="s">
        <v>1017</v>
      </c>
      <c r="AC2288" s="147"/>
      <c r="AE2288" s="148" t="s">
        <v>1017</v>
      </c>
      <c r="AF2288" s="147"/>
      <c r="AG2288" s="147"/>
      <c r="AH2288" s="166" t="str">
        <f t="shared" si="1002"/>
        <v>2011</v>
      </c>
      <c r="AI2288" s="168" t="str">
        <f t="shared" si="988"/>
        <v/>
      </c>
      <c r="AJ2288" s="168" t="str">
        <f t="shared" si="989"/>
        <v/>
      </c>
      <c r="AK2288" s="168" t="str">
        <f t="shared" si="990"/>
        <v/>
      </c>
      <c r="AL2288" s="168" t="str">
        <f t="shared" si="991"/>
        <v/>
      </c>
      <c r="AM2288" s="168" t="str">
        <f t="shared" si="992"/>
        <v/>
      </c>
      <c r="AN2288" s="167" t="str">
        <f t="shared" si="975"/>
        <v>2011</v>
      </c>
      <c r="AO2288" s="167" t="str">
        <f t="shared" si="976"/>
        <v>2011</v>
      </c>
      <c r="AP2288" s="167" t="str">
        <f t="shared" si="977"/>
        <v>2011</v>
      </c>
      <c r="AQ2288" s="169" t="str">
        <f t="shared" si="978"/>
        <v/>
      </c>
      <c r="AR2288" s="170" t="str">
        <f t="shared" si="979"/>
        <v>BiK82M2bK11-08</v>
      </c>
      <c r="AS2288" s="169" t="str">
        <f t="shared" si="980"/>
        <v/>
      </c>
      <c r="AT2288">
        <f t="shared" si="981"/>
        <v>14</v>
      </c>
      <c r="AU2288" s="170" t="str">
        <f t="shared" si="982"/>
        <v>0,15-0,5 MW, Bonusregeln M2, b und K erstmals 2011</v>
      </c>
      <c r="AV2288" s="169" t="str">
        <f t="shared" si="983"/>
        <v/>
      </c>
      <c r="AW2288" s="170" t="str">
        <f t="shared" si="984"/>
        <v>Anteil KWK, erstmals 2011</v>
      </c>
      <c r="AX2288" s="169" t="str">
        <f t="shared" si="985"/>
        <v/>
      </c>
      <c r="AY2288" t="str">
        <f t="shared" si="986"/>
        <v>x</v>
      </c>
      <c r="AZ2288" t="str">
        <f t="shared" si="987"/>
        <v/>
      </c>
    </row>
    <row r="2289" spans="1:52" s="145" customFormat="1" x14ac:dyDescent="0.35">
      <c r="A2289" s="511" t="s">
        <v>1908</v>
      </c>
      <c r="B2289" s="173" t="s">
        <v>5547</v>
      </c>
      <c r="C2289" s="173" t="s">
        <v>5539</v>
      </c>
      <c r="D2289" s="173" t="s">
        <v>7173</v>
      </c>
      <c r="E2289" s="173" t="s">
        <v>1980</v>
      </c>
      <c r="F2289" s="374">
        <f t="shared" si="994"/>
        <v>22.23</v>
      </c>
      <c r="G2289" s="431">
        <v>22.23</v>
      </c>
      <c r="H2289" s="400">
        <f t="shared" si="995"/>
        <v>17.78</v>
      </c>
      <c r="I2289" s="577"/>
      <c r="J2289" s="549" t="s">
        <v>5804</v>
      </c>
      <c r="K2289" s="11"/>
      <c r="L2289"/>
      <c r="M2289" s="37">
        <f t="shared" si="996"/>
        <v>22.23</v>
      </c>
      <c r="N2289" s="29">
        <v>9.32</v>
      </c>
      <c r="O2289" s="149"/>
      <c r="P2289" s="144"/>
      <c r="S2289" s="145" t="s">
        <v>4179</v>
      </c>
      <c r="T2289" s="145" t="s">
        <v>1017</v>
      </c>
      <c r="U2289" s="146"/>
      <c r="W2289" s="147"/>
      <c r="X2289" s="147"/>
      <c r="Z2289" s="147"/>
      <c r="AA2289" s="145" t="s">
        <v>1017</v>
      </c>
      <c r="AC2289" s="147"/>
      <c r="AE2289" s="148" t="s">
        <v>1017</v>
      </c>
      <c r="AF2289" s="147"/>
      <c r="AG2289" s="147"/>
      <c r="AH2289" s="171" t="s">
        <v>4178</v>
      </c>
      <c r="AI2289" s="168" t="str">
        <f t="shared" si="988"/>
        <v/>
      </c>
      <c r="AJ2289" s="168" t="str">
        <f t="shared" si="989"/>
        <v/>
      </c>
      <c r="AK2289" s="168" t="str">
        <f t="shared" si="990"/>
        <v/>
      </c>
      <c r="AL2289" s="168" t="str">
        <f t="shared" si="991"/>
        <v/>
      </c>
      <c r="AM2289" s="168" t="str">
        <f t="shared" si="992"/>
        <v/>
      </c>
      <c r="AN2289" s="167" t="str">
        <f t="shared" si="975"/>
        <v>2012</v>
      </c>
      <c r="AO2289" s="167" t="str">
        <f t="shared" si="976"/>
        <v>2012</v>
      </c>
      <c r="AP2289" s="167" t="str">
        <f t="shared" si="977"/>
        <v>2012</v>
      </c>
      <c r="AQ2289" s="169" t="str">
        <f t="shared" si="978"/>
        <v/>
      </c>
      <c r="AR2289" s="170" t="str">
        <f t="shared" si="979"/>
        <v>BiK82M2bK12-08</v>
      </c>
      <c r="AS2289" s="169" t="str">
        <f t="shared" si="980"/>
        <v/>
      </c>
      <c r="AT2289">
        <f t="shared" si="981"/>
        <v>14</v>
      </c>
      <c r="AU2289" s="170" t="str">
        <f t="shared" si="982"/>
        <v>0,15-0,5 MW, Bonusregeln M2, b und K erstmals 2012</v>
      </c>
      <c r="AV2289" s="169" t="str">
        <f t="shared" si="983"/>
        <v/>
      </c>
      <c r="AW2289" s="170" t="str">
        <f t="shared" si="984"/>
        <v>Anteil KWK, erstmals 2012</v>
      </c>
      <c r="AX2289" s="169" t="str">
        <f t="shared" si="985"/>
        <v/>
      </c>
      <c r="AY2289" t="str">
        <f t="shared" si="986"/>
        <v/>
      </c>
      <c r="AZ2289" t="str">
        <f t="shared" si="987"/>
        <v>x</v>
      </c>
    </row>
    <row r="2290" spans="1:52" s="145" customFormat="1" x14ac:dyDescent="0.35">
      <c r="A2290" s="497" t="s">
        <v>4732</v>
      </c>
      <c r="B2290" s="13" t="s">
        <v>5547</v>
      </c>
      <c r="C2290" s="13" t="s">
        <v>5539</v>
      </c>
      <c r="D2290" s="13" t="s">
        <v>7174</v>
      </c>
      <c r="E2290" s="13" t="s">
        <v>4809</v>
      </c>
      <c r="F2290" s="373">
        <f t="shared" si="994"/>
        <v>20.32</v>
      </c>
      <c r="G2290" s="430">
        <v>20.32</v>
      </c>
      <c r="H2290" s="399">
        <f t="shared" si="995"/>
        <v>16.260000000000002</v>
      </c>
      <c r="I2290" s="576"/>
      <c r="J2290" s="549" t="s">
        <v>5804</v>
      </c>
      <c r="K2290" s="11"/>
      <c r="L2290"/>
      <c r="M2290" s="37">
        <f t="shared" si="996"/>
        <v>20.32</v>
      </c>
      <c r="N2290" s="29">
        <v>9.32</v>
      </c>
      <c r="O2290" s="149"/>
      <c r="P2290" s="144"/>
      <c r="S2290" s="145" t="s">
        <v>4179</v>
      </c>
      <c r="T2290" s="145" t="s">
        <v>4179</v>
      </c>
      <c r="U2290" s="146" t="s">
        <v>1017</v>
      </c>
      <c r="W2290" s="147"/>
      <c r="X2290" s="147"/>
      <c r="Z2290" s="147"/>
      <c r="AA2290" s="145" t="s">
        <v>1017</v>
      </c>
      <c r="AC2290" s="147"/>
      <c r="AE2290" s="148" t="s">
        <v>1017</v>
      </c>
      <c r="AF2290" s="147"/>
      <c r="AG2290" s="147"/>
      <c r="AH2290" s="166" t="str">
        <f t="shared" ref="AH2290:AH2295" si="1003">IF(ISERROR(SEARCH("K erstmals 201",D2290)),"",RIGHT(D2290,4))</f>
        <v/>
      </c>
      <c r="AI2290" s="168" t="str">
        <f t="shared" si="988"/>
        <v/>
      </c>
      <c r="AJ2290" s="168" t="str">
        <f t="shared" si="989"/>
        <v/>
      </c>
      <c r="AK2290" s="168" t="str">
        <f t="shared" si="990"/>
        <v/>
      </c>
      <c r="AL2290" s="168" t="str">
        <f t="shared" si="991"/>
        <v/>
      </c>
      <c r="AM2290" s="168" t="str">
        <f t="shared" si="992"/>
        <v/>
      </c>
      <c r="AN2290" s="167" t="str">
        <f t="shared" si="975"/>
        <v/>
      </c>
      <c r="AO2290" s="167" t="str">
        <f t="shared" si="976"/>
        <v/>
      </c>
      <c r="AP2290" s="167" t="str">
        <f t="shared" si="977"/>
        <v/>
      </c>
      <c r="AQ2290" s="169" t="str">
        <f t="shared" si="978"/>
        <v/>
      </c>
      <c r="AR2290" s="170" t="str">
        <f t="shared" si="979"/>
        <v>BiK82M2by---08</v>
      </c>
      <c r="AS2290" s="169" t="str">
        <f t="shared" si="980"/>
        <v/>
      </c>
      <c r="AT2290">
        <f t="shared" si="981"/>
        <v>14</v>
      </c>
      <c r="AU2290" s="170" t="str">
        <f t="shared" si="982"/>
        <v>0,15-0,5 MW, Bonusregeln M2, y, b</v>
      </c>
      <c r="AV2290" s="169" t="str">
        <f t="shared" si="983"/>
        <v/>
      </c>
      <c r="AW2290" s="170" t="str">
        <f t="shared" si="984"/>
        <v>Anteil Nicht-KWK</v>
      </c>
      <c r="AX2290" s="169" t="str">
        <f t="shared" si="985"/>
        <v/>
      </c>
      <c r="AY2290" t="str">
        <f t="shared" si="986"/>
        <v/>
      </c>
      <c r="AZ2290" t="str">
        <f t="shared" si="987"/>
        <v/>
      </c>
    </row>
    <row r="2291" spans="1:52" s="145" customFormat="1" x14ac:dyDescent="0.35">
      <c r="A2291" s="497" t="s">
        <v>4733</v>
      </c>
      <c r="B2291" s="13" t="s">
        <v>5547</v>
      </c>
      <c r="C2291" s="13" t="s">
        <v>5539</v>
      </c>
      <c r="D2291" s="13" t="s">
        <v>7175</v>
      </c>
      <c r="E2291" s="13" t="s">
        <v>4811</v>
      </c>
      <c r="F2291" s="373">
        <f t="shared" si="994"/>
        <v>22.32</v>
      </c>
      <c r="G2291" s="430">
        <v>22.32</v>
      </c>
      <c r="H2291" s="399">
        <f t="shared" si="995"/>
        <v>17.86</v>
      </c>
      <c r="I2291" s="576"/>
      <c r="J2291" s="549" t="s">
        <v>5804</v>
      </c>
      <c r="K2291" s="11"/>
      <c r="L2291"/>
      <c r="M2291" s="37">
        <f t="shared" si="996"/>
        <v>22.32</v>
      </c>
      <c r="N2291" s="29">
        <v>9.32</v>
      </c>
      <c r="O2291" s="149" t="s">
        <v>1017</v>
      </c>
      <c r="P2291" s="144"/>
      <c r="S2291" s="145" t="s">
        <v>4179</v>
      </c>
      <c r="T2291" s="145" t="s">
        <v>4179</v>
      </c>
      <c r="U2291" s="146" t="s">
        <v>1017</v>
      </c>
      <c r="W2291" s="147"/>
      <c r="X2291" s="147"/>
      <c r="Z2291" s="147"/>
      <c r="AA2291" s="145" t="s">
        <v>1017</v>
      </c>
      <c r="AC2291" s="147"/>
      <c r="AE2291" s="148" t="s">
        <v>1017</v>
      </c>
      <c r="AF2291" s="147"/>
      <c r="AG2291" s="147"/>
      <c r="AH2291" s="166" t="str">
        <f t="shared" si="1003"/>
        <v/>
      </c>
      <c r="AI2291" s="168" t="str">
        <f t="shared" si="988"/>
        <v/>
      </c>
      <c r="AJ2291" s="168" t="str">
        <f t="shared" si="989"/>
        <v/>
      </c>
      <c r="AK2291" s="168" t="str">
        <f t="shared" si="990"/>
        <v/>
      </c>
      <c r="AL2291" s="168" t="str">
        <f t="shared" si="991"/>
        <v/>
      </c>
      <c r="AM2291" s="168" t="str">
        <f t="shared" si="992"/>
        <v/>
      </c>
      <c r="AN2291" s="167" t="str">
        <f t="shared" si="975"/>
        <v/>
      </c>
      <c r="AO2291" s="167" t="str">
        <f t="shared" si="976"/>
        <v/>
      </c>
      <c r="AP2291" s="167" t="str">
        <f t="shared" si="977"/>
        <v/>
      </c>
      <c r="AQ2291" s="169" t="str">
        <f t="shared" si="978"/>
        <v/>
      </c>
      <c r="AR2291" s="170" t="str">
        <f t="shared" si="979"/>
        <v>BiK82M2bKWKy08</v>
      </c>
      <c r="AS2291" s="169" t="str">
        <f t="shared" si="980"/>
        <v/>
      </c>
      <c r="AT2291">
        <f t="shared" si="981"/>
        <v>14</v>
      </c>
      <c r="AU2291" s="170" t="str">
        <f t="shared" si="982"/>
        <v>0,15-0,5 MW, Bonusregeln M2, y, b und KWK</v>
      </c>
      <c r="AV2291" s="169" t="str">
        <f t="shared" si="983"/>
        <v/>
      </c>
      <c r="AW2291" s="170" t="str">
        <f t="shared" si="984"/>
        <v>Anteil KWK</v>
      </c>
      <c r="AX2291" s="169" t="str">
        <f t="shared" si="985"/>
        <v/>
      </c>
      <c r="AY2291" t="str">
        <f t="shared" si="986"/>
        <v/>
      </c>
      <c r="AZ2291" t="str">
        <f t="shared" si="987"/>
        <v/>
      </c>
    </row>
    <row r="2292" spans="1:52" s="145" customFormat="1" x14ac:dyDescent="0.35">
      <c r="A2292" s="497" t="s">
        <v>4734</v>
      </c>
      <c r="B2292" s="13" t="s">
        <v>5547</v>
      </c>
      <c r="C2292" s="13" t="s">
        <v>5539</v>
      </c>
      <c r="D2292" s="88" t="s">
        <v>7176</v>
      </c>
      <c r="E2292" s="13" t="s">
        <v>4330</v>
      </c>
      <c r="F2292" s="373">
        <f t="shared" si="994"/>
        <v>23.32</v>
      </c>
      <c r="G2292" s="430">
        <v>23.32</v>
      </c>
      <c r="H2292" s="399">
        <f t="shared" si="995"/>
        <v>18.66</v>
      </c>
      <c r="I2292" s="576"/>
      <c r="J2292" s="549" t="s">
        <v>5804</v>
      </c>
      <c r="K2292" s="11"/>
      <c r="L2292"/>
      <c r="M2292" s="37">
        <f t="shared" si="996"/>
        <v>23.32</v>
      </c>
      <c r="N2292" s="29">
        <v>9.32</v>
      </c>
      <c r="O2292" s="149"/>
      <c r="P2292" s="145" t="s">
        <v>1017</v>
      </c>
      <c r="S2292" s="145" t="s">
        <v>4179</v>
      </c>
      <c r="T2292" s="145" t="s">
        <v>4179</v>
      </c>
      <c r="U2292" s="146" t="s">
        <v>1017</v>
      </c>
      <c r="W2292" s="147"/>
      <c r="X2292" s="147"/>
      <c r="Z2292" s="147"/>
      <c r="AA2292" s="145" t="s">
        <v>1017</v>
      </c>
      <c r="AC2292" s="147"/>
      <c r="AE2292" s="148" t="s">
        <v>1017</v>
      </c>
      <c r="AF2292" s="147"/>
      <c r="AG2292" s="147"/>
      <c r="AH2292" s="166" t="str">
        <f t="shared" si="1003"/>
        <v/>
      </c>
      <c r="AI2292" s="168" t="str">
        <f t="shared" si="988"/>
        <v/>
      </c>
      <c r="AJ2292" s="168" t="str">
        <f t="shared" si="989"/>
        <v/>
      </c>
      <c r="AK2292" s="168" t="str">
        <f t="shared" si="990"/>
        <v/>
      </c>
      <c r="AL2292" s="168" t="str">
        <f t="shared" si="991"/>
        <v/>
      </c>
      <c r="AM2292" s="168" t="str">
        <f t="shared" si="992"/>
        <v/>
      </c>
      <c r="AN2292" s="167" t="str">
        <f t="shared" si="975"/>
        <v/>
      </c>
      <c r="AO2292" s="167" t="str">
        <f t="shared" si="976"/>
        <v/>
      </c>
      <c r="AP2292" s="167" t="str">
        <f t="shared" si="977"/>
        <v/>
      </c>
      <c r="AQ2292" s="169" t="str">
        <f t="shared" si="978"/>
        <v/>
      </c>
      <c r="AR2292" s="170" t="str">
        <f t="shared" si="979"/>
        <v>BiK82M2bKA3y08</v>
      </c>
      <c r="AS2292" s="169" t="str">
        <f t="shared" si="980"/>
        <v/>
      </c>
      <c r="AT2292">
        <f t="shared" si="981"/>
        <v>14</v>
      </c>
      <c r="AU2292" s="170" t="str">
        <f t="shared" si="982"/>
        <v>0,15-0,5 MW, Bonusregeln M2, y, b und K wenn Anlage 3 erfüllt</v>
      </c>
      <c r="AV2292" s="169" t="str">
        <f t="shared" si="983"/>
        <v/>
      </c>
      <c r="AW2292" s="170" t="str">
        <f t="shared" si="984"/>
        <v>Anteil KWK gemäß Anlage 3</v>
      </c>
      <c r="AX2292" s="169" t="str">
        <f t="shared" si="985"/>
        <v/>
      </c>
      <c r="AY2292" t="str">
        <f t="shared" si="986"/>
        <v/>
      </c>
      <c r="AZ2292" t="str">
        <f t="shared" si="987"/>
        <v/>
      </c>
    </row>
    <row r="2293" spans="1:52" x14ac:dyDescent="0.35">
      <c r="A2293" s="497" t="s">
        <v>4735</v>
      </c>
      <c r="B2293" s="13" t="s">
        <v>5547</v>
      </c>
      <c r="C2293" s="13" t="s">
        <v>5539</v>
      </c>
      <c r="D2293" s="13" t="s">
        <v>7177</v>
      </c>
      <c r="E2293" s="13" t="s">
        <v>674</v>
      </c>
      <c r="F2293" s="373">
        <f t="shared" si="994"/>
        <v>23.32</v>
      </c>
      <c r="G2293" s="430">
        <v>23.32</v>
      </c>
      <c r="H2293" s="399">
        <f t="shared" si="995"/>
        <v>18.66</v>
      </c>
      <c r="I2293" s="576"/>
      <c r="J2293" s="549" t="s">
        <v>5804</v>
      </c>
      <c r="K2293" s="11"/>
      <c r="M2293" s="37">
        <f t="shared" si="996"/>
        <v>23.32</v>
      </c>
      <c r="N2293" s="29">
        <v>9.32</v>
      </c>
      <c r="O2293" s="149"/>
      <c r="P2293" s="144"/>
      <c r="Q2293" s="145" t="s">
        <v>1017</v>
      </c>
      <c r="R2293" s="145"/>
      <c r="S2293" s="145" t="s">
        <v>4179</v>
      </c>
      <c r="T2293" t="s">
        <v>4179</v>
      </c>
      <c r="U2293" s="146" t="s">
        <v>1017</v>
      </c>
      <c r="V2293" s="145"/>
      <c r="W2293" s="147"/>
      <c r="X2293" s="147"/>
      <c r="Y2293" s="145"/>
      <c r="Z2293" s="147"/>
      <c r="AA2293" s="145" t="s">
        <v>1017</v>
      </c>
      <c r="AB2293" s="145"/>
      <c r="AC2293" s="147"/>
      <c r="AD2293" s="145"/>
      <c r="AE2293" s="148" t="s">
        <v>1017</v>
      </c>
      <c r="AF2293" s="147"/>
      <c r="AG2293" s="147"/>
      <c r="AH2293" s="166" t="str">
        <f t="shared" si="1003"/>
        <v/>
      </c>
      <c r="AI2293" s="168" t="str">
        <f t="shared" si="988"/>
        <v/>
      </c>
      <c r="AJ2293" s="168" t="str">
        <f t="shared" si="989"/>
        <v/>
      </c>
      <c r="AK2293" s="168" t="str">
        <f t="shared" si="990"/>
        <v/>
      </c>
      <c r="AL2293" s="168" t="str">
        <f t="shared" si="991"/>
        <v/>
      </c>
      <c r="AM2293" s="168" t="str">
        <f t="shared" si="992"/>
        <v/>
      </c>
      <c r="AN2293" s="167" t="str">
        <f t="shared" si="975"/>
        <v/>
      </c>
      <c r="AO2293" s="167" t="str">
        <f t="shared" si="976"/>
        <v/>
      </c>
      <c r="AP2293" s="167" t="str">
        <f t="shared" si="977"/>
        <v/>
      </c>
      <c r="AQ2293" s="169" t="str">
        <f t="shared" si="978"/>
        <v/>
      </c>
      <c r="AR2293" s="170" t="str">
        <f t="shared" si="979"/>
        <v>BiK82M2bK09y08</v>
      </c>
      <c r="AS2293" s="169" t="str">
        <f t="shared" si="980"/>
        <v/>
      </c>
      <c r="AT2293">
        <f t="shared" si="981"/>
        <v>14</v>
      </c>
      <c r="AU2293" s="170" t="str">
        <f t="shared" si="982"/>
        <v>0,15-0,5 MW, Bonusregeln M2, y, b und K erstmals 2009</v>
      </c>
      <c r="AV2293" s="169" t="str">
        <f t="shared" si="983"/>
        <v/>
      </c>
      <c r="AW2293" s="170" t="str">
        <f t="shared" si="984"/>
        <v>Anteil KWK, erstmals 2009</v>
      </c>
      <c r="AX2293" s="169" t="str">
        <f t="shared" si="985"/>
        <v/>
      </c>
      <c r="AY2293" t="str">
        <f t="shared" si="986"/>
        <v/>
      </c>
      <c r="AZ2293" t="str">
        <f t="shared" si="987"/>
        <v/>
      </c>
    </row>
    <row r="2294" spans="1:52" x14ac:dyDescent="0.35">
      <c r="A2294" s="497" t="s">
        <v>3271</v>
      </c>
      <c r="B2294" s="13" t="s">
        <v>5547</v>
      </c>
      <c r="C2294" s="13" t="s">
        <v>5539</v>
      </c>
      <c r="D2294" s="13" t="s">
        <v>7178</v>
      </c>
      <c r="E2294" s="13" t="s">
        <v>3566</v>
      </c>
      <c r="F2294" s="373">
        <f t="shared" si="994"/>
        <v>23.29</v>
      </c>
      <c r="G2294" s="430">
        <v>23.29</v>
      </c>
      <c r="H2294" s="399">
        <f t="shared" si="995"/>
        <v>18.63</v>
      </c>
      <c r="I2294" s="576"/>
      <c r="J2294" s="549" t="s">
        <v>5804</v>
      </c>
      <c r="K2294" s="11"/>
      <c r="M2294" s="37">
        <f t="shared" si="996"/>
        <v>23.29</v>
      </c>
      <c r="N2294" s="29">
        <v>9.32</v>
      </c>
      <c r="O2294" s="149"/>
      <c r="P2294" s="144"/>
      <c r="Q2294" s="145"/>
      <c r="R2294" s="145" t="s">
        <v>1017</v>
      </c>
      <c r="S2294" s="145" t="s">
        <v>4179</v>
      </c>
      <c r="T2294" t="s">
        <v>4179</v>
      </c>
      <c r="U2294" s="146" t="s">
        <v>1017</v>
      </c>
      <c r="V2294" s="145"/>
      <c r="W2294" s="147"/>
      <c r="X2294" s="147"/>
      <c r="Y2294" s="145"/>
      <c r="Z2294" s="147"/>
      <c r="AA2294" s="145" t="s">
        <v>1017</v>
      </c>
      <c r="AB2294" s="145"/>
      <c r="AC2294" s="147"/>
      <c r="AD2294" s="145"/>
      <c r="AE2294" s="148" t="s">
        <v>1017</v>
      </c>
      <c r="AF2294" s="147"/>
      <c r="AG2294" s="147"/>
      <c r="AH2294" s="166" t="str">
        <f t="shared" si="1003"/>
        <v>2010</v>
      </c>
      <c r="AI2294" s="168" t="str">
        <f t="shared" si="988"/>
        <v/>
      </c>
      <c r="AJ2294" s="168" t="str">
        <f t="shared" si="989"/>
        <v/>
      </c>
      <c r="AK2294" s="168" t="str">
        <f t="shared" si="990"/>
        <v/>
      </c>
      <c r="AL2294" s="168" t="str">
        <f t="shared" si="991"/>
        <v/>
      </c>
      <c r="AM2294" s="168" t="str">
        <f t="shared" si="992"/>
        <v/>
      </c>
      <c r="AN2294" s="167" t="str">
        <f t="shared" si="975"/>
        <v>2010</v>
      </c>
      <c r="AO2294" s="167" t="str">
        <f t="shared" si="976"/>
        <v>2010</v>
      </c>
      <c r="AP2294" s="167" t="str">
        <f t="shared" si="977"/>
        <v>2010</v>
      </c>
      <c r="AQ2294" s="169" t="str">
        <f t="shared" si="978"/>
        <v/>
      </c>
      <c r="AR2294" s="170" t="str">
        <f t="shared" si="979"/>
        <v>BiK82M2bK10y08</v>
      </c>
      <c r="AS2294" s="169" t="str">
        <f t="shared" si="980"/>
        <v/>
      </c>
      <c r="AT2294">
        <f t="shared" si="981"/>
        <v>14</v>
      </c>
      <c r="AU2294" s="170" t="str">
        <f t="shared" si="982"/>
        <v>0,15-0,5 MW, Bonusregeln M2, y, b und K erstmals 2010</v>
      </c>
      <c r="AV2294" s="169" t="str">
        <f t="shared" si="983"/>
        <v/>
      </c>
      <c r="AW2294" s="170" t="str">
        <f t="shared" si="984"/>
        <v>Anteil KWK, erstmals 2010</v>
      </c>
      <c r="AX2294" s="169" t="str">
        <f t="shared" si="985"/>
        <v/>
      </c>
      <c r="AY2294" t="str">
        <f t="shared" si="986"/>
        <v/>
      </c>
      <c r="AZ2294" t="str">
        <f t="shared" si="987"/>
        <v/>
      </c>
    </row>
    <row r="2295" spans="1:52" x14ac:dyDescent="0.35">
      <c r="A2295" s="497" t="s">
        <v>3476</v>
      </c>
      <c r="B2295" s="13" t="s">
        <v>5547</v>
      </c>
      <c r="C2295" s="13" t="s">
        <v>5539</v>
      </c>
      <c r="D2295" s="13" t="s">
        <v>7179</v>
      </c>
      <c r="E2295" s="13" t="s">
        <v>3054</v>
      </c>
      <c r="F2295" s="373">
        <f t="shared" si="994"/>
        <v>23.259999999999998</v>
      </c>
      <c r="G2295" s="430">
        <v>23.259999999999998</v>
      </c>
      <c r="H2295" s="399">
        <f t="shared" si="995"/>
        <v>18.61</v>
      </c>
      <c r="I2295" s="576"/>
      <c r="J2295" s="549" t="s">
        <v>5804</v>
      </c>
      <c r="K2295" s="11"/>
      <c r="M2295" s="37">
        <f t="shared" si="996"/>
        <v>23.259999999999998</v>
      </c>
      <c r="N2295" s="29">
        <v>9.32</v>
      </c>
      <c r="O2295" s="149"/>
      <c r="P2295" s="144"/>
      <c r="Q2295" s="145"/>
      <c r="R2295" s="145"/>
      <c r="S2295" s="145" t="s">
        <v>1017</v>
      </c>
      <c r="T2295" t="s">
        <v>4179</v>
      </c>
      <c r="U2295" s="146" t="s">
        <v>1017</v>
      </c>
      <c r="V2295" s="145"/>
      <c r="W2295" s="147"/>
      <c r="X2295" s="147"/>
      <c r="Y2295" s="145"/>
      <c r="Z2295" s="147"/>
      <c r="AA2295" s="145" t="s">
        <v>1017</v>
      </c>
      <c r="AB2295" s="145"/>
      <c r="AC2295" s="147"/>
      <c r="AD2295" s="145"/>
      <c r="AE2295" s="148" t="s">
        <v>1017</v>
      </c>
      <c r="AF2295" s="147"/>
      <c r="AG2295" s="147"/>
      <c r="AH2295" s="166" t="str">
        <f t="shared" si="1003"/>
        <v>2011</v>
      </c>
      <c r="AI2295" s="168" t="str">
        <f t="shared" si="988"/>
        <v/>
      </c>
      <c r="AJ2295" s="168" t="str">
        <f t="shared" si="989"/>
        <v/>
      </c>
      <c r="AK2295" s="168" t="str">
        <f t="shared" si="990"/>
        <v/>
      </c>
      <c r="AL2295" s="168" t="str">
        <f t="shared" si="991"/>
        <v/>
      </c>
      <c r="AM2295" s="168" t="str">
        <f t="shared" si="992"/>
        <v/>
      </c>
      <c r="AN2295" s="167" t="str">
        <f t="shared" si="975"/>
        <v>2011</v>
      </c>
      <c r="AO2295" s="167" t="str">
        <f t="shared" si="976"/>
        <v>2011</v>
      </c>
      <c r="AP2295" s="167" t="str">
        <f t="shared" si="977"/>
        <v>2011</v>
      </c>
      <c r="AQ2295" s="169" t="str">
        <f t="shared" si="978"/>
        <v/>
      </c>
      <c r="AR2295" s="170" t="str">
        <f t="shared" si="979"/>
        <v>BiK82M2bK11y08</v>
      </c>
      <c r="AS2295" s="169" t="str">
        <f t="shared" si="980"/>
        <v/>
      </c>
      <c r="AT2295">
        <f t="shared" si="981"/>
        <v>14</v>
      </c>
      <c r="AU2295" s="170" t="str">
        <f t="shared" si="982"/>
        <v>0,15-0,5 MW, Bonusregeln M2, y, b und K erstmals 2011</v>
      </c>
      <c r="AV2295" s="169" t="str">
        <f t="shared" si="983"/>
        <v/>
      </c>
      <c r="AW2295" s="170" t="str">
        <f t="shared" si="984"/>
        <v>Anteil KWK, erstmals 2011</v>
      </c>
      <c r="AX2295" s="169" t="str">
        <f t="shared" si="985"/>
        <v/>
      </c>
      <c r="AY2295" t="str">
        <f t="shared" si="986"/>
        <v>x</v>
      </c>
      <c r="AZ2295" t="str">
        <f t="shared" si="987"/>
        <v/>
      </c>
    </row>
    <row r="2296" spans="1:52" x14ac:dyDescent="0.35">
      <c r="A2296" s="511" t="s">
        <v>1909</v>
      </c>
      <c r="B2296" s="173" t="s">
        <v>5547</v>
      </c>
      <c r="C2296" s="173" t="s">
        <v>5539</v>
      </c>
      <c r="D2296" s="173" t="s">
        <v>7180</v>
      </c>
      <c r="E2296" s="173" t="s">
        <v>1980</v>
      </c>
      <c r="F2296" s="374">
        <f t="shared" si="994"/>
        <v>23.23</v>
      </c>
      <c r="G2296" s="431">
        <v>23.23</v>
      </c>
      <c r="H2296" s="400">
        <f t="shared" si="995"/>
        <v>18.579999999999998</v>
      </c>
      <c r="I2296" s="577"/>
      <c r="J2296" s="549" t="s">
        <v>5804</v>
      </c>
      <c r="K2296" s="11"/>
      <c r="M2296" s="37">
        <f t="shared" si="996"/>
        <v>23.23</v>
      </c>
      <c r="N2296" s="29">
        <v>9.32</v>
      </c>
      <c r="O2296" s="149"/>
      <c r="P2296" s="144"/>
      <c r="Q2296" s="145"/>
      <c r="R2296" s="145"/>
      <c r="S2296" s="145" t="s">
        <v>4179</v>
      </c>
      <c r="T2296" t="s">
        <v>1017</v>
      </c>
      <c r="U2296" s="146" t="s">
        <v>1017</v>
      </c>
      <c r="V2296" s="145"/>
      <c r="W2296" s="147"/>
      <c r="X2296" s="147"/>
      <c r="Y2296" s="145"/>
      <c r="Z2296" s="147"/>
      <c r="AA2296" s="145" t="s">
        <v>1017</v>
      </c>
      <c r="AB2296" s="145"/>
      <c r="AC2296" s="147"/>
      <c r="AD2296" s="145"/>
      <c r="AE2296" s="148" t="s">
        <v>1017</v>
      </c>
      <c r="AF2296" s="147"/>
      <c r="AG2296" s="147"/>
      <c r="AH2296" s="171" t="s">
        <v>4178</v>
      </c>
      <c r="AI2296" s="168" t="str">
        <f t="shared" si="988"/>
        <v/>
      </c>
      <c r="AJ2296" s="168" t="str">
        <f t="shared" si="989"/>
        <v/>
      </c>
      <c r="AK2296" s="168" t="str">
        <f t="shared" si="990"/>
        <v/>
      </c>
      <c r="AL2296" s="168" t="str">
        <f t="shared" si="991"/>
        <v/>
      </c>
      <c r="AM2296" s="168" t="str">
        <f t="shared" si="992"/>
        <v/>
      </c>
      <c r="AN2296" s="167" t="str">
        <f t="shared" si="975"/>
        <v>2012</v>
      </c>
      <c r="AO2296" s="167" t="str">
        <f t="shared" si="976"/>
        <v>2012</v>
      </c>
      <c r="AP2296" s="167" t="str">
        <f t="shared" si="977"/>
        <v>2012</v>
      </c>
      <c r="AQ2296" s="169" t="str">
        <f t="shared" si="978"/>
        <v/>
      </c>
      <c r="AR2296" s="170" t="str">
        <f t="shared" si="979"/>
        <v>BiK82M2bK12y08</v>
      </c>
      <c r="AS2296" s="169" t="str">
        <f t="shared" si="980"/>
        <v/>
      </c>
      <c r="AT2296">
        <f t="shared" si="981"/>
        <v>14</v>
      </c>
      <c r="AU2296" s="170" t="str">
        <f t="shared" si="982"/>
        <v>0,15-0,5 MW, Bonusregeln M2, y, b und K erstmals 2012</v>
      </c>
      <c r="AV2296" s="169" t="str">
        <f t="shared" si="983"/>
        <v/>
      </c>
      <c r="AW2296" s="170" t="str">
        <f t="shared" si="984"/>
        <v>Anteil KWK, erstmals 2012</v>
      </c>
      <c r="AX2296" s="169" t="str">
        <f t="shared" si="985"/>
        <v/>
      </c>
      <c r="AY2296" t="str">
        <f t="shared" si="986"/>
        <v/>
      </c>
      <c r="AZ2296" t="str">
        <f t="shared" si="987"/>
        <v>x</v>
      </c>
    </row>
    <row r="2297" spans="1:52" x14ac:dyDescent="0.35">
      <c r="A2297" s="497" t="s">
        <v>2232</v>
      </c>
      <c r="B2297" s="13" t="s">
        <v>5547</v>
      </c>
      <c r="C2297" s="13" t="s">
        <v>5539</v>
      </c>
      <c r="D2297" s="13" t="s">
        <v>7181</v>
      </c>
      <c r="E2297" s="13" t="s">
        <v>4809</v>
      </c>
      <c r="F2297" s="373">
        <f t="shared" si="994"/>
        <v>20.32</v>
      </c>
      <c r="G2297" s="430">
        <v>20.32</v>
      </c>
      <c r="H2297" s="399">
        <f t="shared" si="995"/>
        <v>16.260000000000002</v>
      </c>
      <c r="I2297" s="576"/>
      <c r="J2297" s="549" t="s">
        <v>5804</v>
      </c>
      <c r="K2297" s="11"/>
      <c r="M2297" s="37">
        <f t="shared" si="996"/>
        <v>20.32</v>
      </c>
      <c r="N2297" s="29">
        <v>9.32</v>
      </c>
      <c r="O2297" s="149"/>
      <c r="P2297" s="144"/>
      <c r="Q2297" s="145"/>
      <c r="R2297" s="145"/>
      <c r="S2297" s="145" t="s">
        <v>4179</v>
      </c>
      <c r="T2297" t="s">
        <v>4179</v>
      </c>
      <c r="U2297" s="146"/>
      <c r="V2297" s="145"/>
      <c r="W2297" s="147"/>
      <c r="X2297" s="147"/>
      <c r="Y2297" s="145"/>
      <c r="Z2297" s="147"/>
      <c r="AA2297" s="145"/>
      <c r="AB2297" s="145" t="s">
        <v>1017</v>
      </c>
      <c r="AC2297" s="147"/>
      <c r="AD2297" s="145"/>
      <c r="AE2297" s="148" t="s">
        <v>1017</v>
      </c>
      <c r="AF2297" s="147"/>
      <c r="AG2297" s="147"/>
      <c r="AH2297" s="166" t="str">
        <f t="shared" ref="AH2297:AH2302" si="1004">IF(ISERROR(SEARCH("K erstmals 201",D2297)),"",RIGHT(D2297,4))</f>
        <v/>
      </c>
      <c r="AI2297" s="168" t="str">
        <f t="shared" si="988"/>
        <v/>
      </c>
      <c r="AJ2297" s="168" t="str">
        <f t="shared" si="989"/>
        <v/>
      </c>
      <c r="AK2297" s="168" t="str">
        <f t="shared" si="990"/>
        <v/>
      </c>
      <c r="AL2297" s="168" t="str">
        <f t="shared" si="991"/>
        <v/>
      </c>
      <c r="AM2297" s="168" t="str">
        <f t="shared" si="992"/>
        <v/>
      </c>
      <c r="AN2297" s="167" t="str">
        <f t="shared" si="975"/>
        <v/>
      </c>
      <c r="AO2297" s="167" t="str">
        <f t="shared" si="976"/>
        <v/>
      </c>
      <c r="AP2297" s="167" t="str">
        <f t="shared" si="977"/>
        <v/>
      </c>
      <c r="AQ2297" s="169" t="str">
        <f t="shared" si="978"/>
        <v/>
      </c>
      <c r="AR2297" s="170" t="str">
        <f t="shared" si="979"/>
        <v>BiK82Lb-----08</v>
      </c>
      <c r="AS2297" s="169" t="str">
        <f t="shared" si="980"/>
        <v/>
      </c>
      <c r="AT2297">
        <f t="shared" si="981"/>
        <v>14</v>
      </c>
      <c r="AU2297" s="170" t="str">
        <f t="shared" si="982"/>
        <v>0,15-0,5 MW, Bonusregeln L, b</v>
      </c>
      <c r="AV2297" s="169" t="str">
        <f t="shared" si="983"/>
        <v/>
      </c>
      <c r="AW2297" s="170" t="str">
        <f t="shared" si="984"/>
        <v>Anteil Nicht-KWK</v>
      </c>
      <c r="AX2297" s="169" t="str">
        <f t="shared" si="985"/>
        <v/>
      </c>
      <c r="AY2297" t="str">
        <f t="shared" si="986"/>
        <v/>
      </c>
      <c r="AZ2297" t="str">
        <f t="shared" si="987"/>
        <v/>
      </c>
    </row>
    <row r="2298" spans="1:52" s="145" customFormat="1" x14ac:dyDescent="0.35">
      <c r="A2298" s="497" t="s">
        <v>2233</v>
      </c>
      <c r="B2298" s="13" t="s">
        <v>5547</v>
      </c>
      <c r="C2298" s="13" t="s">
        <v>5539</v>
      </c>
      <c r="D2298" s="13" t="s">
        <v>7182</v>
      </c>
      <c r="E2298" s="13" t="s">
        <v>4811</v>
      </c>
      <c r="F2298" s="373">
        <f t="shared" si="994"/>
        <v>22.32</v>
      </c>
      <c r="G2298" s="430">
        <v>22.32</v>
      </c>
      <c r="H2298" s="399">
        <f t="shared" si="995"/>
        <v>17.86</v>
      </c>
      <c r="I2298" s="576"/>
      <c r="J2298" s="549" t="s">
        <v>5804</v>
      </c>
      <c r="K2298" s="11"/>
      <c r="L2298"/>
      <c r="M2298" s="37">
        <f t="shared" si="996"/>
        <v>22.32</v>
      </c>
      <c r="N2298" s="29">
        <v>9.32</v>
      </c>
      <c r="O2298" s="149" t="s">
        <v>1017</v>
      </c>
      <c r="P2298" s="144"/>
      <c r="S2298" s="145" t="s">
        <v>4179</v>
      </c>
      <c r="T2298" s="145" t="s">
        <v>4179</v>
      </c>
      <c r="U2298" s="146"/>
      <c r="W2298" s="147"/>
      <c r="X2298" s="147"/>
      <c r="Z2298" s="147"/>
      <c r="AB2298" s="145" t="s">
        <v>1017</v>
      </c>
      <c r="AC2298" s="147"/>
      <c r="AE2298" s="148" t="s">
        <v>1017</v>
      </c>
      <c r="AF2298" s="147"/>
      <c r="AG2298" s="147"/>
      <c r="AH2298" s="166" t="str">
        <f t="shared" si="1004"/>
        <v/>
      </c>
      <c r="AI2298" s="168" t="str">
        <f t="shared" si="988"/>
        <v/>
      </c>
      <c r="AJ2298" s="168" t="str">
        <f t="shared" si="989"/>
        <v/>
      </c>
      <c r="AK2298" s="168" t="str">
        <f t="shared" si="990"/>
        <v/>
      </c>
      <c r="AL2298" s="168" t="str">
        <f t="shared" si="991"/>
        <v/>
      </c>
      <c r="AM2298" s="168" t="str">
        <f t="shared" si="992"/>
        <v/>
      </c>
      <c r="AN2298" s="167" t="str">
        <f t="shared" si="975"/>
        <v/>
      </c>
      <c r="AO2298" s="167" t="str">
        <f t="shared" si="976"/>
        <v/>
      </c>
      <c r="AP2298" s="167" t="str">
        <f t="shared" si="977"/>
        <v/>
      </c>
      <c r="AQ2298" s="169" t="str">
        <f t="shared" si="978"/>
        <v/>
      </c>
      <c r="AR2298" s="170" t="str">
        <f t="shared" si="979"/>
        <v>BiK82LbKWK--08</v>
      </c>
      <c r="AS2298" s="169" t="str">
        <f t="shared" si="980"/>
        <v/>
      </c>
      <c r="AT2298">
        <f t="shared" si="981"/>
        <v>14</v>
      </c>
      <c r="AU2298" s="170" t="str">
        <f t="shared" si="982"/>
        <v>0,15-0,5 MW, Bonusregeln L, b und KWK</v>
      </c>
      <c r="AV2298" s="169" t="str">
        <f t="shared" si="983"/>
        <v/>
      </c>
      <c r="AW2298" s="170" t="str">
        <f t="shared" si="984"/>
        <v>Anteil KWK</v>
      </c>
      <c r="AX2298" s="169" t="str">
        <f t="shared" si="985"/>
        <v/>
      </c>
      <c r="AY2298" t="str">
        <f t="shared" si="986"/>
        <v/>
      </c>
      <c r="AZ2298" t="str">
        <f t="shared" si="987"/>
        <v/>
      </c>
    </row>
    <row r="2299" spans="1:52" s="145" customFormat="1" x14ac:dyDescent="0.35">
      <c r="A2299" s="497" t="s">
        <v>2234</v>
      </c>
      <c r="B2299" s="13" t="s">
        <v>5547</v>
      </c>
      <c r="C2299" s="13" t="s">
        <v>5539</v>
      </c>
      <c r="D2299" s="13" t="s">
        <v>7183</v>
      </c>
      <c r="E2299" s="13" t="s">
        <v>4330</v>
      </c>
      <c r="F2299" s="373">
        <f t="shared" si="994"/>
        <v>23.32</v>
      </c>
      <c r="G2299" s="430">
        <v>23.32</v>
      </c>
      <c r="H2299" s="399">
        <f t="shared" si="995"/>
        <v>18.66</v>
      </c>
      <c r="I2299" s="576"/>
      <c r="J2299" s="549" t="s">
        <v>5804</v>
      </c>
      <c r="K2299" s="11"/>
      <c r="L2299"/>
      <c r="M2299" s="37">
        <f t="shared" si="996"/>
        <v>23.32</v>
      </c>
      <c r="N2299" s="29">
        <v>9.32</v>
      </c>
      <c r="O2299" s="149"/>
      <c r="P2299" s="145" t="s">
        <v>1017</v>
      </c>
      <c r="S2299" s="145" t="s">
        <v>4179</v>
      </c>
      <c r="T2299" s="145" t="s">
        <v>4179</v>
      </c>
      <c r="U2299" s="146"/>
      <c r="W2299" s="147"/>
      <c r="X2299" s="147"/>
      <c r="Z2299" s="147"/>
      <c r="AB2299" s="145" t="s">
        <v>1017</v>
      </c>
      <c r="AC2299" s="147"/>
      <c r="AE2299" s="148" t="s">
        <v>1017</v>
      </c>
      <c r="AF2299" s="147"/>
      <c r="AG2299" s="147"/>
      <c r="AH2299" s="166" t="str">
        <f t="shared" si="1004"/>
        <v/>
      </c>
      <c r="AI2299" s="168" t="str">
        <f t="shared" si="988"/>
        <v/>
      </c>
      <c r="AJ2299" s="168" t="str">
        <f t="shared" si="989"/>
        <v/>
      </c>
      <c r="AK2299" s="168" t="str">
        <f t="shared" si="990"/>
        <v/>
      </c>
      <c r="AL2299" s="168" t="str">
        <f t="shared" si="991"/>
        <v/>
      </c>
      <c r="AM2299" s="168" t="str">
        <f t="shared" si="992"/>
        <v/>
      </c>
      <c r="AN2299" s="167" t="str">
        <f t="shared" si="975"/>
        <v/>
      </c>
      <c r="AO2299" s="167" t="str">
        <f t="shared" si="976"/>
        <v/>
      </c>
      <c r="AP2299" s="167" t="str">
        <f t="shared" si="977"/>
        <v/>
      </c>
      <c r="AQ2299" s="169" t="str">
        <f t="shared" si="978"/>
        <v/>
      </c>
      <c r="AR2299" s="170" t="str">
        <f t="shared" si="979"/>
        <v>BiK82LbKA3--08</v>
      </c>
      <c r="AS2299" s="169" t="str">
        <f t="shared" si="980"/>
        <v/>
      </c>
      <c r="AT2299">
        <f t="shared" si="981"/>
        <v>14</v>
      </c>
      <c r="AU2299" s="170" t="str">
        <f t="shared" si="982"/>
        <v>0,15-0,5 MW, Bonusregeln L, b und K wenn Anlage 3 erfüllt</v>
      </c>
      <c r="AV2299" s="169" t="str">
        <f t="shared" si="983"/>
        <v/>
      </c>
      <c r="AW2299" s="170" t="str">
        <f t="shared" si="984"/>
        <v>Anteil KWK gemäß Anlage 3</v>
      </c>
      <c r="AX2299" s="169" t="str">
        <f t="shared" si="985"/>
        <v/>
      </c>
      <c r="AY2299" t="str">
        <f t="shared" si="986"/>
        <v/>
      </c>
      <c r="AZ2299" t="str">
        <f t="shared" si="987"/>
        <v/>
      </c>
    </row>
    <row r="2300" spans="1:52" s="145" customFormat="1" x14ac:dyDescent="0.35">
      <c r="A2300" s="497" t="s">
        <v>2235</v>
      </c>
      <c r="B2300" s="13" t="s">
        <v>5547</v>
      </c>
      <c r="C2300" s="13" t="s">
        <v>5539</v>
      </c>
      <c r="D2300" s="13" t="s">
        <v>7184</v>
      </c>
      <c r="E2300" s="13" t="s">
        <v>674</v>
      </c>
      <c r="F2300" s="373">
        <f t="shared" si="994"/>
        <v>23.32</v>
      </c>
      <c r="G2300" s="430">
        <v>23.32</v>
      </c>
      <c r="H2300" s="399">
        <f t="shared" si="995"/>
        <v>18.66</v>
      </c>
      <c r="I2300" s="576"/>
      <c r="J2300" s="549" t="s">
        <v>5804</v>
      </c>
      <c r="K2300" s="11"/>
      <c r="L2300"/>
      <c r="M2300" s="37">
        <f t="shared" si="996"/>
        <v>23.32</v>
      </c>
      <c r="N2300" s="29">
        <v>9.32</v>
      </c>
      <c r="O2300" s="149"/>
      <c r="P2300" s="144"/>
      <c r="Q2300" s="145" t="s">
        <v>1017</v>
      </c>
      <c r="S2300" s="145" t="s">
        <v>4179</v>
      </c>
      <c r="T2300" s="145" t="s">
        <v>4179</v>
      </c>
      <c r="U2300" s="146"/>
      <c r="W2300" s="147"/>
      <c r="X2300" s="147"/>
      <c r="Z2300" s="147"/>
      <c r="AB2300" s="145" t="s">
        <v>1017</v>
      </c>
      <c r="AC2300" s="147"/>
      <c r="AE2300" s="148" t="s">
        <v>1017</v>
      </c>
      <c r="AF2300" s="147"/>
      <c r="AG2300" s="147"/>
      <c r="AH2300" s="166" t="str">
        <f t="shared" si="1004"/>
        <v/>
      </c>
      <c r="AI2300" s="168" t="str">
        <f t="shared" si="988"/>
        <v/>
      </c>
      <c r="AJ2300" s="168" t="str">
        <f t="shared" si="989"/>
        <v/>
      </c>
      <c r="AK2300" s="168" t="str">
        <f t="shared" si="990"/>
        <v/>
      </c>
      <c r="AL2300" s="168" t="str">
        <f t="shared" si="991"/>
        <v/>
      </c>
      <c r="AM2300" s="168" t="str">
        <f t="shared" si="992"/>
        <v/>
      </c>
      <c r="AN2300" s="167" t="str">
        <f t="shared" si="975"/>
        <v/>
      </c>
      <c r="AO2300" s="167" t="str">
        <f t="shared" si="976"/>
        <v/>
      </c>
      <c r="AP2300" s="167" t="str">
        <f t="shared" si="977"/>
        <v/>
      </c>
      <c r="AQ2300" s="169" t="str">
        <f t="shared" si="978"/>
        <v/>
      </c>
      <c r="AR2300" s="170" t="str">
        <f t="shared" si="979"/>
        <v>BiK82LbK09--08</v>
      </c>
      <c r="AS2300" s="169" t="str">
        <f t="shared" si="980"/>
        <v/>
      </c>
      <c r="AT2300">
        <f t="shared" si="981"/>
        <v>14</v>
      </c>
      <c r="AU2300" s="170" t="str">
        <f t="shared" si="982"/>
        <v>0,15-0,5 MW, Bonusregeln L, b und K erstmals 2009</v>
      </c>
      <c r="AV2300" s="169" t="str">
        <f t="shared" si="983"/>
        <v/>
      </c>
      <c r="AW2300" s="170" t="str">
        <f t="shared" si="984"/>
        <v>Anteil KWK, erstmals 2009</v>
      </c>
      <c r="AX2300" s="169" t="str">
        <f t="shared" si="985"/>
        <v/>
      </c>
      <c r="AY2300" t="str">
        <f t="shared" si="986"/>
        <v/>
      </c>
      <c r="AZ2300" t="str">
        <f t="shared" si="987"/>
        <v/>
      </c>
    </row>
    <row r="2301" spans="1:52" s="145" customFormat="1" x14ac:dyDescent="0.35">
      <c r="A2301" s="497" t="s">
        <v>3272</v>
      </c>
      <c r="B2301" s="13" t="s">
        <v>5547</v>
      </c>
      <c r="C2301" s="13" t="s">
        <v>5539</v>
      </c>
      <c r="D2301" s="13" t="s">
        <v>7185</v>
      </c>
      <c r="E2301" s="13" t="s">
        <v>3566</v>
      </c>
      <c r="F2301" s="373">
        <f t="shared" si="994"/>
        <v>23.29</v>
      </c>
      <c r="G2301" s="430">
        <v>23.29</v>
      </c>
      <c r="H2301" s="399">
        <f t="shared" si="995"/>
        <v>18.63</v>
      </c>
      <c r="I2301" s="576"/>
      <c r="J2301" s="549" t="s">
        <v>5804</v>
      </c>
      <c r="K2301" s="11"/>
      <c r="L2301"/>
      <c r="M2301" s="37">
        <f t="shared" si="996"/>
        <v>23.29</v>
      </c>
      <c r="N2301" s="29">
        <v>9.32</v>
      </c>
      <c r="O2301" s="149"/>
      <c r="P2301" s="144"/>
      <c r="R2301" s="145" t="s">
        <v>1017</v>
      </c>
      <c r="S2301" s="145" t="s">
        <v>4179</v>
      </c>
      <c r="T2301" s="145" t="s">
        <v>4179</v>
      </c>
      <c r="U2301" s="146"/>
      <c r="W2301" s="147"/>
      <c r="X2301" s="147"/>
      <c r="Z2301" s="147"/>
      <c r="AB2301" s="145" t="s">
        <v>1017</v>
      </c>
      <c r="AC2301" s="147"/>
      <c r="AE2301" s="148" t="s">
        <v>1017</v>
      </c>
      <c r="AF2301" s="147"/>
      <c r="AG2301" s="147"/>
      <c r="AH2301" s="166" t="str">
        <f t="shared" si="1004"/>
        <v>2010</v>
      </c>
      <c r="AI2301" s="168" t="str">
        <f t="shared" si="988"/>
        <v/>
      </c>
      <c r="AJ2301" s="168" t="str">
        <f t="shared" si="989"/>
        <v/>
      </c>
      <c r="AK2301" s="168" t="str">
        <f t="shared" si="990"/>
        <v/>
      </c>
      <c r="AL2301" s="168" t="str">
        <f t="shared" si="991"/>
        <v/>
      </c>
      <c r="AM2301" s="168" t="str">
        <f t="shared" si="992"/>
        <v/>
      </c>
      <c r="AN2301" s="167" t="str">
        <f t="shared" si="975"/>
        <v>2010</v>
      </c>
      <c r="AO2301" s="167" t="str">
        <f t="shared" si="976"/>
        <v>2010</v>
      </c>
      <c r="AP2301" s="167" t="str">
        <f t="shared" si="977"/>
        <v>2010</v>
      </c>
      <c r="AQ2301" s="169" t="str">
        <f t="shared" si="978"/>
        <v/>
      </c>
      <c r="AR2301" s="170" t="str">
        <f t="shared" si="979"/>
        <v>BiK82LbK10--08</v>
      </c>
      <c r="AS2301" s="169" t="str">
        <f t="shared" si="980"/>
        <v/>
      </c>
      <c r="AT2301">
        <f t="shared" si="981"/>
        <v>14</v>
      </c>
      <c r="AU2301" s="170" t="str">
        <f t="shared" si="982"/>
        <v>0,15-0,5 MW, Bonusregeln L, b und K erstmals 2010</v>
      </c>
      <c r="AV2301" s="169" t="str">
        <f t="shared" si="983"/>
        <v/>
      </c>
      <c r="AW2301" s="170" t="str">
        <f t="shared" si="984"/>
        <v>Anteil KWK, erstmals 2010</v>
      </c>
      <c r="AX2301" s="169" t="str">
        <f t="shared" si="985"/>
        <v/>
      </c>
      <c r="AY2301" t="str">
        <f t="shared" si="986"/>
        <v/>
      </c>
      <c r="AZ2301" t="str">
        <f t="shared" si="987"/>
        <v/>
      </c>
    </row>
    <row r="2302" spans="1:52" s="145" customFormat="1" x14ac:dyDescent="0.35">
      <c r="A2302" s="497" t="s">
        <v>3477</v>
      </c>
      <c r="B2302" s="13" t="s">
        <v>5547</v>
      </c>
      <c r="C2302" s="13" t="s">
        <v>5539</v>
      </c>
      <c r="D2302" s="13" t="s">
        <v>7186</v>
      </c>
      <c r="E2302" s="13" t="s">
        <v>3054</v>
      </c>
      <c r="F2302" s="373">
        <f t="shared" si="994"/>
        <v>23.259999999999998</v>
      </c>
      <c r="G2302" s="430">
        <v>23.259999999999998</v>
      </c>
      <c r="H2302" s="399">
        <f t="shared" si="995"/>
        <v>18.61</v>
      </c>
      <c r="I2302" s="576"/>
      <c r="J2302" s="549" t="s">
        <v>5804</v>
      </c>
      <c r="K2302" s="11"/>
      <c r="L2302"/>
      <c r="M2302" s="37">
        <f t="shared" si="996"/>
        <v>23.259999999999998</v>
      </c>
      <c r="N2302" s="29">
        <v>9.32</v>
      </c>
      <c r="O2302" s="149"/>
      <c r="P2302" s="144"/>
      <c r="S2302" s="145" t="s">
        <v>1017</v>
      </c>
      <c r="T2302" s="145" t="s">
        <v>4179</v>
      </c>
      <c r="U2302" s="146"/>
      <c r="W2302" s="147"/>
      <c r="X2302" s="147"/>
      <c r="Z2302" s="147"/>
      <c r="AB2302" s="145" t="s">
        <v>1017</v>
      </c>
      <c r="AC2302" s="147"/>
      <c r="AE2302" s="148" t="s">
        <v>1017</v>
      </c>
      <c r="AF2302" s="147"/>
      <c r="AG2302" s="147"/>
      <c r="AH2302" s="166" t="str">
        <f t="shared" si="1004"/>
        <v>2011</v>
      </c>
      <c r="AI2302" s="168" t="str">
        <f t="shared" si="988"/>
        <v/>
      </c>
      <c r="AJ2302" s="168" t="str">
        <f t="shared" si="989"/>
        <v/>
      </c>
      <c r="AK2302" s="168" t="str">
        <f t="shared" si="990"/>
        <v/>
      </c>
      <c r="AL2302" s="168" t="str">
        <f t="shared" si="991"/>
        <v/>
      </c>
      <c r="AM2302" s="168" t="str">
        <f t="shared" si="992"/>
        <v/>
      </c>
      <c r="AN2302" s="167" t="str">
        <f t="shared" si="975"/>
        <v>2011</v>
      </c>
      <c r="AO2302" s="167" t="str">
        <f t="shared" si="976"/>
        <v>2011</v>
      </c>
      <c r="AP2302" s="167" t="str">
        <f t="shared" si="977"/>
        <v>2011</v>
      </c>
      <c r="AQ2302" s="169" t="str">
        <f t="shared" si="978"/>
        <v/>
      </c>
      <c r="AR2302" s="170" t="str">
        <f t="shared" si="979"/>
        <v>BiK82LbK11--08</v>
      </c>
      <c r="AS2302" s="169" t="str">
        <f t="shared" si="980"/>
        <v/>
      </c>
      <c r="AT2302">
        <f t="shared" si="981"/>
        <v>14</v>
      </c>
      <c r="AU2302" s="170" t="str">
        <f t="shared" si="982"/>
        <v>0,15-0,5 MW, Bonusregeln L, b und K erstmals 2011</v>
      </c>
      <c r="AV2302" s="169" t="str">
        <f t="shared" si="983"/>
        <v/>
      </c>
      <c r="AW2302" s="170" t="str">
        <f t="shared" si="984"/>
        <v>Anteil KWK, erstmals 2011</v>
      </c>
      <c r="AX2302" s="169" t="str">
        <f t="shared" si="985"/>
        <v/>
      </c>
      <c r="AY2302" t="str">
        <f t="shared" si="986"/>
        <v>x</v>
      </c>
      <c r="AZ2302" t="str">
        <f t="shared" si="987"/>
        <v/>
      </c>
    </row>
    <row r="2303" spans="1:52" s="145" customFormat="1" x14ac:dyDescent="0.35">
      <c r="A2303" s="511" t="s">
        <v>1910</v>
      </c>
      <c r="B2303" s="173" t="s">
        <v>5547</v>
      </c>
      <c r="C2303" s="173" t="s">
        <v>5539</v>
      </c>
      <c r="D2303" s="173" t="s">
        <v>7187</v>
      </c>
      <c r="E2303" s="173" t="s">
        <v>1980</v>
      </c>
      <c r="F2303" s="374">
        <f t="shared" si="994"/>
        <v>23.23</v>
      </c>
      <c r="G2303" s="431">
        <v>23.23</v>
      </c>
      <c r="H2303" s="400">
        <f t="shared" si="995"/>
        <v>18.579999999999998</v>
      </c>
      <c r="I2303" s="577"/>
      <c r="J2303" s="549" t="s">
        <v>5804</v>
      </c>
      <c r="K2303" s="11"/>
      <c r="L2303"/>
      <c r="M2303" s="37">
        <f t="shared" si="996"/>
        <v>23.23</v>
      </c>
      <c r="N2303" s="29">
        <v>9.32</v>
      </c>
      <c r="O2303" s="149"/>
      <c r="P2303" s="144"/>
      <c r="S2303" s="145" t="s">
        <v>4179</v>
      </c>
      <c r="T2303" s="145" t="s">
        <v>1017</v>
      </c>
      <c r="U2303" s="146"/>
      <c r="W2303" s="147"/>
      <c r="X2303" s="147"/>
      <c r="Z2303" s="147"/>
      <c r="AB2303" s="145" t="s">
        <v>1017</v>
      </c>
      <c r="AC2303" s="147"/>
      <c r="AE2303" s="148" t="s">
        <v>1017</v>
      </c>
      <c r="AF2303" s="147"/>
      <c r="AG2303" s="147"/>
      <c r="AH2303" s="171" t="s">
        <v>4178</v>
      </c>
      <c r="AI2303" s="168" t="str">
        <f t="shared" si="988"/>
        <v/>
      </c>
      <c r="AJ2303" s="168" t="str">
        <f t="shared" si="989"/>
        <v/>
      </c>
      <c r="AK2303" s="168" t="str">
        <f t="shared" si="990"/>
        <v/>
      </c>
      <c r="AL2303" s="168" t="str">
        <f t="shared" si="991"/>
        <v/>
      </c>
      <c r="AM2303" s="168" t="str">
        <f t="shared" si="992"/>
        <v/>
      </c>
      <c r="AN2303" s="167" t="str">
        <f t="shared" ref="AN2303:AN2371" si="1005">IF(ISERROR(SEARCH("K1",A2303)),"","20"&amp;MID(A2303,SEARCH("K1",A2303)+1,2))</f>
        <v>2012</v>
      </c>
      <c r="AO2303" s="167" t="str">
        <f t="shared" ref="AO2303:AO2371" si="1006">IF(ISERROR(SEARCH("erstmals 201",E2303)),"",MID(E2303,SEARCH("erstmals ",E2303)+9,4))</f>
        <v>2012</v>
      </c>
      <c r="AP2303" s="167" t="str">
        <f t="shared" ref="AP2303:AP2371" si="1007">IF(R2303="x","2010",IF(S2303="x","2011",IF(T2303="x","2012","")))</f>
        <v>2012</v>
      </c>
      <c r="AQ2303" s="169" t="str">
        <f t="shared" ref="AQ2303:AQ2366" si="1008">IF(OR(AH2303&lt;&gt;AN2303,AH2303&lt;&gt;AO2303,AH2303&lt;&gt;AP2303),"DIFF","")</f>
        <v/>
      </c>
      <c r="AR2303" s="170" t="str">
        <f t="shared" ref="AR2303:AR2371" si="1009">IF(A2303="","",IF(ISERROR(SEARCH("K1",A2303)),A2303,LEFT(A2303,SEARCH("K1",A2303)+1)&amp;RIGHT(AH2303,1)&amp;MID(A2303,SEARCH("K1",A2303)+3,14)))</f>
        <v>BiK82LbK12--08</v>
      </c>
      <c r="AS2303" s="169" t="str">
        <f t="shared" ref="AS2303:AS2366" si="1010">IF(OR(A2303&lt;&gt;AR2303),"DIFF","")</f>
        <v/>
      </c>
      <c r="AT2303">
        <f t="shared" ref="AT2303:AT2371" si="1011">LEN(AR2303)</f>
        <v>14</v>
      </c>
      <c r="AU2303" s="170" t="str">
        <f t="shared" ref="AU2303:AU2371" si="1012">IF(D2303="","",IF(OR(A2303="",ISERROR(SEARCH("erstmals 201",D2303))),D2303,LEFT(D2303,SEARCH("erstmals 201",D2303)+8) &amp; AH2303 &amp; MID(D2303,SEARCH("erstmals 201",D2303)+13,255)))</f>
        <v>0,15-0,5 MW, Bonusregeln L, b und K erstmals 2012</v>
      </c>
      <c r="AV2303" s="169" t="str">
        <f t="shared" ref="AV2303:AV2366" si="1013">IF(OR(D2303&lt;&gt;AU2303),"DIFF","")</f>
        <v/>
      </c>
      <c r="AW2303" s="170" t="str">
        <f t="shared" ref="AW2303:AW2371" si="1014">IF(E2303="","",IF(OR(E2303="",ISERROR(SEARCH("erstmals 201",E2303))),E2303,LEFT(E2303,SEARCH("erstmals 201",E2303)+8) &amp; AH2303 &amp; MID(E2303,SEARCH("erstmals 201",E2303)+13,255)))</f>
        <v>Anteil KWK, erstmals 2012</v>
      </c>
      <c r="AX2303" s="169" t="str">
        <f t="shared" ref="AX2303:AX2366" si="1015">IF(OR(E2303&lt;&gt;AW2303),"DIFF","")</f>
        <v/>
      </c>
      <c r="AY2303" t="str">
        <f t="shared" ref="AY2303:AY2371" si="1016">IF(AH2303="2011","x",IF(AH2303="2012","","" &amp; S2303))</f>
        <v/>
      </c>
      <c r="AZ2303" t="str">
        <f t="shared" ref="AZ2303:AZ2371" si="1017">IF(AH2303="2012","x",IF(AH2303="2011","","" &amp; T2303))</f>
        <v>x</v>
      </c>
    </row>
    <row r="2304" spans="1:52" s="145" customFormat="1" x14ac:dyDescent="0.35">
      <c r="A2304" s="497" t="s">
        <v>2236</v>
      </c>
      <c r="B2304" s="13" t="s">
        <v>5547</v>
      </c>
      <c r="C2304" s="13" t="s">
        <v>5539</v>
      </c>
      <c r="D2304" s="13" t="s">
        <v>7188</v>
      </c>
      <c r="E2304" s="13" t="s">
        <v>4809</v>
      </c>
      <c r="F2304" s="373">
        <f t="shared" si="994"/>
        <v>21.32</v>
      </c>
      <c r="G2304" s="430">
        <v>21.32</v>
      </c>
      <c r="H2304" s="399">
        <f t="shared" si="995"/>
        <v>17.059999999999999</v>
      </c>
      <c r="I2304" s="576"/>
      <c r="J2304" s="549" t="s">
        <v>5804</v>
      </c>
      <c r="K2304" s="11"/>
      <c r="L2304"/>
      <c r="M2304" s="37">
        <f t="shared" si="996"/>
        <v>21.32</v>
      </c>
      <c r="N2304" s="29">
        <v>9.32</v>
      </c>
      <c r="O2304" s="149"/>
      <c r="P2304" s="144"/>
      <c r="S2304" s="145" t="s">
        <v>4179</v>
      </c>
      <c r="T2304" s="145" t="s">
        <v>4179</v>
      </c>
      <c r="U2304" s="146" t="s">
        <v>1017</v>
      </c>
      <c r="W2304" s="147"/>
      <c r="X2304" s="147"/>
      <c r="Z2304" s="147"/>
      <c r="AB2304" s="145" t="s">
        <v>1017</v>
      </c>
      <c r="AC2304" s="147"/>
      <c r="AE2304" s="148" t="s">
        <v>1017</v>
      </c>
      <c r="AF2304" s="147"/>
      <c r="AG2304" s="147"/>
      <c r="AH2304" s="166" t="str">
        <f t="shared" ref="AH2304:AH2309" si="1018">IF(ISERROR(SEARCH("K erstmals 201",D2304)),"",RIGHT(D2304,4))</f>
        <v/>
      </c>
      <c r="AI2304" s="168" t="str">
        <f t="shared" ref="AI2304:AI2367" si="1019">IF(AND($AH2304&lt;&gt;"",AH2304 =AH2303),"Gleich","")</f>
        <v/>
      </c>
      <c r="AJ2304" s="168" t="str">
        <f t="shared" ref="AJ2304:AJ2371" si="1020">IF(AND($AH2304&lt;&gt;"",A2304 =A2303),"Gleich","")</f>
        <v/>
      </c>
      <c r="AK2304" s="168" t="str">
        <f t="shared" ref="AK2304:AK2371" si="1021">IF(AND($AH2304&lt;&gt;"",D2304 =D2303),"Gleich","")</f>
        <v/>
      </c>
      <c r="AL2304" s="168" t="str">
        <f t="shared" ref="AL2304:AL2371" si="1022">IF(AND($AH2304&lt;&gt;"",E2304 =E2303),"Gleich","")</f>
        <v/>
      </c>
      <c r="AM2304" s="168" t="str">
        <f t="shared" ref="AM2304:AM2371" si="1023">IF(AND($AH2304&lt;&gt;"",F2304 =F2303),"Gleich","")</f>
        <v/>
      </c>
      <c r="AN2304" s="167" t="str">
        <f t="shared" si="1005"/>
        <v/>
      </c>
      <c r="AO2304" s="167" t="str">
        <f t="shared" si="1006"/>
        <v/>
      </c>
      <c r="AP2304" s="167" t="str">
        <f t="shared" si="1007"/>
        <v/>
      </c>
      <c r="AQ2304" s="169" t="str">
        <f t="shared" si="1008"/>
        <v/>
      </c>
      <c r="AR2304" s="170" t="str">
        <f t="shared" si="1009"/>
        <v>BiK82Lby----08</v>
      </c>
      <c r="AS2304" s="169" t="str">
        <f t="shared" si="1010"/>
        <v/>
      </c>
      <c r="AT2304">
        <f t="shared" si="1011"/>
        <v>14</v>
      </c>
      <c r="AU2304" s="170" t="str">
        <f t="shared" si="1012"/>
        <v>0,15-0,5 MW, Bonusregeln L, y, b</v>
      </c>
      <c r="AV2304" s="169" t="str">
        <f t="shared" si="1013"/>
        <v/>
      </c>
      <c r="AW2304" s="170" t="str">
        <f t="shared" si="1014"/>
        <v>Anteil Nicht-KWK</v>
      </c>
      <c r="AX2304" s="169" t="str">
        <f t="shared" si="1015"/>
        <v/>
      </c>
      <c r="AY2304" t="str">
        <f t="shared" si="1016"/>
        <v/>
      </c>
      <c r="AZ2304" t="str">
        <f t="shared" si="1017"/>
        <v/>
      </c>
    </row>
    <row r="2305" spans="1:52" s="145" customFormat="1" x14ac:dyDescent="0.35">
      <c r="A2305" s="497" t="s">
        <v>2237</v>
      </c>
      <c r="B2305" s="13" t="s">
        <v>5547</v>
      </c>
      <c r="C2305" s="13" t="s">
        <v>5539</v>
      </c>
      <c r="D2305" s="13" t="s">
        <v>7189</v>
      </c>
      <c r="E2305" s="13" t="s">
        <v>4811</v>
      </c>
      <c r="F2305" s="373">
        <f t="shared" si="994"/>
        <v>23.32</v>
      </c>
      <c r="G2305" s="430">
        <v>23.32</v>
      </c>
      <c r="H2305" s="399">
        <f t="shared" si="995"/>
        <v>18.66</v>
      </c>
      <c r="I2305" s="576"/>
      <c r="J2305" s="549" t="s">
        <v>5804</v>
      </c>
      <c r="K2305" s="11"/>
      <c r="L2305"/>
      <c r="M2305" s="37">
        <f t="shared" si="996"/>
        <v>23.32</v>
      </c>
      <c r="N2305" s="29">
        <v>9.32</v>
      </c>
      <c r="O2305" s="149" t="s">
        <v>1017</v>
      </c>
      <c r="P2305" s="144"/>
      <c r="S2305" s="145" t="s">
        <v>4179</v>
      </c>
      <c r="T2305" s="145" t="s">
        <v>4179</v>
      </c>
      <c r="U2305" s="146" t="s">
        <v>1017</v>
      </c>
      <c r="W2305" s="147"/>
      <c r="X2305" s="147"/>
      <c r="Z2305" s="147"/>
      <c r="AB2305" s="145" t="s">
        <v>1017</v>
      </c>
      <c r="AC2305" s="147"/>
      <c r="AE2305" s="148" t="s">
        <v>1017</v>
      </c>
      <c r="AF2305" s="147"/>
      <c r="AG2305" s="147"/>
      <c r="AH2305" s="166" t="str">
        <f t="shared" si="1018"/>
        <v/>
      </c>
      <c r="AI2305" s="168" t="str">
        <f t="shared" si="1019"/>
        <v/>
      </c>
      <c r="AJ2305" s="168" t="str">
        <f t="shared" si="1020"/>
        <v/>
      </c>
      <c r="AK2305" s="168" t="str">
        <f t="shared" si="1021"/>
        <v/>
      </c>
      <c r="AL2305" s="168" t="str">
        <f t="shared" si="1022"/>
        <v/>
      </c>
      <c r="AM2305" s="168" t="str">
        <f t="shared" si="1023"/>
        <v/>
      </c>
      <c r="AN2305" s="167" t="str">
        <f t="shared" si="1005"/>
        <v/>
      </c>
      <c r="AO2305" s="167" t="str">
        <f t="shared" si="1006"/>
        <v/>
      </c>
      <c r="AP2305" s="167" t="str">
        <f t="shared" si="1007"/>
        <v/>
      </c>
      <c r="AQ2305" s="169" t="str">
        <f t="shared" si="1008"/>
        <v/>
      </c>
      <c r="AR2305" s="170" t="str">
        <f t="shared" si="1009"/>
        <v>BiK82LbKWKy-08</v>
      </c>
      <c r="AS2305" s="169" t="str">
        <f t="shared" si="1010"/>
        <v/>
      </c>
      <c r="AT2305">
        <f t="shared" si="1011"/>
        <v>14</v>
      </c>
      <c r="AU2305" s="170" t="str">
        <f t="shared" si="1012"/>
        <v>0,15-0,5 MW, Bonusregeln L, y, b und KWK</v>
      </c>
      <c r="AV2305" s="169" t="str">
        <f t="shared" si="1013"/>
        <v/>
      </c>
      <c r="AW2305" s="170" t="str">
        <f t="shared" si="1014"/>
        <v>Anteil KWK</v>
      </c>
      <c r="AX2305" s="169" t="str">
        <f t="shared" si="1015"/>
        <v/>
      </c>
      <c r="AY2305" t="str">
        <f t="shared" si="1016"/>
        <v/>
      </c>
      <c r="AZ2305" t="str">
        <f t="shared" si="1017"/>
        <v/>
      </c>
    </row>
    <row r="2306" spans="1:52" s="145" customFormat="1" x14ac:dyDescent="0.35">
      <c r="A2306" s="497" t="s">
        <v>2238</v>
      </c>
      <c r="B2306" s="13" t="s">
        <v>5547</v>
      </c>
      <c r="C2306" s="13" t="s">
        <v>5539</v>
      </c>
      <c r="D2306" s="88" t="s">
        <v>7190</v>
      </c>
      <c r="E2306" s="13" t="s">
        <v>4330</v>
      </c>
      <c r="F2306" s="373">
        <f t="shared" si="994"/>
        <v>24.32</v>
      </c>
      <c r="G2306" s="430">
        <v>24.32</v>
      </c>
      <c r="H2306" s="399">
        <f t="shared" si="995"/>
        <v>19.46</v>
      </c>
      <c r="I2306" s="576"/>
      <c r="J2306" s="549" t="s">
        <v>5804</v>
      </c>
      <c r="K2306" s="11"/>
      <c r="L2306"/>
      <c r="M2306" s="37">
        <f t="shared" si="996"/>
        <v>24.32</v>
      </c>
      <c r="N2306" s="29">
        <v>9.32</v>
      </c>
      <c r="O2306" s="149"/>
      <c r="P2306" s="145" t="s">
        <v>1017</v>
      </c>
      <c r="S2306" s="145" t="s">
        <v>4179</v>
      </c>
      <c r="T2306" s="145" t="s">
        <v>4179</v>
      </c>
      <c r="U2306" s="146" t="s">
        <v>1017</v>
      </c>
      <c r="W2306" s="147"/>
      <c r="X2306" s="147"/>
      <c r="Z2306" s="147"/>
      <c r="AB2306" s="145" t="s">
        <v>1017</v>
      </c>
      <c r="AC2306" s="147"/>
      <c r="AE2306" s="148" t="s">
        <v>1017</v>
      </c>
      <c r="AF2306" s="147"/>
      <c r="AG2306" s="147"/>
      <c r="AH2306" s="166" t="str">
        <f t="shared" si="1018"/>
        <v/>
      </c>
      <c r="AI2306" s="168" t="str">
        <f t="shared" si="1019"/>
        <v/>
      </c>
      <c r="AJ2306" s="168" t="str">
        <f t="shared" si="1020"/>
        <v/>
      </c>
      <c r="AK2306" s="168" t="str">
        <f t="shared" si="1021"/>
        <v/>
      </c>
      <c r="AL2306" s="168" t="str">
        <f t="shared" si="1022"/>
        <v/>
      </c>
      <c r="AM2306" s="168" t="str">
        <f t="shared" si="1023"/>
        <v/>
      </c>
      <c r="AN2306" s="167" t="str">
        <f t="shared" si="1005"/>
        <v/>
      </c>
      <c r="AO2306" s="167" t="str">
        <f t="shared" si="1006"/>
        <v/>
      </c>
      <c r="AP2306" s="167" t="str">
        <f t="shared" si="1007"/>
        <v/>
      </c>
      <c r="AQ2306" s="169" t="str">
        <f t="shared" si="1008"/>
        <v/>
      </c>
      <c r="AR2306" s="170" t="str">
        <f t="shared" si="1009"/>
        <v>BiK82LbKA3y-08</v>
      </c>
      <c r="AS2306" s="169" t="str">
        <f t="shared" si="1010"/>
        <v/>
      </c>
      <c r="AT2306">
        <f t="shared" si="1011"/>
        <v>14</v>
      </c>
      <c r="AU2306" s="170" t="str">
        <f t="shared" si="1012"/>
        <v>0,15-0,5 MW, Bonusregeln L, y, b und K wenn Anlage 3 erfüllt</v>
      </c>
      <c r="AV2306" s="169" t="str">
        <f t="shared" si="1013"/>
        <v/>
      </c>
      <c r="AW2306" s="170" t="str">
        <f t="shared" si="1014"/>
        <v>Anteil KWK gemäß Anlage 3</v>
      </c>
      <c r="AX2306" s="169" t="str">
        <f t="shared" si="1015"/>
        <v/>
      </c>
      <c r="AY2306" t="str">
        <f t="shared" si="1016"/>
        <v/>
      </c>
      <c r="AZ2306" t="str">
        <f t="shared" si="1017"/>
        <v/>
      </c>
    </row>
    <row r="2307" spans="1:52" x14ac:dyDescent="0.35">
      <c r="A2307" s="497" t="s">
        <v>2239</v>
      </c>
      <c r="B2307" s="13" t="s">
        <v>5547</v>
      </c>
      <c r="C2307" s="13" t="s">
        <v>5539</v>
      </c>
      <c r="D2307" s="13" t="s">
        <v>7191</v>
      </c>
      <c r="E2307" s="13" t="s">
        <v>674</v>
      </c>
      <c r="F2307" s="373">
        <f t="shared" si="994"/>
        <v>24.32</v>
      </c>
      <c r="G2307" s="430">
        <v>24.32</v>
      </c>
      <c r="H2307" s="399">
        <f t="shared" si="995"/>
        <v>19.46</v>
      </c>
      <c r="I2307" s="576"/>
      <c r="J2307" s="549" t="s">
        <v>5804</v>
      </c>
      <c r="K2307" s="11"/>
      <c r="M2307" s="37">
        <f t="shared" si="996"/>
        <v>24.32</v>
      </c>
      <c r="N2307" s="29">
        <v>9.32</v>
      </c>
      <c r="O2307" s="149"/>
      <c r="P2307" s="144"/>
      <c r="Q2307" s="145" t="s">
        <v>1017</v>
      </c>
      <c r="R2307" s="145"/>
      <c r="S2307" s="145" t="s">
        <v>4179</v>
      </c>
      <c r="T2307" t="s">
        <v>4179</v>
      </c>
      <c r="U2307" s="146" t="s">
        <v>1017</v>
      </c>
      <c r="V2307" s="145"/>
      <c r="W2307" s="147"/>
      <c r="X2307" s="147"/>
      <c r="Y2307" s="145"/>
      <c r="Z2307" s="147"/>
      <c r="AA2307" s="145"/>
      <c r="AB2307" s="145" t="s">
        <v>1017</v>
      </c>
      <c r="AC2307" s="147"/>
      <c r="AD2307" s="145"/>
      <c r="AE2307" s="148" t="s">
        <v>1017</v>
      </c>
      <c r="AF2307" s="147"/>
      <c r="AG2307" s="147"/>
      <c r="AH2307" s="166" t="str">
        <f t="shared" si="1018"/>
        <v/>
      </c>
      <c r="AI2307" s="168" t="str">
        <f t="shared" si="1019"/>
        <v/>
      </c>
      <c r="AJ2307" s="168" t="str">
        <f t="shared" si="1020"/>
        <v/>
      </c>
      <c r="AK2307" s="168" t="str">
        <f t="shared" si="1021"/>
        <v/>
      </c>
      <c r="AL2307" s="168" t="str">
        <f t="shared" si="1022"/>
        <v/>
      </c>
      <c r="AM2307" s="168" t="str">
        <f t="shared" si="1023"/>
        <v/>
      </c>
      <c r="AN2307" s="167" t="str">
        <f t="shared" si="1005"/>
        <v/>
      </c>
      <c r="AO2307" s="167" t="str">
        <f t="shared" si="1006"/>
        <v/>
      </c>
      <c r="AP2307" s="167" t="str">
        <f t="shared" si="1007"/>
        <v/>
      </c>
      <c r="AQ2307" s="169" t="str">
        <f t="shared" si="1008"/>
        <v/>
      </c>
      <c r="AR2307" s="170" t="str">
        <f t="shared" si="1009"/>
        <v>BiK82LbK09y-08</v>
      </c>
      <c r="AS2307" s="169" t="str">
        <f t="shared" si="1010"/>
        <v/>
      </c>
      <c r="AT2307">
        <f t="shared" si="1011"/>
        <v>14</v>
      </c>
      <c r="AU2307" s="170" t="str">
        <f t="shared" si="1012"/>
        <v>0,15-0,5 MW, Bonusregeln L, y, b und K erstmals 2009</v>
      </c>
      <c r="AV2307" s="169" t="str">
        <f t="shared" si="1013"/>
        <v/>
      </c>
      <c r="AW2307" s="170" t="str">
        <f t="shared" si="1014"/>
        <v>Anteil KWK, erstmals 2009</v>
      </c>
      <c r="AX2307" s="169" t="str">
        <f t="shared" si="1015"/>
        <v/>
      </c>
      <c r="AY2307" t="str">
        <f t="shared" si="1016"/>
        <v/>
      </c>
      <c r="AZ2307" t="str">
        <f t="shared" si="1017"/>
        <v/>
      </c>
    </row>
    <row r="2308" spans="1:52" x14ac:dyDescent="0.35">
      <c r="A2308" s="497" t="s">
        <v>3273</v>
      </c>
      <c r="B2308" s="13" t="s">
        <v>5547</v>
      </c>
      <c r="C2308" s="13" t="s">
        <v>5539</v>
      </c>
      <c r="D2308" s="13" t="s">
        <v>7192</v>
      </c>
      <c r="E2308" s="13" t="s">
        <v>3566</v>
      </c>
      <c r="F2308" s="373">
        <f t="shared" si="994"/>
        <v>24.29</v>
      </c>
      <c r="G2308" s="430">
        <v>24.29</v>
      </c>
      <c r="H2308" s="399">
        <f t="shared" si="995"/>
        <v>19.43</v>
      </c>
      <c r="I2308" s="576"/>
      <c r="J2308" s="549" t="s">
        <v>5804</v>
      </c>
      <c r="K2308" s="11"/>
      <c r="M2308" s="37">
        <f t="shared" si="996"/>
        <v>24.29</v>
      </c>
      <c r="N2308" s="29">
        <v>9.32</v>
      </c>
      <c r="O2308" s="149"/>
      <c r="P2308" s="144"/>
      <c r="Q2308" s="145"/>
      <c r="R2308" s="145" t="s">
        <v>1017</v>
      </c>
      <c r="S2308" s="145" t="s">
        <v>4179</v>
      </c>
      <c r="T2308" t="s">
        <v>4179</v>
      </c>
      <c r="U2308" s="146" t="s">
        <v>1017</v>
      </c>
      <c r="V2308" s="145"/>
      <c r="W2308" s="147"/>
      <c r="X2308" s="147"/>
      <c r="Y2308" s="145"/>
      <c r="Z2308" s="147"/>
      <c r="AA2308" s="145"/>
      <c r="AB2308" s="145" t="s">
        <v>1017</v>
      </c>
      <c r="AC2308" s="147"/>
      <c r="AD2308" s="145"/>
      <c r="AE2308" s="148" t="s">
        <v>1017</v>
      </c>
      <c r="AF2308" s="147"/>
      <c r="AG2308" s="147"/>
      <c r="AH2308" s="166" t="str">
        <f t="shared" si="1018"/>
        <v>2010</v>
      </c>
      <c r="AI2308" s="168" t="str">
        <f t="shared" si="1019"/>
        <v/>
      </c>
      <c r="AJ2308" s="168" t="str">
        <f t="shared" si="1020"/>
        <v/>
      </c>
      <c r="AK2308" s="168" t="str">
        <f t="shared" si="1021"/>
        <v/>
      </c>
      <c r="AL2308" s="168" t="str">
        <f t="shared" si="1022"/>
        <v/>
      </c>
      <c r="AM2308" s="168" t="str">
        <f t="shared" si="1023"/>
        <v/>
      </c>
      <c r="AN2308" s="167" t="str">
        <f t="shared" si="1005"/>
        <v>2010</v>
      </c>
      <c r="AO2308" s="167" t="str">
        <f t="shared" si="1006"/>
        <v>2010</v>
      </c>
      <c r="AP2308" s="167" t="str">
        <f t="shared" si="1007"/>
        <v>2010</v>
      </c>
      <c r="AQ2308" s="169" t="str">
        <f t="shared" si="1008"/>
        <v/>
      </c>
      <c r="AR2308" s="170" t="str">
        <f t="shared" si="1009"/>
        <v>BiK82LbK10y-08</v>
      </c>
      <c r="AS2308" s="169" t="str">
        <f t="shared" si="1010"/>
        <v/>
      </c>
      <c r="AT2308">
        <f t="shared" si="1011"/>
        <v>14</v>
      </c>
      <c r="AU2308" s="170" t="str">
        <f t="shared" si="1012"/>
        <v>0,15-0,5 MW, Bonusregeln L, y, b und K erstmals 2010</v>
      </c>
      <c r="AV2308" s="169" t="str">
        <f t="shared" si="1013"/>
        <v/>
      </c>
      <c r="AW2308" s="170" t="str">
        <f t="shared" si="1014"/>
        <v>Anteil KWK, erstmals 2010</v>
      </c>
      <c r="AX2308" s="169" t="str">
        <f t="shared" si="1015"/>
        <v/>
      </c>
      <c r="AY2308" t="str">
        <f t="shared" si="1016"/>
        <v/>
      </c>
      <c r="AZ2308" t="str">
        <f t="shared" si="1017"/>
        <v/>
      </c>
    </row>
    <row r="2309" spans="1:52" x14ac:dyDescent="0.35">
      <c r="A2309" s="497" t="s">
        <v>3478</v>
      </c>
      <c r="B2309" s="13" t="s">
        <v>5547</v>
      </c>
      <c r="C2309" s="13" t="s">
        <v>5539</v>
      </c>
      <c r="D2309" s="13" t="s">
        <v>7193</v>
      </c>
      <c r="E2309" s="13" t="s">
        <v>3054</v>
      </c>
      <c r="F2309" s="373">
        <f t="shared" ref="F2309:F2371" si="1024">M2309</f>
        <v>24.259999999999998</v>
      </c>
      <c r="G2309" s="430">
        <v>24.259999999999998</v>
      </c>
      <c r="H2309" s="399">
        <f t="shared" ref="H2309:H2371" si="1025">IF(ISNUMBER(G2309),ROUND(0.8*G2309,2),"")</f>
        <v>19.41</v>
      </c>
      <c r="I2309" s="576"/>
      <c r="J2309" s="549" t="s">
        <v>5804</v>
      </c>
      <c r="K2309" s="11"/>
      <c r="M2309" s="37">
        <f t="shared" ref="M2309:M2371" si="1026">N2309+SUMIF(O2309:AG2309,"x",O$1988:AG$1988)</f>
        <v>24.259999999999998</v>
      </c>
      <c r="N2309" s="29">
        <v>9.32</v>
      </c>
      <c r="O2309" s="149"/>
      <c r="P2309" s="144"/>
      <c r="Q2309" s="145"/>
      <c r="R2309" s="145"/>
      <c r="S2309" s="145" t="s">
        <v>1017</v>
      </c>
      <c r="T2309" t="s">
        <v>4179</v>
      </c>
      <c r="U2309" s="146" t="s">
        <v>1017</v>
      </c>
      <c r="V2309" s="145"/>
      <c r="W2309" s="147"/>
      <c r="X2309" s="147"/>
      <c r="Y2309" s="145"/>
      <c r="Z2309" s="147"/>
      <c r="AA2309" s="145"/>
      <c r="AB2309" s="145" t="s">
        <v>1017</v>
      </c>
      <c r="AC2309" s="147"/>
      <c r="AD2309" s="145"/>
      <c r="AE2309" s="148" t="s">
        <v>1017</v>
      </c>
      <c r="AF2309" s="147"/>
      <c r="AG2309" s="147"/>
      <c r="AH2309" s="166" t="str">
        <f t="shared" si="1018"/>
        <v>2011</v>
      </c>
      <c r="AI2309" s="168" t="str">
        <f t="shared" si="1019"/>
        <v/>
      </c>
      <c r="AJ2309" s="168" t="str">
        <f t="shared" si="1020"/>
        <v/>
      </c>
      <c r="AK2309" s="168" t="str">
        <f t="shared" si="1021"/>
        <v/>
      </c>
      <c r="AL2309" s="168" t="str">
        <f t="shared" si="1022"/>
        <v/>
      </c>
      <c r="AM2309" s="168" t="str">
        <f t="shared" si="1023"/>
        <v/>
      </c>
      <c r="AN2309" s="167" t="str">
        <f t="shared" si="1005"/>
        <v>2011</v>
      </c>
      <c r="AO2309" s="167" t="str">
        <f t="shared" si="1006"/>
        <v>2011</v>
      </c>
      <c r="AP2309" s="167" t="str">
        <f t="shared" si="1007"/>
        <v>2011</v>
      </c>
      <c r="AQ2309" s="169" t="str">
        <f t="shared" si="1008"/>
        <v/>
      </c>
      <c r="AR2309" s="170" t="str">
        <f t="shared" si="1009"/>
        <v>BiK82LbK11y-08</v>
      </c>
      <c r="AS2309" s="169" t="str">
        <f t="shared" si="1010"/>
        <v/>
      </c>
      <c r="AT2309">
        <f t="shared" si="1011"/>
        <v>14</v>
      </c>
      <c r="AU2309" s="170" t="str">
        <f t="shared" si="1012"/>
        <v>0,15-0,5 MW, Bonusregeln L, y, b und K erstmals 2011</v>
      </c>
      <c r="AV2309" s="169" t="str">
        <f t="shared" si="1013"/>
        <v/>
      </c>
      <c r="AW2309" s="170" t="str">
        <f t="shared" si="1014"/>
        <v>Anteil KWK, erstmals 2011</v>
      </c>
      <c r="AX2309" s="169" t="str">
        <f t="shared" si="1015"/>
        <v/>
      </c>
      <c r="AY2309" t="str">
        <f t="shared" si="1016"/>
        <v>x</v>
      </c>
      <c r="AZ2309" t="str">
        <f t="shared" si="1017"/>
        <v/>
      </c>
    </row>
    <row r="2310" spans="1:52" x14ac:dyDescent="0.35">
      <c r="A2310" s="511" t="s">
        <v>1911</v>
      </c>
      <c r="B2310" s="173" t="s">
        <v>5547</v>
      </c>
      <c r="C2310" s="173" t="s">
        <v>5539</v>
      </c>
      <c r="D2310" s="173" t="s">
        <v>7194</v>
      </c>
      <c r="E2310" s="173" t="s">
        <v>1980</v>
      </c>
      <c r="F2310" s="374">
        <f t="shared" si="1024"/>
        <v>24.23</v>
      </c>
      <c r="G2310" s="431">
        <v>24.23</v>
      </c>
      <c r="H2310" s="400">
        <f t="shared" si="1025"/>
        <v>19.38</v>
      </c>
      <c r="I2310" s="577"/>
      <c r="J2310" s="549" t="s">
        <v>5804</v>
      </c>
      <c r="K2310" s="11"/>
      <c r="M2310" s="37">
        <f t="shared" si="1026"/>
        <v>24.23</v>
      </c>
      <c r="N2310" s="29">
        <v>9.32</v>
      </c>
      <c r="O2310" s="149"/>
      <c r="P2310" s="144"/>
      <c r="Q2310" s="145"/>
      <c r="R2310" s="145"/>
      <c r="S2310" s="145" t="s">
        <v>4179</v>
      </c>
      <c r="T2310" t="s">
        <v>1017</v>
      </c>
      <c r="U2310" s="146" t="s">
        <v>1017</v>
      </c>
      <c r="V2310" s="145"/>
      <c r="W2310" s="147"/>
      <c r="X2310" s="147"/>
      <c r="Y2310" s="145"/>
      <c r="Z2310" s="147"/>
      <c r="AA2310" s="145"/>
      <c r="AB2310" s="145" t="s">
        <v>1017</v>
      </c>
      <c r="AC2310" s="147"/>
      <c r="AD2310" s="145"/>
      <c r="AE2310" s="148" t="s">
        <v>1017</v>
      </c>
      <c r="AF2310" s="147"/>
      <c r="AG2310" s="147"/>
      <c r="AH2310" s="171" t="s">
        <v>4178</v>
      </c>
      <c r="AI2310" s="168" t="str">
        <f t="shared" si="1019"/>
        <v/>
      </c>
      <c r="AJ2310" s="168" t="str">
        <f t="shared" si="1020"/>
        <v/>
      </c>
      <c r="AK2310" s="168" t="str">
        <f t="shared" si="1021"/>
        <v/>
      </c>
      <c r="AL2310" s="168" t="str">
        <f t="shared" si="1022"/>
        <v/>
      </c>
      <c r="AM2310" s="168" t="str">
        <f t="shared" si="1023"/>
        <v/>
      </c>
      <c r="AN2310" s="167" t="str">
        <f t="shared" si="1005"/>
        <v>2012</v>
      </c>
      <c r="AO2310" s="167" t="str">
        <f t="shared" si="1006"/>
        <v>2012</v>
      </c>
      <c r="AP2310" s="167" t="str">
        <f t="shared" si="1007"/>
        <v>2012</v>
      </c>
      <c r="AQ2310" s="169" t="str">
        <f t="shared" si="1008"/>
        <v/>
      </c>
      <c r="AR2310" s="170" t="str">
        <f t="shared" si="1009"/>
        <v>BiK82LbK12y-08</v>
      </c>
      <c r="AS2310" s="169" t="str">
        <f t="shared" si="1010"/>
        <v/>
      </c>
      <c r="AT2310">
        <f t="shared" si="1011"/>
        <v>14</v>
      </c>
      <c r="AU2310" s="170" t="str">
        <f t="shared" si="1012"/>
        <v>0,15-0,5 MW, Bonusregeln L, y, b und K erstmals 2012</v>
      </c>
      <c r="AV2310" s="169" t="str">
        <f t="shared" si="1013"/>
        <v/>
      </c>
      <c r="AW2310" s="170" t="str">
        <f t="shared" si="1014"/>
        <v>Anteil KWK, erstmals 2012</v>
      </c>
      <c r="AX2310" s="169" t="str">
        <f t="shared" si="1015"/>
        <v/>
      </c>
      <c r="AY2310" t="str">
        <f t="shared" si="1016"/>
        <v/>
      </c>
      <c r="AZ2310" t="str">
        <f t="shared" si="1017"/>
        <v>x</v>
      </c>
    </row>
    <row r="2311" spans="1:52" x14ac:dyDescent="0.35">
      <c r="A2311" s="497" t="s">
        <v>4435</v>
      </c>
      <c r="B2311" s="13" t="s">
        <v>5547</v>
      </c>
      <c r="C2311" s="13" t="s">
        <v>5539</v>
      </c>
      <c r="D2311" s="13" t="s">
        <v>7195</v>
      </c>
      <c r="E2311" s="13" t="s">
        <v>4809</v>
      </c>
      <c r="F2311" s="373">
        <f t="shared" si="1024"/>
        <v>21.32</v>
      </c>
      <c r="G2311" s="430">
        <v>21.32</v>
      </c>
      <c r="H2311" s="399">
        <f t="shared" si="1025"/>
        <v>17.059999999999999</v>
      </c>
      <c r="I2311" s="576"/>
      <c r="J2311" s="549" t="s">
        <v>5804</v>
      </c>
      <c r="K2311" s="11"/>
      <c r="M2311" s="37">
        <f t="shared" si="1026"/>
        <v>21.32</v>
      </c>
      <c r="N2311" s="29">
        <v>9.32</v>
      </c>
      <c r="O2311" s="149"/>
      <c r="P2311" s="144"/>
      <c r="Q2311" s="145"/>
      <c r="R2311" s="145"/>
      <c r="S2311" s="145" t="s">
        <v>4179</v>
      </c>
      <c r="T2311" t="s">
        <v>4179</v>
      </c>
      <c r="U2311" s="146"/>
      <c r="V2311" s="145"/>
      <c r="W2311" s="147"/>
      <c r="X2311" s="147"/>
      <c r="Y2311" s="145"/>
      <c r="Z2311" s="147"/>
      <c r="AA2311" s="145"/>
      <c r="AB2311" s="145"/>
      <c r="AC2311" s="147"/>
      <c r="AD2311" s="145" t="s">
        <v>1017</v>
      </c>
      <c r="AE2311" s="148" t="s">
        <v>1017</v>
      </c>
      <c r="AF2311" s="147"/>
      <c r="AG2311" s="147"/>
      <c r="AH2311" s="166" t="str">
        <f t="shared" ref="AH2311:AH2316" si="1027">IF(ISERROR(SEARCH("K erstmals 201",D2311)),"",RIGHT(D2311,4))</f>
        <v/>
      </c>
      <c r="AI2311" s="168" t="str">
        <f t="shared" si="1019"/>
        <v/>
      </c>
      <c r="AJ2311" s="168" t="str">
        <f t="shared" si="1020"/>
        <v/>
      </c>
      <c r="AK2311" s="168" t="str">
        <f t="shared" si="1021"/>
        <v/>
      </c>
      <c r="AL2311" s="168" t="str">
        <f t="shared" si="1022"/>
        <v/>
      </c>
      <c r="AM2311" s="168" t="str">
        <f t="shared" si="1023"/>
        <v/>
      </c>
      <c r="AN2311" s="167" t="str">
        <f t="shared" si="1005"/>
        <v/>
      </c>
      <c r="AO2311" s="167" t="str">
        <f t="shared" si="1006"/>
        <v/>
      </c>
      <c r="AP2311" s="167" t="str">
        <f t="shared" si="1007"/>
        <v/>
      </c>
      <c r="AQ2311" s="169" t="str">
        <f t="shared" si="1008"/>
        <v/>
      </c>
      <c r="AR2311" s="170" t="str">
        <f t="shared" si="1009"/>
        <v>BiK82X2b----08</v>
      </c>
      <c r="AS2311" s="169" t="str">
        <f t="shared" si="1010"/>
        <v/>
      </c>
      <c r="AT2311">
        <f t="shared" si="1011"/>
        <v>14</v>
      </c>
      <c r="AU2311" s="170" t="str">
        <f t="shared" si="1012"/>
        <v>0,15-0,5 MW, Bonusregeln X2, b</v>
      </c>
      <c r="AV2311" s="169" t="str">
        <f t="shared" si="1013"/>
        <v/>
      </c>
      <c r="AW2311" s="170" t="str">
        <f t="shared" si="1014"/>
        <v>Anteil Nicht-KWK</v>
      </c>
      <c r="AX2311" s="169" t="str">
        <f t="shared" si="1015"/>
        <v/>
      </c>
      <c r="AY2311" t="str">
        <f t="shared" si="1016"/>
        <v/>
      </c>
      <c r="AZ2311" t="str">
        <f t="shared" si="1017"/>
        <v/>
      </c>
    </row>
    <row r="2312" spans="1:52" x14ac:dyDescent="0.35">
      <c r="A2312" s="497" t="s">
        <v>4436</v>
      </c>
      <c r="B2312" s="13" t="s">
        <v>5547</v>
      </c>
      <c r="C2312" s="13" t="s">
        <v>5539</v>
      </c>
      <c r="D2312" s="13" t="s">
        <v>7196</v>
      </c>
      <c r="E2312" s="13" t="s">
        <v>4811</v>
      </c>
      <c r="F2312" s="373">
        <f t="shared" si="1024"/>
        <v>23.32</v>
      </c>
      <c r="G2312" s="430">
        <v>23.32</v>
      </c>
      <c r="H2312" s="399">
        <f t="shared" si="1025"/>
        <v>18.66</v>
      </c>
      <c r="I2312" s="576"/>
      <c r="J2312" s="549" t="s">
        <v>5804</v>
      </c>
      <c r="K2312" s="11"/>
      <c r="M2312" s="37">
        <f t="shared" si="1026"/>
        <v>23.32</v>
      </c>
      <c r="N2312" s="29">
        <v>9.32</v>
      </c>
      <c r="O2312" s="149" t="s">
        <v>1017</v>
      </c>
      <c r="P2312" s="144"/>
      <c r="Q2312" s="145"/>
      <c r="R2312" s="145"/>
      <c r="S2312" s="145" t="s">
        <v>4179</v>
      </c>
      <c r="T2312" t="s">
        <v>4179</v>
      </c>
      <c r="U2312" s="146"/>
      <c r="V2312" s="145"/>
      <c r="W2312" s="147"/>
      <c r="X2312" s="147"/>
      <c r="Y2312" s="145"/>
      <c r="Z2312" s="147"/>
      <c r="AA2312" s="145"/>
      <c r="AB2312" s="145"/>
      <c r="AC2312" s="147"/>
      <c r="AD2312" s="145" t="s">
        <v>1017</v>
      </c>
      <c r="AE2312" s="148" t="s">
        <v>1017</v>
      </c>
      <c r="AF2312" s="147"/>
      <c r="AG2312" s="147"/>
      <c r="AH2312" s="166" t="str">
        <f t="shared" si="1027"/>
        <v/>
      </c>
      <c r="AI2312" s="168" t="str">
        <f t="shared" si="1019"/>
        <v/>
      </c>
      <c r="AJ2312" s="168" t="str">
        <f t="shared" si="1020"/>
        <v/>
      </c>
      <c r="AK2312" s="168" t="str">
        <f t="shared" si="1021"/>
        <v/>
      </c>
      <c r="AL2312" s="168" t="str">
        <f t="shared" si="1022"/>
        <v/>
      </c>
      <c r="AM2312" s="168" t="str">
        <f t="shared" si="1023"/>
        <v/>
      </c>
      <c r="AN2312" s="167" t="str">
        <f t="shared" si="1005"/>
        <v/>
      </c>
      <c r="AO2312" s="167" t="str">
        <f t="shared" si="1006"/>
        <v/>
      </c>
      <c r="AP2312" s="167" t="str">
        <f t="shared" si="1007"/>
        <v/>
      </c>
      <c r="AQ2312" s="169" t="str">
        <f t="shared" si="1008"/>
        <v/>
      </c>
      <c r="AR2312" s="170" t="str">
        <f t="shared" si="1009"/>
        <v>BiK82X2bKWK-08</v>
      </c>
      <c r="AS2312" s="169" t="str">
        <f t="shared" si="1010"/>
        <v/>
      </c>
      <c r="AT2312">
        <f t="shared" si="1011"/>
        <v>14</v>
      </c>
      <c r="AU2312" s="170" t="str">
        <f t="shared" si="1012"/>
        <v>0,15-0,5 MW, Bonusregeln X2, b und KWK</v>
      </c>
      <c r="AV2312" s="169" t="str">
        <f t="shared" si="1013"/>
        <v/>
      </c>
      <c r="AW2312" s="170" t="str">
        <f t="shared" si="1014"/>
        <v>Anteil KWK</v>
      </c>
      <c r="AX2312" s="169" t="str">
        <f t="shared" si="1015"/>
        <v/>
      </c>
      <c r="AY2312" t="str">
        <f t="shared" si="1016"/>
        <v/>
      </c>
      <c r="AZ2312" t="str">
        <f t="shared" si="1017"/>
        <v/>
      </c>
    </row>
    <row r="2313" spans="1:52" x14ac:dyDescent="0.35">
      <c r="A2313" s="497" t="s">
        <v>4437</v>
      </c>
      <c r="B2313" s="13" t="s">
        <v>5547</v>
      </c>
      <c r="C2313" s="13" t="s">
        <v>5539</v>
      </c>
      <c r="D2313" s="13" t="s">
        <v>7197</v>
      </c>
      <c r="E2313" s="13" t="s">
        <v>4330</v>
      </c>
      <c r="F2313" s="373">
        <f t="shared" si="1024"/>
        <v>24.32</v>
      </c>
      <c r="G2313" s="430">
        <v>24.32</v>
      </c>
      <c r="H2313" s="399">
        <f t="shared" si="1025"/>
        <v>19.46</v>
      </c>
      <c r="I2313" s="576"/>
      <c r="J2313" s="549" t="s">
        <v>5804</v>
      </c>
      <c r="K2313" s="11"/>
      <c r="M2313" s="37">
        <f t="shared" si="1026"/>
        <v>24.32</v>
      </c>
      <c r="N2313" s="29">
        <v>9.32</v>
      </c>
      <c r="O2313" s="149"/>
      <c r="P2313" s="145" t="s">
        <v>1017</v>
      </c>
      <c r="Q2313" s="145"/>
      <c r="R2313" s="145"/>
      <c r="S2313" s="145" t="s">
        <v>4179</v>
      </c>
      <c r="T2313" t="s">
        <v>4179</v>
      </c>
      <c r="U2313" s="146"/>
      <c r="V2313" s="145"/>
      <c r="W2313" s="147"/>
      <c r="X2313" s="147"/>
      <c r="Y2313" s="145"/>
      <c r="Z2313" s="147"/>
      <c r="AA2313" s="145"/>
      <c r="AB2313" s="145"/>
      <c r="AC2313" s="147"/>
      <c r="AD2313" s="145" t="s">
        <v>1017</v>
      </c>
      <c r="AE2313" s="148" t="s">
        <v>1017</v>
      </c>
      <c r="AF2313" s="147"/>
      <c r="AG2313" s="147"/>
      <c r="AH2313" s="166" t="str">
        <f t="shared" si="1027"/>
        <v/>
      </c>
      <c r="AI2313" s="168" t="str">
        <f t="shared" si="1019"/>
        <v/>
      </c>
      <c r="AJ2313" s="168" t="str">
        <f t="shared" si="1020"/>
        <v/>
      </c>
      <c r="AK2313" s="168" t="str">
        <f t="shared" si="1021"/>
        <v/>
      </c>
      <c r="AL2313" s="168" t="str">
        <f t="shared" si="1022"/>
        <v/>
      </c>
      <c r="AM2313" s="168" t="str">
        <f t="shared" si="1023"/>
        <v/>
      </c>
      <c r="AN2313" s="167" t="str">
        <f t="shared" si="1005"/>
        <v/>
      </c>
      <c r="AO2313" s="167" t="str">
        <f t="shared" si="1006"/>
        <v/>
      </c>
      <c r="AP2313" s="167" t="str">
        <f t="shared" si="1007"/>
        <v/>
      </c>
      <c r="AQ2313" s="169" t="str">
        <f t="shared" si="1008"/>
        <v/>
      </c>
      <c r="AR2313" s="170" t="str">
        <f t="shared" si="1009"/>
        <v>BiK82X2bKA3-08</v>
      </c>
      <c r="AS2313" s="169" t="str">
        <f t="shared" si="1010"/>
        <v/>
      </c>
      <c r="AT2313">
        <f t="shared" si="1011"/>
        <v>14</v>
      </c>
      <c r="AU2313" s="170" t="str">
        <f t="shared" si="1012"/>
        <v>0,15-0,5 MW, Bonusregeln X2, b und K wenn Anlage 3 erfüllt</v>
      </c>
      <c r="AV2313" s="169" t="str">
        <f t="shared" si="1013"/>
        <v/>
      </c>
      <c r="AW2313" s="170" t="str">
        <f t="shared" si="1014"/>
        <v>Anteil KWK gemäß Anlage 3</v>
      </c>
      <c r="AX2313" s="169" t="str">
        <f t="shared" si="1015"/>
        <v/>
      </c>
      <c r="AY2313" t="str">
        <f t="shared" si="1016"/>
        <v/>
      </c>
      <c r="AZ2313" t="str">
        <f t="shared" si="1017"/>
        <v/>
      </c>
    </row>
    <row r="2314" spans="1:52" x14ac:dyDescent="0.35">
      <c r="A2314" s="497" t="s">
        <v>4438</v>
      </c>
      <c r="B2314" s="13" t="s">
        <v>5547</v>
      </c>
      <c r="C2314" s="13" t="s">
        <v>5539</v>
      </c>
      <c r="D2314" s="13" t="s">
        <v>7198</v>
      </c>
      <c r="E2314" s="13" t="s">
        <v>674</v>
      </c>
      <c r="F2314" s="373">
        <f t="shared" si="1024"/>
        <v>24.32</v>
      </c>
      <c r="G2314" s="430">
        <v>24.32</v>
      </c>
      <c r="H2314" s="399">
        <f t="shared" si="1025"/>
        <v>19.46</v>
      </c>
      <c r="I2314" s="576"/>
      <c r="J2314" s="549" t="s">
        <v>5804</v>
      </c>
      <c r="K2314" s="11"/>
      <c r="M2314" s="37">
        <f t="shared" si="1026"/>
        <v>24.32</v>
      </c>
      <c r="N2314" s="29">
        <v>9.32</v>
      </c>
      <c r="O2314" s="149"/>
      <c r="P2314" s="144"/>
      <c r="Q2314" s="145" t="s">
        <v>1017</v>
      </c>
      <c r="R2314" s="145"/>
      <c r="S2314" s="145" t="s">
        <v>4179</v>
      </c>
      <c r="T2314" t="s">
        <v>4179</v>
      </c>
      <c r="U2314" s="146"/>
      <c r="V2314" s="145"/>
      <c r="W2314" s="147"/>
      <c r="X2314" s="147"/>
      <c r="Y2314" s="145"/>
      <c r="Z2314" s="147"/>
      <c r="AA2314" s="145"/>
      <c r="AB2314" s="145"/>
      <c r="AC2314" s="147"/>
      <c r="AD2314" s="145" t="s">
        <v>1017</v>
      </c>
      <c r="AE2314" s="148" t="s">
        <v>1017</v>
      </c>
      <c r="AF2314" s="147"/>
      <c r="AG2314" s="147"/>
      <c r="AH2314" s="166" t="str">
        <f t="shared" si="1027"/>
        <v/>
      </c>
      <c r="AI2314" s="168" t="str">
        <f t="shared" si="1019"/>
        <v/>
      </c>
      <c r="AJ2314" s="168" t="str">
        <f t="shared" si="1020"/>
        <v/>
      </c>
      <c r="AK2314" s="168" t="str">
        <f t="shared" si="1021"/>
        <v/>
      </c>
      <c r="AL2314" s="168" t="str">
        <f t="shared" si="1022"/>
        <v/>
      </c>
      <c r="AM2314" s="168" t="str">
        <f t="shared" si="1023"/>
        <v/>
      </c>
      <c r="AN2314" s="167" t="str">
        <f t="shared" si="1005"/>
        <v/>
      </c>
      <c r="AO2314" s="167" t="str">
        <f t="shared" si="1006"/>
        <v/>
      </c>
      <c r="AP2314" s="167" t="str">
        <f t="shared" si="1007"/>
        <v/>
      </c>
      <c r="AQ2314" s="169" t="str">
        <f t="shared" si="1008"/>
        <v/>
      </c>
      <c r="AR2314" s="170" t="str">
        <f t="shared" si="1009"/>
        <v>BiK82X2bK09-08</v>
      </c>
      <c r="AS2314" s="169" t="str">
        <f t="shared" si="1010"/>
        <v/>
      </c>
      <c r="AT2314">
        <f t="shared" si="1011"/>
        <v>14</v>
      </c>
      <c r="AU2314" s="170" t="str">
        <f t="shared" si="1012"/>
        <v>0,15-0,5 MW, Bonusregeln X2, b und K erstmals 2009</v>
      </c>
      <c r="AV2314" s="169" t="str">
        <f t="shared" si="1013"/>
        <v/>
      </c>
      <c r="AW2314" s="170" t="str">
        <f t="shared" si="1014"/>
        <v>Anteil KWK, erstmals 2009</v>
      </c>
      <c r="AX2314" s="169" t="str">
        <f t="shared" si="1015"/>
        <v/>
      </c>
      <c r="AY2314" t="str">
        <f t="shared" si="1016"/>
        <v/>
      </c>
      <c r="AZ2314" t="str">
        <f t="shared" si="1017"/>
        <v/>
      </c>
    </row>
    <row r="2315" spans="1:52" x14ac:dyDescent="0.35">
      <c r="A2315" s="497" t="s">
        <v>3274</v>
      </c>
      <c r="B2315" s="13" t="s">
        <v>5547</v>
      </c>
      <c r="C2315" s="13" t="s">
        <v>5539</v>
      </c>
      <c r="D2315" s="13" t="s">
        <v>7199</v>
      </c>
      <c r="E2315" s="13" t="s">
        <v>3566</v>
      </c>
      <c r="F2315" s="373">
        <f t="shared" si="1024"/>
        <v>24.29</v>
      </c>
      <c r="G2315" s="430">
        <v>24.29</v>
      </c>
      <c r="H2315" s="399">
        <f t="shared" si="1025"/>
        <v>19.43</v>
      </c>
      <c r="I2315" s="576"/>
      <c r="J2315" s="549" t="s">
        <v>5804</v>
      </c>
      <c r="K2315" s="11"/>
      <c r="M2315" s="37">
        <f t="shared" si="1026"/>
        <v>24.29</v>
      </c>
      <c r="N2315" s="29">
        <v>9.32</v>
      </c>
      <c r="O2315" s="149"/>
      <c r="P2315" s="144"/>
      <c r="Q2315" s="145"/>
      <c r="R2315" s="145" t="s">
        <v>1017</v>
      </c>
      <c r="S2315" s="145" t="s">
        <v>4179</v>
      </c>
      <c r="T2315" t="s">
        <v>4179</v>
      </c>
      <c r="U2315" s="146"/>
      <c r="V2315" s="145"/>
      <c r="W2315" s="147"/>
      <c r="X2315" s="147"/>
      <c r="Y2315" s="145"/>
      <c r="Z2315" s="147"/>
      <c r="AA2315" s="145"/>
      <c r="AB2315" s="145"/>
      <c r="AC2315" s="147"/>
      <c r="AD2315" s="145" t="s">
        <v>1017</v>
      </c>
      <c r="AE2315" s="148" t="s">
        <v>1017</v>
      </c>
      <c r="AF2315" s="147"/>
      <c r="AG2315" s="147"/>
      <c r="AH2315" s="166" t="str">
        <f t="shared" si="1027"/>
        <v>2010</v>
      </c>
      <c r="AI2315" s="168" t="str">
        <f t="shared" si="1019"/>
        <v/>
      </c>
      <c r="AJ2315" s="168" t="str">
        <f t="shared" si="1020"/>
        <v/>
      </c>
      <c r="AK2315" s="168" t="str">
        <f t="shared" si="1021"/>
        <v/>
      </c>
      <c r="AL2315" s="168" t="str">
        <f t="shared" si="1022"/>
        <v/>
      </c>
      <c r="AM2315" s="168" t="str">
        <f t="shared" si="1023"/>
        <v/>
      </c>
      <c r="AN2315" s="167" t="str">
        <f t="shared" si="1005"/>
        <v>2010</v>
      </c>
      <c r="AO2315" s="167" t="str">
        <f t="shared" si="1006"/>
        <v>2010</v>
      </c>
      <c r="AP2315" s="167" t="str">
        <f t="shared" si="1007"/>
        <v>2010</v>
      </c>
      <c r="AQ2315" s="169" t="str">
        <f t="shared" si="1008"/>
        <v/>
      </c>
      <c r="AR2315" s="170" t="str">
        <f t="shared" si="1009"/>
        <v>BiK82X2bK10-08</v>
      </c>
      <c r="AS2315" s="169" t="str">
        <f t="shared" si="1010"/>
        <v/>
      </c>
      <c r="AT2315">
        <f t="shared" si="1011"/>
        <v>14</v>
      </c>
      <c r="AU2315" s="170" t="str">
        <f t="shared" si="1012"/>
        <v>0,15-0,5 MW, Bonusregeln X2, b und K erstmals 2010</v>
      </c>
      <c r="AV2315" s="169" t="str">
        <f t="shared" si="1013"/>
        <v/>
      </c>
      <c r="AW2315" s="170" t="str">
        <f t="shared" si="1014"/>
        <v>Anteil KWK, erstmals 2010</v>
      </c>
      <c r="AX2315" s="169" t="str">
        <f t="shared" si="1015"/>
        <v/>
      </c>
      <c r="AY2315" t="str">
        <f t="shared" si="1016"/>
        <v/>
      </c>
      <c r="AZ2315" t="str">
        <f t="shared" si="1017"/>
        <v/>
      </c>
    </row>
    <row r="2316" spans="1:52" x14ac:dyDescent="0.35">
      <c r="A2316" s="497" t="s">
        <v>3479</v>
      </c>
      <c r="B2316" s="13" t="s">
        <v>5547</v>
      </c>
      <c r="C2316" s="13" t="s">
        <v>5539</v>
      </c>
      <c r="D2316" s="13" t="s">
        <v>7200</v>
      </c>
      <c r="E2316" s="13" t="s">
        <v>3054</v>
      </c>
      <c r="F2316" s="373">
        <f t="shared" si="1024"/>
        <v>24.259999999999998</v>
      </c>
      <c r="G2316" s="430">
        <v>24.259999999999998</v>
      </c>
      <c r="H2316" s="399">
        <f t="shared" si="1025"/>
        <v>19.41</v>
      </c>
      <c r="I2316" s="576"/>
      <c r="J2316" s="549" t="s">
        <v>5804</v>
      </c>
      <c r="K2316" s="11"/>
      <c r="M2316" s="37">
        <f t="shared" si="1026"/>
        <v>24.259999999999998</v>
      </c>
      <c r="N2316" s="29">
        <v>9.32</v>
      </c>
      <c r="O2316" s="149"/>
      <c r="P2316" s="144"/>
      <c r="Q2316" s="145"/>
      <c r="R2316" s="145"/>
      <c r="S2316" s="145" t="s">
        <v>1017</v>
      </c>
      <c r="T2316" t="s">
        <v>4179</v>
      </c>
      <c r="U2316" s="146"/>
      <c r="V2316" s="145"/>
      <c r="W2316" s="147"/>
      <c r="X2316" s="147"/>
      <c r="Y2316" s="145"/>
      <c r="Z2316" s="147"/>
      <c r="AA2316" s="145"/>
      <c r="AB2316" s="145"/>
      <c r="AC2316" s="147"/>
      <c r="AD2316" s="145" t="s">
        <v>1017</v>
      </c>
      <c r="AE2316" s="148" t="s">
        <v>1017</v>
      </c>
      <c r="AF2316" s="147"/>
      <c r="AG2316" s="147"/>
      <c r="AH2316" s="166" t="str">
        <f t="shared" si="1027"/>
        <v>2011</v>
      </c>
      <c r="AI2316" s="168" t="str">
        <f t="shared" si="1019"/>
        <v/>
      </c>
      <c r="AJ2316" s="168" t="str">
        <f t="shared" si="1020"/>
        <v/>
      </c>
      <c r="AK2316" s="168" t="str">
        <f t="shared" si="1021"/>
        <v/>
      </c>
      <c r="AL2316" s="168" t="str">
        <f t="shared" si="1022"/>
        <v/>
      </c>
      <c r="AM2316" s="168" t="str">
        <f t="shared" si="1023"/>
        <v/>
      </c>
      <c r="AN2316" s="167" t="str">
        <f t="shared" si="1005"/>
        <v>2011</v>
      </c>
      <c r="AO2316" s="167" t="str">
        <f t="shared" si="1006"/>
        <v>2011</v>
      </c>
      <c r="AP2316" s="167" t="str">
        <f t="shared" si="1007"/>
        <v>2011</v>
      </c>
      <c r="AQ2316" s="169" t="str">
        <f t="shared" si="1008"/>
        <v/>
      </c>
      <c r="AR2316" s="170" t="str">
        <f t="shared" si="1009"/>
        <v>BiK82X2bK11-08</v>
      </c>
      <c r="AS2316" s="169" t="str">
        <f t="shared" si="1010"/>
        <v/>
      </c>
      <c r="AT2316">
        <f t="shared" si="1011"/>
        <v>14</v>
      </c>
      <c r="AU2316" s="170" t="str">
        <f t="shared" si="1012"/>
        <v>0,15-0,5 MW, Bonusregeln X2, b und K erstmals 2011</v>
      </c>
      <c r="AV2316" s="169" t="str">
        <f t="shared" si="1013"/>
        <v/>
      </c>
      <c r="AW2316" s="170" t="str">
        <f t="shared" si="1014"/>
        <v>Anteil KWK, erstmals 2011</v>
      </c>
      <c r="AX2316" s="169" t="str">
        <f t="shared" si="1015"/>
        <v/>
      </c>
      <c r="AY2316" t="str">
        <f t="shared" si="1016"/>
        <v>x</v>
      </c>
      <c r="AZ2316" t="str">
        <f t="shared" si="1017"/>
        <v/>
      </c>
    </row>
    <row r="2317" spans="1:52" x14ac:dyDescent="0.35">
      <c r="A2317" s="511" t="s">
        <v>1912</v>
      </c>
      <c r="B2317" s="173" t="s">
        <v>5547</v>
      </c>
      <c r="C2317" s="173" t="s">
        <v>5539</v>
      </c>
      <c r="D2317" s="173" t="s">
        <v>7201</v>
      </c>
      <c r="E2317" s="173" t="s">
        <v>1980</v>
      </c>
      <c r="F2317" s="374">
        <f t="shared" si="1024"/>
        <v>24.23</v>
      </c>
      <c r="G2317" s="431">
        <v>24.23</v>
      </c>
      <c r="H2317" s="400">
        <f t="shared" si="1025"/>
        <v>19.38</v>
      </c>
      <c r="I2317" s="577"/>
      <c r="J2317" s="549" t="s">
        <v>5804</v>
      </c>
      <c r="K2317" s="11"/>
      <c r="M2317" s="37">
        <f t="shared" si="1026"/>
        <v>24.23</v>
      </c>
      <c r="N2317" s="29">
        <v>9.32</v>
      </c>
      <c r="O2317" s="149"/>
      <c r="P2317" s="144"/>
      <c r="Q2317" s="145"/>
      <c r="R2317" s="145"/>
      <c r="S2317" s="145" t="s">
        <v>4179</v>
      </c>
      <c r="T2317" t="s">
        <v>1017</v>
      </c>
      <c r="U2317" s="146"/>
      <c r="V2317" s="145"/>
      <c r="W2317" s="147"/>
      <c r="X2317" s="147"/>
      <c r="Y2317" s="145"/>
      <c r="Z2317" s="147"/>
      <c r="AA2317" s="145"/>
      <c r="AB2317" s="145"/>
      <c r="AC2317" s="147"/>
      <c r="AD2317" s="145" t="s">
        <v>1017</v>
      </c>
      <c r="AE2317" s="148" t="s">
        <v>1017</v>
      </c>
      <c r="AF2317" s="147"/>
      <c r="AG2317" s="147"/>
      <c r="AH2317" s="171" t="s">
        <v>4178</v>
      </c>
      <c r="AI2317" s="168" t="str">
        <f t="shared" si="1019"/>
        <v/>
      </c>
      <c r="AJ2317" s="168" t="str">
        <f t="shared" si="1020"/>
        <v/>
      </c>
      <c r="AK2317" s="168" t="str">
        <f t="shared" si="1021"/>
        <v/>
      </c>
      <c r="AL2317" s="168" t="str">
        <f t="shared" si="1022"/>
        <v/>
      </c>
      <c r="AM2317" s="168" t="str">
        <f t="shared" si="1023"/>
        <v/>
      </c>
      <c r="AN2317" s="167" t="str">
        <f t="shared" si="1005"/>
        <v>2012</v>
      </c>
      <c r="AO2317" s="167" t="str">
        <f t="shared" si="1006"/>
        <v>2012</v>
      </c>
      <c r="AP2317" s="167" t="str">
        <f t="shared" si="1007"/>
        <v>2012</v>
      </c>
      <c r="AQ2317" s="169" t="str">
        <f t="shared" si="1008"/>
        <v/>
      </c>
      <c r="AR2317" s="170" t="str">
        <f t="shared" si="1009"/>
        <v>BiK82X2bK12-08</v>
      </c>
      <c r="AS2317" s="169" t="str">
        <f t="shared" si="1010"/>
        <v/>
      </c>
      <c r="AT2317">
        <f t="shared" si="1011"/>
        <v>14</v>
      </c>
      <c r="AU2317" s="170" t="str">
        <f t="shared" si="1012"/>
        <v>0,15-0,5 MW, Bonusregeln X2, b und K erstmals 2012</v>
      </c>
      <c r="AV2317" s="169" t="str">
        <f t="shared" si="1013"/>
        <v/>
      </c>
      <c r="AW2317" s="170" t="str">
        <f t="shared" si="1014"/>
        <v>Anteil KWK, erstmals 2012</v>
      </c>
      <c r="AX2317" s="169" t="str">
        <f t="shared" si="1015"/>
        <v/>
      </c>
      <c r="AY2317" t="str">
        <f t="shared" si="1016"/>
        <v/>
      </c>
      <c r="AZ2317" t="str">
        <f t="shared" si="1017"/>
        <v>x</v>
      </c>
    </row>
    <row r="2318" spans="1:52" x14ac:dyDescent="0.35">
      <c r="A2318" s="497" t="s">
        <v>4439</v>
      </c>
      <c r="B2318" s="13" t="s">
        <v>5547</v>
      </c>
      <c r="C2318" s="13" t="s">
        <v>5539</v>
      </c>
      <c r="D2318" s="13" t="s">
        <v>7202</v>
      </c>
      <c r="E2318" s="13" t="s">
        <v>4809</v>
      </c>
      <c r="F2318" s="373">
        <f t="shared" si="1024"/>
        <v>22.32</v>
      </c>
      <c r="G2318" s="430">
        <v>22.32</v>
      </c>
      <c r="H2318" s="399">
        <f t="shared" si="1025"/>
        <v>17.86</v>
      </c>
      <c r="I2318" s="576"/>
      <c r="J2318" s="549" t="s">
        <v>5804</v>
      </c>
      <c r="K2318" s="11"/>
      <c r="M2318" s="37">
        <f t="shared" si="1026"/>
        <v>22.32</v>
      </c>
      <c r="N2318" s="29">
        <v>9.32</v>
      </c>
      <c r="O2318" s="149"/>
      <c r="P2318" s="144"/>
      <c r="Q2318" s="145"/>
      <c r="R2318" s="145"/>
      <c r="S2318" s="145" t="s">
        <v>4179</v>
      </c>
      <c r="T2318" t="s">
        <v>4179</v>
      </c>
      <c r="U2318" s="146" t="s">
        <v>1017</v>
      </c>
      <c r="V2318" s="145"/>
      <c r="W2318" s="147"/>
      <c r="X2318" s="147"/>
      <c r="Y2318" s="145"/>
      <c r="Z2318" s="147"/>
      <c r="AA2318" s="145"/>
      <c r="AB2318" s="145"/>
      <c r="AC2318" s="147"/>
      <c r="AD2318" s="145" t="s">
        <v>1017</v>
      </c>
      <c r="AE2318" s="148" t="s">
        <v>1017</v>
      </c>
      <c r="AF2318" s="147"/>
      <c r="AG2318" s="147"/>
      <c r="AH2318" s="166" t="str">
        <f t="shared" ref="AH2318:AH2323" si="1028">IF(ISERROR(SEARCH("K erstmals 201",D2318)),"",RIGHT(D2318,4))</f>
        <v/>
      </c>
      <c r="AI2318" s="168" t="str">
        <f t="shared" si="1019"/>
        <v/>
      </c>
      <c r="AJ2318" s="168" t="str">
        <f t="shared" si="1020"/>
        <v/>
      </c>
      <c r="AK2318" s="168" t="str">
        <f t="shared" si="1021"/>
        <v/>
      </c>
      <c r="AL2318" s="168" t="str">
        <f t="shared" si="1022"/>
        <v/>
      </c>
      <c r="AM2318" s="168" t="str">
        <f t="shared" si="1023"/>
        <v/>
      </c>
      <c r="AN2318" s="167" t="str">
        <f t="shared" si="1005"/>
        <v/>
      </c>
      <c r="AO2318" s="167" t="str">
        <f t="shared" si="1006"/>
        <v/>
      </c>
      <c r="AP2318" s="167" t="str">
        <f t="shared" si="1007"/>
        <v/>
      </c>
      <c r="AQ2318" s="169" t="str">
        <f t="shared" si="1008"/>
        <v/>
      </c>
      <c r="AR2318" s="170" t="str">
        <f t="shared" si="1009"/>
        <v>BiK82X2by---08</v>
      </c>
      <c r="AS2318" s="169" t="str">
        <f t="shared" si="1010"/>
        <v/>
      </c>
      <c r="AT2318">
        <f t="shared" si="1011"/>
        <v>14</v>
      </c>
      <c r="AU2318" s="170" t="str">
        <f t="shared" si="1012"/>
        <v>0,15-0,5 MW, Bonusregeln X2, y, b</v>
      </c>
      <c r="AV2318" s="169" t="str">
        <f t="shared" si="1013"/>
        <v/>
      </c>
      <c r="AW2318" s="170" t="str">
        <f t="shared" si="1014"/>
        <v>Anteil Nicht-KWK</v>
      </c>
      <c r="AX2318" s="169" t="str">
        <f t="shared" si="1015"/>
        <v/>
      </c>
      <c r="AY2318" t="str">
        <f t="shared" si="1016"/>
        <v/>
      </c>
      <c r="AZ2318" t="str">
        <f t="shared" si="1017"/>
        <v/>
      </c>
    </row>
    <row r="2319" spans="1:52" x14ac:dyDescent="0.35">
      <c r="A2319" s="497" t="s">
        <v>4440</v>
      </c>
      <c r="B2319" s="13" t="s">
        <v>5547</v>
      </c>
      <c r="C2319" s="13" t="s">
        <v>5539</v>
      </c>
      <c r="D2319" s="13" t="s">
        <v>7203</v>
      </c>
      <c r="E2319" s="13" t="s">
        <v>4811</v>
      </c>
      <c r="F2319" s="373">
        <f t="shared" si="1024"/>
        <v>24.32</v>
      </c>
      <c r="G2319" s="430">
        <v>24.32</v>
      </c>
      <c r="H2319" s="399">
        <f t="shared" si="1025"/>
        <v>19.46</v>
      </c>
      <c r="I2319" s="576"/>
      <c r="J2319" s="549" t="s">
        <v>5804</v>
      </c>
      <c r="K2319" s="11"/>
      <c r="M2319" s="37">
        <f t="shared" si="1026"/>
        <v>24.32</v>
      </c>
      <c r="N2319" s="29">
        <v>9.32</v>
      </c>
      <c r="O2319" s="149" t="s">
        <v>1017</v>
      </c>
      <c r="P2319" s="144"/>
      <c r="Q2319" s="145"/>
      <c r="R2319" s="145"/>
      <c r="S2319" s="145" t="s">
        <v>4179</v>
      </c>
      <c r="T2319" t="s">
        <v>4179</v>
      </c>
      <c r="U2319" s="146" t="s">
        <v>1017</v>
      </c>
      <c r="V2319" s="145"/>
      <c r="W2319" s="147"/>
      <c r="X2319" s="147"/>
      <c r="Y2319" s="145"/>
      <c r="Z2319" s="147"/>
      <c r="AA2319" s="145"/>
      <c r="AB2319" s="145"/>
      <c r="AC2319" s="147"/>
      <c r="AD2319" s="145" t="s">
        <v>1017</v>
      </c>
      <c r="AE2319" s="148" t="s">
        <v>1017</v>
      </c>
      <c r="AF2319" s="147"/>
      <c r="AG2319" s="147"/>
      <c r="AH2319" s="166" t="str">
        <f t="shared" si="1028"/>
        <v/>
      </c>
      <c r="AI2319" s="168" t="str">
        <f t="shared" si="1019"/>
        <v/>
      </c>
      <c r="AJ2319" s="168" t="str">
        <f t="shared" si="1020"/>
        <v/>
      </c>
      <c r="AK2319" s="168" t="str">
        <f t="shared" si="1021"/>
        <v/>
      </c>
      <c r="AL2319" s="168" t="str">
        <f t="shared" si="1022"/>
        <v/>
      </c>
      <c r="AM2319" s="168" t="str">
        <f t="shared" si="1023"/>
        <v/>
      </c>
      <c r="AN2319" s="167" t="str">
        <f t="shared" si="1005"/>
        <v/>
      </c>
      <c r="AO2319" s="167" t="str">
        <f t="shared" si="1006"/>
        <v/>
      </c>
      <c r="AP2319" s="167" t="str">
        <f t="shared" si="1007"/>
        <v/>
      </c>
      <c r="AQ2319" s="169" t="str">
        <f t="shared" si="1008"/>
        <v/>
      </c>
      <c r="AR2319" s="170" t="str">
        <f t="shared" si="1009"/>
        <v>BiK82X2bKWKy08</v>
      </c>
      <c r="AS2319" s="169" t="str">
        <f t="shared" si="1010"/>
        <v/>
      </c>
      <c r="AT2319">
        <f t="shared" si="1011"/>
        <v>14</v>
      </c>
      <c r="AU2319" s="170" t="str">
        <f t="shared" si="1012"/>
        <v>0,15-0,5 MW, Bonusregeln X2, y, b und KWK</v>
      </c>
      <c r="AV2319" s="169" t="str">
        <f t="shared" si="1013"/>
        <v/>
      </c>
      <c r="AW2319" s="170" t="str">
        <f t="shared" si="1014"/>
        <v>Anteil KWK</v>
      </c>
      <c r="AX2319" s="169" t="str">
        <f t="shared" si="1015"/>
        <v/>
      </c>
      <c r="AY2319" t="str">
        <f t="shared" si="1016"/>
        <v/>
      </c>
      <c r="AZ2319" t="str">
        <f t="shared" si="1017"/>
        <v/>
      </c>
    </row>
    <row r="2320" spans="1:52" x14ac:dyDescent="0.35">
      <c r="A2320" s="497" t="s">
        <v>4441</v>
      </c>
      <c r="B2320" s="13" t="s">
        <v>5547</v>
      </c>
      <c r="C2320" s="13" t="s">
        <v>5539</v>
      </c>
      <c r="D2320" s="88" t="s">
        <v>7204</v>
      </c>
      <c r="E2320" s="13" t="s">
        <v>4330</v>
      </c>
      <c r="F2320" s="373">
        <f t="shared" si="1024"/>
        <v>25.32</v>
      </c>
      <c r="G2320" s="430">
        <v>25.32</v>
      </c>
      <c r="H2320" s="399">
        <f t="shared" si="1025"/>
        <v>20.260000000000002</v>
      </c>
      <c r="I2320" s="576"/>
      <c r="J2320" s="549" t="s">
        <v>5804</v>
      </c>
      <c r="K2320" s="11"/>
      <c r="M2320" s="37">
        <f t="shared" si="1026"/>
        <v>25.32</v>
      </c>
      <c r="N2320" s="29">
        <v>9.32</v>
      </c>
      <c r="O2320" s="149"/>
      <c r="P2320" s="145" t="s">
        <v>1017</v>
      </c>
      <c r="Q2320" s="145"/>
      <c r="R2320" s="145"/>
      <c r="S2320" s="145" t="s">
        <v>4179</v>
      </c>
      <c r="T2320" t="s">
        <v>4179</v>
      </c>
      <c r="U2320" s="146" t="s">
        <v>1017</v>
      </c>
      <c r="V2320" s="145"/>
      <c r="W2320" s="147"/>
      <c r="X2320" s="147"/>
      <c r="Y2320" s="145"/>
      <c r="Z2320" s="147"/>
      <c r="AA2320" s="145"/>
      <c r="AB2320" s="145"/>
      <c r="AC2320" s="147"/>
      <c r="AD2320" s="145" t="s">
        <v>1017</v>
      </c>
      <c r="AE2320" s="148" t="s">
        <v>1017</v>
      </c>
      <c r="AF2320" s="147"/>
      <c r="AG2320" s="147"/>
      <c r="AH2320" s="166" t="str">
        <f t="shared" si="1028"/>
        <v/>
      </c>
      <c r="AI2320" s="168" t="str">
        <f t="shared" si="1019"/>
        <v/>
      </c>
      <c r="AJ2320" s="168" t="str">
        <f t="shared" si="1020"/>
        <v/>
      </c>
      <c r="AK2320" s="168" t="str">
        <f t="shared" si="1021"/>
        <v/>
      </c>
      <c r="AL2320" s="168" t="str">
        <f t="shared" si="1022"/>
        <v/>
      </c>
      <c r="AM2320" s="168" t="str">
        <f t="shared" si="1023"/>
        <v/>
      </c>
      <c r="AN2320" s="167" t="str">
        <f t="shared" si="1005"/>
        <v/>
      </c>
      <c r="AO2320" s="167" t="str">
        <f t="shared" si="1006"/>
        <v/>
      </c>
      <c r="AP2320" s="167" t="str">
        <f t="shared" si="1007"/>
        <v/>
      </c>
      <c r="AQ2320" s="169" t="str">
        <f t="shared" si="1008"/>
        <v/>
      </c>
      <c r="AR2320" s="170" t="str">
        <f t="shared" si="1009"/>
        <v>BiK82X2bKA3y08</v>
      </c>
      <c r="AS2320" s="169" t="str">
        <f t="shared" si="1010"/>
        <v/>
      </c>
      <c r="AT2320">
        <f t="shared" si="1011"/>
        <v>14</v>
      </c>
      <c r="AU2320" s="170" t="str">
        <f t="shared" si="1012"/>
        <v>0,15-0,5 MW, Bonusregeln X2, y, b und K wenn Anlage 3 erfüllt</v>
      </c>
      <c r="AV2320" s="169" t="str">
        <f t="shared" si="1013"/>
        <v/>
      </c>
      <c r="AW2320" s="170" t="str">
        <f t="shared" si="1014"/>
        <v>Anteil KWK gemäß Anlage 3</v>
      </c>
      <c r="AX2320" s="169" t="str">
        <f t="shared" si="1015"/>
        <v/>
      </c>
      <c r="AY2320" t="str">
        <f t="shared" si="1016"/>
        <v/>
      </c>
      <c r="AZ2320" t="str">
        <f t="shared" si="1017"/>
        <v/>
      </c>
    </row>
    <row r="2321" spans="1:52" s="145" customFormat="1" x14ac:dyDescent="0.35">
      <c r="A2321" s="497" t="s">
        <v>4442</v>
      </c>
      <c r="B2321" s="13" t="s">
        <v>5547</v>
      </c>
      <c r="C2321" s="13" t="s">
        <v>5539</v>
      </c>
      <c r="D2321" s="13" t="s">
        <v>7205</v>
      </c>
      <c r="E2321" s="13" t="s">
        <v>674</v>
      </c>
      <c r="F2321" s="373">
        <f t="shared" si="1024"/>
        <v>25.32</v>
      </c>
      <c r="G2321" s="430">
        <v>25.32</v>
      </c>
      <c r="H2321" s="399">
        <f t="shared" si="1025"/>
        <v>20.260000000000002</v>
      </c>
      <c r="I2321" s="576"/>
      <c r="J2321" s="549" t="s">
        <v>5804</v>
      </c>
      <c r="K2321" s="11"/>
      <c r="L2321"/>
      <c r="M2321" s="37">
        <f t="shared" si="1026"/>
        <v>25.32</v>
      </c>
      <c r="N2321" s="29">
        <v>9.32</v>
      </c>
      <c r="O2321" s="149"/>
      <c r="P2321" s="144"/>
      <c r="Q2321" s="145" t="s">
        <v>1017</v>
      </c>
      <c r="S2321" s="145" t="s">
        <v>4179</v>
      </c>
      <c r="T2321" s="145" t="s">
        <v>4179</v>
      </c>
      <c r="U2321" s="146" t="s">
        <v>1017</v>
      </c>
      <c r="W2321" s="147"/>
      <c r="X2321" s="147"/>
      <c r="Z2321" s="147"/>
      <c r="AC2321" s="147"/>
      <c r="AD2321" s="145" t="s">
        <v>1017</v>
      </c>
      <c r="AE2321" s="148" t="s">
        <v>1017</v>
      </c>
      <c r="AF2321" s="147"/>
      <c r="AG2321" s="147"/>
      <c r="AH2321" s="166" t="str">
        <f t="shared" si="1028"/>
        <v/>
      </c>
      <c r="AI2321" s="168" t="str">
        <f t="shared" si="1019"/>
        <v/>
      </c>
      <c r="AJ2321" s="168" t="str">
        <f t="shared" si="1020"/>
        <v/>
      </c>
      <c r="AK2321" s="168" t="str">
        <f t="shared" si="1021"/>
        <v/>
      </c>
      <c r="AL2321" s="168" t="str">
        <f t="shared" si="1022"/>
        <v/>
      </c>
      <c r="AM2321" s="168" t="str">
        <f t="shared" si="1023"/>
        <v/>
      </c>
      <c r="AN2321" s="167" t="str">
        <f t="shared" si="1005"/>
        <v/>
      </c>
      <c r="AO2321" s="167" t="str">
        <f t="shared" si="1006"/>
        <v/>
      </c>
      <c r="AP2321" s="167" t="str">
        <f t="shared" si="1007"/>
        <v/>
      </c>
      <c r="AQ2321" s="169" t="str">
        <f t="shared" si="1008"/>
        <v/>
      </c>
      <c r="AR2321" s="170" t="str">
        <f t="shared" si="1009"/>
        <v>BiK82X2bK09y08</v>
      </c>
      <c r="AS2321" s="169" t="str">
        <f t="shared" si="1010"/>
        <v/>
      </c>
      <c r="AT2321">
        <f t="shared" si="1011"/>
        <v>14</v>
      </c>
      <c r="AU2321" s="170" t="str">
        <f t="shared" si="1012"/>
        <v>0,15-0,5 MW, Bonusregeln X2, y, b und K erstmals 2009</v>
      </c>
      <c r="AV2321" s="169" t="str">
        <f t="shared" si="1013"/>
        <v/>
      </c>
      <c r="AW2321" s="170" t="str">
        <f t="shared" si="1014"/>
        <v>Anteil KWK, erstmals 2009</v>
      </c>
      <c r="AX2321" s="169" t="str">
        <f t="shared" si="1015"/>
        <v/>
      </c>
      <c r="AY2321" t="str">
        <f t="shared" si="1016"/>
        <v/>
      </c>
      <c r="AZ2321" t="str">
        <f t="shared" si="1017"/>
        <v/>
      </c>
    </row>
    <row r="2322" spans="1:52" s="145" customFormat="1" x14ac:dyDescent="0.35">
      <c r="A2322" s="497" t="s">
        <v>3275</v>
      </c>
      <c r="B2322" s="13" t="s">
        <v>5547</v>
      </c>
      <c r="C2322" s="13" t="s">
        <v>5539</v>
      </c>
      <c r="D2322" s="13" t="s">
        <v>7206</v>
      </c>
      <c r="E2322" s="13" t="s">
        <v>3566</v>
      </c>
      <c r="F2322" s="373">
        <f t="shared" si="1024"/>
        <v>25.29</v>
      </c>
      <c r="G2322" s="430">
        <v>25.29</v>
      </c>
      <c r="H2322" s="399">
        <f t="shared" si="1025"/>
        <v>20.23</v>
      </c>
      <c r="I2322" s="576"/>
      <c r="J2322" s="549" t="s">
        <v>5804</v>
      </c>
      <c r="K2322" s="11"/>
      <c r="L2322"/>
      <c r="M2322" s="37">
        <f t="shared" si="1026"/>
        <v>25.29</v>
      </c>
      <c r="N2322" s="29">
        <v>9.32</v>
      </c>
      <c r="O2322" s="149"/>
      <c r="P2322" s="144"/>
      <c r="R2322" s="145" t="s">
        <v>1017</v>
      </c>
      <c r="S2322" s="145" t="s">
        <v>4179</v>
      </c>
      <c r="T2322" s="145" t="s">
        <v>4179</v>
      </c>
      <c r="U2322" s="146" t="s">
        <v>1017</v>
      </c>
      <c r="W2322" s="147"/>
      <c r="X2322" s="147"/>
      <c r="Z2322" s="147"/>
      <c r="AC2322" s="147"/>
      <c r="AD2322" s="145" t="s">
        <v>1017</v>
      </c>
      <c r="AE2322" s="148" t="s">
        <v>1017</v>
      </c>
      <c r="AF2322" s="147"/>
      <c r="AG2322" s="147"/>
      <c r="AH2322" s="166" t="str">
        <f t="shared" si="1028"/>
        <v>2010</v>
      </c>
      <c r="AI2322" s="168" t="str">
        <f t="shared" si="1019"/>
        <v/>
      </c>
      <c r="AJ2322" s="168" t="str">
        <f t="shared" si="1020"/>
        <v/>
      </c>
      <c r="AK2322" s="168" t="str">
        <f t="shared" si="1021"/>
        <v/>
      </c>
      <c r="AL2322" s="168" t="str">
        <f t="shared" si="1022"/>
        <v/>
      </c>
      <c r="AM2322" s="168" t="str">
        <f t="shared" si="1023"/>
        <v/>
      </c>
      <c r="AN2322" s="167" t="str">
        <f t="shared" si="1005"/>
        <v>2010</v>
      </c>
      <c r="AO2322" s="167" t="str">
        <f t="shared" si="1006"/>
        <v>2010</v>
      </c>
      <c r="AP2322" s="167" t="str">
        <f t="shared" si="1007"/>
        <v>2010</v>
      </c>
      <c r="AQ2322" s="169" t="str">
        <f t="shared" si="1008"/>
        <v/>
      </c>
      <c r="AR2322" s="170" t="str">
        <f t="shared" si="1009"/>
        <v>BiK82X2bK10y08</v>
      </c>
      <c r="AS2322" s="169" t="str">
        <f t="shared" si="1010"/>
        <v/>
      </c>
      <c r="AT2322">
        <f t="shared" si="1011"/>
        <v>14</v>
      </c>
      <c r="AU2322" s="170" t="str">
        <f t="shared" si="1012"/>
        <v>0,15-0,5 MW, Bonusregeln X2, y, b und K erstmals 2010</v>
      </c>
      <c r="AV2322" s="169" t="str">
        <f t="shared" si="1013"/>
        <v/>
      </c>
      <c r="AW2322" s="170" t="str">
        <f t="shared" si="1014"/>
        <v>Anteil KWK, erstmals 2010</v>
      </c>
      <c r="AX2322" s="169" t="str">
        <f t="shared" si="1015"/>
        <v/>
      </c>
      <c r="AY2322" t="str">
        <f t="shared" si="1016"/>
        <v/>
      </c>
      <c r="AZ2322" t="str">
        <f t="shared" si="1017"/>
        <v/>
      </c>
    </row>
    <row r="2323" spans="1:52" s="145" customFormat="1" x14ac:dyDescent="0.35">
      <c r="A2323" s="497" t="s">
        <v>3480</v>
      </c>
      <c r="B2323" s="13" t="s">
        <v>5547</v>
      </c>
      <c r="C2323" s="13" t="s">
        <v>5539</v>
      </c>
      <c r="D2323" s="13" t="s">
        <v>7207</v>
      </c>
      <c r="E2323" s="13" t="s">
        <v>3054</v>
      </c>
      <c r="F2323" s="373">
        <f t="shared" si="1024"/>
        <v>25.259999999999998</v>
      </c>
      <c r="G2323" s="430">
        <v>25.259999999999998</v>
      </c>
      <c r="H2323" s="399">
        <f t="shared" si="1025"/>
        <v>20.21</v>
      </c>
      <c r="I2323" s="576"/>
      <c r="J2323" s="549" t="s">
        <v>5804</v>
      </c>
      <c r="K2323" s="11"/>
      <c r="L2323"/>
      <c r="M2323" s="37">
        <f t="shared" si="1026"/>
        <v>25.259999999999998</v>
      </c>
      <c r="N2323" s="29">
        <v>9.32</v>
      </c>
      <c r="O2323" s="149"/>
      <c r="P2323" s="144"/>
      <c r="S2323" s="145" t="s">
        <v>1017</v>
      </c>
      <c r="T2323" s="145" t="s">
        <v>4179</v>
      </c>
      <c r="U2323" s="146" t="s">
        <v>1017</v>
      </c>
      <c r="W2323" s="147"/>
      <c r="X2323" s="147"/>
      <c r="Z2323" s="147"/>
      <c r="AC2323" s="147"/>
      <c r="AD2323" s="145" t="s">
        <v>1017</v>
      </c>
      <c r="AE2323" s="148" t="s">
        <v>1017</v>
      </c>
      <c r="AF2323" s="147"/>
      <c r="AG2323" s="147"/>
      <c r="AH2323" s="166" t="str">
        <f t="shared" si="1028"/>
        <v>2011</v>
      </c>
      <c r="AI2323" s="168" t="str">
        <f t="shared" si="1019"/>
        <v/>
      </c>
      <c r="AJ2323" s="168" t="str">
        <f t="shared" si="1020"/>
        <v/>
      </c>
      <c r="AK2323" s="168" t="str">
        <f t="shared" si="1021"/>
        <v/>
      </c>
      <c r="AL2323" s="168" t="str">
        <f t="shared" si="1022"/>
        <v/>
      </c>
      <c r="AM2323" s="168" t="str">
        <f t="shared" si="1023"/>
        <v/>
      </c>
      <c r="AN2323" s="167" t="str">
        <f t="shared" si="1005"/>
        <v>2011</v>
      </c>
      <c r="AO2323" s="167" t="str">
        <f t="shared" si="1006"/>
        <v>2011</v>
      </c>
      <c r="AP2323" s="167" t="str">
        <f t="shared" si="1007"/>
        <v>2011</v>
      </c>
      <c r="AQ2323" s="169" t="str">
        <f t="shared" si="1008"/>
        <v/>
      </c>
      <c r="AR2323" s="170" t="str">
        <f t="shared" si="1009"/>
        <v>BiK82X2bK11y08</v>
      </c>
      <c r="AS2323" s="169" t="str">
        <f t="shared" si="1010"/>
        <v/>
      </c>
      <c r="AT2323">
        <f t="shared" si="1011"/>
        <v>14</v>
      </c>
      <c r="AU2323" s="170" t="str">
        <f t="shared" si="1012"/>
        <v>0,15-0,5 MW, Bonusregeln X2, y, b und K erstmals 2011</v>
      </c>
      <c r="AV2323" s="169" t="str">
        <f t="shared" si="1013"/>
        <v/>
      </c>
      <c r="AW2323" s="170" t="str">
        <f t="shared" si="1014"/>
        <v>Anteil KWK, erstmals 2011</v>
      </c>
      <c r="AX2323" s="169" t="str">
        <f t="shared" si="1015"/>
        <v/>
      </c>
      <c r="AY2323" t="str">
        <f t="shared" si="1016"/>
        <v>x</v>
      </c>
      <c r="AZ2323" t="str">
        <f t="shared" si="1017"/>
        <v/>
      </c>
    </row>
    <row r="2324" spans="1:52" s="145" customFormat="1" x14ac:dyDescent="0.35">
      <c r="A2324" s="511" t="s">
        <v>1913</v>
      </c>
      <c r="B2324" s="173" t="s">
        <v>5547</v>
      </c>
      <c r="C2324" s="173" t="s">
        <v>5539</v>
      </c>
      <c r="D2324" s="173" t="s">
        <v>7208</v>
      </c>
      <c r="E2324" s="173" t="s">
        <v>1980</v>
      </c>
      <c r="F2324" s="374">
        <f t="shared" si="1024"/>
        <v>25.23</v>
      </c>
      <c r="G2324" s="431">
        <v>25.23</v>
      </c>
      <c r="H2324" s="400">
        <f t="shared" si="1025"/>
        <v>20.18</v>
      </c>
      <c r="I2324" s="577"/>
      <c r="J2324" s="549" t="s">
        <v>5804</v>
      </c>
      <c r="K2324" s="11"/>
      <c r="L2324"/>
      <c r="M2324" s="37">
        <f t="shared" si="1026"/>
        <v>25.23</v>
      </c>
      <c r="N2324" s="29">
        <v>9.32</v>
      </c>
      <c r="O2324" s="149"/>
      <c r="P2324" s="144"/>
      <c r="S2324" s="145" t="s">
        <v>4179</v>
      </c>
      <c r="T2324" s="145" t="s">
        <v>1017</v>
      </c>
      <c r="U2324" s="146" t="s">
        <v>1017</v>
      </c>
      <c r="W2324" s="147"/>
      <c r="X2324" s="147"/>
      <c r="Z2324" s="147"/>
      <c r="AC2324" s="147"/>
      <c r="AD2324" s="145" t="s">
        <v>1017</v>
      </c>
      <c r="AE2324" s="148" t="s">
        <v>1017</v>
      </c>
      <c r="AF2324" s="147"/>
      <c r="AG2324" s="147"/>
      <c r="AH2324" s="171" t="s">
        <v>4178</v>
      </c>
      <c r="AI2324" s="168" t="str">
        <f t="shared" si="1019"/>
        <v/>
      </c>
      <c r="AJ2324" s="168" t="str">
        <f t="shared" si="1020"/>
        <v/>
      </c>
      <c r="AK2324" s="168" t="str">
        <f t="shared" si="1021"/>
        <v/>
      </c>
      <c r="AL2324" s="168" t="str">
        <f t="shared" si="1022"/>
        <v/>
      </c>
      <c r="AM2324" s="168" t="str">
        <f t="shared" si="1023"/>
        <v/>
      </c>
      <c r="AN2324" s="167" t="str">
        <f t="shared" si="1005"/>
        <v>2012</v>
      </c>
      <c r="AO2324" s="167" t="str">
        <f t="shared" si="1006"/>
        <v>2012</v>
      </c>
      <c r="AP2324" s="167" t="str">
        <f t="shared" si="1007"/>
        <v>2012</v>
      </c>
      <c r="AQ2324" s="169" t="str">
        <f t="shared" si="1008"/>
        <v/>
      </c>
      <c r="AR2324" s="170" t="str">
        <f t="shared" si="1009"/>
        <v>BiK82X2bK12y08</v>
      </c>
      <c r="AS2324" s="169" t="str">
        <f t="shared" si="1010"/>
        <v/>
      </c>
      <c r="AT2324">
        <f t="shared" si="1011"/>
        <v>14</v>
      </c>
      <c r="AU2324" s="170" t="str">
        <f t="shared" si="1012"/>
        <v>0,15-0,5 MW, Bonusregeln X2, y, b und K erstmals 2012</v>
      </c>
      <c r="AV2324" s="169" t="str">
        <f t="shared" si="1013"/>
        <v/>
      </c>
      <c r="AW2324" s="170" t="str">
        <f t="shared" si="1014"/>
        <v>Anteil KWK, erstmals 2012</v>
      </c>
      <c r="AX2324" s="169" t="str">
        <f t="shared" si="1015"/>
        <v/>
      </c>
      <c r="AY2324" t="str">
        <f t="shared" si="1016"/>
        <v/>
      </c>
      <c r="AZ2324" t="str">
        <f t="shared" si="1017"/>
        <v>x</v>
      </c>
    </row>
    <row r="2325" spans="1:52" s="145" customFormat="1" x14ac:dyDescent="0.35">
      <c r="A2325" s="496" t="s">
        <v>3686</v>
      </c>
      <c r="B2325" s="1" t="s">
        <v>5547</v>
      </c>
      <c r="C2325" s="1" t="s">
        <v>5539</v>
      </c>
      <c r="D2325" s="1" t="s">
        <v>5407</v>
      </c>
      <c r="E2325" s="1" t="s">
        <v>4809</v>
      </c>
      <c r="F2325" s="375">
        <f t="shared" si="1024"/>
        <v>8.3800000000000008</v>
      </c>
      <c r="G2325" s="432">
        <v>8.3800000000000008</v>
      </c>
      <c r="H2325" s="401">
        <f t="shared" si="1025"/>
        <v>6.7</v>
      </c>
      <c r="I2325" s="578"/>
      <c r="J2325" s="549" t="s">
        <v>5804</v>
      </c>
      <c r="K2325" s="11"/>
      <c r="L2325"/>
      <c r="M2325" s="37">
        <f t="shared" si="1026"/>
        <v>8.3800000000000008</v>
      </c>
      <c r="N2325" s="29">
        <v>8.3800000000000008</v>
      </c>
      <c r="O2325" s="41"/>
      <c r="P2325" s="59"/>
      <c r="Q2325"/>
      <c r="R2325"/>
      <c r="S2325" t="s">
        <v>4179</v>
      </c>
      <c r="T2325" s="145" t="s">
        <v>4179</v>
      </c>
      <c r="U2325" s="60"/>
      <c r="V2325" s="50"/>
      <c r="W2325"/>
      <c r="X2325"/>
      <c r="Y2325" s="50"/>
      <c r="Z2325" s="50"/>
      <c r="AA2325" s="50"/>
      <c r="AB2325" s="50"/>
      <c r="AC2325" s="50"/>
      <c r="AD2325" s="50"/>
      <c r="AE2325" s="75"/>
      <c r="AF2325" s="50"/>
      <c r="AG2325" s="50"/>
      <c r="AH2325" s="166" t="str">
        <f>IF(ISERROR(SEARCH("K erstmals 201",D2325)),"",RIGHT(D2325,4))</f>
        <v/>
      </c>
      <c r="AI2325" s="168" t="str">
        <f t="shared" si="1019"/>
        <v/>
      </c>
      <c r="AJ2325" s="168" t="str">
        <f t="shared" si="1020"/>
        <v/>
      </c>
      <c r="AK2325" s="168" t="str">
        <f t="shared" si="1021"/>
        <v/>
      </c>
      <c r="AL2325" s="168" t="str">
        <f t="shared" si="1022"/>
        <v/>
      </c>
      <c r="AM2325" s="168" t="str">
        <f t="shared" si="1023"/>
        <v/>
      </c>
      <c r="AN2325" s="167" t="str">
        <f t="shared" si="1005"/>
        <v/>
      </c>
      <c r="AO2325" s="167" t="str">
        <f t="shared" si="1006"/>
        <v/>
      </c>
      <c r="AP2325" s="167" t="str">
        <f t="shared" si="1007"/>
        <v/>
      </c>
      <c r="AQ2325" s="169" t="str">
        <f t="shared" si="1008"/>
        <v/>
      </c>
      <c r="AR2325" s="170" t="str">
        <f t="shared" si="1009"/>
        <v>BiK83-------08</v>
      </c>
      <c r="AS2325" s="169" t="str">
        <f t="shared" si="1010"/>
        <v/>
      </c>
      <c r="AT2325">
        <f t="shared" si="1011"/>
        <v>14</v>
      </c>
      <c r="AU2325" s="170" t="str">
        <f t="shared" si="1012"/>
        <v>0,5-5 MW</v>
      </c>
      <c r="AV2325" s="169" t="str">
        <f t="shared" si="1013"/>
        <v/>
      </c>
      <c r="AW2325" s="170" t="str">
        <f t="shared" si="1014"/>
        <v>Anteil Nicht-KWK</v>
      </c>
      <c r="AX2325" s="169" t="str">
        <f t="shared" si="1015"/>
        <v/>
      </c>
      <c r="AY2325" t="str">
        <f t="shared" si="1016"/>
        <v/>
      </c>
      <c r="AZ2325" t="str">
        <f t="shared" si="1017"/>
        <v/>
      </c>
    </row>
    <row r="2326" spans="1:52" s="145" customFormat="1" x14ac:dyDescent="0.35">
      <c r="A2326" s="496" t="s">
        <v>4123</v>
      </c>
      <c r="B2326" s="1" t="s">
        <v>5547</v>
      </c>
      <c r="C2326" s="1" t="s">
        <v>5539</v>
      </c>
      <c r="D2326" s="1" t="s">
        <v>6769</v>
      </c>
      <c r="E2326" s="1" t="s">
        <v>4811</v>
      </c>
      <c r="F2326" s="375">
        <f t="shared" si="1024"/>
        <v>10.38</v>
      </c>
      <c r="G2326" s="432">
        <v>10.38</v>
      </c>
      <c r="H2326" s="401">
        <f t="shared" si="1025"/>
        <v>8.3000000000000007</v>
      </c>
      <c r="I2326" s="578"/>
      <c r="J2326" s="549" t="s">
        <v>5804</v>
      </c>
      <c r="K2326" s="11"/>
      <c r="L2326"/>
      <c r="M2326" s="37">
        <f t="shared" si="1026"/>
        <v>10.38</v>
      </c>
      <c r="N2326" s="29">
        <v>8.3800000000000008</v>
      </c>
      <c r="O2326" s="41" t="s">
        <v>1017</v>
      </c>
      <c r="P2326" s="59"/>
      <c r="Q2326"/>
      <c r="R2326"/>
      <c r="S2326" t="s">
        <v>4179</v>
      </c>
      <c r="T2326" s="145" t="s">
        <v>4179</v>
      </c>
      <c r="U2326" s="60"/>
      <c r="V2326" s="50"/>
      <c r="W2326"/>
      <c r="X2326"/>
      <c r="Y2326" s="50"/>
      <c r="Z2326" s="50"/>
      <c r="AA2326" s="50"/>
      <c r="AB2326" s="50"/>
      <c r="AC2326" s="50"/>
      <c r="AD2326" s="50"/>
      <c r="AE2326" s="75"/>
      <c r="AF2326" s="50"/>
      <c r="AG2326" s="50"/>
      <c r="AH2326" s="166" t="str">
        <f>IF(ISERROR(SEARCH("K erstmals 201",D2326)),"",RIGHT(D2326,4))</f>
        <v/>
      </c>
      <c r="AI2326" s="168" t="str">
        <f t="shared" si="1019"/>
        <v/>
      </c>
      <c r="AJ2326" s="168" t="str">
        <f t="shared" si="1020"/>
        <v/>
      </c>
      <c r="AK2326" s="168" t="str">
        <f t="shared" si="1021"/>
        <v/>
      </c>
      <c r="AL2326" s="168" t="str">
        <f t="shared" si="1022"/>
        <v/>
      </c>
      <c r="AM2326" s="168" t="str">
        <f t="shared" si="1023"/>
        <v/>
      </c>
      <c r="AN2326" s="167" t="str">
        <f t="shared" si="1005"/>
        <v/>
      </c>
      <c r="AO2326" s="167" t="str">
        <f t="shared" si="1006"/>
        <v/>
      </c>
      <c r="AP2326" s="167" t="str">
        <f t="shared" si="1007"/>
        <v/>
      </c>
      <c r="AQ2326" s="169" t="str">
        <f t="shared" si="1008"/>
        <v/>
      </c>
      <c r="AR2326" s="170" t="str">
        <f t="shared" si="1009"/>
        <v>BiK83KWK----08</v>
      </c>
      <c r="AS2326" s="169" t="str">
        <f t="shared" si="1010"/>
        <v/>
      </c>
      <c r="AT2326">
        <f t="shared" si="1011"/>
        <v>14</v>
      </c>
      <c r="AU2326" s="170" t="str">
        <f t="shared" si="1012"/>
        <v>0,5-5 MW, Bonusregel KWK</v>
      </c>
      <c r="AV2326" s="169" t="str">
        <f t="shared" si="1013"/>
        <v/>
      </c>
      <c r="AW2326" s="170" t="str">
        <f t="shared" si="1014"/>
        <v>Anteil KWK</v>
      </c>
      <c r="AX2326" s="169" t="str">
        <f t="shared" si="1015"/>
        <v/>
      </c>
      <c r="AY2326" t="str">
        <f t="shared" si="1016"/>
        <v/>
      </c>
      <c r="AZ2326" t="str">
        <f t="shared" si="1017"/>
        <v/>
      </c>
    </row>
    <row r="2327" spans="1:52" s="145" customFormat="1" x14ac:dyDescent="0.35">
      <c r="A2327" s="497" t="s">
        <v>2871</v>
      </c>
      <c r="B2327" s="13" t="s">
        <v>5547</v>
      </c>
      <c r="C2327" s="13" t="s">
        <v>5539</v>
      </c>
      <c r="D2327" s="13" t="s">
        <v>6749</v>
      </c>
      <c r="E2327" s="13" t="s">
        <v>674</v>
      </c>
      <c r="F2327" s="373">
        <f t="shared" si="1024"/>
        <v>11.38</v>
      </c>
      <c r="G2327" s="430">
        <v>11.38</v>
      </c>
      <c r="H2327" s="399">
        <f t="shared" si="1025"/>
        <v>9.1</v>
      </c>
      <c r="I2327" s="576"/>
      <c r="J2327" s="549" t="s">
        <v>5804</v>
      </c>
      <c r="K2327" s="11"/>
      <c r="L2327"/>
      <c r="M2327" s="37">
        <f t="shared" si="1026"/>
        <v>11.38</v>
      </c>
      <c r="N2327" s="29">
        <v>8.3800000000000008</v>
      </c>
      <c r="O2327" s="41"/>
      <c r="P2327" s="59"/>
      <c r="Q2327" t="s">
        <v>1017</v>
      </c>
      <c r="R2327"/>
      <c r="S2327" t="s">
        <v>4179</v>
      </c>
      <c r="T2327" s="145" t="s">
        <v>4179</v>
      </c>
      <c r="U2327" s="60"/>
      <c r="V2327" s="50"/>
      <c r="W2327"/>
      <c r="X2327"/>
      <c r="Y2327" s="50"/>
      <c r="Z2327" s="50"/>
      <c r="AA2327" s="50"/>
      <c r="AB2327" s="50"/>
      <c r="AC2327" s="50"/>
      <c r="AD2327" s="50"/>
      <c r="AE2327" s="75"/>
      <c r="AF2327" s="50"/>
      <c r="AG2327" s="50"/>
      <c r="AH2327" s="166" t="str">
        <f>IF(ISERROR(SEARCH("K erstmals 201",D2327)),"",RIGHT(D2327,4))</f>
        <v/>
      </c>
      <c r="AI2327" s="168" t="str">
        <f t="shared" si="1019"/>
        <v/>
      </c>
      <c r="AJ2327" s="168" t="str">
        <f t="shared" si="1020"/>
        <v/>
      </c>
      <c r="AK2327" s="168" t="str">
        <f t="shared" si="1021"/>
        <v/>
      </c>
      <c r="AL2327" s="168" t="str">
        <f t="shared" si="1022"/>
        <v/>
      </c>
      <c r="AM2327" s="168" t="str">
        <f t="shared" si="1023"/>
        <v/>
      </c>
      <c r="AN2327" s="167" t="str">
        <f t="shared" si="1005"/>
        <v/>
      </c>
      <c r="AO2327" s="167" t="str">
        <f t="shared" si="1006"/>
        <v/>
      </c>
      <c r="AP2327" s="167" t="str">
        <f t="shared" si="1007"/>
        <v/>
      </c>
      <c r="AQ2327" s="169" t="str">
        <f t="shared" si="1008"/>
        <v/>
      </c>
      <c r="AR2327" s="170" t="str">
        <f t="shared" si="1009"/>
        <v>BiK83K09----08</v>
      </c>
      <c r="AS2327" s="169" t="str">
        <f t="shared" si="1010"/>
        <v/>
      </c>
      <c r="AT2327">
        <f t="shared" si="1011"/>
        <v>14</v>
      </c>
      <c r="AU2327" s="170" t="str">
        <f t="shared" si="1012"/>
        <v>0,5-5 MW, Bonusregel K erstmals 2009</v>
      </c>
      <c r="AV2327" s="169" t="str">
        <f t="shared" si="1013"/>
        <v/>
      </c>
      <c r="AW2327" s="170" t="str">
        <f t="shared" si="1014"/>
        <v>Anteil KWK, erstmals 2009</v>
      </c>
      <c r="AX2327" s="169" t="str">
        <f t="shared" si="1015"/>
        <v/>
      </c>
      <c r="AY2327" t="str">
        <f t="shared" si="1016"/>
        <v/>
      </c>
      <c r="AZ2327" t="str">
        <f t="shared" si="1017"/>
        <v/>
      </c>
    </row>
    <row r="2328" spans="1:52" s="145" customFormat="1" x14ac:dyDescent="0.35">
      <c r="A2328" s="497" t="s">
        <v>3276</v>
      </c>
      <c r="B2328" s="13" t="s">
        <v>5547</v>
      </c>
      <c r="C2328" s="13" t="s">
        <v>5539</v>
      </c>
      <c r="D2328" s="13" t="s">
        <v>6750</v>
      </c>
      <c r="E2328" s="13" t="s">
        <v>3566</v>
      </c>
      <c r="F2328" s="373">
        <f t="shared" si="1024"/>
        <v>11.350000000000001</v>
      </c>
      <c r="G2328" s="430">
        <v>11.350000000000001</v>
      </c>
      <c r="H2328" s="399">
        <f t="shared" si="1025"/>
        <v>9.08</v>
      </c>
      <c r="I2328" s="576"/>
      <c r="J2328" s="549" t="s">
        <v>5804</v>
      </c>
      <c r="K2328" s="11"/>
      <c r="L2328"/>
      <c r="M2328" s="37">
        <f t="shared" si="1026"/>
        <v>11.350000000000001</v>
      </c>
      <c r="N2328" s="29">
        <v>8.3800000000000008</v>
      </c>
      <c r="O2328" s="41"/>
      <c r="P2328" s="59"/>
      <c r="Q2328"/>
      <c r="R2328" t="s">
        <v>1017</v>
      </c>
      <c r="S2328" t="s">
        <v>4179</v>
      </c>
      <c r="T2328" s="145" t="s">
        <v>4179</v>
      </c>
      <c r="U2328" s="60"/>
      <c r="V2328" s="50"/>
      <c r="W2328"/>
      <c r="X2328"/>
      <c r="Y2328" s="50"/>
      <c r="Z2328" s="50"/>
      <c r="AA2328" s="50"/>
      <c r="AB2328" s="50"/>
      <c r="AC2328" s="50"/>
      <c r="AD2328" s="50"/>
      <c r="AE2328" s="75"/>
      <c r="AF2328" s="50"/>
      <c r="AG2328" s="50"/>
      <c r="AH2328" s="166" t="str">
        <f>IF(ISERROR(SEARCH("K erstmals 201",D2328)),"",RIGHT(D2328,4))</f>
        <v>2010</v>
      </c>
      <c r="AI2328" s="168" t="str">
        <f t="shared" si="1019"/>
        <v/>
      </c>
      <c r="AJ2328" s="168" t="str">
        <f t="shared" si="1020"/>
        <v/>
      </c>
      <c r="AK2328" s="168" t="str">
        <f t="shared" si="1021"/>
        <v/>
      </c>
      <c r="AL2328" s="168" t="str">
        <f t="shared" si="1022"/>
        <v/>
      </c>
      <c r="AM2328" s="168" t="str">
        <f t="shared" si="1023"/>
        <v/>
      </c>
      <c r="AN2328" s="167" t="str">
        <f t="shared" si="1005"/>
        <v>2010</v>
      </c>
      <c r="AO2328" s="167" t="str">
        <f t="shared" si="1006"/>
        <v>2010</v>
      </c>
      <c r="AP2328" s="167" t="str">
        <f t="shared" si="1007"/>
        <v>2010</v>
      </c>
      <c r="AQ2328" s="169" t="str">
        <f t="shared" si="1008"/>
        <v/>
      </c>
      <c r="AR2328" s="170" t="str">
        <f t="shared" si="1009"/>
        <v>BiK83K10----08</v>
      </c>
      <c r="AS2328" s="169" t="str">
        <f t="shared" si="1010"/>
        <v/>
      </c>
      <c r="AT2328">
        <f t="shared" si="1011"/>
        <v>14</v>
      </c>
      <c r="AU2328" s="170" t="str">
        <f t="shared" si="1012"/>
        <v>0,5-5 MW, Bonusregel K erstmals 2010</v>
      </c>
      <c r="AV2328" s="169" t="str">
        <f t="shared" si="1013"/>
        <v/>
      </c>
      <c r="AW2328" s="170" t="str">
        <f t="shared" si="1014"/>
        <v>Anteil KWK, erstmals 2010</v>
      </c>
      <c r="AX2328" s="169" t="str">
        <f t="shared" si="1015"/>
        <v/>
      </c>
      <c r="AY2328" t="str">
        <f t="shared" si="1016"/>
        <v/>
      </c>
      <c r="AZ2328" t="str">
        <f t="shared" si="1017"/>
        <v/>
      </c>
    </row>
    <row r="2329" spans="1:52" s="145" customFormat="1" x14ac:dyDescent="0.35">
      <c r="A2329" s="497" t="s">
        <v>3481</v>
      </c>
      <c r="B2329" s="13" t="s">
        <v>5547</v>
      </c>
      <c r="C2329" s="13" t="s">
        <v>5539</v>
      </c>
      <c r="D2329" s="13" t="s">
        <v>6751</v>
      </c>
      <c r="E2329" s="13" t="s">
        <v>3054</v>
      </c>
      <c r="F2329" s="373">
        <f t="shared" si="1024"/>
        <v>11.32</v>
      </c>
      <c r="G2329" s="430">
        <v>11.32</v>
      </c>
      <c r="H2329" s="399">
        <f t="shared" si="1025"/>
        <v>9.06</v>
      </c>
      <c r="I2329" s="576"/>
      <c r="J2329" s="549" t="s">
        <v>5804</v>
      </c>
      <c r="K2329" s="11"/>
      <c r="L2329"/>
      <c r="M2329" s="37">
        <f t="shared" si="1026"/>
        <v>11.32</v>
      </c>
      <c r="N2329" s="29">
        <v>8.3800000000000008</v>
      </c>
      <c r="O2329" s="41"/>
      <c r="P2329" s="59"/>
      <c r="Q2329"/>
      <c r="R2329"/>
      <c r="S2329" t="s">
        <v>1017</v>
      </c>
      <c r="T2329" s="145" t="s">
        <v>4179</v>
      </c>
      <c r="U2329" s="60"/>
      <c r="V2329" s="50"/>
      <c r="W2329"/>
      <c r="X2329"/>
      <c r="Y2329" s="50"/>
      <c r="Z2329" s="50"/>
      <c r="AA2329" s="50"/>
      <c r="AB2329" s="50"/>
      <c r="AC2329" s="50"/>
      <c r="AD2329" s="50"/>
      <c r="AE2329" s="75"/>
      <c r="AF2329" s="50"/>
      <c r="AG2329" s="50"/>
      <c r="AH2329" s="166" t="str">
        <f>IF(ISERROR(SEARCH("K erstmals 201",D2329)),"",RIGHT(D2329,4))</f>
        <v>2011</v>
      </c>
      <c r="AI2329" s="168" t="str">
        <f t="shared" si="1019"/>
        <v/>
      </c>
      <c r="AJ2329" s="168" t="str">
        <f t="shared" si="1020"/>
        <v/>
      </c>
      <c r="AK2329" s="168" t="str">
        <f t="shared" si="1021"/>
        <v/>
      </c>
      <c r="AL2329" s="168" t="str">
        <f t="shared" si="1022"/>
        <v/>
      </c>
      <c r="AM2329" s="168" t="str">
        <f t="shared" si="1023"/>
        <v/>
      </c>
      <c r="AN2329" s="167" t="str">
        <f t="shared" si="1005"/>
        <v>2011</v>
      </c>
      <c r="AO2329" s="167" t="str">
        <f t="shared" si="1006"/>
        <v>2011</v>
      </c>
      <c r="AP2329" s="167" t="str">
        <f t="shared" si="1007"/>
        <v>2011</v>
      </c>
      <c r="AQ2329" s="169" t="str">
        <f t="shared" si="1008"/>
        <v/>
      </c>
      <c r="AR2329" s="170" t="str">
        <f t="shared" si="1009"/>
        <v>BiK83K11----08</v>
      </c>
      <c r="AS2329" s="169" t="str">
        <f t="shared" si="1010"/>
        <v/>
      </c>
      <c r="AT2329">
        <f t="shared" si="1011"/>
        <v>14</v>
      </c>
      <c r="AU2329" s="170" t="str">
        <f t="shared" si="1012"/>
        <v>0,5-5 MW, Bonusregel K erstmals 2011</v>
      </c>
      <c r="AV2329" s="169" t="str">
        <f t="shared" si="1013"/>
        <v/>
      </c>
      <c r="AW2329" s="170" t="str">
        <f t="shared" si="1014"/>
        <v>Anteil KWK, erstmals 2011</v>
      </c>
      <c r="AX2329" s="169" t="str">
        <f t="shared" si="1015"/>
        <v/>
      </c>
      <c r="AY2329" t="str">
        <f t="shared" si="1016"/>
        <v>x</v>
      </c>
      <c r="AZ2329" t="str">
        <f t="shared" si="1017"/>
        <v/>
      </c>
    </row>
    <row r="2330" spans="1:52" s="145" customFormat="1" x14ac:dyDescent="0.35">
      <c r="A2330" s="511" t="s">
        <v>1914</v>
      </c>
      <c r="B2330" s="173" t="s">
        <v>5547</v>
      </c>
      <c r="C2330" s="173" t="s">
        <v>5539</v>
      </c>
      <c r="D2330" s="173" t="s">
        <v>6752</v>
      </c>
      <c r="E2330" s="173" t="s">
        <v>1980</v>
      </c>
      <c r="F2330" s="374">
        <f t="shared" si="1024"/>
        <v>11.290000000000001</v>
      </c>
      <c r="G2330" s="431">
        <v>11.290000000000001</v>
      </c>
      <c r="H2330" s="400">
        <f t="shared" si="1025"/>
        <v>9.0299999999999994</v>
      </c>
      <c r="I2330" s="577"/>
      <c r="J2330" s="549" t="s">
        <v>5804</v>
      </c>
      <c r="K2330" s="11"/>
      <c r="L2330"/>
      <c r="M2330" s="37">
        <f t="shared" si="1026"/>
        <v>11.290000000000001</v>
      </c>
      <c r="N2330" s="29">
        <v>8.3800000000000008</v>
      </c>
      <c r="O2330" s="41"/>
      <c r="P2330" s="59"/>
      <c r="Q2330"/>
      <c r="R2330"/>
      <c r="S2330" t="s">
        <v>4179</v>
      </c>
      <c r="T2330" s="145" t="s">
        <v>1017</v>
      </c>
      <c r="U2330" s="60"/>
      <c r="V2330" s="50"/>
      <c r="W2330"/>
      <c r="X2330"/>
      <c r="Y2330" s="50"/>
      <c r="Z2330" s="50"/>
      <c r="AA2330" s="50"/>
      <c r="AB2330" s="50"/>
      <c r="AC2330" s="50"/>
      <c r="AD2330" s="50"/>
      <c r="AE2330" s="75"/>
      <c r="AF2330" s="50"/>
      <c r="AG2330" s="50"/>
      <c r="AH2330" s="171" t="s">
        <v>4178</v>
      </c>
      <c r="AI2330" s="168" t="str">
        <f t="shared" si="1019"/>
        <v/>
      </c>
      <c r="AJ2330" s="168" t="str">
        <f t="shared" si="1020"/>
        <v/>
      </c>
      <c r="AK2330" s="168" t="str">
        <f t="shared" si="1021"/>
        <v/>
      </c>
      <c r="AL2330" s="168" t="str">
        <f t="shared" si="1022"/>
        <v/>
      </c>
      <c r="AM2330" s="168" t="str">
        <f t="shared" si="1023"/>
        <v/>
      </c>
      <c r="AN2330" s="167" t="str">
        <f t="shared" si="1005"/>
        <v>2012</v>
      </c>
      <c r="AO2330" s="167" t="str">
        <f t="shared" si="1006"/>
        <v>2012</v>
      </c>
      <c r="AP2330" s="167" t="str">
        <f t="shared" si="1007"/>
        <v>2012</v>
      </c>
      <c r="AQ2330" s="169" t="str">
        <f t="shared" si="1008"/>
        <v/>
      </c>
      <c r="AR2330" s="170" t="str">
        <f t="shared" si="1009"/>
        <v>BiK83K12----08</v>
      </c>
      <c r="AS2330" s="169" t="str">
        <f t="shared" si="1010"/>
        <v/>
      </c>
      <c r="AT2330">
        <f t="shared" si="1011"/>
        <v>14</v>
      </c>
      <c r="AU2330" s="170" t="str">
        <f t="shared" si="1012"/>
        <v>0,5-5 MW, Bonusregel K erstmals 2012</v>
      </c>
      <c r="AV2330" s="169" t="str">
        <f t="shared" si="1013"/>
        <v/>
      </c>
      <c r="AW2330" s="170" t="str">
        <f t="shared" si="1014"/>
        <v>Anteil KWK, erstmals 2012</v>
      </c>
      <c r="AX2330" s="169" t="str">
        <f t="shared" si="1015"/>
        <v/>
      </c>
      <c r="AY2330" t="str">
        <f t="shared" si="1016"/>
        <v/>
      </c>
      <c r="AZ2330" t="str">
        <f t="shared" si="1017"/>
        <v>x</v>
      </c>
    </row>
    <row r="2331" spans="1:52" x14ac:dyDescent="0.35">
      <c r="A2331" s="496" t="s">
        <v>4124</v>
      </c>
      <c r="B2331" s="1" t="s">
        <v>5547</v>
      </c>
      <c r="C2331" s="1" t="s">
        <v>5539</v>
      </c>
      <c r="D2331" s="1" t="s">
        <v>598</v>
      </c>
      <c r="E2331" s="1" t="s">
        <v>4809</v>
      </c>
      <c r="F2331" s="375">
        <f t="shared" si="1024"/>
        <v>12.38</v>
      </c>
      <c r="G2331" s="432">
        <v>12.38</v>
      </c>
      <c r="H2331" s="401">
        <f t="shared" si="1025"/>
        <v>9.9</v>
      </c>
      <c r="I2331" s="578"/>
      <c r="J2331" s="549" t="s">
        <v>5804</v>
      </c>
      <c r="K2331" s="11"/>
      <c r="M2331" s="37">
        <f t="shared" si="1026"/>
        <v>12.38</v>
      </c>
      <c r="N2331" s="29">
        <v>8.3800000000000008</v>
      </c>
      <c r="O2331" s="41"/>
      <c r="P2331" s="59"/>
      <c r="S2331" t="s">
        <v>4179</v>
      </c>
      <c r="T2331" t="s">
        <v>4179</v>
      </c>
      <c r="U2331" s="60"/>
      <c r="V2331" s="50"/>
      <c r="W2331" t="s">
        <v>1017</v>
      </c>
      <c r="Y2331" s="50"/>
      <c r="Z2331" s="50"/>
      <c r="AA2331" s="50"/>
      <c r="AB2331" s="50"/>
      <c r="AC2331" s="50"/>
      <c r="AD2331" s="50"/>
      <c r="AE2331" s="75"/>
      <c r="AF2331" s="50"/>
      <c r="AG2331" s="50"/>
      <c r="AH2331" s="166" t="str">
        <f>IF(ISERROR(SEARCH("K erstmals 201",D2331)),"",RIGHT(D2331,4))</f>
        <v/>
      </c>
      <c r="AI2331" s="168" t="str">
        <f t="shared" si="1019"/>
        <v/>
      </c>
      <c r="AJ2331" s="168" t="str">
        <f t="shared" si="1020"/>
        <v/>
      </c>
      <c r="AK2331" s="168" t="str">
        <f t="shared" si="1021"/>
        <v/>
      </c>
      <c r="AL2331" s="168" t="str">
        <f t="shared" si="1022"/>
        <v/>
      </c>
      <c r="AM2331" s="168" t="str">
        <f t="shared" si="1023"/>
        <v/>
      </c>
      <c r="AN2331" s="167" t="str">
        <f t="shared" si="1005"/>
        <v/>
      </c>
      <c r="AO2331" s="167" t="str">
        <f t="shared" si="1006"/>
        <v/>
      </c>
      <c r="AP2331" s="167" t="str">
        <f t="shared" si="1007"/>
        <v/>
      </c>
      <c r="AQ2331" s="169" t="str">
        <f t="shared" si="1008"/>
        <v/>
      </c>
      <c r="AR2331" s="170" t="str">
        <f t="shared" si="1009"/>
        <v>BiK83a2-----08</v>
      </c>
      <c r="AS2331" s="169" t="str">
        <f t="shared" si="1010"/>
        <v/>
      </c>
      <c r="AT2331">
        <f t="shared" si="1011"/>
        <v>14</v>
      </c>
      <c r="AU2331" s="170" t="str">
        <f t="shared" si="1012"/>
        <v>0,5-5 MW, Bonusregel a2</v>
      </c>
      <c r="AV2331" s="169" t="str">
        <f t="shared" si="1013"/>
        <v/>
      </c>
      <c r="AW2331" s="170" t="str">
        <f t="shared" si="1014"/>
        <v>Anteil Nicht-KWK</v>
      </c>
      <c r="AX2331" s="169" t="str">
        <f t="shared" si="1015"/>
        <v/>
      </c>
      <c r="AY2331" t="str">
        <f t="shared" si="1016"/>
        <v/>
      </c>
      <c r="AZ2331" t="str">
        <f t="shared" si="1017"/>
        <v/>
      </c>
    </row>
    <row r="2332" spans="1:52" x14ac:dyDescent="0.35">
      <c r="A2332" s="496" t="s">
        <v>4125</v>
      </c>
      <c r="B2332" s="1" t="s">
        <v>5547</v>
      </c>
      <c r="C2332" s="1" t="s">
        <v>5539</v>
      </c>
      <c r="D2332" s="1" t="s">
        <v>6770</v>
      </c>
      <c r="E2332" s="1" t="s">
        <v>4811</v>
      </c>
      <c r="F2332" s="375">
        <f t="shared" si="1024"/>
        <v>14.38</v>
      </c>
      <c r="G2332" s="432">
        <v>14.38</v>
      </c>
      <c r="H2332" s="401">
        <f t="shared" si="1025"/>
        <v>11.5</v>
      </c>
      <c r="I2332" s="578"/>
      <c r="J2332" s="549" t="s">
        <v>5804</v>
      </c>
      <c r="K2332" s="11"/>
      <c r="M2332" s="37">
        <f t="shared" si="1026"/>
        <v>14.38</v>
      </c>
      <c r="N2332" s="29">
        <v>8.3800000000000008</v>
      </c>
      <c r="O2332" s="41" t="s">
        <v>1017</v>
      </c>
      <c r="P2332" s="59"/>
      <c r="S2332" t="s">
        <v>4179</v>
      </c>
      <c r="T2332" t="s">
        <v>4179</v>
      </c>
      <c r="U2332" s="60"/>
      <c r="V2332" s="50"/>
      <c r="W2332" t="s">
        <v>1017</v>
      </c>
      <c r="Y2332" s="50"/>
      <c r="Z2332" s="50"/>
      <c r="AA2332" s="50"/>
      <c r="AB2332" s="50"/>
      <c r="AC2332" s="50"/>
      <c r="AD2332" s="50"/>
      <c r="AE2332" s="75"/>
      <c r="AF2332" s="50"/>
      <c r="AG2332" s="50"/>
      <c r="AH2332" s="166" t="str">
        <f>IF(ISERROR(SEARCH("K erstmals 201",D2332)),"",RIGHT(D2332,4))</f>
        <v/>
      </c>
      <c r="AI2332" s="168" t="str">
        <f t="shared" si="1019"/>
        <v/>
      </c>
      <c r="AJ2332" s="168" t="str">
        <f t="shared" si="1020"/>
        <v/>
      </c>
      <c r="AK2332" s="168" t="str">
        <f t="shared" si="1021"/>
        <v/>
      </c>
      <c r="AL2332" s="168" t="str">
        <f t="shared" si="1022"/>
        <v/>
      </c>
      <c r="AM2332" s="168" t="str">
        <f t="shared" si="1023"/>
        <v/>
      </c>
      <c r="AN2332" s="167" t="str">
        <f t="shared" si="1005"/>
        <v/>
      </c>
      <c r="AO2332" s="167" t="str">
        <f t="shared" si="1006"/>
        <v/>
      </c>
      <c r="AP2332" s="167" t="str">
        <f t="shared" si="1007"/>
        <v/>
      </c>
      <c r="AQ2332" s="169" t="str">
        <f t="shared" si="1008"/>
        <v/>
      </c>
      <c r="AR2332" s="170" t="str">
        <f t="shared" si="1009"/>
        <v>BiK83a2KWK--08</v>
      </c>
      <c r="AS2332" s="169" t="str">
        <f t="shared" si="1010"/>
        <v/>
      </c>
      <c r="AT2332">
        <f t="shared" si="1011"/>
        <v>14</v>
      </c>
      <c r="AU2332" s="170" t="str">
        <f t="shared" si="1012"/>
        <v>0,5-5 MW, Bonusregel a2 und KWK</v>
      </c>
      <c r="AV2332" s="169" t="str">
        <f t="shared" si="1013"/>
        <v/>
      </c>
      <c r="AW2332" s="170" t="str">
        <f t="shared" si="1014"/>
        <v>Anteil KWK</v>
      </c>
      <c r="AX2332" s="169" t="str">
        <f t="shared" si="1015"/>
        <v/>
      </c>
      <c r="AY2332" t="str">
        <f t="shared" si="1016"/>
        <v/>
      </c>
      <c r="AZ2332" t="str">
        <f t="shared" si="1017"/>
        <v/>
      </c>
    </row>
    <row r="2333" spans="1:52" x14ac:dyDescent="0.35">
      <c r="A2333" s="497" t="s">
        <v>959</v>
      </c>
      <c r="B2333" s="13" t="s">
        <v>5547</v>
      </c>
      <c r="C2333" s="13" t="s">
        <v>5539</v>
      </c>
      <c r="D2333" s="13" t="s">
        <v>6771</v>
      </c>
      <c r="E2333" s="13" t="s">
        <v>674</v>
      </c>
      <c r="F2333" s="373">
        <f t="shared" si="1024"/>
        <v>15.38</v>
      </c>
      <c r="G2333" s="430">
        <v>15.38</v>
      </c>
      <c r="H2333" s="399">
        <f t="shared" si="1025"/>
        <v>12.3</v>
      </c>
      <c r="I2333" s="576"/>
      <c r="J2333" s="549" t="s">
        <v>5804</v>
      </c>
      <c r="K2333" s="11"/>
      <c r="M2333" s="37">
        <f t="shared" si="1026"/>
        <v>15.38</v>
      </c>
      <c r="N2333" s="29">
        <v>8.3800000000000008</v>
      </c>
      <c r="O2333" s="41"/>
      <c r="P2333" s="59"/>
      <c r="Q2333" t="s">
        <v>1017</v>
      </c>
      <c r="S2333" t="s">
        <v>4179</v>
      </c>
      <c r="T2333" t="s">
        <v>4179</v>
      </c>
      <c r="U2333" s="60"/>
      <c r="V2333" s="50"/>
      <c r="W2333" t="s">
        <v>1017</v>
      </c>
      <c r="Y2333" s="50"/>
      <c r="Z2333" s="50"/>
      <c r="AA2333" s="50"/>
      <c r="AB2333" s="50"/>
      <c r="AC2333" s="50"/>
      <c r="AD2333" s="50"/>
      <c r="AE2333" s="75"/>
      <c r="AF2333" s="50"/>
      <c r="AG2333" s="50"/>
      <c r="AH2333" s="166" t="str">
        <f>IF(ISERROR(SEARCH("K erstmals 201",D2333)),"",RIGHT(D2333,4))</f>
        <v/>
      </c>
      <c r="AI2333" s="168" t="str">
        <f t="shared" si="1019"/>
        <v/>
      </c>
      <c r="AJ2333" s="168" t="str">
        <f t="shared" si="1020"/>
        <v/>
      </c>
      <c r="AK2333" s="168" t="str">
        <f t="shared" si="1021"/>
        <v/>
      </c>
      <c r="AL2333" s="168" t="str">
        <f t="shared" si="1022"/>
        <v/>
      </c>
      <c r="AM2333" s="168" t="str">
        <f t="shared" si="1023"/>
        <v/>
      </c>
      <c r="AN2333" s="167" t="str">
        <f t="shared" si="1005"/>
        <v/>
      </c>
      <c r="AO2333" s="167" t="str">
        <f t="shared" si="1006"/>
        <v/>
      </c>
      <c r="AP2333" s="167" t="str">
        <f t="shared" si="1007"/>
        <v/>
      </c>
      <c r="AQ2333" s="169" t="str">
        <f t="shared" si="1008"/>
        <v/>
      </c>
      <c r="AR2333" s="170" t="str">
        <f t="shared" si="1009"/>
        <v>BiK83a2K09--08</v>
      </c>
      <c r="AS2333" s="169" t="str">
        <f t="shared" si="1010"/>
        <v/>
      </c>
      <c r="AT2333">
        <f t="shared" si="1011"/>
        <v>14</v>
      </c>
      <c r="AU2333" s="170" t="str">
        <f t="shared" si="1012"/>
        <v>0,5-5 MW, Bonusregeln a2 und K erstmals 2009</v>
      </c>
      <c r="AV2333" s="169" t="str">
        <f t="shared" si="1013"/>
        <v/>
      </c>
      <c r="AW2333" s="170" t="str">
        <f t="shared" si="1014"/>
        <v>Anteil KWK, erstmals 2009</v>
      </c>
      <c r="AX2333" s="169" t="str">
        <f t="shared" si="1015"/>
        <v/>
      </c>
      <c r="AY2333" t="str">
        <f t="shared" si="1016"/>
        <v/>
      </c>
      <c r="AZ2333" t="str">
        <f t="shared" si="1017"/>
        <v/>
      </c>
    </row>
    <row r="2334" spans="1:52" x14ac:dyDescent="0.35">
      <c r="A2334" s="497" t="s">
        <v>3277</v>
      </c>
      <c r="B2334" s="13" t="s">
        <v>5547</v>
      </c>
      <c r="C2334" s="13" t="s">
        <v>5539</v>
      </c>
      <c r="D2334" s="13" t="s">
        <v>6772</v>
      </c>
      <c r="E2334" s="13" t="s">
        <v>3566</v>
      </c>
      <c r="F2334" s="373">
        <f t="shared" si="1024"/>
        <v>15.350000000000001</v>
      </c>
      <c r="G2334" s="430">
        <v>15.350000000000001</v>
      </c>
      <c r="H2334" s="399">
        <f t="shared" si="1025"/>
        <v>12.28</v>
      </c>
      <c r="I2334" s="576"/>
      <c r="J2334" s="549" t="s">
        <v>5804</v>
      </c>
      <c r="K2334" s="11"/>
      <c r="M2334" s="37">
        <f t="shared" si="1026"/>
        <v>15.350000000000001</v>
      </c>
      <c r="N2334" s="29">
        <v>8.3800000000000008</v>
      </c>
      <c r="O2334" s="41"/>
      <c r="P2334" s="59"/>
      <c r="R2334" t="s">
        <v>1017</v>
      </c>
      <c r="S2334" t="s">
        <v>4179</v>
      </c>
      <c r="T2334" t="s">
        <v>4179</v>
      </c>
      <c r="U2334" s="60"/>
      <c r="V2334" s="50"/>
      <c r="W2334" t="s">
        <v>1017</v>
      </c>
      <c r="Y2334" s="50"/>
      <c r="Z2334" s="50"/>
      <c r="AA2334" s="50"/>
      <c r="AB2334" s="50"/>
      <c r="AC2334" s="50"/>
      <c r="AD2334" s="50"/>
      <c r="AE2334" s="75"/>
      <c r="AF2334" s="50"/>
      <c r="AG2334" s="50"/>
      <c r="AH2334" s="166" t="str">
        <f>IF(ISERROR(SEARCH("K erstmals 201",D2334)),"",RIGHT(D2334,4))</f>
        <v>2010</v>
      </c>
      <c r="AI2334" s="168" t="str">
        <f t="shared" si="1019"/>
        <v/>
      </c>
      <c r="AJ2334" s="168" t="str">
        <f t="shared" si="1020"/>
        <v/>
      </c>
      <c r="AK2334" s="168" t="str">
        <f t="shared" si="1021"/>
        <v/>
      </c>
      <c r="AL2334" s="168" t="str">
        <f t="shared" si="1022"/>
        <v/>
      </c>
      <c r="AM2334" s="168" t="str">
        <f t="shared" si="1023"/>
        <v/>
      </c>
      <c r="AN2334" s="167" t="str">
        <f t="shared" si="1005"/>
        <v>2010</v>
      </c>
      <c r="AO2334" s="167" t="str">
        <f t="shared" si="1006"/>
        <v>2010</v>
      </c>
      <c r="AP2334" s="167" t="str">
        <f t="shared" si="1007"/>
        <v>2010</v>
      </c>
      <c r="AQ2334" s="169" t="str">
        <f t="shared" si="1008"/>
        <v/>
      </c>
      <c r="AR2334" s="170" t="str">
        <f t="shared" si="1009"/>
        <v>BiK83a2K10--08</v>
      </c>
      <c r="AS2334" s="169" t="str">
        <f t="shared" si="1010"/>
        <v/>
      </c>
      <c r="AT2334">
        <f t="shared" si="1011"/>
        <v>14</v>
      </c>
      <c r="AU2334" s="170" t="str">
        <f t="shared" si="1012"/>
        <v>0,5-5 MW, Bonusregeln a2 und K erstmals 2010</v>
      </c>
      <c r="AV2334" s="169" t="str">
        <f t="shared" si="1013"/>
        <v/>
      </c>
      <c r="AW2334" s="170" t="str">
        <f t="shared" si="1014"/>
        <v>Anteil KWK, erstmals 2010</v>
      </c>
      <c r="AX2334" s="169" t="str">
        <f t="shared" si="1015"/>
        <v/>
      </c>
      <c r="AY2334" t="str">
        <f t="shared" si="1016"/>
        <v/>
      </c>
      <c r="AZ2334" t="str">
        <f t="shared" si="1017"/>
        <v/>
      </c>
    </row>
    <row r="2335" spans="1:52" s="145" customFormat="1" x14ac:dyDescent="0.35">
      <c r="A2335" s="497" t="s">
        <v>3482</v>
      </c>
      <c r="B2335" s="13" t="s">
        <v>5547</v>
      </c>
      <c r="C2335" s="13" t="s">
        <v>5539</v>
      </c>
      <c r="D2335" s="13" t="s">
        <v>6773</v>
      </c>
      <c r="E2335" s="13" t="s">
        <v>3054</v>
      </c>
      <c r="F2335" s="373">
        <f t="shared" si="1024"/>
        <v>15.32</v>
      </c>
      <c r="G2335" s="430">
        <v>15.32</v>
      </c>
      <c r="H2335" s="399">
        <f t="shared" si="1025"/>
        <v>12.26</v>
      </c>
      <c r="I2335" s="576"/>
      <c r="J2335" s="549" t="s">
        <v>5804</v>
      </c>
      <c r="K2335" s="11"/>
      <c r="L2335"/>
      <c r="M2335" s="37">
        <f t="shared" si="1026"/>
        <v>15.32</v>
      </c>
      <c r="N2335" s="29">
        <v>8.3800000000000008</v>
      </c>
      <c r="O2335" s="41"/>
      <c r="P2335" s="59"/>
      <c r="Q2335"/>
      <c r="R2335"/>
      <c r="S2335" t="s">
        <v>1017</v>
      </c>
      <c r="T2335" s="145" t="s">
        <v>4179</v>
      </c>
      <c r="U2335" s="60"/>
      <c r="V2335" s="50"/>
      <c r="W2335" t="s">
        <v>1017</v>
      </c>
      <c r="X2335"/>
      <c r="Y2335" s="50"/>
      <c r="Z2335" s="50"/>
      <c r="AA2335" s="50"/>
      <c r="AB2335" s="50"/>
      <c r="AC2335" s="50"/>
      <c r="AD2335" s="50"/>
      <c r="AE2335" s="75"/>
      <c r="AF2335" s="50"/>
      <c r="AG2335" s="50"/>
      <c r="AH2335" s="166" t="str">
        <f>IF(ISERROR(SEARCH("K erstmals 201",D2335)),"",RIGHT(D2335,4))</f>
        <v>2011</v>
      </c>
      <c r="AI2335" s="168" t="str">
        <f t="shared" si="1019"/>
        <v/>
      </c>
      <c r="AJ2335" s="168" t="str">
        <f t="shared" si="1020"/>
        <v/>
      </c>
      <c r="AK2335" s="168" t="str">
        <f t="shared" si="1021"/>
        <v/>
      </c>
      <c r="AL2335" s="168" t="str">
        <f t="shared" si="1022"/>
        <v/>
      </c>
      <c r="AM2335" s="168" t="str">
        <f t="shared" si="1023"/>
        <v/>
      </c>
      <c r="AN2335" s="167" t="str">
        <f t="shared" si="1005"/>
        <v>2011</v>
      </c>
      <c r="AO2335" s="167" t="str">
        <f t="shared" si="1006"/>
        <v>2011</v>
      </c>
      <c r="AP2335" s="167" t="str">
        <f t="shared" si="1007"/>
        <v>2011</v>
      </c>
      <c r="AQ2335" s="169" t="str">
        <f t="shared" si="1008"/>
        <v/>
      </c>
      <c r="AR2335" s="170" t="str">
        <f t="shared" si="1009"/>
        <v>BiK83a2K11--08</v>
      </c>
      <c r="AS2335" s="169" t="str">
        <f t="shared" si="1010"/>
        <v/>
      </c>
      <c r="AT2335">
        <f t="shared" si="1011"/>
        <v>14</v>
      </c>
      <c r="AU2335" s="170" t="str">
        <f t="shared" si="1012"/>
        <v>0,5-5 MW, Bonusregeln a2 und K erstmals 2011</v>
      </c>
      <c r="AV2335" s="169" t="str">
        <f t="shared" si="1013"/>
        <v/>
      </c>
      <c r="AW2335" s="170" t="str">
        <f t="shared" si="1014"/>
        <v>Anteil KWK, erstmals 2011</v>
      </c>
      <c r="AX2335" s="169" t="str">
        <f t="shared" si="1015"/>
        <v/>
      </c>
      <c r="AY2335" t="str">
        <f t="shared" si="1016"/>
        <v>x</v>
      </c>
      <c r="AZ2335" t="str">
        <f t="shared" si="1017"/>
        <v/>
      </c>
    </row>
    <row r="2336" spans="1:52" s="145" customFormat="1" x14ac:dyDescent="0.35">
      <c r="A2336" s="511" t="s">
        <v>1915</v>
      </c>
      <c r="B2336" s="173" t="s">
        <v>5547</v>
      </c>
      <c r="C2336" s="173" t="s">
        <v>5539</v>
      </c>
      <c r="D2336" s="173" t="s">
        <v>6774</v>
      </c>
      <c r="E2336" s="173" t="s">
        <v>1980</v>
      </c>
      <c r="F2336" s="374">
        <f t="shared" si="1024"/>
        <v>15.290000000000001</v>
      </c>
      <c r="G2336" s="431">
        <v>15.290000000000001</v>
      </c>
      <c r="H2336" s="400">
        <f t="shared" si="1025"/>
        <v>12.23</v>
      </c>
      <c r="I2336" s="577"/>
      <c r="J2336" s="549" t="s">
        <v>5804</v>
      </c>
      <c r="K2336" s="11"/>
      <c r="L2336"/>
      <c r="M2336" s="37">
        <f t="shared" si="1026"/>
        <v>15.290000000000001</v>
      </c>
      <c r="N2336" s="29">
        <v>8.3800000000000008</v>
      </c>
      <c r="O2336" s="41"/>
      <c r="P2336" s="59"/>
      <c r="Q2336"/>
      <c r="R2336"/>
      <c r="S2336" t="s">
        <v>4179</v>
      </c>
      <c r="T2336" s="145" t="s">
        <v>1017</v>
      </c>
      <c r="U2336" s="60"/>
      <c r="V2336" s="50"/>
      <c r="W2336" t="s">
        <v>1017</v>
      </c>
      <c r="X2336"/>
      <c r="Y2336" s="50"/>
      <c r="Z2336" s="50"/>
      <c r="AA2336" s="50"/>
      <c r="AB2336" s="50"/>
      <c r="AC2336" s="50"/>
      <c r="AD2336" s="50"/>
      <c r="AE2336" s="75"/>
      <c r="AF2336" s="50"/>
      <c r="AG2336" s="50"/>
      <c r="AH2336" s="171" t="s">
        <v>4178</v>
      </c>
      <c r="AI2336" s="168" t="str">
        <f t="shared" si="1019"/>
        <v/>
      </c>
      <c r="AJ2336" s="168" t="str">
        <f t="shared" si="1020"/>
        <v/>
      </c>
      <c r="AK2336" s="168" t="str">
        <f t="shared" si="1021"/>
        <v/>
      </c>
      <c r="AL2336" s="168" t="str">
        <f t="shared" si="1022"/>
        <v/>
      </c>
      <c r="AM2336" s="168" t="str">
        <f t="shared" si="1023"/>
        <v/>
      </c>
      <c r="AN2336" s="167" t="str">
        <f t="shared" si="1005"/>
        <v>2012</v>
      </c>
      <c r="AO2336" s="167" t="str">
        <f t="shared" si="1006"/>
        <v>2012</v>
      </c>
      <c r="AP2336" s="167" t="str">
        <f t="shared" si="1007"/>
        <v>2012</v>
      </c>
      <c r="AQ2336" s="169" t="str">
        <f t="shared" si="1008"/>
        <v/>
      </c>
      <c r="AR2336" s="170" t="str">
        <f t="shared" si="1009"/>
        <v>BiK83a2K12--08</v>
      </c>
      <c r="AS2336" s="169" t="str">
        <f t="shared" si="1010"/>
        <v/>
      </c>
      <c r="AT2336">
        <f t="shared" si="1011"/>
        <v>14</v>
      </c>
      <c r="AU2336" s="170" t="str">
        <f t="shared" si="1012"/>
        <v>0,5-5 MW, Bonusregeln a2 und K erstmals 2012</v>
      </c>
      <c r="AV2336" s="169" t="str">
        <f t="shared" si="1013"/>
        <v/>
      </c>
      <c r="AW2336" s="170" t="str">
        <f t="shared" si="1014"/>
        <v>Anteil KWK, erstmals 2012</v>
      </c>
      <c r="AX2336" s="169" t="str">
        <f t="shared" si="1015"/>
        <v/>
      </c>
      <c r="AY2336" t="str">
        <f t="shared" si="1016"/>
        <v/>
      </c>
      <c r="AZ2336" t="str">
        <f t="shared" si="1017"/>
        <v>x</v>
      </c>
    </row>
    <row r="2337" spans="1:52" s="145" customFormat="1" x14ac:dyDescent="0.35">
      <c r="A2337" s="496" t="s">
        <v>4835</v>
      </c>
      <c r="B2337" s="1" t="s">
        <v>5547</v>
      </c>
      <c r="C2337" s="1" t="s">
        <v>5539</v>
      </c>
      <c r="D2337" s="1" t="s">
        <v>6757</v>
      </c>
      <c r="E2337" s="1" t="s">
        <v>4809</v>
      </c>
      <c r="F2337" s="375">
        <f t="shared" si="1024"/>
        <v>10.88</v>
      </c>
      <c r="G2337" s="432">
        <v>10.88</v>
      </c>
      <c r="H2337" s="401">
        <f t="shared" si="1025"/>
        <v>8.6999999999999993</v>
      </c>
      <c r="I2337" s="578"/>
      <c r="J2337" s="549" t="s">
        <v>5804</v>
      </c>
      <c r="K2337" s="11"/>
      <c r="L2337"/>
      <c r="M2337" s="37">
        <f t="shared" si="1026"/>
        <v>10.88</v>
      </c>
      <c r="N2337" s="29">
        <v>8.3800000000000008</v>
      </c>
      <c r="O2337" s="41"/>
      <c r="P2337" s="59"/>
      <c r="Q2337"/>
      <c r="R2337"/>
      <c r="S2337" t="s">
        <v>4179</v>
      </c>
      <c r="T2337" s="145" t="s">
        <v>4179</v>
      </c>
      <c r="U2337" s="60"/>
      <c r="V2337" s="50"/>
      <c r="W2337"/>
      <c r="X2337" t="s">
        <v>1017</v>
      </c>
      <c r="Y2337" s="50"/>
      <c r="Z2337" s="50"/>
      <c r="AA2337" s="50"/>
      <c r="AB2337" s="50"/>
      <c r="AC2337" s="50"/>
      <c r="AD2337" s="50"/>
      <c r="AE2337" s="75"/>
      <c r="AF2337" s="50"/>
      <c r="AG2337" s="50"/>
      <c r="AH2337" s="166" t="str">
        <f>IF(ISERROR(SEARCH("K erstmals 201",D2337)),"",RIGHT(D2337,4))</f>
        <v/>
      </c>
      <c r="AI2337" s="168" t="str">
        <f t="shared" si="1019"/>
        <v/>
      </c>
      <c r="AJ2337" s="168" t="str">
        <f t="shared" si="1020"/>
        <v/>
      </c>
      <c r="AK2337" s="168" t="str">
        <f t="shared" si="1021"/>
        <v/>
      </c>
      <c r="AL2337" s="168" t="str">
        <f t="shared" si="1022"/>
        <v/>
      </c>
      <c r="AM2337" s="168" t="str">
        <f t="shared" si="1023"/>
        <v/>
      </c>
      <c r="AN2337" s="167" t="str">
        <f t="shared" si="1005"/>
        <v/>
      </c>
      <c r="AO2337" s="167" t="str">
        <f t="shared" si="1006"/>
        <v/>
      </c>
      <c r="AP2337" s="167" t="str">
        <f t="shared" si="1007"/>
        <v/>
      </c>
      <c r="AQ2337" s="169" t="str">
        <f t="shared" si="1008"/>
        <v/>
      </c>
      <c r="AR2337" s="170" t="str">
        <f t="shared" si="1009"/>
        <v>BiK83a3-----08</v>
      </c>
      <c r="AS2337" s="169" t="str">
        <f t="shared" si="1010"/>
        <v/>
      </c>
      <c r="AT2337">
        <f t="shared" si="1011"/>
        <v>14</v>
      </c>
      <c r="AU2337" s="170" t="str">
        <f t="shared" si="1012"/>
        <v>0,5-5 MW, Bonusregel a3</v>
      </c>
      <c r="AV2337" s="169" t="str">
        <f t="shared" si="1013"/>
        <v/>
      </c>
      <c r="AW2337" s="170" t="str">
        <f t="shared" si="1014"/>
        <v>Anteil Nicht-KWK</v>
      </c>
      <c r="AX2337" s="169" t="str">
        <f t="shared" si="1015"/>
        <v/>
      </c>
      <c r="AY2337" t="str">
        <f t="shared" si="1016"/>
        <v/>
      </c>
      <c r="AZ2337" t="str">
        <f t="shared" si="1017"/>
        <v/>
      </c>
    </row>
    <row r="2338" spans="1:52" s="145" customFormat="1" x14ac:dyDescent="0.35">
      <c r="A2338" s="496" t="s">
        <v>4836</v>
      </c>
      <c r="B2338" s="1" t="s">
        <v>5547</v>
      </c>
      <c r="C2338" s="1" t="s">
        <v>5539</v>
      </c>
      <c r="D2338" s="1" t="s">
        <v>6775</v>
      </c>
      <c r="E2338" s="1" t="s">
        <v>4811</v>
      </c>
      <c r="F2338" s="375">
        <f t="shared" si="1024"/>
        <v>12.88</v>
      </c>
      <c r="G2338" s="432">
        <v>12.88</v>
      </c>
      <c r="H2338" s="401">
        <f t="shared" si="1025"/>
        <v>10.3</v>
      </c>
      <c r="I2338" s="578"/>
      <c r="J2338" s="549" t="s">
        <v>5804</v>
      </c>
      <c r="K2338" s="11"/>
      <c r="L2338"/>
      <c r="M2338" s="37">
        <f t="shared" si="1026"/>
        <v>12.88</v>
      </c>
      <c r="N2338" s="29">
        <v>8.3800000000000008</v>
      </c>
      <c r="O2338" s="41" t="s">
        <v>1017</v>
      </c>
      <c r="P2338" s="59"/>
      <c r="Q2338"/>
      <c r="R2338"/>
      <c r="S2338" t="s">
        <v>4179</v>
      </c>
      <c r="T2338" s="145" t="s">
        <v>4179</v>
      </c>
      <c r="U2338" s="60"/>
      <c r="V2338" s="50"/>
      <c r="W2338"/>
      <c r="X2338" t="s">
        <v>1017</v>
      </c>
      <c r="Y2338" s="50"/>
      <c r="Z2338" s="50"/>
      <c r="AA2338" s="50"/>
      <c r="AB2338" s="50"/>
      <c r="AC2338" s="50"/>
      <c r="AD2338" s="50"/>
      <c r="AE2338" s="75"/>
      <c r="AF2338" s="50"/>
      <c r="AG2338" s="50"/>
      <c r="AH2338" s="166" t="str">
        <f>IF(ISERROR(SEARCH("K erstmals 201",D2338)),"",RIGHT(D2338,4))</f>
        <v/>
      </c>
      <c r="AI2338" s="168" t="str">
        <f t="shared" si="1019"/>
        <v/>
      </c>
      <c r="AJ2338" s="168" t="str">
        <f t="shared" si="1020"/>
        <v/>
      </c>
      <c r="AK2338" s="168" t="str">
        <f t="shared" si="1021"/>
        <v/>
      </c>
      <c r="AL2338" s="168" t="str">
        <f t="shared" si="1022"/>
        <v/>
      </c>
      <c r="AM2338" s="168" t="str">
        <f t="shared" si="1023"/>
        <v/>
      </c>
      <c r="AN2338" s="167" t="str">
        <f t="shared" si="1005"/>
        <v/>
      </c>
      <c r="AO2338" s="167" t="str">
        <f t="shared" si="1006"/>
        <v/>
      </c>
      <c r="AP2338" s="167" t="str">
        <f t="shared" si="1007"/>
        <v/>
      </c>
      <c r="AQ2338" s="169" t="str">
        <f t="shared" si="1008"/>
        <v/>
      </c>
      <c r="AR2338" s="170" t="str">
        <f t="shared" si="1009"/>
        <v>BiK83a3KWK--08</v>
      </c>
      <c r="AS2338" s="169" t="str">
        <f t="shared" si="1010"/>
        <v/>
      </c>
      <c r="AT2338">
        <f t="shared" si="1011"/>
        <v>14</v>
      </c>
      <c r="AU2338" s="170" t="str">
        <f t="shared" si="1012"/>
        <v>0,5-5 MW, Bonusregel a3 und KWK</v>
      </c>
      <c r="AV2338" s="169" t="str">
        <f t="shared" si="1013"/>
        <v/>
      </c>
      <c r="AW2338" s="170" t="str">
        <f t="shared" si="1014"/>
        <v>Anteil KWK</v>
      </c>
      <c r="AX2338" s="169" t="str">
        <f t="shared" si="1015"/>
        <v/>
      </c>
      <c r="AY2338" t="str">
        <f t="shared" si="1016"/>
        <v/>
      </c>
      <c r="AZ2338" t="str">
        <f t="shared" si="1017"/>
        <v/>
      </c>
    </row>
    <row r="2339" spans="1:52" s="145" customFormat="1" x14ac:dyDescent="0.35">
      <c r="A2339" s="497" t="s">
        <v>960</v>
      </c>
      <c r="B2339" s="13" t="s">
        <v>5547</v>
      </c>
      <c r="C2339" s="13" t="s">
        <v>5539</v>
      </c>
      <c r="D2339" s="13" t="s">
        <v>6776</v>
      </c>
      <c r="E2339" s="13" t="s">
        <v>674</v>
      </c>
      <c r="F2339" s="373">
        <f t="shared" si="1024"/>
        <v>13.88</v>
      </c>
      <c r="G2339" s="430">
        <v>13.88</v>
      </c>
      <c r="H2339" s="399">
        <f t="shared" si="1025"/>
        <v>11.1</v>
      </c>
      <c r="I2339" s="576"/>
      <c r="J2339" s="549" t="s">
        <v>5804</v>
      </c>
      <c r="K2339" s="11"/>
      <c r="L2339"/>
      <c r="M2339" s="37">
        <f t="shared" si="1026"/>
        <v>13.88</v>
      </c>
      <c r="N2339" s="29">
        <v>8.3800000000000008</v>
      </c>
      <c r="O2339" s="41"/>
      <c r="P2339" s="59"/>
      <c r="Q2339" t="s">
        <v>1017</v>
      </c>
      <c r="R2339"/>
      <c r="S2339" t="s">
        <v>4179</v>
      </c>
      <c r="T2339" s="145" t="s">
        <v>4179</v>
      </c>
      <c r="U2339" s="60"/>
      <c r="V2339" s="50"/>
      <c r="W2339"/>
      <c r="X2339" t="s">
        <v>1017</v>
      </c>
      <c r="Y2339" s="50"/>
      <c r="Z2339" s="50"/>
      <c r="AA2339" s="50"/>
      <c r="AB2339" s="50"/>
      <c r="AC2339" s="50"/>
      <c r="AD2339" s="50"/>
      <c r="AE2339" s="75"/>
      <c r="AF2339" s="50"/>
      <c r="AG2339" s="50"/>
      <c r="AH2339" s="166" t="str">
        <f>IF(ISERROR(SEARCH("K erstmals 201",D2339)),"",RIGHT(D2339,4))</f>
        <v/>
      </c>
      <c r="AI2339" s="168" t="str">
        <f t="shared" si="1019"/>
        <v/>
      </c>
      <c r="AJ2339" s="168" t="str">
        <f t="shared" si="1020"/>
        <v/>
      </c>
      <c r="AK2339" s="168" t="str">
        <f t="shared" si="1021"/>
        <v/>
      </c>
      <c r="AL2339" s="168" t="str">
        <f t="shared" si="1022"/>
        <v/>
      </c>
      <c r="AM2339" s="168" t="str">
        <f t="shared" si="1023"/>
        <v/>
      </c>
      <c r="AN2339" s="167" t="str">
        <f t="shared" si="1005"/>
        <v/>
      </c>
      <c r="AO2339" s="167" t="str">
        <f t="shared" si="1006"/>
        <v/>
      </c>
      <c r="AP2339" s="167" t="str">
        <f t="shared" si="1007"/>
        <v/>
      </c>
      <c r="AQ2339" s="169" t="str">
        <f t="shared" si="1008"/>
        <v/>
      </c>
      <c r="AR2339" s="170" t="str">
        <f t="shared" si="1009"/>
        <v>BiK83a3K09--08</v>
      </c>
      <c r="AS2339" s="169" t="str">
        <f t="shared" si="1010"/>
        <v/>
      </c>
      <c r="AT2339">
        <f t="shared" si="1011"/>
        <v>14</v>
      </c>
      <c r="AU2339" s="170" t="str">
        <f t="shared" si="1012"/>
        <v>0,5-5 MW, Bonusregeln a3 und K erstmals 2009</v>
      </c>
      <c r="AV2339" s="169" t="str">
        <f t="shared" si="1013"/>
        <v/>
      </c>
      <c r="AW2339" s="170" t="str">
        <f t="shared" si="1014"/>
        <v>Anteil KWK, erstmals 2009</v>
      </c>
      <c r="AX2339" s="169" t="str">
        <f t="shared" si="1015"/>
        <v/>
      </c>
      <c r="AY2339" t="str">
        <f t="shared" si="1016"/>
        <v/>
      </c>
      <c r="AZ2339" t="str">
        <f t="shared" si="1017"/>
        <v/>
      </c>
    </row>
    <row r="2340" spans="1:52" s="145" customFormat="1" x14ac:dyDescent="0.35">
      <c r="A2340" s="497" t="s">
        <v>3278</v>
      </c>
      <c r="B2340" s="13" t="s">
        <v>5547</v>
      </c>
      <c r="C2340" s="13" t="s">
        <v>5539</v>
      </c>
      <c r="D2340" s="13" t="s">
        <v>6777</v>
      </c>
      <c r="E2340" s="13" t="s">
        <v>3566</v>
      </c>
      <c r="F2340" s="373">
        <f t="shared" si="1024"/>
        <v>13.850000000000001</v>
      </c>
      <c r="G2340" s="430">
        <v>13.850000000000001</v>
      </c>
      <c r="H2340" s="399">
        <f t="shared" si="1025"/>
        <v>11.08</v>
      </c>
      <c r="I2340" s="576"/>
      <c r="J2340" s="549" t="s">
        <v>5804</v>
      </c>
      <c r="K2340" s="11"/>
      <c r="L2340"/>
      <c r="M2340" s="37">
        <f t="shared" si="1026"/>
        <v>13.850000000000001</v>
      </c>
      <c r="N2340" s="29">
        <v>8.3800000000000008</v>
      </c>
      <c r="O2340" s="41"/>
      <c r="P2340" s="59"/>
      <c r="Q2340"/>
      <c r="R2340" t="s">
        <v>1017</v>
      </c>
      <c r="S2340" t="s">
        <v>4179</v>
      </c>
      <c r="T2340" s="145" t="s">
        <v>4179</v>
      </c>
      <c r="U2340" s="60"/>
      <c r="V2340" s="50"/>
      <c r="W2340"/>
      <c r="X2340" t="s">
        <v>1017</v>
      </c>
      <c r="Y2340" s="50"/>
      <c r="Z2340" s="50"/>
      <c r="AA2340" s="50"/>
      <c r="AB2340" s="50"/>
      <c r="AC2340" s="50"/>
      <c r="AD2340" s="50"/>
      <c r="AE2340" s="75"/>
      <c r="AF2340" s="50"/>
      <c r="AG2340" s="50"/>
      <c r="AH2340" s="166" t="str">
        <f>IF(ISERROR(SEARCH("K erstmals 201",D2340)),"",RIGHT(D2340,4))</f>
        <v>2010</v>
      </c>
      <c r="AI2340" s="168" t="str">
        <f t="shared" si="1019"/>
        <v/>
      </c>
      <c r="AJ2340" s="168" t="str">
        <f t="shared" si="1020"/>
        <v/>
      </c>
      <c r="AK2340" s="168" t="str">
        <f t="shared" si="1021"/>
        <v/>
      </c>
      <c r="AL2340" s="168" t="str">
        <f t="shared" si="1022"/>
        <v/>
      </c>
      <c r="AM2340" s="168" t="str">
        <f t="shared" si="1023"/>
        <v/>
      </c>
      <c r="AN2340" s="167" t="str">
        <f t="shared" si="1005"/>
        <v>2010</v>
      </c>
      <c r="AO2340" s="167" t="str">
        <f t="shared" si="1006"/>
        <v>2010</v>
      </c>
      <c r="AP2340" s="167" t="str">
        <f t="shared" si="1007"/>
        <v>2010</v>
      </c>
      <c r="AQ2340" s="169" t="str">
        <f t="shared" si="1008"/>
        <v/>
      </c>
      <c r="AR2340" s="170" t="str">
        <f t="shared" si="1009"/>
        <v>BiK83a3K10--08</v>
      </c>
      <c r="AS2340" s="169" t="str">
        <f t="shared" si="1010"/>
        <v/>
      </c>
      <c r="AT2340">
        <f t="shared" si="1011"/>
        <v>14</v>
      </c>
      <c r="AU2340" s="170" t="str">
        <f t="shared" si="1012"/>
        <v>0,5-5 MW, Bonusregeln a3 und K erstmals 2010</v>
      </c>
      <c r="AV2340" s="169" t="str">
        <f t="shared" si="1013"/>
        <v/>
      </c>
      <c r="AW2340" s="170" t="str">
        <f t="shared" si="1014"/>
        <v>Anteil KWK, erstmals 2010</v>
      </c>
      <c r="AX2340" s="169" t="str">
        <f t="shared" si="1015"/>
        <v/>
      </c>
      <c r="AY2340" t="str">
        <f t="shared" si="1016"/>
        <v/>
      </c>
      <c r="AZ2340" t="str">
        <f t="shared" si="1017"/>
        <v/>
      </c>
    </row>
    <row r="2341" spans="1:52" s="145" customFormat="1" x14ac:dyDescent="0.35">
      <c r="A2341" s="497" t="s">
        <v>3483</v>
      </c>
      <c r="B2341" s="13" t="s">
        <v>5547</v>
      </c>
      <c r="C2341" s="13" t="s">
        <v>5539</v>
      </c>
      <c r="D2341" s="13" t="s">
        <v>6778</v>
      </c>
      <c r="E2341" s="13" t="s">
        <v>3054</v>
      </c>
      <c r="F2341" s="373">
        <f t="shared" si="1024"/>
        <v>13.82</v>
      </c>
      <c r="G2341" s="430">
        <v>13.82</v>
      </c>
      <c r="H2341" s="399">
        <f t="shared" si="1025"/>
        <v>11.06</v>
      </c>
      <c r="I2341" s="576"/>
      <c r="J2341" s="549" t="s">
        <v>5804</v>
      </c>
      <c r="K2341" s="11"/>
      <c r="L2341"/>
      <c r="M2341" s="37">
        <f t="shared" si="1026"/>
        <v>13.82</v>
      </c>
      <c r="N2341" s="29">
        <v>8.3800000000000008</v>
      </c>
      <c r="O2341" s="41"/>
      <c r="P2341" s="59"/>
      <c r="Q2341"/>
      <c r="R2341"/>
      <c r="S2341" t="s">
        <v>1017</v>
      </c>
      <c r="T2341" s="145" t="s">
        <v>4179</v>
      </c>
      <c r="U2341" s="60"/>
      <c r="V2341" s="50"/>
      <c r="W2341"/>
      <c r="X2341" t="s">
        <v>1017</v>
      </c>
      <c r="Y2341" s="50"/>
      <c r="Z2341" s="50"/>
      <c r="AA2341" s="50"/>
      <c r="AB2341" s="50"/>
      <c r="AC2341" s="50"/>
      <c r="AD2341" s="50"/>
      <c r="AE2341" s="75"/>
      <c r="AF2341" s="50"/>
      <c r="AG2341" s="50"/>
      <c r="AH2341" s="166" t="str">
        <f>IF(ISERROR(SEARCH("K erstmals 201",D2341)),"",RIGHT(D2341,4))</f>
        <v>2011</v>
      </c>
      <c r="AI2341" s="168" t="str">
        <f t="shared" si="1019"/>
        <v/>
      </c>
      <c r="AJ2341" s="168" t="str">
        <f t="shared" si="1020"/>
        <v/>
      </c>
      <c r="AK2341" s="168" t="str">
        <f t="shared" si="1021"/>
        <v/>
      </c>
      <c r="AL2341" s="168" t="str">
        <f t="shared" si="1022"/>
        <v/>
      </c>
      <c r="AM2341" s="168" t="str">
        <f t="shared" si="1023"/>
        <v/>
      </c>
      <c r="AN2341" s="167" t="str">
        <f t="shared" si="1005"/>
        <v>2011</v>
      </c>
      <c r="AO2341" s="167" t="str">
        <f t="shared" si="1006"/>
        <v>2011</v>
      </c>
      <c r="AP2341" s="167" t="str">
        <f t="shared" si="1007"/>
        <v>2011</v>
      </c>
      <c r="AQ2341" s="169" t="str">
        <f t="shared" si="1008"/>
        <v/>
      </c>
      <c r="AR2341" s="170" t="str">
        <f t="shared" si="1009"/>
        <v>BiK83a3K11--08</v>
      </c>
      <c r="AS2341" s="169" t="str">
        <f t="shared" si="1010"/>
        <v/>
      </c>
      <c r="AT2341">
        <f t="shared" si="1011"/>
        <v>14</v>
      </c>
      <c r="AU2341" s="170" t="str">
        <f t="shared" si="1012"/>
        <v>0,5-5 MW, Bonusregeln a3 und K erstmals 2011</v>
      </c>
      <c r="AV2341" s="169" t="str">
        <f t="shared" si="1013"/>
        <v/>
      </c>
      <c r="AW2341" s="170" t="str">
        <f t="shared" si="1014"/>
        <v>Anteil KWK, erstmals 2011</v>
      </c>
      <c r="AX2341" s="169" t="str">
        <f t="shared" si="1015"/>
        <v/>
      </c>
      <c r="AY2341" t="str">
        <f t="shared" si="1016"/>
        <v>x</v>
      </c>
      <c r="AZ2341" t="str">
        <f t="shared" si="1017"/>
        <v/>
      </c>
    </row>
    <row r="2342" spans="1:52" s="145" customFormat="1" x14ac:dyDescent="0.35">
      <c r="A2342" s="511" t="s">
        <v>1916</v>
      </c>
      <c r="B2342" s="173" t="s">
        <v>5547</v>
      </c>
      <c r="C2342" s="173" t="s">
        <v>5539</v>
      </c>
      <c r="D2342" s="173" t="s">
        <v>6779</v>
      </c>
      <c r="E2342" s="173" t="s">
        <v>1980</v>
      </c>
      <c r="F2342" s="374">
        <f t="shared" si="1024"/>
        <v>13.790000000000001</v>
      </c>
      <c r="G2342" s="431">
        <v>13.790000000000001</v>
      </c>
      <c r="H2342" s="400">
        <f t="shared" si="1025"/>
        <v>11.03</v>
      </c>
      <c r="I2342" s="577"/>
      <c r="J2342" s="549" t="s">
        <v>5804</v>
      </c>
      <c r="K2342" s="11"/>
      <c r="L2342"/>
      <c r="M2342" s="37">
        <f t="shared" si="1026"/>
        <v>13.790000000000001</v>
      </c>
      <c r="N2342" s="29">
        <v>8.3800000000000008</v>
      </c>
      <c r="O2342" s="41"/>
      <c r="P2342" s="59"/>
      <c r="Q2342"/>
      <c r="R2342"/>
      <c r="S2342" t="s">
        <v>4179</v>
      </c>
      <c r="T2342" s="145" t="s">
        <v>1017</v>
      </c>
      <c r="U2342" s="60"/>
      <c r="V2342" s="50"/>
      <c r="W2342"/>
      <c r="X2342" t="s">
        <v>1017</v>
      </c>
      <c r="Y2342" s="50"/>
      <c r="Z2342" s="50"/>
      <c r="AA2342" s="50"/>
      <c r="AB2342" s="50"/>
      <c r="AC2342" s="50"/>
      <c r="AD2342" s="50"/>
      <c r="AE2342" s="75"/>
      <c r="AF2342" s="50"/>
      <c r="AG2342" s="50"/>
      <c r="AH2342" s="171" t="s">
        <v>4178</v>
      </c>
      <c r="AI2342" s="168" t="str">
        <f t="shared" si="1019"/>
        <v/>
      </c>
      <c r="AJ2342" s="168" t="str">
        <f t="shared" si="1020"/>
        <v/>
      </c>
      <c r="AK2342" s="168" t="str">
        <f t="shared" si="1021"/>
        <v/>
      </c>
      <c r="AL2342" s="168" t="str">
        <f t="shared" si="1022"/>
        <v/>
      </c>
      <c r="AM2342" s="168" t="str">
        <f t="shared" si="1023"/>
        <v/>
      </c>
      <c r="AN2342" s="167" t="str">
        <f t="shared" si="1005"/>
        <v>2012</v>
      </c>
      <c r="AO2342" s="167" t="str">
        <f t="shared" si="1006"/>
        <v>2012</v>
      </c>
      <c r="AP2342" s="167" t="str">
        <f t="shared" si="1007"/>
        <v>2012</v>
      </c>
      <c r="AQ2342" s="169" t="str">
        <f t="shared" si="1008"/>
        <v/>
      </c>
      <c r="AR2342" s="170" t="str">
        <f t="shared" si="1009"/>
        <v>BiK83a3K12--08</v>
      </c>
      <c r="AS2342" s="169" t="str">
        <f t="shared" si="1010"/>
        <v/>
      </c>
      <c r="AT2342">
        <f t="shared" si="1011"/>
        <v>14</v>
      </c>
      <c r="AU2342" s="170" t="str">
        <f t="shared" si="1012"/>
        <v>0,5-5 MW, Bonusregeln a3 und K erstmals 2012</v>
      </c>
      <c r="AV2342" s="169" t="str">
        <f t="shared" si="1013"/>
        <v/>
      </c>
      <c r="AW2342" s="170" t="str">
        <f t="shared" si="1014"/>
        <v>Anteil KWK, erstmals 2012</v>
      </c>
      <c r="AX2342" s="169" t="str">
        <f t="shared" si="1015"/>
        <v/>
      </c>
      <c r="AY2342" t="str">
        <f t="shared" si="1016"/>
        <v/>
      </c>
      <c r="AZ2342" t="str">
        <f t="shared" si="1017"/>
        <v>x</v>
      </c>
    </row>
    <row r="2343" spans="1:52" s="145" customFormat="1" x14ac:dyDescent="0.35">
      <c r="A2343" s="496" t="s">
        <v>4837</v>
      </c>
      <c r="B2343" s="1" t="s">
        <v>5547</v>
      </c>
      <c r="C2343" s="1" t="s">
        <v>5539</v>
      </c>
      <c r="D2343" s="1" t="s">
        <v>6780</v>
      </c>
      <c r="E2343" s="1" t="s">
        <v>4809</v>
      </c>
      <c r="F2343" s="375">
        <f t="shared" si="1024"/>
        <v>10.38</v>
      </c>
      <c r="G2343" s="432">
        <v>10.38</v>
      </c>
      <c r="H2343" s="401">
        <f t="shared" si="1025"/>
        <v>8.3000000000000007</v>
      </c>
      <c r="I2343" s="578"/>
      <c r="J2343" s="549" t="s">
        <v>5804</v>
      </c>
      <c r="K2343" s="11"/>
      <c r="L2343"/>
      <c r="M2343" s="37">
        <f t="shared" si="1026"/>
        <v>10.38</v>
      </c>
      <c r="N2343" s="29">
        <v>8.3800000000000008</v>
      </c>
      <c r="O2343" s="41"/>
      <c r="P2343" s="59"/>
      <c r="Q2343"/>
      <c r="R2343"/>
      <c r="S2343" t="s">
        <v>4179</v>
      </c>
      <c r="T2343" s="145" t="s">
        <v>4179</v>
      </c>
      <c r="U2343" s="60"/>
      <c r="V2343" s="50"/>
      <c r="W2343"/>
      <c r="X2343"/>
      <c r="Y2343" s="50"/>
      <c r="Z2343" s="50"/>
      <c r="AA2343" s="50"/>
      <c r="AB2343" s="50"/>
      <c r="AC2343" s="50"/>
      <c r="AD2343" s="50"/>
      <c r="AE2343" s="75" t="s">
        <v>1017</v>
      </c>
      <c r="AF2343" s="50"/>
      <c r="AG2343" s="50"/>
      <c r="AH2343" s="166" t="str">
        <f>IF(ISERROR(SEARCH("K erstmals 201",D2343)),"",RIGHT(D2343,4))</f>
        <v/>
      </c>
      <c r="AI2343" s="168" t="str">
        <f t="shared" si="1019"/>
        <v/>
      </c>
      <c r="AJ2343" s="168" t="str">
        <f t="shared" si="1020"/>
        <v/>
      </c>
      <c r="AK2343" s="168" t="str">
        <f t="shared" si="1021"/>
        <v/>
      </c>
      <c r="AL2343" s="168" t="str">
        <f t="shared" si="1022"/>
        <v/>
      </c>
      <c r="AM2343" s="168" t="str">
        <f t="shared" si="1023"/>
        <v/>
      </c>
      <c r="AN2343" s="167" t="str">
        <f t="shared" si="1005"/>
        <v/>
      </c>
      <c r="AO2343" s="167" t="str">
        <f t="shared" si="1006"/>
        <v/>
      </c>
      <c r="AP2343" s="167" t="str">
        <f t="shared" si="1007"/>
        <v/>
      </c>
      <c r="AQ2343" s="169" t="str">
        <f t="shared" si="1008"/>
        <v/>
      </c>
      <c r="AR2343" s="170" t="str">
        <f t="shared" si="1009"/>
        <v>BiK83b------08</v>
      </c>
      <c r="AS2343" s="169" t="str">
        <f t="shared" si="1010"/>
        <v/>
      </c>
      <c r="AT2343">
        <f t="shared" si="1011"/>
        <v>14</v>
      </c>
      <c r="AU2343" s="170" t="str">
        <f t="shared" si="1012"/>
        <v>0,5-5 MW, Bonusregel b</v>
      </c>
      <c r="AV2343" s="169" t="str">
        <f t="shared" si="1013"/>
        <v/>
      </c>
      <c r="AW2343" s="170" t="str">
        <f t="shared" si="1014"/>
        <v>Anteil Nicht-KWK</v>
      </c>
      <c r="AX2343" s="169" t="str">
        <f t="shared" si="1015"/>
        <v/>
      </c>
      <c r="AY2343" t="str">
        <f t="shared" si="1016"/>
        <v/>
      </c>
      <c r="AZ2343" t="str">
        <f t="shared" si="1017"/>
        <v/>
      </c>
    </row>
    <row r="2344" spans="1:52" s="145" customFormat="1" x14ac:dyDescent="0.35">
      <c r="A2344" s="496" t="s">
        <v>4838</v>
      </c>
      <c r="B2344" s="1" t="s">
        <v>5547</v>
      </c>
      <c r="C2344" s="1" t="s">
        <v>5539</v>
      </c>
      <c r="D2344" s="1" t="s">
        <v>6781</v>
      </c>
      <c r="E2344" s="1" t="s">
        <v>4811</v>
      </c>
      <c r="F2344" s="375">
        <f t="shared" si="1024"/>
        <v>12.38</v>
      </c>
      <c r="G2344" s="432">
        <v>12.38</v>
      </c>
      <c r="H2344" s="401">
        <f t="shared" si="1025"/>
        <v>9.9</v>
      </c>
      <c r="I2344" s="578"/>
      <c r="J2344" s="549" t="s">
        <v>5804</v>
      </c>
      <c r="K2344" s="11"/>
      <c r="L2344"/>
      <c r="M2344" s="37">
        <f t="shared" si="1026"/>
        <v>12.38</v>
      </c>
      <c r="N2344" s="29">
        <v>8.3800000000000008</v>
      </c>
      <c r="O2344" s="41" t="s">
        <v>1017</v>
      </c>
      <c r="P2344" s="59"/>
      <c r="Q2344"/>
      <c r="R2344"/>
      <c r="S2344" t="s">
        <v>4179</v>
      </c>
      <c r="T2344" s="145" t="s">
        <v>4179</v>
      </c>
      <c r="U2344" s="60"/>
      <c r="V2344" s="50"/>
      <c r="W2344"/>
      <c r="X2344"/>
      <c r="Y2344" s="50"/>
      <c r="Z2344" s="50"/>
      <c r="AA2344" s="50"/>
      <c r="AB2344" s="50"/>
      <c r="AC2344" s="50"/>
      <c r="AD2344" s="50"/>
      <c r="AE2344" s="75" t="s">
        <v>1017</v>
      </c>
      <c r="AF2344" s="50"/>
      <c r="AG2344" s="50"/>
      <c r="AH2344" s="166" t="str">
        <f>IF(ISERROR(SEARCH("K erstmals 201",D2344)),"",RIGHT(D2344,4))</f>
        <v/>
      </c>
      <c r="AI2344" s="168" t="str">
        <f t="shared" si="1019"/>
        <v/>
      </c>
      <c r="AJ2344" s="168" t="str">
        <f t="shared" si="1020"/>
        <v/>
      </c>
      <c r="AK2344" s="168" t="str">
        <f t="shared" si="1021"/>
        <v/>
      </c>
      <c r="AL2344" s="168" t="str">
        <f t="shared" si="1022"/>
        <v/>
      </c>
      <c r="AM2344" s="168" t="str">
        <f t="shared" si="1023"/>
        <v/>
      </c>
      <c r="AN2344" s="167" t="str">
        <f t="shared" si="1005"/>
        <v/>
      </c>
      <c r="AO2344" s="167" t="str">
        <f t="shared" si="1006"/>
        <v/>
      </c>
      <c r="AP2344" s="167" t="str">
        <f t="shared" si="1007"/>
        <v/>
      </c>
      <c r="AQ2344" s="169" t="str">
        <f t="shared" si="1008"/>
        <v/>
      </c>
      <c r="AR2344" s="170" t="str">
        <f t="shared" si="1009"/>
        <v>BiK83bKWK---08</v>
      </c>
      <c r="AS2344" s="169" t="str">
        <f t="shared" si="1010"/>
        <v/>
      </c>
      <c r="AT2344">
        <f t="shared" si="1011"/>
        <v>14</v>
      </c>
      <c r="AU2344" s="170" t="str">
        <f t="shared" si="1012"/>
        <v>0,5-5 MW, Bonusregel b und KWK</v>
      </c>
      <c r="AV2344" s="169" t="str">
        <f t="shared" si="1013"/>
        <v/>
      </c>
      <c r="AW2344" s="170" t="str">
        <f t="shared" si="1014"/>
        <v>Anteil KWK</v>
      </c>
      <c r="AX2344" s="169" t="str">
        <f t="shared" si="1015"/>
        <v/>
      </c>
      <c r="AY2344" t="str">
        <f t="shared" si="1016"/>
        <v/>
      </c>
      <c r="AZ2344" t="str">
        <f t="shared" si="1017"/>
        <v/>
      </c>
    </row>
    <row r="2345" spans="1:52" x14ac:dyDescent="0.35">
      <c r="A2345" s="497" t="s">
        <v>961</v>
      </c>
      <c r="B2345" s="13" t="s">
        <v>5547</v>
      </c>
      <c r="C2345" s="13" t="s">
        <v>5539</v>
      </c>
      <c r="D2345" s="13" t="s">
        <v>6782</v>
      </c>
      <c r="E2345" s="13" t="s">
        <v>674</v>
      </c>
      <c r="F2345" s="373">
        <f t="shared" si="1024"/>
        <v>13.38</v>
      </c>
      <c r="G2345" s="430">
        <v>13.38</v>
      </c>
      <c r="H2345" s="399">
        <f t="shared" si="1025"/>
        <v>10.7</v>
      </c>
      <c r="I2345" s="576"/>
      <c r="J2345" s="549" t="s">
        <v>5804</v>
      </c>
      <c r="K2345" s="11"/>
      <c r="M2345" s="37">
        <f t="shared" si="1026"/>
        <v>13.38</v>
      </c>
      <c r="N2345" s="29">
        <v>8.3800000000000008</v>
      </c>
      <c r="O2345" s="41"/>
      <c r="P2345" s="59"/>
      <c r="Q2345" t="s">
        <v>1017</v>
      </c>
      <c r="S2345" t="s">
        <v>4179</v>
      </c>
      <c r="T2345" t="s">
        <v>4179</v>
      </c>
      <c r="U2345" s="60"/>
      <c r="V2345" s="50"/>
      <c r="Y2345" s="50"/>
      <c r="Z2345" s="50"/>
      <c r="AA2345" s="50"/>
      <c r="AB2345" s="50"/>
      <c r="AC2345" s="50"/>
      <c r="AD2345" s="50"/>
      <c r="AE2345" s="75" t="s">
        <v>1017</v>
      </c>
      <c r="AF2345" s="50"/>
      <c r="AG2345" s="50"/>
      <c r="AH2345" s="166" t="str">
        <f>IF(ISERROR(SEARCH("K erstmals 201",D2345)),"",RIGHT(D2345,4))</f>
        <v/>
      </c>
      <c r="AI2345" s="168" t="str">
        <f t="shared" si="1019"/>
        <v/>
      </c>
      <c r="AJ2345" s="168" t="str">
        <f t="shared" si="1020"/>
        <v/>
      </c>
      <c r="AK2345" s="168" t="str">
        <f t="shared" si="1021"/>
        <v/>
      </c>
      <c r="AL2345" s="168" t="str">
        <f t="shared" si="1022"/>
        <v/>
      </c>
      <c r="AM2345" s="168" t="str">
        <f t="shared" si="1023"/>
        <v/>
      </c>
      <c r="AN2345" s="167" t="str">
        <f t="shared" si="1005"/>
        <v/>
      </c>
      <c r="AO2345" s="167" t="str">
        <f t="shared" si="1006"/>
        <v/>
      </c>
      <c r="AP2345" s="167" t="str">
        <f t="shared" si="1007"/>
        <v/>
      </c>
      <c r="AQ2345" s="169" t="str">
        <f t="shared" si="1008"/>
        <v/>
      </c>
      <c r="AR2345" s="170" t="str">
        <f t="shared" si="1009"/>
        <v>BiK83bK09---08</v>
      </c>
      <c r="AS2345" s="169" t="str">
        <f t="shared" si="1010"/>
        <v/>
      </c>
      <c r="AT2345">
        <f t="shared" si="1011"/>
        <v>14</v>
      </c>
      <c r="AU2345" s="170" t="str">
        <f t="shared" si="1012"/>
        <v>0,5-5 MW, Bonusregel b und K erstmals 2009</v>
      </c>
      <c r="AV2345" s="169" t="str">
        <f t="shared" si="1013"/>
        <v/>
      </c>
      <c r="AW2345" s="170" t="str">
        <f t="shared" si="1014"/>
        <v>Anteil KWK, erstmals 2009</v>
      </c>
      <c r="AX2345" s="169" t="str">
        <f t="shared" si="1015"/>
        <v/>
      </c>
      <c r="AY2345" t="str">
        <f t="shared" si="1016"/>
        <v/>
      </c>
      <c r="AZ2345" t="str">
        <f t="shared" si="1017"/>
        <v/>
      </c>
    </row>
    <row r="2346" spans="1:52" x14ac:dyDescent="0.35">
      <c r="A2346" s="497" t="s">
        <v>3279</v>
      </c>
      <c r="B2346" s="13" t="s">
        <v>5547</v>
      </c>
      <c r="C2346" s="13" t="s">
        <v>5539</v>
      </c>
      <c r="D2346" s="13" t="s">
        <v>6783</v>
      </c>
      <c r="E2346" s="13" t="s">
        <v>3566</v>
      </c>
      <c r="F2346" s="373">
        <f t="shared" si="1024"/>
        <v>13.350000000000001</v>
      </c>
      <c r="G2346" s="430">
        <v>13.350000000000001</v>
      </c>
      <c r="H2346" s="399">
        <f t="shared" si="1025"/>
        <v>10.68</v>
      </c>
      <c r="I2346" s="576"/>
      <c r="J2346" s="549" t="s">
        <v>5804</v>
      </c>
      <c r="K2346" s="11"/>
      <c r="M2346" s="37">
        <f t="shared" si="1026"/>
        <v>13.350000000000001</v>
      </c>
      <c r="N2346" s="29">
        <v>8.3800000000000008</v>
      </c>
      <c r="O2346" s="41"/>
      <c r="P2346" s="59"/>
      <c r="R2346" t="s">
        <v>1017</v>
      </c>
      <c r="S2346" t="s">
        <v>4179</v>
      </c>
      <c r="T2346" t="s">
        <v>4179</v>
      </c>
      <c r="U2346" s="60"/>
      <c r="V2346" s="50"/>
      <c r="Y2346" s="50"/>
      <c r="Z2346" s="50"/>
      <c r="AA2346" s="50"/>
      <c r="AB2346" s="50"/>
      <c r="AC2346" s="50"/>
      <c r="AD2346" s="50"/>
      <c r="AE2346" s="75" t="s">
        <v>1017</v>
      </c>
      <c r="AF2346" s="50"/>
      <c r="AG2346" s="50"/>
      <c r="AH2346" s="166" t="str">
        <f>IF(ISERROR(SEARCH("K erstmals 201",D2346)),"",RIGHT(D2346,4))</f>
        <v>2010</v>
      </c>
      <c r="AI2346" s="168" t="str">
        <f t="shared" si="1019"/>
        <v/>
      </c>
      <c r="AJ2346" s="168" t="str">
        <f t="shared" si="1020"/>
        <v/>
      </c>
      <c r="AK2346" s="168" t="str">
        <f t="shared" si="1021"/>
        <v/>
      </c>
      <c r="AL2346" s="168" t="str">
        <f t="shared" si="1022"/>
        <v/>
      </c>
      <c r="AM2346" s="168" t="str">
        <f t="shared" si="1023"/>
        <v/>
      </c>
      <c r="AN2346" s="167" t="str">
        <f t="shared" si="1005"/>
        <v>2010</v>
      </c>
      <c r="AO2346" s="167" t="str">
        <f t="shared" si="1006"/>
        <v>2010</v>
      </c>
      <c r="AP2346" s="167" t="str">
        <f t="shared" si="1007"/>
        <v>2010</v>
      </c>
      <c r="AQ2346" s="169" t="str">
        <f t="shared" si="1008"/>
        <v/>
      </c>
      <c r="AR2346" s="170" t="str">
        <f t="shared" si="1009"/>
        <v>BiK83bK10---08</v>
      </c>
      <c r="AS2346" s="169" t="str">
        <f t="shared" si="1010"/>
        <v/>
      </c>
      <c r="AT2346">
        <f t="shared" si="1011"/>
        <v>14</v>
      </c>
      <c r="AU2346" s="170" t="str">
        <f t="shared" si="1012"/>
        <v>0,5-5 MW, Bonusregel b und K erstmals 2010</v>
      </c>
      <c r="AV2346" s="169" t="str">
        <f t="shared" si="1013"/>
        <v/>
      </c>
      <c r="AW2346" s="170" t="str">
        <f t="shared" si="1014"/>
        <v>Anteil KWK, erstmals 2010</v>
      </c>
      <c r="AX2346" s="169" t="str">
        <f t="shared" si="1015"/>
        <v/>
      </c>
      <c r="AY2346" t="str">
        <f t="shared" si="1016"/>
        <v/>
      </c>
      <c r="AZ2346" t="str">
        <f t="shared" si="1017"/>
        <v/>
      </c>
    </row>
    <row r="2347" spans="1:52" x14ac:dyDescent="0.35">
      <c r="A2347" s="497" t="s">
        <v>3484</v>
      </c>
      <c r="B2347" s="13" t="s">
        <v>5547</v>
      </c>
      <c r="C2347" s="13" t="s">
        <v>5539</v>
      </c>
      <c r="D2347" s="13" t="s">
        <v>6784</v>
      </c>
      <c r="E2347" s="13" t="s">
        <v>3054</v>
      </c>
      <c r="F2347" s="373">
        <f t="shared" si="1024"/>
        <v>13.32</v>
      </c>
      <c r="G2347" s="430">
        <v>13.32</v>
      </c>
      <c r="H2347" s="399">
        <f t="shared" si="1025"/>
        <v>10.66</v>
      </c>
      <c r="I2347" s="576"/>
      <c r="J2347" s="549" t="s">
        <v>5804</v>
      </c>
      <c r="K2347" s="11"/>
      <c r="M2347" s="37">
        <f t="shared" si="1026"/>
        <v>13.32</v>
      </c>
      <c r="N2347" s="29">
        <v>8.3800000000000008</v>
      </c>
      <c r="O2347" s="41"/>
      <c r="P2347" s="59"/>
      <c r="S2347" t="s">
        <v>1017</v>
      </c>
      <c r="T2347" t="s">
        <v>4179</v>
      </c>
      <c r="U2347" s="60"/>
      <c r="V2347" s="50"/>
      <c r="Y2347" s="50"/>
      <c r="Z2347" s="50"/>
      <c r="AA2347" s="50"/>
      <c r="AB2347" s="50"/>
      <c r="AC2347" s="50"/>
      <c r="AD2347" s="50"/>
      <c r="AE2347" s="75" t="s">
        <v>1017</v>
      </c>
      <c r="AF2347" s="50"/>
      <c r="AG2347" s="50"/>
      <c r="AH2347" s="166" t="str">
        <f>IF(ISERROR(SEARCH("K erstmals 201",D2347)),"",RIGHT(D2347,4))</f>
        <v>2011</v>
      </c>
      <c r="AI2347" s="168" t="str">
        <f t="shared" si="1019"/>
        <v/>
      </c>
      <c r="AJ2347" s="168" t="str">
        <f t="shared" si="1020"/>
        <v/>
      </c>
      <c r="AK2347" s="168" t="str">
        <f t="shared" si="1021"/>
        <v/>
      </c>
      <c r="AL2347" s="168" t="str">
        <f t="shared" si="1022"/>
        <v/>
      </c>
      <c r="AM2347" s="168" t="str">
        <f t="shared" si="1023"/>
        <v/>
      </c>
      <c r="AN2347" s="167" t="str">
        <f t="shared" si="1005"/>
        <v>2011</v>
      </c>
      <c r="AO2347" s="167" t="str">
        <f t="shared" si="1006"/>
        <v>2011</v>
      </c>
      <c r="AP2347" s="167" t="str">
        <f t="shared" si="1007"/>
        <v>2011</v>
      </c>
      <c r="AQ2347" s="169" t="str">
        <f t="shared" si="1008"/>
        <v/>
      </c>
      <c r="AR2347" s="170" t="str">
        <f t="shared" si="1009"/>
        <v>BiK83bK11---08</v>
      </c>
      <c r="AS2347" s="169" t="str">
        <f t="shared" si="1010"/>
        <v/>
      </c>
      <c r="AT2347">
        <f t="shared" si="1011"/>
        <v>14</v>
      </c>
      <c r="AU2347" s="170" t="str">
        <f t="shared" si="1012"/>
        <v>0,5-5 MW, Bonusregel b und K erstmals 2011</v>
      </c>
      <c r="AV2347" s="169" t="str">
        <f t="shared" si="1013"/>
        <v/>
      </c>
      <c r="AW2347" s="170" t="str">
        <f t="shared" si="1014"/>
        <v>Anteil KWK, erstmals 2011</v>
      </c>
      <c r="AX2347" s="169" t="str">
        <f t="shared" si="1015"/>
        <v/>
      </c>
      <c r="AY2347" t="str">
        <f t="shared" si="1016"/>
        <v>x</v>
      </c>
      <c r="AZ2347" t="str">
        <f t="shared" si="1017"/>
        <v/>
      </c>
    </row>
    <row r="2348" spans="1:52" x14ac:dyDescent="0.35">
      <c r="A2348" s="511" t="s">
        <v>1917</v>
      </c>
      <c r="B2348" s="173" t="s">
        <v>5547</v>
      </c>
      <c r="C2348" s="173" t="s">
        <v>5539</v>
      </c>
      <c r="D2348" s="173" t="s">
        <v>6785</v>
      </c>
      <c r="E2348" s="173" t="s">
        <v>1980</v>
      </c>
      <c r="F2348" s="374">
        <f t="shared" si="1024"/>
        <v>13.290000000000001</v>
      </c>
      <c r="G2348" s="431">
        <v>13.290000000000001</v>
      </c>
      <c r="H2348" s="400">
        <f t="shared" si="1025"/>
        <v>10.63</v>
      </c>
      <c r="I2348" s="577"/>
      <c r="J2348" s="549" t="s">
        <v>5804</v>
      </c>
      <c r="K2348" s="11"/>
      <c r="M2348" s="37">
        <f t="shared" si="1026"/>
        <v>13.290000000000001</v>
      </c>
      <c r="N2348" s="29">
        <v>8.3800000000000008</v>
      </c>
      <c r="O2348" s="41"/>
      <c r="P2348" s="59"/>
      <c r="S2348" t="s">
        <v>4179</v>
      </c>
      <c r="T2348" t="s">
        <v>1017</v>
      </c>
      <c r="U2348" s="60"/>
      <c r="V2348" s="50"/>
      <c r="Y2348" s="50"/>
      <c r="Z2348" s="50"/>
      <c r="AA2348" s="50"/>
      <c r="AB2348" s="50"/>
      <c r="AC2348" s="50"/>
      <c r="AD2348" s="50"/>
      <c r="AE2348" s="75" t="s">
        <v>1017</v>
      </c>
      <c r="AF2348" s="50"/>
      <c r="AG2348" s="50"/>
      <c r="AH2348" s="171" t="s">
        <v>4178</v>
      </c>
      <c r="AI2348" s="168" t="str">
        <f t="shared" si="1019"/>
        <v/>
      </c>
      <c r="AJ2348" s="168" t="str">
        <f t="shared" si="1020"/>
        <v/>
      </c>
      <c r="AK2348" s="168" t="str">
        <f t="shared" si="1021"/>
        <v/>
      </c>
      <c r="AL2348" s="168" t="str">
        <f t="shared" si="1022"/>
        <v/>
      </c>
      <c r="AM2348" s="168" t="str">
        <f t="shared" si="1023"/>
        <v/>
      </c>
      <c r="AN2348" s="167" t="str">
        <f t="shared" si="1005"/>
        <v>2012</v>
      </c>
      <c r="AO2348" s="167" t="str">
        <f t="shared" si="1006"/>
        <v>2012</v>
      </c>
      <c r="AP2348" s="167" t="str">
        <f t="shared" si="1007"/>
        <v>2012</v>
      </c>
      <c r="AQ2348" s="169" t="str">
        <f t="shared" si="1008"/>
        <v/>
      </c>
      <c r="AR2348" s="170" t="str">
        <f t="shared" si="1009"/>
        <v>BiK83bK12---08</v>
      </c>
      <c r="AS2348" s="169" t="str">
        <f t="shared" si="1010"/>
        <v/>
      </c>
      <c r="AT2348">
        <f t="shared" si="1011"/>
        <v>14</v>
      </c>
      <c r="AU2348" s="170" t="str">
        <f t="shared" si="1012"/>
        <v>0,5-5 MW, Bonusregel b und K erstmals 2012</v>
      </c>
      <c r="AV2348" s="169" t="str">
        <f t="shared" si="1013"/>
        <v/>
      </c>
      <c r="AW2348" s="170" t="str">
        <f t="shared" si="1014"/>
        <v>Anteil KWK, erstmals 2012</v>
      </c>
      <c r="AX2348" s="169" t="str">
        <f t="shared" si="1015"/>
        <v/>
      </c>
      <c r="AY2348" t="str">
        <f t="shared" si="1016"/>
        <v/>
      </c>
      <c r="AZ2348" t="str">
        <f t="shared" si="1017"/>
        <v>x</v>
      </c>
    </row>
    <row r="2349" spans="1:52" x14ac:dyDescent="0.35">
      <c r="A2349" s="496" t="s">
        <v>4839</v>
      </c>
      <c r="B2349" s="1" t="s">
        <v>5547</v>
      </c>
      <c r="C2349" s="1" t="s">
        <v>5539</v>
      </c>
      <c r="D2349" s="1" t="s">
        <v>6786</v>
      </c>
      <c r="E2349" s="1" t="s">
        <v>4809</v>
      </c>
      <c r="F2349" s="375">
        <f t="shared" si="1024"/>
        <v>14.38</v>
      </c>
      <c r="G2349" s="432">
        <v>14.38</v>
      </c>
      <c r="H2349" s="401">
        <f t="shared" si="1025"/>
        <v>11.5</v>
      </c>
      <c r="I2349" s="578"/>
      <c r="J2349" s="549" t="s">
        <v>5804</v>
      </c>
      <c r="K2349" s="11"/>
      <c r="M2349" s="37">
        <f t="shared" si="1026"/>
        <v>14.38</v>
      </c>
      <c r="N2349" s="29">
        <v>8.3800000000000008</v>
      </c>
      <c r="O2349" s="41"/>
      <c r="P2349" s="59"/>
      <c r="S2349" t="s">
        <v>4179</v>
      </c>
      <c r="T2349" t="s">
        <v>4179</v>
      </c>
      <c r="U2349" s="60"/>
      <c r="V2349" s="50"/>
      <c r="W2349" t="s">
        <v>1017</v>
      </c>
      <c r="Y2349" s="50"/>
      <c r="Z2349" s="50"/>
      <c r="AA2349" s="50"/>
      <c r="AB2349" s="50"/>
      <c r="AC2349" s="50"/>
      <c r="AD2349" s="50"/>
      <c r="AE2349" s="75" t="s">
        <v>1017</v>
      </c>
      <c r="AF2349" s="50"/>
      <c r="AG2349" s="50"/>
      <c r="AH2349" s="166" t="str">
        <f>IF(ISERROR(SEARCH("K erstmals 201",D2349)),"",RIGHT(D2349,4))</f>
        <v/>
      </c>
      <c r="AI2349" s="168" t="str">
        <f t="shared" si="1019"/>
        <v/>
      </c>
      <c r="AJ2349" s="168" t="str">
        <f t="shared" si="1020"/>
        <v/>
      </c>
      <c r="AK2349" s="168" t="str">
        <f t="shared" si="1021"/>
        <v/>
      </c>
      <c r="AL2349" s="168" t="str">
        <f t="shared" si="1022"/>
        <v/>
      </c>
      <c r="AM2349" s="168" t="str">
        <f t="shared" si="1023"/>
        <v/>
      </c>
      <c r="AN2349" s="167" t="str">
        <f t="shared" si="1005"/>
        <v/>
      </c>
      <c r="AO2349" s="167" t="str">
        <f t="shared" si="1006"/>
        <v/>
      </c>
      <c r="AP2349" s="167" t="str">
        <f t="shared" si="1007"/>
        <v/>
      </c>
      <c r="AQ2349" s="169" t="str">
        <f t="shared" si="1008"/>
        <v/>
      </c>
      <c r="AR2349" s="170" t="str">
        <f t="shared" si="1009"/>
        <v>BiK83a2b----08</v>
      </c>
      <c r="AS2349" s="169" t="str">
        <f t="shared" si="1010"/>
        <v/>
      </c>
      <c r="AT2349">
        <f t="shared" si="1011"/>
        <v>14</v>
      </c>
      <c r="AU2349" s="170" t="str">
        <f t="shared" si="1012"/>
        <v>0,5-5 MW, Bonusregeln a2 und b</v>
      </c>
      <c r="AV2349" s="169" t="str">
        <f t="shared" si="1013"/>
        <v/>
      </c>
      <c r="AW2349" s="170" t="str">
        <f t="shared" si="1014"/>
        <v>Anteil Nicht-KWK</v>
      </c>
      <c r="AX2349" s="169" t="str">
        <f t="shared" si="1015"/>
        <v/>
      </c>
      <c r="AY2349" t="str">
        <f t="shared" si="1016"/>
        <v/>
      </c>
      <c r="AZ2349" t="str">
        <f t="shared" si="1017"/>
        <v/>
      </c>
    </row>
    <row r="2350" spans="1:52" s="145" customFormat="1" x14ac:dyDescent="0.35">
      <c r="A2350" s="496" t="s">
        <v>4840</v>
      </c>
      <c r="B2350" s="1" t="s">
        <v>5547</v>
      </c>
      <c r="C2350" s="1" t="s">
        <v>5539</v>
      </c>
      <c r="D2350" s="1" t="s">
        <v>6787</v>
      </c>
      <c r="E2350" s="1" t="s">
        <v>4811</v>
      </c>
      <c r="F2350" s="375">
        <f t="shared" si="1024"/>
        <v>16.380000000000003</v>
      </c>
      <c r="G2350" s="432">
        <v>16.380000000000003</v>
      </c>
      <c r="H2350" s="401">
        <f t="shared" si="1025"/>
        <v>13.1</v>
      </c>
      <c r="I2350" s="578"/>
      <c r="J2350" s="549" t="s">
        <v>5804</v>
      </c>
      <c r="K2350" s="11"/>
      <c r="L2350"/>
      <c r="M2350" s="37">
        <f t="shared" si="1026"/>
        <v>16.380000000000003</v>
      </c>
      <c r="N2350" s="29">
        <v>8.3800000000000008</v>
      </c>
      <c r="O2350" s="41" t="s">
        <v>1017</v>
      </c>
      <c r="P2350" s="59"/>
      <c r="Q2350"/>
      <c r="R2350"/>
      <c r="S2350" t="s">
        <v>4179</v>
      </c>
      <c r="T2350" s="145" t="s">
        <v>4179</v>
      </c>
      <c r="U2350" s="60"/>
      <c r="V2350" s="50"/>
      <c r="W2350" t="s">
        <v>1017</v>
      </c>
      <c r="X2350"/>
      <c r="Y2350" s="50"/>
      <c r="Z2350" s="50"/>
      <c r="AA2350" s="50"/>
      <c r="AB2350" s="50"/>
      <c r="AC2350" s="50"/>
      <c r="AD2350" s="50"/>
      <c r="AE2350" s="75" t="s">
        <v>1017</v>
      </c>
      <c r="AF2350" s="50"/>
      <c r="AG2350" s="50"/>
      <c r="AH2350" s="166" t="str">
        <f>IF(ISERROR(SEARCH("K erstmals 201",D2350)),"",RIGHT(D2350,4))</f>
        <v/>
      </c>
      <c r="AI2350" s="168" t="str">
        <f t="shared" si="1019"/>
        <v/>
      </c>
      <c r="AJ2350" s="168" t="str">
        <f t="shared" si="1020"/>
        <v/>
      </c>
      <c r="AK2350" s="168" t="str">
        <f t="shared" si="1021"/>
        <v/>
      </c>
      <c r="AL2350" s="168" t="str">
        <f t="shared" si="1022"/>
        <v/>
      </c>
      <c r="AM2350" s="168" t="str">
        <f t="shared" si="1023"/>
        <v/>
      </c>
      <c r="AN2350" s="167" t="str">
        <f t="shared" si="1005"/>
        <v/>
      </c>
      <c r="AO2350" s="167" t="str">
        <f t="shared" si="1006"/>
        <v/>
      </c>
      <c r="AP2350" s="167" t="str">
        <f t="shared" si="1007"/>
        <v/>
      </c>
      <c r="AQ2350" s="169" t="str">
        <f t="shared" si="1008"/>
        <v/>
      </c>
      <c r="AR2350" s="170" t="str">
        <f t="shared" si="1009"/>
        <v>BiK83a2bKWK-08</v>
      </c>
      <c r="AS2350" s="169" t="str">
        <f t="shared" si="1010"/>
        <v/>
      </c>
      <c r="AT2350">
        <f t="shared" si="1011"/>
        <v>14</v>
      </c>
      <c r="AU2350" s="170" t="str">
        <f t="shared" si="1012"/>
        <v>0,5-5 MW, Bonusregeln a2, b und KWK</v>
      </c>
      <c r="AV2350" s="169" t="str">
        <f t="shared" si="1013"/>
        <v/>
      </c>
      <c r="AW2350" s="170" t="str">
        <f t="shared" si="1014"/>
        <v>Anteil KWK</v>
      </c>
      <c r="AX2350" s="169" t="str">
        <f t="shared" si="1015"/>
        <v/>
      </c>
      <c r="AY2350" t="str">
        <f t="shared" si="1016"/>
        <v/>
      </c>
      <c r="AZ2350" t="str">
        <f t="shared" si="1017"/>
        <v/>
      </c>
    </row>
    <row r="2351" spans="1:52" s="145" customFormat="1" x14ac:dyDescent="0.35">
      <c r="A2351" s="497" t="s">
        <v>962</v>
      </c>
      <c r="B2351" s="13" t="s">
        <v>5547</v>
      </c>
      <c r="C2351" s="13" t="s">
        <v>5539</v>
      </c>
      <c r="D2351" s="13" t="s">
        <v>6788</v>
      </c>
      <c r="E2351" s="13" t="s">
        <v>674</v>
      </c>
      <c r="F2351" s="373">
        <f t="shared" si="1024"/>
        <v>17.380000000000003</v>
      </c>
      <c r="G2351" s="430">
        <v>17.380000000000003</v>
      </c>
      <c r="H2351" s="399">
        <f t="shared" si="1025"/>
        <v>13.9</v>
      </c>
      <c r="I2351" s="576"/>
      <c r="J2351" s="549" t="s">
        <v>5804</v>
      </c>
      <c r="K2351" s="11"/>
      <c r="L2351"/>
      <c r="M2351" s="37">
        <f t="shared" si="1026"/>
        <v>17.380000000000003</v>
      </c>
      <c r="N2351" s="29">
        <v>8.3800000000000008</v>
      </c>
      <c r="O2351" s="41"/>
      <c r="P2351" s="59"/>
      <c r="Q2351" t="s">
        <v>1017</v>
      </c>
      <c r="R2351"/>
      <c r="S2351" t="s">
        <v>4179</v>
      </c>
      <c r="T2351" s="145" t="s">
        <v>4179</v>
      </c>
      <c r="U2351" s="60"/>
      <c r="V2351" s="50"/>
      <c r="W2351" t="s">
        <v>1017</v>
      </c>
      <c r="X2351"/>
      <c r="Y2351" s="50"/>
      <c r="Z2351" s="50"/>
      <c r="AA2351" s="50"/>
      <c r="AB2351" s="50"/>
      <c r="AC2351" s="50"/>
      <c r="AD2351" s="50"/>
      <c r="AE2351" s="75" t="s">
        <v>1017</v>
      </c>
      <c r="AF2351" s="50"/>
      <c r="AG2351" s="50"/>
      <c r="AH2351" s="166" t="str">
        <f>IF(ISERROR(SEARCH("K erstmals 201",D2351)),"",RIGHT(D2351,4))</f>
        <v/>
      </c>
      <c r="AI2351" s="168" t="str">
        <f t="shared" si="1019"/>
        <v/>
      </c>
      <c r="AJ2351" s="168" t="str">
        <f t="shared" si="1020"/>
        <v/>
      </c>
      <c r="AK2351" s="168" t="str">
        <f t="shared" si="1021"/>
        <v/>
      </c>
      <c r="AL2351" s="168" t="str">
        <f t="shared" si="1022"/>
        <v/>
      </c>
      <c r="AM2351" s="168" t="str">
        <f t="shared" si="1023"/>
        <v/>
      </c>
      <c r="AN2351" s="167" t="str">
        <f t="shared" si="1005"/>
        <v/>
      </c>
      <c r="AO2351" s="167" t="str">
        <f t="shared" si="1006"/>
        <v/>
      </c>
      <c r="AP2351" s="167" t="str">
        <f t="shared" si="1007"/>
        <v/>
      </c>
      <c r="AQ2351" s="169" t="str">
        <f t="shared" si="1008"/>
        <v/>
      </c>
      <c r="AR2351" s="170" t="str">
        <f t="shared" si="1009"/>
        <v>BiK83a2bK09-08</v>
      </c>
      <c r="AS2351" s="169" t="str">
        <f t="shared" si="1010"/>
        <v/>
      </c>
      <c r="AT2351">
        <f t="shared" si="1011"/>
        <v>14</v>
      </c>
      <c r="AU2351" s="170" t="str">
        <f t="shared" si="1012"/>
        <v>0,5-5 MW, Bonusregeln a2, b und K erstmals 2009</v>
      </c>
      <c r="AV2351" s="169" t="str">
        <f t="shared" si="1013"/>
        <v/>
      </c>
      <c r="AW2351" s="170" t="str">
        <f t="shared" si="1014"/>
        <v>Anteil KWK, erstmals 2009</v>
      </c>
      <c r="AX2351" s="169" t="str">
        <f t="shared" si="1015"/>
        <v/>
      </c>
      <c r="AY2351" t="str">
        <f t="shared" si="1016"/>
        <v/>
      </c>
      <c r="AZ2351" t="str">
        <f t="shared" si="1017"/>
        <v/>
      </c>
    </row>
    <row r="2352" spans="1:52" s="145" customFormat="1" x14ac:dyDescent="0.35">
      <c r="A2352" s="497" t="s">
        <v>3280</v>
      </c>
      <c r="B2352" s="13" t="s">
        <v>5547</v>
      </c>
      <c r="C2352" s="13" t="s">
        <v>5539</v>
      </c>
      <c r="D2352" s="13" t="s">
        <v>6789</v>
      </c>
      <c r="E2352" s="13" t="s">
        <v>3566</v>
      </c>
      <c r="F2352" s="373">
        <f t="shared" si="1024"/>
        <v>17.350000000000001</v>
      </c>
      <c r="G2352" s="430">
        <v>17.350000000000001</v>
      </c>
      <c r="H2352" s="399">
        <f t="shared" si="1025"/>
        <v>13.88</v>
      </c>
      <c r="I2352" s="576"/>
      <c r="J2352" s="549" t="s">
        <v>5804</v>
      </c>
      <c r="K2352" s="11"/>
      <c r="L2352"/>
      <c r="M2352" s="37">
        <f t="shared" si="1026"/>
        <v>17.350000000000001</v>
      </c>
      <c r="N2352" s="29">
        <v>8.3800000000000008</v>
      </c>
      <c r="O2352" s="41"/>
      <c r="P2352" s="59"/>
      <c r="Q2352"/>
      <c r="R2352" t="s">
        <v>1017</v>
      </c>
      <c r="S2352" t="s">
        <v>4179</v>
      </c>
      <c r="T2352" s="145" t="s">
        <v>4179</v>
      </c>
      <c r="U2352" s="60"/>
      <c r="V2352" s="50"/>
      <c r="W2352" t="s">
        <v>1017</v>
      </c>
      <c r="X2352"/>
      <c r="Y2352" s="50"/>
      <c r="Z2352" s="50"/>
      <c r="AA2352" s="50"/>
      <c r="AB2352" s="50"/>
      <c r="AC2352" s="50"/>
      <c r="AD2352" s="50"/>
      <c r="AE2352" s="75" t="s">
        <v>1017</v>
      </c>
      <c r="AF2352" s="50"/>
      <c r="AG2352" s="50"/>
      <c r="AH2352" s="166" t="str">
        <f>IF(ISERROR(SEARCH("K erstmals 201",D2352)),"",RIGHT(D2352,4))</f>
        <v>2010</v>
      </c>
      <c r="AI2352" s="168" t="str">
        <f t="shared" si="1019"/>
        <v/>
      </c>
      <c r="AJ2352" s="168" t="str">
        <f t="shared" si="1020"/>
        <v/>
      </c>
      <c r="AK2352" s="168" t="str">
        <f t="shared" si="1021"/>
        <v/>
      </c>
      <c r="AL2352" s="168" t="str">
        <f t="shared" si="1022"/>
        <v/>
      </c>
      <c r="AM2352" s="168" t="str">
        <f t="shared" si="1023"/>
        <v/>
      </c>
      <c r="AN2352" s="167" t="str">
        <f t="shared" si="1005"/>
        <v>2010</v>
      </c>
      <c r="AO2352" s="167" t="str">
        <f t="shared" si="1006"/>
        <v>2010</v>
      </c>
      <c r="AP2352" s="167" t="str">
        <f t="shared" si="1007"/>
        <v>2010</v>
      </c>
      <c r="AQ2352" s="169" t="str">
        <f t="shared" si="1008"/>
        <v/>
      </c>
      <c r="AR2352" s="170" t="str">
        <f t="shared" si="1009"/>
        <v>BiK83a2bK10-08</v>
      </c>
      <c r="AS2352" s="169" t="str">
        <f t="shared" si="1010"/>
        <v/>
      </c>
      <c r="AT2352">
        <f t="shared" si="1011"/>
        <v>14</v>
      </c>
      <c r="AU2352" s="170" t="str">
        <f t="shared" si="1012"/>
        <v>0,5-5 MW, Bonusregeln a2, b und K erstmals 2010</v>
      </c>
      <c r="AV2352" s="169" t="str">
        <f t="shared" si="1013"/>
        <v/>
      </c>
      <c r="AW2352" s="170" t="str">
        <f t="shared" si="1014"/>
        <v>Anteil KWK, erstmals 2010</v>
      </c>
      <c r="AX2352" s="169" t="str">
        <f t="shared" si="1015"/>
        <v/>
      </c>
      <c r="AY2352" t="str">
        <f t="shared" si="1016"/>
        <v/>
      </c>
      <c r="AZ2352" t="str">
        <f t="shared" si="1017"/>
        <v/>
      </c>
    </row>
    <row r="2353" spans="1:52" s="145" customFormat="1" x14ac:dyDescent="0.35">
      <c r="A2353" s="497" t="s">
        <v>3485</v>
      </c>
      <c r="B2353" s="13" t="s">
        <v>5547</v>
      </c>
      <c r="C2353" s="13" t="s">
        <v>5539</v>
      </c>
      <c r="D2353" s="13" t="s">
        <v>6790</v>
      </c>
      <c r="E2353" s="13" t="s">
        <v>3054</v>
      </c>
      <c r="F2353" s="373">
        <f t="shared" si="1024"/>
        <v>17.32</v>
      </c>
      <c r="G2353" s="430">
        <v>17.32</v>
      </c>
      <c r="H2353" s="399">
        <f t="shared" si="1025"/>
        <v>13.86</v>
      </c>
      <c r="I2353" s="576"/>
      <c r="J2353" s="549" t="s">
        <v>5804</v>
      </c>
      <c r="K2353" s="11"/>
      <c r="L2353"/>
      <c r="M2353" s="37">
        <f t="shared" si="1026"/>
        <v>17.32</v>
      </c>
      <c r="N2353" s="29">
        <v>8.3800000000000008</v>
      </c>
      <c r="O2353" s="41"/>
      <c r="P2353" s="59"/>
      <c r="Q2353"/>
      <c r="R2353"/>
      <c r="S2353" t="s">
        <v>1017</v>
      </c>
      <c r="T2353" s="145" t="s">
        <v>4179</v>
      </c>
      <c r="U2353" s="60"/>
      <c r="V2353" s="50"/>
      <c r="W2353" t="s">
        <v>1017</v>
      </c>
      <c r="X2353"/>
      <c r="Y2353" s="50"/>
      <c r="Z2353" s="50"/>
      <c r="AA2353" s="50"/>
      <c r="AB2353" s="50"/>
      <c r="AC2353" s="50"/>
      <c r="AD2353" s="50"/>
      <c r="AE2353" s="75" t="s">
        <v>1017</v>
      </c>
      <c r="AF2353" s="50"/>
      <c r="AG2353" s="50"/>
      <c r="AH2353" s="166" t="str">
        <f>IF(ISERROR(SEARCH("K erstmals 201",D2353)),"",RIGHT(D2353,4))</f>
        <v>2011</v>
      </c>
      <c r="AI2353" s="168" t="str">
        <f t="shared" si="1019"/>
        <v/>
      </c>
      <c r="AJ2353" s="168" t="str">
        <f t="shared" si="1020"/>
        <v/>
      </c>
      <c r="AK2353" s="168" t="str">
        <f t="shared" si="1021"/>
        <v/>
      </c>
      <c r="AL2353" s="168" t="str">
        <f t="shared" si="1022"/>
        <v/>
      </c>
      <c r="AM2353" s="168" t="str">
        <f t="shared" si="1023"/>
        <v/>
      </c>
      <c r="AN2353" s="167" t="str">
        <f t="shared" si="1005"/>
        <v>2011</v>
      </c>
      <c r="AO2353" s="167" t="str">
        <f t="shared" si="1006"/>
        <v>2011</v>
      </c>
      <c r="AP2353" s="167" t="str">
        <f t="shared" si="1007"/>
        <v>2011</v>
      </c>
      <c r="AQ2353" s="169" t="str">
        <f t="shared" si="1008"/>
        <v/>
      </c>
      <c r="AR2353" s="170" t="str">
        <f t="shared" si="1009"/>
        <v>BiK83a2bK11-08</v>
      </c>
      <c r="AS2353" s="169" t="str">
        <f t="shared" si="1010"/>
        <v/>
      </c>
      <c r="AT2353">
        <f t="shared" si="1011"/>
        <v>14</v>
      </c>
      <c r="AU2353" s="170" t="str">
        <f t="shared" si="1012"/>
        <v>0,5-5 MW, Bonusregeln a2, b und K erstmals 2011</v>
      </c>
      <c r="AV2353" s="169" t="str">
        <f t="shared" si="1013"/>
        <v/>
      </c>
      <c r="AW2353" s="170" t="str">
        <f t="shared" si="1014"/>
        <v>Anteil KWK, erstmals 2011</v>
      </c>
      <c r="AX2353" s="169" t="str">
        <f t="shared" si="1015"/>
        <v/>
      </c>
      <c r="AY2353" t="str">
        <f t="shared" si="1016"/>
        <v>x</v>
      </c>
      <c r="AZ2353" t="str">
        <f t="shared" si="1017"/>
        <v/>
      </c>
    </row>
    <row r="2354" spans="1:52" s="145" customFormat="1" x14ac:dyDescent="0.35">
      <c r="A2354" s="511" t="s">
        <v>1918</v>
      </c>
      <c r="B2354" s="173" t="s">
        <v>5547</v>
      </c>
      <c r="C2354" s="173" t="s">
        <v>5539</v>
      </c>
      <c r="D2354" s="173" t="s">
        <v>6791</v>
      </c>
      <c r="E2354" s="173" t="s">
        <v>1980</v>
      </c>
      <c r="F2354" s="374">
        <f t="shared" si="1024"/>
        <v>17.29</v>
      </c>
      <c r="G2354" s="431">
        <v>17.29</v>
      </c>
      <c r="H2354" s="400">
        <f t="shared" si="1025"/>
        <v>13.83</v>
      </c>
      <c r="I2354" s="577"/>
      <c r="J2354" s="549" t="s">
        <v>5804</v>
      </c>
      <c r="K2354" s="11"/>
      <c r="L2354"/>
      <c r="M2354" s="37">
        <f t="shared" si="1026"/>
        <v>17.29</v>
      </c>
      <c r="N2354" s="29">
        <v>8.3800000000000008</v>
      </c>
      <c r="O2354" s="41"/>
      <c r="P2354" s="59"/>
      <c r="Q2354"/>
      <c r="R2354"/>
      <c r="S2354" t="s">
        <v>4179</v>
      </c>
      <c r="T2354" s="145" t="s">
        <v>1017</v>
      </c>
      <c r="U2354" s="60"/>
      <c r="V2354" s="50"/>
      <c r="W2354" t="s">
        <v>1017</v>
      </c>
      <c r="X2354"/>
      <c r="Y2354" s="50"/>
      <c r="Z2354" s="50"/>
      <c r="AA2354" s="50"/>
      <c r="AB2354" s="50"/>
      <c r="AC2354" s="50"/>
      <c r="AD2354" s="50"/>
      <c r="AE2354" s="75" t="s">
        <v>1017</v>
      </c>
      <c r="AF2354" s="50"/>
      <c r="AG2354" s="50"/>
      <c r="AH2354" s="171" t="s">
        <v>4178</v>
      </c>
      <c r="AI2354" s="168" t="str">
        <f t="shared" si="1019"/>
        <v/>
      </c>
      <c r="AJ2354" s="168" t="str">
        <f t="shared" si="1020"/>
        <v/>
      </c>
      <c r="AK2354" s="168" t="str">
        <f t="shared" si="1021"/>
        <v/>
      </c>
      <c r="AL2354" s="168" t="str">
        <f t="shared" si="1022"/>
        <v/>
      </c>
      <c r="AM2354" s="168" t="str">
        <f t="shared" si="1023"/>
        <v/>
      </c>
      <c r="AN2354" s="167" t="str">
        <f t="shared" si="1005"/>
        <v>2012</v>
      </c>
      <c r="AO2354" s="167" t="str">
        <f t="shared" si="1006"/>
        <v>2012</v>
      </c>
      <c r="AP2354" s="167" t="str">
        <f t="shared" si="1007"/>
        <v>2012</v>
      </c>
      <c r="AQ2354" s="169" t="str">
        <f t="shared" si="1008"/>
        <v/>
      </c>
      <c r="AR2354" s="170" t="str">
        <f t="shared" si="1009"/>
        <v>BiK83a2bK12-08</v>
      </c>
      <c r="AS2354" s="169" t="str">
        <f t="shared" si="1010"/>
        <v/>
      </c>
      <c r="AT2354">
        <f t="shared" si="1011"/>
        <v>14</v>
      </c>
      <c r="AU2354" s="170" t="str">
        <f t="shared" si="1012"/>
        <v>0,5-5 MW, Bonusregeln a2, b und K erstmals 2012</v>
      </c>
      <c r="AV2354" s="169" t="str">
        <f t="shared" si="1013"/>
        <v/>
      </c>
      <c r="AW2354" s="170" t="str">
        <f t="shared" si="1014"/>
        <v>Anteil KWK, erstmals 2012</v>
      </c>
      <c r="AX2354" s="169" t="str">
        <f t="shared" si="1015"/>
        <v/>
      </c>
      <c r="AY2354" t="str">
        <f t="shared" si="1016"/>
        <v/>
      </c>
      <c r="AZ2354" t="str">
        <f t="shared" si="1017"/>
        <v>x</v>
      </c>
    </row>
    <row r="2355" spans="1:52" s="145" customFormat="1" x14ac:dyDescent="0.35">
      <c r="A2355" s="496" t="s">
        <v>4841</v>
      </c>
      <c r="B2355" s="1" t="s">
        <v>5547</v>
      </c>
      <c r="C2355" s="1" t="s">
        <v>5539</v>
      </c>
      <c r="D2355" s="1" t="s">
        <v>6792</v>
      </c>
      <c r="E2355" s="1" t="s">
        <v>4809</v>
      </c>
      <c r="F2355" s="375">
        <f t="shared" si="1024"/>
        <v>12.88</v>
      </c>
      <c r="G2355" s="432">
        <v>12.88</v>
      </c>
      <c r="H2355" s="401">
        <f t="shared" si="1025"/>
        <v>10.3</v>
      </c>
      <c r="I2355" s="578"/>
      <c r="J2355" s="549" t="s">
        <v>5804</v>
      </c>
      <c r="K2355" s="11"/>
      <c r="L2355"/>
      <c r="M2355" s="37">
        <f t="shared" si="1026"/>
        <v>12.88</v>
      </c>
      <c r="N2355" s="29">
        <v>8.3800000000000008</v>
      </c>
      <c r="O2355" s="41"/>
      <c r="P2355" s="59"/>
      <c r="Q2355"/>
      <c r="R2355"/>
      <c r="S2355" t="s">
        <v>4179</v>
      </c>
      <c r="T2355" s="145" t="s">
        <v>4179</v>
      </c>
      <c r="U2355" s="60"/>
      <c r="V2355" s="50"/>
      <c r="W2355"/>
      <c r="X2355" t="s">
        <v>1017</v>
      </c>
      <c r="Y2355" s="50"/>
      <c r="Z2355" s="50"/>
      <c r="AA2355" s="50"/>
      <c r="AB2355" s="50"/>
      <c r="AC2355" s="50"/>
      <c r="AD2355" s="50"/>
      <c r="AE2355" s="75" t="s">
        <v>1017</v>
      </c>
      <c r="AF2355" s="50"/>
      <c r="AG2355" s="50"/>
      <c r="AH2355" s="166" t="str">
        <f>IF(ISERROR(SEARCH("K erstmals 201",D2355)),"",RIGHT(D2355,4))</f>
        <v/>
      </c>
      <c r="AI2355" s="168" t="str">
        <f t="shared" si="1019"/>
        <v/>
      </c>
      <c r="AJ2355" s="168" t="str">
        <f t="shared" si="1020"/>
        <v/>
      </c>
      <c r="AK2355" s="168" t="str">
        <f t="shared" si="1021"/>
        <v/>
      </c>
      <c r="AL2355" s="168" t="str">
        <f t="shared" si="1022"/>
        <v/>
      </c>
      <c r="AM2355" s="168" t="str">
        <f t="shared" si="1023"/>
        <v/>
      </c>
      <c r="AN2355" s="167" t="str">
        <f t="shared" si="1005"/>
        <v/>
      </c>
      <c r="AO2355" s="167" t="str">
        <f t="shared" si="1006"/>
        <v/>
      </c>
      <c r="AP2355" s="167" t="str">
        <f t="shared" si="1007"/>
        <v/>
      </c>
      <c r="AQ2355" s="169" t="str">
        <f t="shared" si="1008"/>
        <v/>
      </c>
      <c r="AR2355" s="170" t="str">
        <f t="shared" si="1009"/>
        <v>BiK83a3b----08</v>
      </c>
      <c r="AS2355" s="169" t="str">
        <f t="shared" si="1010"/>
        <v/>
      </c>
      <c r="AT2355">
        <f t="shared" si="1011"/>
        <v>14</v>
      </c>
      <c r="AU2355" s="170" t="str">
        <f t="shared" si="1012"/>
        <v>0,5-5 MW, Bonusregeln a3 und b</v>
      </c>
      <c r="AV2355" s="169" t="str">
        <f t="shared" si="1013"/>
        <v/>
      </c>
      <c r="AW2355" s="170" t="str">
        <f t="shared" si="1014"/>
        <v>Anteil Nicht-KWK</v>
      </c>
      <c r="AX2355" s="169" t="str">
        <f t="shared" si="1015"/>
        <v/>
      </c>
      <c r="AY2355" t="str">
        <f t="shared" si="1016"/>
        <v/>
      </c>
      <c r="AZ2355" t="str">
        <f t="shared" si="1017"/>
        <v/>
      </c>
    </row>
    <row r="2356" spans="1:52" s="145" customFormat="1" x14ac:dyDescent="0.35">
      <c r="A2356" s="496" t="s">
        <v>4842</v>
      </c>
      <c r="B2356" s="1" t="s">
        <v>5547</v>
      </c>
      <c r="C2356" s="1" t="s">
        <v>5539</v>
      </c>
      <c r="D2356" s="1" t="s">
        <v>6793</v>
      </c>
      <c r="E2356" s="1" t="s">
        <v>4811</v>
      </c>
      <c r="F2356" s="375">
        <f t="shared" si="1024"/>
        <v>14.88</v>
      </c>
      <c r="G2356" s="432">
        <v>14.88</v>
      </c>
      <c r="H2356" s="401">
        <f t="shared" si="1025"/>
        <v>11.9</v>
      </c>
      <c r="I2356" s="578"/>
      <c r="J2356" s="549" t="s">
        <v>5804</v>
      </c>
      <c r="K2356" s="11"/>
      <c r="L2356"/>
      <c r="M2356" s="37">
        <f t="shared" si="1026"/>
        <v>14.88</v>
      </c>
      <c r="N2356" s="29">
        <v>8.3800000000000008</v>
      </c>
      <c r="O2356" s="41" t="s">
        <v>1017</v>
      </c>
      <c r="P2356" s="59"/>
      <c r="Q2356"/>
      <c r="R2356"/>
      <c r="S2356" t="s">
        <v>4179</v>
      </c>
      <c r="T2356" s="145" t="s">
        <v>4179</v>
      </c>
      <c r="U2356" s="60"/>
      <c r="V2356" s="50"/>
      <c r="W2356"/>
      <c r="X2356" t="s">
        <v>1017</v>
      </c>
      <c r="Y2356" s="50"/>
      <c r="Z2356" s="50"/>
      <c r="AA2356" s="50"/>
      <c r="AB2356" s="50"/>
      <c r="AC2356" s="50"/>
      <c r="AD2356" s="50"/>
      <c r="AE2356" s="75" t="s">
        <v>1017</v>
      </c>
      <c r="AF2356" s="50"/>
      <c r="AG2356" s="50"/>
      <c r="AH2356" s="166" t="str">
        <f>IF(ISERROR(SEARCH("K erstmals 201",D2356)),"",RIGHT(D2356,4))</f>
        <v/>
      </c>
      <c r="AI2356" s="168" t="str">
        <f t="shared" si="1019"/>
        <v/>
      </c>
      <c r="AJ2356" s="168" t="str">
        <f t="shared" si="1020"/>
        <v/>
      </c>
      <c r="AK2356" s="168" t="str">
        <f t="shared" si="1021"/>
        <v/>
      </c>
      <c r="AL2356" s="168" t="str">
        <f t="shared" si="1022"/>
        <v/>
      </c>
      <c r="AM2356" s="168" t="str">
        <f t="shared" si="1023"/>
        <v/>
      </c>
      <c r="AN2356" s="167" t="str">
        <f t="shared" si="1005"/>
        <v/>
      </c>
      <c r="AO2356" s="167" t="str">
        <f t="shared" si="1006"/>
        <v/>
      </c>
      <c r="AP2356" s="167" t="str">
        <f t="shared" si="1007"/>
        <v/>
      </c>
      <c r="AQ2356" s="169" t="str">
        <f t="shared" si="1008"/>
        <v/>
      </c>
      <c r="AR2356" s="170" t="str">
        <f t="shared" si="1009"/>
        <v>BiK83a3bKWK-08</v>
      </c>
      <c r="AS2356" s="169" t="str">
        <f t="shared" si="1010"/>
        <v/>
      </c>
      <c r="AT2356">
        <f t="shared" si="1011"/>
        <v>14</v>
      </c>
      <c r="AU2356" s="170" t="str">
        <f t="shared" si="1012"/>
        <v>0,5-5 MW, Bonusregeln a3, b und KWK</v>
      </c>
      <c r="AV2356" s="169" t="str">
        <f t="shared" si="1013"/>
        <v/>
      </c>
      <c r="AW2356" s="170" t="str">
        <f t="shared" si="1014"/>
        <v>Anteil KWK</v>
      </c>
      <c r="AX2356" s="169" t="str">
        <f t="shared" si="1015"/>
        <v/>
      </c>
      <c r="AY2356" t="str">
        <f t="shared" si="1016"/>
        <v/>
      </c>
      <c r="AZ2356" t="str">
        <f t="shared" si="1017"/>
        <v/>
      </c>
    </row>
    <row r="2357" spans="1:52" s="145" customFormat="1" x14ac:dyDescent="0.35">
      <c r="A2357" s="497" t="s">
        <v>963</v>
      </c>
      <c r="B2357" s="13" t="s">
        <v>5547</v>
      </c>
      <c r="C2357" s="13" t="s">
        <v>5539</v>
      </c>
      <c r="D2357" s="13" t="s">
        <v>6794</v>
      </c>
      <c r="E2357" s="13" t="s">
        <v>674</v>
      </c>
      <c r="F2357" s="373">
        <f t="shared" si="1024"/>
        <v>15.88</v>
      </c>
      <c r="G2357" s="430">
        <v>15.88</v>
      </c>
      <c r="H2357" s="399">
        <f t="shared" si="1025"/>
        <v>12.7</v>
      </c>
      <c r="I2357" s="576"/>
      <c r="J2357" s="549" t="s">
        <v>5804</v>
      </c>
      <c r="K2357" s="11"/>
      <c r="L2357"/>
      <c r="M2357" s="37">
        <f t="shared" si="1026"/>
        <v>15.88</v>
      </c>
      <c r="N2357" s="29">
        <v>8.3800000000000008</v>
      </c>
      <c r="O2357" s="41"/>
      <c r="P2357" s="59"/>
      <c r="Q2357" t="s">
        <v>1017</v>
      </c>
      <c r="R2357"/>
      <c r="S2357" t="s">
        <v>4179</v>
      </c>
      <c r="T2357" s="145" t="s">
        <v>4179</v>
      </c>
      <c r="U2357" s="60"/>
      <c r="V2357" s="50"/>
      <c r="W2357"/>
      <c r="X2357" t="s">
        <v>1017</v>
      </c>
      <c r="Y2357" s="50"/>
      <c r="Z2357" s="50"/>
      <c r="AA2357" s="50"/>
      <c r="AB2357" s="50"/>
      <c r="AC2357" s="50"/>
      <c r="AD2357" s="50"/>
      <c r="AE2357" s="75" t="s">
        <v>1017</v>
      </c>
      <c r="AF2357" s="50"/>
      <c r="AG2357" s="50"/>
      <c r="AH2357" s="166" t="str">
        <f>IF(ISERROR(SEARCH("K erstmals 201",D2357)),"",RIGHT(D2357,4))</f>
        <v/>
      </c>
      <c r="AI2357" s="168" t="str">
        <f t="shared" si="1019"/>
        <v/>
      </c>
      <c r="AJ2357" s="168" t="str">
        <f t="shared" si="1020"/>
        <v/>
      </c>
      <c r="AK2357" s="168" t="str">
        <f t="shared" si="1021"/>
        <v/>
      </c>
      <c r="AL2357" s="168" t="str">
        <f t="shared" si="1022"/>
        <v/>
      </c>
      <c r="AM2357" s="168" t="str">
        <f t="shared" si="1023"/>
        <v/>
      </c>
      <c r="AN2357" s="167" t="str">
        <f t="shared" si="1005"/>
        <v/>
      </c>
      <c r="AO2357" s="167" t="str">
        <f t="shared" si="1006"/>
        <v/>
      </c>
      <c r="AP2357" s="167" t="str">
        <f t="shared" si="1007"/>
        <v/>
      </c>
      <c r="AQ2357" s="169" t="str">
        <f t="shared" si="1008"/>
        <v/>
      </c>
      <c r="AR2357" s="170" t="str">
        <f t="shared" si="1009"/>
        <v>BiK83a3bK09-08</v>
      </c>
      <c r="AS2357" s="169" t="str">
        <f t="shared" si="1010"/>
        <v/>
      </c>
      <c r="AT2357">
        <f t="shared" si="1011"/>
        <v>14</v>
      </c>
      <c r="AU2357" s="170" t="str">
        <f t="shared" si="1012"/>
        <v>0,5-5 MW, Bonusregeln a3, b und K erstmals 2009</v>
      </c>
      <c r="AV2357" s="169" t="str">
        <f t="shared" si="1013"/>
        <v/>
      </c>
      <c r="AW2357" s="170" t="str">
        <f t="shared" si="1014"/>
        <v>Anteil KWK, erstmals 2009</v>
      </c>
      <c r="AX2357" s="169" t="str">
        <f t="shared" si="1015"/>
        <v/>
      </c>
      <c r="AY2357" t="str">
        <f t="shared" si="1016"/>
        <v/>
      </c>
      <c r="AZ2357" t="str">
        <f t="shared" si="1017"/>
        <v/>
      </c>
    </row>
    <row r="2358" spans="1:52" s="145" customFormat="1" x14ac:dyDescent="0.35">
      <c r="A2358" s="497" t="s">
        <v>3281</v>
      </c>
      <c r="B2358" s="13" t="s">
        <v>5547</v>
      </c>
      <c r="C2358" s="13" t="s">
        <v>5539</v>
      </c>
      <c r="D2358" s="13" t="s">
        <v>6795</v>
      </c>
      <c r="E2358" s="13" t="s">
        <v>3566</v>
      </c>
      <c r="F2358" s="373">
        <f t="shared" si="1024"/>
        <v>15.850000000000001</v>
      </c>
      <c r="G2358" s="430">
        <v>15.850000000000001</v>
      </c>
      <c r="H2358" s="399">
        <f t="shared" si="1025"/>
        <v>12.68</v>
      </c>
      <c r="I2358" s="576"/>
      <c r="J2358" s="549" t="s">
        <v>5804</v>
      </c>
      <c r="K2358" s="11"/>
      <c r="L2358"/>
      <c r="M2358" s="37">
        <f t="shared" si="1026"/>
        <v>15.850000000000001</v>
      </c>
      <c r="N2358" s="29">
        <v>8.3800000000000008</v>
      </c>
      <c r="O2358" s="41"/>
      <c r="P2358" s="59"/>
      <c r="Q2358"/>
      <c r="R2358" t="s">
        <v>1017</v>
      </c>
      <c r="S2358" t="s">
        <v>4179</v>
      </c>
      <c r="T2358" s="145" t="s">
        <v>4179</v>
      </c>
      <c r="U2358" s="60"/>
      <c r="V2358" s="50"/>
      <c r="W2358"/>
      <c r="X2358" t="s">
        <v>1017</v>
      </c>
      <c r="Y2358" s="50"/>
      <c r="Z2358" s="50"/>
      <c r="AA2358" s="50"/>
      <c r="AB2358" s="50"/>
      <c r="AC2358" s="50"/>
      <c r="AD2358" s="50"/>
      <c r="AE2358" s="75" t="s">
        <v>1017</v>
      </c>
      <c r="AF2358" s="50"/>
      <c r="AG2358" s="50"/>
      <c r="AH2358" s="166" t="str">
        <f>IF(ISERROR(SEARCH("K erstmals 201",D2358)),"",RIGHT(D2358,4))</f>
        <v>2010</v>
      </c>
      <c r="AI2358" s="168" t="str">
        <f t="shared" si="1019"/>
        <v/>
      </c>
      <c r="AJ2358" s="168" t="str">
        <f t="shared" si="1020"/>
        <v/>
      </c>
      <c r="AK2358" s="168" t="str">
        <f t="shared" si="1021"/>
        <v/>
      </c>
      <c r="AL2358" s="168" t="str">
        <f t="shared" si="1022"/>
        <v/>
      </c>
      <c r="AM2358" s="168" t="str">
        <f t="shared" si="1023"/>
        <v/>
      </c>
      <c r="AN2358" s="167" t="str">
        <f t="shared" si="1005"/>
        <v>2010</v>
      </c>
      <c r="AO2358" s="167" t="str">
        <f t="shared" si="1006"/>
        <v>2010</v>
      </c>
      <c r="AP2358" s="167" t="str">
        <f t="shared" si="1007"/>
        <v>2010</v>
      </c>
      <c r="AQ2358" s="169" t="str">
        <f t="shared" si="1008"/>
        <v/>
      </c>
      <c r="AR2358" s="170" t="str">
        <f t="shared" si="1009"/>
        <v>BiK83a3bK10-08</v>
      </c>
      <c r="AS2358" s="169" t="str">
        <f t="shared" si="1010"/>
        <v/>
      </c>
      <c r="AT2358">
        <f t="shared" si="1011"/>
        <v>14</v>
      </c>
      <c r="AU2358" s="170" t="str">
        <f t="shared" si="1012"/>
        <v>0,5-5 MW, Bonusregeln a3, b und K erstmals 2010</v>
      </c>
      <c r="AV2358" s="169" t="str">
        <f t="shared" si="1013"/>
        <v/>
      </c>
      <c r="AW2358" s="170" t="str">
        <f t="shared" si="1014"/>
        <v>Anteil KWK, erstmals 2010</v>
      </c>
      <c r="AX2358" s="169" t="str">
        <f t="shared" si="1015"/>
        <v/>
      </c>
      <c r="AY2358" t="str">
        <f t="shared" si="1016"/>
        <v/>
      </c>
      <c r="AZ2358" t="str">
        <f t="shared" si="1017"/>
        <v/>
      </c>
    </row>
    <row r="2359" spans="1:52" x14ac:dyDescent="0.35">
      <c r="A2359" s="497" t="s">
        <v>3486</v>
      </c>
      <c r="B2359" s="13" t="s">
        <v>5547</v>
      </c>
      <c r="C2359" s="13" t="s">
        <v>5539</v>
      </c>
      <c r="D2359" s="13" t="s">
        <v>6796</v>
      </c>
      <c r="E2359" s="13" t="s">
        <v>3054</v>
      </c>
      <c r="F2359" s="373">
        <f t="shared" si="1024"/>
        <v>15.82</v>
      </c>
      <c r="G2359" s="430">
        <v>15.82</v>
      </c>
      <c r="H2359" s="399">
        <f t="shared" si="1025"/>
        <v>12.66</v>
      </c>
      <c r="I2359" s="576"/>
      <c r="J2359" s="549" t="s">
        <v>5804</v>
      </c>
      <c r="K2359" s="11"/>
      <c r="M2359" s="37">
        <f t="shared" si="1026"/>
        <v>15.82</v>
      </c>
      <c r="N2359" s="29">
        <v>8.3800000000000008</v>
      </c>
      <c r="O2359" s="41"/>
      <c r="P2359" s="59"/>
      <c r="S2359" t="s">
        <v>1017</v>
      </c>
      <c r="T2359" t="s">
        <v>4179</v>
      </c>
      <c r="U2359" s="60"/>
      <c r="V2359" s="50"/>
      <c r="X2359" t="s">
        <v>1017</v>
      </c>
      <c r="Y2359" s="50"/>
      <c r="Z2359" s="50"/>
      <c r="AA2359" s="50"/>
      <c r="AB2359" s="50"/>
      <c r="AC2359" s="50"/>
      <c r="AD2359" s="50"/>
      <c r="AE2359" s="75" t="s">
        <v>1017</v>
      </c>
      <c r="AF2359" s="50"/>
      <c r="AG2359" s="50"/>
      <c r="AH2359" s="166" t="str">
        <f>IF(ISERROR(SEARCH("K erstmals 201",D2359)),"",RIGHT(D2359,4))</f>
        <v>2011</v>
      </c>
      <c r="AI2359" s="168" t="str">
        <f t="shared" si="1019"/>
        <v/>
      </c>
      <c r="AJ2359" s="168" t="str">
        <f t="shared" si="1020"/>
        <v/>
      </c>
      <c r="AK2359" s="168" t="str">
        <f t="shared" si="1021"/>
        <v/>
      </c>
      <c r="AL2359" s="168" t="str">
        <f t="shared" si="1022"/>
        <v/>
      </c>
      <c r="AM2359" s="168" t="str">
        <f t="shared" si="1023"/>
        <v/>
      </c>
      <c r="AN2359" s="167" t="str">
        <f t="shared" si="1005"/>
        <v>2011</v>
      </c>
      <c r="AO2359" s="167" t="str">
        <f t="shared" si="1006"/>
        <v>2011</v>
      </c>
      <c r="AP2359" s="167" t="str">
        <f t="shared" si="1007"/>
        <v>2011</v>
      </c>
      <c r="AQ2359" s="169" t="str">
        <f t="shared" si="1008"/>
        <v/>
      </c>
      <c r="AR2359" s="170" t="str">
        <f t="shared" si="1009"/>
        <v>BiK83a3bK11-08</v>
      </c>
      <c r="AS2359" s="169" t="str">
        <f t="shared" si="1010"/>
        <v/>
      </c>
      <c r="AT2359">
        <f t="shared" si="1011"/>
        <v>14</v>
      </c>
      <c r="AU2359" s="170" t="str">
        <f t="shared" si="1012"/>
        <v>0,5-5 MW, Bonusregeln a3, b und K erstmals 2011</v>
      </c>
      <c r="AV2359" s="169" t="str">
        <f t="shared" si="1013"/>
        <v/>
      </c>
      <c r="AW2359" s="170" t="str">
        <f t="shared" si="1014"/>
        <v>Anteil KWK, erstmals 2011</v>
      </c>
      <c r="AX2359" s="169" t="str">
        <f t="shared" si="1015"/>
        <v/>
      </c>
      <c r="AY2359" t="str">
        <f t="shared" si="1016"/>
        <v>x</v>
      </c>
      <c r="AZ2359" t="str">
        <f t="shared" si="1017"/>
        <v/>
      </c>
    </row>
    <row r="2360" spans="1:52" x14ac:dyDescent="0.35">
      <c r="A2360" s="511" t="s">
        <v>1919</v>
      </c>
      <c r="B2360" s="173" t="s">
        <v>5547</v>
      </c>
      <c r="C2360" s="173" t="s">
        <v>5539</v>
      </c>
      <c r="D2360" s="173" t="s">
        <v>6797</v>
      </c>
      <c r="E2360" s="173" t="s">
        <v>1980</v>
      </c>
      <c r="F2360" s="374">
        <f t="shared" si="1024"/>
        <v>15.790000000000001</v>
      </c>
      <c r="G2360" s="431">
        <v>15.790000000000001</v>
      </c>
      <c r="H2360" s="400">
        <f t="shared" si="1025"/>
        <v>12.63</v>
      </c>
      <c r="I2360" s="577"/>
      <c r="J2360" s="549" t="s">
        <v>5804</v>
      </c>
      <c r="K2360" s="11"/>
      <c r="M2360" s="37">
        <f t="shared" si="1026"/>
        <v>15.790000000000001</v>
      </c>
      <c r="N2360" s="29">
        <v>8.3800000000000008</v>
      </c>
      <c r="O2360" s="41"/>
      <c r="P2360" s="59"/>
      <c r="S2360" t="s">
        <v>4179</v>
      </c>
      <c r="T2360" t="s">
        <v>1017</v>
      </c>
      <c r="U2360" s="60"/>
      <c r="V2360" s="50"/>
      <c r="X2360" t="s">
        <v>1017</v>
      </c>
      <c r="Y2360" s="50"/>
      <c r="Z2360" s="50"/>
      <c r="AA2360" s="50"/>
      <c r="AB2360" s="50"/>
      <c r="AC2360" s="50"/>
      <c r="AD2360" s="50"/>
      <c r="AE2360" s="75" t="s">
        <v>1017</v>
      </c>
      <c r="AF2360" s="50"/>
      <c r="AG2360" s="50"/>
      <c r="AH2360" s="171" t="s">
        <v>4178</v>
      </c>
      <c r="AI2360" s="168" t="str">
        <f t="shared" si="1019"/>
        <v/>
      </c>
      <c r="AJ2360" s="168" t="str">
        <f t="shared" si="1020"/>
        <v/>
      </c>
      <c r="AK2360" s="168" t="str">
        <f t="shared" si="1021"/>
        <v/>
      </c>
      <c r="AL2360" s="168" t="str">
        <f t="shared" si="1022"/>
        <v/>
      </c>
      <c r="AM2360" s="168" t="str">
        <f t="shared" si="1023"/>
        <v/>
      </c>
      <c r="AN2360" s="167" t="str">
        <f t="shared" si="1005"/>
        <v>2012</v>
      </c>
      <c r="AO2360" s="167" t="str">
        <f t="shared" si="1006"/>
        <v>2012</v>
      </c>
      <c r="AP2360" s="167" t="str">
        <f t="shared" si="1007"/>
        <v>2012</v>
      </c>
      <c r="AQ2360" s="169" t="str">
        <f t="shared" si="1008"/>
        <v/>
      </c>
      <c r="AR2360" s="170" t="str">
        <f t="shared" si="1009"/>
        <v>BiK83a3bK12-08</v>
      </c>
      <c r="AS2360" s="169" t="str">
        <f t="shared" si="1010"/>
        <v/>
      </c>
      <c r="AT2360">
        <f t="shared" si="1011"/>
        <v>14</v>
      </c>
      <c r="AU2360" s="170" t="str">
        <f t="shared" si="1012"/>
        <v>0,5-5 MW, Bonusregeln a3, b und K erstmals 2012</v>
      </c>
      <c r="AV2360" s="169" t="str">
        <f t="shared" si="1013"/>
        <v/>
      </c>
      <c r="AW2360" s="170" t="str">
        <f t="shared" si="1014"/>
        <v>Anteil KWK, erstmals 2012</v>
      </c>
      <c r="AX2360" s="169" t="str">
        <f t="shared" si="1015"/>
        <v/>
      </c>
      <c r="AY2360" t="str">
        <f t="shared" si="1016"/>
        <v/>
      </c>
      <c r="AZ2360" t="str">
        <f t="shared" si="1017"/>
        <v>x</v>
      </c>
    </row>
    <row r="2361" spans="1:52" x14ac:dyDescent="0.35">
      <c r="A2361" s="496" t="s">
        <v>4843</v>
      </c>
      <c r="B2361" s="1" t="s">
        <v>5547</v>
      </c>
      <c r="C2361" s="1" t="s">
        <v>5539</v>
      </c>
      <c r="D2361" s="1" t="s">
        <v>1776</v>
      </c>
      <c r="E2361" s="1" t="s">
        <v>4809</v>
      </c>
      <c r="F2361" s="375">
        <f t="shared" si="1024"/>
        <v>7.91</v>
      </c>
      <c r="G2361" s="432">
        <v>7.91</v>
      </c>
      <c r="H2361" s="401">
        <f t="shared" si="1025"/>
        <v>6.33</v>
      </c>
      <c r="I2361" s="578"/>
      <c r="J2361" s="549" t="s">
        <v>5804</v>
      </c>
      <c r="K2361" s="11"/>
      <c r="M2361" s="37">
        <f t="shared" si="1026"/>
        <v>7.91</v>
      </c>
      <c r="N2361" s="29">
        <v>7.91</v>
      </c>
      <c r="O2361" s="41"/>
      <c r="P2361" s="59"/>
      <c r="S2361" t="s">
        <v>4179</v>
      </c>
      <c r="T2361" t="s">
        <v>4179</v>
      </c>
      <c r="U2361" s="60"/>
      <c r="V2361" s="50"/>
      <c r="W2361" s="50"/>
      <c r="X2361" s="50"/>
      <c r="Y2361" s="50"/>
      <c r="Z2361" s="50"/>
      <c r="AA2361" s="50"/>
      <c r="AB2361" s="50"/>
      <c r="AC2361" s="50"/>
      <c r="AD2361" s="50"/>
      <c r="AE2361" s="154"/>
      <c r="AF2361" s="50"/>
      <c r="AG2361" s="50"/>
      <c r="AH2361" s="166" t="str">
        <f>IF(ISERROR(SEARCH("K erstmals 201",D2361)),"",RIGHT(D2361,4))</f>
        <v/>
      </c>
      <c r="AI2361" s="168" t="str">
        <f t="shared" si="1019"/>
        <v/>
      </c>
      <c r="AJ2361" s="168" t="str">
        <f t="shared" si="1020"/>
        <v/>
      </c>
      <c r="AK2361" s="168" t="str">
        <f t="shared" si="1021"/>
        <v/>
      </c>
      <c r="AL2361" s="168" t="str">
        <f t="shared" si="1022"/>
        <v/>
      </c>
      <c r="AM2361" s="168" t="str">
        <f t="shared" si="1023"/>
        <v/>
      </c>
      <c r="AN2361" s="167" t="str">
        <f t="shared" si="1005"/>
        <v/>
      </c>
      <c r="AO2361" s="167" t="str">
        <f t="shared" si="1006"/>
        <v/>
      </c>
      <c r="AP2361" s="167" t="str">
        <f t="shared" si="1007"/>
        <v/>
      </c>
      <c r="AQ2361" s="169" t="str">
        <f t="shared" si="1008"/>
        <v/>
      </c>
      <c r="AR2361" s="170" t="str">
        <f t="shared" si="1009"/>
        <v>BiK84-------08</v>
      </c>
      <c r="AS2361" s="169" t="str">
        <f t="shared" si="1010"/>
        <v/>
      </c>
      <c r="AT2361">
        <f t="shared" si="1011"/>
        <v>14</v>
      </c>
      <c r="AU2361" s="170" t="str">
        <f t="shared" si="1012"/>
        <v>5-20 MW</v>
      </c>
      <c r="AV2361" s="169" t="str">
        <f t="shared" si="1013"/>
        <v/>
      </c>
      <c r="AW2361" s="170" t="str">
        <f t="shared" si="1014"/>
        <v>Anteil Nicht-KWK</v>
      </c>
      <c r="AX2361" s="169" t="str">
        <f t="shared" si="1015"/>
        <v/>
      </c>
      <c r="AY2361" t="str">
        <f t="shared" si="1016"/>
        <v/>
      </c>
      <c r="AZ2361" t="str">
        <f t="shared" si="1017"/>
        <v/>
      </c>
    </row>
    <row r="2362" spans="1:52" x14ac:dyDescent="0.35">
      <c r="A2362" s="496" t="s">
        <v>4844</v>
      </c>
      <c r="B2362" s="1" t="s">
        <v>5547</v>
      </c>
      <c r="C2362" s="1" t="s">
        <v>5539</v>
      </c>
      <c r="D2362" s="1" t="s">
        <v>7362</v>
      </c>
      <c r="E2362" s="1" t="s">
        <v>4811</v>
      </c>
      <c r="F2362" s="375">
        <f t="shared" si="1024"/>
        <v>9.91</v>
      </c>
      <c r="G2362" s="432">
        <v>9.91</v>
      </c>
      <c r="H2362" s="401">
        <f t="shared" si="1025"/>
        <v>7.93</v>
      </c>
      <c r="I2362" s="578"/>
      <c r="J2362" s="549" t="s">
        <v>5804</v>
      </c>
      <c r="K2362" s="11"/>
      <c r="M2362" s="37">
        <f t="shared" si="1026"/>
        <v>9.91</v>
      </c>
      <c r="N2362" s="29">
        <v>7.91</v>
      </c>
      <c r="O2362" s="41" t="s">
        <v>1017</v>
      </c>
      <c r="P2362" s="59"/>
      <c r="S2362" t="s">
        <v>4179</v>
      </c>
      <c r="T2362" t="s">
        <v>4179</v>
      </c>
      <c r="U2362" s="60"/>
      <c r="V2362" s="50"/>
      <c r="W2362" s="50"/>
      <c r="X2362" s="50"/>
      <c r="Y2362" s="50"/>
      <c r="Z2362" s="50"/>
      <c r="AA2362" s="50"/>
      <c r="AB2362" s="50"/>
      <c r="AC2362" s="50"/>
      <c r="AD2362" s="50"/>
      <c r="AE2362" s="154"/>
      <c r="AF2362" s="50"/>
      <c r="AG2362" s="50"/>
      <c r="AH2362" s="166" t="str">
        <f>IF(ISERROR(SEARCH("K erstmals 201",D2362)),"",RIGHT(D2362,4))</f>
        <v/>
      </c>
      <c r="AI2362" s="168" t="str">
        <f t="shared" si="1019"/>
        <v/>
      </c>
      <c r="AJ2362" s="168" t="str">
        <f t="shared" si="1020"/>
        <v/>
      </c>
      <c r="AK2362" s="168" t="str">
        <f t="shared" si="1021"/>
        <v/>
      </c>
      <c r="AL2362" s="168" t="str">
        <f t="shared" si="1022"/>
        <v/>
      </c>
      <c r="AM2362" s="168" t="str">
        <f t="shared" si="1023"/>
        <v/>
      </c>
      <c r="AN2362" s="167" t="str">
        <f t="shared" si="1005"/>
        <v/>
      </c>
      <c r="AO2362" s="167" t="str">
        <f t="shared" si="1006"/>
        <v/>
      </c>
      <c r="AP2362" s="167" t="str">
        <f t="shared" si="1007"/>
        <v/>
      </c>
      <c r="AQ2362" s="169" t="str">
        <f t="shared" si="1008"/>
        <v/>
      </c>
      <c r="AR2362" s="170" t="str">
        <f t="shared" si="1009"/>
        <v>BiK84KWK----08</v>
      </c>
      <c r="AS2362" s="169" t="str">
        <f t="shared" si="1010"/>
        <v/>
      </c>
      <c r="AT2362">
        <f t="shared" si="1011"/>
        <v>14</v>
      </c>
      <c r="AU2362" s="170" t="str">
        <f t="shared" si="1012"/>
        <v>5-20 MW, Bonusregel KWK</v>
      </c>
      <c r="AV2362" s="169" t="str">
        <f t="shared" si="1013"/>
        <v/>
      </c>
      <c r="AW2362" s="170" t="str">
        <f t="shared" si="1014"/>
        <v>Anteil KWK</v>
      </c>
      <c r="AX2362" s="169" t="str">
        <f t="shared" si="1015"/>
        <v/>
      </c>
      <c r="AY2362" t="str">
        <f t="shared" si="1016"/>
        <v/>
      </c>
      <c r="AZ2362" t="str">
        <f t="shared" si="1017"/>
        <v/>
      </c>
    </row>
    <row r="2363" spans="1:52" x14ac:dyDescent="0.35">
      <c r="A2363" s="497" t="s">
        <v>964</v>
      </c>
      <c r="B2363" s="13" t="s">
        <v>5547</v>
      </c>
      <c r="C2363" s="13" t="s">
        <v>5539</v>
      </c>
      <c r="D2363" s="13" t="s">
        <v>7358</v>
      </c>
      <c r="E2363" s="13" t="s">
        <v>674</v>
      </c>
      <c r="F2363" s="373">
        <f t="shared" si="1024"/>
        <v>10.91</v>
      </c>
      <c r="G2363" s="430">
        <v>10.91</v>
      </c>
      <c r="H2363" s="399">
        <f t="shared" si="1025"/>
        <v>8.73</v>
      </c>
      <c r="I2363" s="576"/>
      <c r="J2363" s="549" t="s">
        <v>5804</v>
      </c>
      <c r="K2363" s="11"/>
      <c r="M2363" s="37">
        <f t="shared" si="1026"/>
        <v>10.91</v>
      </c>
      <c r="N2363" s="29">
        <v>7.91</v>
      </c>
      <c r="O2363" s="41"/>
      <c r="P2363" s="59"/>
      <c r="Q2363" t="s">
        <v>1017</v>
      </c>
      <c r="S2363" t="s">
        <v>4179</v>
      </c>
      <c r="T2363" t="s">
        <v>4179</v>
      </c>
      <c r="U2363" s="60"/>
      <c r="V2363" s="50"/>
      <c r="W2363" s="50"/>
      <c r="X2363" s="50"/>
      <c r="Y2363" s="50"/>
      <c r="Z2363" s="50"/>
      <c r="AA2363" s="50"/>
      <c r="AB2363" s="50"/>
      <c r="AC2363" s="50"/>
      <c r="AD2363" s="50"/>
      <c r="AE2363" s="154"/>
      <c r="AF2363" s="50"/>
      <c r="AG2363" s="50"/>
      <c r="AH2363" s="166" t="str">
        <f>IF(ISERROR(SEARCH("K erstmals 201",D2363)),"",RIGHT(D2363,4))</f>
        <v/>
      </c>
      <c r="AI2363" s="168" t="str">
        <f t="shared" si="1019"/>
        <v/>
      </c>
      <c r="AJ2363" s="168" t="str">
        <f t="shared" si="1020"/>
        <v/>
      </c>
      <c r="AK2363" s="168" t="str">
        <f t="shared" si="1021"/>
        <v/>
      </c>
      <c r="AL2363" s="168" t="str">
        <f t="shared" si="1022"/>
        <v/>
      </c>
      <c r="AM2363" s="168" t="str">
        <f t="shared" si="1023"/>
        <v/>
      </c>
      <c r="AN2363" s="167" t="str">
        <f t="shared" si="1005"/>
        <v/>
      </c>
      <c r="AO2363" s="167" t="str">
        <f t="shared" si="1006"/>
        <v/>
      </c>
      <c r="AP2363" s="167" t="str">
        <f t="shared" si="1007"/>
        <v/>
      </c>
      <c r="AQ2363" s="169" t="str">
        <f t="shared" si="1008"/>
        <v/>
      </c>
      <c r="AR2363" s="170" t="str">
        <f t="shared" si="1009"/>
        <v>BiK84K09----08</v>
      </c>
      <c r="AS2363" s="169" t="str">
        <f t="shared" si="1010"/>
        <v/>
      </c>
      <c r="AT2363">
        <f t="shared" si="1011"/>
        <v>14</v>
      </c>
      <c r="AU2363" s="170" t="str">
        <f t="shared" si="1012"/>
        <v>5-20 MW, Bonusregel K erstmals 2009</v>
      </c>
      <c r="AV2363" s="169" t="str">
        <f t="shared" si="1013"/>
        <v/>
      </c>
      <c r="AW2363" s="170" t="str">
        <f t="shared" si="1014"/>
        <v>Anteil KWK, erstmals 2009</v>
      </c>
      <c r="AX2363" s="169" t="str">
        <f t="shared" si="1015"/>
        <v/>
      </c>
      <c r="AY2363" t="str">
        <f t="shared" si="1016"/>
        <v/>
      </c>
      <c r="AZ2363" t="str">
        <f t="shared" si="1017"/>
        <v/>
      </c>
    </row>
    <row r="2364" spans="1:52" s="145" customFormat="1" x14ac:dyDescent="0.35">
      <c r="A2364" s="497" t="s">
        <v>3282</v>
      </c>
      <c r="B2364" s="13" t="s">
        <v>5547</v>
      </c>
      <c r="C2364" s="13" t="s">
        <v>5539</v>
      </c>
      <c r="D2364" s="13" t="s">
        <v>7359</v>
      </c>
      <c r="E2364" s="13" t="s">
        <v>3566</v>
      </c>
      <c r="F2364" s="373">
        <f t="shared" si="1024"/>
        <v>10.88</v>
      </c>
      <c r="G2364" s="430">
        <v>10.88</v>
      </c>
      <c r="H2364" s="399">
        <f t="shared" si="1025"/>
        <v>8.6999999999999993</v>
      </c>
      <c r="I2364" s="576"/>
      <c r="J2364" s="549" t="s">
        <v>5804</v>
      </c>
      <c r="K2364" s="11"/>
      <c r="L2364"/>
      <c r="M2364" s="37">
        <f t="shared" si="1026"/>
        <v>10.88</v>
      </c>
      <c r="N2364" s="29">
        <v>7.91</v>
      </c>
      <c r="O2364" s="41"/>
      <c r="P2364" s="59"/>
      <c r="Q2364"/>
      <c r="R2364" t="s">
        <v>1017</v>
      </c>
      <c r="S2364" t="s">
        <v>4179</v>
      </c>
      <c r="T2364" s="145" t="s">
        <v>4179</v>
      </c>
      <c r="U2364" s="60"/>
      <c r="V2364" s="50"/>
      <c r="W2364" s="50"/>
      <c r="X2364" s="50"/>
      <c r="Y2364" s="50"/>
      <c r="Z2364" s="50"/>
      <c r="AA2364" s="50"/>
      <c r="AB2364" s="50"/>
      <c r="AC2364" s="50"/>
      <c r="AD2364" s="50"/>
      <c r="AE2364" s="154"/>
      <c r="AF2364" s="50"/>
      <c r="AG2364" s="50"/>
      <c r="AH2364" s="166" t="str">
        <f>IF(ISERROR(SEARCH("K erstmals 201",D2364)),"",RIGHT(D2364,4))</f>
        <v>2010</v>
      </c>
      <c r="AI2364" s="168" t="str">
        <f t="shared" si="1019"/>
        <v/>
      </c>
      <c r="AJ2364" s="168" t="str">
        <f t="shared" si="1020"/>
        <v/>
      </c>
      <c r="AK2364" s="168" t="str">
        <f t="shared" si="1021"/>
        <v/>
      </c>
      <c r="AL2364" s="168" t="str">
        <f t="shared" si="1022"/>
        <v/>
      </c>
      <c r="AM2364" s="168" t="str">
        <f t="shared" si="1023"/>
        <v/>
      </c>
      <c r="AN2364" s="167" t="str">
        <f t="shared" si="1005"/>
        <v>2010</v>
      </c>
      <c r="AO2364" s="167" t="str">
        <f t="shared" si="1006"/>
        <v>2010</v>
      </c>
      <c r="AP2364" s="167" t="str">
        <f t="shared" si="1007"/>
        <v>2010</v>
      </c>
      <c r="AQ2364" s="169" t="str">
        <f t="shared" si="1008"/>
        <v/>
      </c>
      <c r="AR2364" s="170" t="str">
        <f t="shared" si="1009"/>
        <v>BiK84K10----08</v>
      </c>
      <c r="AS2364" s="169" t="str">
        <f t="shared" si="1010"/>
        <v/>
      </c>
      <c r="AT2364">
        <f t="shared" si="1011"/>
        <v>14</v>
      </c>
      <c r="AU2364" s="170" t="str">
        <f t="shared" si="1012"/>
        <v>5-20 MW, Bonusregel K erstmals 2010</v>
      </c>
      <c r="AV2364" s="169" t="str">
        <f t="shared" si="1013"/>
        <v/>
      </c>
      <c r="AW2364" s="170" t="str">
        <f t="shared" si="1014"/>
        <v>Anteil KWK, erstmals 2010</v>
      </c>
      <c r="AX2364" s="169" t="str">
        <f t="shared" si="1015"/>
        <v/>
      </c>
      <c r="AY2364" t="str">
        <f t="shared" si="1016"/>
        <v/>
      </c>
      <c r="AZ2364" t="str">
        <f t="shared" si="1017"/>
        <v/>
      </c>
    </row>
    <row r="2365" spans="1:52" s="145" customFormat="1" x14ac:dyDescent="0.35">
      <c r="A2365" s="497" t="s">
        <v>3487</v>
      </c>
      <c r="B2365" s="13" t="s">
        <v>5547</v>
      </c>
      <c r="C2365" s="13" t="s">
        <v>5539</v>
      </c>
      <c r="D2365" s="13" t="s">
        <v>7360</v>
      </c>
      <c r="E2365" s="13" t="s">
        <v>3054</v>
      </c>
      <c r="F2365" s="373">
        <f t="shared" si="1024"/>
        <v>10.85</v>
      </c>
      <c r="G2365" s="430">
        <v>10.85</v>
      </c>
      <c r="H2365" s="399">
        <f t="shared" si="1025"/>
        <v>8.68</v>
      </c>
      <c r="I2365" s="576"/>
      <c r="J2365" s="549" t="s">
        <v>5804</v>
      </c>
      <c r="K2365" s="11"/>
      <c r="L2365"/>
      <c r="M2365" s="37">
        <f t="shared" si="1026"/>
        <v>10.85</v>
      </c>
      <c r="N2365" s="29">
        <v>7.91</v>
      </c>
      <c r="O2365" s="41"/>
      <c r="P2365" s="59"/>
      <c r="Q2365"/>
      <c r="R2365"/>
      <c r="S2365" t="s">
        <v>1017</v>
      </c>
      <c r="T2365" s="145" t="s">
        <v>4179</v>
      </c>
      <c r="U2365" s="60"/>
      <c r="V2365" s="50"/>
      <c r="W2365" s="50"/>
      <c r="X2365" s="50"/>
      <c r="Y2365" s="50"/>
      <c r="Z2365" s="50"/>
      <c r="AA2365" s="50"/>
      <c r="AB2365" s="50"/>
      <c r="AC2365" s="50"/>
      <c r="AD2365" s="50"/>
      <c r="AE2365" s="154"/>
      <c r="AF2365" s="50"/>
      <c r="AG2365" s="50"/>
      <c r="AH2365" s="166" t="str">
        <f>IF(ISERROR(SEARCH("K erstmals 201",D2365)),"",RIGHT(D2365,4))</f>
        <v>2011</v>
      </c>
      <c r="AI2365" s="168" t="str">
        <f t="shared" si="1019"/>
        <v/>
      </c>
      <c r="AJ2365" s="168" t="str">
        <f t="shared" si="1020"/>
        <v/>
      </c>
      <c r="AK2365" s="168" t="str">
        <f t="shared" si="1021"/>
        <v/>
      </c>
      <c r="AL2365" s="168" t="str">
        <f t="shared" si="1022"/>
        <v/>
      </c>
      <c r="AM2365" s="168" t="str">
        <f t="shared" si="1023"/>
        <v/>
      </c>
      <c r="AN2365" s="167" t="str">
        <f t="shared" si="1005"/>
        <v>2011</v>
      </c>
      <c r="AO2365" s="167" t="str">
        <f t="shared" si="1006"/>
        <v>2011</v>
      </c>
      <c r="AP2365" s="167" t="str">
        <f t="shared" si="1007"/>
        <v>2011</v>
      </c>
      <c r="AQ2365" s="169" t="str">
        <f t="shared" si="1008"/>
        <v/>
      </c>
      <c r="AR2365" s="170" t="str">
        <f t="shared" si="1009"/>
        <v>BiK84K11----08</v>
      </c>
      <c r="AS2365" s="169" t="str">
        <f t="shared" si="1010"/>
        <v/>
      </c>
      <c r="AT2365">
        <f t="shared" si="1011"/>
        <v>14</v>
      </c>
      <c r="AU2365" s="170" t="str">
        <f t="shared" si="1012"/>
        <v>5-20 MW, Bonusregel K erstmals 2011</v>
      </c>
      <c r="AV2365" s="169" t="str">
        <f t="shared" si="1013"/>
        <v/>
      </c>
      <c r="AW2365" s="170" t="str">
        <f t="shared" si="1014"/>
        <v>Anteil KWK, erstmals 2011</v>
      </c>
      <c r="AX2365" s="169" t="str">
        <f t="shared" si="1015"/>
        <v/>
      </c>
      <c r="AY2365" t="str">
        <f t="shared" si="1016"/>
        <v>x</v>
      </c>
      <c r="AZ2365" t="str">
        <f t="shared" si="1017"/>
        <v/>
      </c>
    </row>
    <row r="2366" spans="1:52" s="145" customFormat="1" x14ac:dyDescent="0.35">
      <c r="A2366" s="511" t="s">
        <v>1920</v>
      </c>
      <c r="B2366" s="173" t="s">
        <v>5547</v>
      </c>
      <c r="C2366" s="173" t="s">
        <v>5539</v>
      </c>
      <c r="D2366" s="173" t="s">
        <v>7361</v>
      </c>
      <c r="E2366" s="173" t="s">
        <v>1980</v>
      </c>
      <c r="F2366" s="374">
        <f t="shared" si="1024"/>
        <v>10.82</v>
      </c>
      <c r="G2366" s="431">
        <v>10.82</v>
      </c>
      <c r="H2366" s="400">
        <f t="shared" si="1025"/>
        <v>8.66</v>
      </c>
      <c r="I2366" s="577"/>
      <c r="J2366" s="549" t="s">
        <v>5804</v>
      </c>
      <c r="K2366" s="11"/>
      <c r="L2366"/>
      <c r="M2366" s="37">
        <f t="shared" si="1026"/>
        <v>10.82</v>
      </c>
      <c r="N2366" s="29">
        <v>7.91</v>
      </c>
      <c r="O2366" s="41"/>
      <c r="P2366" s="59"/>
      <c r="Q2366"/>
      <c r="R2366"/>
      <c r="S2366" t="s">
        <v>4179</v>
      </c>
      <c r="T2366" s="145" t="s">
        <v>1017</v>
      </c>
      <c r="U2366" s="60"/>
      <c r="V2366" s="50"/>
      <c r="W2366" s="50"/>
      <c r="X2366" s="50"/>
      <c r="Y2366" s="50"/>
      <c r="Z2366" s="50"/>
      <c r="AA2366" s="50"/>
      <c r="AB2366" s="50"/>
      <c r="AC2366" s="50"/>
      <c r="AD2366" s="50"/>
      <c r="AE2366" s="154"/>
      <c r="AF2366" s="50"/>
      <c r="AG2366" s="50"/>
      <c r="AH2366" s="171" t="s">
        <v>4178</v>
      </c>
      <c r="AI2366" s="168" t="str">
        <f t="shared" si="1019"/>
        <v/>
      </c>
      <c r="AJ2366" s="168" t="str">
        <f t="shared" si="1020"/>
        <v/>
      </c>
      <c r="AK2366" s="168" t="str">
        <f t="shared" si="1021"/>
        <v/>
      </c>
      <c r="AL2366" s="168" t="str">
        <f t="shared" si="1022"/>
        <v/>
      </c>
      <c r="AM2366" s="168" t="str">
        <f t="shared" si="1023"/>
        <v/>
      </c>
      <c r="AN2366" s="167" t="str">
        <f t="shared" si="1005"/>
        <v>2012</v>
      </c>
      <c r="AO2366" s="167" t="str">
        <f t="shared" si="1006"/>
        <v>2012</v>
      </c>
      <c r="AP2366" s="167" t="str">
        <f t="shared" si="1007"/>
        <v>2012</v>
      </c>
      <c r="AQ2366" s="169" t="str">
        <f t="shared" si="1008"/>
        <v/>
      </c>
      <c r="AR2366" s="170" t="str">
        <f t="shared" si="1009"/>
        <v>BiK84K12----08</v>
      </c>
      <c r="AS2366" s="169" t="str">
        <f t="shared" si="1010"/>
        <v/>
      </c>
      <c r="AT2366">
        <f t="shared" si="1011"/>
        <v>14</v>
      </c>
      <c r="AU2366" s="170" t="str">
        <f t="shared" si="1012"/>
        <v>5-20 MW, Bonusregel K erstmals 2012</v>
      </c>
      <c r="AV2366" s="169" t="str">
        <f t="shared" si="1013"/>
        <v/>
      </c>
      <c r="AW2366" s="170" t="str">
        <f t="shared" si="1014"/>
        <v>Anteil KWK, erstmals 2012</v>
      </c>
      <c r="AX2366" s="169" t="str">
        <f t="shared" si="1015"/>
        <v/>
      </c>
      <c r="AY2366" t="str">
        <f t="shared" si="1016"/>
        <v/>
      </c>
      <c r="AZ2366" t="str">
        <f t="shared" si="1017"/>
        <v>x</v>
      </c>
    </row>
    <row r="2367" spans="1:52" s="145" customFormat="1" x14ac:dyDescent="0.35">
      <c r="A2367" s="496" t="s">
        <v>4845</v>
      </c>
      <c r="B2367" s="1" t="s">
        <v>5547</v>
      </c>
      <c r="C2367" s="1" t="s">
        <v>5539</v>
      </c>
      <c r="D2367" s="1" t="s">
        <v>7386</v>
      </c>
      <c r="E2367" s="1" t="s">
        <v>4179</v>
      </c>
      <c r="F2367" s="375">
        <f t="shared" si="1024"/>
        <v>3.66</v>
      </c>
      <c r="G2367" s="432">
        <v>3.66</v>
      </c>
      <c r="H2367" s="401">
        <f t="shared" si="1025"/>
        <v>2.93</v>
      </c>
      <c r="I2367" s="578"/>
      <c r="J2367" s="549" t="s">
        <v>5804</v>
      </c>
      <c r="K2367" s="11"/>
      <c r="L2367"/>
      <c r="M2367" s="37">
        <f t="shared" si="1026"/>
        <v>3.66</v>
      </c>
      <c r="N2367" s="29">
        <v>3.66</v>
      </c>
      <c r="O2367" s="41"/>
      <c r="P2367" s="59"/>
      <c r="Q2367"/>
      <c r="R2367"/>
      <c r="S2367" t="s">
        <v>4179</v>
      </c>
      <c r="T2367" s="145" t="s">
        <v>4179</v>
      </c>
      <c r="U2367" s="60"/>
      <c r="V2367" s="50"/>
      <c r="W2367" s="50"/>
      <c r="X2367" s="50"/>
      <c r="Y2367" s="50"/>
      <c r="Z2367" s="50"/>
      <c r="AA2367" s="50"/>
      <c r="AB2367" s="50"/>
      <c r="AC2367" s="50"/>
      <c r="AD2367" s="50"/>
      <c r="AE2367" s="154"/>
      <c r="AF2367" s="50"/>
      <c r="AG2367" s="50"/>
      <c r="AH2367" s="166" t="str">
        <f>IF(ISERROR(SEARCH("K erstmals 201",D2367)),"",RIGHT(D2367,4))</f>
        <v/>
      </c>
      <c r="AI2367" s="168" t="str">
        <f t="shared" si="1019"/>
        <v/>
      </c>
      <c r="AJ2367" s="168" t="str">
        <f t="shared" si="1020"/>
        <v/>
      </c>
      <c r="AK2367" s="168" t="str">
        <f t="shared" si="1021"/>
        <v/>
      </c>
      <c r="AL2367" s="168" t="str">
        <f t="shared" si="1022"/>
        <v/>
      </c>
      <c r="AM2367" s="168" t="str">
        <f t="shared" si="1023"/>
        <v/>
      </c>
      <c r="AN2367" s="167" t="str">
        <f t="shared" si="1005"/>
        <v/>
      </c>
      <c r="AO2367" s="167" t="str">
        <f t="shared" si="1006"/>
        <v/>
      </c>
      <c r="AP2367" s="167" t="str">
        <f t="shared" si="1007"/>
        <v/>
      </c>
      <c r="AQ2367" s="169" t="str">
        <f t="shared" ref="AQ2367:AQ2371" si="1029">IF(OR(AH2367&lt;&gt;AN2367,AH2367&lt;&gt;AO2367,AH2367&lt;&gt;AP2367),"DIFF","")</f>
        <v/>
      </c>
      <c r="AR2367" s="170" t="str">
        <f t="shared" si="1009"/>
        <v>BiK85-------08</v>
      </c>
      <c r="AS2367" s="169" t="str">
        <f t="shared" ref="AS2367:AS2371" si="1030">IF(OR(A2367&lt;&gt;AR2367),"DIFF","")</f>
        <v/>
      </c>
      <c r="AT2367">
        <f t="shared" si="1011"/>
        <v>14</v>
      </c>
      <c r="AU2367" s="170" t="str">
        <f t="shared" si="1012"/>
        <v>&lt; 20 MW, Altholz</v>
      </c>
      <c r="AV2367" s="169" t="str">
        <f t="shared" ref="AV2367:AV2371" si="1031">IF(OR(D2367&lt;&gt;AU2367),"DIFF","")</f>
        <v/>
      </c>
      <c r="AW2367" s="170" t="str">
        <f t="shared" si="1014"/>
        <v/>
      </c>
      <c r="AX2367" s="169" t="str">
        <f t="shared" ref="AX2367:AX2371" si="1032">IF(OR(E2367&lt;&gt;AW2367),"DIFF","")</f>
        <v/>
      </c>
      <c r="AY2367" t="str">
        <f t="shared" si="1016"/>
        <v/>
      </c>
      <c r="AZ2367" t="str">
        <f t="shared" si="1017"/>
        <v/>
      </c>
    </row>
    <row r="2368" spans="1:52" s="145" customFormat="1" x14ac:dyDescent="0.35">
      <c r="A2368" s="497" t="s">
        <v>965</v>
      </c>
      <c r="B2368" s="13" t="s">
        <v>5547</v>
      </c>
      <c r="C2368" s="17" t="s">
        <v>5539</v>
      </c>
      <c r="D2368" s="17" t="s">
        <v>7387</v>
      </c>
      <c r="E2368" s="13" t="s">
        <v>674</v>
      </c>
      <c r="F2368" s="373">
        <f t="shared" si="1024"/>
        <v>6.66</v>
      </c>
      <c r="G2368" s="430">
        <v>6.66</v>
      </c>
      <c r="H2368" s="399">
        <f t="shared" si="1025"/>
        <v>5.33</v>
      </c>
      <c r="I2368" s="576"/>
      <c r="J2368" s="549" t="s">
        <v>5804</v>
      </c>
      <c r="K2368" s="11"/>
      <c r="L2368"/>
      <c r="M2368" s="37">
        <f t="shared" si="1026"/>
        <v>6.66</v>
      </c>
      <c r="N2368" s="29">
        <v>3.66</v>
      </c>
      <c r="O2368" s="41"/>
      <c r="P2368" s="59"/>
      <c r="Q2368" t="s">
        <v>1017</v>
      </c>
      <c r="R2368"/>
      <c r="S2368" t="s">
        <v>4179</v>
      </c>
      <c r="T2368" s="145" t="s">
        <v>4179</v>
      </c>
      <c r="U2368" s="60"/>
      <c r="V2368" s="50"/>
      <c r="W2368" s="50"/>
      <c r="X2368" s="50"/>
      <c r="Y2368" s="50"/>
      <c r="Z2368" s="50"/>
      <c r="AA2368" s="50"/>
      <c r="AB2368" s="50"/>
      <c r="AC2368" s="50"/>
      <c r="AD2368" s="50"/>
      <c r="AE2368" s="154"/>
      <c r="AF2368" s="50"/>
      <c r="AG2368" s="50"/>
      <c r="AH2368" s="166" t="str">
        <f>IF(ISERROR(SEARCH("K erstmals 201",D2368)),"",RIGHT(D2368,4))</f>
        <v/>
      </c>
      <c r="AI2368" s="168" t="str">
        <f t="shared" ref="AI2368:AI2371" si="1033">IF(AND($AH2368&lt;&gt;"",AH2368 =AH2367),"Gleich","")</f>
        <v/>
      </c>
      <c r="AJ2368" s="168" t="str">
        <f t="shared" si="1020"/>
        <v/>
      </c>
      <c r="AK2368" s="168" t="str">
        <f t="shared" si="1021"/>
        <v/>
      </c>
      <c r="AL2368" s="168" t="str">
        <f t="shared" si="1022"/>
        <v/>
      </c>
      <c r="AM2368" s="168" t="str">
        <f t="shared" si="1023"/>
        <v/>
      </c>
      <c r="AN2368" s="167" t="str">
        <f t="shared" si="1005"/>
        <v/>
      </c>
      <c r="AO2368" s="167" t="str">
        <f t="shared" si="1006"/>
        <v/>
      </c>
      <c r="AP2368" s="167" t="str">
        <f t="shared" si="1007"/>
        <v/>
      </c>
      <c r="AQ2368" s="169" t="str">
        <f t="shared" si="1029"/>
        <v/>
      </c>
      <c r="AR2368" s="170" t="str">
        <f t="shared" si="1009"/>
        <v>BiK85K09----08</v>
      </c>
      <c r="AS2368" s="169" t="str">
        <f t="shared" si="1030"/>
        <v/>
      </c>
      <c r="AT2368">
        <f t="shared" si="1011"/>
        <v>14</v>
      </c>
      <c r="AU2368" s="170" t="str">
        <f t="shared" si="1012"/>
        <v>&lt; 20 MW, Altholz, Bonusregel K erstmals 2009</v>
      </c>
      <c r="AV2368" s="169" t="str">
        <f t="shared" si="1031"/>
        <v/>
      </c>
      <c r="AW2368" s="170" t="str">
        <f t="shared" si="1014"/>
        <v>Anteil KWK, erstmals 2009</v>
      </c>
      <c r="AX2368" s="169" t="str">
        <f t="shared" si="1032"/>
        <v/>
      </c>
      <c r="AY2368" t="str">
        <f t="shared" si="1016"/>
        <v/>
      </c>
      <c r="AZ2368" t="str">
        <f t="shared" si="1017"/>
        <v/>
      </c>
    </row>
    <row r="2369" spans="1:52" s="145" customFormat="1" x14ac:dyDescent="0.35">
      <c r="A2369" s="497" t="s">
        <v>3283</v>
      </c>
      <c r="B2369" s="13" t="s">
        <v>5547</v>
      </c>
      <c r="C2369" s="17" t="s">
        <v>5539</v>
      </c>
      <c r="D2369" s="17" t="s">
        <v>7383</v>
      </c>
      <c r="E2369" s="13" t="s">
        <v>3566</v>
      </c>
      <c r="F2369" s="373">
        <f t="shared" si="1024"/>
        <v>6.6300000000000008</v>
      </c>
      <c r="G2369" s="430">
        <v>6.6300000000000008</v>
      </c>
      <c r="H2369" s="399">
        <f t="shared" si="1025"/>
        <v>5.3</v>
      </c>
      <c r="I2369" s="576"/>
      <c r="J2369" s="549" t="s">
        <v>5804</v>
      </c>
      <c r="K2369" s="11"/>
      <c r="L2369"/>
      <c r="M2369" s="37">
        <f t="shared" si="1026"/>
        <v>6.6300000000000008</v>
      </c>
      <c r="N2369" s="29">
        <v>3.66</v>
      </c>
      <c r="O2369" s="41"/>
      <c r="P2369" s="59"/>
      <c r="Q2369"/>
      <c r="R2369" t="s">
        <v>1017</v>
      </c>
      <c r="S2369" t="s">
        <v>4179</v>
      </c>
      <c r="T2369" s="145" t="s">
        <v>4179</v>
      </c>
      <c r="U2369" s="60"/>
      <c r="V2369" s="50"/>
      <c r="W2369" s="50"/>
      <c r="X2369" s="50"/>
      <c r="Y2369" s="50"/>
      <c r="Z2369" s="50"/>
      <c r="AA2369" s="50"/>
      <c r="AB2369" s="50"/>
      <c r="AC2369" s="50"/>
      <c r="AD2369" s="50"/>
      <c r="AE2369" s="154"/>
      <c r="AF2369" s="50"/>
      <c r="AG2369" s="50"/>
      <c r="AH2369" s="166" t="str">
        <f>IF(ISERROR(SEARCH("K erstmals 201",D2369)),"",RIGHT(D2369,4))</f>
        <v>2010</v>
      </c>
      <c r="AI2369" s="168" t="str">
        <f t="shared" si="1033"/>
        <v/>
      </c>
      <c r="AJ2369" s="168" t="str">
        <f t="shared" si="1020"/>
        <v/>
      </c>
      <c r="AK2369" s="168" t="str">
        <f t="shared" si="1021"/>
        <v/>
      </c>
      <c r="AL2369" s="168" t="str">
        <f t="shared" si="1022"/>
        <v/>
      </c>
      <c r="AM2369" s="168" t="str">
        <f t="shared" si="1023"/>
        <v/>
      </c>
      <c r="AN2369" s="167" t="str">
        <f t="shared" si="1005"/>
        <v>2010</v>
      </c>
      <c r="AO2369" s="167" t="str">
        <f t="shared" si="1006"/>
        <v>2010</v>
      </c>
      <c r="AP2369" s="167" t="str">
        <f t="shared" si="1007"/>
        <v>2010</v>
      </c>
      <c r="AQ2369" s="169" t="str">
        <f t="shared" si="1029"/>
        <v/>
      </c>
      <c r="AR2369" s="170" t="str">
        <f t="shared" si="1009"/>
        <v>BiK85K10----08</v>
      </c>
      <c r="AS2369" s="169" t="str">
        <f t="shared" si="1030"/>
        <v/>
      </c>
      <c r="AT2369">
        <f t="shared" si="1011"/>
        <v>14</v>
      </c>
      <c r="AU2369" s="170" t="str">
        <f t="shared" si="1012"/>
        <v>&lt; 20 MW, Altholz, Bonusregel K erstmals 2010</v>
      </c>
      <c r="AV2369" s="169" t="str">
        <f t="shared" si="1031"/>
        <v/>
      </c>
      <c r="AW2369" s="170" t="str">
        <f t="shared" si="1014"/>
        <v>Anteil KWK, erstmals 2010</v>
      </c>
      <c r="AX2369" s="169" t="str">
        <f t="shared" si="1032"/>
        <v/>
      </c>
      <c r="AY2369" t="str">
        <f t="shared" si="1016"/>
        <v/>
      </c>
      <c r="AZ2369" t="str">
        <f t="shared" si="1017"/>
        <v/>
      </c>
    </row>
    <row r="2370" spans="1:52" s="145" customFormat="1" x14ac:dyDescent="0.35">
      <c r="A2370" s="497" t="s">
        <v>3488</v>
      </c>
      <c r="B2370" s="13" t="s">
        <v>5547</v>
      </c>
      <c r="C2370" s="17" t="s">
        <v>5539</v>
      </c>
      <c r="D2370" s="17" t="s">
        <v>7384</v>
      </c>
      <c r="E2370" s="13" t="s">
        <v>3054</v>
      </c>
      <c r="F2370" s="373">
        <f t="shared" si="1024"/>
        <v>6.6</v>
      </c>
      <c r="G2370" s="430">
        <v>6.6</v>
      </c>
      <c r="H2370" s="399">
        <f t="shared" si="1025"/>
        <v>5.28</v>
      </c>
      <c r="I2370" s="576"/>
      <c r="J2370" s="549" t="s">
        <v>5804</v>
      </c>
      <c r="K2370" s="11"/>
      <c r="L2370"/>
      <c r="M2370" s="37">
        <f t="shared" si="1026"/>
        <v>6.6</v>
      </c>
      <c r="N2370" s="29">
        <v>3.66</v>
      </c>
      <c r="O2370" s="41"/>
      <c r="P2370" s="59"/>
      <c r="Q2370"/>
      <c r="R2370"/>
      <c r="S2370" t="s">
        <v>1017</v>
      </c>
      <c r="T2370" s="145" t="s">
        <v>4179</v>
      </c>
      <c r="U2370" s="60"/>
      <c r="V2370" s="50"/>
      <c r="W2370" s="50"/>
      <c r="X2370" s="50"/>
      <c r="Y2370" s="50"/>
      <c r="Z2370" s="50"/>
      <c r="AA2370" s="50"/>
      <c r="AB2370" s="50"/>
      <c r="AC2370" s="50"/>
      <c r="AD2370" s="50"/>
      <c r="AE2370" s="154"/>
      <c r="AF2370" s="50"/>
      <c r="AG2370" s="50"/>
      <c r="AH2370" s="166" t="str">
        <f>IF(ISERROR(SEARCH("K erstmals 201",D2370)),"",RIGHT(D2370,4))</f>
        <v>2011</v>
      </c>
      <c r="AI2370" s="168" t="str">
        <f t="shared" si="1033"/>
        <v/>
      </c>
      <c r="AJ2370" s="168" t="str">
        <f t="shared" si="1020"/>
        <v/>
      </c>
      <c r="AK2370" s="168" t="str">
        <f t="shared" si="1021"/>
        <v/>
      </c>
      <c r="AL2370" s="168" t="str">
        <f t="shared" si="1022"/>
        <v/>
      </c>
      <c r="AM2370" s="168" t="str">
        <f t="shared" si="1023"/>
        <v/>
      </c>
      <c r="AN2370" s="167" t="str">
        <f t="shared" si="1005"/>
        <v>2011</v>
      </c>
      <c r="AO2370" s="167" t="str">
        <f t="shared" si="1006"/>
        <v>2011</v>
      </c>
      <c r="AP2370" s="167" t="str">
        <f t="shared" si="1007"/>
        <v>2011</v>
      </c>
      <c r="AQ2370" s="169" t="str">
        <f t="shared" si="1029"/>
        <v/>
      </c>
      <c r="AR2370" s="170" t="str">
        <f t="shared" si="1009"/>
        <v>BiK85K11----08</v>
      </c>
      <c r="AS2370" s="169" t="str">
        <f t="shared" si="1030"/>
        <v/>
      </c>
      <c r="AT2370">
        <f t="shared" si="1011"/>
        <v>14</v>
      </c>
      <c r="AU2370" s="170" t="str">
        <f t="shared" si="1012"/>
        <v>&lt; 20 MW, Altholz, Bonusregel K erstmals 2011</v>
      </c>
      <c r="AV2370" s="169" t="str">
        <f t="shared" si="1031"/>
        <v/>
      </c>
      <c r="AW2370" s="170" t="str">
        <f t="shared" si="1014"/>
        <v>Anteil KWK, erstmals 2011</v>
      </c>
      <c r="AX2370" s="169" t="str">
        <f t="shared" si="1032"/>
        <v/>
      </c>
      <c r="AY2370" t="str">
        <f t="shared" si="1016"/>
        <v>x</v>
      </c>
      <c r="AZ2370" t="str">
        <f t="shared" si="1017"/>
        <v/>
      </c>
    </row>
    <row r="2371" spans="1:52" s="145" customFormat="1" x14ac:dyDescent="0.35">
      <c r="A2371" s="511" t="s">
        <v>1921</v>
      </c>
      <c r="B2371" s="173" t="s">
        <v>5547</v>
      </c>
      <c r="C2371" s="174" t="s">
        <v>5539</v>
      </c>
      <c r="D2371" s="174" t="s">
        <v>7385</v>
      </c>
      <c r="E2371" s="173" t="s">
        <v>1980</v>
      </c>
      <c r="F2371" s="374">
        <f t="shared" si="1024"/>
        <v>6.57</v>
      </c>
      <c r="G2371" s="431">
        <v>6.57</v>
      </c>
      <c r="H2371" s="400">
        <f t="shared" si="1025"/>
        <v>5.26</v>
      </c>
      <c r="I2371" s="577"/>
      <c r="J2371" s="549" t="s">
        <v>5804</v>
      </c>
      <c r="K2371" s="11"/>
      <c r="L2371"/>
      <c r="M2371" s="37">
        <f t="shared" si="1026"/>
        <v>6.57</v>
      </c>
      <c r="N2371" s="29">
        <v>3.66</v>
      </c>
      <c r="O2371" s="41"/>
      <c r="P2371" s="59"/>
      <c r="Q2371"/>
      <c r="R2371"/>
      <c r="S2371" t="s">
        <v>4179</v>
      </c>
      <c r="T2371" s="145" t="s">
        <v>1017</v>
      </c>
      <c r="U2371" s="60"/>
      <c r="V2371" s="50"/>
      <c r="W2371" s="50"/>
      <c r="X2371" s="50"/>
      <c r="Y2371" s="50"/>
      <c r="Z2371" s="50"/>
      <c r="AA2371" s="50"/>
      <c r="AB2371" s="50"/>
      <c r="AC2371" s="50"/>
      <c r="AD2371" s="50"/>
      <c r="AE2371" s="154"/>
      <c r="AF2371" s="50"/>
      <c r="AG2371" s="50"/>
      <c r="AH2371" s="171" t="s">
        <v>4178</v>
      </c>
      <c r="AI2371" s="168" t="str">
        <f t="shared" si="1033"/>
        <v/>
      </c>
      <c r="AJ2371" s="168" t="str">
        <f t="shared" si="1020"/>
        <v/>
      </c>
      <c r="AK2371" s="168" t="str">
        <f t="shared" si="1021"/>
        <v/>
      </c>
      <c r="AL2371" s="168" t="str">
        <f t="shared" si="1022"/>
        <v/>
      </c>
      <c r="AM2371" s="168" t="str">
        <f t="shared" si="1023"/>
        <v/>
      </c>
      <c r="AN2371" s="167" t="str">
        <f t="shared" si="1005"/>
        <v>2012</v>
      </c>
      <c r="AO2371" s="167" t="str">
        <f t="shared" si="1006"/>
        <v>2012</v>
      </c>
      <c r="AP2371" s="167" t="str">
        <f t="shared" si="1007"/>
        <v>2012</v>
      </c>
      <c r="AQ2371" s="169" t="str">
        <f t="shared" si="1029"/>
        <v/>
      </c>
      <c r="AR2371" s="170" t="str">
        <f t="shared" si="1009"/>
        <v>BiK85K12----08</v>
      </c>
      <c r="AS2371" s="169" t="str">
        <f t="shared" si="1030"/>
        <v/>
      </c>
      <c r="AT2371">
        <f t="shared" si="1011"/>
        <v>14</v>
      </c>
      <c r="AU2371" s="170" t="str">
        <f t="shared" si="1012"/>
        <v>&lt; 20 MW, Altholz, Bonusregel K erstmals 2012</v>
      </c>
      <c r="AV2371" s="169" t="str">
        <f t="shared" si="1031"/>
        <v/>
      </c>
      <c r="AW2371" s="170" t="str">
        <f t="shared" si="1014"/>
        <v>Anteil KWK, erstmals 2012</v>
      </c>
      <c r="AX2371" s="169" t="str">
        <f t="shared" si="1032"/>
        <v/>
      </c>
      <c r="AY2371" t="str">
        <f t="shared" si="1016"/>
        <v/>
      </c>
      <c r="AZ2371" t="str">
        <f t="shared" si="1017"/>
        <v>x</v>
      </c>
    </row>
    <row r="2372" spans="1:52" x14ac:dyDescent="0.35">
      <c r="A2372" s="203"/>
      <c r="G2372" s="435"/>
      <c r="J2372" s="549" t="s">
        <v>4179</v>
      </c>
    </row>
    <row r="2373" spans="1:52" x14ac:dyDescent="0.35">
      <c r="A2373" s="502" t="s">
        <v>5635</v>
      </c>
      <c r="B2373" s="301" t="s">
        <v>5547</v>
      </c>
      <c r="C2373" s="301" t="s">
        <v>5539</v>
      </c>
      <c r="D2373" s="301" t="s">
        <v>6854</v>
      </c>
      <c r="E2373" s="301" t="s">
        <v>2826</v>
      </c>
      <c r="F2373" s="377">
        <f t="shared" ref="F2373:F2390" si="1034">M2373</f>
        <v>26.55</v>
      </c>
      <c r="G2373" s="433">
        <f t="shared" ref="G2373:G2390" si="1035">F2373</f>
        <v>26.55</v>
      </c>
      <c r="H2373" s="303">
        <f t="shared" ref="H2373:H2390" si="1036">IF(ISNUMBER(G2373),ROUND(0.8*G2373,2),"")</f>
        <v>21.24</v>
      </c>
      <c r="I2373" s="579"/>
      <c r="J2373" s="549" t="s">
        <v>5804</v>
      </c>
      <c r="K2373" s="11"/>
      <c r="M2373" s="315">
        <f t="shared" ref="M2373:M2390" si="1037">N2373+SUMIF(U2373:AG2373,"x",U$1559:AG$1559)+T2373</f>
        <v>26.55</v>
      </c>
      <c r="N2373" s="29">
        <v>11.67</v>
      </c>
      <c r="O2373" s="319"/>
      <c r="P2373" s="97" t="s">
        <v>2827</v>
      </c>
      <c r="Q2373" s="97"/>
      <c r="R2373" s="97">
        <v>2013</v>
      </c>
      <c r="S2373" s="97"/>
      <c r="T2373" s="554">
        <f>ROUND($Q$1988*0.99^($R2373-$Q$1985),2)</f>
        <v>2.88</v>
      </c>
      <c r="U2373" s="146" t="s">
        <v>1017</v>
      </c>
      <c r="V2373" s="145"/>
      <c r="W2373" s="147"/>
      <c r="X2373" s="147"/>
      <c r="Y2373" s="145"/>
      <c r="Z2373" s="145" t="s">
        <v>1017</v>
      </c>
      <c r="AA2373" s="147"/>
      <c r="AB2373" s="145"/>
      <c r="AC2373" s="145"/>
      <c r="AD2373" s="147"/>
      <c r="AE2373" s="148"/>
      <c r="AF2373" s="147"/>
      <c r="AG2373" s="147"/>
      <c r="AH2373" s="171"/>
      <c r="AI2373" s="168"/>
      <c r="AJ2373" s="168"/>
      <c r="AK2373" s="168"/>
      <c r="AL2373" s="168"/>
      <c r="AM2373" s="168"/>
      <c r="AN2373" s="167"/>
      <c r="AO2373" s="167"/>
      <c r="AP2373" s="167"/>
      <c r="AQ2373" s="169"/>
      <c r="AR2373" s="170"/>
      <c r="AS2373" s="169"/>
      <c r="AU2373" s="170"/>
      <c r="AV2373" s="169"/>
      <c r="AW2373" s="170"/>
      <c r="AX2373" s="169"/>
    </row>
    <row r="2374" spans="1:52" x14ac:dyDescent="0.35">
      <c r="A2374" s="502" t="s">
        <v>5634</v>
      </c>
      <c r="B2374" s="301" t="s">
        <v>5547</v>
      </c>
      <c r="C2374" s="301" t="s">
        <v>5539</v>
      </c>
      <c r="D2374" s="301" t="s">
        <v>7078</v>
      </c>
      <c r="E2374" s="301" t="s">
        <v>2826</v>
      </c>
      <c r="F2374" s="377">
        <f t="shared" si="1034"/>
        <v>21.2</v>
      </c>
      <c r="G2374" s="433">
        <f t="shared" si="1035"/>
        <v>21.2</v>
      </c>
      <c r="H2374" s="303">
        <f t="shared" si="1036"/>
        <v>16.96</v>
      </c>
      <c r="I2374" s="579"/>
      <c r="J2374" s="549" t="s">
        <v>5804</v>
      </c>
      <c r="K2374" s="11"/>
      <c r="M2374" s="315">
        <f t="shared" si="1037"/>
        <v>21.2</v>
      </c>
      <c r="N2374" s="29">
        <v>9.32</v>
      </c>
      <c r="O2374" s="319"/>
      <c r="P2374" s="97" t="s">
        <v>2827</v>
      </c>
      <c r="Q2374" s="97"/>
      <c r="R2374" s="97">
        <v>2013</v>
      </c>
      <c r="S2374" s="97"/>
      <c r="T2374" s="554">
        <f>ROUND($Q$1988*0.99^($R2374-$Q$1985),2)</f>
        <v>2.88</v>
      </c>
      <c r="U2374" s="146" t="s">
        <v>1017</v>
      </c>
      <c r="V2374" s="145"/>
      <c r="W2374" s="147"/>
      <c r="X2374" s="147"/>
      <c r="Y2374" s="145"/>
      <c r="Z2374" s="147"/>
      <c r="AA2374" s="145" t="s">
        <v>1017</v>
      </c>
      <c r="AB2374" s="145"/>
      <c r="AC2374" s="147"/>
      <c r="AD2374" s="145"/>
      <c r="AE2374" s="148"/>
      <c r="AF2374" s="147"/>
      <c r="AG2374" s="147"/>
      <c r="AH2374" s="171"/>
      <c r="AI2374" s="168"/>
      <c r="AJ2374" s="168"/>
      <c r="AK2374" s="168"/>
      <c r="AL2374" s="168"/>
      <c r="AM2374" s="168"/>
      <c r="AN2374" s="167"/>
      <c r="AO2374" s="167"/>
      <c r="AP2374" s="167"/>
      <c r="AQ2374" s="169"/>
      <c r="AR2374" s="170"/>
      <c r="AS2374" s="169"/>
      <c r="AU2374" s="170"/>
      <c r="AV2374" s="169"/>
      <c r="AW2374" s="170"/>
      <c r="AX2374" s="169"/>
    </row>
    <row r="2375" spans="1:52" s="145" customFormat="1" x14ac:dyDescent="0.35">
      <c r="A2375" s="502" t="s">
        <v>5633</v>
      </c>
      <c r="B2375" s="301" t="s">
        <v>5547</v>
      </c>
      <c r="C2375" s="301" t="s">
        <v>5539</v>
      </c>
      <c r="D2375" s="301" t="s">
        <v>6800</v>
      </c>
      <c r="E2375" s="301" t="s">
        <v>2826</v>
      </c>
      <c r="F2375" s="377">
        <f t="shared" si="1034"/>
        <v>15.260000000000002</v>
      </c>
      <c r="G2375" s="433">
        <f t="shared" si="1035"/>
        <v>15.260000000000002</v>
      </c>
      <c r="H2375" s="303">
        <f t="shared" si="1036"/>
        <v>12.21</v>
      </c>
      <c r="I2375" s="579"/>
      <c r="J2375" s="549" t="s">
        <v>5804</v>
      </c>
      <c r="K2375" s="11"/>
      <c r="L2375"/>
      <c r="M2375" s="315">
        <f t="shared" si="1037"/>
        <v>15.260000000000002</v>
      </c>
      <c r="N2375" s="29">
        <v>8.3800000000000008</v>
      </c>
      <c r="O2375" s="319"/>
      <c r="P2375" s="97" t="s">
        <v>2827</v>
      </c>
      <c r="Q2375" s="97"/>
      <c r="R2375" s="97">
        <v>2013</v>
      </c>
      <c r="S2375" s="97"/>
      <c r="T2375" s="554">
        <f>ROUND($Q$1988*0.99^($R2375-$Q$1985),2)</f>
        <v>2.88</v>
      </c>
      <c r="U2375" s="60"/>
      <c r="V2375" s="50"/>
      <c r="W2375" t="s">
        <v>1017</v>
      </c>
      <c r="X2375"/>
      <c r="Y2375" s="50"/>
      <c r="Z2375" s="50"/>
      <c r="AA2375" s="50"/>
      <c r="AB2375" s="50"/>
      <c r="AC2375" s="50"/>
      <c r="AD2375" s="50"/>
      <c r="AE2375" s="75"/>
      <c r="AF2375" s="50"/>
      <c r="AG2375" s="50"/>
      <c r="AH2375" s="171" t="s">
        <v>4178</v>
      </c>
      <c r="AI2375" s="168" t="str">
        <f>IF(AND($AH2375&lt;&gt;"",AH2375 =AH2374),"Gleich","")</f>
        <v/>
      </c>
      <c r="AJ2375" s="168" t="str">
        <f>IF(AND($AH2375&lt;&gt;"",A2375 =A2374),"Gleich","")</f>
        <v/>
      </c>
      <c r="AK2375" s="168" t="str">
        <f>IF(AND($AH2375&lt;&gt;"",D2375 =D2374),"Gleich","")</f>
        <v/>
      </c>
      <c r="AL2375" s="168" t="str">
        <f>IF(AND($AH2375&lt;&gt;"",E2375 =E2374),"Gleich","")</f>
        <v>Gleich</v>
      </c>
      <c r="AM2375" s="168" t="str">
        <f>IF(AND($AH2375&lt;&gt;"",F2375 =F2374),"Gleich","")</f>
        <v/>
      </c>
      <c r="AN2375" s="167" t="str">
        <f>IF(ISERROR(SEARCH("K1",A2375)),"","20"&amp;MID(A2375,SEARCH("K1",A2375)+1,2))</f>
        <v>2013</v>
      </c>
      <c r="AO2375" s="167" t="str">
        <f>IF(ISERROR(SEARCH("erstmals 201",E2375)),"",MID(E2375,SEARCH("erstmals ",E2375)+9,4))</f>
        <v>2013</v>
      </c>
      <c r="AP2375" s="167" t="str">
        <f>IF(R2375="x","2010",IF(S2375="x","2011",IF(T2375="x","2012","")))</f>
        <v/>
      </c>
      <c r="AQ2375" s="169" t="str">
        <f>IF(OR(AH2375&lt;&gt;AN2375,AH2375&lt;&gt;AO2375,AH2375&lt;&gt;AP2375),"DIFF","")</f>
        <v>DIFF</v>
      </c>
      <c r="AR2375" s="170" t="str">
        <f>IF(A2375="","",IF(ISERROR(SEARCH("K1",A2375)),A2375,LEFT(A2375,SEARCH("K1",A2375)+1)&amp;RIGHT(AH2375,1)&amp;MID(A2375,SEARCH("K1",A2375)+3,14)))</f>
        <v>BiK83a2K12--08</v>
      </c>
      <c r="AS2375" s="169" t="str">
        <f>IF(OR(A2375&lt;&gt;AR2375),"DIFF","")</f>
        <v>DIFF</v>
      </c>
      <c r="AT2375">
        <f>LEN(AR2375)</f>
        <v>14</v>
      </c>
      <c r="AU2375" s="170" t="str">
        <f>IF(D2375="","",IF(OR(A2375="",ISERROR(SEARCH("erstmals 201",D2375))),D2375,LEFT(D2375,SEARCH("erstmals 201",D2375)+8) &amp; AH2375 &amp; MID(D2375,SEARCH("erstmals 201",D2375)+13,255)))</f>
        <v>0,5-5 MW, Bonusregeln a2 und K erstmals 2012</v>
      </c>
      <c r="AV2375" s="169" t="str">
        <f>IF(OR(D2375&lt;&gt;AU2375),"DIFF","")</f>
        <v>DIFF</v>
      </c>
      <c r="AW2375" s="170" t="str">
        <f>IF(E2375="","",IF(OR(E2375="",ISERROR(SEARCH("erstmals 201",E2375))),E2375,LEFT(E2375,SEARCH("erstmals 201",E2375)+8) &amp; AH2375 &amp; MID(E2375,SEARCH("erstmals 201",E2375)+13,255)))</f>
        <v>Anteil KWK, erstmals 2012</v>
      </c>
      <c r="AX2375" s="169" t="str">
        <f>IF(OR(E2375&lt;&gt;AW2375),"DIFF","")</f>
        <v>DIFF</v>
      </c>
      <c r="AY2375" t="str">
        <f>IF(AH2375="2011","x",IF(AH2375="2012","","" &amp; S2375))</f>
        <v/>
      </c>
      <c r="AZ2375" t="str">
        <f>IF(AH2375="2012","x",IF(AH2375="2011","","" &amp; T2375))</f>
        <v>x</v>
      </c>
    </row>
    <row r="2376" spans="1:52" x14ac:dyDescent="0.35">
      <c r="A2376" s="502" t="s">
        <v>8159</v>
      </c>
      <c r="B2376" s="301" t="s">
        <v>5547</v>
      </c>
      <c r="C2376" s="301" t="s">
        <v>5539</v>
      </c>
      <c r="D2376" s="301" t="s">
        <v>6858</v>
      </c>
      <c r="E2376" s="301" t="s">
        <v>5624</v>
      </c>
      <c r="F2376" s="377">
        <f t="shared" si="1034"/>
        <v>26.490000000000002</v>
      </c>
      <c r="G2376" s="429">
        <f t="shared" si="1035"/>
        <v>26.490000000000002</v>
      </c>
      <c r="H2376" s="625">
        <f t="shared" si="1036"/>
        <v>21.19</v>
      </c>
      <c r="I2376" s="625"/>
      <c r="J2376" s="549">
        <v>44958</v>
      </c>
      <c r="K2376" s="11"/>
      <c r="M2376" s="315">
        <f t="shared" si="1037"/>
        <v>26.490000000000002</v>
      </c>
      <c r="N2376" s="29">
        <v>11.67</v>
      </c>
      <c r="O2376" s="319"/>
      <c r="P2376" s="97" t="s">
        <v>2827</v>
      </c>
      <c r="Q2376" s="97"/>
      <c r="R2376" s="97">
        <v>2015</v>
      </c>
      <c r="S2376" s="97"/>
      <c r="T2376" s="554">
        <v>2.82</v>
      </c>
      <c r="U2376" s="146" t="s">
        <v>1017</v>
      </c>
      <c r="V2376" s="145"/>
      <c r="W2376" s="147"/>
      <c r="X2376" s="147"/>
      <c r="Y2376" s="145"/>
      <c r="Z2376" s="145" t="s">
        <v>1017</v>
      </c>
      <c r="AA2376" s="147"/>
      <c r="AB2376" s="145"/>
      <c r="AC2376" s="145"/>
      <c r="AD2376" s="147"/>
      <c r="AE2376" s="148"/>
      <c r="AF2376" s="147"/>
      <c r="AG2376" s="147"/>
      <c r="AH2376" s="171"/>
      <c r="AI2376" s="168"/>
      <c r="AJ2376" s="168"/>
      <c r="AK2376" s="168"/>
      <c r="AL2376" s="168"/>
      <c r="AM2376" s="168"/>
      <c r="AN2376" s="167"/>
      <c r="AO2376" s="167"/>
      <c r="AP2376" s="167"/>
      <c r="AQ2376" s="169"/>
      <c r="AR2376" s="170"/>
      <c r="AS2376" s="169"/>
      <c r="AU2376" s="170"/>
      <c r="AV2376" s="169"/>
      <c r="AW2376" s="170"/>
      <c r="AX2376" s="169"/>
    </row>
    <row r="2377" spans="1:52" x14ac:dyDescent="0.35">
      <c r="A2377" s="502" t="s">
        <v>8160</v>
      </c>
      <c r="B2377" s="301" t="s">
        <v>5547</v>
      </c>
      <c r="C2377" s="301" t="s">
        <v>5539</v>
      </c>
      <c r="D2377" s="301" t="s">
        <v>7083</v>
      </c>
      <c r="E2377" s="301" t="s">
        <v>5624</v>
      </c>
      <c r="F2377" s="377">
        <f t="shared" si="1034"/>
        <v>21.14</v>
      </c>
      <c r="G2377" s="429">
        <f t="shared" si="1035"/>
        <v>21.14</v>
      </c>
      <c r="H2377" s="625">
        <f t="shared" si="1036"/>
        <v>16.91</v>
      </c>
      <c r="I2377" s="625"/>
      <c r="J2377" s="549">
        <v>44958</v>
      </c>
      <c r="K2377" s="11"/>
      <c r="M2377" s="315">
        <f t="shared" si="1037"/>
        <v>21.14</v>
      </c>
      <c r="N2377" s="29">
        <v>9.32</v>
      </c>
      <c r="O2377" s="319"/>
      <c r="P2377" s="97" t="s">
        <v>2827</v>
      </c>
      <c r="Q2377" s="97"/>
      <c r="R2377" s="97">
        <v>2015</v>
      </c>
      <c r="S2377" s="97"/>
      <c r="T2377" s="554">
        <v>2.82</v>
      </c>
      <c r="U2377" s="146" t="s">
        <v>1017</v>
      </c>
      <c r="V2377" s="145"/>
      <c r="W2377" s="147"/>
      <c r="X2377" s="147"/>
      <c r="Y2377" s="145"/>
      <c r="Z2377" s="147"/>
      <c r="AA2377" s="145" t="s">
        <v>1017</v>
      </c>
      <c r="AB2377" s="145"/>
      <c r="AC2377" s="147"/>
      <c r="AD2377" s="145"/>
      <c r="AE2377" s="148"/>
      <c r="AF2377" s="147"/>
      <c r="AG2377" s="147"/>
      <c r="AH2377" s="171"/>
      <c r="AI2377" s="168"/>
      <c r="AJ2377" s="168"/>
      <c r="AK2377" s="168"/>
      <c r="AL2377" s="168"/>
      <c r="AM2377" s="168"/>
      <c r="AN2377" s="167"/>
      <c r="AO2377" s="167"/>
      <c r="AP2377" s="167"/>
      <c r="AQ2377" s="169"/>
      <c r="AR2377" s="170"/>
      <c r="AS2377" s="169"/>
      <c r="AU2377" s="170"/>
      <c r="AV2377" s="169"/>
      <c r="AW2377" s="170"/>
      <c r="AX2377" s="169"/>
    </row>
    <row r="2378" spans="1:52" s="145" customFormat="1" x14ac:dyDescent="0.35">
      <c r="A2378" s="502" t="s">
        <v>8161</v>
      </c>
      <c r="B2378" s="301" t="s">
        <v>5547</v>
      </c>
      <c r="C2378" s="301" t="s">
        <v>5539</v>
      </c>
      <c r="D2378" s="301" t="s">
        <v>8162</v>
      </c>
      <c r="E2378" s="301" t="s">
        <v>5624</v>
      </c>
      <c r="F2378" s="377">
        <f t="shared" si="1034"/>
        <v>15.200000000000001</v>
      </c>
      <c r="G2378" s="429">
        <f t="shared" si="1035"/>
        <v>15.200000000000001</v>
      </c>
      <c r="H2378" s="303">
        <f t="shared" si="1036"/>
        <v>12.16</v>
      </c>
      <c r="I2378" s="579"/>
      <c r="J2378" s="549">
        <v>44958</v>
      </c>
      <c r="K2378" s="11"/>
      <c r="L2378"/>
      <c r="M2378" s="315">
        <f t="shared" si="1037"/>
        <v>15.200000000000001</v>
      </c>
      <c r="N2378" s="29">
        <v>8.3800000000000008</v>
      </c>
      <c r="O2378" s="319"/>
      <c r="P2378" s="97" t="s">
        <v>2827</v>
      </c>
      <c r="Q2378" s="97"/>
      <c r="R2378" s="97">
        <v>2015</v>
      </c>
      <c r="S2378" s="97"/>
      <c r="T2378" s="554">
        <v>2.82</v>
      </c>
      <c r="U2378" s="60"/>
      <c r="V2378" s="50"/>
      <c r="W2378" t="s">
        <v>1017</v>
      </c>
      <c r="X2378"/>
      <c r="Y2378" s="50"/>
      <c r="Z2378" s="50"/>
      <c r="AA2378" s="50"/>
      <c r="AB2378" s="50"/>
      <c r="AC2378" s="50"/>
      <c r="AD2378" s="50"/>
      <c r="AE2378" s="75"/>
      <c r="AF2378" s="50"/>
      <c r="AG2378" s="50"/>
      <c r="AH2378" s="171"/>
      <c r="AI2378" s="168"/>
      <c r="AJ2378" s="168"/>
      <c r="AK2378" s="168"/>
      <c r="AL2378" s="168"/>
      <c r="AM2378" s="168"/>
      <c r="AN2378" s="167"/>
      <c r="AO2378" s="167"/>
      <c r="AP2378" s="167"/>
      <c r="AQ2378" s="169"/>
      <c r="AR2378" s="170"/>
      <c r="AS2378" s="169"/>
      <c r="AT2378"/>
      <c r="AU2378" s="170"/>
      <c r="AV2378" s="169"/>
      <c r="AW2378" s="170"/>
      <c r="AX2378" s="169"/>
      <c r="AY2378"/>
      <c r="AZ2378"/>
    </row>
    <row r="2379" spans="1:52" s="145" customFormat="1" x14ac:dyDescent="0.35">
      <c r="A2379" s="502" t="s">
        <v>6181</v>
      </c>
      <c r="B2379" s="301" t="s">
        <v>5547</v>
      </c>
      <c r="C2379" s="301" t="s">
        <v>5539</v>
      </c>
      <c r="D2379" s="301" t="s">
        <v>7017</v>
      </c>
      <c r="E2379" s="301" t="s">
        <v>5806</v>
      </c>
      <c r="F2379" s="377">
        <f t="shared" si="1034"/>
        <v>26.470000000000002</v>
      </c>
      <c r="G2379" s="433">
        <f t="shared" si="1035"/>
        <v>26.470000000000002</v>
      </c>
      <c r="H2379" s="303">
        <f t="shared" si="1036"/>
        <v>21.18</v>
      </c>
      <c r="I2379" s="579"/>
      <c r="J2379" s="549">
        <v>42993</v>
      </c>
      <c r="K2379" s="11"/>
      <c r="L2379"/>
      <c r="M2379" s="315">
        <f t="shared" si="1037"/>
        <v>26.470000000000002</v>
      </c>
      <c r="N2379" s="29">
        <v>11.67</v>
      </c>
      <c r="O2379" s="319"/>
      <c r="P2379" s="97" t="s">
        <v>2827</v>
      </c>
      <c r="Q2379" s="97"/>
      <c r="R2379" s="97">
        <v>2016</v>
      </c>
      <c r="S2379" s="97"/>
      <c r="T2379" s="554">
        <f t="shared" ref="T2379:T2390" si="1038">ROUND($Q$1988*0.99^($R2379-$Q$1985),2)</f>
        <v>2.8</v>
      </c>
      <c r="U2379" s="146" t="s">
        <v>1017</v>
      </c>
      <c r="W2379" s="147"/>
      <c r="X2379" s="147"/>
      <c r="Z2379" s="145" t="s">
        <v>1017</v>
      </c>
      <c r="AA2379" s="147"/>
      <c r="AD2379" s="147"/>
      <c r="AE2379" s="148"/>
      <c r="AF2379" s="147"/>
      <c r="AG2379" s="147"/>
      <c r="AH2379" s="171"/>
      <c r="AI2379" s="168"/>
      <c r="AJ2379" s="168"/>
      <c r="AK2379" s="168"/>
      <c r="AL2379" s="168"/>
      <c r="AM2379" s="168"/>
      <c r="AN2379" s="167"/>
      <c r="AO2379" s="167"/>
      <c r="AP2379" s="167"/>
      <c r="AQ2379" s="169"/>
      <c r="AR2379" s="170"/>
      <c r="AS2379" s="169"/>
      <c r="AT2379"/>
      <c r="AU2379" s="170"/>
      <c r="AV2379" s="169"/>
      <c r="AW2379" s="170"/>
      <c r="AX2379" s="169"/>
      <c r="AY2379"/>
      <c r="AZ2379"/>
    </row>
    <row r="2380" spans="1:52" s="145" customFormat="1" x14ac:dyDescent="0.35">
      <c r="A2380" s="502" t="s">
        <v>8152</v>
      </c>
      <c r="B2380" s="301" t="s">
        <v>5547</v>
      </c>
      <c r="C2380" s="301" t="s">
        <v>5539</v>
      </c>
      <c r="D2380" s="301" t="s">
        <v>8150</v>
      </c>
      <c r="E2380" s="301" t="s">
        <v>5806</v>
      </c>
      <c r="F2380" s="377">
        <f t="shared" si="1034"/>
        <v>22.470000000000002</v>
      </c>
      <c r="G2380" s="433">
        <f t="shared" si="1035"/>
        <v>22.470000000000002</v>
      </c>
      <c r="H2380" s="303">
        <f t="shared" si="1036"/>
        <v>17.98</v>
      </c>
      <c r="I2380" s="579"/>
      <c r="J2380" s="549">
        <v>44896</v>
      </c>
      <c r="K2380" s="11"/>
      <c r="L2380"/>
      <c r="M2380" s="315">
        <f t="shared" si="1037"/>
        <v>22.470000000000002</v>
      </c>
      <c r="N2380" s="29">
        <v>11.67</v>
      </c>
      <c r="O2380" s="319"/>
      <c r="P2380" s="97" t="s">
        <v>2827</v>
      </c>
      <c r="Q2380" s="97"/>
      <c r="R2380" s="97">
        <v>2016</v>
      </c>
      <c r="S2380" s="97"/>
      <c r="T2380" s="554">
        <f t="shared" si="1038"/>
        <v>2.8</v>
      </c>
      <c r="U2380" s="146" t="s">
        <v>1017</v>
      </c>
      <c r="W2380" s="147"/>
      <c r="X2380" s="147"/>
      <c r="Y2380" s="145" t="s">
        <v>1017</v>
      </c>
      <c r="AA2380" s="147"/>
      <c r="AD2380" s="147"/>
      <c r="AE2380" s="148"/>
      <c r="AF2380" s="147"/>
      <c r="AG2380" s="147"/>
      <c r="AH2380" s="171"/>
      <c r="AI2380" s="168"/>
      <c r="AJ2380" s="168"/>
      <c r="AK2380" s="168"/>
      <c r="AL2380" s="168"/>
      <c r="AM2380" s="168"/>
      <c r="AN2380" s="167"/>
      <c r="AO2380" s="167"/>
      <c r="AP2380" s="167"/>
      <c r="AQ2380" s="169"/>
      <c r="AR2380" s="170"/>
      <c r="AS2380" s="169"/>
      <c r="AT2380"/>
      <c r="AU2380" s="170"/>
      <c r="AV2380" s="169"/>
      <c r="AW2380" s="170"/>
      <c r="AX2380" s="169"/>
      <c r="AY2380"/>
      <c r="AZ2380"/>
    </row>
    <row r="2381" spans="1:52" s="145" customFormat="1" x14ac:dyDescent="0.35">
      <c r="A2381" s="502" t="s">
        <v>6182</v>
      </c>
      <c r="B2381" s="301" t="s">
        <v>5547</v>
      </c>
      <c r="C2381" s="301" t="s">
        <v>5539</v>
      </c>
      <c r="D2381" s="301" t="s">
        <v>7236</v>
      </c>
      <c r="E2381" s="301" t="s">
        <v>5806</v>
      </c>
      <c r="F2381" s="377">
        <f t="shared" si="1034"/>
        <v>21.12</v>
      </c>
      <c r="G2381" s="433">
        <f t="shared" si="1035"/>
        <v>21.12</v>
      </c>
      <c r="H2381" s="303">
        <f t="shared" si="1036"/>
        <v>16.899999999999999</v>
      </c>
      <c r="I2381" s="579"/>
      <c r="J2381" s="549">
        <v>42993</v>
      </c>
      <c r="K2381" s="11"/>
      <c r="L2381"/>
      <c r="M2381" s="315">
        <f t="shared" si="1037"/>
        <v>21.12</v>
      </c>
      <c r="N2381" s="29">
        <v>9.32</v>
      </c>
      <c r="O2381" s="319"/>
      <c r="P2381" s="97" t="s">
        <v>2827</v>
      </c>
      <c r="Q2381" s="97"/>
      <c r="R2381" s="97">
        <v>2016</v>
      </c>
      <c r="S2381" s="97"/>
      <c r="T2381" s="554">
        <f t="shared" si="1038"/>
        <v>2.8</v>
      </c>
      <c r="U2381" s="146" t="s">
        <v>1017</v>
      </c>
      <c r="W2381" s="147"/>
      <c r="X2381" s="147"/>
      <c r="Z2381" s="147"/>
      <c r="AA2381" s="145" t="s">
        <v>1017</v>
      </c>
      <c r="AC2381" s="147"/>
      <c r="AE2381" s="148"/>
      <c r="AF2381" s="147"/>
      <c r="AG2381" s="147"/>
      <c r="AH2381" s="171"/>
      <c r="AI2381" s="168"/>
      <c r="AJ2381" s="168"/>
      <c r="AK2381" s="168"/>
      <c r="AL2381" s="168"/>
      <c r="AM2381" s="168"/>
      <c r="AN2381" s="167"/>
      <c r="AO2381" s="167"/>
      <c r="AP2381" s="167"/>
      <c r="AQ2381" s="169"/>
      <c r="AR2381" s="170"/>
      <c r="AS2381" s="169"/>
      <c r="AT2381"/>
      <c r="AU2381" s="170"/>
      <c r="AV2381" s="169"/>
      <c r="AW2381" s="170"/>
      <c r="AX2381" s="169"/>
      <c r="AY2381"/>
      <c r="AZ2381"/>
    </row>
    <row r="2382" spans="1:52" s="145" customFormat="1" x14ac:dyDescent="0.35">
      <c r="A2382" s="502" t="s">
        <v>8149</v>
      </c>
      <c r="B2382" s="301" t="s">
        <v>5547</v>
      </c>
      <c r="C2382" s="301" t="s">
        <v>5539</v>
      </c>
      <c r="D2382" s="301" t="s">
        <v>8151</v>
      </c>
      <c r="E2382" s="301" t="s">
        <v>5806</v>
      </c>
      <c r="F2382" s="377">
        <f t="shared" si="1034"/>
        <v>20.12</v>
      </c>
      <c r="G2382" s="433">
        <f t="shared" si="1035"/>
        <v>20.12</v>
      </c>
      <c r="H2382" s="303">
        <f t="shared" si="1036"/>
        <v>16.100000000000001</v>
      </c>
      <c r="I2382" s="579"/>
      <c r="J2382" s="549">
        <v>44896</v>
      </c>
      <c r="K2382" s="11"/>
      <c r="L2382"/>
      <c r="M2382" s="315">
        <f t="shared" si="1037"/>
        <v>20.12</v>
      </c>
      <c r="N2382" s="29">
        <v>9.32</v>
      </c>
      <c r="O2382" s="319"/>
      <c r="P2382" s="97" t="s">
        <v>2827</v>
      </c>
      <c r="Q2382" s="97"/>
      <c r="R2382" s="97">
        <v>2016</v>
      </c>
      <c r="S2382" s="97"/>
      <c r="T2382" s="554">
        <f t="shared" si="1038"/>
        <v>2.8</v>
      </c>
      <c r="U2382" s="146" t="s">
        <v>1017</v>
      </c>
      <c r="W2382" s="147"/>
      <c r="X2382" s="147"/>
      <c r="Y2382" s="145" t="s">
        <v>1017</v>
      </c>
      <c r="Z2382" s="147"/>
      <c r="AC2382" s="147"/>
      <c r="AE2382" s="148"/>
      <c r="AF2382" s="147"/>
      <c r="AG2382" s="147"/>
      <c r="AH2382" s="171"/>
      <c r="AI2382" s="168"/>
      <c r="AJ2382" s="168"/>
      <c r="AK2382" s="168"/>
      <c r="AL2382" s="168"/>
      <c r="AM2382" s="168"/>
      <c r="AN2382" s="167"/>
      <c r="AO2382" s="167"/>
      <c r="AP2382" s="167"/>
      <c r="AQ2382" s="169"/>
      <c r="AR2382" s="170"/>
      <c r="AS2382" s="169"/>
      <c r="AT2382"/>
      <c r="AU2382" s="170"/>
      <c r="AV2382" s="169"/>
      <c r="AW2382" s="170"/>
      <c r="AX2382" s="169"/>
      <c r="AY2382"/>
      <c r="AZ2382"/>
    </row>
    <row r="2383" spans="1:52" s="145" customFormat="1" x14ac:dyDescent="0.35">
      <c r="A2383" s="502" t="s">
        <v>7843</v>
      </c>
      <c r="B2383" s="301" t="s">
        <v>5547</v>
      </c>
      <c r="C2383" s="301" t="s">
        <v>5539</v>
      </c>
      <c r="D2383" s="301" t="s">
        <v>7844</v>
      </c>
      <c r="E2383" s="301" t="s">
        <v>5806</v>
      </c>
      <c r="F2383" s="377">
        <f t="shared" si="1034"/>
        <v>15.18</v>
      </c>
      <c r="G2383" s="433">
        <f t="shared" si="1035"/>
        <v>15.18</v>
      </c>
      <c r="H2383" s="303">
        <f t="shared" si="1036"/>
        <v>12.14</v>
      </c>
      <c r="I2383" s="579"/>
      <c r="J2383" s="549">
        <v>44681</v>
      </c>
      <c r="K2383" s="11"/>
      <c r="L2383"/>
      <c r="M2383" s="315">
        <f t="shared" si="1037"/>
        <v>15.18</v>
      </c>
      <c r="N2383" s="29">
        <v>8.3800000000000008</v>
      </c>
      <c r="O2383" s="319"/>
      <c r="P2383" s="97" t="s">
        <v>2827</v>
      </c>
      <c r="Q2383" s="97"/>
      <c r="R2383" s="97">
        <v>2016</v>
      </c>
      <c r="S2383" s="97"/>
      <c r="T2383" s="554">
        <f t="shared" si="1038"/>
        <v>2.8</v>
      </c>
      <c r="U2383" s="60"/>
      <c r="V2383" s="50"/>
      <c r="W2383" t="s">
        <v>1017</v>
      </c>
      <c r="X2383"/>
      <c r="Y2383" s="50"/>
      <c r="Z2383" s="50"/>
      <c r="AA2383" s="50"/>
      <c r="AB2383" s="50"/>
      <c r="AC2383" s="50"/>
      <c r="AD2383" s="50"/>
      <c r="AE2383" s="75"/>
      <c r="AF2383" s="50"/>
      <c r="AG2383" s="50"/>
      <c r="AH2383" s="171"/>
      <c r="AI2383" s="168"/>
      <c r="AJ2383" s="168"/>
      <c r="AK2383" s="168"/>
      <c r="AL2383" s="168"/>
      <c r="AM2383" s="168"/>
      <c r="AN2383" s="167"/>
      <c r="AO2383" s="167"/>
      <c r="AP2383" s="167"/>
      <c r="AQ2383" s="169"/>
      <c r="AR2383" s="170"/>
      <c r="AS2383" s="169"/>
      <c r="AT2383"/>
      <c r="AU2383" s="170"/>
      <c r="AV2383" s="169"/>
      <c r="AW2383" s="170"/>
      <c r="AX2383" s="169"/>
      <c r="AY2383"/>
      <c r="AZ2383"/>
    </row>
    <row r="2384" spans="1:52" s="145" customFormat="1" x14ac:dyDescent="0.35">
      <c r="A2384" s="502" t="s">
        <v>6603</v>
      </c>
      <c r="B2384" s="301" t="s">
        <v>5547</v>
      </c>
      <c r="C2384" s="301" t="s">
        <v>5539</v>
      </c>
      <c r="D2384" s="301" t="s">
        <v>6859</v>
      </c>
      <c r="E2384" s="301" t="s">
        <v>6155</v>
      </c>
      <c r="F2384" s="377">
        <f t="shared" si="1034"/>
        <v>25.44</v>
      </c>
      <c r="G2384" s="433">
        <f t="shared" si="1035"/>
        <v>25.44</v>
      </c>
      <c r="H2384" s="303">
        <f t="shared" si="1036"/>
        <v>20.350000000000001</v>
      </c>
      <c r="I2384" s="579"/>
      <c r="J2384" s="549">
        <v>43951</v>
      </c>
      <c r="K2384" s="11"/>
      <c r="L2384"/>
      <c r="M2384" s="315">
        <f t="shared" si="1037"/>
        <v>25.44</v>
      </c>
      <c r="N2384" s="29">
        <v>11.67</v>
      </c>
      <c r="O2384" s="319"/>
      <c r="P2384" s="97" t="s">
        <v>2827</v>
      </c>
      <c r="Q2384" s="97"/>
      <c r="R2384" s="97">
        <v>2017</v>
      </c>
      <c r="S2384" s="97"/>
      <c r="T2384" s="554">
        <f t="shared" si="1038"/>
        <v>2.77</v>
      </c>
      <c r="U2384" s="146"/>
      <c r="W2384" s="147"/>
      <c r="X2384" s="147"/>
      <c r="Z2384" s="145" t="s">
        <v>1017</v>
      </c>
      <c r="AA2384" s="147"/>
      <c r="AD2384" s="147"/>
      <c r="AE2384" s="148"/>
      <c r="AF2384" s="147"/>
      <c r="AG2384" s="147"/>
      <c r="AH2384" s="171"/>
      <c r="AI2384" s="168"/>
      <c r="AJ2384" s="168"/>
      <c r="AK2384" s="168"/>
      <c r="AL2384" s="168"/>
      <c r="AM2384" s="168"/>
      <c r="AN2384" s="167"/>
      <c r="AO2384" s="167"/>
      <c r="AP2384" s="167"/>
      <c r="AQ2384" s="169"/>
      <c r="AR2384" s="170"/>
      <c r="AS2384" s="169"/>
      <c r="AT2384"/>
      <c r="AU2384" s="170"/>
      <c r="AV2384" s="169"/>
      <c r="AW2384" s="170"/>
      <c r="AX2384" s="169"/>
      <c r="AY2384"/>
      <c r="AZ2384"/>
    </row>
    <row r="2385" spans="1:52" s="145" customFormat="1" x14ac:dyDescent="0.35">
      <c r="A2385" s="502" t="s">
        <v>6352</v>
      </c>
      <c r="B2385" s="301" t="s">
        <v>5547</v>
      </c>
      <c r="C2385" s="301" t="s">
        <v>5539</v>
      </c>
      <c r="D2385" s="301" t="s">
        <v>6862</v>
      </c>
      <c r="E2385" s="301" t="s">
        <v>6155</v>
      </c>
      <c r="F2385" s="377">
        <f t="shared" si="1034"/>
        <v>26.44</v>
      </c>
      <c r="G2385" s="433">
        <f t="shared" si="1035"/>
        <v>26.44</v>
      </c>
      <c r="H2385" s="303">
        <f t="shared" si="1036"/>
        <v>21.15</v>
      </c>
      <c r="I2385" s="579"/>
      <c r="J2385" s="549">
        <v>43318</v>
      </c>
      <c r="K2385" s="11"/>
      <c r="L2385"/>
      <c r="M2385" s="315">
        <f t="shared" si="1037"/>
        <v>26.44</v>
      </c>
      <c r="N2385" s="29">
        <v>11.67</v>
      </c>
      <c r="O2385" s="319"/>
      <c r="P2385" s="97" t="s">
        <v>2827</v>
      </c>
      <c r="Q2385" s="97"/>
      <c r="R2385" s="97">
        <v>2017</v>
      </c>
      <c r="S2385" s="97"/>
      <c r="T2385" s="554">
        <f t="shared" si="1038"/>
        <v>2.77</v>
      </c>
      <c r="U2385" s="146" t="s">
        <v>1017</v>
      </c>
      <c r="W2385" s="147"/>
      <c r="X2385" s="147"/>
      <c r="Z2385" s="145" t="s">
        <v>1017</v>
      </c>
      <c r="AA2385" s="147"/>
      <c r="AD2385" s="147"/>
      <c r="AE2385" s="148"/>
      <c r="AF2385" s="147"/>
      <c r="AG2385" s="147"/>
      <c r="AH2385" s="171"/>
      <c r="AI2385" s="168"/>
      <c r="AJ2385" s="168"/>
      <c r="AK2385" s="168"/>
      <c r="AL2385" s="168"/>
      <c r="AM2385" s="168"/>
      <c r="AN2385" s="167"/>
      <c r="AO2385" s="167"/>
      <c r="AP2385" s="167"/>
      <c r="AQ2385" s="169"/>
      <c r="AR2385" s="170"/>
      <c r="AS2385" s="169"/>
      <c r="AT2385"/>
      <c r="AU2385" s="170"/>
      <c r="AV2385" s="169"/>
      <c r="AW2385" s="170"/>
      <c r="AX2385" s="169"/>
      <c r="AY2385"/>
      <c r="AZ2385"/>
    </row>
    <row r="2386" spans="1:52" s="145" customFormat="1" x14ac:dyDescent="0.35">
      <c r="A2386" s="502" t="s">
        <v>6604</v>
      </c>
      <c r="B2386" s="301" t="s">
        <v>5547</v>
      </c>
      <c r="C2386" s="301" t="s">
        <v>5539</v>
      </c>
      <c r="D2386" s="301" t="s">
        <v>7238</v>
      </c>
      <c r="E2386" s="301" t="s">
        <v>6155</v>
      </c>
      <c r="F2386" s="377">
        <f t="shared" si="1034"/>
        <v>20.09</v>
      </c>
      <c r="G2386" s="433">
        <f t="shared" si="1035"/>
        <v>20.09</v>
      </c>
      <c r="H2386" s="303">
        <f t="shared" si="1036"/>
        <v>16.07</v>
      </c>
      <c r="I2386" s="579"/>
      <c r="J2386" s="549">
        <v>43951</v>
      </c>
      <c r="K2386" s="11"/>
      <c r="L2386"/>
      <c r="M2386" s="315">
        <f t="shared" si="1037"/>
        <v>20.09</v>
      </c>
      <c r="N2386" s="29">
        <v>9.32</v>
      </c>
      <c r="O2386" s="319"/>
      <c r="P2386" s="97" t="s">
        <v>2827</v>
      </c>
      <c r="Q2386" s="97"/>
      <c r="R2386" s="97">
        <v>2017</v>
      </c>
      <c r="S2386" s="97"/>
      <c r="T2386" s="554">
        <f t="shared" si="1038"/>
        <v>2.77</v>
      </c>
      <c r="U2386" s="146"/>
      <c r="W2386" s="147"/>
      <c r="X2386" s="147"/>
      <c r="Z2386" s="147"/>
      <c r="AA2386" s="145" t="s">
        <v>1017</v>
      </c>
      <c r="AC2386" s="147"/>
      <c r="AE2386" s="148"/>
      <c r="AF2386" s="147"/>
      <c r="AG2386" s="147"/>
      <c r="AH2386" s="171"/>
      <c r="AI2386" s="168"/>
      <c r="AJ2386" s="168"/>
      <c r="AK2386" s="168"/>
      <c r="AL2386" s="168"/>
      <c r="AM2386" s="168"/>
      <c r="AN2386" s="167"/>
      <c r="AO2386" s="167"/>
      <c r="AP2386" s="167"/>
      <c r="AQ2386" s="169"/>
      <c r="AR2386" s="170"/>
      <c r="AS2386" s="169"/>
      <c r="AT2386"/>
      <c r="AU2386" s="170"/>
      <c r="AV2386" s="169"/>
      <c r="AW2386" s="170"/>
      <c r="AX2386" s="169"/>
      <c r="AY2386"/>
      <c r="AZ2386"/>
    </row>
    <row r="2387" spans="1:52" s="145" customFormat="1" x14ac:dyDescent="0.35">
      <c r="A2387" s="502" t="s">
        <v>6353</v>
      </c>
      <c r="B2387" s="301" t="s">
        <v>5547</v>
      </c>
      <c r="C2387" s="301" t="s">
        <v>5539</v>
      </c>
      <c r="D2387" s="301" t="s">
        <v>7085</v>
      </c>
      <c r="E2387" s="301" t="s">
        <v>6155</v>
      </c>
      <c r="F2387" s="377">
        <f t="shared" si="1034"/>
        <v>21.09</v>
      </c>
      <c r="G2387" s="433">
        <f t="shared" si="1035"/>
        <v>21.09</v>
      </c>
      <c r="H2387" s="303">
        <f t="shared" si="1036"/>
        <v>16.87</v>
      </c>
      <c r="I2387" s="579"/>
      <c r="J2387" s="549">
        <v>43318</v>
      </c>
      <c r="K2387" s="11"/>
      <c r="L2387"/>
      <c r="M2387" s="315">
        <f t="shared" si="1037"/>
        <v>21.09</v>
      </c>
      <c r="N2387" s="29">
        <v>9.32</v>
      </c>
      <c r="O2387" s="319"/>
      <c r="P2387" s="97" t="s">
        <v>2827</v>
      </c>
      <c r="Q2387" s="97"/>
      <c r="R2387" s="97">
        <v>2017</v>
      </c>
      <c r="S2387" s="97"/>
      <c r="T2387" s="554">
        <f t="shared" si="1038"/>
        <v>2.77</v>
      </c>
      <c r="U2387" s="146" t="s">
        <v>1017</v>
      </c>
      <c r="W2387" s="147"/>
      <c r="X2387" s="147"/>
      <c r="Z2387" s="147"/>
      <c r="AA2387" s="145" t="s">
        <v>1017</v>
      </c>
      <c r="AC2387" s="147"/>
      <c r="AE2387" s="148"/>
      <c r="AF2387" s="147"/>
      <c r="AG2387" s="147"/>
      <c r="AH2387" s="171"/>
      <c r="AI2387" s="168"/>
      <c r="AJ2387" s="168"/>
      <c r="AK2387" s="168"/>
      <c r="AL2387" s="168"/>
      <c r="AM2387" s="168"/>
      <c r="AN2387" s="167"/>
      <c r="AO2387" s="167"/>
      <c r="AP2387" s="167"/>
      <c r="AQ2387" s="169"/>
      <c r="AR2387" s="170"/>
      <c r="AS2387" s="169"/>
      <c r="AT2387"/>
      <c r="AU2387" s="170"/>
      <c r="AV2387" s="169"/>
      <c r="AW2387" s="170"/>
      <c r="AX2387" s="169"/>
      <c r="AY2387"/>
      <c r="AZ2387"/>
    </row>
    <row r="2388" spans="1:52" x14ac:dyDescent="0.35">
      <c r="A2388" s="502" t="s">
        <v>7846</v>
      </c>
      <c r="B2388" s="301" t="s">
        <v>5547</v>
      </c>
      <c r="C2388" s="301" t="s">
        <v>5539</v>
      </c>
      <c r="D2388" s="301" t="s">
        <v>7847</v>
      </c>
      <c r="E2388" s="301" t="s">
        <v>7848</v>
      </c>
      <c r="F2388" s="377">
        <f t="shared" si="1034"/>
        <v>26.330000000000002</v>
      </c>
      <c r="G2388" s="429">
        <f t="shared" si="1035"/>
        <v>26.330000000000002</v>
      </c>
      <c r="H2388" s="303">
        <f t="shared" si="1036"/>
        <v>21.06</v>
      </c>
      <c r="I2388" s="579"/>
      <c r="J2388" s="549">
        <v>44681</v>
      </c>
      <c r="K2388" s="11"/>
      <c r="M2388" s="315">
        <f t="shared" si="1037"/>
        <v>26.330000000000002</v>
      </c>
      <c r="N2388" s="29">
        <v>11.67</v>
      </c>
      <c r="O2388" s="319"/>
      <c r="P2388" s="97" t="s">
        <v>2827</v>
      </c>
      <c r="Q2388" s="97"/>
      <c r="R2388" s="97">
        <v>2021</v>
      </c>
      <c r="S2388" s="97"/>
      <c r="T2388" s="554">
        <f t="shared" si="1038"/>
        <v>2.66</v>
      </c>
      <c r="U2388" s="146" t="s">
        <v>1017</v>
      </c>
      <c r="V2388" s="145"/>
      <c r="W2388" s="147"/>
      <c r="X2388" s="147"/>
      <c r="Y2388" s="145"/>
      <c r="Z2388" s="145" t="s">
        <v>1017</v>
      </c>
      <c r="AA2388" s="147"/>
      <c r="AB2388" s="145"/>
      <c r="AC2388" s="145"/>
      <c r="AD2388" s="147"/>
      <c r="AE2388" s="148"/>
      <c r="AF2388" s="147"/>
      <c r="AG2388" s="147"/>
      <c r="AH2388" s="171"/>
      <c r="AI2388" s="168"/>
      <c r="AJ2388" s="168"/>
      <c r="AK2388" s="168"/>
      <c r="AL2388" s="168"/>
      <c r="AM2388" s="168"/>
      <c r="AN2388" s="167"/>
      <c r="AO2388" s="167"/>
      <c r="AP2388" s="167"/>
      <c r="AQ2388" s="169"/>
      <c r="AR2388" s="170"/>
      <c r="AS2388" s="169"/>
      <c r="AU2388" s="170"/>
      <c r="AV2388" s="169"/>
      <c r="AW2388" s="170"/>
      <c r="AX2388" s="169"/>
    </row>
    <row r="2389" spans="1:52" x14ac:dyDescent="0.35">
      <c r="A2389" s="502" t="s">
        <v>7849</v>
      </c>
      <c r="B2389" s="301" t="s">
        <v>5547</v>
      </c>
      <c r="C2389" s="301" t="s">
        <v>5539</v>
      </c>
      <c r="D2389" s="301" t="s">
        <v>7850</v>
      </c>
      <c r="E2389" s="301" t="s">
        <v>7848</v>
      </c>
      <c r="F2389" s="377">
        <f t="shared" si="1034"/>
        <v>20.98</v>
      </c>
      <c r="G2389" s="429">
        <f t="shared" si="1035"/>
        <v>20.98</v>
      </c>
      <c r="H2389" s="303">
        <f t="shared" si="1036"/>
        <v>16.78</v>
      </c>
      <c r="I2389" s="579"/>
      <c r="J2389" s="549">
        <v>44681</v>
      </c>
      <c r="K2389" s="11"/>
      <c r="M2389" s="315">
        <f t="shared" si="1037"/>
        <v>20.98</v>
      </c>
      <c r="N2389" s="29">
        <v>9.32</v>
      </c>
      <c r="O2389" s="319"/>
      <c r="P2389" s="97" t="s">
        <v>2827</v>
      </c>
      <c r="Q2389" s="97"/>
      <c r="R2389" s="97">
        <v>2021</v>
      </c>
      <c r="S2389" s="97"/>
      <c r="T2389" s="554">
        <f t="shared" si="1038"/>
        <v>2.66</v>
      </c>
      <c r="U2389" s="146" t="s">
        <v>1017</v>
      </c>
      <c r="V2389" s="145"/>
      <c r="W2389" s="147"/>
      <c r="X2389" s="147"/>
      <c r="Y2389" s="145"/>
      <c r="Z2389" s="147"/>
      <c r="AA2389" s="145" t="s">
        <v>1017</v>
      </c>
      <c r="AB2389" s="145"/>
      <c r="AC2389" s="147"/>
      <c r="AD2389" s="145"/>
      <c r="AE2389" s="148"/>
      <c r="AF2389" s="147"/>
      <c r="AG2389" s="147"/>
      <c r="AH2389" s="171"/>
      <c r="AI2389" s="168"/>
      <c r="AJ2389" s="168"/>
      <c r="AK2389" s="168"/>
      <c r="AL2389" s="168"/>
      <c r="AM2389" s="168"/>
      <c r="AN2389" s="167"/>
      <c r="AO2389" s="167"/>
      <c r="AP2389" s="167"/>
      <c r="AQ2389" s="169"/>
      <c r="AR2389" s="170"/>
      <c r="AS2389" s="169"/>
      <c r="AU2389" s="170"/>
      <c r="AV2389" s="169"/>
      <c r="AW2389" s="170"/>
      <c r="AX2389" s="169"/>
    </row>
    <row r="2390" spans="1:52" s="145" customFormat="1" x14ac:dyDescent="0.35">
      <c r="A2390" s="502" t="s">
        <v>7851</v>
      </c>
      <c r="B2390" s="301" t="s">
        <v>5547</v>
      </c>
      <c r="C2390" s="301" t="s">
        <v>5539</v>
      </c>
      <c r="D2390" s="301" t="s">
        <v>7852</v>
      </c>
      <c r="E2390" s="301" t="s">
        <v>7848</v>
      </c>
      <c r="F2390" s="377">
        <f t="shared" si="1034"/>
        <v>15.040000000000001</v>
      </c>
      <c r="G2390" s="429">
        <f t="shared" si="1035"/>
        <v>15.040000000000001</v>
      </c>
      <c r="H2390" s="303">
        <f t="shared" si="1036"/>
        <v>12.03</v>
      </c>
      <c r="I2390" s="579"/>
      <c r="J2390" s="549">
        <v>44681</v>
      </c>
      <c r="K2390" s="11"/>
      <c r="L2390"/>
      <c r="M2390" s="315">
        <f t="shared" si="1037"/>
        <v>15.040000000000001</v>
      </c>
      <c r="N2390" s="29">
        <v>8.3800000000000008</v>
      </c>
      <c r="O2390" s="319"/>
      <c r="P2390" s="97" t="s">
        <v>2827</v>
      </c>
      <c r="Q2390" s="97"/>
      <c r="R2390" s="97">
        <v>2021</v>
      </c>
      <c r="S2390" s="97"/>
      <c r="T2390" s="554">
        <f t="shared" si="1038"/>
        <v>2.66</v>
      </c>
      <c r="U2390" s="60"/>
      <c r="V2390" s="50"/>
      <c r="W2390" t="s">
        <v>1017</v>
      </c>
      <c r="X2390"/>
      <c r="Y2390" s="50"/>
      <c r="Z2390" s="50"/>
      <c r="AA2390" s="50"/>
      <c r="AB2390" s="50"/>
      <c r="AC2390" s="50"/>
      <c r="AD2390" s="50"/>
      <c r="AE2390" s="75"/>
      <c r="AF2390" s="50"/>
      <c r="AG2390" s="50"/>
      <c r="AH2390" s="171" t="s">
        <v>4178</v>
      </c>
      <c r="AI2390" s="168" t="str">
        <f>IF(AND($AH2390&lt;&gt;"",AH2390 =AH2389),"Gleich","")</f>
        <v/>
      </c>
      <c r="AJ2390" s="168" t="str">
        <f>IF(AND($AH2390&lt;&gt;"",A2390 =A2389),"Gleich","")</f>
        <v/>
      </c>
      <c r="AK2390" s="168" t="str">
        <f>IF(AND($AH2390&lt;&gt;"",D2390 =D2389),"Gleich","")</f>
        <v/>
      </c>
      <c r="AL2390" s="168" t="str">
        <f>IF(AND($AH2390&lt;&gt;"",E2390 =E2389),"Gleich","")</f>
        <v>Gleich</v>
      </c>
      <c r="AM2390" s="168" t="str">
        <f>IF(AND($AH2390&lt;&gt;"",F2390 =F2389),"Gleich","")</f>
        <v/>
      </c>
      <c r="AN2390" s="167" t="str">
        <f>IF(ISERROR(SEARCH("K1",A2390)),"","20"&amp;MID(A2390,SEARCH("K1",A2390)+1,2))</f>
        <v/>
      </c>
      <c r="AO2390" s="167" t="str">
        <f>IF(ISERROR(SEARCH("erstmals 201",E2390)),"",MID(E2390,SEARCH("erstmals ",E2390)+9,4))</f>
        <v/>
      </c>
      <c r="AP2390" s="167" t="str">
        <f>IF(R2390="x","2010",IF(S2390="x","2011",IF(T2390="x","2012","")))</f>
        <v/>
      </c>
      <c r="AQ2390" s="169" t="str">
        <f>IF(OR(AH2390&lt;&gt;AN2390,AH2390&lt;&gt;AO2390,AH2390&lt;&gt;AP2390),"DIFF","")</f>
        <v>DIFF</v>
      </c>
      <c r="AR2390" s="170" t="str">
        <f>IF(A2390="","",IF(ISERROR(SEARCH("K1",A2390)),A2390,LEFT(A2390,SEARCH("K1",A2390)+1)&amp;RIGHT(AH2390,1)&amp;MID(A2390,SEARCH("K1",A2390)+3,14)))</f>
        <v>BiK83a2K21--08</v>
      </c>
      <c r="AS2390" s="169" t="str">
        <f>IF(OR(A2390&lt;&gt;AR2390),"DIFF","")</f>
        <v/>
      </c>
      <c r="AT2390">
        <f>LEN(AR2390)</f>
        <v>14</v>
      </c>
      <c r="AU2390" s="170" t="str">
        <f>IF(D2390="","",IF(OR(A2390="",ISERROR(SEARCH("erstmals 201",D2390))),D2390,LEFT(D2390,SEARCH("erstmals 201",D2390)+8) &amp; AH2390 &amp; MID(D2390,SEARCH("erstmals 201",D2390)+13,255)))</f>
        <v>0,5-5 MW, Bonusregeln a2 und K erstmals 2021</v>
      </c>
      <c r="AV2390" s="169" t="str">
        <f>IF(OR(D2390&lt;&gt;AU2390),"DIFF","")</f>
        <v/>
      </c>
      <c r="AW2390" s="170" t="str">
        <f>IF(E2390="","",IF(OR(E2390="",ISERROR(SEARCH("erstmals 201",E2390))),E2390,LEFT(E2390,SEARCH("erstmals 201",E2390)+8) &amp; AH2390 &amp; MID(E2390,SEARCH("erstmals 201",E2390)+13,255)))</f>
        <v>Anteil KWK, erstmals 2021</v>
      </c>
      <c r="AX2390" s="169" t="str">
        <f>IF(OR(E2390&lt;&gt;AW2390),"DIFF","")</f>
        <v/>
      </c>
      <c r="AY2390" t="str">
        <f>IF(AH2390="2011","x",IF(AH2390="2012","","" &amp; S2390))</f>
        <v/>
      </c>
      <c r="AZ2390" t="str">
        <f>IF(AH2390="2012","x",IF(AH2390="2011","","" &amp; T2390))</f>
        <v>x</v>
      </c>
    </row>
    <row r="2391" spans="1:52" s="145" customFormat="1" x14ac:dyDescent="0.35">
      <c r="A2391" s="496" t="s">
        <v>4179</v>
      </c>
      <c r="B2391" s="1"/>
      <c r="C2391" s="1"/>
      <c r="D2391" s="1" t="s">
        <v>4179</v>
      </c>
      <c r="E2391" s="1" t="s">
        <v>4179</v>
      </c>
      <c r="F2391" s="375"/>
      <c r="G2391" s="425"/>
      <c r="H2391" s="10"/>
      <c r="I2391" s="566"/>
      <c r="J2391" s="549" t="s">
        <v>4179</v>
      </c>
      <c r="K2391" s="11"/>
      <c r="L2391"/>
      <c r="M2391" s="22"/>
      <c r="N2391" s="22"/>
      <c r="O2391" s="41"/>
      <c r="P2391" s="11"/>
      <c r="Q2391"/>
      <c r="R2391"/>
      <c r="S2391" t="s">
        <v>4179</v>
      </c>
      <c r="T2391" s="145" t="s">
        <v>4179</v>
      </c>
      <c r="U2391" s="42"/>
      <c r="V2391"/>
      <c r="W2391"/>
      <c r="X2391"/>
      <c r="Y2391"/>
      <c r="Z2391"/>
      <c r="AA2391"/>
      <c r="AB2391"/>
      <c r="AC2391"/>
      <c r="AD2391"/>
      <c r="AE2391" s="75"/>
      <c r="AF2391"/>
      <c r="AG2391"/>
      <c r="AH2391" s="166" t="str">
        <f>IF(ISERROR(SEARCH("K erstmals 201",D2391)),"",RIGHT(D2391,4))</f>
        <v/>
      </c>
      <c r="AI2391" s="168" t="str">
        <f>IF(AND($AH2391&lt;&gt;"",AH2391 =AH2365),"Gleich","")</f>
        <v/>
      </c>
      <c r="AJ2391" s="168" t="str">
        <f>IF(AND($AH2391&lt;&gt;"",A2391 =A2365),"Gleich","")</f>
        <v/>
      </c>
      <c r="AK2391" s="168" t="str">
        <f>IF(AND($AH2391&lt;&gt;"",D2391 =D2365),"Gleich","")</f>
        <v/>
      </c>
      <c r="AL2391" s="168" t="str">
        <f>IF(AND($AH2391&lt;&gt;"",E2391 =E2365),"Gleich","")</f>
        <v/>
      </c>
      <c r="AM2391" s="168" t="str">
        <f>IF(AND($AH2391&lt;&gt;"",F2391 =F2365),"Gleich","")</f>
        <v/>
      </c>
      <c r="AN2391" s="167" t="str">
        <f>IF(ISERROR(SEARCH("K1",A2391)),"","20"&amp;MID(A2391,SEARCH("K1",A2391)+1,2))</f>
        <v/>
      </c>
      <c r="AO2391" s="167" t="str">
        <f>IF(ISERROR(SEARCH("erstmals 201",E2391)),"",MID(E2391,SEARCH("erstmals ",E2391)+9,4))</f>
        <v/>
      </c>
      <c r="AP2391" s="167" t="str">
        <f>IF(R2391="x","2010",IF(S2391="x","2011",IF(T2391="x","2012","")))</f>
        <v/>
      </c>
      <c r="AQ2391" s="169" t="str">
        <f>IF(OR(AH2391&lt;&gt;AN2391,AH2391&lt;&gt;AO2391,AH2391&lt;&gt;AP2391),"DIFF","")</f>
        <v/>
      </c>
      <c r="AR2391" s="170" t="str">
        <f>IF(A2391="","",IF(ISERROR(SEARCH("K1",A2391)),A2391,LEFT(A2391,SEARCH("K1",A2391)+1)&amp;RIGHT(AH2391,1)&amp;MID(A2391,SEARCH("K1",A2391)+3,14)))</f>
        <v/>
      </c>
      <c r="AS2391" s="169" t="str">
        <f>IF(OR(A2391&lt;&gt;AR2391),"DIFF","")</f>
        <v/>
      </c>
      <c r="AT2391">
        <f>LEN(AR2391)</f>
        <v>0</v>
      </c>
      <c r="AU2391" s="170" t="str">
        <f>IF(D2391="","",IF(OR(A2391="",ISERROR(SEARCH("erstmals 201",D2391))),D2391,LEFT(D2391,SEARCH("erstmals 201",D2391)+8) &amp; AH2391 &amp; MID(D2391,SEARCH("erstmals 201",D2391)+13,255)))</f>
        <v/>
      </c>
      <c r="AV2391" s="169" t="str">
        <f>IF(OR(D2391&lt;&gt;AU2391),"DIFF","")</f>
        <v/>
      </c>
      <c r="AW2391" s="170" t="str">
        <f>IF(E2391="","",IF(OR(E2391="",ISERROR(SEARCH("erstmals 201",E2391))),E2391,LEFT(E2391,SEARCH("erstmals 201",E2391)+8) &amp; AH2391 &amp; MID(E2391,SEARCH("erstmals 201",E2391)+13,255)))</f>
        <v/>
      </c>
      <c r="AX2391" s="169" t="str">
        <f>IF(OR(E2391&lt;&gt;AW2391),"DIFF","")</f>
        <v/>
      </c>
      <c r="AY2391" t="str">
        <f>IF(AH2391="2011","x",IF(AH2391="2012","","" &amp; S2391))</f>
        <v/>
      </c>
      <c r="AZ2391" t="str">
        <f>IF(AH2391="2012","x",IF(AH2391="2011","","" &amp; T2391))</f>
        <v/>
      </c>
    </row>
    <row r="2392" spans="1:52" ht="17.25" customHeight="1" x14ac:dyDescent="0.35">
      <c r="A2392" s="496"/>
      <c r="B2392" s="1"/>
      <c r="C2392" s="1"/>
      <c r="D2392" s="1"/>
      <c r="E2392" s="1"/>
      <c r="F2392" s="375"/>
      <c r="G2392" s="432"/>
      <c r="H2392" s="401"/>
      <c r="I2392" s="578"/>
      <c r="J2392" s="549" t="s">
        <v>4179</v>
      </c>
      <c r="K2392" s="22"/>
      <c r="M2392" s="53" t="s">
        <v>1035</v>
      </c>
      <c r="N2392" s="27"/>
      <c r="O2392" s="22"/>
      <c r="P2392" s="22"/>
    </row>
    <row r="2393" spans="1:52" x14ac:dyDescent="0.35">
      <c r="A2393" s="496"/>
      <c r="B2393" s="1"/>
      <c r="C2393" s="18"/>
      <c r="D2393" s="18"/>
      <c r="E2393" s="1"/>
      <c r="F2393" s="375"/>
      <c r="G2393" s="432"/>
      <c r="H2393" s="401"/>
      <c r="I2393" s="578"/>
      <c r="J2393" s="549" t="s">
        <v>4179</v>
      </c>
      <c r="K2393" s="22"/>
      <c r="L2393" s="22"/>
      <c r="M2393" s="22"/>
      <c r="N2393" s="22"/>
      <c r="O2393" s="31" t="s">
        <v>2660</v>
      </c>
      <c r="P2393" s="22"/>
      <c r="R2393" s="42"/>
      <c r="S2393" s="31" t="s">
        <v>776</v>
      </c>
      <c r="AA2393" s="38"/>
      <c r="AB2393" s="57" t="s">
        <v>777</v>
      </c>
      <c r="AD2393" s="38"/>
    </row>
    <row r="2394" spans="1:52" ht="63.5" x14ac:dyDescent="0.35">
      <c r="A2394" s="496"/>
      <c r="B2394" s="1"/>
      <c r="C2394" s="18"/>
      <c r="D2394" s="18"/>
      <c r="E2394" s="1"/>
      <c r="F2394" s="375"/>
      <c r="G2394" s="432"/>
      <c r="H2394" s="401"/>
      <c r="I2394" s="578"/>
      <c r="J2394" s="549" t="s">
        <v>4179</v>
      </c>
      <c r="K2394" s="22"/>
      <c r="L2394" s="22"/>
      <c r="M2394" s="36" t="s">
        <v>2913</v>
      </c>
      <c r="N2394" s="30" t="s">
        <v>2912</v>
      </c>
      <c r="O2394" s="32" t="s">
        <v>4851</v>
      </c>
      <c r="P2394" s="48"/>
      <c r="Q2394" s="48"/>
      <c r="R2394" s="65" t="s">
        <v>4853</v>
      </c>
      <c r="S2394" s="30" t="s">
        <v>1021</v>
      </c>
      <c r="T2394" s="30" t="s">
        <v>1029</v>
      </c>
      <c r="U2394" s="30" t="s">
        <v>786</v>
      </c>
      <c r="V2394" s="64" t="s">
        <v>4883</v>
      </c>
      <c r="W2394" s="64" t="s">
        <v>5519</v>
      </c>
      <c r="X2394" s="64" t="s">
        <v>5520</v>
      </c>
      <c r="Y2394" s="64" t="s">
        <v>5521</v>
      </c>
      <c r="Z2394" s="64" t="s">
        <v>4852</v>
      </c>
      <c r="AA2394" s="66" t="s">
        <v>770</v>
      </c>
      <c r="AB2394" s="30" t="s">
        <v>772</v>
      </c>
      <c r="AC2394" s="30" t="s">
        <v>773</v>
      </c>
      <c r="AD2394" s="39" t="s">
        <v>774</v>
      </c>
    </row>
    <row r="2395" spans="1:52" ht="31.5" x14ac:dyDescent="0.35">
      <c r="A2395" s="496"/>
      <c r="B2395" s="1"/>
      <c r="C2395" s="18"/>
      <c r="D2395" s="18"/>
      <c r="E2395" s="1"/>
      <c r="F2395" s="375"/>
      <c r="G2395" s="432"/>
      <c r="H2395" s="401"/>
      <c r="I2395" s="578"/>
      <c r="J2395" s="549" t="s">
        <v>4179</v>
      </c>
      <c r="K2395" s="22"/>
      <c r="L2395" s="22"/>
      <c r="M2395" s="34"/>
      <c r="N2395" s="30"/>
      <c r="O2395" s="32" t="s">
        <v>1033</v>
      </c>
      <c r="P2395" s="48"/>
      <c r="Q2395" s="48"/>
      <c r="R2395" s="43" t="s">
        <v>1034</v>
      </c>
      <c r="S2395" s="32" t="s">
        <v>1019</v>
      </c>
      <c r="T2395" s="30" t="s">
        <v>1020</v>
      </c>
      <c r="U2395" s="30" t="s">
        <v>1022</v>
      </c>
      <c r="V2395" s="30" t="s">
        <v>1023</v>
      </c>
      <c r="W2395" s="30" t="s">
        <v>1024</v>
      </c>
      <c r="X2395" s="30" t="s">
        <v>1025</v>
      </c>
      <c r="Y2395" s="30" t="s">
        <v>1026</v>
      </c>
      <c r="Z2395" s="30" t="s">
        <v>1028</v>
      </c>
      <c r="AA2395" s="39" t="s">
        <v>1027</v>
      </c>
      <c r="AB2395" s="30" t="s">
        <v>1032</v>
      </c>
      <c r="AC2395" s="30" t="s">
        <v>1030</v>
      </c>
      <c r="AD2395" s="39" t="s">
        <v>1031</v>
      </c>
    </row>
    <row r="2396" spans="1:52" x14ac:dyDescent="0.35">
      <c r="A2396" s="496"/>
      <c r="B2396" s="1"/>
      <c r="C2396" s="1"/>
      <c r="D2396" s="1"/>
      <c r="E2396" s="1"/>
      <c r="F2396" s="375"/>
      <c r="G2396" s="432"/>
      <c r="H2396" s="401"/>
      <c r="I2396" s="578"/>
      <c r="J2396" s="549" t="s">
        <v>4179</v>
      </c>
      <c r="L2396" s="56"/>
      <c r="M2396" s="35"/>
      <c r="N2396" s="28"/>
      <c r="O2396" s="33">
        <v>3</v>
      </c>
      <c r="P2396" s="49"/>
      <c r="Q2396" s="49"/>
      <c r="R2396" s="44">
        <v>1</v>
      </c>
      <c r="S2396" s="28">
        <v>6</v>
      </c>
      <c r="T2396" s="28">
        <v>4</v>
      </c>
      <c r="U2396" s="28">
        <v>2.5</v>
      </c>
      <c r="V2396" s="28">
        <v>7</v>
      </c>
      <c r="W2396" s="28">
        <v>11</v>
      </c>
      <c r="X2396" s="28">
        <v>8</v>
      </c>
      <c r="Y2396" s="28">
        <v>9</v>
      </c>
      <c r="Z2396" s="28">
        <v>13</v>
      </c>
      <c r="AA2396" s="40">
        <v>10</v>
      </c>
      <c r="AB2396" s="33">
        <v>2</v>
      </c>
      <c r="AC2396" s="28">
        <v>1</v>
      </c>
      <c r="AD2396" s="40">
        <v>2</v>
      </c>
    </row>
    <row r="2397" spans="1:52" x14ac:dyDescent="0.35">
      <c r="A2397" s="497" t="s">
        <v>3306</v>
      </c>
      <c r="B2397" s="13" t="s">
        <v>5547</v>
      </c>
      <c r="C2397" s="13" t="s">
        <v>5404</v>
      </c>
      <c r="D2397" s="13" t="s">
        <v>1780</v>
      </c>
      <c r="E2397" s="13" t="s">
        <v>4809</v>
      </c>
      <c r="F2397" s="373">
        <v>11.67</v>
      </c>
      <c r="G2397" s="430">
        <v>11.67</v>
      </c>
      <c r="H2397" s="399">
        <f t="shared" ref="H2397:H2460" si="1039">IF(ISNUMBER(G2397),ROUND(0.8*G2397,2),"")</f>
        <v>9.34</v>
      </c>
      <c r="I2397" s="576"/>
      <c r="J2397" s="549" t="s">
        <v>5804</v>
      </c>
      <c r="K2397" s="11"/>
      <c r="L2397" s="55" t="str">
        <f t="shared" ref="L2397:L2460" si="1040">IF(F2397=M2397,"",FALSE)</f>
        <v/>
      </c>
      <c r="M2397" s="37">
        <f t="shared" ref="M2397:M2460" si="1041">N2397+SUMIF(O2397:AD2397,"x",O$2396:AD$2396)</f>
        <v>11.67</v>
      </c>
      <c r="N2397" s="29">
        <v>11.67</v>
      </c>
      <c r="O2397" s="46"/>
      <c r="P2397" s="50"/>
      <c r="Q2397" s="50"/>
      <c r="R2397" s="54"/>
      <c r="T2397" s="50"/>
      <c r="U2397" s="50"/>
      <c r="X2397" s="50"/>
      <c r="AA2397" s="51"/>
      <c r="AD2397" s="47"/>
    </row>
    <row r="2398" spans="1:52" x14ac:dyDescent="0.35">
      <c r="A2398" s="497" t="s">
        <v>3307</v>
      </c>
      <c r="B2398" s="13" t="s">
        <v>5547</v>
      </c>
      <c r="C2398" s="13" t="s">
        <v>5404</v>
      </c>
      <c r="D2398" s="13" t="s">
        <v>7242</v>
      </c>
      <c r="E2398" s="13" t="s">
        <v>4811</v>
      </c>
      <c r="F2398" s="373">
        <v>14.67</v>
      </c>
      <c r="G2398" s="430">
        <v>14.67</v>
      </c>
      <c r="H2398" s="399">
        <f t="shared" si="1039"/>
        <v>11.74</v>
      </c>
      <c r="I2398" s="576"/>
      <c r="J2398" s="549" t="s">
        <v>5804</v>
      </c>
      <c r="K2398" s="11"/>
      <c r="L2398" s="55" t="str">
        <f t="shared" si="1040"/>
        <v/>
      </c>
      <c r="M2398" s="37">
        <f t="shared" si="1041"/>
        <v>14.67</v>
      </c>
      <c r="N2398" s="29">
        <v>11.67</v>
      </c>
      <c r="O2398" s="31" t="s">
        <v>1017</v>
      </c>
      <c r="P2398" s="50"/>
      <c r="Q2398" s="50"/>
      <c r="R2398" s="42"/>
      <c r="T2398" s="50"/>
      <c r="U2398" s="50"/>
      <c r="X2398" s="50"/>
      <c r="AA2398" s="52"/>
      <c r="AD2398" s="38"/>
    </row>
    <row r="2399" spans="1:52" x14ac:dyDescent="0.35">
      <c r="A2399" s="497" t="s">
        <v>2674</v>
      </c>
      <c r="B2399" s="13" t="s">
        <v>5547</v>
      </c>
      <c r="C2399" s="13" t="s">
        <v>5404</v>
      </c>
      <c r="D2399" s="13" t="s">
        <v>7243</v>
      </c>
      <c r="E2399" s="13" t="s">
        <v>4809</v>
      </c>
      <c r="F2399" s="373">
        <v>12.67</v>
      </c>
      <c r="G2399" s="430">
        <v>12.67</v>
      </c>
      <c r="H2399" s="399">
        <f t="shared" si="1039"/>
        <v>10.14</v>
      </c>
      <c r="I2399" s="576"/>
      <c r="J2399" s="549" t="s">
        <v>5804</v>
      </c>
      <c r="K2399" s="11"/>
      <c r="L2399" s="55" t="str">
        <f t="shared" si="1040"/>
        <v/>
      </c>
      <c r="M2399" s="37">
        <f t="shared" si="1041"/>
        <v>12.67</v>
      </c>
      <c r="N2399" s="29">
        <v>11.67</v>
      </c>
      <c r="O2399" s="31"/>
      <c r="P2399" s="50"/>
      <c r="Q2399" s="50"/>
      <c r="R2399" s="42" t="s">
        <v>1017</v>
      </c>
      <c r="T2399" s="50"/>
      <c r="U2399" s="50"/>
      <c r="X2399" s="50"/>
      <c r="AA2399" s="52"/>
      <c r="AD2399" s="38"/>
    </row>
    <row r="2400" spans="1:52" x14ac:dyDescent="0.35">
      <c r="A2400" s="497" t="s">
        <v>2675</v>
      </c>
      <c r="B2400" s="13" t="s">
        <v>5547</v>
      </c>
      <c r="C2400" s="13" t="s">
        <v>5404</v>
      </c>
      <c r="D2400" s="13" t="s">
        <v>7244</v>
      </c>
      <c r="E2400" s="13" t="s">
        <v>4811</v>
      </c>
      <c r="F2400" s="373">
        <v>15.67</v>
      </c>
      <c r="G2400" s="430">
        <v>15.67</v>
      </c>
      <c r="H2400" s="399">
        <f t="shared" si="1039"/>
        <v>12.54</v>
      </c>
      <c r="I2400" s="576"/>
      <c r="J2400" s="549" t="s">
        <v>5804</v>
      </c>
      <c r="K2400" s="11"/>
      <c r="L2400" s="55" t="str">
        <f t="shared" si="1040"/>
        <v/>
      </c>
      <c r="M2400" s="37">
        <f t="shared" si="1041"/>
        <v>15.67</v>
      </c>
      <c r="N2400" s="29">
        <v>11.67</v>
      </c>
      <c r="O2400" s="31" t="s">
        <v>1017</v>
      </c>
      <c r="P2400" s="50"/>
      <c r="Q2400" s="50"/>
      <c r="R2400" s="42" t="s">
        <v>1017</v>
      </c>
      <c r="T2400" s="50"/>
      <c r="U2400" s="50"/>
      <c r="X2400" s="50"/>
      <c r="AA2400" s="52"/>
      <c r="AD2400" s="38"/>
    </row>
    <row r="2401" spans="1:30" x14ac:dyDescent="0.35">
      <c r="A2401" s="497" t="s">
        <v>3325</v>
      </c>
      <c r="B2401" s="13" t="s">
        <v>5547</v>
      </c>
      <c r="C2401" s="13" t="s">
        <v>5404</v>
      </c>
      <c r="D2401" s="13" t="s">
        <v>6876</v>
      </c>
      <c r="E2401" s="13" t="s">
        <v>4809</v>
      </c>
      <c r="F2401" s="373">
        <v>17.670000000000002</v>
      </c>
      <c r="G2401" s="430">
        <v>17.670000000000002</v>
      </c>
      <c r="H2401" s="399">
        <f t="shared" si="1039"/>
        <v>14.14</v>
      </c>
      <c r="I2401" s="576"/>
      <c r="J2401" s="549" t="s">
        <v>5804</v>
      </c>
      <c r="K2401" s="11"/>
      <c r="L2401" s="55" t="str">
        <f t="shared" si="1040"/>
        <v/>
      </c>
      <c r="M2401" s="37">
        <f t="shared" si="1041"/>
        <v>17.670000000000002</v>
      </c>
      <c r="N2401" s="29">
        <v>11.67</v>
      </c>
      <c r="O2401" s="31"/>
      <c r="P2401" s="50"/>
      <c r="Q2401" s="50"/>
      <c r="R2401" s="42"/>
      <c r="S2401" t="s">
        <v>1017</v>
      </c>
      <c r="T2401" s="50"/>
      <c r="U2401" s="50"/>
      <c r="X2401" s="50"/>
      <c r="AA2401" s="52"/>
      <c r="AD2401" s="38"/>
    </row>
    <row r="2402" spans="1:30" x14ac:dyDescent="0.35">
      <c r="A2402" s="497" t="s">
        <v>3326</v>
      </c>
      <c r="B2402" s="13" t="s">
        <v>5547</v>
      </c>
      <c r="C2402" s="13" t="s">
        <v>5404</v>
      </c>
      <c r="D2402" s="13" t="s">
        <v>7245</v>
      </c>
      <c r="E2402" s="13" t="s">
        <v>4811</v>
      </c>
      <c r="F2402" s="373">
        <v>20.67</v>
      </c>
      <c r="G2402" s="430">
        <v>20.67</v>
      </c>
      <c r="H2402" s="399">
        <f t="shared" si="1039"/>
        <v>16.54</v>
      </c>
      <c r="I2402" s="576"/>
      <c r="J2402" s="549" t="s">
        <v>5804</v>
      </c>
      <c r="K2402" s="11"/>
      <c r="L2402" s="55" t="str">
        <f t="shared" si="1040"/>
        <v/>
      </c>
      <c r="M2402" s="37">
        <f t="shared" si="1041"/>
        <v>20.67</v>
      </c>
      <c r="N2402" s="29">
        <v>11.67</v>
      </c>
      <c r="O2402" s="31" t="s">
        <v>1017</v>
      </c>
      <c r="P2402" s="50"/>
      <c r="Q2402" s="50"/>
      <c r="R2402" s="42"/>
      <c r="S2402" t="s">
        <v>1017</v>
      </c>
      <c r="T2402" s="50"/>
      <c r="U2402" s="50"/>
      <c r="X2402" s="50"/>
      <c r="AA2402" s="52"/>
      <c r="AD2402" s="38"/>
    </row>
    <row r="2403" spans="1:30" x14ac:dyDescent="0.35">
      <c r="A2403" s="497" t="s">
        <v>566</v>
      </c>
      <c r="B2403" s="13" t="s">
        <v>5547</v>
      </c>
      <c r="C2403" s="13" t="s">
        <v>5404</v>
      </c>
      <c r="D2403" s="13" t="s">
        <v>7246</v>
      </c>
      <c r="E2403" s="13" t="s">
        <v>4809</v>
      </c>
      <c r="F2403" s="373">
        <v>18.670000000000002</v>
      </c>
      <c r="G2403" s="430">
        <v>18.670000000000002</v>
      </c>
      <c r="H2403" s="399">
        <f t="shared" si="1039"/>
        <v>14.94</v>
      </c>
      <c r="I2403" s="576"/>
      <c r="J2403" s="549" t="s">
        <v>5804</v>
      </c>
      <c r="K2403" s="11"/>
      <c r="L2403" s="55" t="str">
        <f t="shared" si="1040"/>
        <v/>
      </c>
      <c r="M2403" s="37">
        <f t="shared" si="1041"/>
        <v>18.670000000000002</v>
      </c>
      <c r="N2403" s="29">
        <v>11.67</v>
      </c>
      <c r="O2403" s="31"/>
      <c r="P2403" s="50"/>
      <c r="Q2403" s="50"/>
      <c r="R2403" s="42" t="s">
        <v>1017</v>
      </c>
      <c r="S2403" t="s">
        <v>1017</v>
      </c>
      <c r="T2403" s="50"/>
      <c r="U2403" s="50"/>
      <c r="X2403" s="50"/>
      <c r="AA2403" s="52"/>
      <c r="AD2403" s="38"/>
    </row>
    <row r="2404" spans="1:30" x14ac:dyDescent="0.35">
      <c r="A2404" s="497" t="s">
        <v>567</v>
      </c>
      <c r="B2404" s="13" t="s">
        <v>5547</v>
      </c>
      <c r="C2404" s="13" t="s">
        <v>5404</v>
      </c>
      <c r="D2404" s="13" t="s">
        <v>7247</v>
      </c>
      <c r="E2404" s="13" t="s">
        <v>4811</v>
      </c>
      <c r="F2404" s="373">
        <v>21.67</v>
      </c>
      <c r="G2404" s="430">
        <v>21.67</v>
      </c>
      <c r="H2404" s="399">
        <f t="shared" si="1039"/>
        <v>17.34</v>
      </c>
      <c r="I2404" s="576"/>
      <c r="J2404" s="549" t="s">
        <v>5804</v>
      </c>
      <c r="K2404" s="11"/>
      <c r="L2404" s="55" t="str">
        <f t="shared" si="1040"/>
        <v/>
      </c>
      <c r="M2404" s="37">
        <f t="shared" si="1041"/>
        <v>21.67</v>
      </c>
      <c r="N2404" s="29">
        <v>11.67</v>
      </c>
      <c r="O2404" s="31" t="s">
        <v>1017</v>
      </c>
      <c r="P2404" s="50"/>
      <c r="Q2404" s="50"/>
      <c r="R2404" s="42" t="s">
        <v>1017</v>
      </c>
      <c r="S2404" t="s">
        <v>1017</v>
      </c>
      <c r="T2404" s="50"/>
      <c r="U2404" s="50"/>
      <c r="X2404" s="50"/>
      <c r="AA2404" s="52"/>
      <c r="AD2404" s="38"/>
    </row>
    <row r="2405" spans="1:30" x14ac:dyDescent="0.35">
      <c r="A2405" s="497" t="s">
        <v>3333</v>
      </c>
      <c r="B2405" s="13" t="s">
        <v>5547</v>
      </c>
      <c r="C2405" s="13" t="s">
        <v>5404</v>
      </c>
      <c r="D2405" s="13" t="s">
        <v>6805</v>
      </c>
      <c r="E2405" s="13" t="s">
        <v>4809</v>
      </c>
      <c r="F2405" s="373">
        <v>18.670000000000002</v>
      </c>
      <c r="G2405" s="430">
        <v>18.670000000000002</v>
      </c>
      <c r="H2405" s="399">
        <f t="shared" si="1039"/>
        <v>14.94</v>
      </c>
      <c r="I2405" s="576"/>
      <c r="J2405" s="549" t="s">
        <v>5804</v>
      </c>
      <c r="K2405" s="11"/>
      <c r="L2405" s="55" t="str">
        <f t="shared" si="1040"/>
        <v/>
      </c>
      <c r="M2405" s="37">
        <f t="shared" si="1041"/>
        <v>18.670000000000002</v>
      </c>
      <c r="N2405" s="29">
        <v>11.67</v>
      </c>
      <c r="O2405" s="31"/>
      <c r="P2405" s="50"/>
      <c r="Q2405" s="50"/>
      <c r="R2405" s="42"/>
      <c r="T2405" s="50"/>
      <c r="U2405" s="50"/>
      <c r="V2405" t="s">
        <v>1017</v>
      </c>
      <c r="X2405" s="50"/>
      <c r="AA2405" s="52"/>
      <c r="AD2405" s="38"/>
    </row>
    <row r="2406" spans="1:30" x14ac:dyDescent="0.35">
      <c r="A2406" s="497" t="s">
        <v>3334</v>
      </c>
      <c r="B2406" s="13" t="s">
        <v>5547</v>
      </c>
      <c r="C2406" s="13" t="s">
        <v>5404</v>
      </c>
      <c r="D2406" s="13" t="s">
        <v>7248</v>
      </c>
      <c r="E2406" s="13" t="s">
        <v>4811</v>
      </c>
      <c r="F2406" s="373">
        <v>21.67</v>
      </c>
      <c r="G2406" s="430">
        <v>21.67</v>
      </c>
      <c r="H2406" s="399">
        <f t="shared" si="1039"/>
        <v>17.34</v>
      </c>
      <c r="I2406" s="576"/>
      <c r="J2406" s="549" t="s">
        <v>5804</v>
      </c>
      <c r="K2406" s="11"/>
      <c r="L2406" s="55" t="str">
        <f t="shared" si="1040"/>
        <v/>
      </c>
      <c r="M2406" s="37">
        <f t="shared" si="1041"/>
        <v>21.67</v>
      </c>
      <c r="N2406" s="29">
        <v>11.67</v>
      </c>
      <c r="O2406" s="31" t="s">
        <v>1017</v>
      </c>
      <c r="P2406" s="50"/>
      <c r="Q2406" s="50"/>
      <c r="R2406" s="42"/>
      <c r="T2406" s="50"/>
      <c r="U2406" s="50"/>
      <c r="V2406" t="s">
        <v>1017</v>
      </c>
      <c r="X2406" s="50"/>
      <c r="AA2406" s="52"/>
      <c r="AD2406" s="38"/>
    </row>
    <row r="2407" spans="1:30" x14ac:dyDescent="0.35">
      <c r="A2407" s="497" t="s">
        <v>4296</v>
      </c>
      <c r="B2407" s="13" t="s">
        <v>5547</v>
      </c>
      <c r="C2407" s="13" t="s">
        <v>5404</v>
      </c>
      <c r="D2407" s="13" t="s">
        <v>7249</v>
      </c>
      <c r="E2407" s="13" t="s">
        <v>4809</v>
      </c>
      <c r="F2407" s="373">
        <v>19.670000000000002</v>
      </c>
      <c r="G2407" s="430">
        <v>19.670000000000002</v>
      </c>
      <c r="H2407" s="399">
        <f t="shared" si="1039"/>
        <v>15.74</v>
      </c>
      <c r="I2407" s="576"/>
      <c r="J2407" s="549" t="s">
        <v>5804</v>
      </c>
      <c r="K2407" s="11"/>
      <c r="L2407" s="55" t="str">
        <f t="shared" si="1040"/>
        <v/>
      </c>
      <c r="M2407" s="37">
        <f t="shared" si="1041"/>
        <v>19.670000000000002</v>
      </c>
      <c r="N2407" s="29">
        <v>11.67</v>
      </c>
      <c r="O2407" s="31"/>
      <c r="P2407" s="50"/>
      <c r="Q2407" s="50"/>
      <c r="R2407" s="42" t="s">
        <v>1017</v>
      </c>
      <c r="T2407" s="50"/>
      <c r="U2407" s="50"/>
      <c r="V2407" t="s">
        <v>1017</v>
      </c>
      <c r="X2407" s="50"/>
      <c r="AA2407" s="52"/>
      <c r="AD2407" s="38"/>
    </row>
    <row r="2408" spans="1:30" x14ac:dyDescent="0.35">
      <c r="A2408" s="497" t="s">
        <v>4297</v>
      </c>
      <c r="B2408" s="13" t="s">
        <v>5547</v>
      </c>
      <c r="C2408" s="13" t="s">
        <v>5404</v>
      </c>
      <c r="D2408" s="13" t="s">
        <v>7250</v>
      </c>
      <c r="E2408" s="13" t="s">
        <v>4811</v>
      </c>
      <c r="F2408" s="373">
        <v>22.67</v>
      </c>
      <c r="G2408" s="430">
        <v>22.67</v>
      </c>
      <c r="H2408" s="399">
        <f t="shared" si="1039"/>
        <v>18.14</v>
      </c>
      <c r="I2408" s="576"/>
      <c r="J2408" s="549" t="s">
        <v>5804</v>
      </c>
      <c r="K2408" s="11"/>
      <c r="L2408" s="55" t="str">
        <f t="shared" si="1040"/>
        <v/>
      </c>
      <c r="M2408" s="37">
        <f t="shared" si="1041"/>
        <v>22.67</v>
      </c>
      <c r="N2408" s="29">
        <v>11.67</v>
      </c>
      <c r="O2408" s="31" t="s">
        <v>1017</v>
      </c>
      <c r="P2408" s="50"/>
      <c r="Q2408" s="50"/>
      <c r="R2408" s="42" t="s">
        <v>1017</v>
      </c>
      <c r="T2408" s="50"/>
      <c r="U2408" s="50"/>
      <c r="V2408" t="s">
        <v>1017</v>
      </c>
      <c r="X2408" s="50"/>
      <c r="AA2408" s="52"/>
      <c r="AD2408" s="38"/>
    </row>
    <row r="2409" spans="1:30" x14ac:dyDescent="0.35">
      <c r="A2409" s="497" t="s">
        <v>3341</v>
      </c>
      <c r="B2409" s="13" t="s">
        <v>5547</v>
      </c>
      <c r="C2409" s="13" t="s">
        <v>5404</v>
      </c>
      <c r="D2409" s="13" t="s">
        <v>6829</v>
      </c>
      <c r="E2409" s="13" t="s">
        <v>4809</v>
      </c>
      <c r="F2409" s="373">
        <v>20.67</v>
      </c>
      <c r="G2409" s="430">
        <v>20.67</v>
      </c>
      <c r="H2409" s="399">
        <f t="shared" si="1039"/>
        <v>16.54</v>
      </c>
      <c r="I2409" s="576"/>
      <c r="J2409" s="549" t="s">
        <v>5804</v>
      </c>
      <c r="K2409" s="11"/>
      <c r="L2409" s="55" t="str">
        <f t="shared" si="1040"/>
        <v/>
      </c>
      <c r="M2409" s="37">
        <f t="shared" si="1041"/>
        <v>20.67</v>
      </c>
      <c r="N2409" s="29">
        <v>11.67</v>
      </c>
      <c r="O2409" s="31"/>
      <c r="P2409" s="50"/>
      <c r="Q2409" s="50"/>
      <c r="R2409" s="42"/>
      <c r="T2409" s="50"/>
      <c r="U2409" s="50"/>
      <c r="X2409" s="50"/>
      <c r="Y2409" t="s">
        <v>1017</v>
      </c>
      <c r="AA2409" s="52"/>
      <c r="AD2409" s="38"/>
    </row>
    <row r="2410" spans="1:30" x14ac:dyDescent="0.35">
      <c r="A2410" s="497" t="s">
        <v>3342</v>
      </c>
      <c r="B2410" s="13" t="s">
        <v>5547</v>
      </c>
      <c r="C2410" s="13" t="s">
        <v>5404</v>
      </c>
      <c r="D2410" s="13" t="s">
        <v>7251</v>
      </c>
      <c r="E2410" s="13" t="s">
        <v>4811</v>
      </c>
      <c r="F2410" s="373">
        <v>23.67</v>
      </c>
      <c r="G2410" s="430">
        <v>23.67</v>
      </c>
      <c r="H2410" s="399">
        <f t="shared" si="1039"/>
        <v>18.940000000000001</v>
      </c>
      <c r="I2410" s="576"/>
      <c r="J2410" s="549" t="s">
        <v>5804</v>
      </c>
      <c r="K2410" s="11"/>
      <c r="L2410" s="55" t="str">
        <f t="shared" si="1040"/>
        <v/>
      </c>
      <c r="M2410" s="37">
        <f t="shared" si="1041"/>
        <v>23.67</v>
      </c>
      <c r="N2410" s="29">
        <v>11.67</v>
      </c>
      <c r="O2410" s="31" t="s">
        <v>1017</v>
      </c>
      <c r="P2410" s="50"/>
      <c r="Q2410" s="50"/>
      <c r="R2410" s="42"/>
      <c r="T2410" s="50"/>
      <c r="U2410" s="50"/>
      <c r="X2410" s="50"/>
      <c r="Y2410" t="s">
        <v>1017</v>
      </c>
      <c r="AA2410" s="52"/>
      <c r="AD2410" s="38"/>
    </row>
    <row r="2411" spans="1:30" x14ac:dyDescent="0.35">
      <c r="A2411" s="497" t="s">
        <v>4304</v>
      </c>
      <c r="B2411" s="13" t="s">
        <v>5547</v>
      </c>
      <c r="C2411" s="13" t="s">
        <v>5404</v>
      </c>
      <c r="D2411" s="13" t="s">
        <v>7252</v>
      </c>
      <c r="E2411" s="13" t="s">
        <v>4809</v>
      </c>
      <c r="F2411" s="373">
        <v>21.67</v>
      </c>
      <c r="G2411" s="430">
        <v>21.67</v>
      </c>
      <c r="H2411" s="399">
        <f t="shared" si="1039"/>
        <v>17.34</v>
      </c>
      <c r="I2411" s="576"/>
      <c r="J2411" s="549" t="s">
        <v>5804</v>
      </c>
      <c r="K2411" s="11"/>
      <c r="L2411" s="55" t="str">
        <f t="shared" si="1040"/>
        <v/>
      </c>
      <c r="M2411" s="37">
        <f t="shared" si="1041"/>
        <v>21.67</v>
      </c>
      <c r="N2411" s="29">
        <v>11.67</v>
      </c>
      <c r="O2411" s="31"/>
      <c r="P2411" s="50"/>
      <c r="Q2411" s="50"/>
      <c r="R2411" s="42" t="s">
        <v>1017</v>
      </c>
      <c r="T2411" s="50"/>
      <c r="U2411" s="50"/>
      <c r="X2411" s="50"/>
      <c r="Y2411" t="s">
        <v>1017</v>
      </c>
      <c r="AA2411" s="52"/>
      <c r="AD2411" s="38"/>
    </row>
    <row r="2412" spans="1:30" x14ac:dyDescent="0.35">
      <c r="A2412" s="497" t="s">
        <v>4305</v>
      </c>
      <c r="B2412" s="13" t="s">
        <v>5547</v>
      </c>
      <c r="C2412" s="13" t="s">
        <v>5404</v>
      </c>
      <c r="D2412" s="13" t="s">
        <v>7253</v>
      </c>
      <c r="E2412" s="13" t="s">
        <v>4811</v>
      </c>
      <c r="F2412" s="373">
        <v>24.67</v>
      </c>
      <c r="G2412" s="430">
        <v>24.67</v>
      </c>
      <c r="H2412" s="399">
        <f t="shared" si="1039"/>
        <v>19.739999999999998</v>
      </c>
      <c r="I2412" s="576"/>
      <c r="J2412" s="549" t="s">
        <v>5804</v>
      </c>
      <c r="K2412" s="11"/>
      <c r="L2412" s="55" t="str">
        <f t="shared" si="1040"/>
        <v/>
      </c>
      <c r="M2412" s="37">
        <f t="shared" si="1041"/>
        <v>24.67</v>
      </c>
      <c r="N2412" s="29">
        <v>11.67</v>
      </c>
      <c r="O2412" s="31" t="s">
        <v>1017</v>
      </c>
      <c r="P2412" s="50"/>
      <c r="Q2412" s="50"/>
      <c r="R2412" s="42" t="s">
        <v>1017</v>
      </c>
      <c r="T2412" s="50"/>
      <c r="U2412" s="50"/>
      <c r="X2412" s="50"/>
      <c r="Y2412" t="s">
        <v>1017</v>
      </c>
      <c r="AA2412" s="52"/>
      <c r="AD2412" s="38"/>
    </row>
    <row r="2413" spans="1:30" x14ac:dyDescent="0.35">
      <c r="A2413" s="497" t="s">
        <v>3337</v>
      </c>
      <c r="B2413" s="13" t="s">
        <v>5547</v>
      </c>
      <c r="C2413" s="13" t="s">
        <v>5404</v>
      </c>
      <c r="D2413" s="13" t="s">
        <v>6817</v>
      </c>
      <c r="E2413" s="13" t="s">
        <v>4809</v>
      </c>
      <c r="F2413" s="373">
        <v>22.67</v>
      </c>
      <c r="G2413" s="430">
        <v>22.67</v>
      </c>
      <c r="H2413" s="399">
        <f t="shared" si="1039"/>
        <v>18.14</v>
      </c>
      <c r="I2413" s="576"/>
      <c r="J2413" s="549" t="s">
        <v>5804</v>
      </c>
      <c r="K2413" s="11"/>
      <c r="L2413" s="55" t="str">
        <f t="shared" si="1040"/>
        <v/>
      </c>
      <c r="M2413" s="37">
        <f t="shared" si="1041"/>
        <v>22.67</v>
      </c>
      <c r="N2413" s="29">
        <v>11.67</v>
      </c>
      <c r="O2413" s="31"/>
      <c r="P2413" s="50"/>
      <c r="Q2413" s="50"/>
      <c r="R2413" s="42"/>
      <c r="T2413" s="50"/>
      <c r="U2413" s="50"/>
      <c r="W2413" t="s">
        <v>1017</v>
      </c>
      <c r="X2413" s="50"/>
      <c r="AA2413" s="52"/>
      <c r="AD2413" s="38"/>
    </row>
    <row r="2414" spans="1:30" x14ac:dyDescent="0.35">
      <c r="A2414" s="497" t="s">
        <v>3338</v>
      </c>
      <c r="B2414" s="13" t="s">
        <v>5547</v>
      </c>
      <c r="C2414" s="13" t="s">
        <v>5404</v>
      </c>
      <c r="D2414" s="13" t="s">
        <v>7254</v>
      </c>
      <c r="E2414" s="13" t="s">
        <v>4811</v>
      </c>
      <c r="F2414" s="373">
        <v>25.67</v>
      </c>
      <c r="G2414" s="430">
        <v>25.67</v>
      </c>
      <c r="H2414" s="399">
        <f t="shared" si="1039"/>
        <v>20.54</v>
      </c>
      <c r="I2414" s="576"/>
      <c r="J2414" s="549" t="s">
        <v>5804</v>
      </c>
      <c r="K2414" s="11"/>
      <c r="L2414" s="55" t="str">
        <f t="shared" si="1040"/>
        <v/>
      </c>
      <c r="M2414" s="37">
        <f t="shared" si="1041"/>
        <v>25.67</v>
      </c>
      <c r="N2414" s="29">
        <v>11.67</v>
      </c>
      <c r="O2414" s="31" t="s">
        <v>1017</v>
      </c>
      <c r="P2414" s="50"/>
      <c r="Q2414" s="50"/>
      <c r="R2414" s="42"/>
      <c r="T2414" s="50"/>
      <c r="U2414" s="50"/>
      <c r="W2414" t="s">
        <v>1017</v>
      </c>
      <c r="X2414" s="50"/>
      <c r="AA2414" s="52"/>
      <c r="AD2414" s="38"/>
    </row>
    <row r="2415" spans="1:30" x14ac:dyDescent="0.35">
      <c r="A2415" s="497" t="s">
        <v>4300</v>
      </c>
      <c r="B2415" s="13" t="s">
        <v>5547</v>
      </c>
      <c r="C2415" s="13" t="s">
        <v>5404</v>
      </c>
      <c r="D2415" s="13" t="s">
        <v>7255</v>
      </c>
      <c r="E2415" s="13" t="s">
        <v>4809</v>
      </c>
      <c r="F2415" s="373">
        <v>23.67</v>
      </c>
      <c r="G2415" s="430">
        <v>23.67</v>
      </c>
      <c r="H2415" s="399">
        <f t="shared" si="1039"/>
        <v>18.940000000000001</v>
      </c>
      <c r="I2415" s="576"/>
      <c r="J2415" s="549" t="s">
        <v>5804</v>
      </c>
      <c r="K2415" s="11"/>
      <c r="L2415" s="55" t="str">
        <f t="shared" si="1040"/>
        <v/>
      </c>
      <c r="M2415" s="37">
        <f t="shared" si="1041"/>
        <v>23.67</v>
      </c>
      <c r="N2415" s="29">
        <v>11.67</v>
      </c>
      <c r="O2415" s="31"/>
      <c r="P2415" s="50"/>
      <c r="Q2415" s="50"/>
      <c r="R2415" s="42" t="s">
        <v>1017</v>
      </c>
      <c r="T2415" s="50"/>
      <c r="U2415" s="50"/>
      <c r="W2415" t="s">
        <v>1017</v>
      </c>
      <c r="X2415" s="50"/>
      <c r="AA2415" s="52"/>
      <c r="AD2415" s="38"/>
    </row>
    <row r="2416" spans="1:30" x14ac:dyDescent="0.35">
      <c r="A2416" s="497" t="s">
        <v>4301</v>
      </c>
      <c r="B2416" s="13" t="s">
        <v>5547</v>
      </c>
      <c r="C2416" s="13" t="s">
        <v>5404</v>
      </c>
      <c r="D2416" s="13" t="s">
        <v>7256</v>
      </c>
      <c r="E2416" s="13" t="s">
        <v>4811</v>
      </c>
      <c r="F2416" s="373">
        <v>26.67</v>
      </c>
      <c r="G2416" s="430">
        <v>26.67</v>
      </c>
      <c r="H2416" s="399">
        <f t="shared" si="1039"/>
        <v>21.34</v>
      </c>
      <c r="I2416" s="576"/>
      <c r="J2416" s="549" t="s">
        <v>5804</v>
      </c>
      <c r="K2416" s="11"/>
      <c r="L2416" s="55" t="str">
        <f t="shared" si="1040"/>
        <v/>
      </c>
      <c r="M2416" s="37">
        <f t="shared" si="1041"/>
        <v>26.67</v>
      </c>
      <c r="N2416" s="29">
        <v>11.67</v>
      </c>
      <c r="O2416" s="31" t="s">
        <v>1017</v>
      </c>
      <c r="P2416" s="50"/>
      <c r="Q2416" s="50"/>
      <c r="R2416" s="42" t="s">
        <v>1017</v>
      </c>
      <c r="T2416" s="50"/>
      <c r="U2416" s="50"/>
      <c r="W2416" t="s">
        <v>1017</v>
      </c>
      <c r="X2416" s="50"/>
      <c r="AA2416" s="52"/>
      <c r="AD2416" s="38"/>
    </row>
    <row r="2417" spans="1:30" x14ac:dyDescent="0.35">
      <c r="A2417" s="497" t="s">
        <v>3345</v>
      </c>
      <c r="B2417" s="13" t="s">
        <v>5547</v>
      </c>
      <c r="C2417" s="13" t="s">
        <v>5404</v>
      </c>
      <c r="D2417" s="13" t="s">
        <v>7257</v>
      </c>
      <c r="E2417" s="13" t="s">
        <v>4809</v>
      </c>
      <c r="F2417" s="373">
        <v>24.67</v>
      </c>
      <c r="G2417" s="430">
        <v>24.67</v>
      </c>
      <c r="H2417" s="399">
        <f t="shared" si="1039"/>
        <v>19.739999999999998</v>
      </c>
      <c r="I2417" s="576"/>
      <c r="J2417" s="549" t="s">
        <v>5804</v>
      </c>
      <c r="K2417" s="11"/>
      <c r="L2417" s="55" t="str">
        <f t="shared" si="1040"/>
        <v/>
      </c>
      <c r="M2417" s="37">
        <f t="shared" si="1041"/>
        <v>24.67</v>
      </c>
      <c r="N2417" s="29">
        <v>11.67</v>
      </c>
      <c r="O2417" s="31"/>
      <c r="P2417" s="50"/>
      <c r="Q2417" s="50"/>
      <c r="R2417" s="42"/>
      <c r="T2417" s="50"/>
      <c r="U2417" s="50"/>
      <c r="X2417" s="50"/>
      <c r="Z2417" t="s">
        <v>1017</v>
      </c>
      <c r="AA2417" s="52"/>
      <c r="AD2417" s="38"/>
    </row>
    <row r="2418" spans="1:30" x14ac:dyDescent="0.35">
      <c r="A2418" s="497" t="s">
        <v>4293</v>
      </c>
      <c r="B2418" s="13" t="s">
        <v>5547</v>
      </c>
      <c r="C2418" s="13" t="s">
        <v>5404</v>
      </c>
      <c r="D2418" s="13" t="s">
        <v>7258</v>
      </c>
      <c r="E2418" s="13" t="s">
        <v>4811</v>
      </c>
      <c r="F2418" s="373">
        <v>27.67</v>
      </c>
      <c r="G2418" s="430">
        <v>27.67</v>
      </c>
      <c r="H2418" s="399">
        <f t="shared" si="1039"/>
        <v>22.14</v>
      </c>
      <c r="I2418" s="576"/>
      <c r="J2418" s="549" t="s">
        <v>5804</v>
      </c>
      <c r="K2418" s="11"/>
      <c r="L2418" s="55" t="str">
        <f t="shared" si="1040"/>
        <v/>
      </c>
      <c r="M2418" s="37">
        <f t="shared" si="1041"/>
        <v>27.67</v>
      </c>
      <c r="N2418" s="29">
        <v>11.67</v>
      </c>
      <c r="O2418" s="31" t="s">
        <v>1017</v>
      </c>
      <c r="P2418" s="50"/>
      <c r="Q2418" s="50"/>
      <c r="R2418" s="42"/>
      <c r="T2418" s="50"/>
      <c r="U2418" s="50"/>
      <c r="X2418" s="50"/>
      <c r="Z2418" t="s">
        <v>1017</v>
      </c>
      <c r="AA2418" s="52"/>
      <c r="AD2418" s="38"/>
    </row>
    <row r="2419" spans="1:30" x14ac:dyDescent="0.35">
      <c r="A2419" s="497" t="s">
        <v>4308</v>
      </c>
      <c r="B2419" s="13" t="s">
        <v>5547</v>
      </c>
      <c r="C2419" s="13" t="s">
        <v>5404</v>
      </c>
      <c r="D2419" s="13" t="s">
        <v>7259</v>
      </c>
      <c r="E2419" s="13" t="s">
        <v>4809</v>
      </c>
      <c r="F2419" s="373">
        <v>25.67</v>
      </c>
      <c r="G2419" s="430">
        <v>25.67</v>
      </c>
      <c r="H2419" s="399">
        <f t="shared" si="1039"/>
        <v>20.54</v>
      </c>
      <c r="I2419" s="576"/>
      <c r="J2419" s="549" t="s">
        <v>5804</v>
      </c>
      <c r="K2419" s="11"/>
      <c r="L2419" s="55" t="str">
        <f t="shared" si="1040"/>
        <v/>
      </c>
      <c r="M2419" s="37">
        <f t="shared" si="1041"/>
        <v>25.67</v>
      </c>
      <c r="N2419" s="29">
        <v>11.67</v>
      </c>
      <c r="O2419" s="31"/>
      <c r="P2419" s="50"/>
      <c r="Q2419" s="50"/>
      <c r="R2419" s="42" t="s">
        <v>1017</v>
      </c>
      <c r="T2419" s="50"/>
      <c r="U2419" s="50"/>
      <c r="X2419" s="50"/>
      <c r="Z2419" t="s">
        <v>1017</v>
      </c>
      <c r="AA2419" s="52"/>
      <c r="AD2419" s="38"/>
    </row>
    <row r="2420" spans="1:30" x14ac:dyDescent="0.35">
      <c r="A2420" s="497" t="s">
        <v>4309</v>
      </c>
      <c r="B2420" s="13" t="s">
        <v>5547</v>
      </c>
      <c r="C2420" s="13" t="s">
        <v>5404</v>
      </c>
      <c r="D2420" s="13" t="s">
        <v>7260</v>
      </c>
      <c r="E2420" s="13" t="s">
        <v>4811</v>
      </c>
      <c r="F2420" s="373">
        <v>28.67</v>
      </c>
      <c r="G2420" s="430">
        <v>28.67</v>
      </c>
      <c r="H2420" s="399">
        <f t="shared" si="1039"/>
        <v>22.94</v>
      </c>
      <c r="I2420" s="576"/>
      <c r="J2420" s="549" t="s">
        <v>5804</v>
      </c>
      <c r="K2420" s="11"/>
      <c r="L2420" s="55" t="str">
        <f t="shared" si="1040"/>
        <v/>
      </c>
      <c r="M2420" s="37">
        <f t="shared" si="1041"/>
        <v>28.67</v>
      </c>
      <c r="N2420" s="29">
        <v>11.67</v>
      </c>
      <c r="O2420" s="31" t="s">
        <v>1017</v>
      </c>
      <c r="P2420" s="50"/>
      <c r="Q2420" s="50"/>
      <c r="R2420" s="42" t="s">
        <v>1017</v>
      </c>
      <c r="T2420" s="50"/>
      <c r="U2420" s="50"/>
      <c r="X2420" s="50"/>
      <c r="Z2420" t="s">
        <v>1017</v>
      </c>
      <c r="AA2420" s="52"/>
      <c r="AD2420" s="38"/>
    </row>
    <row r="2421" spans="1:30" x14ac:dyDescent="0.35">
      <c r="A2421" s="497" t="s">
        <v>3313</v>
      </c>
      <c r="B2421" s="13" t="s">
        <v>5547</v>
      </c>
      <c r="C2421" s="13" t="s">
        <v>5404</v>
      </c>
      <c r="D2421" s="13" t="s">
        <v>7261</v>
      </c>
      <c r="E2421" s="13" t="s">
        <v>4809</v>
      </c>
      <c r="F2421" s="373">
        <v>13.67</v>
      </c>
      <c r="G2421" s="430">
        <v>13.67</v>
      </c>
      <c r="H2421" s="399">
        <f t="shared" si="1039"/>
        <v>10.94</v>
      </c>
      <c r="I2421" s="576"/>
      <c r="J2421" s="549" t="s">
        <v>5804</v>
      </c>
      <c r="K2421" s="11"/>
      <c r="L2421" s="55" t="str">
        <f t="shared" si="1040"/>
        <v/>
      </c>
      <c r="M2421" s="37">
        <f t="shared" si="1041"/>
        <v>13.67</v>
      </c>
      <c r="N2421" s="29">
        <v>11.67</v>
      </c>
      <c r="O2421" s="31"/>
      <c r="P2421" s="50"/>
      <c r="Q2421" s="50"/>
      <c r="R2421" s="42"/>
      <c r="T2421" s="50"/>
      <c r="U2421" s="50"/>
      <c r="X2421" s="50"/>
      <c r="AA2421" s="52"/>
      <c r="AB2421" t="s">
        <v>1017</v>
      </c>
      <c r="AD2421" s="38"/>
    </row>
    <row r="2422" spans="1:30" x14ac:dyDescent="0.35">
      <c r="A2422" s="497" t="s">
        <v>3314</v>
      </c>
      <c r="B2422" s="13" t="s">
        <v>5547</v>
      </c>
      <c r="C2422" s="13" t="s">
        <v>5404</v>
      </c>
      <c r="D2422" s="13" t="s">
        <v>7262</v>
      </c>
      <c r="E2422" s="13" t="s">
        <v>4811</v>
      </c>
      <c r="F2422" s="373">
        <v>16.670000000000002</v>
      </c>
      <c r="G2422" s="430">
        <v>16.670000000000002</v>
      </c>
      <c r="H2422" s="399">
        <f t="shared" si="1039"/>
        <v>13.34</v>
      </c>
      <c r="I2422" s="576"/>
      <c r="J2422" s="549" t="s">
        <v>5804</v>
      </c>
      <c r="K2422" s="11"/>
      <c r="L2422" s="55" t="str">
        <f t="shared" si="1040"/>
        <v/>
      </c>
      <c r="M2422" s="37">
        <f t="shared" si="1041"/>
        <v>16.670000000000002</v>
      </c>
      <c r="N2422" s="29">
        <v>11.67</v>
      </c>
      <c r="O2422" s="31" t="s">
        <v>1017</v>
      </c>
      <c r="P2422" s="50"/>
      <c r="Q2422" s="50"/>
      <c r="R2422" s="42"/>
      <c r="T2422" s="50"/>
      <c r="U2422" s="50"/>
      <c r="X2422" s="50"/>
      <c r="AA2422" s="52"/>
      <c r="AB2422" t="s">
        <v>1017</v>
      </c>
      <c r="AD2422" s="38"/>
    </row>
    <row r="2423" spans="1:30" x14ac:dyDescent="0.35">
      <c r="A2423" s="497" t="s">
        <v>2676</v>
      </c>
      <c r="B2423" s="13" t="s">
        <v>5547</v>
      </c>
      <c r="C2423" s="13" t="s">
        <v>5404</v>
      </c>
      <c r="D2423" s="13" t="s">
        <v>7263</v>
      </c>
      <c r="E2423" s="13" t="s">
        <v>4809</v>
      </c>
      <c r="F2423" s="373">
        <v>14.67</v>
      </c>
      <c r="G2423" s="430">
        <v>14.67</v>
      </c>
      <c r="H2423" s="399">
        <f t="shared" si="1039"/>
        <v>11.74</v>
      </c>
      <c r="I2423" s="576"/>
      <c r="J2423" s="549" t="s">
        <v>5804</v>
      </c>
      <c r="K2423" s="11"/>
      <c r="L2423" s="55" t="str">
        <f t="shared" si="1040"/>
        <v/>
      </c>
      <c r="M2423" s="37">
        <f t="shared" si="1041"/>
        <v>14.67</v>
      </c>
      <c r="N2423" s="29">
        <v>11.67</v>
      </c>
      <c r="O2423" s="31"/>
      <c r="P2423" s="50"/>
      <c r="Q2423" s="50"/>
      <c r="R2423" s="42" t="s">
        <v>1017</v>
      </c>
      <c r="T2423" s="50"/>
      <c r="U2423" s="50"/>
      <c r="X2423" s="50"/>
      <c r="AA2423" s="52"/>
      <c r="AB2423" t="s">
        <v>1017</v>
      </c>
      <c r="AD2423" s="38"/>
    </row>
    <row r="2424" spans="1:30" x14ac:dyDescent="0.35">
      <c r="A2424" s="497" t="s">
        <v>2677</v>
      </c>
      <c r="B2424" s="13" t="s">
        <v>5547</v>
      </c>
      <c r="C2424" s="13" t="s">
        <v>5404</v>
      </c>
      <c r="D2424" s="13" t="s">
        <v>7264</v>
      </c>
      <c r="E2424" s="13" t="s">
        <v>4811</v>
      </c>
      <c r="F2424" s="373">
        <v>17.670000000000002</v>
      </c>
      <c r="G2424" s="430">
        <v>17.670000000000002</v>
      </c>
      <c r="H2424" s="399">
        <f t="shared" si="1039"/>
        <v>14.14</v>
      </c>
      <c r="I2424" s="576"/>
      <c r="J2424" s="549" t="s">
        <v>5804</v>
      </c>
      <c r="K2424" s="11"/>
      <c r="L2424" s="55" t="str">
        <f t="shared" si="1040"/>
        <v/>
      </c>
      <c r="M2424" s="37">
        <f t="shared" si="1041"/>
        <v>17.670000000000002</v>
      </c>
      <c r="N2424" s="29">
        <v>11.67</v>
      </c>
      <c r="O2424" s="31" t="s">
        <v>1017</v>
      </c>
      <c r="P2424" s="50"/>
      <c r="Q2424" s="50"/>
      <c r="R2424" s="42" t="s">
        <v>1017</v>
      </c>
      <c r="T2424" s="50"/>
      <c r="U2424" s="50"/>
      <c r="X2424" s="50"/>
      <c r="AA2424" s="52"/>
      <c r="AB2424" t="s">
        <v>1017</v>
      </c>
      <c r="AD2424" s="38"/>
    </row>
    <row r="2425" spans="1:30" x14ac:dyDescent="0.35">
      <c r="A2425" s="497" t="s">
        <v>4312</v>
      </c>
      <c r="B2425" s="13" t="s">
        <v>5547</v>
      </c>
      <c r="C2425" s="13" t="s">
        <v>5404</v>
      </c>
      <c r="D2425" s="13" t="s">
        <v>7265</v>
      </c>
      <c r="E2425" s="13" t="s">
        <v>4809</v>
      </c>
      <c r="F2425" s="373">
        <v>19.670000000000002</v>
      </c>
      <c r="G2425" s="430">
        <v>19.670000000000002</v>
      </c>
      <c r="H2425" s="399">
        <f t="shared" si="1039"/>
        <v>15.74</v>
      </c>
      <c r="I2425" s="576"/>
      <c r="J2425" s="549" t="s">
        <v>5804</v>
      </c>
      <c r="K2425" s="11"/>
      <c r="L2425" s="55" t="str">
        <f t="shared" si="1040"/>
        <v/>
      </c>
      <c r="M2425" s="37">
        <f t="shared" si="1041"/>
        <v>19.670000000000002</v>
      </c>
      <c r="N2425" s="29">
        <v>11.67</v>
      </c>
      <c r="O2425" s="31"/>
      <c r="P2425" s="50"/>
      <c r="Q2425" s="50"/>
      <c r="R2425" s="42"/>
      <c r="S2425" t="s">
        <v>1017</v>
      </c>
      <c r="T2425" s="50"/>
      <c r="U2425" s="50"/>
      <c r="X2425" s="50"/>
      <c r="AA2425" s="52"/>
      <c r="AB2425" t="s">
        <v>1017</v>
      </c>
      <c r="AD2425" s="38"/>
    </row>
    <row r="2426" spans="1:30" x14ac:dyDescent="0.35">
      <c r="A2426" s="497" t="s">
        <v>4313</v>
      </c>
      <c r="B2426" s="13" t="s">
        <v>5547</v>
      </c>
      <c r="C2426" s="13" t="s">
        <v>5404</v>
      </c>
      <c r="D2426" s="13" t="s">
        <v>7266</v>
      </c>
      <c r="E2426" s="13" t="s">
        <v>4811</v>
      </c>
      <c r="F2426" s="373">
        <v>22.67</v>
      </c>
      <c r="G2426" s="430">
        <v>22.67</v>
      </c>
      <c r="H2426" s="399">
        <f t="shared" si="1039"/>
        <v>18.14</v>
      </c>
      <c r="I2426" s="576"/>
      <c r="J2426" s="549" t="s">
        <v>5804</v>
      </c>
      <c r="K2426" s="11"/>
      <c r="L2426" s="55" t="str">
        <f t="shared" si="1040"/>
        <v/>
      </c>
      <c r="M2426" s="37">
        <f t="shared" si="1041"/>
        <v>22.67</v>
      </c>
      <c r="N2426" s="29">
        <v>11.67</v>
      </c>
      <c r="O2426" s="31" t="s">
        <v>1017</v>
      </c>
      <c r="P2426" s="50"/>
      <c r="Q2426" s="50"/>
      <c r="R2426" s="42"/>
      <c r="S2426" t="s">
        <v>1017</v>
      </c>
      <c r="T2426" s="50"/>
      <c r="U2426" s="50"/>
      <c r="X2426" s="50"/>
      <c r="AA2426" s="52"/>
      <c r="AB2426" t="s">
        <v>1017</v>
      </c>
      <c r="AD2426" s="38"/>
    </row>
    <row r="2427" spans="1:30" x14ac:dyDescent="0.35">
      <c r="A2427" s="497" t="s">
        <v>568</v>
      </c>
      <c r="B2427" s="13" t="s">
        <v>5547</v>
      </c>
      <c r="C2427" s="13" t="s">
        <v>5404</v>
      </c>
      <c r="D2427" s="13" t="s">
        <v>7267</v>
      </c>
      <c r="E2427" s="13" t="s">
        <v>4809</v>
      </c>
      <c r="F2427" s="373">
        <v>20.67</v>
      </c>
      <c r="G2427" s="430">
        <v>20.67</v>
      </c>
      <c r="H2427" s="399">
        <f t="shared" si="1039"/>
        <v>16.54</v>
      </c>
      <c r="I2427" s="576"/>
      <c r="J2427" s="549" t="s">
        <v>5804</v>
      </c>
      <c r="K2427" s="11"/>
      <c r="L2427" s="55" t="str">
        <f t="shared" si="1040"/>
        <v/>
      </c>
      <c r="M2427" s="37">
        <f t="shared" si="1041"/>
        <v>20.67</v>
      </c>
      <c r="N2427" s="29">
        <v>11.67</v>
      </c>
      <c r="O2427" s="31"/>
      <c r="P2427" s="50"/>
      <c r="Q2427" s="50"/>
      <c r="R2427" s="42" t="s">
        <v>1017</v>
      </c>
      <c r="S2427" t="s">
        <v>1017</v>
      </c>
      <c r="T2427" s="50"/>
      <c r="U2427" s="50"/>
      <c r="X2427" s="50"/>
      <c r="AA2427" s="52"/>
      <c r="AB2427" t="s">
        <v>1017</v>
      </c>
      <c r="AD2427" s="38"/>
    </row>
    <row r="2428" spans="1:30" x14ac:dyDescent="0.35">
      <c r="A2428" s="497" t="s">
        <v>569</v>
      </c>
      <c r="B2428" s="13" t="s">
        <v>5547</v>
      </c>
      <c r="C2428" s="13" t="s">
        <v>5404</v>
      </c>
      <c r="D2428" s="13" t="s">
        <v>7268</v>
      </c>
      <c r="E2428" s="13" t="s">
        <v>4811</v>
      </c>
      <c r="F2428" s="373">
        <v>23.67</v>
      </c>
      <c r="G2428" s="430">
        <v>23.67</v>
      </c>
      <c r="H2428" s="399">
        <f t="shared" si="1039"/>
        <v>18.940000000000001</v>
      </c>
      <c r="I2428" s="576"/>
      <c r="J2428" s="549" t="s">
        <v>5804</v>
      </c>
      <c r="K2428" s="11"/>
      <c r="L2428" s="55" t="str">
        <f t="shared" si="1040"/>
        <v/>
      </c>
      <c r="M2428" s="37">
        <f t="shared" si="1041"/>
        <v>23.67</v>
      </c>
      <c r="N2428" s="29">
        <v>11.67</v>
      </c>
      <c r="O2428" s="31" t="s">
        <v>1017</v>
      </c>
      <c r="P2428" s="50"/>
      <c r="Q2428" s="50"/>
      <c r="R2428" s="42" t="s">
        <v>1017</v>
      </c>
      <c r="S2428" t="s">
        <v>1017</v>
      </c>
      <c r="T2428" s="50"/>
      <c r="U2428" s="50"/>
      <c r="X2428" s="50"/>
      <c r="AA2428" s="52"/>
      <c r="AB2428" t="s">
        <v>1017</v>
      </c>
      <c r="AD2428" s="38"/>
    </row>
    <row r="2429" spans="1:30" x14ac:dyDescent="0.35">
      <c r="A2429" s="497" t="s">
        <v>4320</v>
      </c>
      <c r="B2429" s="13" t="s">
        <v>5547</v>
      </c>
      <c r="C2429" s="13" t="s">
        <v>5404</v>
      </c>
      <c r="D2429" s="13" t="s">
        <v>7269</v>
      </c>
      <c r="E2429" s="13" t="s">
        <v>4809</v>
      </c>
      <c r="F2429" s="373">
        <v>20.67</v>
      </c>
      <c r="G2429" s="430">
        <v>20.67</v>
      </c>
      <c r="H2429" s="399">
        <f t="shared" si="1039"/>
        <v>16.54</v>
      </c>
      <c r="I2429" s="576"/>
      <c r="J2429" s="549" t="s">
        <v>5804</v>
      </c>
      <c r="K2429" s="11"/>
      <c r="L2429" s="55" t="str">
        <f t="shared" si="1040"/>
        <v/>
      </c>
      <c r="M2429" s="37">
        <f t="shared" si="1041"/>
        <v>20.67</v>
      </c>
      <c r="N2429" s="29">
        <v>11.67</v>
      </c>
      <c r="O2429" s="31"/>
      <c r="P2429" s="50"/>
      <c r="Q2429" s="50"/>
      <c r="R2429" s="42"/>
      <c r="T2429" s="50"/>
      <c r="U2429" s="50"/>
      <c r="V2429" t="s">
        <v>1017</v>
      </c>
      <c r="X2429" s="50"/>
      <c r="AA2429" s="52"/>
      <c r="AB2429" t="s">
        <v>1017</v>
      </c>
      <c r="AD2429" s="38"/>
    </row>
    <row r="2430" spans="1:30" x14ac:dyDescent="0.35">
      <c r="A2430" s="497" t="s">
        <v>4321</v>
      </c>
      <c r="B2430" s="13" t="s">
        <v>5547</v>
      </c>
      <c r="C2430" s="13" t="s">
        <v>5404</v>
      </c>
      <c r="D2430" s="13" t="s">
        <v>7270</v>
      </c>
      <c r="E2430" s="13" t="s">
        <v>4811</v>
      </c>
      <c r="F2430" s="373">
        <v>23.67</v>
      </c>
      <c r="G2430" s="430">
        <v>23.67</v>
      </c>
      <c r="H2430" s="399">
        <f t="shared" si="1039"/>
        <v>18.940000000000001</v>
      </c>
      <c r="I2430" s="576"/>
      <c r="J2430" s="549" t="s">
        <v>5804</v>
      </c>
      <c r="K2430" s="11"/>
      <c r="L2430" s="55" t="str">
        <f t="shared" si="1040"/>
        <v/>
      </c>
      <c r="M2430" s="37">
        <f t="shared" si="1041"/>
        <v>23.67</v>
      </c>
      <c r="N2430" s="29">
        <v>11.67</v>
      </c>
      <c r="O2430" s="31" t="s">
        <v>1017</v>
      </c>
      <c r="P2430" s="50"/>
      <c r="Q2430" s="50"/>
      <c r="R2430" s="42"/>
      <c r="T2430" s="50"/>
      <c r="U2430" s="50"/>
      <c r="V2430" t="s">
        <v>1017</v>
      </c>
      <c r="X2430" s="50"/>
      <c r="AA2430" s="52"/>
      <c r="AB2430" t="s">
        <v>1017</v>
      </c>
      <c r="AD2430" s="38"/>
    </row>
    <row r="2431" spans="1:30" x14ac:dyDescent="0.35">
      <c r="A2431" s="497" t="s">
        <v>5051</v>
      </c>
      <c r="B2431" s="13" t="s">
        <v>5547</v>
      </c>
      <c r="C2431" s="13" t="s">
        <v>5404</v>
      </c>
      <c r="D2431" s="13" t="s">
        <v>7271</v>
      </c>
      <c r="E2431" s="13" t="s">
        <v>4809</v>
      </c>
      <c r="F2431" s="373">
        <v>21.67</v>
      </c>
      <c r="G2431" s="430">
        <v>21.67</v>
      </c>
      <c r="H2431" s="399">
        <f t="shared" si="1039"/>
        <v>17.34</v>
      </c>
      <c r="I2431" s="576"/>
      <c r="J2431" s="549" t="s">
        <v>5804</v>
      </c>
      <c r="K2431" s="11"/>
      <c r="L2431" s="55" t="str">
        <f t="shared" si="1040"/>
        <v/>
      </c>
      <c r="M2431" s="37">
        <f t="shared" si="1041"/>
        <v>21.67</v>
      </c>
      <c r="N2431" s="29">
        <v>11.67</v>
      </c>
      <c r="O2431" s="31"/>
      <c r="P2431" s="50"/>
      <c r="Q2431" s="50"/>
      <c r="R2431" s="42" t="s">
        <v>1017</v>
      </c>
      <c r="T2431" s="50"/>
      <c r="U2431" s="50"/>
      <c r="V2431" t="s">
        <v>1017</v>
      </c>
      <c r="X2431" s="50"/>
      <c r="AA2431" s="52"/>
      <c r="AB2431" t="s">
        <v>1017</v>
      </c>
      <c r="AD2431" s="38"/>
    </row>
    <row r="2432" spans="1:30" x14ac:dyDescent="0.35">
      <c r="A2432" s="497" t="s">
        <v>5052</v>
      </c>
      <c r="B2432" s="13" t="s">
        <v>5547</v>
      </c>
      <c r="C2432" s="13" t="s">
        <v>5404</v>
      </c>
      <c r="D2432" s="13" t="s">
        <v>7272</v>
      </c>
      <c r="E2432" s="13" t="s">
        <v>4811</v>
      </c>
      <c r="F2432" s="373">
        <v>24.67</v>
      </c>
      <c r="G2432" s="430">
        <v>24.67</v>
      </c>
      <c r="H2432" s="399">
        <f t="shared" si="1039"/>
        <v>19.739999999999998</v>
      </c>
      <c r="I2432" s="576"/>
      <c r="J2432" s="549" t="s">
        <v>5804</v>
      </c>
      <c r="K2432" s="11"/>
      <c r="L2432" s="55" t="str">
        <f t="shared" si="1040"/>
        <v/>
      </c>
      <c r="M2432" s="37">
        <f t="shared" si="1041"/>
        <v>24.67</v>
      </c>
      <c r="N2432" s="29">
        <v>11.67</v>
      </c>
      <c r="O2432" s="31" t="s">
        <v>1017</v>
      </c>
      <c r="P2432" s="50"/>
      <c r="Q2432" s="50"/>
      <c r="R2432" s="42" t="s">
        <v>1017</v>
      </c>
      <c r="T2432" s="50"/>
      <c r="U2432" s="50"/>
      <c r="V2432" t="s">
        <v>1017</v>
      </c>
      <c r="X2432" s="50"/>
      <c r="AA2432" s="52"/>
      <c r="AB2432" t="s">
        <v>1017</v>
      </c>
      <c r="AD2432" s="38"/>
    </row>
    <row r="2433" spans="1:30" x14ac:dyDescent="0.35">
      <c r="A2433" s="497" t="s">
        <v>5043</v>
      </c>
      <c r="B2433" s="13" t="s">
        <v>5547</v>
      </c>
      <c r="C2433" s="13" t="s">
        <v>5404</v>
      </c>
      <c r="D2433" s="13" t="s">
        <v>7273</v>
      </c>
      <c r="E2433" s="13" t="s">
        <v>4809</v>
      </c>
      <c r="F2433" s="373">
        <v>22.67</v>
      </c>
      <c r="G2433" s="430">
        <v>22.67</v>
      </c>
      <c r="H2433" s="399">
        <f t="shared" si="1039"/>
        <v>18.14</v>
      </c>
      <c r="I2433" s="576"/>
      <c r="J2433" s="549" t="s">
        <v>5804</v>
      </c>
      <c r="K2433" s="11"/>
      <c r="L2433" s="55" t="str">
        <f t="shared" si="1040"/>
        <v/>
      </c>
      <c r="M2433" s="37">
        <f t="shared" si="1041"/>
        <v>22.67</v>
      </c>
      <c r="N2433" s="29">
        <v>11.67</v>
      </c>
      <c r="O2433" s="31"/>
      <c r="P2433" s="50"/>
      <c r="Q2433" s="50"/>
      <c r="R2433" s="42"/>
      <c r="T2433" s="50"/>
      <c r="U2433" s="50"/>
      <c r="X2433" s="50"/>
      <c r="Y2433" t="s">
        <v>1017</v>
      </c>
      <c r="AA2433" s="52"/>
      <c r="AB2433" t="s">
        <v>1017</v>
      </c>
      <c r="AD2433" s="38"/>
    </row>
    <row r="2434" spans="1:30" x14ac:dyDescent="0.35">
      <c r="A2434" s="497" t="s">
        <v>5044</v>
      </c>
      <c r="B2434" s="13" t="s">
        <v>5547</v>
      </c>
      <c r="C2434" s="13" t="s">
        <v>5404</v>
      </c>
      <c r="D2434" s="13" t="s">
        <v>7274</v>
      </c>
      <c r="E2434" s="13" t="s">
        <v>4811</v>
      </c>
      <c r="F2434" s="373">
        <v>25.67</v>
      </c>
      <c r="G2434" s="430">
        <v>25.67</v>
      </c>
      <c r="H2434" s="399">
        <f t="shared" si="1039"/>
        <v>20.54</v>
      </c>
      <c r="I2434" s="576"/>
      <c r="J2434" s="549" t="s">
        <v>5804</v>
      </c>
      <c r="K2434" s="11"/>
      <c r="L2434" s="55" t="str">
        <f t="shared" si="1040"/>
        <v/>
      </c>
      <c r="M2434" s="37">
        <f t="shared" si="1041"/>
        <v>25.67</v>
      </c>
      <c r="N2434" s="29">
        <v>11.67</v>
      </c>
      <c r="O2434" s="31" t="s">
        <v>1017</v>
      </c>
      <c r="P2434" s="50"/>
      <c r="Q2434" s="50"/>
      <c r="R2434" s="42"/>
      <c r="T2434" s="50"/>
      <c r="U2434" s="50"/>
      <c r="X2434" s="50"/>
      <c r="Y2434" t="s">
        <v>1017</v>
      </c>
      <c r="AA2434" s="52"/>
      <c r="AB2434" t="s">
        <v>1017</v>
      </c>
      <c r="AD2434" s="38"/>
    </row>
    <row r="2435" spans="1:30" x14ac:dyDescent="0.35">
      <c r="A2435" s="497" t="s">
        <v>1036</v>
      </c>
      <c r="B2435" s="13" t="s">
        <v>5547</v>
      </c>
      <c r="C2435" s="13" t="s">
        <v>5404</v>
      </c>
      <c r="D2435" s="13" t="s">
        <v>7275</v>
      </c>
      <c r="E2435" s="13" t="s">
        <v>4809</v>
      </c>
      <c r="F2435" s="373">
        <v>23.67</v>
      </c>
      <c r="G2435" s="430">
        <v>23.67</v>
      </c>
      <c r="H2435" s="399">
        <f t="shared" si="1039"/>
        <v>18.940000000000001</v>
      </c>
      <c r="I2435" s="576"/>
      <c r="J2435" s="549" t="s">
        <v>5804</v>
      </c>
      <c r="K2435" s="11"/>
      <c r="L2435" s="55" t="str">
        <f t="shared" si="1040"/>
        <v/>
      </c>
      <c r="M2435" s="37">
        <f t="shared" si="1041"/>
        <v>23.67</v>
      </c>
      <c r="N2435" s="29">
        <v>11.67</v>
      </c>
      <c r="O2435" s="31"/>
      <c r="P2435" s="50"/>
      <c r="Q2435" s="50"/>
      <c r="R2435" s="42" t="s">
        <v>1017</v>
      </c>
      <c r="T2435" s="50"/>
      <c r="U2435" s="50"/>
      <c r="X2435" s="50"/>
      <c r="Y2435" t="s">
        <v>1017</v>
      </c>
      <c r="AA2435" s="52"/>
      <c r="AB2435" t="s">
        <v>1017</v>
      </c>
      <c r="AD2435" s="38"/>
    </row>
    <row r="2436" spans="1:30" x14ac:dyDescent="0.35">
      <c r="A2436" s="497" t="s">
        <v>1037</v>
      </c>
      <c r="B2436" s="13" t="s">
        <v>5547</v>
      </c>
      <c r="C2436" s="13" t="s">
        <v>5404</v>
      </c>
      <c r="D2436" s="13" t="s">
        <v>7276</v>
      </c>
      <c r="E2436" s="13" t="s">
        <v>4811</v>
      </c>
      <c r="F2436" s="373">
        <v>26.67</v>
      </c>
      <c r="G2436" s="430">
        <v>26.67</v>
      </c>
      <c r="H2436" s="399">
        <f t="shared" si="1039"/>
        <v>21.34</v>
      </c>
      <c r="I2436" s="576"/>
      <c r="J2436" s="549" t="s">
        <v>5804</v>
      </c>
      <c r="K2436" s="11"/>
      <c r="L2436" s="55" t="str">
        <f t="shared" si="1040"/>
        <v/>
      </c>
      <c r="M2436" s="37">
        <f t="shared" si="1041"/>
        <v>26.67</v>
      </c>
      <c r="N2436" s="29">
        <v>11.67</v>
      </c>
      <c r="O2436" s="31" t="s">
        <v>1017</v>
      </c>
      <c r="P2436" s="50"/>
      <c r="Q2436" s="50"/>
      <c r="R2436" s="42" t="s">
        <v>1017</v>
      </c>
      <c r="T2436" s="50"/>
      <c r="U2436" s="50"/>
      <c r="X2436" s="50"/>
      <c r="Y2436" t="s">
        <v>1017</v>
      </c>
      <c r="AA2436" s="52"/>
      <c r="AB2436" t="s">
        <v>1017</v>
      </c>
      <c r="AD2436" s="38"/>
    </row>
    <row r="2437" spans="1:30" x14ac:dyDescent="0.35">
      <c r="A2437" s="497" t="s">
        <v>4324</v>
      </c>
      <c r="B2437" s="13" t="s">
        <v>5547</v>
      </c>
      <c r="C2437" s="13" t="s">
        <v>5404</v>
      </c>
      <c r="D2437" s="13" t="s">
        <v>7277</v>
      </c>
      <c r="E2437" s="13" t="s">
        <v>4809</v>
      </c>
      <c r="F2437" s="373">
        <v>24.67</v>
      </c>
      <c r="G2437" s="430">
        <v>24.67</v>
      </c>
      <c r="H2437" s="399">
        <f t="shared" si="1039"/>
        <v>19.739999999999998</v>
      </c>
      <c r="I2437" s="576"/>
      <c r="J2437" s="549" t="s">
        <v>5804</v>
      </c>
      <c r="K2437" s="11"/>
      <c r="L2437" s="55" t="str">
        <f t="shared" si="1040"/>
        <v/>
      </c>
      <c r="M2437" s="37">
        <f t="shared" si="1041"/>
        <v>24.67</v>
      </c>
      <c r="N2437" s="29">
        <v>11.67</v>
      </c>
      <c r="O2437" s="31"/>
      <c r="P2437" s="50"/>
      <c r="Q2437" s="50"/>
      <c r="R2437" s="42"/>
      <c r="T2437" s="50"/>
      <c r="U2437" s="50"/>
      <c r="W2437" t="s">
        <v>1017</v>
      </c>
      <c r="X2437" s="50"/>
      <c r="AA2437" s="52"/>
      <c r="AB2437" t="s">
        <v>1017</v>
      </c>
      <c r="AD2437" s="38"/>
    </row>
    <row r="2438" spans="1:30" x14ac:dyDescent="0.35">
      <c r="A2438" s="497" t="s">
        <v>4325</v>
      </c>
      <c r="B2438" s="13" t="s">
        <v>5547</v>
      </c>
      <c r="C2438" s="13" t="s">
        <v>5404</v>
      </c>
      <c r="D2438" s="13" t="s">
        <v>7278</v>
      </c>
      <c r="E2438" s="13" t="s">
        <v>4811</v>
      </c>
      <c r="F2438" s="373">
        <v>27.67</v>
      </c>
      <c r="G2438" s="430">
        <v>27.67</v>
      </c>
      <c r="H2438" s="399">
        <f t="shared" si="1039"/>
        <v>22.14</v>
      </c>
      <c r="I2438" s="576"/>
      <c r="J2438" s="549" t="s">
        <v>5804</v>
      </c>
      <c r="K2438" s="11"/>
      <c r="L2438" s="55" t="str">
        <f t="shared" si="1040"/>
        <v/>
      </c>
      <c r="M2438" s="37">
        <f t="shared" si="1041"/>
        <v>27.67</v>
      </c>
      <c r="N2438" s="29">
        <v>11.67</v>
      </c>
      <c r="O2438" s="31" t="s">
        <v>1017</v>
      </c>
      <c r="P2438" s="50"/>
      <c r="Q2438" s="50"/>
      <c r="R2438" s="42"/>
      <c r="T2438" s="50"/>
      <c r="U2438" s="50"/>
      <c r="W2438" t="s">
        <v>1017</v>
      </c>
      <c r="X2438" s="50"/>
      <c r="AA2438" s="52"/>
      <c r="AB2438" t="s">
        <v>1017</v>
      </c>
      <c r="AD2438" s="38"/>
    </row>
    <row r="2439" spans="1:30" x14ac:dyDescent="0.35">
      <c r="A2439" s="497" t="s">
        <v>5055</v>
      </c>
      <c r="B2439" s="13" t="s">
        <v>5547</v>
      </c>
      <c r="C2439" s="13" t="s">
        <v>5404</v>
      </c>
      <c r="D2439" s="13" t="s">
        <v>7279</v>
      </c>
      <c r="E2439" s="13" t="s">
        <v>4809</v>
      </c>
      <c r="F2439" s="373">
        <v>25.67</v>
      </c>
      <c r="G2439" s="430">
        <v>25.67</v>
      </c>
      <c r="H2439" s="399">
        <f t="shared" si="1039"/>
        <v>20.54</v>
      </c>
      <c r="I2439" s="576"/>
      <c r="J2439" s="549" t="s">
        <v>5804</v>
      </c>
      <c r="K2439" s="11"/>
      <c r="L2439" s="55" t="str">
        <f t="shared" si="1040"/>
        <v/>
      </c>
      <c r="M2439" s="37">
        <f t="shared" si="1041"/>
        <v>25.67</v>
      </c>
      <c r="N2439" s="29">
        <v>11.67</v>
      </c>
      <c r="O2439" s="31"/>
      <c r="P2439" s="50"/>
      <c r="Q2439" s="50"/>
      <c r="R2439" s="42" t="s">
        <v>1017</v>
      </c>
      <c r="T2439" s="50"/>
      <c r="U2439" s="50"/>
      <c r="W2439" t="s">
        <v>1017</v>
      </c>
      <c r="X2439" s="50"/>
      <c r="AA2439" s="52"/>
      <c r="AB2439" t="s">
        <v>1017</v>
      </c>
      <c r="AD2439" s="38"/>
    </row>
    <row r="2440" spans="1:30" x14ac:dyDescent="0.35">
      <c r="A2440" s="497" t="s">
        <v>5056</v>
      </c>
      <c r="B2440" s="13" t="s">
        <v>5547</v>
      </c>
      <c r="C2440" s="13" t="s">
        <v>5404</v>
      </c>
      <c r="D2440" s="13" t="s">
        <v>7280</v>
      </c>
      <c r="E2440" s="13" t="s">
        <v>4811</v>
      </c>
      <c r="F2440" s="373">
        <v>28.67</v>
      </c>
      <c r="G2440" s="430">
        <v>28.67</v>
      </c>
      <c r="H2440" s="399">
        <f t="shared" si="1039"/>
        <v>22.94</v>
      </c>
      <c r="I2440" s="576"/>
      <c r="J2440" s="549" t="s">
        <v>5804</v>
      </c>
      <c r="K2440" s="11"/>
      <c r="L2440" s="55" t="str">
        <f t="shared" si="1040"/>
        <v/>
      </c>
      <c r="M2440" s="37">
        <f t="shared" si="1041"/>
        <v>28.67</v>
      </c>
      <c r="N2440" s="29">
        <v>11.67</v>
      </c>
      <c r="O2440" s="31" t="s">
        <v>1017</v>
      </c>
      <c r="P2440" s="50"/>
      <c r="Q2440" s="50"/>
      <c r="R2440" s="42" t="s">
        <v>1017</v>
      </c>
      <c r="T2440" s="50"/>
      <c r="U2440" s="50"/>
      <c r="W2440" t="s">
        <v>1017</v>
      </c>
      <c r="X2440" s="50"/>
      <c r="AA2440" s="52"/>
      <c r="AB2440" t="s">
        <v>1017</v>
      </c>
      <c r="AD2440" s="38"/>
    </row>
    <row r="2441" spans="1:30" x14ac:dyDescent="0.35">
      <c r="A2441" s="497" t="s">
        <v>5047</v>
      </c>
      <c r="B2441" s="13" t="s">
        <v>5547</v>
      </c>
      <c r="C2441" s="13" t="s">
        <v>5404</v>
      </c>
      <c r="D2441" s="13" t="s">
        <v>7281</v>
      </c>
      <c r="E2441" s="13" t="s">
        <v>4809</v>
      </c>
      <c r="F2441" s="373">
        <v>26.67</v>
      </c>
      <c r="G2441" s="430">
        <v>26.67</v>
      </c>
      <c r="H2441" s="399">
        <f t="shared" si="1039"/>
        <v>21.34</v>
      </c>
      <c r="I2441" s="576"/>
      <c r="J2441" s="549" t="s">
        <v>5804</v>
      </c>
      <c r="K2441" s="11"/>
      <c r="L2441" s="55" t="str">
        <f t="shared" si="1040"/>
        <v/>
      </c>
      <c r="M2441" s="37">
        <f t="shared" si="1041"/>
        <v>26.67</v>
      </c>
      <c r="N2441" s="29">
        <v>11.67</v>
      </c>
      <c r="O2441" s="31"/>
      <c r="P2441" s="50"/>
      <c r="Q2441" s="50"/>
      <c r="R2441" s="42"/>
      <c r="T2441" s="50"/>
      <c r="U2441" s="50"/>
      <c r="X2441" s="50"/>
      <c r="Z2441" t="s">
        <v>1017</v>
      </c>
      <c r="AA2441" s="52"/>
      <c r="AB2441" t="s">
        <v>1017</v>
      </c>
      <c r="AD2441" s="38"/>
    </row>
    <row r="2442" spans="1:30" x14ac:dyDescent="0.35">
      <c r="A2442" s="497" t="s">
        <v>5048</v>
      </c>
      <c r="B2442" s="13" t="s">
        <v>5547</v>
      </c>
      <c r="C2442" s="13" t="s">
        <v>5404</v>
      </c>
      <c r="D2442" s="13" t="s">
        <v>7282</v>
      </c>
      <c r="E2442" s="13" t="s">
        <v>4811</v>
      </c>
      <c r="F2442" s="373">
        <v>29.67</v>
      </c>
      <c r="G2442" s="430">
        <v>29.67</v>
      </c>
      <c r="H2442" s="399">
        <f t="shared" si="1039"/>
        <v>23.74</v>
      </c>
      <c r="I2442" s="576"/>
      <c r="J2442" s="549" t="s">
        <v>5804</v>
      </c>
      <c r="K2442" s="11"/>
      <c r="L2442" s="55" t="str">
        <f t="shared" si="1040"/>
        <v/>
      </c>
      <c r="M2442" s="37">
        <f t="shared" si="1041"/>
        <v>29.67</v>
      </c>
      <c r="N2442" s="29">
        <v>11.67</v>
      </c>
      <c r="O2442" s="31" t="s">
        <v>1017</v>
      </c>
      <c r="P2442" s="50"/>
      <c r="Q2442" s="50"/>
      <c r="R2442" s="42"/>
      <c r="T2442" s="50"/>
      <c r="U2442" s="50"/>
      <c r="X2442" s="50"/>
      <c r="Z2442" t="s">
        <v>1017</v>
      </c>
      <c r="AA2442" s="52"/>
      <c r="AB2442" t="s">
        <v>1017</v>
      </c>
      <c r="AD2442" s="38"/>
    </row>
    <row r="2443" spans="1:30" x14ac:dyDescent="0.35">
      <c r="A2443" s="497" t="s">
        <v>1040</v>
      </c>
      <c r="B2443" s="13" t="s">
        <v>5547</v>
      </c>
      <c r="C2443" s="13" t="s">
        <v>5404</v>
      </c>
      <c r="D2443" s="13" t="s">
        <v>7283</v>
      </c>
      <c r="E2443" s="13" t="s">
        <v>4809</v>
      </c>
      <c r="F2443" s="373">
        <v>27.67</v>
      </c>
      <c r="G2443" s="430">
        <v>27.67</v>
      </c>
      <c r="H2443" s="399">
        <f t="shared" si="1039"/>
        <v>22.14</v>
      </c>
      <c r="I2443" s="576"/>
      <c r="J2443" s="549" t="s">
        <v>5804</v>
      </c>
      <c r="K2443" s="11"/>
      <c r="L2443" s="55" t="str">
        <f t="shared" si="1040"/>
        <v/>
      </c>
      <c r="M2443" s="37">
        <f t="shared" si="1041"/>
        <v>27.67</v>
      </c>
      <c r="N2443" s="29">
        <v>11.67</v>
      </c>
      <c r="O2443" s="31"/>
      <c r="P2443" s="50"/>
      <c r="Q2443" s="50"/>
      <c r="R2443" s="42" t="s">
        <v>1017</v>
      </c>
      <c r="T2443" s="50"/>
      <c r="U2443" s="50"/>
      <c r="X2443" s="50"/>
      <c r="Z2443" t="s">
        <v>1017</v>
      </c>
      <c r="AA2443" s="52"/>
      <c r="AB2443" t="s">
        <v>1017</v>
      </c>
      <c r="AD2443" s="38"/>
    </row>
    <row r="2444" spans="1:30" x14ac:dyDescent="0.35">
      <c r="A2444" s="497" t="s">
        <v>1041</v>
      </c>
      <c r="B2444" s="13" t="s">
        <v>5547</v>
      </c>
      <c r="C2444" s="13" t="s">
        <v>5404</v>
      </c>
      <c r="D2444" s="13" t="s">
        <v>7284</v>
      </c>
      <c r="E2444" s="13" t="s">
        <v>4811</v>
      </c>
      <c r="F2444" s="373">
        <v>30.67</v>
      </c>
      <c r="G2444" s="430">
        <v>30.67</v>
      </c>
      <c r="H2444" s="399">
        <f t="shared" si="1039"/>
        <v>24.54</v>
      </c>
      <c r="I2444" s="576"/>
      <c r="J2444" s="549" t="s">
        <v>5804</v>
      </c>
      <c r="K2444" s="11"/>
      <c r="L2444" s="55" t="str">
        <f t="shared" si="1040"/>
        <v/>
      </c>
      <c r="M2444" s="37">
        <f t="shared" si="1041"/>
        <v>30.67</v>
      </c>
      <c r="N2444" s="29">
        <v>11.67</v>
      </c>
      <c r="O2444" s="31" t="s">
        <v>1017</v>
      </c>
      <c r="P2444" s="50"/>
      <c r="Q2444" s="50"/>
      <c r="R2444" s="42" t="s">
        <v>1017</v>
      </c>
      <c r="T2444" s="50"/>
      <c r="U2444" s="50"/>
      <c r="X2444" s="50"/>
      <c r="Z2444" t="s">
        <v>1017</v>
      </c>
      <c r="AA2444" s="52"/>
      <c r="AB2444" t="s">
        <v>1017</v>
      </c>
      <c r="AD2444" s="38"/>
    </row>
    <row r="2445" spans="1:30" x14ac:dyDescent="0.35">
      <c r="A2445" s="497" t="s">
        <v>3319</v>
      </c>
      <c r="B2445" s="13" t="s">
        <v>5547</v>
      </c>
      <c r="C2445" s="13" t="s">
        <v>5404</v>
      </c>
      <c r="D2445" s="13" t="s">
        <v>7285</v>
      </c>
      <c r="E2445" s="13" t="s">
        <v>4809</v>
      </c>
      <c r="F2445" s="373">
        <v>12.67</v>
      </c>
      <c r="G2445" s="430">
        <v>12.67</v>
      </c>
      <c r="H2445" s="399">
        <f t="shared" si="1039"/>
        <v>10.14</v>
      </c>
      <c r="I2445" s="576"/>
      <c r="J2445" s="549" t="s">
        <v>5804</v>
      </c>
      <c r="K2445" s="11"/>
      <c r="L2445" s="55" t="str">
        <f t="shared" si="1040"/>
        <v/>
      </c>
      <c r="M2445" s="37">
        <f t="shared" si="1041"/>
        <v>12.67</v>
      </c>
      <c r="N2445" s="29">
        <v>11.67</v>
      </c>
      <c r="O2445" s="31"/>
      <c r="P2445" s="50"/>
      <c r="Q2445" s="50"/>
      <c r="R2445" s="42"/>
      <c r="T2445" s="50"/>
      <c r="U2445" s="50"/>
      <c r="X2445" s="50"/>
      <c r="AA2445" s="52"/>
      <c r="AC2445" t="s">
        <v>1017</v>
      </c>
      <c r="AD2445" s="38"/>
    </row>
    <row r="2446" spans="1:30" x14ac:dyDescent="0.35">
      <c r="A2446" s="497" t="s">
        <v>3320</v>
      </c>
      <c r="B2446" s="13" t="s">
        <v>5547</v>
      </c>
      <c r="C2446" s="13" t="s">
        <v>5404</v>
      </c>
      <c r="D2446" s="13" t="s">
        <v>7286</v>
      </c>
      <c r="E2446" s="13" t="s">
        <v>4811</v>
      </c>
      <c r="F2446" s="373">
        <v>15.67</v>
      </c>
      <c r="G2446" s="430">
        <v>15.67</v>
      </c>
      <c r="H2446" s="399">
        <f t="shared" si="1039"/>
        <v>12.54</v>
      </c>
      <c r="I2446" s="576"/>
      <c r="J2446" s="549" t="s">
        <v>5804</v>
      </c>
      <c r="K2446" s="11"/>
      <c r="L2446" s="55" t="str">
        <f t="shared" si="1040"/>
        <v/>
      </c>
      <c r="M2446" s="37">
        <f t="shared" si="1041"/>
        <v>15.67</v>
      </c>
      <c r="N2446" s="29">
        <v>11.67</v>
      </c>
      <c r="O2446" s="31" t="s">
        <v>1017</v>
      </c>
      <c r="P2446" s="50"/>
      <c r="Q2446" s="50"/>
      <c r="R2446" s="42"/>
      <c r="T2446" s="50"/>
      <c r="U2446" s="50"/>
      <c r="X2446" s="50"/>
      <c r="AA2446" s="52"/>
      <c r="AC2446" t="s">
        <v>1017</v>
      </c>
      <c r="AD2446" s="38"/>
    </row>
    <row r="2447" spans="1:30" x14ac:dyDescent="0.35">
      <c r="A2447" s="497" t="s">
        <v>2678</v>
      </c>
      <c r="B2447" s="13" t="s">
        <v>5547</v>
      </c>
      <c r="C2447" s="13" t="s">
        <v>5404</v>
      </c>
      <c r="D2447" s="13" t="s">
        <v>7287</v>
      </c>
      <c r="E2447" s="13" t="s">
        <v>4809</v>
      </c>
      <c r="F2447" s="373">
        <v>13.67</v>
      </c>
      <c r="G2447" s="430">
        <v>13.67</v>
      </c>
      <c r="H2447" s="399">
        <f t="shared" si="1039"/>
        <v>10.94</v>
      </c>
      <c r="I2447" s="576"/>
      <c r="J2447" s="549" t="s">
        <v>5804</v>
      </c>
      <c r="K2447" s="11"/>
      <c r="L2447" s="55" t="str">
        <f t="shared" si="1040"/>
        <v/>
      </c>
      <c r="M2447" s="37">
        <f t="shared" si="1041"/>
        <v>13.67</v>
      </c>
      <c r="N2447" s="29">
        <v>11.67</v>
      </c>
      <c r="O2447" s="31"/>
      <c r="P2447" s="50"/>
      <c r="Q2447" s="50"/>
      <c r="R2447" s="42" t="s">
        <v>1017</v>
      </c>
      <c r="T2447" s="50"/>
      <c r="U2447" s="50"/>
      <c r="X2447" s="50"/>
      <c r="AA2447" s="52"/>
      <c r="AC2447" t="s">
        <v>1017</v>
      </c>
      <c r="AD2447" s="38"/>
    </row>
    <row r="2448" spans="1:30" x14ac:dyDescent="0.35">
      <c r="A2448" s="497" t="s">
        <v>2679</v>
      </c>
      <c r="B2448" s="13" t="s">
        <v>5547</v>
      </c>
      <c r="C2448" s="13" t="s">
        <v>5404</v>
      </c>
      <c r="D2448" s="13" t="s">
        <v>7288</v>
      </c>
      <c r="E2448" s="13" t="s">
        <v>4811</v>
      </c>
      <c r="F2448" s="373">
        <v>16.670000000000002</v>
      </c>
      <c r="G2448" s="430">
        <v>16.670000000000002</v>
      </c>
      <c r="H2448" s="399">
        <f t="shared" si="1039"/>
        <v>13.34</v>
      </c>
      <c r="I2448" s="576"/>
      <c r="J2448" s="549" t="s">
        <v>5804</v>
      </c>
      <c r="K2448" s="11"/>
      <c r="L2448" s="55" t="str">
        <f t="shared" si="1040"/>
        <v/>
      </c>
      <c r="M2448" s="37">
        <f t="shared" si="1041"/>
        <v>16.670000000000002</v>
      </c>
      <c r="N2448" s="29">
        <v>11.67</v>
      </c>
      <c r="O2448" s="31" t="s">
        <v>1017</v>
      </c>
      <c r="P2448" s="50"/>
      <c r="Q2448" s="50"/>
      <c r="R2448" s="42" t="s">
        <v>1017</v>
      </c>
      <c r="T2448" s="50"/>
      <c r="U2448" s="50"/>
      <c r="X2448" s="50"/>
      <c r="AA2448" s="52"/>
      <c r="AC2448" t="s">
        <v>1017</v>
      </c>
      <c r="AD2448" s="38"/>
    </row>
    <row r="2449" spans="1:30" x14ac:dyDescent="0.35">
      <c r="A2449" s="497" t="s">
        <v>1044</v>
      </c>
      <c r="B2449" s="13" t="s">
        <v>5547</v>
      </c>
      <c r="C2449" s="13" t="s">
        <v>5404</v>
      </c>
      <c r="D2449" s="13" t="s">
        <v>7289</v>
      </c>
      <c r="E2449" s="13" t="s">
        <v>4809</v>
      </c>
      <c r="F2449" s="373">
        <v>18.670000000000002</v>
      </c>
      <c r="G2449" s="430">
        <v>18.670000000000002</v>
      </c>
      <c r="H2449" s="399">
        <f t="shared" si="1039"/>
        <v>14.94</v>
      </c>
      <c r="I2449" s="576"/>
      <c r="J2449" s="549" t="s">
        <v>5804</v>
      </c>
      <c r="K2449" s="11"/>
      <c r="L2449" s="55" t="str">
        <f t="shared" si="1040"/>
        <v/>
      </c>
      <c r="M2449" s="37">
        <f t="shared" si="1041"/>
        <v>18.670000000000002</v>
      </c>
      <c r="N2449" s="29">
        <v>11.67</v>
      </c>
      <c r="O2449" s="31"/>
      <c r="P2449" s="50"/>
      <c r="Q2449" s="50"/>
      <c r="R2449" s="42"/>
      <c r="S2449" t="s">
        <v>1017</v>
      </c>
      <c r="T2449" s="50"/>
      <c r="U2449" s="50"/>
      <c r="X2449" s="50"/>
      <c r="AA2449" s="52"/>
      <c r="AC2449" t="s">
        <v>1017</v>
      </c>
      <c r="AD2449" s="38"/>
    </row>
    <row r="2450" spans="1:30" x14ac:dyDescent="0.35">
      <c r="A2450" s="497" t="s">
        <v>1045</v>
      </c>
      <c r="B2450" s="13" t="s">
        <v>5547</v>
      </c>
      <c r="C2450" s="13" t="s">
        <v>5404</v>
      </c>
      <c r="D2450" s="13" t="s">
        <v>7290</v>
      </c>
      <c r="E2450" s="13" t="s">
        <v>4811</v>
      </c>
      <c r="F2450" s="373">
        <v>21.67</v>
      </c>
      <c r="G2450" s="430">
        <v>21.67</v>
      </c>
      <c r="H2450" s="399">
        <f t="shared" si="1039"/>
        <v>17.34</v>
      </c>
      <c r="I2450" s="576"/>
      <c r="J2450" s="549" t="s">
        <v>5804</v>
      </c>
      <c r="K2450" s="11"/>
      <c r="L2450" s="55" t="str">
        <f t="shared" si="1040"/>
        <v/>
      </c>
      <c r="M2450" s="37">
        <f t="shared" si="1041"/>
        <v>21.67</v>
      </c>
      <c r="N2450" s="29">
        <v>11.67</v>
      </c>
      <c r="O2450" s="31" t="s">
        <v>1017</v>
      </c>
      <c r="P2450" s="50"/>
      <c r="Q2450" s="50"/>
      <c r="R2450" s="42"/>
      <c r="S2450" t="s">
        <v>1017</v>
      </c>
      <c r="T2450" s="50"/>
      <c r="U2450" s="50"/>
      <c r="X2450" s="50"/>
      <c r="AA2450" s="52"/>
      <c r="AC2450" t="s">
        <v>1017</v>
      </c>
      <c r="AD2450" s="38"/>
    </row>
    <row r="2451" spans="1:30" x14ac:dyDescent="0.35">
      <c r="A2451" s="497" t="s">
        <v>570</v>
      </c>
      <c r="B2451" s="13" t="s">
        <v>5547</v>
      </c>
      <c r="C2451" s="13" t="s">
        <v>5404</v>
      </c>
      <c r="D2451" s="13" t="s">
        <v>7291</v>
      </c>
      <c r="E2451" s="13" t="s">
        <v>4809</v>
      </c>
      <c r="F2451" s="373">
        <v>19.670000000000002</v>
      </c>
      <c r="G2451" s="430">
        <v>19.670000000000002</v>
      </c>
      <c r="H2451" s="399">
        <f t="shared" si="1039"/>
        <v>15.74</v>
      </c>
      <c r="I2451" s="576"/>
      <c r="J2451" s="549" t="s">
        <v>5804</v>
      </c>
      <c r="K2451" s="11"/>
      <c r="L2451" s="55" t="str">
        <f t="shared" si="1040"/>
        <v/>
      </c>
      <c r="M2451" s="37">
        <f t="shared" si="1041"/>
        <v>19.670000000000002</v>
      </c>
      <c r="N2451" s="29">
        <v>11.67</v>
      </c>
      <c r="O2451" s="31"/>
      <c r="P2451" s="50"/>
      <c r="Q2451" s="50"/>
      <c r="R2451" s="42" t="s">
        <v>1017</v>
      </c>
      <c r="S2451" t="s">
        <v>1017</v>
      </c>
      <c r="T2451" s="50"/>
      <c r="U2451" s="50"/>
      <c r="X2451" s="50"/>
      <c r="AA2451" s="52"/>
      <c r="AC2451" t="s">
        <v>1017</v>
      </c>
      <c r="AD2451" s="38"/>
    </row>
    <row r="2452" spans="1:30" x14ac:dyDescent="0.35">
      <c r="A2452" s="497" t="s">
        <v>571</v>
      </c>
      <c r="B2452" s="13" t="s">
        <v>5547</v>
      </c>
      <c r="C2452" s="13" t="s">
        <v>5404</v>
      </c>
      <c r="D2452" s="13" t="s">
        <v>7292</v>
      </c>
      <c r="E2452" s="13" t="s">
        <v>4811</v>
      </c>
      <c r="F2452" s="373">
        <v>22.67</v>
      </c>
      <c r="G2452" s="430">
        <v>22.67</v>
      </c>
      <c r="H2452" s="399">
        <f t="shared" si="1039"/>
        <v>18.14</v>
      </c>
      <c r="I2452" s="576"/>
      <c r="J2452" s="549" t="s">
        <v>5804</v>
      </c>
      <c r="K2452" s="11"/>
      <c r="L2452" s="55" t="str">
        <f t="shared" si="1040"/>
        <v/>
      </c>
      <c r="M2452" s="37">
        <f t="shared" si="1041"/>
        <v>22.67</v>
      </c>
      <c r="N2452" s="29">
        <v>11.67</v>
      </c>
      <c r="O2452" s="31" t="s">
        <v>1017</v>
      </c>
      <c r="P2452" s="50"/>
      <c r="Q2452" s="50"/>
      <c r="R2452" s="42" t="s">
        <v>1017</v>
      </c>
      <c r="S2452" t="s">
        <v>1017</v>
      </c>
      <c r="T2452" s="50"/>
      <c r="U2452" s="50"/>
      <c r="X2452" s="50"/>
      <c r="AA2452" s="52"/>
      <c r="AC2452" t="s">
        <v>1017</v>
      </c>
      <c r="AD2452" s="38"/>
    </row>
    <row r="2453" spans="1:30" x14ac:dyDescent="0.35">
      <c r="A2453" s="497" t="s">
        <v>1052</v>
      </c>
      <c r="B2453" s="13" t="s">
        <v>5547</v>
      </c>
      <c r="C2453" s="13" t="s">
        <v>5404</v>
      </c>
      <c r="D2453" s="13" t="s">
        <v>7293</v>
      </c>
      <c r="E2453" s="13" t="s">
        <v>4809</v>
      </c>
      <c r="F2453" s="373">
        <v>19.670000000000002</v>
      </c>
      <c r="G2453" s="430">
        <v>19.670000000000002</v>
      </c>
      <c r="H2453" s="399">
        <f t="shared" si="1039"/>
        <v>15.74</v>
      </c>
      <c r="I2453" s="576"/>
      <c r="J2453" s="549" t="s">
        <v>5804</v>
      </c>
      <c r="K2453" s="11"/>
      <c r="L2453" s="55" t="str">
        <f t="shared" si="1040"/>
        <v/>
      </c>
      <c r="M2453" s="37">
        <f t="shared" si="1041"/>
        <v>19.670000000000002</v>
      </c>
      <c r="N2453" s="29">
        <v>11.67</v>
      </c>
      <c r="O2453" s="31"/>
      <c r="P2453" s="50"/>
      <c r="Q2453" s="50"/>
      <c r="R2453" s="42"/>
      <c r="T2453" s="50"/>
      <c r="U2453" s="50"/>
      <c r="V2453" t="s">
        <v>1017</v>
      </c>
      <c r="X2453" s="50"/>
      <c r="AA2453" s="52"/>
      <c r="AC2453" t="s">
        <v>1017</v>
      </c>
      <c r="AD2453" s="38"/>
    </row>
    <row r="2454" spans="1:30" x14ac:dyDescent="0.35">
      <c r="A2454" s="497" t="s">
        <v>4529</v>
      </c>
      <c r="B2454" s="13" t="s">
        <v>5547</v>
      </c>
      <c r="C2454" s="13" t="s">
        <v>5404</v>
      </c>
      <c r="D2454" s="13" t="s">
        <v>7294</v>
      </c>
      <c r="E2454" s="13" t="s">
        <v>4811</v>
      </c>
      <c r="F2454" s="373">
        <v>22.67</v>
      </c>
      <c r="G2454" s="430">
        <v>22.67</v>
      </c>
      <c r="H2454" s="399">
        <f t="shared" si="1039"/>
        <v>18.14</v>
      </c>
      <c r="I2454" s="576"/>
      <c r="J2454" s="549" t="s">
        <v>5804</v>
      </c>
      <c r="K2454" s="11"/>
      <c r="L2454" s="55" t="str">
        <f t="shared" si="1040"/>
        <v/>
      </c>
      <c r="M2454" s="37">
        <f t="shared" si="1041"/>
        <v>22.67</v>
      </c>
      <c r="N2454" s="29">
        <v>11.67</v>
      </c>
      <c r="O2454" s="31" t="s">
        <v>1017</v>
      </c>
      <c r="P2454" s="50"/>
      <c r="Q2454" s="50"/>
      <c r="R2454" s="42"/>
      <c r="T2454" s="50"/>
      <c r="U2454" s="50"/>
      <c r="V2454" t="s">
        <v>1017</v>
      </c>
      <c r="X2454" s="50"/>
      <c r="AA2454" s="52"/>
      <c r="AC2454" t="s">
        <v>1017</v>
      </c>
      <c r="AD2454" s="38"/>
    </row>
    <row r="2455" spans="1:30" x14ac:dyDescent="0.35">
      <c r="A2455" s="497" t="s">
        <v>4988</v>
      </c>
      <c r="B2455" s="13" t="s">
        <v>5547</v>
      </c>
      <c r="C2455" s="13" t="s">
        <v>5404</v>
      </c>
      <c r="D2455" s="13" t="s">
        <v>7295</v>
      </c>
      <c r="E2455" s="13" t="s">
        <v>4809</v>
      </c>
      <c r="F2455" s="373">
        <v>20.67</v>
      </c>
      <c r="G2455" s="430">
        <v>20.67</v>
      </c>
      <c r="H2455" s="399">
        <f t="shared" si="1039"/>
        <v>16.54</v>
      </c>
      <c r="I2455" s="576"/>
      <c r="J2455" s="549" t="s">
        <v>5804</v>
      </c>
      <c r="K2455" s="11"/>
      <c r="L2455" s="55" t="str">
        <f t="shared" si="1040"/>
        <v/>
      </c>
      <c r="M2455" s="37">
        <f t="shared" si="1041"/>
        <v>20.67</v>
      </c>
      <c r="N2455" s="29">
        <v>11.67</v>
      </c>
      <c r="O2455" s="31"/>
      <c r="P2455" s="50"/>
      <c r="Q2455" s="50"/>
      <c r="R2455" s="42" t="s">
        <v>1017</v>
      </c>
      <c r="T2455" s="50"/>
      <c r="U2455" s="50"/>
      <c r="V2455" t="s">
        <v>1017</v>
      </c>
      <c r="X2455" s="50"/>
      <c r="AA2455" s="52"/>
      <c r="AC2455" t="s">
        <v>1017</v>
      </c>
      <c r="AD2455" s="38"/>
    </row>
    <row r="2456" spans="1:30" x14ac:dyDescent="0.35">
      <c r="A2456" s="497" t="s">
        <v>4989</v>
      </c>
      <c r="B2456" s="13" t="s">
        <v>5547</v>
      </c>
      <c r="C2456" s="13" t="s">
        <v>5404</v>
      </c>
      <c r="D2456" s="13" t="s">
        <v>7296</v>
      </c>
      <c r="E2456" s="13" t="s">
        <v>4811</v>
      </c>
      <c r="F2456" s="373">
        <v>23.67</v>
      </c>
      <c r="G2456" s="430">
        <v>23.67</v>
      </c>
      <c r="H2456" s="399">
        <f t="shared" si="1039"/>
        <v>18.940000000000001</v>
      </c>
      <c r="I2456" s="576"/>
      <c r="J2456" s="549" t="s">
        <v>5804</v>
      </c>
      <c r="K2456" s="11"/>
      <c r="L2456" s="55" t="str">
        <f t="shared" si="1040"/>
        <v/>
      </c>
      <c r="M2456" s="37">
        <f t="shared" si="1041"/>
        <v>23.67</v>
      </c>
      <c r="N2456" s="29">
        <v>11.67</v>
      </c>
      <c r="O2456" s="31" t="s">
        <v>1017</v>
      </c>
      <c r="P2456" s="50"/>
      <c r="Q2456" s="50"/>
      <c r="R2456" s="42" t="s">
        <v>1017</v>
      </c>
      <c r="T2456" s="50"/>
      <c r="U2456" s="50"/>
      <c r="V2456" t="s">
        <v>1017</v>
      </c>
      <c r="X2456" s="50"/>
      <c r="AA2456" s="52"/>
      <c r="AC2456" t="s">
        <v>1017</v>
      </c>
      <c r="AD2456" s="38"/>
    </row>
    <row r="2457" spans="1:30" x14ac:dyDescent="0.35">
      <c r="A2457" s="497" t="s">
        <v>4980</v>
      </c>
      <c r="B2457" s="13" t="s">
        <v>5547</v>
      </c>
      <c r="C2457" s="13" t="s">
        <v>5404</v>
      </c>
      <c r="D2457" s="13" t="s">
        <v>7297</v>
      </c>
      <c r="E2457" s="13" t="s">
        <v>4809</v>
      </c>
      <c r="F2457" s="373">
        <v>21.67</v>
      </c>
      <c r="G2457" s="430">
        <v>21.67</v>
      </c>
      <c r="H2457" s="399">
        <f t="shared" si="1039"/>
        <v>17.34</v>
      </c>
      <c r="I2457" s="576"/>
      <c r="J2457" s="549" t="s">
        <v>5804</v>
      </c>
      <c r="K2457" s="11"/>
      <c r="L2457" s="55" t="str">
        <f t="shared" si="1040"/>
        <v/>
      </c>
      <c r="M2457" s="37">
        <f t="shared" si="1041"/>
        <v>21.67</v>
      </c>
      <c r="N2457" s="29">
        <v>11.67</v>
      </c>
      <c r="O2457" s="31"/>
      <c r="P2457" s="50"/>
      <c r="Q2457" s="50"/>
      <c r="R2457" s="42"/>
      <c r="T2457" s="50"/>
      <c r="U2457" s="50"/>
      <c r="X2457" s="50"/>
      <c r="Y2457" t="s">
        <v>1017</v>
      </c>
      <c r="AA2457" s="52"/>
      <c r="AC2457" t="s">
        <v>1017</v>
      </c>
      <c r="AD2457" s="38"/>
    </row>
    <row r="2458" spans="1:30" x14ac:dyDescent="0.35">
      <c r="A2458" s="497" t="s">
        <v>4981</v>
      </c>
      <c r="B2458" s="13" t="s">
        <v>5547</v>
      </c>
      <c r="C2458" s="13" t="s">
        <v>5404</v>
      </c>
      <c r="D2458" s="13" t="s">
        <v>7298</v>
      </c>
      <c r="E2458" s="13" t="s">
        <v>4811</v>
      </c>
      <c r="F2458" s="373">
        <v>24.67</v>
      </c>
      <c r="G2458" s="430">
        <v>24.67</v>
      </c>
      <c r="H2458" s="399">
        <f t="shared" si="1039"/>
        <v>19.739999999999998</v>
      </c>
      <c r="I2458" s="576"/>
      <c r="J2458" s="549" t="s">
        <v>5804</v>
      </c>
      <c r="K2458" s="11"/>
      <c r="L2458" s="55" t="str">
        <f t="shared" si="1040"/>
        <v/>
      </c>
      <c r="M2458" s="37">
        <f t="shared" si="1041"/>
        <v>24.67</v>
      </c>
      <c r="N2458" s="29">
        <v>11.67</v>
      </c>
      <c r="O2458" s="31" t="s">
        <v>1017</v>
      </c>
      <c r="P2458" s="50"/>
      <c r="Q2458" s="50"/>
      <c r="R2458" s="42"/>
      <c r="T2458" s="50"/>
      <c r="U2458" s="50"/>
      <c r="X2458" s="50"/>
      <c r="Y2458" t="s">
        <v>1017</v>
      </c>
      <c r="AA2458" s="52"/>
      <c r="AC2458" t="s">
        <v>1017</v>
      </c>
      <c r="AD2458" s="38"/>
    </row>
    <row r="2459" spans="1:30" x14ac:dyDescent="0.35">
      <c r="A2459" s="497" t="s">
        <v>4996</v>
      </c>
      <c r="B2459" s="13" t="s">
        <v>5547</v>
      </c>
      <c r="C2459" s="13" t="s">
        <v>5404</v>
      </c>
      <c r="D2459" s="13" t="s">
        <v>7299</v>
      </c>
      <c r="E2459" s="13" t="s">
        <v>4809</v>
      </c>
      <c r="F2459" s="373">
        <v>22.67</v>
      </c>
      <c r="G2459" s="430">
        <v>22.67</v>
      </c>
      <c r="H2459" s="399">
        <f t="shared" si="1039"/>
        <v>18.14</v>
      </c>
      <c r="I2459" s="576"/>
      <c r="J2459" s="549" t="s">
        <v>5804</v>
      </c>
      <c r="K2459" s="11"/>
      <c r="L2459" s="55" t="str">
        <f t="shared" si="1040"/>
        <v/>
      </c>
      <c r="M2459" s="37">
        <f t="shared" si="1041"/>
        <v>22.67</v>
      </c>
      <c r="N2459" s="29">
        <v>11.67</v>
      </c>
      <c r="O2459" s="31"/>
      <c r="P2459" s="50"/>
      <c r="Q2459" s="50"/>
      <c r="R2459" s="42" t="s">
        <v>1017</v>
      </c>
      <c r="T2459" s="50"/>
      <c r="U2459" s="50"/>
      <c r="X2459" s="50"/>
      <c r="Y2459" t="s">
        <v>1017</v>
      </c>
      <c r="AA2459" s="52"/>
      <c r="AC2459" t="s">
        <v>1017</v>
      </c>
      <c r="AD2459" s="38"/>
    </row>
    <row r="2460" spans="1:30" x14ac:dyDescent="0.35">
      <c r="A2460" s="497" t="s">
        <v>4997</v>
      </c>
      <c r="B2460" s="13" t="s">
        <v>5547</v>
      </c>
      <c r="C2460" s="13" t="s">
        <v>5404</v>
      </c>
      <c r="D2460" s="13" t="s">
        <v>7300</v>
      </c>
      <c r="E2460" s="13" t="s">
        <v>4811</v>
      </c>
      <c r="F2460" s="373">
        <v>25.67</v>
      </c>
      <c r="G2460" s="430">
        <v>25.67</v>
      </c>
      <c r="H2460" s="399">
        <f t="shared" si="1039"/>
        <v>20.54</v>
      </c>
      <c r="I2460" s="576"/>
      <c r="J2460" s="549" t="s">
        <v>5804</v>
      </c>
      <c r="K2460" s="11"/>
      <c r="L2460" s="55" t="str">
        <f t="shared" si="1040"/>
        <v/>
      </c>
      <c r="M2460" s="37">
        <f t="shared" si="1041"/>
        <v>25.67</v>
      </c>
      <c r="N2460" s="29">
        <v>11.67</v>
      </c>
      <c r="O2460" s="31" t="s">
        <v>1017</v>
      </c>
      <c r="P2460" s="50"/>
      <c r="Q2460" s="50"/>
      <c r="R2460" s="42" t="s">
        <v>1017</v>
      </c>
      <c r="T2460" s="50"/>
      <c r="U2460" s="50"/>
      <c r="X2460" s="50"/>
      <c r="Y2460" t="s">
        <v>1017</v>
      </c>
      <c r="AA2460" s="52"/>
      <c r="AC2460" t="s">
        <v>1017</v>
      </c>
      <c r="AD2460" s="38"/>
    </row>
    <row r="2461" spans="1:30" x14ac:dyDescent="0.35">
      <c r="A2461" s="497" t="s">
        <v>4532</v>
      </c>
      <c r="B2461" s="13" t="s">
        <v>5547</v>
      </c>
      <c r="C2461" s="13" t="s">
        <v>5404</v>
      </c>
      <c r="D2461" s="13" t="s">
        <v>7301</v>
      </c>
      <c r="E2461" s="13" t="s">
        <v>4809</v>
      </c>
      <c r="F2461" s="373">
        <v>23.67</v>
      </c>
      <c r="G2461" s="430">
        <v>23.67</v>
      </c>
      <c r="H2461" s="399">
        <f t="shared" ref="H2461:H2524" si="1042">IF(ISNUMBER(G2461),ROUND(0.8*G2461,2),"")</f>
        <v>18.940000000000001</v>
      </c>
      <c r="I2461" s="576"/>
      <c r="J2461" s="549" t="s">
        <v>5804</v>
      </c>
      <c r="K2461" s="11"/>
      <c r="L2461" s="55" t="str">
        <f t="shared" ref="L2461:L2524" si="1043">IF(F2461=M2461,"",FALSE)</f>
        <v/>
      </c>
      <c r="M2461" s="37">
        <f t="shared" ref="M2461:M2524" si="1044">N2461+SUMIF(O2461:AD2461,"x",O$2396:AD$2396)</f>
        <v>23.67</v>
      </c>
      <c r="N2461" s="29">
        <v>11.67</v>
      </c>
      <c r="O2461" s="31"/>
      <c r="P2461" s="50"/>
      <c r="Q2461" s="50"/>
      <c r="R2461" s="42"/>
      <c r="T2461" s="50"/>
      <c r="U2461" s="50"/>
      <c r="W2461" t="s">
        <v>1017</v>
      </c>
      <c r="X2461" s="50"/>
      <c r="AA2461" s="52"/>
      <c r="AC2461" t="s">
        <v>1017</v>
      </c>
      <c r="AD2461" s="38"/>
    </row>
    <row r="2462" spans="1:30" x14ac:dyDescent="0.35">
      <c r="A2462" s="497" t="s">
        <v>4977</v>
      </c>
      <c r="B2462" s="13" t="s">
        <v>5547</v>
      </c>
      <c r="C2462" s="13" t="s">
        <v>5404</v>
      </c>
      <c r="D2462" s="13" t="s">
        <v>7302</v>
      </c>
      <c r="E2462" s="13" t="s">
        <v>4811</v>
      </c>
      <c r="F2462" s="373">
        <v>26.67</v>
      </c>
      <c r="G2462" s="430">
        <v>26.67</v>
      </c>
      <c r="H2462" s="399">
        <f t="shared" si="1042"/>
        <v>21.34</v>
      </c>
      <c r="I2462" s="576"/>
      <c r="J2462" s="549" t="s">
        <v>5804</v>
      </c>
      <c r="K2462" s="11"/>
      <c r="L2462" s="55" t="str">
        <f t="shared" si="1043"/>
        <v/>
      </c>
      <c r="M2462" s="37">
        <f t="shared" si="1044"/>
        <v>26.67</v>
      </c>
      <c r="N2462" s="29">
        <v>11.67</v>
      </c>
      <c r="O2462" s="31" t="s">
        <v>1017</v>
      </c>
      <c r="P2462" s="50"/>
      <c r="Q2462" s="50"/>
      <c r="R2462" s="42"/>
      <c r="T2462" s="50"/>
      <c r="U2462" s="50"/>
      <c r="W2462" t="s">
        <v>1017</v>
      </c>
      <c r="X2462" s="50"/>
      <c r="AA2462" s="52"/>
      <c r="AC2462" t="s">
        <v>1017</v>
      </c>
      <c r="AD2462" s="38"/>
    </row>
    <row r="2463" spans="1:30" x14ac:dyDescent="0.35">
      <c r="A2463" s="497" t="s">
        <v>4992</v>
      </c>
      <c r="B2463" s="13" t="s">
        <v>5547</v>
      </c>
      <c r="C2463" s="13" t="s">
        <v>5404</v>
      </c>
      <c r="D2463" s="13" t="s">
        <v>7303</v>
      </c>
      <c r="E2463" s="13" t="s">
        <v>4809</v>
      </c>
      <c r="F2463" s="373">
        <v>24.67</v>
      </c>
      <c r="G2463" s="430">
        <v>24.67</v>
      </c>
      <c r="H2463" s="399">
        <f t="shared" si="1042"/>
        <v>19.739999999999998</v>
      </c>
      <c r="I2463" s="576"/>
      <c r="J2463" s="549" t="s">
        <v>5804</v>
      </c>
      <c r="K2463" s="11"/>
      <c r="L2463" s="55" t="str">
        <f t="shared" si="1043"/>
        <v/>
      </c>
      <c r="M2463" s="37">
        <f t="shared" si="1044"/>
        <v>24.67</v>
      </c>
      <c r="N2463" s="29">
        <v>11.67</v>
      </c>
      <c r="O2463" s="31"/>
      <c r="P2463" s="50"/>
      <c r="Q2463" s="50"/>
      <c r="R2463" s="42" t="s">
        <v>1017</v>
      </c>
      <c r="T2463" s="50"/>
      <c r="U2463" s="50"/>
      <c r="W2463" t="s">
        <v>1017</v>
      </c>
      <c r="X2463" s="50"/>
      <c r="AA2463" s="52"/>
      <c r="AC2463" t="s">
        <v>1017</v>
      </c>
      <c r="AD2463" s="38"/>
    </row>
    <row r="2464" spans="1:30" x14ac:dyDescent="0.35">
      <c r="A2464" s="497" t="s">
        <v>4993</v>
      </c>
      <c r="B2464" s="13" t="s">
        <v>5547</v>
      </c>
      <c r="C2464" s="13" t="s">
        <v>5404</v>
      </c>
      <c r="D2464" s="13" t="s">
        <v>7304</v>
      </c>
      <c r="E2464" s="13" t="s">
        <v>4811</v>
      </c>
      <c r="F2464" s="373">
        <v>27.67</v>
      </c>
      <c r="G2464" s="430">
        <v>27.67</v>
      </c>
      <c r="H2464" s="399">
        <f t="shared" si="1042"/>
        <v>22.14</v>
      </c>
      <c r="I2464" s="576"/>
      <c r="J2464" s="549" t="s">
        <v>5804</v>
      </c>
      <c r="K2464" s="11"/>
      <c r="L2464" s="55" t="str">
        <f t="shared" si="1043"/>
        <v/>
      </c>
      <c r="M2464" s="37">
        <f t="shared" si="1044"/>
        <v>27.67</v>
      </c>
      <c r="N2464" s="29">
        <v>11.67</v>
      </c>
      <c r="O2464" s="31" t="s">
        <v>1017</v>
      </c>
      <c r="P2464" s="50"/>
      <c r="Q2464" s="50"/>
      <c r="R2464" s="42" t="s">
        <v>1017</v>
      </c>
      <c r="T2464" s="50"/>
      <c r="U2464" s="50"/>
      <c r="W2464" t="s">
        <v>1017</v>
      </c>
      <c r="X2464" s="50"/>
      <c r="AA2464" s="52"/>
      <c r="AC2464" t="s">
        <v>1017</v>
      </c>
      <c r="AD2464" s="38"/>
    </row>
    <row r="2465" spans="1:30" x14ac:dyDescent="0.35">
      <c r="A2465" s="497" t="s">
        <v>4984</v>
      </c>
      <c r="B2465" s="13" t="s">
        <v>5547</v>
      </c>
      <c r="C2465" s="13" t="s">
        <v>5404</v>
      </c>
      <c r="D2465" s="13" t="s">
        <v>7305</v>
      </c>
      <c r="E2465" s="13" t="s">
        <v>4809</v>
      </c>
      <c r="F2465" s="373">
        <v>25.67</v>
      </c>
      <c r="G2465" s="430">
        <v>25.67</v>
      </c>
      <c r="H2465" s="399">
        <f t="shared" si="1042"/>
        <v>20.54</v>
      </c>
      <c r="I2465" s="576"/>
      <c r="J2465" s="549" t="s">
        <v>5804</v>
      </c>
      <c r="K2465" s="11"/>
      <c r="L2465" s="55" t="str">
        <f t="shared" si="1043"/>
        <v/>
      </c>
      <c r="M2465" s="37">
        <f t="shared" si="1044"/>
        <v>25.67</v>
      </c>
      <c r="N2465" s="29">
        <v>11.67</v>
      </c>
      <c r="O2465" s="31"/>
      <c r="P2465" s="50"/>
      <c r="Q2465" s="50"/>
      <c r="R2465" s="42"/>
      <c r="T2465" s="50"/>
      <c r="U2465" s="50"/>
      <c r="X2465" s="50"/>
      <c r="Z2465" t="s">
        <v>1017</v>
      </c>
      <c r="AA2465" s="52"/>
      <c r="AC2465" t="s">
        <v>1017</v>
      </c>
      <c r="AD2465" s="38"/>
    </row>
    <row r="2466" spans="1:30" x14ac:dyDescent="0.35">
      <c r="A2466" s="497" t="s">
        <v>4985</v>
      </c>
      <c r="B2466" s="13" t="s">
        <v>5547</v>
      </c>
      <c r="C2466" s="13" t="s">
        <v>5404</v>
      </c>
      <c r="D2466" s="13" t="s">
        <v>7306</v>
      </c>
      <c r="E2466" s="13" t="s">
        <v>4811</v>
      </c>
      <c r="F2466" s="373">
        <v>28.67</v>
      </c>
      <c r="G2466" s="430">
        <v>28.67</v>
      </c>
      <c r="H2466" s="399">
        <f t="shared" si="1042"/>
        <v>22.94</v>
      </c>
      <c r="I2466" s="576"/>
      <c r="J2466" s="549" t="s">
        <v>5804</v>
      </c>
      <c r="K2466" s="11"/>
      <c r="L2466" s="55" t="str">
        <f t="shared" si="1043"/>
        <v/>
      </c>
      <c r="M2466" s="37">
        <f t="shared" si="1044"/>
        <v>28.67</v>
      </c>
      <c r="N2466" s="29">
        <v>11.67</v>
      </c>
      <c r="O2466" s="31" t="s">
        <v>1017</v>
      </c>
      <c r="P2466" s="50"/>
      <c r="Q2466" s="50"/>
      <c r="R2466" s="42"/>
      <c r="T2466" s="50"/>
      <c r="U2466" s="50"/>
      <c r="X2466" s="50"/>
      <c r="Z2466" t="s">
        <v>1017</v>
      </c>
      <c r="AA2466" s="52"/>
      <c r="AC2466" t="s">
        <v>1017</v>
      </c>
      <c r="AD2466" s="38"/>
    </row>
    <row r="2467" spans="1:30" x14ac:dyDescent="0.35">
      <c r="A2467" s="497" t="s">
        <v>5000</v>
      </c>
      <c r="B2467" s="13" t="s">
        <v>5547</v>
      </c>
      <c r="C2467" s="13" t="s">
        <v>5404</v>
      </c>
      <c r="D2467" s="13" t="s">
        <v>7307</v>
      </c>
      <c r="E2467" s="13" t="s">
        <v>4809</v>
      </c>
      <c r="F2467" s="373">
        <v>26.67</v>
      </c>
      <c r="G2467" s="430">
        <v>26.67</v>
      </c>
      <c r="H2467" s="399">
        <f t="shared" si="1042"/>
        <v>21.34</v>
      </c>
      <c r="I2467" s="576"/>
      <c r="J2467" s="549" t="s">
        <v>5804</v>
      </c>
      <c r="K2467" s="11"/>
      <c r="L2467" s="55" t="str">
        <f t="shared" si="1043"/>
        <v/>
      </c>
      <c r="M2467" s="37">
        <f t="shared" si="1044"/>
        <v>26.67</v>
      </c>
      <c r="N2467" s="29">
        <v>11.67</v>
      </c>
      <c r="O2467" s="31"/>
      <c r="P2467" s="50"/>
      <c r="Q2467" s="50"/>
      <c r="R2467" s="42" t="s">
        <v>1017</v>
      </c>
      <c r="T2467" s="50"/>
      <c r="U2467" s="50"/>
      <c r="X2467" s="50"/>
      <c r="Z2467" t="s">
        <v>1017</v>
      </c>
      <c r="AA2467" s="52"/>
      <c r="AC2467" t="s">
        <v>1017</v>
      </c>
      <c r="AD2467" s="38"/>
    </row>
    <row r="2468" spans="1:30" x14ac:dyDescent="0.35">
      <c r="A2468" s="497" t="s">
        <v>5001</v>
      </c>
      <c r="B2468" s="13" t="s">
        <v>5547</v>
      </c>
      <c r="C2468" s="13" t="s">
        <v>5404</v>
      </c>
      <c r="D2468" s="13" t="s">
        <v>7308</v>
      </c>
      <c r="E2468" s="13" t="s">
        <v>4811</v>
      </c>
      <c r="F2468" s="373">
        <v>29.67</v>
      </c>
      <c r="G2468" s="430">
        <v>29.67</v>
      </c>
      <c r="H2468" s="399">
        <f t="shared" si="1042"/>
        <v>23.74</v>
      </c>
      <c r="I2468" s="576"/>
      <c r="J2468" s="549" t="s">
        <v>5804</v>
      </c>
      <c r="K2468" s="11"/>
      <c r="L2468" s="55" t="str">
        <f t="shared" si="1043"/>
        <v/>
      </c>
      <c r="M2468" s="37">
        <f t="shared" si="1044"/>
        <v>29.67</v>
      </c>
      <c r="N2468" s="29">
        <v>11.67</v>
      </c>
      <c r="O2468" s="31" t="s">
        <v>1017</v>
      </c>
      <c r="P2468" s="50"/>
      <c r="Q2468" s="50"/>
      <c r="R2468" s="42" t="s">
        <v>1017</v>
      </c>
      <c r="T2468" s="50"/>
      <c r="U2468" s="50"/>
      <c r="X2468" s="50"/>
      <c r="Z2468" t="s">
        <v>1017</v>
      </c>
      <c r="AA2468" s="52"/>
      <c r="AC2468" t="s">
        <v>1017</v>
      </c>
      <c r="AD2468" s="38"/>
    </row>
    <row r="2469" spans="1:30" x14ac:dyDescent="0.35">
      <c r="A2469" s="497" t="s">
        <v>4065</v>
      </c>
      <c r="B2469" s="13" t="s">
        <v>5547</v>
      </c>
      <c r="C2469" s="13" t="s">
        <v>5404</v>
      </c>
      <c r="D2469" s="13" t="s">
        <v>7309</v>
      </c>
      <c r="E2469" s="13" t="s">
        <v>4809</v>
      </c>
      <c r="F2469" s="373">
        <v>13.67</v>
      </c>
      <c r="G2469" s="430">
        <v>13.67</v>
      </c>
      <c r="H2469" s="399">
        <f t="shared" si="1042"/>
        <v>10.94</v>
      </c>
      <c r="I2469" s="576"/>
      <c r="J2469" s="549" t="s">
        <v>5804</v>
      </c>
      <c r="K2469" s="11"/>
      <c r="L2469" s="55" t="str">
        <f t="shared" si="1043"/>
        <v/>
      </c>
      <c r="M2469" s="37">
        <f t="shared" si="1044"/>
        <v>13.67</v>
      </c>
      <c r="N2469" s="29">
        <v>11.67</v>
      </c>
      <c r="O2469" s="31"/>
      <c r="P2469" s="50"/>
      <c r="Q2469" s="50"/>
      <c r="R2469" s="42"/>
      <c r="T2469" s="50"/>
      <c r="U2469" s="50"/>
      <c r="X2469" s="50"/>
      <c r="AA2469" s="52"/>
      <c r="AD2469" s="38" t="s">
        <v>1017</v>
      </c>
    </row>
    <row r="2470" spans="1:30" x14ac:dyDescent="0.35">
      <c r="A2470" s="497" t="s">
        <v>4066</v>
      </c>
      <c r="B2470" s="13" t="s">
        <v>5547</v>
      </c>
      <c r="C2470" s="13" t="s">
        <v>5404</v>
      </c>
      <c r="D2470" s="13" t="s">
        <v>7310</v>
      </c>
      <c r="E2470" s="13" t="s">
        <v>4811</v>
      </c>
      <c r="F2470" s="373">
        <v>16.670000000000002</v>
      </c>
      <c r="G2470" s="430">
        <v>16.670000000000002</v>
      </c>
      <c r="H2470" s="399">
        <f t="shared" si="1042"/>
        <v>13.34</v>
      </c>
      <c r="I2470" s="576"/>
      <c r="J2470" s="549" t="s">
        <v>5804</v>
      </c>
      <c r="K2470" s="11"/>
      <c r="L2470" s="55" t="str">
        <f t="shared" si="1043"/>
        <v/>
      </c>
      <c r="M2470" s="37">
        <f t="shared" si="1044"/>
        <v>16.670000000000002</v>
      </c>
      <c r="N2470" s="29">
        <v>11.67</v>
      </c>
      <c r="O2470" s="31" t="s">
        <v>1017</v>
      </c>
      <c r="P2470" s="50"/>
      <c r="Q2470" s="50"/>
      <c r="R2470" s="42"/>
      <c r="T2470" s="50"/>
      <c r="U2470" s="50"/>
      <c r="X2470" s="50"/>
      <c r="AA2470" s="52"/>
      <c r="AD2470" s="38" t="s">
        <v>1017</v>
      </c>
    </row>
    <row r="2471" spans="1:30" x14ac:dyDescent="0.35">
      <c r="A2471" s="497" t="s">
        <v>2837</v>
      </c>
      <c r="B2471" s="13" t="s">
        <v>5547</v>
      </c>
      <c r="C2471" s="13" t="s">
        <v>5404</v>
      </c>
      <c r="D2471" s="13" t="s">
        <v>7311</v>
      </c>
      <c r="E2471" s="13" t="s">
        <v>4809</v>
      </c>
      <c r="F2471" s="373">
        <v>14.67</v>
      </c>
      <c r="G2471" s="430">
        <v>14.67</v>
      </c>
      <c r="H2471" s="399">
        <f t="shared" si="1042"/>
        <v>11.74</v>
      </c>
      <c r="I2471" s="576"/>
      <c r="J2471" s="549" t="s">
        <v>5804</v>
      </c>
      <c r="K2471" s="11"/>
      <c r="L2471" s="55" t="str">
        <f t="shared" si="1043"/>
        <v/>
      </c>
      <c r="M2471" s="37">
        <f t="shared" si="1044"/>
        <v>14.67</v>
      </c>
      <c r="N2471" s="29">
        <v>11.67</v>
      </c>
      <c r="O2471" s="31"/>
      <c r="P2471" s="50"/>
      <c r="Q2471" s="50"/>
      <c r="R2471" s="42" t="s">
        <v>1017</v>
      </c>
      <c r="T2471" s="50"/>
      <c r="U2471" s="50"/>
      <c r="X2471" s="50"/>
      <c r="AA2471" s="52"/>
      <c r="AD2471" s="38" t="s">
        <v>1017</v>
      </c>
    </row>
    <row r="2472" spans="1:30" x14ac:dyDescent="0.35">
      <c r="A2472" s="497" t="s">
        <v>2838</v>
      </c>
      <c r="B2472" s="13" t="s">
        <v>5547</v>
      </c>
      <c r="C2472" s="13" t="s">
        <v>5404</v>
      </c>
      <c r="D2472" s="13" t="s">
        <v>7312</v>
      </c>
      <c r="E2472" s="13" t="s">
        <v>4811</v>
      </c>
      <c r="F2472" s="373">
        <v>17.670000000000002</v>
      </c>
      <c r="G2472" s="430">
        <v>17.670000000000002</v>
      </c>
      <c r="H2472" s="399">
        <f t="shared" si="1042"/>
        <v>14.14</v>
      </c>
      <c r="I2472" s="576"/>
      <c r="J2472" s="549" t="s">
        <v>5804</v>
      </c>
      <c r="K2472" s="11"/>
      <c r="L2472" s="55" t="str">
        <f t="shared" si="1043"/>
        <v/>
      </c>
      <c r="M2472" s="37">
        <f t="shared" si="1044"/>
        <v>17.670000000000002</v>
      </c>
      <c r="N2472" s="29">
        <v>11.67</v>
      </c>
      <c r="O2472" s="31" t="s">
        <v>1017</v>
      </c>
      <c r="P2472" s="50"/>
      <c r="Q2472" s="50"/>
      <c r="R2472" s="42" t="s">
        <v>1017</v>
      </c>
      <c r="T2472" s="50"/>
      <c r="U2472" s="50"/>
      <c r="X2472" s="50"/>
      <c r="AA2472" s="52"/>
      <c r="AD2472" s="38" t="s">
        <v>1017</v>
      </c>
    </row>
    <row r="2473" spans="1:30" x14ac:dyDescent="0.35">
      <c r="A2473" s="497" t="s">
        <v>4067</v>
      </c>
      <c r="B2473" s="13" t="s">
        <v>5547</v>
      </c>
      <c r="C2473" s="13" t="s">
        <v>5404</v>
      </c>
      <c r="D2473" s="13" t="s">
        <v>7313</v>
      </c>
      <c r="E2473" s="13" t="s">
        <v>4809</v>
      </c>
      <c r="F2473" s="373">
        <v>19.670000000000002</v>
      </c>
      <c r="G2473" s="430">
        <v>19.670000000000002</v>
      </c>
      <c r="H2473" s="399">
        <f t="shared" si="1042"/>
        <v>15.74</v>
      </c>
      <c r="I2473" s="576"/>
      <c r="J2473" s="549" t="s">
        <v>5804</v>
      </c>
      <c r="K2473" s="11"/>
      <c r="L2473" s="55" t="str">
        <f t="shared" si="1043"/>
        <v/>
      </c>
      <c r="M2473" s="37">
        <f t="shared" si="1044"/>
        <v>19.670000000000002</v>
      </c>
      <c r="N2473" s="29">
        <v>11.67</v>
      </c>
      <c r="O2473" s="31"/>
      <c r="P2473" s="50"/>
      <c r="Q2473" s="50"/>
      <c r="R2473" s="42"/>
      <c r="S2473" t="s">
        <v>1017</v>
      </c>
      <c r="T2473" s="50"/>
      <c r="U2473" s="50"/>
      <c r="X2473" s="50"/>
      <c r="AA2473" s="52"/>
      <c r="AD2473" s="38" t="s">
        <v>1017</v>
      </c>
    </row>
    <row r="2474" spans="1:30" x14ac:dyDescent="0.35">
      <c r="A2474" s="497" t="s">
        <v>691</v>
      </c>
      <c r="B2474" s="13" t="s">
        <v>5547</v>
      </c>
      <c r="C2474" s="13" t="s">
        <v>5404</v>
      </c>
      <c r="D2474" s="13" t="s">
        <v>7314</v>
      </c>
      <c r="E2474" s="13" t="s">
        <v>4811</v>
      </c>
      <c r="F2474" s="373">
        <v>22.67</v>
      </c>
      <c r="G2474" s="430">
        <v>22.67</v>
      </c>
      <c r="H2474" s="399">
        <f t="shared" si="1042"/>
        <v>18.14</v>
      </c>
      <c r="I2474" s="576"/>
      <c r="J2474" s="549" t="s">
        <v>5804</v>
      </c>
      <c r="K2474" s="11"/>
      <c r="L2474" s="55" t="str">
        <f t="shared" si="1043"/>
        <v/>
      </c>
      <c r="M2474" s="37">
        <f t="shared" si="1044"/>
        <v>22.67</v>
      </c>
      <c r="N2474" s="29">
        <v>11.67</v>
      </c>
      <c r="O2474" s="31" t="s">
        <v>1017</v>
      </c>
      <c r="P2474" s="50"/>
      <c r="Q2474" s="50"/>
      <c r="R2474" s="42"/>
      <c r="S2474" t="s">
        <v>1017</v>
      </c>
      <c r="T2474" s="50"/>
      <c r="U2474" s="50"/>
      <c r="X2474" s="50"/>
      <c r="AA2474" s="52"/>
      <c r="AD2474" s="38" t="s">
        <v>1017</v>
      </c>
    </row>
    <row r="2475" spans="1:30" x14ac:dyDescent="0.35">
      <c r="A2475" s="497" t="s">
        <v>572</v>
      </c>
      <c r="B2475" s="13" t="s">
        <v>5547</v>
      </c>
      <c r="C2475" s="13" t="s">
        <v>5404</v>
      </c>
      <c r="D2475" s="13" t="s">
        <v>7315</v>
      </c>
      <c r="E2475" s="13" t="s">
        <v>4809</v>
      </c>
      <c r="F2475" s="373">
        <v>20.67</v>
      </c>
      <c r="G2475" s="430">
        <v>20.67</v>
      </c>
      <c r="H2475" s="399">
        <f t="shared" si="1042"/>
        <v>16.54</v>
      </c>
      <c r="I2475" s="576"/>
      <c r="J2475" s="549" t="s">
        <v>5804</v>
      </c>
      <c r="K2475" s="11"/>
      <c r="L2475" s="55" t="str">
        <f t="shared" si="1043"/>
        <v/>
      </c>
      <c r="M2475" s="37">
        <f t="shared" si="1044"/>
        <v>20.67</v>
      </c>
      <c r="N2475" s="29">
        <v>11.67</v>
      </c>
      <c r="O2475" s="31"/>
      <c r="P2475" s="50"/>
      <c r="Q2475" s="50"/>
      <c r="R2475" s="42" t="s">
        <v>1017</v>
      </c>
      <c r="S2475" t="s">
        <v>1017</v>
      </c>
      <c r="T2475" s="50"/>
      <c r="U2475" s="50"/>
      <c r="X2475" s="50"/>
      <c r="AA2475" s="52"/>
      <c r="AD2475" s="38" t="s">
        <v>1017</v>
      </c>
    </row>
    <row r="2476" spans="1:30" x14ac:dyDescent="0.35">
      <c r="A2476" s="497" t="s">
        <v>573</v>
      </c>
      <c r="B2476" s="13" t="s">
        <v>5547</v>
      </c>
      <c r="C2476" s="13" t="s">
        <v>5404</v>
      </c>
      <c r="D2476" s="13" t="s">
        <v>7316</v>
      </c>
      <c r="E2476" s="13" t="s">
        <v>4811</v>
      </c>
      <c r="F2476" s="373">
        <v>23.67</v>
      </c>
      <c r="G2476" s="430">
        <v>23.67</v>
      </c>
      <c r="H2476" s="399">
        <f t="shared" si="1042"/>
        <v>18.940000000000001</v>
      </c>
      <c r="I2476" s="576"/>
      <c r="J2476" s="549" t="s">
        <v>5804</v>
      </c>
      <c r="K2476" s="11"/>
      <c r="L2476" s="55" t="str">
        <f t="shared" si="1043"/>
        <v/>
      </c>
      <c r="M2476" s="37">
        <f t="shared" si="1044"/>
        <v>23.67</v>
      </c>
      <c r="N2476" s="29">
        <v>11.67</v>
      </c>
      <c r="O2476" s="31" t="s">
        <v>1017</v>
      </c>
      <c r="P2476" s="50"/>
      <c r="Q2476" s="50"/>
      <c r="R2476" s="42" t="s">
        <v>1017</v>
      </c>
      <c r="S2476" t="s">
        <v>1017</v>
      </c>
      <c r="T2476" s="50"/>
      <c r="U2476" s="50"/>
      <c r="X2476" s="50"/>
      <c r="AA2476" s="52"/>
      <c r="AD2476" s="38" t="s">
        <v>1017</v>
      </c>
    </row>
    <row r="2477" spans="1:30" x14ac:dyDescent="0.35">
      <c r="A2477" s="497" t="s">
        <v>692</v>
      </c>
      <c r="B2477" s="13" t="s">
        <v>5547</v>
      </c>
      <c r="C2477" s="13" t="s">
        <v>5404</v>
      </c>
      <c r="D2477" s="13" t="s">
        <v>7317</v>
      </c>
      <c r="E2477" s="13" t="s">
        <v>4809</v>
      </c>
      <c r="F2477" s="373">
        <v>20.67</v>
      </c>
      <c r="G2477" s="430">
        <v>20.67</v>
      </c>
      <c r="H2477" s="399">
        <f t="shared" si="1042"/>
        <v>16.54</v>
      </c>
      <c r="I2477" s="576"/>
      <c r="J2477" s="549" t="s">
        <v>5804</v>
      </c>
      <c r="K2477" s="11"/>
      <c r="L2477" s="55" t="str">
        <f t="shared" si="1043"/>
        <v/>
      </c>
      <c r="M2477" s="37">
        <f t="shared" si="1044"/>
        <v>20.67</v>
      </c>
      <c r="N2477" s="29">
        <v>11.67</v>
      </c>
      <c r="O2477" s="31"/>
      <c r="P2477" s="50"/>
      <c r="Q2477" s="50"/>
      <c r="R2477" s="42"/>
      <c r="T2477" s="50"/>
      <c r="U2477" s="50"/>
      <c r="V2477" t="s">
        <v>1017</v>
      </c>
      <c r="X2477" s="50"/>
      <c r="AA2477" s="52"/>
      <c r="AD2477" s="38" t="s">
        <v>1017</v>
      </c>
    </row>
    <row r="2478" spans="1:30" x14ac:dyDescent="0.35">
      <c r="A2478" s="497" t="s">
        <v>693</v>
      </c>
      <c r="B2478" s="13" t="s">
        <v>5547</v>
      </c>
      <c r="C2478" s="13" t="s">
        <v>5404</v>
      </c>
      <c r="D2478" s="13" t="s">
        <v>7318</v>
      </c>
      <c r="E2478" s="13" t="s">
        <v>4811</v>
      </c>
      <c r="F2478" s="373">
        <v>23.67</v>
      </c>
      <c r="G2478" s="430">
        <v>23.67</v>
      </c>
      <c r="H2478" s="399">
        <f t="shared" si="1042"/>
        <v>18.940000000000001</v>
      </c>
      <c r="I2478" s="576"/>
      <c r="J2478" s="549" t="s">
        <v>5804</v>
      </c>
      <c r="K2478" s="11"/>
      <c r="L2478" s="55" t="str">
        <f t="shared" si="1043"/>
        <v/>
      </c>
      <c r="M2478" s="37">
        <f t="shared" si="1044"/>
        <v>23.67</v>
      </c>
      <c r="N2478" s="29">
        <v>11.67</v>
      </c>
      <c r="O2478" s="31" t="s">
        <v>1017</v>
      </c>
      <c r="P2478" s="50"/>
      <c r="Q2478" s="50"/>
      <c r="R2478" s="42"/>
      <c r="T2478" s="50"/>
      <c r="U2478" s="50"/>
      <c r="V2478" t="s">
        <v>1017</v>
      </c>
      <c r="X2478" s="50"/>
      <c r="AA2478" s="52"/>
      <c r="AD2478" s="38" t="s">
        <v>1017</v>
      </c>
    </row>
    <row r="2479" spans="1:30" x14ac:dyDescent="0.35">
      <c r="A2479" s="497" t="s">
        <v>694</v>
      </c>
      <c r="B2479" s="13" t="s">
        <v>5547</v>
      </c>
      <c r="C2479" s="13" t="s">
        <v>5404</v>
      </c>
      <c r="D2479" s="13" t="s">
        <v>7319</v>
      </c>
      <c r="E2479" s="13" t="s">
        <v>4809</v>
      </c>
      <c r="F2479" s="373">
        <v>21.67</v>
      </c>
      <c r="G2479" s="430">
        <v>21.67</v>
      </c>
      <c r="H2479" s="399">
        <f t="shared" si="1042"/>
        <v>17.34</v>
      </c>
      <c r="I2479" s="576"/>
      <c r="J2479" s="549" t="s">
        <v>5804</v>
      </c>
      <c r="K2479" s="11"/>
      <c r="L2479" s="55" t="str">
        <f t="shared" si="1043"/>
        <v/>
      </c>
      <c r="M2479" s="37">
        <f t="shared" si="1044"/>
        <v>21.67</v>
      </c>
      <c r="N2479" s="29">
        <v>11.67</v>
      </c>
      <c r="O2479" s="31"/>
      <c r="P2479" s="50"/>
      <c r="Q2479" s="50"/>
      <c r="R2479" s="42" t="s">
        <v>1017</v>
      </c>
      <c r="T2479" s="50"/>
      <c r="U2479" s="50"/>
      <c r="V2479" t="s">
        <v>1017</v>
      </c>
      <c r="X2479" s="50"/>
      <c r="AA2479" s="52"/>
      <c r="AD2479" s="38" t="s">
        <v>1017</v>
      </c>
    </row>
    <row r="2480" spans="1:30" x14ac:dyDescent="0.35">
      <c r="A2480" s="497" t="s">
        <v>695</v>
      </c>
      <c r="B2480" s="13" t="s">
        <v>5547</v>
      </c>
      <c r="C2480" s="13" t="s">
        <v>5404</v>
      </c>
      <c r="D2480" s="13" t="s">
        <v>7320</v>
      </c>
      <c r="E2480" s="13" t="s">
        <v>4811</v>
      </c>
      <c r="F2480" s="373">
        <v>24.67</v>
      </c>
      <c r="G2480" s="430">
        <v>24.67</v>
      </c>
      <c r="H2480" s="399">
        <f t="shared" si="1042"/>
        <v>19.739999999999998</v>
      </c>
      <c r="I2480" s="576"/>
      <c r="J2480" s="549" t="s">
        <v>5804</v>
      </c>
      <c r="K2480" s="11"/>
      <c r="L2480" s="55" t="str">
        <f t="shared" si="1043"/>
        <v/>
      </c>
      <c r="M2480" s="37">
        <f t="shared" si="1044"/>
        <v>24.67</v>
      </c>
      <c r="N2480" s="29">
        <v>11.67</v>
      </c>
      <c r="O2480" s="31" t="s">
        <v>1017</v>
      </c>
      <c r="P2480" s="50"/>
      <c r="Q2480" s="50"/>
      <c r="R2480" s="42" t="s">
        <v>1017</v>
      </c>
      <c r="T2480" s="50"/>
      <c r="U2480" s="50"/>
      <c r="V2480" t="s">
        <v>1017</v>
      </c>
      <c r="X2480" s="50"/>
      <c r="AA2480" s="52"/>
      <c r="AD2480" s="38" t="s">
        <v>1017</v>
      </c>
    </row>
    <row r="2481" spans="1:30" x14ac:dyDescent="0.35">
      <c r="A2481" s="497" t="s">
        <v>696</v>
      </c>
      <c r="B2481" s="13" t="s">
        <v>5547</v>
      </c>
      <c r="C2481" s="13" t="s">
        <v>5404</v>
      </c>
      <c r="D2481" s="13" t="s">
        <v>7321</v>
      </c>
      <c r="E2481" s="13" t="s">
        <v>4809</v>
      </c>
      <c r="F2481" s="373">
        <v>22.67</v>
      </c>
      <c r="G2481" s="430">
        <v>22.67</v>
      </c>
      <c r="H2481" s="399">
        <f t="shared" si="1042"/>
        <v>18.14</v>
      </c>
      <c r="I2481" s="576"/>
      <c r="J2481" s="549" t="s">
        <v>5804</v>
      </c>
      <c r="K2481" s="11"/>
      <c r="L2481" s="55" t="str">
        <f t="shared" si="1043"/>
        <v/>
      </c>
      <c r="M2481" s="37">
        <f t="shared" si="1044"/>
        <v>22.67</v>
      </c>
      <c r="N2481" s="29">
        <v>11.67</v>
      </c>
      <c r="O2481" s="31"/>
      <c r="P2481" s="50"/>
      <c r="Q2481" s="50"/>
      <c r="R2481" s="42"/>
      <c r="T2481" s="50"/>
      <c r="U2481" s="50"/>
      <c r="X2481" s="50"/>
      <c r="Y2481" t="s">
        <v>1017</v>
      </c>
      <c r="AA2481" s="52"/>
      <c r="AD2481" s="38" t="s">
        <v>1017</v>
      </c>
    </row>
    <row r="2482" spans="1:30" x14ac:dyDescent="0.35">
      <c r="A2482" s="497" t="s">
        <v>697</v>
      </c>
      <c r="B2482" s="13" t="s">
        <v>5547</v>
      </c>
      <c r="C2482" s="13" t="s">
        <v>5404</v>
      </c>
      <c r="D2482" s="13" t="s">
        <v>7322</v>
      </c>
      <c r="E2482" s="13" t="s">
        <v>4811</v>
      </c>
      <c r="F2482" s="373">
        <v>25.67</v>
      </c>
      <c r="G2482" s="430">
        <v>25.67</v>
      </c>
      <c r="H2482" s="399">
        <f t="shared" si="1042"/>
        <v>20.54</v>
      </c>
      <c r="I2482" s="576"/>
      <c r="J2482" s="549" t="s">
        <v>5804</v>
      </c>
      <c r="K2482" s="11"/>
      <c r="L2482" s="55" t="str">
        <f t="shared" si="1043"/>
        <v/>
      </c>
      <c r="M2482" s="37">
        <f t="shared" si="1044"/>
        <v>25.67</v>
      </c>
      <c r="N2482" s="29">
        <v>11.67</v>
      </c>
      <c r="O2482" s="31" t="s">
        <v>1017</v>
      </c>
      <c r="P2482" s="50"/>
      <c r="Q2482" s="50"/>
      <c r="R2482" s="42"/>
      <c r="T2482" s="50"/>
      <c r="U2482" s="50"/>
      <c r="X2482" s="50"/>
      <c r="Y2482" t="s">
        <v>1017</v>
      </c>
      <c r="AA2482" s="52"/>
      <c r="AD2482" s="38" t="s">
        <v>1017</v>
      </c>
    </row>
    <row r="2483" spans="1:30" x14ac:dyDescent="0.35">
      <c r="A2483" s="497" t="s">
        <v>698</v>
      </c>
      <c r="B2483" s="13" t="s">
        <v>5547</v>
      </c>
      <c r="C2483" s="13" t="s">
        <v>5404</v>
      </c>
      <c r="D2483" s="13" t="s">
        <v>7323</v>
      </c>
      <c r="E2483" s="13" t="s">
        <v>4809</v>
      </c>
      <c r="F2483" s="373">
        <v>23.67</v>
      </c>
      <c r="G2483" s="430">
        <v>23.67</v>
      </c>
      <c r="H2483" s="399">
        <f t="shared" si="1042"/>
        <v>18.940000000000001</v>
      </c>
      <c r="I2483" s="576"/>
      <c r="J2483" s="549" t="s">
        <v>5804</v>
      </c>
      <c r="K2483" s="11"/>
      <c r="L2483" s="55" t="str">
        <f t="shared" si="1043"/>
        <v/>
      </c>
      <c r="M2483" s="37">
        <f t="shared" si="1044"/>
        <v>23.67</v>
      </c>
      <c r="N2483" s="29">
        <v>11.67</v>
      </c>
      <c r="O2483" s="31"/>
      <c r="P2483" s="50"/>
      <c r="Q2483" s="50"/>
      <c r="R2483" s="42" t="s">
        <v>1017</v>
      </c>
      <c r="T2483" s="50"/>
      <c r="U2483" s="50"/>
      <c r="X2483" s="50"/>
      <c r="Y2483" t="s">
        <v>1017</v>
      </c>
      <c r="AA2483" s="52"/>
      <c r="AD2483" s="38" t="s">
        <v>1017</v>
      </c>
    </row>
    <row r="2484" spans="1:30" x14ac:dyDescent="0.35">
      <c r="A2484" s="497" t="s">
        <v>699</v>
      </c>
      <c r="B2484" s="13" t="s">
        <v>5547</v>
      </c>
      <c r="C2484" s="13" t="s">
        <v>5404</v>
      </c>
      <c r="D2484" s="13" t="s">
        <v>7324</v>
      </c>
      <c r="E2484" s="13" t="s">
        <v>4811</v>
      </c>
      <c r="F2484" s="373">
        <v>26.67</v>
      </c>
      <c r="G2484" s="430">
        <v>26.67</v>
      </c>
      <c r="H2484" s="399">
        <f t="shared" si="1042"/>
        <v>21.34</v>
      </c>
      <c r="I2484" s="576"/>
      <c r="J2484" s="549" t="s">
        <v>5804</v>
      </c>
      <c r="K2484" s="11"/>
      <c r="L2484" s="55" t="str">
        <f t="shared" si="1043"/>
        <v/>
      </c>
      <c r="M2484" s="37">
        <f t="shared" si="1044"/>
        <v>26.67</v>
      </c>
      <c r="N2484" s="29">
        <v>11.67</v>
      </c>
      <c r="O2484" s="31" t="s">
        <v>1017</v>
      </c>
      <c r="P2484" s="50"/>
      <c r="Q2484" s="50"/>
      <c r="R2484" s="42" t="s">
        <v>1017</v>
      </c>
      <c r="T2484" s="50"/>
      <c r="U2484" s="50"/>
      <c r="X2484" s="50"/>
      <c r="Y2484" t="s">
        <v>1017</v>
      </c>
      <c r="AA2484" s="52"/>
      <c r="AD2484" s="38" t="s">
        <v>1017</v>
      </c>
    </row>
    <row r="2485" spans="1:30" x14ac:dyDescent="0.35">
      <c r="A2485" s="497" t="s">
        <v>700</v>
      </c>
      <c r="B2485" s="13" t="s">
        <v>5547</v>
      </c>
      <c r="C2485" s="13" t="s">
        <v>5404</v>
      </c>
      <c r="D2485" s="13" t="s">
        <v>7325</v>
      </c>
      <c r="E2485" s="13" t="s">
        <v>4809</v>
      </c>
      <c r="F2485" s="373">
        <v>24.67</v>
      </c>
      <c r="G2485" s="430">
        <v>24.67</v>
      </c>
      <c r="H2485" s="399">
        <f t="shared" si="1042"/>
        <v>19.739999999999998</v>
      </c>
      <c r="I2485" s="576"/>
      <c r="J2485" s="549" t="s">
        <v>5804</v>
      </c>
      <c r="K2485" s="11"/>
      <c r="L2485" s="55" t="str">
        <f t="shared" si="1043"/>
        <v/>
      </c>
      <c r="M2485" s="37">
        <f t="shared" si="1044"/>
        <v>24.67</v>
      </c>
      <c r="N2485" s="29">
        <v>11.67</v>
      </c>
      <c r="O2485" s="31"/>
      <c r="P2485" s="50"/>
      <c r="Q2485" s="50"/>
      <c r="R2485" s="42"/>
      <c r="T2485" s="50"/>
      <c r="U2485" s="50"/>
      <c r="W2485" t="s">
        <v>1017</v>
      </c>
      <c r="X2485" s="50"/>
      <c r="AA2485" s="52"/>
      <c r="AD2485" s="38" t="s">
        <v>1017</v>
      </c>
    </row>
    <row r="2486" spans="1:30" x14ac:dyDescent="0.35">
      <c r="A2486" s="497" t="s">
        <v>701</v>
      </c>
      <c r="B2486" s="13" t="s">
        <v>5547</v>
      </c>
      <c r="C2486" s="13" t="s">
        <v>5404</v>
      </c>
      <c r="D2486" s="13" t="s">
        <v>7326</v>
      </c>
      <c r="E2486" s="13" t="s">
        <v>4811</v>
      </c>
      <c r="F2486" s="373">
        <v>27.67</v>
      </c>
      <c r="G2486" s="430">
        <v>27.67</v>
      </c>
      <c r="H2486" s="399">
        <f t="shared" si="1042"/>
        <v>22.14</v>
      </c>
      <c r="I2486" s="576"/>
      <c r="J2486" s="549" t="s">
        <v>5804</v>
      </c>
      <c r="K2486" s="11"/>
      <c r="L2486" s="55" t="str">
        <f t="shared" si="1043"/>
        <v/>
      </c>
      <c r="M2486" s="37">
        <f t="shared" si="1044"/>
        <v>27.67</v>
      </c>
      <c r="N2486" s="29">
        <v>11.67</v>
      </c>
      <c r="O2486" s="31" t="s">
        <v>1017</v>
      </c>
      <c r="P2486" s="50"/>
      <c r="Q2486" s="50"/>
      <c r="R2486" s="42"/>
      <c r="T2486" s="50"/>
      <c r="U2486" s="50"/>
      <c r="W2486" t="s">
        <v>1017</v>
      </c>
      <c r="X2486" s="50"/>
      <c r="AA2486" s="52"/>
      <c r="AD2486" s="38" t="s">
        <v>1017</v>
      </c>
    </row>
    <row r="2487" spans="1:30" x14ac:dyDescent="0.35">
      <c r="A2487" s="497" t="s">
        <v>702</v>
      </c>
      <c r="B2487" s="13" t="s">
        <v>5547</v>
      </c>
      <c r="C2487" s="13" t="s">
        <v>5404</v>
      </c>
      <c r="D2487" s="13" t="s">
        <v>7327</v>
      </c>
      <c r="E2487" s="13" t="s">
        <v>4809</v>
      </c>
      <c r="F2487" s="373">
        <v>25.67</v>
      </c>
      <c r="G2487" s="430">
        <v>25.67</v>
      </c>
      <c r="H2487" s="399">
        <f t="shared" si="1042"/>
        <v>20.54</v>
      </c>
      <c r="I2487" s="576"/>
      <c r="J2487" s="549" t="s">
        <v>5804</v>
      </c>
      <c r="K2487" s="11"/>
      <c r="L2487" s="55" t="str">
        <f t="shared" si="1043"/>
        <v/>
      </c>
      <c r="M2487" s="37">
        <f t="shared" si="1044"/>
        <v>25.67</v>
      </c>
      <c r="N2487" s="29">
        <v>11.67</v>
      </c>
      <c r="O2487" s="31"/>
      <c r="P2487" s="50"/>
      <c r="Q2487" s="50"/>
      <c r="R2487" s="42" t="s">
        <v>1017</v>
      </c>
      <c r="T2487" s="50"/>
      <c r="U2487" s="50"/>
      <c r="W2487" t="s">
        <v>1017</v>
      </c>
      <c r="X2487" s="50"/>
      <c r="AA2487" s="52"/>
      <c r="AD2487" s="38" t="s">
        <v>1017</v>
      </c>
    </row>
    <row r="2488" spans="1:30" x14ac:dyDescent="0.35">
      <c r="A2488" s="497" t="s">
        <v>703</v>
      </c>
      <c r="B2488" s="13" t="s">
        <v>5547</v>
      </c>
      <c r="C2488" s="13" t="s">
        <v>5404</v>
      </c>
      <c r="D2488" s="13" t="s">
        <v>7328</v>
      </c>
      <c r="E2488" s="13" t="s">
        <v>4811</v>
      </c>
      <c r="F2488" s="373">
        <v>28.67</v>
      </c>
      <c r="G2488" s="430">
        <v>28.67</v>
      </c>
      <c r="H2488" s="399">
        <f t="shared" si="1042"/>
        <v>22.94</v>
      </c>
      <c r="I2488" s="576"/>
      <c r="J2488" s="549" t="s">
        <v>5804</v>
      </c>
      <c r="K2488" s="11"/>
      <c r="L2488" s="55" t="str">
        <f t="shared" si="1043"/>
        <v/>
      </c>
      <c r="M2488" s="37">
        <f t="shared" si="1044"/>
        <v>28.67</v>
      </c>
      <c r="N2488" s="29">
        <v>11.67</v>
      </c>
      <c r="O2488" s="31" t="s">
        <v>1017</v>
      </c>
      <c r="P2488" s="50"/>
      <c r="Q2488" s="50"/>
      <c r="R2488" s="42" t="s">
        <v>1017</v>
      </c>
      <c r="T2488" s="50"/>
      <c r="U2488" s="50"/>
      <c r="W2488" t="s">
        <v>1017</v>
      </c>
      <c r="X2488" s="50"/>
      <c r="AA2488" s="52"/>
      <c r="AD2488" s="38" t="s">
        <v>1017</v>
      </c>
    </row>
    <row r="2489" spans="1:30" x14ac:dyDescent="0.35">
      <c r="A2489" s="497" t="s">
        <v>704</v>
      </c>
      <c r="B2489" s="13" t="s">
        <v>5547</v>
      </c>
      <c r="C2489" s="13" t="s">
        <v>5404</v>
      </c>
      <c r="D2489" s="13" t="s">
        <v>7329</v>
      </c>
      <c r="E2489" s="13" t="s">
        <v>4809</v>
      </c>
      <c r="F2489" s="373">
        <v>26.67</v>
      </c>
      <c r="G2489" s="430">
        <v>26.67</v>
      </c>
      <c r="H2489" s="399">
        <f t="shared" si="1042"/>
        <v>21.34</v>
      </c>
      <c r="I2489" s="576"/>
      <c r="J2489" s="549" t="s">
        <v>5804</v>
      </c>
      <c r="K2489" s="11"/>
      <c r="L2489" s="55" t="str">
        <f t="shared" si="1043"/>
        <v/>
      </c>
      <c r="M2489" s="37">
        <f t="shared" si="1044"/>
        <v>26.67</v>
      </c>
      <c r="N2489" s="29">
        <v>11.67</v>
      </c>
      <c r="O2489" s="31"/>
      <c r="P2489" s="50"/>
      <c r="Q2489" s="50"/>
      <c r="R2489" s="42"/>
      <c r="T2489" s="50"/>
      <c r="U2489" s="50"/>
      <c r="X2489" s="50"/>
      <c r="Z2489" t="s">
        <v>1017</v>
      </c>
      <c r="AA2489" s="52"/>
      <c r="AD2489" s="38" t="s">
        <v>1017</v>
      </c>
    </row>
    <row r="2490" spans="1:30" x14ac:dyDescent="0.35">
      <c r="A2490" s="497" t="s">
        <v>705</v>
      </c>
      <c r="B2490" s="13" t="s">
        <v>5547</v>
      </c>
      <c r="C2490" s="13" t="s">
        <v>5404</v>
      </c>
      <c r="D2490" s="13" t="s">
        <v>7330</v>
      </c>
      <c r="E2490" s="13" t="s">
        <v>4811</v>
      </c>
      <c r="F2490" s="373">
        <v>29.67</v>
      </c>
      <c r="G2490" s="430">
        <v>29.67</v>
      </c>
      <c r="H2490" s="399">
        <f t="shared" si="1042"/>
        <v>23.74</v>
      </c>
      <c r="I2490" s="576"/>
      <c r="J2490" s="549" t="s">
        <v>5804</v>
      </c>
      <c r="K2490" s="11"/>
      <c r="L2490" s="55" t="str">
        <f t="shared" si="1043"/>
        <v/>
      </c>
      <c r="M2490" s="37">
        <f t="shared" si="1044"/>
        <v>29.67</v>
      </c>
      <c r="N2490" s="29">
        <v>11.67</v>
      </c>
      <c r="O2490" s="31" t="s">
        <v>1017</v>
      </c>
      <c r="P2490" s="50"/>
      <c r="Q2490" s="50"/>
      <c r="R2490" s="42"/>
      <c r="T2490" s="50"/>
      <c r="U2490" s="50"/>
      <c r="X2490" s="50"/>
      <c r="Z2490" t="s">
        <v>1017</v>
      </c>
      <c r="AA2490" s="52"/>
      <c r="AD2490" s="38" t="s">
        <v>1017</v>
      </c>
    </row>
    <row r="2491" spans="1:30" x14ac:dyDescent="0.35">
      <c r="A2491" s="497" t="s">
        <v>706</v>
      </c>
      <c r="B2491" s="13" t="s">
        <v>5547</v>
      </c>
      <c r="C2491" s="13" t="s">
        <v>5404</v>
      </c>
      <c r="D2491" s="13" t="s">
        <v>7331</v>
      </c>
      <c r="E2491" s="13" t="s">
        <v>4809</v>
      </c>
      <c r="F2491" s="373">
        <v>27.67</v>
      </c>
      <c r="G2491" s="430">
        <v>27.67</v>
      </c>
      <c r="H2491" s="399">
        <f t="shared" si="1042"/>
        <v>22.14</v>
      </c>
      <c r="I2491" s="576"/>
      <c r="J2491" s="549" t="s">
        <v>5804</v>
      </c>
      <c r="K2491" s="11"/>
      <c r="L2491" s="55" t="str">
        <f t="shared" si="1043"/>
        <v/>
      </c>
      <c r="M2491" s="37">
        <f t="shared" si="1044"/>
        <v>27.67</v>
      </c>
      <c r="N2491" s="29">
        <v>11.67</v>
      </c>
      <c r="O2491" s="31"/>
      <c r="P2491" s="50"/>
      <c r="Q2491" s="50"/>
      <c r="R2491" s="42" t="s">
        <v>1017</v>
      </c>
      <c r="T2491" s="50"/>
      <c r="U2491" s="50"/>
      <c r="X2491" s="50"/>
      <c r="Z2491" t="s">
        <v>1017</v>
      </c>
      <c r="AA2491" s="52"/>
      <c r="AD2491" s="38" t="s">
        <v>1017</v>
      </c>
    </row>
    <row r="2492" spans="1:30" x14ac:dyDescent="0.35">
      <c r="A2492" s="497" t="s">
        <v>707</v>
      </c>
      <c r="B2492" s="13" t="s">
        <v>5547</v>
      </c>
      <c r="C2492" s="13" t="s">
        <v>5404</v>
      </c>
      <c r="D2492" s="13" t="s">
        <v>7332</v>
      </c>
      <c r="E2492" s="13" t="s">
        <v>4811</v>
      </c>
      <c r="F2492" s="373">
        <v>30.67</v>
      </c>
      <c r="G2492" s="430">
        <v>30.67</v>
      </c>
      <c r="H2492" s="399">
        <f t="shared" si="1042"/>
        <v>24.54</v>
      </c>
      <c r="I2492" s="576"/>
      <c r="J2492" s="549" t="s">
        <v>5804</v>
      </c>
      <c r="K2492" s="11"/>
      <c r="L2492" s="55" t="str">
        <f t="shared" si="1043"/>
        <v/>
      </c>
      <c r="M2492" s="37">
        <f t="shared" si="1044"/>
        <v>30.67</v>
      </c>
      <c r="N2492" s="29">
        <v>11.67</v>
      </c>
      <c r="O2492" s="31" t="s">
        <v>1017</v>
      </c>
      <c r="P2492" s="50"/>
      <c r="Q2492" s="50"/>
      <c r="R2492" s="42" t="s">
        <v>1017</v>
      </c>
      <c r="T2492" s="50"/>
      <c r="U2492" s="50"/>
      <c r="X2492" s="50"/>
      <c r="Z2492" t="s">
        <v>1017</v>
      </c>
      <c r="AA2492" s="52"/>
      <c r="AD2492" s="38" t="s">
        <v>1017</v>
      </c>
    </row>
    <row r="2493" spans="1:30" x14ac:dyDescent="0.35">
      <c r="A2493" s="497" t="s">
        <v>3308</v>
      </c>
      <c r="B2493" s="13" t="s">
        <v>5547</v>
      </c>
      <c r="C2493" s="13" t="s">
        <v>5404</v>
      </c>
      <c r="D2493" s="13" t="s">
        <v>5414</v>
      </c>
      <c r="E2493" s="13" t="s">
        <v>4809</v>
      </c>
      <c r="F2493" s="373">
        <v>9.18</v>
      </c>
      <c r="G2493" s="430">
        <v>9.18</v>
      </c>
      <c r="H2493" s="399">
        <f t="shared" si="1042"/>
        <v>7.34</v>
      </c>
      <c r="I2493" s="576"/>
      <c r="J2493" s="549" t="s">
        <v>5804</v>
      </c>
      <c r="K2493" s="11"/>
      <c r="L2493" s="55" t="str">
        <f t="shared" si="1043"/>
        <v/>
      </c>
      <c r="M2493" s="37">
        <f t="shared" si="1044"/>
        <v>9.18</v>
      </c>
      <c r="N2493" s="29">
        <v>9.18</v>
      </c>
      <c r="O2493" s="31"/>
      <c r="P2493" s="50"/>
      <c r="Q2493" s="50"/>
      <c r="R2493" s="42"/>
      <c r="T2493" s="50"/>
      <c r="U2493" s="50"/>
      <c r="W2493" s="50"/>
      <c r="Z2493" s="50"/>
      <c r="AA2493" s="38"/>
      <c r="AD2493" s="38"/>
    </row>
    <row r="2494" spans="1:30" x14ac:dyDescent="0.35">
      <c r="A2494" s="497" t="s">
        <v>3309</v>
      </c>
      <c r="B2494" s="13" t="s">
        <v>5547</v>
      </c>
      <c r="C2494" s="13" t="s">
        <v>5404</v>
      </c>
      <c r="D2494" s="13" t="s">
        <v>2902</v>
      </c>
      <c r="E2494" s="13" t="s">
        <v>4811</v>
      </c>
      <c r="F2494" s="373">
        <v>12.18</v>
      </c>
      <c r="G2494" s="430">
        <v>12.18</v>
      </c>
      <c r="H2494" s="399">
        <f t="shared" si="1042"/>
        <v>9.74</v>
      </c>
      <c r="I2494" s="576"/>
      <c r="J2494" s="549" t="s">
        <v>5804</v>
      </c>
      <c r="K2494" s="11"/>
      <c r="L2494" s="55" t="str">
        <f t="shared" si="1043"/>
        <v/>
      </c>
      <c r="M2494" s="37">
        <f t="shared" si="1044"/>
        <v>12.18</v>
      </c>
      <c r="N2494" s="29">
        <v>9.18</v>
      </c>
      <c r="O2494" s="31" t="s">
        <v>1017</v>
      </c>
      <c r="P2494" s="50"/>
      <c r="Q2494" s="50"/>
      <c r="R2494" s="42"/>
      <c r="T2494" s="50"/>
      <c r="U2494" s="50"/>
      <c r="W2494" s="50"/>
      <c r="Z2494" s="50"/>
      <c r="AA2494" s="38"/>
      <c r="AD2494" s="38"/>
    </row>
    <row r="2495" spans="1:30" x14ac:dyDescent="0.35">
      <c r="A2495" s="497" t="s">
        <v>2839</v>
      </c>
      <c r="B2495" s="13" t="s">
        <v>5547</v>
      </c>
      <c r="C2495" s="13" t="s">
        <v>5404</v>
      </c>
      <c r="D2495" s="13" t="s">
        <v>638</v>
      </c>
      <c r="E2495" s="13" t="s">
        <v>4809</v>
      </c>
      <c r="F2495" s="373">
        <v>10.18</v>
      </c>
      <c r="G2495" s="430">
        <v>10.18</v>
      </c>
      <c r="H2495" s="399">
        <f t="shared" si="1042"/>
        <v>8.14</v>
      </c>
      <c r="I2495" s="576"/>
      <c r="J2495" s="549" t="s">
        <v>5804</v>
      </c>
      <c r="K2495" s="11"/>
      <c r="L2495" s="55" t="str">
        <f t="shared" si="1043"/>
        <v/>
      </c>
      <c r="M2495" s="37">
        <f t="shared" si="1044"/>
        <v>10.18</v>
      </c>
      <c r="N2495" s="29">
        <v>9.18</v>
      </c>
      <c r="O2495" s="31"/>
      <c r="P2495" s="50"/>
      <c r="Q2495" s="50"/>
      <c r="R2495" s="42" t="s">
        <v>1017</v>
      </c>
      <c r="T2495" s="50"/>
      <c r="U2495" s="50"/>
      <c r="W2495" s="50"/>
      <c r="Z2495" s="50"/>
      <c r="AA2495" s="38"/>
      <c r="AD2495" s="38"/>
    </row>
    <row r="2496" spans="1:30" x14ac:dyDescent="0.35">
      <c r="A2496" s="497" t="s">
        <v>2840</v>
      </c>
      <c r="B2496" s="13" t="s">
        <v>5547</v>
      </c>
      <c r="C2496" s="13" t="s">
        <v>5404</v>
      </c>
      <c r="D2496" s="13" t="s">
        <v>639</v>
      </c>
      <c r="E2496" s="13" t="s">
        <v>4811</v>
      </c>
      <c r="F2496" s="373">
        <v>13.18</v>
      </c>
      <c r="G2496" s="430">
        <v>13.18</v>
      </c>
      <c r="H2496" s="399">
        <f t="shared" si="1042"/>
        <v>10.54</v>
      </c>
      <c r="I2496" s="576"/>
      <c r="J2496" s="549" t="s">
        <v>5804</v>
      </c>
      <c r="K2496" s="11"/>
      <c r="L2496" s="55" t="str">
        <f t="shared" si="1043"/>
        <v/>
      </c>
      <c r="M2496" s="37">
        <f t="shared" si="1044"/>
        <v>13.18</v>
      </c>
      <c r="N2496" s="29">
        <v>9.18</v>
      </c>
      <c r="O2496" s="31" t="s">
        <v>1017</v>
      </c>
      <c r="P2496" s="50"/>
      <c r="Q2496" s="50"/>
      <c r="R2496" s="42" t="s">
        <v>1017</v>
      </c>
      <c r="T2496" s="50"/>
      <c r="U2496" s="50"/>
      <c r="W2496" s="50"/>
      <c r="Z2496" s="50"/>
      <c r="AA2496" s="38"/>
      <c r="AD2496" s="38"/>
    </row>
    <row r="2497" spans="1:30" x14ac:dyDescent="0.35">
      <c r="A2497" s="497" t="s">
        <v>3327</v>
      </c>
      <c r="B2497" s="13" t="s">
        <v>5547</v>
      </c>
      <c r="C2497" s="13" t="s">
        <v>5404</v>
      </c>
      <c r="D2497" s="13" t="s">
        <v>597</v>
      </c>
      <c r="E2497" s="13" t="s">
        <v>4809</v>
      </c>
      <c r="F2497" s="373">
        <v>15.18</v>
      </c>
      <c r="G2497" s="430">
        <v>15.18</v>
      </c>
      <c r="H2497" s="399">
        <f t="shared" si="1042"/>
        <v>12.14</v>
      </c>
      <c r="I2497" s="576"/>
      <c r="J2497" s="549" t="s">
        <v>5804</v>
      </c>
      <c r="K2497" s="11"/>
      <c r="L2497" s="55" t="str">
        <f t="shared" si="1043"/>
        <v/>
      </c>
      <c r="M2497" s="37">
        <f t="shared" si="1044"/>
        <v>15.18</v>
      </c>
      <c r="N2497" s="29">
        <v>9.18</v>
      </c>
      <c r="O2497" s="31"/>
      <c r="P2497" s="50"/>
      <c r="Q2497" s="50"/>
      <c r="R2497" s="42"/>
      <c r="S2497" t="s">
        <v>1017</v>
      </c>
      <c r="T2497" s="50"/>
      <c r="U2497" s="50"/>
      <c r="W2497" s="50"/>
      <c r="Z2497" s="50"/>
      <c r="AA2497" s="38"/>
      <c r="AD2497" s="38"/>
    </row>
    <row r="2498" spans="1:30" x14ac:dyDescent="0.35">
      <c r="A2498" s="497" t="s">
        <v>3328</v>
      </c>
      <c r="B2498" s="13" t="s">
        <v>5547</v>
      </c>
      <c r="C2498" s="13" t="s">
        <v>5404</v>
      </c>
      <c r="D2498" s="13" t="s">
        <v>3200</v>
      </c>
      <c r="E2498" s="13" t="s">
        <v>4811</v>
      </c>
      <c r="F2498" s="373">
        <v>18.18</v>
      </c>
      <c r="G2498" s="430">
        <v>18.18</v>
      </c>
      <c r="H2498" s="399">
        <f t="shared" si="1042"/>
        <v>14.54</v>
      </c>
      <c r="I2498" s="576"/>
      <c r="J2498" s="549" t="s">
        <v>5804</v>
      </c>
      <c r="K2498" s="11"/>
      <c r="L2498" s="55" t="str">
        <f t="shared" si="1043"/>
        <v/>
      </c>
      <c r="M2498" s="37">
        <f t="shared" si="1044"/>
        <v>18.18</v>
      </c>
      <c r="N2498" s="29">
        <v>9.18</v>
      </c>
      <c r="O2498" s="31" t="s">
        <v>1017</v>
      </c>
      <c r="P2498" s="50"/>
      <c r="Q2498" s="50"/>
      <c r="R2498" s="42"/>
      <c r="S2498" t="s">
        <v>1017</v>
      </c>
      <c r="T2498" s="50"/>
      <c r="U2498" s="50"/>
      <c r="W2498" s="50"/>
      <c r="Z2498" s="50"/>
      <c r="AA2498" s="38"/>
      <c r="AD2498" s="38"/>
    </row>
    <row r="2499" spans="1:30" x14ac:dyDescent="0.35">
      <c r="A2499" s="497" t="s">
        <v>574</v>
      </c>
      <c r="B2499" s="13" t="s">
        <v>5547</v>
      </c>
      <c r="C2499" s="13" t="s">
        <v>5404</v>
      </c>
      <c r="D2499" s="13" t="s">
        <v>2113</v>
      </c>
      <c r="E2499" s="13" t="s">
        <v>4809</v>
      </c>
      <c r="F2499" s="373">
        <v>16.18</v>
      </c>
      <c r="G2499" s="430">
        <v>16.18</v>
      </c>
      <c r="H2499" s="399">
        <f t="shared" si="1042"/>
        <v>12.94</v>
      </c>
      <c r="I2499" s="576"/>
      <c r="J2499" s="549" t="s">
        <v>5804</v>
      </c>
      <c r="K2499" s="11"/>
      <c r="L2499" s="55" t="str">
        <f t="shared" si="1043"/>
        <v/>
      </c>
      <c r="M2499" s="37">
        <f t="shared" si="1044"/>
        <v>16.18</v>
      </c>
      <c r="N2499" s="29">
        <v>9.18</v>
      </c>
      <c r="O2499" s="31"/>
      <c r="P2499" s="50"/>
      <c r="Q2499" s="50"/>
      <c r="R2499" s="42" t="s">
        <v>1017</v>
      </c>
      <c r="S2499" t="s">
        <v>1017</v>
      </c>
      <c r="T2499" s="50"/>
      <c r="U2499" s="50"/>
      <c r="W2499" s="50"/>
      <c r="Z2499" s="50"/>
      <c r="AA2499" s="38"/>
      <c r="AD2499" s="38"/>
    </row>
    <row r="2500" spans="1:30" x14ac:dyDescent="0.35">
      <c r="A2500" s="497" t="s">
        <v>575</v>
      </c>
      <c r="B2500" s="13" t="s">
        <v>5547</v>
      </c>
      <c r="C2500" s="13" t="s">
        <v>5404</v>
      </c>
      <c r="D2500" s="13" t="s">
        <v>2112</v>
      </c>
      <c r="E2500" s="13" t="s">
        <v>4811</v>
      </c>
      <c r="F2500" s="373">
        <v>19.18</v>
      </c>
      <c r="G2500" s="430">
        <v>19.18</v>
      </c>
      <c r="H2500" s="399">
        <f t="shared" si="1042"/>
        <v>15.34</v>
      </c>
      <c r="I2500" s="576"/>
      <c r="J2500" s="549" t="s">
        <v>5804</v>
      </c>
      <c r="K2500" s="11"/>
      <c r="L2500" s="55" t="str">
        <f t="shared" si="1043"/>
        <v/>
      </c>
      <c r="M2500" s="37">
        <f t="shared" si="1044"/>
        <v>19.18</v>
      </c>
      <c r="N2500" s="29">
        <v>9.18</v>
      </c>
      <c r="O2500" s="31" t="s">
        <v>1017</v>
      </c>
      <c r="P2500" s="50"/>
      <c r="Q2500" s="50"/>
      <c r="R2500" s="42" t="s">
        <v>1017</v>
      </c>
      <c r="S2500" t="s">
        <v>1017</v>
      </c>
      <c r="T2500" s="50"/>
      <c r="U2500" s="50"/>
      <c r="W2500" s="50"/>
      <c r="Z2500" s="50"/>
      <c r="AA2500" s="38"/>
      <c r="AD2500" s="38"/>
    </row>
    <row r="2501" spans="1:30" x14ac:dyDescent="0.35">
      <c r="A2501" s="497" t="s">
        <v>3335</v>
      </c>
      <c r="B2501" s="13" t="s">
        <v>5547</v>
      </c>
      <c r="C2501" s="13" t="s">
        <v>5404</v>
      </c>
      <c r="D2501" s="13" t="s">
        <v>1197</v>
      </c>
      <c r="E2501" s="13" t="s">
        <v>4809</v>
      </c>
      <c r="F2501" s="373">
        <v>16.18</v>
      </c>
      <c r="G2501" s="430">
        <v>16.18</v>
      </c>
      <c r="H2501" s="399">
        <f t="shared" si="1042"/>
        <v>12.94</v>
      </c>
      <c r="I2501" s="576"/>
      <c r="J2501" s="549" t="s">
        <v>5804</v>
      </c>
      <c r="K2501" s="11"/>
      <c r="L2501" s="55" t="str">
        <f t="shared" si="1043"/>
        <v/>
      </c>
      <c r="M2501" s="37">
        <f t="shared" si="1044"/>
        <v>16.18</v>
      </c>
      <c r="N2501" s="29">
        <v>9.18</v>
      </c>
      <c r="O2501" s="31"/>
      <c r="P2501" s="50"/>
      <c r="Q2501" s="50"/>
      <c r="R2501" s="42"/>
      <c r="T2501" s="50"/>
      <c r="U2501" s="50"/>
      <c r="V2501" t="s">
        <v>1017</v>
      </c>
      <c r="W2501" s="50"/>
      <c r="Z2501" s="50"/>
      <c r="AA2501" s="38"/>
      <c r="AD2501" s="38"/>
    </row>
    <row r="2502" spans="1:30" x14ac:dyDescent="0.35">
      <c r="A2502" s="497" t="s">
        <v>3336</v>
      </c>
      <c r="B2502" s="13" t="s">
        <v>5547</v>
      </c>
      <c r="C2502" s="13" t="s">
        <v>5404</v>
      </c>
      <c r="D2502" s="13" t="s">
        <v>5553</v>
      </c>
      <c r="E2502" s="13" t="s">
        <v>4811</v>
      </c>
      <c r="F2502" s="373">
        <v>19.18</v>
      </c>
      <c r="G2502" s="430">
        <v>19.18</v>
      </c>
      <c r="H2502" s="399">
        <f t="shared" si="1042"/>
        <v>15.34</v>
      </c>
      <c r="I2502" s="576"/>
      <c r="J2502" s="549" t="s">
        <v>5804</v>
      </c>
      <c r="K2502" s="11"/>
      <c r="L2502" s="55" t="str">
        <f t="shared" si="1043"/>
        <v/>
      </c>
      <c r="M2502" s="37">
        <f t="shared" si="1044"/>
        <v>19.18</v>
      </c>
      <c r="N2502" s="29">
        <v>9.18</v>
      </c>
      <c r="O2502" s="31" t="s">
        <v>1017</v>
      </c>
      <c r="P2502" s="50"/>
      <c r="Q2502" s="50"/>
      <c r="R2502" s="42"/>
      <c r="T2502" s="50"/>
      <c r="U2502" s="50"/>
      <c r="V2502" t="s">
        <v>1017</v>
      </c>
      <c r="W2502" s="50"/>
      <c r="Z2502" s="50"/>
      <c r="AA2502" s="38"/>
      <c r="AD2502" s="38"/>
    </row>
    <row r="2503" spans="1:30" x14ac:dyDescent="0.35">
      <c r="A2503" s="497" t="s">
        <v>4298</v>
      </c>
      <c r="B2503" s="13" t="s">
        <v>5547</v>
      </c>
      <c r="C2503" s="13" t="s">
        <v>5404</v>
      </c>
      <c r="D2503" s="13" t="s">
        <v>4135</v>
      </c>
      <c r="E2503" s="13" t="s">
        <v>4809</v>
      </c>
      <c r="F2503" s="373">
        <v>17.18</v>
      </c>
      <c r="G2503" s="430">
        <v>17.18</v>
      </c>
      <c r="H2503" s="399">
        <f t="shared" si="1042"/>
        <v>13.74</v>
      </c>
      <c r="I2503" s="576"/>
      <c r="J2503" s="549" t="s">
        <v>5804</v>
      </c>
      <c r="K2503" s="11"/>
      <c r="L2503" s="55" t="str">
        <f t="shared" si="1043"/>
        <v/>
      </c>
      <c r="M2503" s="37">
        <f t="shared" si="1044"/>
        <v>17.18</v>
      </c>
      <c r="N2503" s="29">
        <v>9.18</v>
      </c>
      <c r="O2503" s="31"/>
      <c r="P2503" s="50"/>
      <c r="Q2503" s="50"/>
      <c r="R2503" s="42" t="s">
        <v>1017</v>
      </c>
      <c r="T2503" s="50"/>
      <c r="U2503" s="50"/>
      <c r="V2503" t="s">
        <v>1017</v>
      </c>
      <c r="W2503" s="50"/>
      <c r="Z2503" s="50"/>
      <c r="AA2503" s="38"/>
      <c r="AD2503" s="38"/>
    </row>
    <row r="2504" spans="1:30" x14ac:dyDescent="0.35">
      <c r="A2504" s="497" t="s">
        <v>4299</v>
      </c>
      <c r="B2504" s="13" t="s">
        <v>5547</v>
      </c>
      <c r="C2504" s="13" t="s">
        <v>5404</v>
      </c>
      <c r="D2504" s="13" t="s">
        <v>5556</v>
      </c>
      <c r="E2504" s="13" t="s">
        <v>4811</v>
      </c>
      <c r="F2504" s="373">
        <v>20.18</v>
      </c>
      <c r="G2504" s="430">
        <v>20.18</v>
      </c>
      <c r="H2504" s="399">
        <f t="shared" si="1042"/>
        <v>16.14</v>
      </c>
      <c r="I2504" s="576"/>
      <c r="J2504" s="549" t="s">
        <v>5804</v>
      </c>
      <c r="K2504" s="11"/>
      <c r="L2504" s="55" t="str">
        <f t="shared" si="1043"/>
        <v/>
      </c>
      <c r="M2504" s="37">
        <f t="shared" si="1044"/>
        <v>20.18</v>
      </c>
      <c r="N2504" s="29">
        <v>9.18</v>
      </c>
      <c r="O2504" s="31" t="s">
        <v>1017</v>
      </c>
      <c r="P2504" s="50"/>
      <c r="Q2504" s="50"/>
      <c r="R2504" s="42" t="s">
        <v>1017</v>
      </c>
      <c r="T2504" s="50"/>
      <c r="U2504" s="50"/>
      <c r="V2504" t="s">
        <v>1017</v>
      </c>
      <c r="W2504" s="50"/>
      <c r="Z2504" s="50"/>
      <c r="AA2504" s="38"/>
      <c r="AD2504" s="38"/>
    </row>
    <row r="2505" spans="1:30" x14ac:dyDescent="0.35">
      <c r="A2505" s="497" t="s">
        <v>3343</v>
      </c>
      <c r="B2505" s="13" t="s">
        <v>5547</v>
      </c>
      <c r="C2505" s="13" t="s">
        <v>5404</v>
      </c>
      <c r="D2505" s="13" t="s">
        <v>4133</v>
      </c>
      <c r="E2505" s="13" t="s">
        <v>4809</v>
      </c>
      <c r="F2505" s="373">
        <v>18.18</v>
      </c>
      <c r="G2505" s="430">
        <v>18.18</v>
      </c>
      <c r="H2505" s="399">
        <f t="shared" si="1042"/>
        <v>14.54</v>
      </c>
      <c r="I2505" s="576"/>
      <c r="J2505" s="549" t="s">
        <v>5804</v>
      </c>
      <c r="K2505" s="11"/>
      <c r="L2505" s="55" t="str">
        <f t="shared" si="1043"/>
        <v/>
      </c>
      <c r="M2505" s="37">
        <f t="shared" si="1044"/>
        <v>18.18</v>
      </c>
      <c r="N2505" s="29">
        <v>9.18</v>
      </c>
      <c r="O2505" s="31"/>
      <c r="P2505" s="50"/>
      <c r="Q2505" s="50"/>
      <c r="R2505" s="42"/>
      <c r="T2505" s="50"/>
      <c r="U2505" s="50"/>
      <c r="W2505" s="50"/>
      <c r="Y2505" t="s">
        <v>1017</v>
      </c>
      <c r="Z2505" s="50"/>
      <c r="AA2505" s="38"/>
      <c r="AD2505" s="38"/>
    </row>
    <row r="2506" spans="1:30" x14ac:dyDescent="0.35">
      <c r="A2506" s="497" t="s">
        <v>3344</v>
      </c>
      <c r="B2506" s="13" t="s">
        <v>5547</v>
      </c>
      <c r="C2506" s="13" t="s">
        <v>5404</v>
      </c>
      <c r="D2506" s="13" t="s">
        <v>5555</v>
      </c>
      <c r="E2506" s="13" t="s">
        <v>4811</v>
      </c>
      <c r="F2506" s="373">
        <v>21.18</v>
      </c>
      <c r="G2506" s="430">
        <v>21.18</v>
      </c>
      <c r="H2506" s="399">
        <f t="shared" si="1042"/>
        <v>16.940000000000001</v>
      </c>
      <c r="I2506" s="576"/>
      <c r="J2506" s="549" t="s">
        <v>5804</v>
      </c>
      <c r="K2506" s="11"/>
      <c r="L2506" s="55" t="str">
        <f t="shared" si="1043"/>
        <v/>
      </c>
      <c r="M2506" s="37">
        <f t="shared" si="1044"/>
        <v>21.18</v>
      </c>
      <c r="N2506" s="29">
        <v>9.18</v>
      </c>
      <c r="O2506" s="31" t="s">
        <v>1017</v>
      </c>
      <c r="P2506" s="50"/>
      <c r="Q2506" s="50"/>
      <c r="R2506" s="42"/>
      <c r="T2506" s="50"/>
      <c r="U2506" s="50"/>
      <c r="W2506" s="50"/>
      <c r="Y2506" t="s">
        <v>1017</v>
      </c>
      <c r="Z2506" s="50"/>
      <c r="AA2506" s="38"/>
      <c r="AD2506" s="38"/>
    </row>
    <row r="2507" spans="1:30" x14ac:dyDescent="0.35">
      <c r="A2507" s="497" t="s">
        <v>4306</v>
      </c>
      <c r="B2507" s="13" t="s">
        <v>5547</v>
      </c>
      <c r="C2507" s="13" t="s">
        <v>5404</v>
      </c>
      <c r="D2507" s="13" t="s">
        <v>2919</v>
      </c>
      <c r="E2507" s="13" t="s">
        <v>4809</v>
      </c>
      <c r="F2507" s="373">
        <v>19.18</v>
      </c>
      <c r="G2507" s="430">
        <v>19.18</v>
      </c>
      <c r="H2507" s="399">
        <f t="shared" si="1042"/>
        <v>15.34</v>
      </c>
      <c r="I2507" s="576"/>
      <c r="J2507" s="549" t="s">
        <v>5804</v>
      </c>
      <c r="K2507" s="11"/>
      <c r="L2507" s="55" t="str">
        <f t="shared" si="1043"/>
        <v/>
      </c>
      <c r="M2507" s="37">
        <f t="shared" si="1044"/>
        <v>19.18</v>
      </c>
      <c r="N2507" s="29">
        <v>9.18</v>
      </c>
      <c r="O2507" s="31"/>
      <c r="P2507" s="50"/>
      <c r="Q2507" s="50"/>
      <c r="R2507" s="42" t="s">
        <v>1017</v>
      </c>
      <c r="T2507" s="50"/>
      <c r="U2507" s="50"/>
      <c r="W2507" s="50"/>
      <c r="Y2507" t="s">
        <v>1017</v>
      </c>
      <c r="Z2507" s="50"/>
      <c r="AA2507" s="38"/>
      <c r="AD2507" s="38"/>
    </row>
    <row r="2508" spans="1:30" x14ac:dyDescent="0.35">
      <c r="A2508" s="497" t="s">
        <v>4307</v>
      </c>
      <c r="B2508" s="13" t="s">
        <v>5547</v>
      </c>
      <c r="C2508" s="13" t="s">
        <v>5404</v>
      </c>
      <c r="D2508" s="13" t="s">
        <v>5558</v>
      </c>
      <c r="E2508" s="13" t="s">
        <v>4811</v>
      </c>
      <c r="F2508" s="373">
        <v>22.18</v>
      </c>
      <c r="G2508" s="430">
        <v>22.18</v>
      </c>
      <c r="H2508" s="399">
        <f t="shared" si="1042"/>
        <v>17.739999999999998</v>
      </c>
      <c r="I2508" s="576"/>
      <c r="J2508" s="549" t="s">
        <v>5804</v>
      </c>
      <c r="K2508" s="11"/>
      <c r="L2508" s="55" t="str">
        <f t="shared" si="1043"/>
        <v/>
      </c>
      <c r="M2508" s="37">
        <f t="shared" si="1044"/>
        <v>22.18</v>
      </c>
      <c r="N2508" s="29">
        <v>9.18</v>
      </c>
      <c r="O2508" s="31" t="s">
        <v>1017</v>
      </c>
      <c r="P2508" s="50"/>
      <c r="Q2508" s="50"/>
      <c r="R2508" s="42" t="s">
        <v>1017</v>
      </c>
      <c r="T2508" s="50"/>
      <c r="U2508" s="50"/>
      <c r="W2508" s="50"/>
      <c r="Y2508" t="s">
        <v>1017</v>
      </c>
      <c r="Z2508" s="50"/>
      <c r="AA2508" s="38"/>
      <c r="AD2508" s="38"/>
    </row>
    <row r="2509" spans="1:30" x14ac:dyDescent="0.35">
      <c r="A2509" s="497" t="s">
        <v>3339</v>
      </c>
      <c r="B2509" s="13" t="s">
        <v>5547</v>
      </c>
      <c r="C2509" s="13" t="s">
        <v>5404</v>
      </c>
      <c r="D2509" s="13" t="s">
        <v>4132</v>
      </c>
      <c r="E2509" s="13" t="s">
        <v>4809</v>
      </c>
      <c r="F2509" s="373">
        <v>17.18</v>
      </c>
      <c r="G2509" s="430">
        <v>17.18</v>
      </c>
      <c r="H2509" s="399">
        <f t="shared" si="1042"/>
        <v>13.74</v>
      </c>
      <c r="I2509" s="576"/>
      <c r="J2509" s="549" t="s">
        <v>5804</v>
      </c>
      <c r="K2509" s="11"/>
      <c r="L2509" s="55" t="str">
        <f t="shared" si="1043"/>
        <v/>
      </c>
      <c r="M2509" s="37">
        <f t="shared" si="1044"/>
        <v>17.18</v>
      </c>
      <c r="N2509" s="29">
        <v>9.18</v>
      </c>
      <c r="O2509" s="31"/>
      <c r="P2509" s="50"/>
      <c r="Q2509" s="50"/>
      <c r="R2509" s="42"/>
      <c r="T2509" s="50"/>
      <c r="U2509" s="50"/>
      <c r="W2509" s="50"/>
      <c r="X2509" t="s">
        <v>1017</v>
      </c>
      <c r="Z2509" s="50"/>
      <c r="AA2509" s="38"/>
      <c r="AD2509" s="38"/>
    </row>
    <row r="2510" spans="1:30" x14ac:dyDescent="0.35">
      <c r="A2510" s="497" t="s">
        <v>3340</v>
      </c>
      <c r="B2510" s="13" t="s">
        <v>5547</v>
      </c>
      <c r="C2510" s="13" t="s">
        <v>5404</v>
      </c>
      <c r="D2510" s="13" t="s">
        <v>5554</v>
      </c>
      <c r="E2510" s="13" t="s">
        <v>4811</v>
      </c>
      <c r="F2510" s="373">
        <v>20.18</v>
      </c>
      <c r="G2510" s="430">
        <v>20.18</v>
      </c>
      <c r="H2510" s="399">
        <f t="shared" si="1042"/>
        <v>16.14</v>
      </c>
      <c r="I2510" s="576"/>
      <c r="J2510" s="549" t="s">
        <v>5804</v>
      </c>
      <c r="K2510" s="11"/>
      <c r="L2510" s="55" t="str">
        <f t="shared" si="1043"/>
        <v/>
      </c>
      <c r="M2510" s="37">
        <f t="shared" si="1044"/>
        <v>20.18</v>
      </c>
      <c r="N2510" s="29">
        <v>9.18</v>
      </c>
      <c r="O2510" s="31" t="s">
        <v>1017</v>
      </c>
      <c r="P2510" s="50"/>
      <c r="Q2510" s="50"/>
      <c r="R2510" s="42"/>
      <c r="T2510" s="50"/>
      <c r="U2510" s="50"/>
      <c r="W2510" s="50"/>
      <c r="X2510" t="s">
        <v>1017</v>
      </c>
      <c r="Z2510" s="50"/>
      <c r="AA2510" s="38"/>
      <c r="AD2510" s="38"/>
    </row>
    <row r="2511" spans="1:30" x14ac:dyDescent="0.35">
      <c r="A2511" s="497" t="s">
        <v>4302</v>
      </c>
      <c r="B2511" s="13" t="s">
        <v>5547</v>
      </c>
      <c r="C2511" s="13" t="s">
        <v>5404</v>
      </c>
      <c r="D2511" s="13" t="s">
        <v>4136</v>
      </c>
      <c r="E2511" s="13" t="s">
        <v>4809</v>
      </c>
      <c r="F2511" s="373">
        <v>18.18</v>
      </c>
      <c r="G2511" s="430">
        <v>18.18</v>
      </c>
      <c r="H2511" s="399">
        <f t="shared" si="1042"/>
        <v>14.54</v>
      </c>
      <c r="I2511" s="576"/>
      <c r="J2511" s="549" t="s">
        <v>5804</v>
      </c>
      <c r="K2511" s="11"/>
      <c r="L2511" s="55" t="str">
        <f t="shared" si="1043"/>
        <v/>
      </c>
      <c r="M2511" s="37">
        <f t="shared" si="1044"/>
        <v>18.18</v>
      </c>
      <c r="N2511" s="29">
        <v>9.18</v>
      </c>
      <c r="O2511" s="31"/>
      <c r="P2511" s="50"/>
      <c r="Q2511" s="50"/>
      <c r="R2511" s="42" t="s">
        <v>1017</v>
      </c>
      <c r="T2511" s="50"/>
      <c r="U2511" s="50"/>
      <c r="W2511" s="50"/>
      <c r="X2511" t="s">
        <v>1017</v>
      </c>
      <c r="Z2511" s="50"/>
      <c r="AA2511" s="38"/>
      <c r="AD2511" s="38"/>
    </row>
    <row r="2512" spans="1:30" x14ac:dyDescent="0.35">
      <c r="A2512" s="497" t="s">
        <v>4303</v>
      </c>
      <c r="B2512" s="13" t="s">
        <v>5547</v>
      </c>
      <c r="C2512" s="13" t="s">
        <v>5404</v>
      </c>
      <c r="D2512" s="13" t="s">
        <v>5557</v>
      </c>
      <c r="E2512" s="13" t="s">
        <v>4811</v>
      </c>
      <c r="F2512" s="373">
        <v>21.18</v>
      </c>
      <c r="G2512" s="430">
        <v>21.18</v>
      </c>
      <c r="H2512" s="399">
        <f t="shared" si="1042"/>
        <v>16.940000000000001</v>
      </c>
      <c r="I2512" s="576"/>
      <c r="J2512" s="549" t="s">
        <v>5804</v>
      </c>
      <c r="K2512" s="11"/>
      <c r="L2512" s="55" t="str">
        <f t="shared" si="1043"/>
        <v/>
      </c>
      <c r="M2512" s="37">
        <f t="shared" si="1044"/>
        <v>21.18</v>
      </c>
      <c r="N2512" s="29">
        <v>9.18</v>
      </c>
      <c r="O2512" s="31" t="s">
        <v>1017</v>
      </c>
      <c r="P2512" s="50"/>
      <c r="Q2512" s="50"/>
      <c r="R2512" s="42" t="s">
        <v>1017</v>
      </c>
      <c r="T2512" s="50"/>
      <c r="U2512" s="50"/>
      <c r="W2512" s="50"/>
      <c r="X2512" t="s">
        <v>1017</v>
      </c>
      <c r="Z2512" s="50"/>
      <c r="AA2512" s="38"/>
      <c r="AD2512" s="38"/>
    </row>
    <row r="2513" spans="1:30" x14ac:dyDescent="0.35">
      <c r="A2513" s="497" t="s">
        <v>4294</v>
      </c>
      <c r="B2513" s="13" t="s">
        <v>5547</v>
      </c>
      <c r="C2513" s="13" t="s">
        <v>5404</v>
      </c>
      <c r="D2513" s="13" t="s">
        <v>4134</v>
      </c>
      <c r="E2513" s="13" t="s">
        <v>4809</v>
      </c>
      <c r="F2513" s="373">
        <v>19.18</v>
      </c>
      <c r="G2513" s="430">
        <v>19.18</v>
      </c>
      <c r="H2513" s="399">
        <f t="shared" si="1042"/>
        <v>15.34</v>
      </c>
      <c r="I2513" s="576"/>
      <c r="J2513" s="549" t="s">
        <v>5804</v>
      </c>
      <c r="K2513" s="11"/>
      <c r="L2513" s="55" t="str">
        <f t="shared" si="1043"/>
        <v/>
      </c>
      <c r="M2513" s="37">
        <f t="shared" si="1044"/>
        <v>19.18</v>
      </c>
      <c r="N2513" s="29">
        <v>9.18</v>
      </c>
      <c r="O2513" s="31"/>
      <c r="P2513" s="50"/>
      <c r="Q2513" s="50"/>
      <c r="R2513" s="42"/>
      <c r="T2513" s="50"/>
      <c r="U2513" s="50"/>
      <c r="W2513" s="50"/>
      <c r="Z2513" s="50"/>
      <c r="AA2513" s="38" t="s">
        <v>1017</v>
      </c>
      <c r="AD2513" s="38"/>
    </row>
    <row r="2514" spans="1:30" x14ac:dyDescent="0.35">
      <c r="A2514" s="497" t="s">
        <v>4295</v>
      </c>
      <c r="B2514" s="13" t="s">
        <v>5547</v>
      </c>
      <c r="C2514" s="13" t="s">
        <v>5404</v>
      </c>
      <c r="D2514" s="13" t="s">
        <v>4388</v>
      </c>
      <c r="E2514" s="13" t="s">
        <v>4811</v>
      </c>
      <c r="F2514" s="373">
        <v>22.18</v>
      </c>
      <c r="G2514" s="430">
        <v>22.18</v>
      </c>
      <c r="H2514" s="399">
        <f t="shared" si="1042"/>
        <v>17.739999999999998</v>
      </c>
      <c r="I2514" s="576"/>
      <c r="J2514" s="549" t="s">
        <v>5804</v>
      </c>
      <c r="K2514" s="11"/>
      <c r="L2514" s="55" t="str">
        <f t="shared" si="1043"/>
        <v/>
      </c>
      <c r="M2514" s="37">
        <f t="shared" si="1044"/>
        <v>22.18</v>
      </c>
      <c r="N2514" s="29">
        <v>9.18</v>
      </c>
      <c r="O2514" s="31" t="s">
        <v>1017</v>
      </c>
      <c r="P2514" s="50"/>
      <c r="Q2514" s="50"/>
      <c r="R2514" s="42"/>
      <c r="T2514" s="50"/>
      <c r="U2514" s="50"/>
      <c r="W2514" s="50"/>
      <c r="Z2514" s="50"/>
      <c r="AA2514" s="38" t="s">
        <v>1017</v>
      </c>
      <c r="AD2514" s="38"/>
    </row>
    <row r="2515" spans="1:30" x14ac:dyDescent="0.35">
      <c r="A2515" s="497" t="s">
        <v>4310</v>
      </c>
      <c r="B2515" s="13" t="s">
        <v>5547</v>
      </c>
      <c r="C2515" s="13" t="s">
        <v>5404</v>
      </c>
      <c r="D2515" s="13" t="s">
        <v>2920</v>
      </c>
      <c r="E2515" s="13" t="s">
        <v>4809</v>
      </c>
      <c r="F2515" s="373">
        <v>20.18</v>
      </c>
      <c r="G2515" s="430">
        <v>20.18</v>
      </c>
      <c r="H2515" s="399">
        <f t="shared" si="1042"/>
        <v>16.14</v>
      </c>
      <c r="I2515" s="576"/>
      <c r="J2515" s="549" t="s">
        <v>5804</v>
      </c>
      <c r="K2515" s="11"/>
      <c r="L2515" s="55" t="str">
        <f t="shared" si="1043"/>
        <v/>
      </c>
      <c r="M2515" s="37">
        <f t="shared" si="1044"/>
        <v>20.18</v>
      </c>
      <c r="N2515" s="29">
        <v>9.18</v>
      </c>
      <c r="O2515" s="31"/>
      <c r="P2515" s="50"/>
      <c r="Q2515" s="50"/>
      <c r="R2515" s="42" t="s">
        <v>1017</v>
      </c>
      <c r="T2515" s="50"/>
      <c r="U2515" s="50"/>
      <c r="W2515" s="50"/>
      <c r="Z2515" s="50"/>
      <c r="AA2515" s="38" t="s">
        <v>1017</v>
      </c>
      <c r="AD2515" s="38"/>
    </row>
    <row r="2516" spans="1:30" x14ac:dyDescent="0.35">
      <c r="A2516" s="497" t="s">
        <v>4311</v>
      </c>
      <c r="B2516" s="13" t="s">
        <v>5547</v>
      </c>
      <c r="C2516" s="13" t="s">
        <v>5404</v>
      </c>
      <c r="D2516" s="13" t="s">
        <v>4389</v>
      </c>
      <c r="E2516" s="13" t="s">
        <v>4811</v>
      </c>
      <c r="F2516" s="373">
        <v>23.18</v>
      </c>
      <c r="G2516" s="430">
        <v>23.18</v>
      </c>
      <c r="H2516" s="399">
        <f t="shared" si="1042"/>
        <v>18.54</v>
      </c>
      <c r="I2516" s="576"/>
      <c r="J2516" s="549" t="s">
        <v>5804</v>
      </c>
      <c r="K2516" s="11"/>
      <c r="L2516" s="55" t="str">
        <f t="shared" si="1043"/>
        <v/>
      </c>
      <c r="M2516" s="37">
        <f t="shared" si="1044"/>
        <v>23.18</v>
      </c>
      <c r="N2516" s="29">
        <v>9.18</v>
      </c>
      <c r="O2516" s="31" t="s">
        <v>1017</v>
      </c>
      <c r="P2516" s="50"/>
      <c r="Q2516" s="50"/>
      <c r="R2516" s="42" t="s">
        <v>1017</v>
      </c>
      <c r="T2516" s="50"/>
      <c r="U2516" s="50"/>
      <c r="W2516" s="50"/>
      <c r="Z2516" s="50"/>
      <c r="AA2516" s="38" t="s">
        <v>1017</v>
      </c>
      <c r="AD2516" s="38"/>
    </row>
    <row r="2517" spans="1:30" x14ac:dyDescent="0.35">
      <c r="A2517" s="497" t="s">
        <v>3315</v>
      </c>
      <c r="B2517" s="13" t="s">
        <v>5547</v>
      </c>
      <c r="C2517" s="13" t="s">
        <v>5404</v>
      </c>
      <c r="D2517" s="13" t="s">
        <v>2905</v>
      </c>
      <c r="E2517" s="13" t="s">
        <v>4809</v>
      </c>
      <c r="F2517" s="373">
        <v>11.18</v>
      </c>
      <c r="G2517" s="430">
        <v>11.18</v>
      </c>
      <c r="H2517" s="399">
        <f t="shared" si="1042"/>
        <v>8.94</v>
      </c>
      <c r="I2517" s="576"/>
      <c r="J2517" s="549" t="s">
        <v>5804</v>
      </c>
      <c r="K2517" s="11"/>
      <c r="L2517" s="55" t="str">
        <f t="shared" si="1043"/>
        <v/>
      </c>
      <c r="M2517" s="37">
        <f t="shared" si="1044"/>
        <v>11.18</v>
      </c>
      <c r="N2517" s="29">
        <v>9.18</v>
      </c>
      <c r="O2517" s="31"/>
      <c r="P2517" s="50"/>
      <c r="Q2517" s="50"/>
      <c r="R2517" s="42"/>
      <c r="T2517" s="50"/>
      <c r="U2517" s="50"/>
      <c r="W2517" s="50"/>
      <c r="Z2517" s="50"/>
      <c r="AA2517" s="38"/>
      <c r="AB2517" t="s">
        <v>1017</v>
      </c>
      <c r="AD2517" s="38"/>
    </row>
    <row r="2518" spans="1:30" x14ac:dyDescent="0.35">
      <c r="A2518" s="497" t="s">
        <v>3316</v>
      </c>
      <c r="B2518" s="13" t="s">
        <v>5547</v>
      </c>
      <c r="C2518" s="13" t="s">
        <v>5404</v>
      </c>
      <c r="D2518" s="13" t="s">
        <v>3194</v>
      </c>
      <c r="E2518" s="13" t="s">
        <v>4811</v>
      </c>
      <c r="F2518" s="373">
        <v>14.18</v>
      </c>
      <c r="G2518" s="430">
        <v>14.18</v>
      </c>
      <c r="H2518" s="399">
        <f t="shared" si="1042"/>
        <v>11.34</v>
      </c>
      <c r="I2518" s="576"/>
      <c r="J2518" s="549" t="s">
        <v>5804</v>
      </c>
      <c r="K2518" s="11"/>
      <c r="L2518" s="55" t="str">
        <f t="shared" si="1043"/>
        <v/>
      </c>
      <c r="M2518" s="37">
        <f t="shared" si="1044"/>
        <v>14.18</v>
      </c>
      <c r="N2518" s="29">
        <v>9.18</v>
      </c>
      <c r="O2518" s="31" t="s">
        <v>1017</v>
      </c>
      <c r="P2518" s="50"/>
      <c r="Q2518" s="50"/>
      <c r="R2518" s="42"/>
      <c r="T2518" s="50"/>
      <c r="U2518" s="50"/>
      <c r="W2518" s="50"/>
      <c r="Z2518" s="50"/>
      <c r="AA2518" s="38"/>
      <c r="AB2518" t="s">
        <v>1017</v>
      </c>
      <c r="AD2518" s="38"/>
    </row>
    <row r="2519" spans="1:30" x14ac:dyDescent="0.35">
      <c r="A2519" s="497" t="s">
        <v>640</v>
      </c>
      <c r="B2519" s="13" t="s">
        <v>5547</v>
      </c>
      <c r="C2519" s="13" t="s">
        <v>5404</v>
      </c>
      <c r="D2519" s="13" t="s">
        <v>2905</v>
      </c>
      <c r="E2519" s="13" t="s">
        <v>4809</v>
      </c>
      <c r="F2519" s="373">
        <v>12.18</v>
      </c>
      <c r="G2519" s="430">
        <v>12.18</v>
      </c>
      <c r="H2519" s="399">
        <f t="shared" si="1042"/>
        <v>9.74</v>
      </c>
      <c r="I2519" s="576"/>
      <c r="J2519" s="549" t="s">
        <v>5804</v>
      </c>
      <c r="K2519" s="11"/>
      <c r="L2519" s="55" t="str">
        <f t="shared" si="1043"/>
        <v/>
      </c>
      <c r="M2519" s="37">
        <f t="shared" si="1044"/>
        <v>12.18</v>
      </c>
      <c r="N2519" s="29">
        <v>9.18</v>
      </c>
      <c r="O2519" s="31"/>
      <c r="P2519" s="50"/>
      <c r="Q2519" s="50"/>
      <c r="R2519" s="42" t="s">
        <v>1017</v>
      </c>
      <c r="T2519" s="50"/>
      <c r="U2519" s="50"/>
      <c r="W2519" s="50"/>
      <c r="Z2519" s="50"/>
      <c r="AA2519" s="38"/>
      <c r="AB2519" t="s">
        <v>1017</v>
      </c>
      <c r="AD2519" s="38"/>
    </row>
    <row r="2520" spans="1:30" x14ac:dyDescent="0.35">
      <c r="A2520" s="497" t="s">
        <v>641</v>
      </c>
      <c r="B2520" s="13" t="s">
        <v>5547</v>
      </c>
      <c r="C2520" s="13" t="s">
        <v>5404</v>
      </c>
      <c r="D2520" s="13" t="s">
        <v>3194</v>
      </c>
      <c r="E2520" s="13" t="s">
        <v>4811</v>
      </c>
      <c r="F2520" s="373">
        <v>15.18</v>
      </c>
      <c r="G2520" s="430">
        <v>15.18</v>
      </c>
      <c r="H2520" s="399">
        <f t="shared" si="1042"/>
        <v>12.14</v>
      </c>
      <c r="I2520" s="576"/>
      <c r="J2520" s="549" t="s">
        <v>5804</v>
      </c>
      <c r="K2520" s="11"/>
      <c r="L2520" s="55" t="str">
        <f t="shared" si="1043"/>
        <v/>
      </c>
      <c r="M2520" s="37">
        <f t="shared" si="1044"/>
        <v>15.18</v>
      </c>
      <c r="N2520" s="29">
        <v>9.18</v>
      </c>
      <c r="O2520" s="31" t="s">
        <v>1017</v>
      </c>
      <c r="P2520" s="50"/>
      <c r="Q2520" s="50"/>
      <c r="R2520" s="42" t="s">
        <v>1017</v>
      </c>
      <c r="T2520" s="50"/>
      <c r="U2520" s="50"/>
      <c r="W2520" s="50"/>
      <c r="Z2520" s="50"/>
      <c r="AA2520" s="38"/>
      <c r="AB2520" t="s">
        <v>1017</v>
      </c>
      <c r="AD2520" s="38"/>
    </row>
    <row r="2521" spans="1:30" x14ac:dyDescent="0.35">
      <c r="A2521" s="497" t="s">
        <v>4314</v>
      </c>
      <c r="B2521" s="13" t="s">
        <v>5547</v>
      </c>
      <c r="C2521" s="13" t="s">
        <v>5404</v>
      </c>
      <c r="D2521" s="13" t="s">
        <v>3288</v>
      </c>
      <c r="E2521" s="13" t="s">
        <v>4809</v>
      </c>
      <c r="F2521" s="373">
        <v>17.18</v>
      </c>
      <c r="G2521" s="430">
        <v>17.18</v>
      </c>
      <c r="H2521" s="399">
        <f t="shared" si="1042"/>
        <v>13.74</v>
      </c>
      <c r="I2521" s="576"/>
      <c r="J2521" s="549" t="s">
        <v>5804</v>
      </c>
      <c r="K2521" s="11"/>
      <c r="L2521" s="55" t="str">
        <f t="shared" si="1043"/>
        <v/>
      </c>
      <c r="M2521" s="37">
        <f t="shared" si="1044"/>
        <v>17.18</v>
      </c>
      <c r="N2521" s="29">
        <v>9.18</v>
      </c>
      <c r="O2521" s="31"/>
      <c r="P2521" s="50"/>
      <c r="Q2521" s="50"/>
      <c r="R2521" s="42"/>
      <c r="S2521" t="s">
        <v>1017</v>
      </c>
      <c r="T2521" s="50"/>
      <c r="U2521" s="50"/>
      <c r="W2521" s="50"/>
      <c r="Z2521" s="50"/>
      <c r="AA2521" s="38"/>
      <c r="AB2521" t="s">
        <v>1017</v>
      </c>
      <c r="AD2521" s="38"/>
    </row>
    <row r="2522" spans="1:30" x14ac:dyDescent="0.35">
      <c r="A2522" s="497" t="s">
        <v>4315</v>
      </c>
      <c r="B2522" s="13" t="s">
        <v>5547</v>
      </c>
      <c r="C2522" s="13" t="s">
        <v>5404</v>
      </c>
      <c r="D2522" s="13" t="s">
        <v>5559</v>
      </c>
      <c r="E2522" s="13" t="s">
        <v>4811</v>
      </c>
      <c r="F2522" s="373">
        <v>20.18</v>
      </c>
      <c r="G2522" s="430">
        <v>20.18</v>
      </c>
      <c r="H2522" s="399">
        <f t="shared" si="1042"/>
        <v>16.14</v>
      </c>
      <c r="I2522" s="576"/>
      <c r="J2522" s="549" t="s">
        <v>5804</v>
      </c>
      <c r="K2522" s="11"/>
      <c r="L2522" s="55" t="str">
        <f t="shared" si="1043"/>
        <v/>
      </c>
      <c r="M2522" s="37">
        <f t="shared" si="1044"/>
        <v>20.18</v>
      </c>
      <c r="N2522" s="29">
        <v>9.18</v>
      </c>
      <c r="O2522" s="31" t="s">
        <v>1017</v>
      </c>
      <c r="P2522" s="50"/>
      <c r="Q2522" s="50"/>
      <c r="R2522" s="42"/>
      <c r="S2522" t="s">
        <v>1017</v>
      </c>
      <c r="T2522" s="50"/>
      <c r="U2522" s="50"/>
      <c r="W2522" s="50"/>
      <c r="Z2522" s="50"/>
      <c r="AA2522" s="38"/>
      <c r="AB2522" t="s">
        <v>1017</v>
      </c>
      <c r="AD2522" s="38"/>
    </row>
    <row r="2523" spans="1:30" x14ac:dyDescent="0.35">
      <c r="A2523" s="497" t="s">
        <v>576</v>
      </c>
      <c r="B2523" s="13" t="s">
        <v>5547</v>
      </c>
      <c r="C2523" s="13" t="s">
        <v>5404</v>
      </c>
      <c r="D2523" s="13" t="s">
        <v>2114</v>
      </c>
      <c r="E2523" s="13" t="s">
        <v>4809</v>
      </c>
      <c r="F2523" s="373">
        <v>18.18</v>
      </c>
      <c r="G2523" s="430">
        <v>18.18</v>
      </c>
      <c r="H2523" s="399">
        <f t="shared" si="1042"/>
        <v>14.54</v>
      </c>
      <c r="I2523" s="576"/>
      <c r="J2523" s="549" t="s">
        <v>5804</v>
      </c>
      <c r="K2523" s="11"/>
      <c r="L2523" s="55" t="str">
        <f t="shared" si="1043"/>
        <v/>
      </c>
      <c r="M2523" s="37">
        <f t="shared" si="1044"/>
        <v>18.18</v>
      </c>
      <c r="N2523" s="29">
        <v>9.18</v>
      </c>
      <c r="O2523" s="31"/>
      <c r="P2523" s="50"/>
      <c r="Q2523" s="50"/>
      <c r="R2523" s="42" t="s">
        <v>1017</v>
      </c>
      <c r="S2523" t="s">
        <v>1017</v>
      </c>
      <c r="T2523" s="50"/>
      <c r="U2523" s="50"/>
      <c r="W2523" s="50"/>
      <c r="Z2523" s="50"/>
      <c r="AA2523" s="38"/>
      <c r="AB2523" t="s">
        <v>1017</v>
      </c>
      <c r="AD2523" s="38"/>
    </row>
    <row r="2524" spans="1:30" x14ac:dyDescent="0.35">
      <c r="A2524" s="497" t="s">
        <v>577</v>
      </c>
      <c r="B2524" s="13" t="s">
        <v>5547</v>
      </c>
      <c r="C2524" s="13" t="s">
        <v>5404</v>
      </c>
      <c r="D2524" s="13" t="s">
        <v>2115</v>
      </c>
      <c r="E2524" s="13" t="s">
        <v>4811</v>
      </c>
      <c r="F2524" s="373">
        <v>21.18</v>
      </c>
      <c r="G2524" s="430">
        <v>21.18</v>
      </c>
      <c r="H2524" s="399">
        <f t="shared" si="1042"/>
        <v>16.940000000000001</v>
      </c>
      <c r="I2524" s="576"/>
      <c r="J2524" s="549" t="s">
        <v>5804</v>
      </c>
      <c r="K2524" s="11"/>
      <c r="L2524" s="55" t="str">
        <f t="shared" si="1043"/>
        <v/>
      </c>
      <c r="M2524" s="37">
        <f t="shared" si="1044"/>
        <v>21.18</v>
      </c>
      <c r="N2524" s="29">
        <v>9.18</v>
      </c>
      <c r="O2524" s="31" t="s">
        <v>1017</v>
      </c>
      <c r="P2524" s="50"/>
      <c r="Q2524" s="50"/>
      <c r="R2524" s="42" t="s">
        <v>1017</v>
      </c>
      <c r="S2524" t="s">
        <v>1017</v>
      </c>
      <c r="T2524" s="50"/>
      <c r="U2524" s="50"/>
      <c r="W2524" s="50"/>
      <c r="Z2524" s="50"/>
      <c r="AA2524" s="38"/>
      <c r="AB2524" t="s">
        <v>1017</v>
      </c>
      <c r="AD2524" s="38"/>
    </row>
    <row r="2525" spans="1:30" x14ac:dyDescent="0.35">
      <c r="A2525" s="497" t="s">
        <v>4322</v>
      </c>
      <c r="B2525" s="13" t="s">
        <v>5547</v>
      </c>
      <c r="C2525" s="13" t="s">
        <v>5404</v>
      </c>
      <c r="D2525" s="13" t="s">
        <v>3290</v>
      </c>
      <c r="E2525" s="13" t="s">
        <v>4809</v>
      </c>
      <c r="F2525" s="373">
        <v>18.18</v>
      </c>
      <c r="G2525" s="430">
        <v>18.18</v>
      </c>
      <c r="H2525" s="399">
        <f t="shared" ref="H2525:H2588" si="1045">IF(ISNUMBER(G2525),ROUND(0.8*G2525,2),"")</f>
        <v>14.54</v>
      </c>
      <c r="I2525" s="576"/>
      <c r="J2525" s="549" t="s">
        <v>5804</v>
      </c>
      <c r="K2525" s="11"/>
      <c r="L2525" s="55" t="str">
        <f t="shared" ref="L2525:L2588" si="1046">IF(F2525=M2525,"",FALSE)</f>
        <v/>
      </c>
      <c r="M2525" s="37">
        <f t="shared" ref="M2525:M2588" si="1047">N2525+SUMIF(O2525:AD2525,"x",O$2396:AD$2396)</f>
        <v>18.18</v>
      </c>
      <c r="N2525" s="29">
        <v>9.18</v>
      </c>
      <c r="O2525" s="31"/>
      <c r="P2525" s="50"/>
      <c r="Q2525" s="50"/>
      <c r="R2525" s="42"/>
      <c r="T2525" s="50"/>
      <c r="U2525" s="50"/>
      <c r="V2525" t="s">
        <v>1017</v>
      </c>
      <c r="W2525" s="50"/>
      <c r="Z2525" s="50"/>
      <c r="AA2525" s="38"/>
      <c r="AB2525" t="s">
        <v>1017</v>
      </c>
      <c r="AD2525" s="38"/>
    </row>
    <row r="2526" spans="1:30" x14ac:dyDescent="0.35">
      <c r="A2526" s="497" t="s">
        <v>4323</v>
      </c>
      <c r="B2526" s="13" t="s">
        <v>5547</v>
      </c>
      <c r="C2526" s="13" t="s">
        <v>5404</v>
      </c>
      <c r="D2526" s="13" t="s">
        <v>5562</v>
      </c>
      <c r="E2526" s="13" t="s">
        <v>4811</v>
      </c>
      <c r="F2526" s="373">
        <v>21.18</v>
      </c>
      <c r="G2526" s="430">
        <v>21.18</v>
      </c>
      <c r="H2526" s="399">
        <f t="shared" si="1045"/>
        <v>16.940000000000001</v>
      </c>
      <c r="I2526" s="576"/>
      <c r="J2526" s="549" t="s">
        <v>5804</v>
      </c>
      <c r="K2526" s="11"/>
      <c r="L2526" s="55" t="str">
        <f t="shared" si="1046"/>
        <v/>
      </c>
      <c r="M2526" s="37">
        <f t="shared" si="1047"/>
        <v>21.18</v>
      </c>
      <c r="N2526" s="29">
        <v>9.18</v>
      </c>
      <c r="O2526" s="31" t="s">
        <v>1017</v>
      </c>
      <c r="P2526" s="50"/>
      <c r="Q2526" s="50"/>
      <c r="R2526" s="42"/>
      <c r="T2526" s="50"/>
      <c r="U2526" s="50"/>
      <c r="V2526" t="s">
        <v>1017</v>
      </c>
      <c r="W2526" s="50"/>
      <c r="Z2526" s="50"/>
      <c r="AA2526" s="38"/>
      <c r="AB2526" t="s">
        <v>1017</v>
      </c>
      <c r="AD2526" s="38"/>
    </row>
    <row r="2527" spans="1:30" x14ac:dyDescent="0.35">
      <c r="A2527" s="497" t="s">
        <v>5053</v>
      </c>
      <c r="B2527" s="13" t="s">
        <v>5547</v>
      </c>
      <c r="C2527" s="13" t="s">
        <v>5404</v>
      </c>
      <c r="D2527" s="13" t="s">
        <v>3291</v>
      </c>
      <c r="E2527" s="13" t="s">
        <v>4809</v>
      </c>
      <c r="F2527" s="373">
        <v>19.18</v>
      </c>
      <c r="G2527" s="430">
        <v>19.18</v>
      </c>
      <c r="H2527" s="399">
        <f t="shared" si="1045"/>
        <v>15.34</v>
      </c>
      <c r="I2527" s="576"/>
      <c r="J2527" s="549" t="s">
        <v>5804</v>
      </c>
      <c r="K2527" s="11"/>
      <c r="L2527" s="55" t="str">
        <f t="shared" si="1046"/>
        <v/>
      </c>
      <c r="M2527" s="37">
        <f t="shared" si="1047"/>
        <v>19.18</v>
      </c>
      <c r="N2527" s="29">
        <v>9.18</v>
      </c>
      <c r="O2527" s="31"/>
      <c r="P2527" s="50"/>
      <c r="Q2527" s="50"/>
      <c r="R2527" s="42" t="s">
        <v>1017</v>
      </c>
      <c r="T2527" s="50"/>
      <c r="U2527" s="50"/>
      <c r="V2527" t="s">
        <v>1017</v>
      </c>
      <c r="W2527" s="50"/>
      <c r="Z2527" s="50"/>
      <c r="AA2527" s="38"/>
      <c r="AB2527" t="s">
        <v>1017</v>
      </c>
      <c r="AD2527" s="38"/>
    </row>
    <row r="2528" spans="1:30" x14ac:dyDescent="0.35">
      <c r="A2528" s="497" t="s">
        <v>5054</v>
      </c>
      <c r="B2528" s="13" t="s">
        <v>5547</v>
      </c>
      <c r="C2528" s="13" t="s">
        <v>5404</v>
      </c>
      <c r="D2528" s="13" t="s">
        <v>5565</v>
      </c>
      <c r="E2528" s="13" t="s">
        <v>4811</v>
      </c>
      <c r="F2528" s="373">
        <v>22.18</v>
      </c>
      <c r="G2528" s="430">
        <v>22.18</v>
      </c>
      <c r="H2528" s="399">
        <f t="shared" si="1045"/>
        <v>17.739999999999998</v>
      </c>
      <c r="I2528" s="576"/>
      <c r="J2528" s="549" t="s">
        <v>5804</v>
      </c>
      <c r="K2528" s="11"/>
      <c r="L2528" s="55" t="str">
        <f t="shared" si="1046"/>
        <v/>
      </c>
      <c r="M2528" s="37">
        <f t="shared" si="1047"/>
        <v>22.18</v>
      </c>
      <c r="N2528" s="29">
        <v>9.18</v>
      </c>
      <c r="O2528" s="31" t="s">
        <v>1017</v>
      </c>
      <c r="P2528" s="50"/>
      <c r="Q2528" s="50"/>
      <c r="R2528" s="42" t="s">
        <v>1017</v>
      </c>
      <c r="T2528" s="50"/>
      <c r="U2528" s="50"/>
      <c r="V2528" t="s">
        <v>1017</v>
      </c>
      <c r="W2528" s="50"/>
      <c r="Z2528" s="50"/>
      <c r="AA2528" s="38"/>
      <c r="AB2528" t="s">
        <v>1017</v>
      </c>
      <c r="AD2528" s="38"/>
    </row>
    <row r="2529" spans="1:30" x14ac:dyDescent="0.35">
      <c r="A2529" s="497" t="s">
        <v>5045</v>
      </c>
      <c r="B2529" s="13" t="s">
        <v>5547</v>
      </c>
      <c r="C2529" s="13" t="s">
        <v>5404</v>
      </c>
      <c r="D2529" s="13" t="s">
        <v>784</v>
      </c>
      <c r="E2529" s="13" t="s">
        <v>4809</v>
      </c>
      <c r="F2529" s="373">
        <v>20.18</v>
      </c>
      <c r="G2529" s="430">
        <v>20.18</v>
      </c>
      <c r="H2529" s="399">
        <f t="shared" si="1045"/>
        <v>16.14</v>
      </c>
      <c r="I2529" s="576"/>
      <c r="J2529" s="549" t="s">
        <v>5804</v>
      </c>
      <c r="K2529" s="11"/>
      <c r="L2529" s="55" t="str">
        <f t="shared" si="1046"/>
        <v/>
      </c>
      <c r="M2529" s="37">
        <f t="shared" si="1047"/>
        <v>20.18</v>
      </c>
      <c r="N2529" s="29">
        <v>9.18</v>
      </c>
      <c r="O2529" s="31"/>
      <c r="P2529" s="50"/>
      <c r="Q2529" s="50"/>
      <c r="R2529" s="42"/>
      <c r="T2529" s="50"/>
      <c r="U2529" s="50"/>
      <c r="W2529" s="50"/>
      <c r="Y2529" t="s">
        <v>1017</v>
      </c>
      <c r="Z2529" s="50"/>
      <c r="AA2529" s="38"/>
      <c r="AB2529" t="s">
        <v>1017</v>
      </c>
      <c r="AD2529" s="38"/>
    </row>
    <row r="2530" spans="1:30" x14ac:dyDescent="0.35">
      <c r="A2530" s="497" t="s">
        <v>5046</v>
      </c>
      <c r="B2530" s="13" t="s">
        <v>5547</v>
      </c>
      <c r="C2530" s="13" t="s">
        <v>5404</v>
      </c>
      <c r="D2530" s="13" t="s">
        <v>5563</v>
      </c>
      <c r="E2530" s="13" t="s">
        <v>4811</v>
      </c>
      <c r="F2530" s="373">
        <v>23.18</v>
      </c>
      <c r="G2530" s="430">
        <v>23.18</v>
      </c>
      <c r="H2530" s="399">
        <f t="shared" si="1045"/>
        <v>18.54</v>
      </c>
      <c r="I2530" s="576"/>
      <c r="J2530" s="549" t="s">
        <v>5804</v>
      </c>
      <c r="K2530" s="11"/>
      <c r="L2530" s="55" t="str">
        <f t="shared" si="1046"/>
        <v/>
      </c>
      <c r="M2530" s="37">
        <f t="shared" si="1047"/>
        <v>23.18</v>
      </c>
      <c r="N2530" s="29">
        <v>9.18</v>
      </c>
      <c r="O2530" s="31" t="s">
        <v>1017</v>
      </c>
      <c r="P2530" s="50"/>
      <c r="Q2530" s="50"/>
      <c r="R2530" s="42"/>
      <c r="T2530" s="50"/>
      <c r="U2530" s="50"/>
      <c r="W2530" s="50"/>
      <c r="Y2530" t="s">
        <v>1017</v>
      </c>
      <c r="Z2530" s="50"/>
      <c r="AA2530" s="38"/>
      <c r="AB2530" t="s">
        <v>1017</v>
      </c>
      <c r="AD2530" s="38"/>
    </row>
    <row r="2531" spans="1:30" x14ac:dyDescent="0.35">
      <c r="A2531" s="497" t="s">
        <v>1038</v>
      </c>
      <c r="B2531" s="13" t="s">
        <v>5547</v>
      </c>
      <c r="C2531" s="13" t="s">
        <v>5404</v>
      </c>
      <c r="D2531" s="13" t="s">
        <v>785</v>
      </c>
      <c r="E2531" s="13" t="s">
        <v>4809</v>
      </c>
      <c r="F2531" s="373">
        <v>21.18</v>
      </c>
      <c r="G2531" s="430">
        <v>21.18</v>
      </c>
      <c r="H2531" s="399">
        <f t="shared" si="1045"/>
        <v>16.940000000000001</v>
      </c>
      <c r="I2531" s="576"/>
      <c r="J2531" s="549" t="s">
        <v>5804</v>
      </c>
      <c r="K2531" s="11"/>
      <c r="L2531" s="55" t="str">
        <f t="shared" si="1046"/>
        <v/>
      </c>
      <c r="M2531" s="37">
        <f t="shared" si="1047"/>
        <v>21.18</v>
      </c>
      <c r="N2531" s="29">
        <v>9.18</v>
      </c>
      <c r="O2531" s="31"/>
      <c r="P2531" s="50"/>
      <c r="Q2531" s="50"/>
      <c r="R2531" s="42" t="s">
        <v>1017</v>
      </c>
      <c r="T2531" s="50"/>
      <c r="U2531" s="50"/>
      <c r="W2531" s="50"/>
      <c r="Y2531" t="s">
        <v>1017</v>
      </c>
      <c r="Z2531" s="50"/>
      <c r="AA2531" s="38"/>
      <c r="AB2531" t="s">
        <v>1017</v>
      </c>
      <c r="AD2531" s="38"/>
    </row>
    <row r="2532" spans="1:30" x14ac:dyDescent="0.35">
      <c r="A2532" s="497" t="s">
        <v>1039</v>
      </c>
      <c r="B2532" s="13" t="s">
        <v>5547</v>
      </c>
      <c r="C2532" s="13" t="s">
        <v>5404</v>
      </c>
      <c r="D2532" s="13" t="s">
        <v>5566</v>
      </c>
      <c r="E2532" s="13" t="s">
        <v>4811</v>
      </c>
      <c r="F2532" s="373">
        <v>24.18</v>
      </c>
      <c r="G2532" s="430">
        <v>24.18</v>
      </c>
      <c r="H2532" s="399">
        <f t="shared" si="1045"/>
        <v>19.34</v>
      </c>
      <c r="I2532" s="576"/>
      <c r="J2532" s="549" t="s">
        <v>5804</v>
      </c>
      <c r="K2532" s="11"/>
      <c r="L2532" s="55" t="str">
        <f t="shared" si="1046"/>
        <v/>
      </c>
      <c r="M2532" s="37">
        <f t="shared" si="1047"/>
        <v>24.18</v>
      </c>
      <c r="N2532" s="29">
        <v>9.18</v>
      </c>
      <c r="O2532" s="31" t="s">
        <v>1017</v>
      </c>
      <c r="P2532" s="50"/>
      <c r="Q2532" s="50"/>
      <c r="R2532" s="42" t="s">
        <v>1017</v>
      </c>
      <c r="T2532" s="50"/>
      <c r="U2532" s="50"/>
      <c r="W2532" s="50"/>
      <c r="Y2532" t="s">
        <v>1017</v>
      </c>
      <c r="Z2532" s="50"/>
      <c r="AA2532" s="38"/>
      <c r="AB2532" t="s">
        <v>1017</v>
      </c>
      <c r="AD2532" s="38"/>
    </row>
    <row r="2533" spans="1:30" x14ac:dyDescent="0.35">
      <c r="A2533" s="497" t="s">
        <v>4326</v>
      </c>
      <c r="B2533" s="13" t="s">
        <v>5547</v>
      </c>
      <c r="C2533" s="13" t="s">
        <v>5404</v>
      </c>
      <c r="D2533" s="13" t="s">
        <v>4390</v>
      </c>
      <c r="E2533" s="13" t="s">
        <v>4809</v>
      </c>
      <c r="F2533" s="373">
        <v>19.18</v>
      </c>
      <c r="G2533" s="430">
        <v>19.18</v>
      </c>
      <c r="H2533" s="399">
        <f t="shared" si="1045"/>
        <v>15.34</v>
      </c>
      <c r="I2533" s="576"/>
      <c r="J2533" s="549" t="s">
        <v>5804</v>
      </c>
      <c r="K2533" s="11"/>
      <c r="L2533" s="55" t="str">
        <f t="shared" si="1046"/>
        <v/>
      </c>
      <c r="M2533" s="37">
        <f t="shared" si="1047"/>
        <v>19.18</v>
      </c>
      <c r="N2533" s="29">
        <v>9.18</v>
      </c>
      <c r="O2533" s="31"/>
      <c r="P2533" s="50"/>
      <c r="Q2533" s="50"/>
      <c r="R2533" s="42"/>
      <c r="T2533" s="50"/>
      <c r="U2533" s="50"/>
      <c r="W2533" s="50"/>
      <c r="X2533" t="s">
        <v>1017</v>
      </c>
      <c r="Z2533" s="50"/>
      <c r="AA2533" s="38"/>
      <c r="AB2533" t="s">
        <v>1017</v>
      </c>
      <c r="AD2533" s="38"/>
    </row>
    <row r="2534" spans="1:30" x14ac:dyDescent="0.35">
      <c r="A2534" s="497" t="s">
        <v>4327</v>
      </c>
      <c r="B2534" s="13" t="s">
        <v>5547</v>
      </c>
      <c r="C2534" s="13" t="s">
        <v>5404</v>
      </c>
      <c r="D2534" s="13" t="s">
        <v>2921</v>
      </c>
      <c r="E2534" s="13" t="s">
        <v>4811</v>
      </c>
      <c r="F2534" s="373">
        <v>22.18</v>
      </c>
      <c r="G2534" s="430">
        <v>22.18</v>
      </c>
      <c r="H2534" s="399">
        <f t="shared" si="1045"/>
        <v>17.739999999999998</v>
      </c>
      <c r="I2534" s="576"/>
      <c r="J2534" s="549" t="s">
        <v>5804</v>
      </c>
      <c r="K2534" s="11"/>
      <c r="L2534" s="55" t="str">
        <f t="shared" si="1046"/>
        <v/>
      </c>
      <c r="M2534" s="37">
        <f t="shared" si="1047"/>
        <v>22.18</v>
      </c>
      <c r="N2534" s="29">
        <v>9.18</v>
      </c>
      <c r="O2534" s="31" t="s">
        <v>1017</v>
      </c>
      <c r="P2534" s="50"/>
      <c r="Q2534" s="50"/>
      <c r="R2534" s="42"/>
      <c r="T2534" s="50"/>
      <c r="U2534" s="50"/>
      <c r="W2534" s="50"/>
      <c r="X2534" t="s">
        <v>1017</v>
      </c>
      <c r="Z2534" s="50"/>
      <c r="AA2534" s="38"/>
      <c r="AB2534" t="s">
        <v>1017</v>
      </c>
      <c r="AD2534" s="38"/>
    </row>
    <row r="2535" spans="1:30" x14ac:dyDescent="0.35">
      <c r="A2535" s="497" t="s">
        <v>5057</v>
      </c>
      <c r="B2535" s="13" t="s">
        <v>5547</v>
      </c>
      <c r="C2535" s="13" t="s">
        <v>5404</v>
      </c>
      <c r="D2535" s="13" t="s">
        <v>4391</v>
      </c>
      <c r="E2535" s="13" t="s">
        <v>4809</v>
      </c>
      <c r="F2535" s="373">
        <v>20.18</v>
      </c>
      <c r="G2535" s="430">
        <v>20.18</v>
      </c>
      <c r="H2535" s="399">
        <f t="shared" si="1045"/>
        <v>16.14</v>
      </c>
      <c r="I2535" s="576"/>
      <c r="J2535" s="549" t="s">
        <v>5804</v>
      </c>
      <c r="K2535" s="11"/>
      <c r="L2535" s="55" t="str">
        <f t="shared" si="1046"/>
        <v/>
      </c>
      <c r="M2535" s="37">
        <f t="shared" si="1047"/>
        <v>20.18</v>
      </c>
      <c r="N2535" s="29">
        <v>9.18</v>
      </c>
      <c r="O2535" s="31"/>
      <c r="P2535" s="50"/>
      <c r="Q2535" s="50"/>
      <c r="R2535" s="42" t="s">
        <v>1017</v>
      </c>
      <c r="T2535" s="50"/>
      <c r="U2535" s="50"/>
      <c r="W2535" s="50"/>
      <c r="X2535" t="s">
        <v>1017</v>
      </c>
      <c r="Z2535" s="50"/>
      <c r="AA2535" s="38"/>
      <c r="AB2535" t="s">
        <v>1017</v>
      </c>
      <c r="AD2535" s="38"/>
    </row>
    <row r="2536" spans="1:30" x14ac:dyDescent="0.35">
      <c r="A2536" s="497" t="s">
        <v>5058</v>
      </c>
      <c r="B2536" s="13" t="s">
        <v>5547</v>
      </c>
      <c r="C2536" s="13" t="s">
        <v>5404</v>
      </c>
      <c r="D2536" s="13" t="s">
        <v>2922</v>
      </c>
      <c r="E2536" s="13" t="s">
        <v>4811</v>
      </c>
      <c r="F2536" s="373">
        <v>23.18</v>
      </c>
      <c r="G2536" s="430">
        <v>23.18</v>
      </c>
      <c r="H2536" s="399">
        <f t="shared" si="1045"/>
        <v>18.54</v>
      </c>
      <c r="I2536" s="576"/>
      <c r="J2536" s="549" t="s">
        <v>5804</v>
      </c>
      <c r="K2536" s="11"/>
      <c r="L2536" s="55" t="str">
        <f t="shared" si="1046"/>
        <v/>
      </c>
      <c r="M2536" s="37">
        <f t="shared" si="1047"/>
        <v>23.18</v>
      </c>
      <c r="N2536" s="29">
        <v>9.18</v>
      </c>
      <c r="O2536" s="31" t="s">
        <v>1017</v>
      </c>
      <c r="P2536" s="50"/>
      <c r="Q2536" s="50"/>
      <c r="R2536" s="42" t="s">
        <v>1017</v>
      </c>
      <c r="T2536" s="50"/>
      <c r="U2536" s="50"/>
      <c r="W2536" s="50"/>
      <c r="X2536" t="s">
        <v>1017</v>
      </c>
      <c r="Z2536" s="50"/>
      <c r="AA2536" s="38"/>
      <c r="AB2536" t="s">
        <v>1017</v>
      </c>
      <c r="AD2536" s="38"/>
    </row>
    <row r="2537" spans="1:30" x14ac:dyDescent="0.35">
      <c r="A2537" s="497" t="s">
        <v>5049</v>
      </c>
      <c r="B2537" s="13" t="s">
        <v>5547</v>
      </c>
      <c r="C2537" s="13" t="s">
        <v>5404</v>
      </c>
      <c r="D2537" s="13" t="s">
        <v>2120</v>
      </c>
      <c r="E2537" s="13" t="s">
        <v>4809</v>
      </c>
      <c r="F2537" s="373">
        <v>21.18</v>
      </c>
      <c r="G2537" s="430">
        <v>21.18</v>
      </c>
      <c r="H2537" s="399">
        <f t="shared" si="1045"/>
        <v>16.940000000000001</v>
      </c>
      <c r="I2537" s="576"/>
      <c r="J2537" s="549" t="s">
        <v>5804</v>
      </c>
      <c r="K2537" s="11"/>
      <c r="L2537" s="55" t="str">
        <f t="shared" si="1046"/>
        <v/>
      </c>
      <c r="M2537" s="37">
        <f t="shared" si="1047"/>
        <v>21.18</v>
      </c>
      <c r="N2537" s="29">
        <v>9.18</v>
      </c>
      <c r="O2537" s="31"/>
      <c r="P2537" s="50"/>
      <c r="Q2537" s="50"/>
      <c r="R2537" s="42"/>
      <c r="T2537" s="50"/>
      <c r="U2537" s="50"/>
      <c r="W2537" s="50"/>
      <c r="Z2537" s="50"/>
      <c r="AA2537" s="38" t="s">
        <v>1017</v>
      </c>
      <c r="AB2537" t="s">
        <v>1017</v>
      </c>
      <c r="AD2537" s="38"/>
    </row>
    <row r="2538" spans="1:30" x14ac:dyDescent="0.35">
      <c r="A2538" s="497" t="s">
        <v>5050</v>
      </c>
      <c r="B2538" s="13" t="s">
        <v>5547</v>
      </c>
      <c r="C2538" s="13" t="s">
        <v>5404</v>
      </c>
      <c r="D2538" s="13" t="s">
        <v>5564</v>
      </c>
      <c r="E2538" s="13" t="s">
        <v>4811</v>
      </c>
      <c r="F2538" s="373">
        <v>24.18</v>
      </c>
      <c r="G2538" s="430">
        <v>24.18</v>
      </c>
      <c r="H2538" s="399">
        <f t="shared" si="1045"/>
        <v>19.34</v>
      </c>
      <c r="I2538" s="576"/>
      <c r="J2538" s="549" t="s">
        <v>5804</v>
      </c>
      <c r="K2538" s="11"/>
      <c r="L2538" s="55" t="str">
        <f t="shared" si="1046"/>
        <v/>
      </c>
      <c r="M2538" s="37">
        <f t="shared" si="1047"/>
        <v>24.18</v>
      </c>
      <c r="N2538" s="29">
        <v>9.18</v>
      </c>
      <c r="O2538" s="31" t="s">
        <v>1017</v>
      </c>
      <c r="P2538" s="50"/>
      <c r="Q2538" s="50"/>
      <c r="R2538" s="42"/>
      <c r="T2538" s="50"/>
      <c r="U2538" s="50"/>
      <c r="W2538" s="50"/>
      <c r="Z2538" s="50"/>
      <c r="AA2538" s="38" t="s">
        <v>1017</v>
      </c>
      <c r="AB2538" t="s">
        <v>1017</v>
      </c>
      <c r="AD2538" s="38"/>
    </row>
    <row r="2539" spans="1:30" x14ac:dyDescent="0.35">
      <c r="A2539" s="497" t="s">
        <v>1042</v>
      </c>
      <c r="B2539" s="13" t="s">
        <v>5547</v>
      </c>
      <c r="C2539" s="13" t="s">
        <v>5404</v>
      </c>
      <c r="D2539" s="13" t="s">
        <v>2121</v>
      </c>
      <c r="E2539" s="13" t="s">
        <v>4809</v>
      </c>
      <c r="F2539" s="373">
        <v>22.18</v>
      </c>
      <c r="G2539" s="430">
        <v>22.18</v>
      </c>
      <c r="H2539" s="399">
        <f t="shared" si="1045"/>
        <v>17.739999999999998</v>
      </c>
      <c r="I2539" s="576"/>
      <c r="J2539" s="549" t="s">
        <v>5804</v>
      </c>
      <c r="K2539" s="11"/>
      <c r="L2539" s="55" t="str">
        <f t="shared" si="1046"/>
        <v/>
      </c>
      <c r="M2539" s="37">
        <f t="shared" si="1047"/>
        <v>22.18</v>
      </c>
      <c r="N2539" s="29">
        <v>9.18</v>
      </c>
      <c r="O2539" s="31"/>
      <c r="P2539" s="50"/>
      <c r="Q2539" s="50"/>
      <c r="R2539" s="42" t="s">
        <v>1017</v>
      </c>
      <c r="T2539" s="50"/>
      <c r="U2539" s="50"/>
      <c r="W2539" s="50"/>
      <c r="Z2539" s="50"/>
      <c r="AA2539" s="38" t="s">
        <v>1017</v>
      </c>
      <c r="AB2539" t="s">
        <v>1017</v>
      </c>
      <c r="AD2539" s="38"/>
    </row>
    <row r="2540" spans="1:30" x14ac:dyDescent="0.35">
      <c r="A2540" s="497" t="s">
        <v>1043</v>
      </c>
      <c r="B2540" s="13" t="s">
        <v>5547</v>
      </c>
      <c r="C2540" s="13" t="s">
        <v>5404</v>
      </c>
      <c r="D2540" s="13" t="s">
        <v>5567</v>
      </c>
      <c r="E2540" s="13" t="s">
        <v>4811</v>
      </c>
      <c r="F2540" s="373">
        <v>25.18</v>
      </c>
      <c r="G2540" s="430">
        <v>25.18</v>
      </c>
      <c r="H2540" s="399">
        <f t="shared" si="1045"/>
        <v>20.14</v>
      </c>
      <c r="I2540" s="576"/>
      <c r="J2540" s="549" t="s">
        <v>5804</v>
      </c>
      <c r="K2540" s="11"/>
      <c r="L2540" s="55" t="str">
        <f t="shared" si="1046"/>
        <v/>
      </c>
      <c r="M2540" s="37">
        <f t="shared" si="1047"/>
        <v>25.18</v>
      </c>
      <c r="N2540" s="29">
        <v>9.18</v>
      </c>
      <c r="O2540" s="31" t="s">
        <v>1017</v>
      </c>
      <c r="P2540" s="50"/>
      <c r="Q2540" s="50"/>
      <c r="R2540" s="42" t="s">
        <v>1017</v>
      </c>
      <c r="T2540" s="50"/>
      <c r="U2540" s="50"/>
      <c r="W2540" s="50"/>
      <c r="Z2540" s="50"/>
      <c r="AA2540" s="38" t="s">
        <v>1017</v>
      </c>
      <c r="AB2540" t="s">
        <v>1017</v>
      </c>
      <c r="AD2540" s="38"/>
    </row>
    <row r="2541" spans="1:30" x14ac:dyDescent="0.35">
      <c r="A2541" s="497" t="s">
        <v>3321</v>
      </c>
      <c r="B2541" s="13" t="s">
        <v>5547</v>
      </c>
      <c r="C2541" s="13" t="s">
        <v>5404</v>
      </c>
      <c r="D2541" s="13" t="s">
        <v>593</v>
      </c>
      <c r="E2541" s="13" t="s">
        <v>4809</v>
      </c>
      <c r="F2541" s="373">
        <v>10.18</v>
      </c>
      <c r="G2541" s="430">
        <v>10.18</v>
      </c>
      <c r="H2541" s="399">
        <f t="shared" si="1045"/>
        <v>8.14</v>
      </c>
      <c r="I2541" s="576"/>
      <c r="J2541" s="549" t="s">
        <v>5804</v>
      </c>
      <c r="K2541" s="11"/>
      <c r="L2541" s="55" t="str">
        <f t="shared" si="1046"/>
        <v/>
      </c>
      <c r="M2541" s="37">
        <f t="shared" si="1047"/>
        <v>10.18</v>
      </c>
      <c r="N2541" s="29">
        <v>9.18</v>
      </c>
      <c r="O2541" s="31"/>
      <c r="P2541" s="50"/>
      <c r="Q2541" s="50"/>
      <c r="R2541" s="42"/>
      <c r="T2541" s="50"/>
      <c r="U2541" s="50"/>
      <c r="W2541" s="50"/>
      <c r="Z2541" s="50"/>
      <c r="AA2541" s="38"/>
      <c r="AC2541" t="s">
        <v>1017</v>
      </c>
      <c r="AD2541" s="38"/>
    </row>
    <row r="2542" spans="1:30" x14ac:dyDescent="0.35">
      <c r="A2542" s="497" t="s">
        <v>3322</v>
      </c>
      <c r="B2542" s="13" t="s">
        <v>5547</v>
      </c>
      <c r="C2542" s="13" t="s">
        <v>5404</v>
      </c>
      <c r="D2542" s="13" t="s">
        <v>3196</v>
      </c>
      <c r="E2542" s="13" t="s">
        <v>4811</v>
      </c>
      <c r="F2542" s="373">
        <v>13.18</v>
      </c>
      <c r="G2542" s="430">
        <v>13.18</v>
      </c>
      <c r="H2542" s="399">
        <f t="shared" si="1045"/>
        <v>10.54</v>
      </c>
      <c r="I2542" s="576"/>
      <c r="J2542" s="549" t="s">
        <v>5804</v>
      </c>
      <c r="K2542" s="11"/>
      <c r="L2542" s="55" t="str">
        <f t="shared" si="1046"/>
        <v/>
      </c>
      <c r="M2542" s="37">
        <f t="shared" si="1047"/>
        <v>13.18</v>
      </c>
      <c r="N2542" s="29">
        <v>9.18</v>
      </c>
      <c r="O2542" s="31" t="s">
        <v>1017</v>
      </c>
      <c r="P2542" s="50"/>
      <c r="Q2542" s="50"/>
      <c r="R2542" s="42"/>
      <c r="T2542" s="50"/>
      <c r="U2542" s="50"/>
      <c r="W2542" s="50"/>
      <c r="Z2542" s="50"/>
      <c r="AA2542" s="38"/>
      <c r="AC2542" t="s">
        <v>1017</v>
      </c>
      <c r="AD2542" s="38"/>
    </row>
    <row r="2543" spans="1:30" x14ac:dyDescent="0.35">
      <c r="A2543" s="497" t="s">
        <v>642</v>
      </c>
      <c r="B2543" s="13" t="s">
        <v>5547</v>
      </c>
      <c r="C2543" s="13" t="s">
        <v>5404</v>
      </c>
      <c r="D2543" s="13" t="s">
        <v>644</v>
      </c>
      <c r="E2543" s="13" t="s">
        <v>4809</v>
      </c>
      <c r="F2543" s="373">
        <v>11.18</v>
      </c>
      <c r="G2543" s="430">
        <v>11.18</v>
      </c>
      <c r="H2543" s="399">
        <f t="shared" si="1045"/>
        <v>8.94</v>
      </c>
      <c r="I2543" s="576"/>
      <c r="J2543" s="549" t="s">
        <v>5804</v>
      </c>
      <c r="K2543" s="11"/>
      <c r="L2543" s="55" t="str">
        <f t="shared" si="1046"/>
        <v/>
      </c>
      <c r="M2543" s="37">
        <f t="shared" si="1047"/>
        <v>11.18</v>
      </c>
      <c r="N2543" s="29">
        <v>9.18</v>
      </c>
      <c r="O2543" s="31"/>
      <c r="P2543" s="50"/>
      <c r="Q2543" s="50"/>
      <c r="R2543" s="42" t="s">
        <v>1017</v>
      </c>
      <c r="T2543" s="50"/>
      <c r="U2543" s="50"/>
      <c r="W2543" s="50"/>
      <c r="Z2543" s="50"/>
      <c r="AA2543" s="38"/>
      <c r="AC2543" t="s">
        <v>1017</v>
      </c>
      <c r="AD2543" s="38"/>
    </row>
    <row r="2544" spans="1:30" x14ac:dyDescent="0.35">
      <c r="A2544" s="497" t="s">
        <v>643</v>
      </c>
      <c r="B2544" s="13" t="s">
        <v>5547</v>
      </c>
      <c r="C2544" s="13" t="s">
        <v>5404</v>
      </c>
      <c r="D2544" s="13" t="s">
        <v>2136</v>
      </c>
      <c r="E2544" s="13" t="s">
        <v>4811</v>
      </c>
      <c r="F2544" s="373">
        <v>14.18</v>
      </c>
      <c r="G2544" s="430">
        <v>14.18</v>
      </c>
      <c r="H2544" s="399">
        <f t="shared" si="1045"/>
        <v>11.34</v>
      </c>
      <c r="I2544" s="576"/>
      <c r="J2544" s="549" t="s">
        <v>5804</v>
      </c>
      <c r="K2544" s="11"/>
      <c r="L2544" s="55" t="str">
        <f t="shared" si="1046"/>
        <v/>
      </c>
      <c r="M2544" s="37">
        <f t="shared" si="1047"/>
        <v>14.18</v>
      </c>
      <c r="N2544" s="29">
        <v>9.18</v>
      </c>
      <c r="O2544" s="31" t="s">
        <v>1017</v>
      </c>
      <c r="P2544" s="50"/>
      <c r="Q2544" s="50"/>
      <c r="R2544" s="42" t="s">
        <v>1017</v>
      </c>
      <c r="T2544" s="50"/>
      <c r="U2544" s="50"/>
      <c r="W2544" s="50"/>
      <c r="Z2544" s="50"/>
      <c r="AA2544" s="38"/>
      <c r="AC2544" t="s">
        <v>1017</v>
      </c>
      <c r="AD2544" s="38"/>
    </row>
    <row r="2545" spans="1:30" x14ac:dyDescent="0.35">
      <c r="A2545" s="497" t="s">
        <v>1046</v>
      </c>
      <c r="B2545" s="13" t="s">
        <v>5547</v>
      </c>
      <c r="C2545" s="13" t="s">
        <v>5404</v>
      </c>
      <c r="D2545" s="13" t="s">
        <v>3292</v>
      </c>
      <c r="E2545" s="13" t="s">
        <v>4809</v>
      </c>
      <c r="F2545" s="373">
        <v>16.18</v>
      </c>
      <c r="G2545" s="430">
        <v>16.18</v>
      </c>
      <c r="H2545" s="399">
        <f t="shared" si="1045"/>
        <v>12.94</v>
      </c>
      <c r="I2545" s="576"/>
      <c r="J2545" s="549" t="s">
        <v>5804</v>
      </c>
      <c r="K2545" s="11"/>
      <c r="L2545" s="55" t="str">
        <f t="shared" si="1046"/>
        <v/>
      </c>
      <c r="M2545" s="37">
        <f t="shared" si="1047"/>
        <v>16.18</v>
      </c>
      <c r="N2545" s="29">
        <v>9.18</v>
      </c>
      <c r="O2545" s="31"/>
      <c r="P2545" s="50"/>
      <c r="Q2545" s="50"/>
      <c r="R2545" s="42"/>
      <c r="S2545" t="s">
        <v>1017</v>
      </c>
      <c r="T2545" s="50"/>
      <c r="U2545" s="50"/>
      <c r="W2545" s="50"/>
      <c r="Z2545" s="50"/>
      <c r="AA2545" s="38"/>
      <c r="AC2545" t="s">
        <v>1017</v>
      </c>
      <c r="AD2545" s="38"/>
    </row>
    <row r="2546" spans="1:30" x14ac:dyDescent="0.35">
      <c r="A2546" s="497" t="s">
        <v>1047</v>
      </c>
      <c r="B2546" s="13" t="s">
        <v>5547</v>
      </c>
      <c r="C2546" s="13" t="s">
        <v>5404</v>
      </c>
      <c r="D2546" s="13" t="s">
        <v>5568</v>
      </c>
      <c r="E2546" s="13" t="s">
        <v>4811</v>
      </c>
      <c r="F2546" s="373">
        <v>19.18</v>
      </c>
      <c r="G2546" s="430">
        <v>19.18</v>
      </c>
      <c r="H2546" s="399">
        <f t="shared" si="1045"/>
        <v>15.34</v>
      </c>
      <c r="I2546" s="576"/>
      <c r="J2546" s="549" t="s">
        <v>5804</v>
      </c>
      <c r="K2546" s="11"/>
      <c r="L2546" s="55" t="str">
        <f t="shared" si="1046"/>
        <v/>
      </c>
      <c r="M2546" s="37">
        <f t="shared" si="1047"/>
        <v>19.18</v>
      </c>
      <c r="N2546" s="29">
        <v>9.18</v>
      </c>
      <c r="O2546" s="31" t="s">
        <v>1017</v>
      </c>
      <c r="P2546" s="50"/>
      <c r="Q2546" s="50"/>
      <c r="R2546" s="42"/>
      <c r="S2546" t="s">
        <v>1017</v>
      </c>
      <c r="T2546" s="50"/>
      <c r="U2546" s="50"/>
      <c r="W2546" s="50"/>
      <c r="Z2546" s="50"/>
      <c r="AA2546" s="38"/>
      <c r="AC2546" t="s">
        <v>1017</v>
      </c>
      <c r="AD2546" s="38"/>
    </row>
    <row r="2547" spans="1:30" x14ac:dyDescent="0.35">
      <c r="A2547" s="497" t="s">
        <v>578</v>
      </c>
      <c r="B2547" s="13" t="s">
        <v>5547</v>
      </c>
      <c r="C2547" s="13" t="s">
        <v>5404</v>
      </c>
      <c r="D2547" s="13" t="s">
        <v>2116</v>
      </c>
      <c r="E2547" s="13" t="s">
        <v>4809</v>
      </c>
      <c r="F2547" s="373">
        <v>17.18</v>
      </c>
      <c r="G2547" s="430">
        <v>17.18</v>
      </c>
      <c r="H2547" s="399">
        <f t="shared" si="1045"/>
        <v>13.74</v>
      </c>
      <c r="I2547" s="576"/>
      <c r="J2547" s="549" t="s">
        <v>5804</v>
      </c>
      <c r="K2547" s="11"/>
      <c r="L2547" s="55" t="str">
        <f t="shared" si="1046"/>
        <v/>
      </c>
      <c r="M2547" s="37">
        <f t="shared" si="1047"/>
        <v>17.18</v>
      </c>
      <c r="N2547" s="29">
        <v>9.18</v>
      </c>
      <c r="O2547" s="31"/>
      <c r="P2547" s="50"/>
      <c r="Q2547" s="50"/>
      <c r="R2547" s="42" t="s">
        <v>1017</v>
      </c>
      <c r="S2547" t="s">
        <v>1017</v>
      </c>
      <c r="T2547" s="50"/>
      <c r="U2547" s="50"/>
      <c r="W2547" s="50"/>
      <c r="Z2547" s="50"/>
      <c r="AA2547" s="38"/>
      <c r="AC2547" t="s">
        <v>1017</v>
      </c>
      <c r="AD2547" s="38"/>
    </row>
    <row r="2548" spans="1:30" x14ac:dyDescent="0.35">
      <c r="A2548" s="497" t="s">
        <v>579</v>
      </c>
      <c r="B2548" s="13" t="s">
        <v>5547</v>
      </c>
      <c r="C2548" s="13" t="s">
        <v>5404</v>
      </c>
      <c r="D2548" s="13" t="s">
        <v>2117</v>
      </c>
      <c r="E2548" s="13" t="s">
        <v>4811</v>
      </c>
      <c r="F2548" s="373">
        <v>20.18</v>
      </c>
      <c r="G2548" s="430">
        <v>20.18</v>
      </c>
      <c r="H2548" s="399">
        <f t="shared" si="1045"/>
        <v>16.14</v>
      </c>
      <c r="I2548" s="576"/>
      <c r="J2548" s="549" t="s">
        <v>5804</v>
      </c>
      <c r="K2548" s="11"/>
      <c r="L2548" s="55" t="str">
        <f t="shared" si="1046"/>
        <v/>
      </c>
      <c r="M2548" s="37">
        <f t="shared" si="1047"/>
        <v>20.18</v>
      </c>
      <c r="N2548" s="29">
        <v>9.18</v>
      </c>
      <c r="O2548" s="31" t="s">
        <v>1017</v>
      </c>
      <c r="P2548" s="50"/>
      <c r="Q2548" s="50"/>
      <c r="R2548" s="42" t="s">
        <v>1017</v>
      </c>
      <c r="S2548" t="s">
        <v>1017</v>
      </c>
      <c r="T2548" s="50"/>
      <c r="U2548" s="50"/>
      <c r="W2548" s="50"/>
      <c r="Z2548" s="50"/>
      <c r="AA2548" s="38"/>
      <c r="AC2548" t="s">
        <v>1017</v>
      </c>
      <c r="AD2548" s="38"/>
    </row>
    <row r="2549" spans="1:30" x14ac:dyDescent="0.35">
      <c r="A2549" s="497" t="s">
        <v>4530</v>
      </c>
      <c r="B2549" s="13" t="s">
        <v>5547</v>
      </c>
      <c r="C2549" s="13" t="s">
        <v>5404</v>
      </c>
      <c r="D2549" s="13" t="s">
        <v>848</v>
      </c>
      <c r="E2549" s="13" t="s">
        <v>4809</v>
      </c>
      <c r="F2549" s="373">
        <v>17.18</v>
      </c>
      <c r="G2549" s="430">
        <v>17.18</v>
      </c>
      <c r="H2549" s="399">
        <f t="shared" si="1045"/>
        <v>13.74</v>
      </c>
      <c r="I2549" s="576"/>
      <c r="J2549" s="549" t="s">
        <v>5804</v>
      </c>
      <c r="K2549" s="11"/>
      <c r="L2549" s="55" t="str">
        <f t="shared" si="1046"/>
        <v/>
      </c>
      <c r="M2549" s="37">
        <f t="shared" si="1047"/>
        <v>17.18</v>
      </c>
      <c r="N2549" s="29">
        <v>9.18</v>
      </c>
      <c r="O2549" s="31"/>
      <c r="P2549" s="50"/>
      <c r="Q2549" s="50"/>
      <c r="R2549" s="42"/>
      <c r="T2549" s="50"/>
      <c r="U2549" s="50"/>
      <c r="V2549" t="s">
        <v>1017</v>
      </c>
      <c r="W2549" s="50"/>
      <c r="Z2549" s="50"/>
      <c r="AA2549" s="38"/>
      <c r="AC2549" t="s">
        <v>1017</v>
      </c>
      <c r="AD2549" s="38"/>
    </row>
    <row r="2550" spans="1:30" x14ac:dyDescent="0.35">
      <c r="A2550" s="497" t="s">
        <v>4531</v>
      </c>
      <c r="B2550" s="13" t="s">
        <v>5547</v>
      </c>
      <c r="C2550" s="13" t="s">
        <v>5404</v>
      </c>
      <c r="D2550" s="13" t="s">
        <v>2647</v>
      </c>
      <c r="E2550" s="13" t="s">
        <v>4811</v>
      </c>
      <c r="F2550" s="373">
        <v>20.18</v>
      </c>
      <c r="G2550" s="430">
        <v>20.18</v>
      </c>
      <c r="H2550" s="399">
        <f t="shared" si="1045"/>
        <v>16.14</v>
      </c>
      <c r="I2550" s="576"/>
      <c r="J2550" s="549" t="s">
        <v>5804</v>
      </c>
      <c r="K2550" s="11"/>
      <c r="L2550" s="55" t="str">
        <f t="shared" si="1046"/>
        <v/>
      </c>
      <c r="M2550" s="37">
        <f t="shared" si="1047"/>
        <v>20.18</v>
      </c>
      <c r="N2550" s="29">
        <v>9.18</v>
      </c>
      <c r="O2550" s="31" t="s">
        <v>1017</v>
      </c>
      <c r="P2550" s="50"/>
      <c r="Q2550" s="50"/>
      <c r="R2550" s="42"/>
      <c r="T2550" s="50"/>
      <c r="U2550" s="50"/>
      <c r="V2550" t="s">
        <v>1017</v>
      </c>
      <c r="W2550" s="50"/>
      <c r="Z2550" s="50"/>
      <c r="AA2550" s="38"/>
      <c r="AC2550" t="s">
        <v>1017</v>
      </c>
      <c r="AD2550" s="38"/>
    </row>
    <row r="2551" spans="1:30" x14ac:dyDescent="0.35">
      <c r="A2551" s="497" t="s">
        <v>4990</v>
      </c>
      <c r="B2551" s="13" t="s">
        <v>5547</v>
      </c>
      <c r="C2551" s="13" t="s">
        <v>5404</v>
      </c>
      <c r="D2551" s="13" t="s">
        <v>849</v>
      </c>
      <c r="E2551" s="13" t="s">
        <v>4809</v>
      </c>
      <c r="F2551" s="373">
        <v>18.18</v>
      </c>
      <c r="G2551" s="430">
        <v>18.18</v>
      </c>
      <c r="H2551" s="399">
        <f t="shared" si="1045"/>
        <v>14.54</v>
      </c>
      <c r="I2551" s="576"/>
      <c r="J2551" s="549" t="s">
        <v>5804</v>
      </c>
      <c r="K2551" s="11"/>
      <c r="L2551" s="55" t="str">
        <f t="shared" si="1046"/>
        <v/>
      </c>
      <c r="M2551" s="37">
        <f t="shared" si="1047"/>
        <v>18.18</v>
      </c>
      <c r="N2551" s="29">
        <v>9.18</v>
      </c>
      <c r="O2551" s="31"/>
      <c r="P2551" s="50"/>
      <c r="Q2551" s="50"/>
      <c r="R2551" s="42" t="s">
        <v>1017</v>
      </c>
      <c r="T2551" s="50"/>
      <c r="U2551" s="50"/>
      <c r="V2551" t="s">
        <v>1017</v>
      </c>
      <c r="W2551" s="50"/>
      <c r="Z2551" s="50"/>
      <c r="AA2551" s="38"/>
      <c r="AC2551" t="s">
        <v>1017</v>
      </c>
      <c r="AD2551" s="38"/>
    </row>
    <row r="2552" spans="1:30" x14ac:dyDescent="0.35">
      <c r="A2552" s="497" t="s">
        <v>4991</v>
      </c>
      <c r="B2552" s="13" t="s">
        <v>5547</v>
      </c>
      <c r="C2552" s="13" t="s">
        <v>5404</v>
      </c>
      <c r="D2552" s="13" t="s">
        <v>2650</v>
      </c>
      <c r="E2552" s="13" t="s">
        <v>4811</v>
      </c>
      <c r="F2552" s="373">
        <v>21.18</v>
      </c>
      <c r="G2552" s="430">
        <v>21.18</v>
      </c>
      <c r="H2552" s="399">
        <f t="shared" si="1045"/>
        <v>16.940000000000001</v>
      </c>
      <c r="I2552" s="576"/>
      <c r="J2552" s="549" t="s">
        <v>5804</v>
      </c>
      <c r="K2552" s="11"/>
      <c r="L2552" s="55" t="str">
        <f t="shared" si="1046"/>
        <v/>
      </c>
      <c r="M2552" s="37">
        <f t="shared" si="1047"/>
        <v>21.18</v>
      </c>
      <c r="N2552" s="29">
        <v>9.18</v>
      </c>
      <c r="O2552" s="31" t="s">
        <v>1017</v>
      </c>
      <c r="P2552" s="50"/>
      <c r="Q2552" s="50"/>
      <c r="R2552" s="42" t="s">
        <v>1017</v>
      </c>
      <c r="T2552" s="50"/>
      <c r="U2552" s="50"/>
      <c r="V2552" t="s">
        <v>1017</v>
      </c>
      <c r="W2552" s="50"/>
      <c r="Z2552" s="50"/>
      <c r="AA2552" s="38"/>
      <c r="AC2552" t="s">
        <v>1017</v>
      </c>
      <c r="AD2552" s="38"/>
    </row>
    <row r="2553" spans="1:30" x14ac:dyDescent="0.35">
      <c r="A2553" s="497" t="s">
        <v>4982</v>
      </c>
      <c r="B2553" s="13" t="s">
        <v>5547</v>
      </c>
      <c r="C2553" s="13" t="s">
        <v>5404</v>
      </c>
      <c r="D2553" s="13" t="s">
        <v>787</v>
      </c>
      <c r="E2553" s="13" t="s">
        <v>4809</v>
      </c>
      <c r="F2553" s="373">
        <v>19.18</v>
      </c>
      <c r="G2553" s="430">
        <v>19.18</v>
      </c>
      <c r="H2553" s="399">
        <f t="shared" si="1045"/>
        <v>15.34</v>
      </c>
      <c r="I2553" s="576"/>
      <c r="J2553" s="549" t="s">
        <v>5804</v>
      </c>
      <c r="K2553" s="11"/>
      <c r="L2553" s="55" t="str">
        <f t="shared" si="1046"/>
        <v/>
      </c>
      <c r="M2553" s="37">
        <f t="shared" si="1047"/>
        <v>19.18</v>
      </c>
      <c r="N2553" s="29">
        <v>9.18</v>
      </c>
      <c r="O2553" s="31"/>
      <c r="P2553" s="50"/>
      <c r="Q2553" s="50"/>
      <c r="R2553" s="42"/>
      <c r="T2553" s="50"/>
      <c r="U2553" s="50"/>
      <c r="W2553" s="50"/>
      <c r="Y2553" t="s">
        <v>1017</v>
      </c>
      <c r="Z2553" s="50"/>
      <c r="AA2553" s="38"/>
      <c r="AC2553" t="s">
        <v>1017</v>
      </c>
      <c r="AD2553" s="38"/>
    </row>
    <row r="2554" spans="1:30" x14ac:dyDescent="0.35">
      <c r="A2554" s="497" t="s">
        <v>4983</v>
      </c>
      <c r="B2554" s="13" t="s">
        <v>5547</v>
      </c>
      <c r="C2554" s="13" t="s">
        <v>5404</v>
      </c>
      <c r="D2554" s="13" t="s">
        <v>2648</v>
      </c>
      <c r="E2554" s="13" t="s">
        <v>4811</v>
      </c>
      <c r="F2554" s="373">
        <v>22.18</v>
      </c>
      <c r="G2554" s="430">
        <v>22.18</v>
      </c>
      <c r="H2554" s="399">
        <f t="shared" si="1045"/>
        <v>17.739999999999998</v>
      </c>
      <c r="I2554" s="576"/>
      <c r="J2554" s="549" t="s">
        <v>5804</v>
      </c>
      <c r="K2554" s="11"/>
      <c r="L2554" s="55" t="str">
        <f t="shared" si="1046"/>
        <v/>
      </c>
      <c r="M2554" s="37">
        <f t="shared" si="1047"/>
        <v>22.18</v>
      </c>
      <c r="N2554" s="29">
        <v>9.18</v>
      </c>
      <c r="O2554" s="31" t="s">
        <v>1017</v>
      </c>
      <c r="P2554" s="50"/>
      <c r="Q2554" s="50"/>
      <c r="R2554" s="42"/>
      <c r="T2554" s="50"/>
      <c r="U2554" s="50"/>
      <c r="W2554" s="50"/>
      <c r="Y2554" t="s">
        <v>1017</v>
      </c>
      <c r="Z2554" s="50"/>
      <c r="AA2554" s="38"/>
      <c r="AC2554" t="s">
        <v>1017</v>
      </c>
      <c r="AD2554" s="38"/>
    </row>
    <row r="2555" spans="1:30" x14ac:dyDescent="0.35">
      <c r="A2555" s="497" t="s">
        <v>4998</v>
      </c>
      <c r="B2555" s="13" t="s">
        <v>5547</v>
      </c>
      <c r="C2555" s="13" t="s">
        <v>5404</v>
      </c>
      <c r="D2555" s="13" t="s">
        <v>788</v>
      </c>
      <c r="E2555" s="13" t="s">
        <v>4809</v>
      </c>
      <c r="F2555" s="373">
        <v>20.18</v>
      </c>
      <c r="G2555" s="430">
        <v>20.18</v>
      </c>
      <c r="H2555" s="399">
        <f t="shared" si="1045"/>
        <v>16.14</v>
      </c>
      <c r="I2555" s="576"/>
      <c r="J2555" s="549" t="s">
        <v>5804</v>
      </c>
      <c r="K2555" s="11"/>
      <c r="L2555" s="55" t="str">
        <f t="shared" si="1046"/>
        <v/>
      </c>
      <c r="M2555" s="37">
        <f t="shared" si="1047"/>
        <v>20.18</v>
      </c>
      <c r="N2555" s="29">
        <v>9.18</v>
      </c>
      <c r="O2555" s="31"/>
      <c r="P2555" s="50"/>
      <c r="Q2555" s="50"/>
      <c r="R2555" s="42" t="s">
        <v>1017</v>
      </c>
      <c r="T2555" s="50"/>
      <c r="U2555" s="50"/>
      <c r="W2555" s="50"/>
      <c r="Y2555" t="s">
        <v>1017</v>
      </c>
      <c r="Z2555" s="50"/>
      <c r="AA2555" s="38"/>
      <c r="AC2555" t="s">
        <v>1017</v>
      </c>
      <c r="AD2555" s="38"/>
    </row>
    <row r="2556" spans="1:30" x14ac:dyDescent="0.35">
      <c r="A2556" s="497" t="s">
        <v>4999</v>
      </c>
      <c r="B2556" s="13" t="s">
        <v>5547</v>
      </c>
      <c r="C2556" s="13" t="s">
        <v>5404</v>
      </c>
      <c r="D2556" s="13" t="s">
        <v>2651</v>
      </c>
      <c r="E2556" s="13" t="s">
        <v>4811</v>
      </c>
      <c r="F2556" s="373">
        <v>23.18</v>
      </c>
      <c r="G2556" s="430">
        <v>23.18</v>
      </c>
      <c r="H2556" s="399">
        <f t="shared" si="1045"/>
        <v>18.54</v>
      </c>
      <c r="I2556" s="576"/>
      <c r="J2556" s="549" t="s">
        <v>5804</v>
      </c>
      <c r="K2556" s="11"/>
      <c r="L2556" s="55" t="str">
        <f t="shared" si="1046"/>
        <v/>
      </c>
      <c r="M2556" s="37">
        <f t="shared" si="1047"/>
        <v>23.18</v>
      </c>
      <c r="N2556" s="29">
        <v>9.18</v>
      </c>
      <c r="O2556" s="31" t="s">
        <v>1017</v>
      </c>
      <c r="P2556" s="50"/>
      <c r="Q2556" s="50"/>
      <c r="R2556" s="42" t="s">
        <v>1017</v>
      </c>
      <c r="T2556" s="50"/>
      <c r="U2556" s="50"/>
      <c r="W2556" s="50"/>
      <c r="Y2556" t="s">
        <v>1017</v>
      </c>
      <c r="Z2556" s="50"/>
      <c r="AA2556" s="38"/>
      <c r="AC2556" t="s">
        <v>1017</v>
      </c>
      <c r="AD2556" s="38"/>
    </row>
    <row r="2557" spans="1:30" x14ac:dyDescent="0.35">
      <c r="A2557" s="497" t="s">
        <v>4978</v>
      </c>
      <c r="B2557" s="13" t="s">
        <v>5547</v>
      </c>
      <c r="C2557" s="13" t="s">
        <v>5404</v>
      </c>
      <c r="D2557" s="13" t="s">
        <v>4392</v>
      </c>
      <c r="E2557" s="13" t="s">
        <v>4809</v>
      </c>
      <c r="F2557" s="373">
        <v>18.18</v>
      </c>
      <c r="G2557" s="430">
        <v>18.18</v>
      </c>
      <c r="H2557" s="399">
        <f t="shared" si="1045"/>
        <v>14.54</v>
      </c>
      <c r="I2557" s="576"/>
      <c r="J2557" s="549" t="s">
        <v>5804</v>
      </c>
      <c r="K2557" s="11"/>
      <c r="L2557" s="55" t="str">
        <f t="shared" si="1046"/>
        <v/>
      </c>
      <c r="M2557" s="37">
        <f t="shared" si="1047"/>
        <v>18.18</v>
      </c>
      <c r="N2557" s="29">
        <v>9.18</v>
      </c>
      <c r="O2557" s="31"/>
      <c r="P2557" s="50"/>
      <c r="Q2557" s="50"/>
      <c r="R2557" s="42"/>
      <c r="T2557" s="50"/>
      <c r="U2557" s="50"/>
      <c r="W2557" s="50"/>
      <c r="X2557" t="s">
        <v>1017</v>
      </c>
      <c r="Z2557" s="50"/>
      <c r="AA2557" s="38"/>
      <c r="AC2557" t="s">
        <v>1017</v>
      </c>
      <c r="AD2557" s="38"/>
    </row>
    <row r="2558" spans="1:30" x14ac:dyDescent="0.35">
      <c r="A2558" s="497" t="s">
        <v>4979</v>
      </c>
      <c r="B2558" s="13" t="s">
        <v>5547</v>
      </c>
      <c r="C2558" s="13" t="s">
        <v>5404</v>
      </c>
      <c r="D2558" s="13" t="s">
        <v>5570</v>
      </c>
      <c r="E2558" s="13" t="s">
        <v>4811</v>
      </c>
      <c r="F2558" s="373">
        <v>21.18</v>
      </c>
      <c r="G2558" s="430">
        <v>21.18</v>
      </c>
      <c r="H2558" s="399">
        <f t="shared" si="1045"/>
        <v>16.940000000000001</v>
      </c>
      <c r="I2558" s="576"/>
      <c r="J2558" s="549" t="s">
        <v>5804</v>
      </c>
      <c r="K2558" s="11"/>
      <c r="L2558" s="55" t="str">
        <f t="shared" si="1046"/>
        <v/>
      </c>
      <c r="M2558" s="37">
        <f t="shared" si="1047"/>
        <v>21.18</v>
      </c>
      <c r="N2558" s="29">
        <v>9.18</v>
      </c>
      <c r="O2558" s="31" t="s">
        <v>1017</v>
      </c>
      <c r="P2558" s="50"/>
      <c r="Q2558" s="50"/>
      <c r="R2558" s="42"/>
      <c r="T2558" s="50"/>
      <c r="U2558" s="50"/>
      <c r="W2558" s="50"/>
      <c r="X2558" t="s">
        <v>1017</v>
      </c>
      <c r="Z2558" s="50"/>
      <c r="AA2558" s="38"/>
      <c r="AC2558" t="s">
        <v>1017</v>
      </c>
      <c r="AD2558" s="38"/>
    </row>
    <row r="2559" spans="1:30" x14ac:dyDescent="0.35">
      <c r="A2559" s="497" t="s">
        <v>4994</v>
      </c>
      <c r="B2559" s="13" t="s">
        <v>5547</v>
      </c>
      <c r="C2559" s="13" t="s">
        <v>5404</v>
      </c>
      <c r="D2559" s="17" t="s">
        <v>675</v>
      </c>
      <c r="E2559" s="13" t="s">
        <v>4809</v>
      </c>
      <c r="F2559" s="373">
        <v>19.18</v>
      </c>
      <c r="G2559" s="430">
        <v>19.18</v>
      </c>
      <c r="H2559" s="399">
        <f t="shared" si="1045"/>
        <v>15.34</v>
      </c>
      <c r="I2559" s="576"/>
      <c r="J2559" s="549" t="s">
        <v>5804</v>
      </c>
      <c r="K2559" s="11"/>
      <c r="L2559" s="55" t="str">
        <f t="shared" si="1046"/>
        <v/>
      </c>
      <c r="M2559" s="37">
        <f t="shared" si="1047"/>
        <v>19.18</v>
      </c>
      <c r="N2559" s="29">
        <v>9.18</v>
      </c>
      <c r="O2559" s="31"/>
      <c r="P2559" s="50"/>
      <c r="Q2559" s="50"/>
      <c r="R2559" s="42" t="s">
        <v>1017</v>
      </c>
      <c r="T2559" s="50"/>
      <c r="U2559" s="50"/>
      <c r="W2559" s="50"/>
      <c r="X2559" t="s">
        <v>1017</v>
      </c>
      <c r="Z2559" s="50"/>
      <c r="AA2559" s="38"/>
      <c r="AC2559" t="s">
        <v>1017</v>
      </c>
      <c r="AD2559" s="38"/>
    </row>
    <row r="2560" spans="1:30" x14ac:dyDescent="0.35">
      <c r="A2560" s="497" t="s">
        <v>4995</v>
      </c>
      <c r="B2560" s="13" t="s">
        <v>5547</v>
      </c>
      <c r="C2560" s="13" t="s">
        <v>5404</v>
      </c>
      <c r="D2560" s="17" t="s">
        <v>676</v>
      </c>
      <c r="E2560" s="13" t="s">
        <v>4811</v>
      </c>
      <c r="F2560" s="373">
        <v>22.18</v>
      </c>
      <c r="G2560" s="430">
        <v>22.18</v>
      </c>
      <c r="H2560" s="399">
        <f t="shared" si="1045"/>
        <v>17.739999999999998</v>
      </c>
      <c r="I2560" s="576"/>
      <c r="J2560" s="549" t="s">
        <v>5804</v>
      </c>
      <c r="K2560" s="11"/>
      <c r="L2560" s="55" t="str">
        <f t="shared" si="1046"/>
        <v/>
      </c>
      <c r="M2560" s="37">
        <f t="shared" si="1047"/>
        <v>22.18</v>
      </c>
      <c r="N2560" s="29">
        <v>9.18</v>
      </c>
      <c r="O2560" s="31" t="s">
        <v>1017</v>
      </c>
      <c r="P2560" s="50"/>
      <c r="Q2560" s="50"/>
      <c r="R2560" s="42" t="s">
        <v>1017</v>
      </c>
      <c r="T2560" s="50"/>
      <c r="U2560" s="50"/>
      <c r="W2560" s="50"/>
      <c r="X2560" t="s">
        <v>1017</v>
      </c>
      <c r="Z2560" s="50"/>
      <c r="AA2560" s="38"/>
      <c r="AC2560" t="s">
        <v>1017</v>
      </c>
      <c r="AD2560" s="38"/>
    </row>
    <row r="2561" spans="1:30" x14ac:dyDescent="0.35">
      <c r="A2561" s="497" t="s">
        <v>4986</v>
      </c>
      <c r="B2561" s="13" t="s">
        <v>5547</v>
      </c>
      <c r="C2561" s="13" t="s">
        <v>5404</v>
      </c>
      <c r="D2561" s="13" t="s">
        <v>2122</v>
      </c>
      <c r="E2561" s="13" t="s">
        <v>4809</v>
      </c>
      <c r="F2561" s="373">
        <v>20.18</v>
      </c>
      <c r="G2561" s="430">
        <v>20.18</v>
      </c>
      <c r="H2561" s="399">
        <f t="shared" si="1045"/>
        <v>16.14</v>
      </c>
      <c r="I2561" s="576"/>
      <c r="J2561" s="549" t="s">
        <v>5804</v>
      </c>
      <c r="K2561" s="11"/>
      <c r="L2561" s="55" t="str">
        <f t="shared" si="1046"/>
        <v/>
      </c>
      <c r="M2561" s="37">
        <f t="shared" si="1047"/>
        <v>20.18</v>
      </c>
      <c r="N2561" s="29">
        <v>9.18</v>
      </c>
      <c r="O2561" s="31"/>
      <c r="P2561" s="50"/>
      <c r="Q2561" s="50"/>
      <c r="R2561" s="42"/>
      <c r="T2561" s="50"/>
      <c r="U2561" s="50"/>
      <c r="W2561" s="50"/>
      <c r="Z2561" s="50"/>
      <c r="AA2561" s="38" t="s">
        <v>1017</v>
      </c>
      <c r="AC2561" t="s">
        <v>1017</v>
      </c>
      <c r="AD2561" s="38"/>
    </row>
    <row r="2562" spans="1:30" x14ac:dyDescent="0.35">
      <c r="A2562" s="497" t="s">
        <v>4987</v>
      </c>
      <c r="B2562" s="13" t="s">
        <v>5547</v>
      </c>
      <c r="C2562" s="13" t="s">
        <v>5404</v>
      </c>
      <c r="D2562" s="13" t="s">
        <v>2649</v>
      </c>
      <c r="E2562" s="13" t="s">
        <v>4811</v>
      </c>
      <c r="F2562" s="373">
        <v>23.18</v>
      </c>
      <c r="G2562" s="430">
        <v>23.18</v>
      </c>
      <c r="H2562" s="399">
        <f t="shared" si="1045"/>
        <v>18.54</v>
      </c>
      <c r="I2562" s="576"/>
      <c r="J2562" s="549" t="s">
        <v>5804</v>
      </c>
      <c r="K2562" s="11"/>
      <c r="L2562" s="55" t="str">
        <f t="shared" si="1046"/>
        <v/>
      </c>
      <c r="M2562" s="37">
        <f t="shared" si="1047"/>
        <v>23.18</v>
      </c>
      <c r="N2562" s="29">
        <v>9.18</v>
      </c>
      <c r="O2562" s="31" t="s">
        <v>1017</v>
      </c>
      <c r="P2562" s="50"/>
      <c r="Q2562" s="50"/>
      <c r="R2562" s="42"/>
      <c r="T2562" s="50"/>
      <c r="U2562" s="50"/>
      <c r="W2562" s="50"/>
      <c r="Z2562" s="50"/>
      <c r="AA2562" s="38" t="s">
        <v>1017</v>
      </c>
      <c r="AC2562" t="s">
        <v>1017</v>
      </c>
      <c r="AD2562" s="38"/>
    </row>
    <row r="2563" spans="1:30" x14ac:dyDescent="0.35">
      <c r="A2563" s="497" t="s">
        <v>5002</v>
      </c>
      <c r="B2563" s="13" t="s">
        <v>5547</v>
      </c>
      <c r="C2563" s="13" t="s">
        <v>5404</v>
      </c>
      <c r="D2563" s="13" t="s">
        <v>2123</v>
      </c>
      <c r="E2563" s="13" t="s">
        <v>4809</v>
      </c>
      <c r="F2563" s="373">
        <v>21.18</v>
      </c>
      <c r="G2563" s="430">
        <v>21.18</v>
      </c>
      <c r="H2563" s="399">
        <f t="shared" si="1045"/>
        <v>16.940000000000001</v>
      </c>
      <c r="I2563" s="576"/>
      <c r="J2563" s="549" t="s">
        <v>5804</v>
      </c>
      <c r="K2563" s="11"/>
      <c r="L2563" s="55" t="str">
        <f t="shared" si="1046"/>
        <v/>
      </c>
      <c r="M2563" s="37">
        <f t="shared" si="1047"/>
        <v>21.18</v>
      </c>
      <c r="N2563" s="29">
        <v>9.18</v>
      </c>
      <c r="O2563" s="31"/>
      <c r="P2563" s="50"/>
      <c r="Q2563" s="50"/>
      <c r="R2563" s="42" t="s">
        <v>1017</v>
      </c>
      <c r="T2563" s="50"/>
      <c r="U2563" s="50"/>
      <c r="W2563" s="50"/>
      <c r="Z2563" s="50"/>
      <c r="AA2563" s="38" t="s">
        <v>1017</v>
      </c>
      <c r="AC2563" t="s">
        <v>1017</v>
      </c>
      <c r="AD2563" s="38"/>
    </row>
    <row r="2564" spans="1:30" x14ac:dyDescent="0.35">
      <c r="A2564" s="497" t="s">
        <v>5003</v>
      </c>
      <c r="B2564" s="13" t="s">
        <v>5547</v>
      </c>
      <c r="C2564" s="13" t="s">
        <v>5404</v>
      </c>
      <c r="D2564" s="13" t="s">
        <v>2652</v>
      </c>
      <c r="E2564" s="13" t="s">
        <v>4811</v>
      </c>
      <c r="F2564" s="373">
        <v>24.18</v>
      </c>
      <c r="G2564" s="430">
        <v>24.18</v>
      </c>
      <c r="H2564" s="399">
        <f t="shared" si="1045"/>
        <v>19.34</v>
      </c>
      <c r="I2564" s="576"/>
      <c r="J2564" s="549" t="s">
        <v>5804</v>
      </c>
      <c r="K2564" s="11"/>
      <c r="L2564" s="55" t="str">
        <f t="shared" si="1046"/>
        <v/>
      </c>
      <c r="M2564" s="37">
        <f t="shared" si="1047"/>
        <v>24.18</v>
      </c>
      <c r="N2564" s="29">
        <v>9.18</v>
      </c>
      <c r="O2564" s="31" t="s">
        <v>1017</v>
      </c>
      <c r="P2564" s="50"/>
      <c r="Q2564" s="50"/>
      <c r="R2564" s="42" t="s">
        <v>1017</v>
      </c>
      <c r="T2564" s="50"/>
      <c r="U2564" s="50"/>
      <c r="W2564" s="50"/>
      <c r="Z2564" s="50"/>
      <c r="AA2564" s="38" t="s">
        <v>1017</v>
      </c>
      <c r="AC2564" t="s">
        <v>1017</v>
      </c>
      <c r="AD2564" s="38"/>
    </row>
    <row r="2565" spans="1:30" x14ac:dyDescent="0.35">
      <c r="A2565" s="497" t="s">
        <v>708</v>
      </c>
      <c r="B2565" s="13" t="s">
        <v>5547</v>
      </c>
      <c r="C2565" s="13" t="s">
        <v>5404</v>
      </c>
      <c r="D2565" s="13" t="s">
        <v>595</v>
      </c>
      <c r="E2565" s="13" t="s">
        <v>4809</v>
      </c>
      <c r="F2565" s="373">
        <v>11.18</v>
      </c>
      <c r="G2565" s="430">
        <v>11.18</v>
      </c>
      <c r="H2565" s="399">
        <f t="shared" si="1045"/>
        <v>8.94</v>
      </c>
      <c r="I2565" s="576"/>
      <c r="J2565" s="549" t="s">
        <v>5804</v>
      </c>
      <c r="K2565" s="11"/>
      <c r="L2565" s="55" t="str">
        <f t="shared" si="1046"/>
        <v/>
      </c>
      <c r="M2565" s="37">
        <f t="shared" si="1047"/>
        <v>11.18</v>
      </c>
      <c r="N2565" s="29">
        <v>9.18</v>
      </c>
      <c r="O2565" s="31"/>
      <c r="P2565" s="50"/>
      <c r="Q2565" s="50"/>
      <c r="R2565" s="42"/>
      <c r="T2565" s="50"/>
      <c r="U2565" s="50"/>
      <c r="W2565" s="50"/>
      <c r="Z2565" s="50"/>
      <c r="AA2565" s="38"/>
      <c r="AD2565" s="38" t="s">
        <v>1017</v>
      </c>
    </row>
    <row r="2566" spans="1:30" x14ac:dyDescent="0.35">
      <c r="A2566" s="497" t="s">
        <v>709</v>
      </c>
      <c r="B2566" s="13" t="s">
        <v>5547</v>
      </c>
      <c r="C2566" s="13" t="s">
        <v>5404</v>
      </c>
      <c r="D2566" s="13" t="s">
        <v>3198</v>
      </c>
      <c r="E2566" s="13" t="s">
        <v>4811</v>
      </c>
      <c r="F2566" s="373">
        <v>14.18</v>
      </c>
      <c r="G2566" s="430">
        <v>14.18</v>
      </c>
      <c r="H2566" s="399">
        <f t="shared" si="1045"/>
        <v>11.34</v>
      </c>
      <c r="I2566" s="576"/>
      <c r="J2566" s="549" t="s">
        <v>5804</v>
      </c>
      <c r="K2566" s="11"/>
      <c r="L2566" s="55" t="str">
        <f t="shared" si="1046"/>
        <v/>
      </c>
      <c r="M2566" s="37">
        <f t="shared" si="1047"/>
        <v>14.18</v>
      </c>
      <c r="N2566" s="29">
        <v>9.18</v>
      </c>
      <c r="O2566" s="31" t="s">
        <v>1017</v>
      </c>
      <c r="P2566" s="50"/>
      <c r="Q2566" s="50"/>
      <c r="R2566" s="42"/>
      <c r="T2566" s="50"/>
      <c r="U2566" s="50"/>
      <c r="W2566" s="50"/>
      <c r="Z2566" s="50"/>
      <c r="AA2566" s="38"/>
      <c r="AD2566" s="38" t="s">
        <v>1017</v>
      </c>
    </row>
    <row r="2567" spans="1:30" x14ac:dyDescent="0.35">
      <c r="A2567" s="497" t="s">
        <v>2137</v>
      </c>
      <c r="B2567" s="13" t="s">
        <v>5547</v>
      </c>
      <c r="C2567" s="13" t="s">
        <v>5404</v>
      </c>
      <c r="D2567" s="13" t="s">
        <v>2139</v>
      </c>
      <c r="E2567" s="13" t="s">
        <v>4809</v>
      </c>
      <c r="F2567" s="373">
        <v>12.18</v>
      </c>
      <c r="G2567" s="430">
        <v>12.18</v>
      </c>
      <c r="H2567" s="399">
        <f t="shared" si="1045"/>
        <v>9.74</v>
      </c>
      <c r="I2567" s="576"/>
      <c r="J2567" s="549" t="s">
        <v>5804</v>
      </c>
      <c r="K2567" s="11"/>
      <c r="L2567" s="55" t="str">
        <f t="shared" si="1046"/>
        <v/>
      </c>
      <c r="M2567" s="37">
        <f t="shared" si="1047"/>
        <v>12.18</v>
      </c>
      <c r="N2567" s="29">
        <v>9.18</v>
      </c>
      <c r="O2567" s="31"/>
      <c r="P2567" s="50"/>
      <c r="Q2567" s="50"/>
      <c r="R2567" s="42" t="s">
        <v>1017</v>
      </c>
      <c r="T2567" s="50"/>
      <c r="U2567" s="50"/>
      <c r="W2567" s="50"/>
      <c r="Z2567" s="50"/>
      <c r="AA2567" s="38"/>
      <c r="AD2567" s="38" t="s">
        <v>1017</v>
      </c>
    </row>
    <row r="2568" spans="1:30" x14ac:dyDescent="0.35">
      <c r="A2568" s="497" t="s">
        <v>2138</v>
      </c>
      <c r="B2568" s="13" t="s">
        <v>5547</v>
      </c>
      <c r="C2568" s="13" t="s">
        <v>5404</v>
      </c>
      <c r="D2568" s="13" t="s">
        <v>2140</v>
      </c>
      <c r="E2568" s="13" t="s">
        <v>4811</v>
      </c>
      <c r="F2568" s="373">
        <v>15.18</v>
      </c>
      <c r="G2568" s="430">
        <v>15.18</v>
      </c>
      <c r="H2568" s="399">
        <f t="shared" si="1045"/>
        <v>12.14</v>
      </c>
      <c r="I2568" s="576"/>
      <c r="J2568" s="549" t="s">
        <v>5804</v>
      </c>
      <c r="K2568" s="11"/>
      <c r="L2568" s="55" t="str">
        <f t="shared" si="1046"/>
        <v/>
      </c>
      <c r="M2568" s="37">
        <f t="shared" si="1047"/>
        <v>15.18</v>
      </c>
      <c r="N2568" s="29">
        <v>9.18</v>
      </c>
      <c r="O2568" s="31" t="s">
        <v>1017</v>
      </c>
      <c r="P2568" s="50"/>
      <c r="Q2568" s="50"/>
      <c r="R2568" s="42" t="s">
        <v>1017</v>
      </c>
      <c r="T2568" s="50"/>
      <c r="U2568" s="50"/>
      <c r="W2568" s="50"/>
      <c r="Z2568" s="50"/>
      <c r="AA2568" s="38"/>
      <c r="AD2568" s="38" t="s">
        <v>1017</v>
      </c>
    </row>
    <row r="2569" spans="1:30" x14ac:dyDescent="0.35">
      <c r="A2569" s="497" t="s">
        <v>710</v>
      </c>
      <c r="B2569" s="13" t="s">
        <v>5547</v>
      </c>
      <c r="C2569" s="13" t="s">
        <v>5404</v>
      </c>
      <c r="D2569" s="13" t="s">
        <v>850</v>
      </c>
      <c r="E2569" s="13" t="s">
        <v>4809</v>
      </c>
      <c r="F2569" s="373">
        <v>17.18</v>
      </c>
      <c r="G2569" s="430">
        <v>17.18</v>
      </c>
      <c r="H2569" s="399">
        <f t="shared" si="1045"/>
        <v>13.74</v>
      </c>
      <c r="I2569" s="576"/>
      <c r="J2569" s="549" t="s">
        <v>5804</v>
      </c>
      <c r="K2569" s="11"/>
      <c r="L2569" s="55" t="str">
        <f t="shared" si="1046"/>
        <v/>
      </c>
      <c r="M2569" s="37">
        <f t="shared" si="1047"/>
        <v>17.18</v>
      </c>
      <c r="N2569" s="29">
        <v>9.18</v>
      </c>
      <c r="O2569" s="31"/>
      <c r="P2569" s="50"/>
      <c r="Q2569" s="50"/>
      <c r="R2569" s="42"/>
      <c r="S2569" t="s">
        <v>1017</v>
      </c>
      <c r="T2569" s="50"/>
      <c r="U2569" s="50"/>
      <c r="W2569" s="50"/>
      <c r="Z2569" s="50"/>
      <c r="AA2569" s="38"/>
      <c r="AD2569" s="38" t="s">
        <v>1017</v>
      </c>
    </row>
    <row r="2570" spans="1:30" x14ac:dyDescent="0.35">
      <c r="A2570" s="497" t="s">
        <v>711</v>
      </c>
      <c r="B2570" s="13" t="s">
        <v>5547</v>
      </c>
      <c r="C2570" s="13" t="s">
        <v>5404</v>
      </c>
      <c r="D2570" s="13" t="s">
        <v>2653</v>
      </c>
      <c r="E2570" s="13" t="s">
        <v>4811</v>
      </c>
      <c r="F2570" s="373">
        <v>20.18</v>
      </c>
      <c r="G2570" s="430">
        <v>20.18</v>
      </c>
      <c r="H2570" s="399">
        <f t="shared" si="1045"/>
        <v>16.14</v>
      </c>
      <c r="I2570" s="576"/>
      <c r="J2570" s="549" t="s">
        <v>5804</v>
      </c>
      <c r="K2570" s="11"/>
      <c r="L2570" s="55" t="str">
        <f t="shared" si="1046"/>
        <v/>
      </c>
      <c r="M2570" s="37">
        <f t="shared" si="1047"/>
        <v>20.18</v>
      </c>
      <c r="N2570" s="29">
        <v>9.18</v>
      </c>
      <c r="O2570" s="31" t="s">
        <v>1017</v>
      </c>
      <c r="P2570" s="50"/>
      <c r="Q2570" s="50"/>
      <c r="R2570" s="42"/>
      <c r="S2570" t="s">
        <v>1017</v>
      </c>
      <c r="T2570" s="50"/>
      <c r="U2570" s="50"/>
      <c r="W2570" s="50"/>
      <c r="Z2570" s="50"/>
      <c r="AA2570" s="38"/>
      <c r="AD2570" s="38" t="s">
        <v>1017</v>
      </c>
    </row>
    <row r="2571" spans="1:30" x14ac:dyDescent="0.35">
      <c r="A2571" s="497" t="s">
        <v>580</v>
      </c>
      <c r="B2571" s="13" t="s">
        <v>5547</v>
      </c>
      <c r="C2571" s="13" t="s">
        <v>5404</v>
      </c>
      <c r="D2571" s="13" t="s">
        <v>564</v>
      </c>
      <c r="E2571" s="13" t="s">
        <v>4809</v>
      </c>
      <c r="F2571" s="373">
        <v>18.18</v>
      </c>
      <c r="G2571" s="430">
        <v>18.18</v>
      </c>
      <c r="H2571" s="399">
        <f t="shared" si="1045"/>
        <v>14.54</v>
      </c>
      <c r="I2571" s="576"/>
      <c r="J2571" s="549" t="s">
        <v>5804</v>
      </c>
      <c r="K2571" s="11"/>
      <c r="L2571" s="55" t="str">
        <f t="shared" si="1046"/>
        <v/>
      </c>
      <c r="M2571" s="37">
        <f t="shared" si="1047"/>
        <v>18.18</v>
      </c>
      <c r="N2571" s="29">
        <v>9.18</v>
      </c>
      <c r="O2571" s="31"/>
      <c r="P2571" s="50"/>
      <c r="Q2571" s="50"/>
      <c r="R2571" s="42" t="s">
        <v>1017</v>
      </c>
      <c r="S2571" t="s">
        <v>1017</v>
      </c>
      <c r="T2571" s="50"/>
      <c r="U2571" s="50"/>
      <c r="W2571" s="50"/>
      <c r="Z2571" s="50"/>
      <c r="AA2571" s="38"/>
      <c r="AD2571" s="38" t="s">
        <v>1017</v>
      </c>
    </row>
    <row r="2572" spans="1:30" x14ac:dyDescent="0.35">
      <c r="A2572" s="497" t="s">
        <v>581</v>
      </c>
      <c r="B2572" s="13" t="s">
        <v>5547</v>
      </c>
      <c r="C2572" s="13" t="s">
        <v>5404</v>
      </c>
      <c r="D2572" s="13" t="s">
        <v>565</v>
      </c>
      <c r="E2572" s="13" t="s">
        <v>4811</v>
      </c>
      <c r="F2572" s="373">
        <v>21.18</v>
      </c>
      <c r="G2572" s="430">
        <v>21.18</v>
      </c>
      <c r="H2572" s="399">
        <f t="shared" si="1045"/>
        <v>16.940000000000001</v>
      </c>
      <c r="I2572" s="576"/>
      <c r="J2572" s="549" t="s">
        <v>5804</v>
      </c>
      <c r="K2572" s="11"/>
      <c r="L2572" s="55" t="str">
        <f t="shared" si="1046"/>
        <v/>
      </c>
      <c r="M2572" s="37">
        <f t="shared" si="1047"/>
        <v>21.18</v>
      </c>
      <c r="N2572" s="29">
        <v>9.18</v>
      </c>
      <c r="O2572" s="31" t="s">
        <v>1017</v>
      </c>
      <c r="P2572" s="50"/>
      <c r="Q2572" s="50"/>
      <c r="R2572" s="42" t="s">
        <v>1017</v>
      </c>
      <c r="S2572" t="s">
        <v>1017</v>
      </c>
      <c r="T2572" s="50"/>
      <c r="U2572" s="50"/>
      <c r="W2572" s="50"/>
      <c r="Z2572" s="50"/>
      <c r="AA2572" s="38"/>
      <c r="AD2572" s="38" t="s">
        <v>1017</v>
      </c>
    </row>
    <row r="2573" spans="1:30" x14ac:dyDescent="0.35">
      <c r="A2573" s="497" t="s">
        <v>712</v>
      </c>
      <c r="B2573" s="13" t="s">
        <v>5547</v>
      </c>
      <c r="C2573" s="13" t="s">
        <v>5404</v>
      </c>
      <c r="D2573" s="13" t="s">
        <v>852</v>
      </c>
      <c r="E2573" s="13" t="s">
        <v>4809</v>
      </c>
      <c r="F2573" s="373">
        <v>18.18</v>
      </c>
      <c r="G2573" s="430">
        <v>18.18</v>
      </c>
      <c r="H2573" s="399">
        <f t="shared" si="1045"/>
        <v>14.54</v>
      </c>
      <c r="I2573" s="576"/>
      <c r="J2573" s="549" t="s">
        <v>5804</v>
      </c>
      <c r="K2573" s="11"/>
      <c r="L2573" s="55" t="str">
        <f t="shared" si="1046"/>
        <v/>
      </c>
      <c r="M2573" s="37">
        <f t="shared" si="1047"/>
        <v>18.18</v>
      </c>
      <c r="N2573" s="29">
        <v>9.18</v>
      </c>
      <c r="O2573" s="31"/>
      <c r="P2573" s="50"/>
      <c r="Q2573" s="50"/>
      <c r="R2573" s="42"/>
      <c r="T2573" s="50"/>
      <c r="U2573" s="50"/>
      <c r="V2573" t="s">
        <v>1017</v>
      </c>
      <c r="W2573" s="50"/>
      <c r="Z2573" s="50"/>
      <c r="AA2573" s="38"/>
      <c r="AD2573" s="38" t="s">
        <v>1017</v>
      </c>
    </row>
    <row r="2574" spans="1:30" x14ac:dyDescent="0.35">
      <c r="A2574" s="497" t="s">
        <v>713</v>
      </c>
      <c r="B2574" s="13" t="s">
        <v>5547</v>
      </c>
      <c r="C2574" s="13" t="s">
        <v>5404</v>
      </c>
      <c r="D2574" s="13" t="s">
        <v>846</v>
      </c>
      <c r="E2574" s="13" t="s">
        <v>4811</v>
      </c>
      <c r="F2574" s="373">
        <v>21.18</v>
      </c>
      <c r="G2574" s="430">
        <v>21.18</v>
      </c>
      <c r="H2574" s="399">
        <f t="shared" si="1045"/>
        <v>16.940000000000001</v>
      </c>
      <c r="I2574" s="576"/>
      <c r="J2574" s="549" t="s">
        <v>5804</v>
      </c>
      <c r="K2574" s="11"/>
      <c r="L2574" s="55" t="str">
        <f t="shared" si="1046"/>
        <v/>
      </c>
      <c r="M2574" s="37">
        <f t="shared" si="1047"/>
        <v>21.18</v>
      </c>
      <c r="N2574" s="29">
        <v>9.18</v>
      </c>
      <c r="O2574" s="31" t="s">
        <v>1017</v>
      </c>
      <c r="P2574" s="50"/>
      <c r="Q2574" s="50"/>
      <c r="R2574" s="42"/>
      <c r="T2574" s="50"/>
      <c r="U2574" s="50"/>
      <c r="V2574" t="s">
        <v>1017</v>
      </c>
      <c r="W2574" s="50"/>
      <c r="Z2574" s="50"/>
      <c r="AA2574" s="38"/>
      <c r="AD2574" s="38" t="s">
        <v>1017</v>
      </c>
    </row>
    <row r="2575" spans="1:30" x14ac:dyDescent="0.35">
      <c r="A2575" s="497" t="s">
        <v>714</v>
      </c>
      <c r="B2575" s="13" t="s">
        <v>5547</v>
      </c>
      <c r="C2575" s="13" t="s">
        <v>5404</v>
      </c>
      <c r="D2575" s="13" t="s">
        <v>2593</v>
      </c>
      <c r="E2575" s="13" t="s">
        <v>4809</v>
      </c>
      <c r="F2575" s="373">
        <v>19.18</v>
      </c>
      <c r="G2575" s="430">
        <v>19.18</v>
      </c>
      <c r="H2575" s="399">
        <f t="shared" si="1045"/>
        <v>15.34</v>
      </c>
      <c r="I2575" s="576"/>
      <c r="J2575" s="549" t="s">
        <v>5804</v>
      </c>
      <c r="K2575" s="11"/>
      <c r="L2575" s="55" t="str">
        <f t="shared" si="1046"/>
        <v/>
      </c>
      <c r="M2575" s="37">
        <f t="shared" si="1047"/>
        <v>19.18</v>
      </c>
      <c r="N2575" s="29">
        <v>9.18</v>
      </c>
      <c r="O2575" s="31"/>
      <c r="P2575" s="50"/>
      <c r="Q2575" s="50"/>
      <c r="R2575" s="42" t="s">
        <v>1017</v>
      </c>
      <c r="T2575" s="50"/>
      <c r="U2575" s="50"/>
      <c r="V2575" t="s">
        <v>1017</v>
      </c>
      <c r="W2575" s="50"/>
      <c r="Z2575" s="50"/>
      <c r="AA2575" s="38"/>
      <c r="AD2575" s="38" t="s">
        <v>1017</v>
      </c>
    </row>
    <row r="2576" spans="1:30" x14ac:dyDescent="0.35">
      <c r="A2576" s="497" t="s">
        <v>715</v>
      </c>
      <c r="B2576" s="13" t="s">
        <v>5547</v>
      </c>
      <c r="C2576" s="13" t="s">
        <v>5404</v>
      </c>
      <c r="D2576" s="13" t="s">
        <v>2723</v>
      </c>
      <c r="E2576" s="13" t="s">
        <v>4811</v>
      </c>
      <c r="F2576" s="373">
        <v>22.18</v>
      </c>
      <c r="G2576" s="430">
        <v>22.18</v>
      </c>
      <c r="H2576" s="399">
        <f t="shared" si="1045"/>
        <v>17.739999999999998</v>
      </c>
      <c r="I2576" s="576"/>
      <c r="J2576" s="549" t="s">
        <v>5804</v>
      </c>
      <c r="K2576" s="11"/>
      <c r="L2576" s="55" t="str">
        <f t="shared" si="1046"/>
        <v/>
      </c>
      <c r="M2576" s="37">
        <f t="shared" si="1047"/>
        <v>22.18</v>
      </c>
      <c r="N2576" s="29">
        <v>9.18</v>
      </c>
      <c r="O2576" s="31" t="s">
        <v>1017</v>
      </c>
      <c r="P2576" s="50"/>
      <c r="Q2576" s="50"/>
      <c r="R2576" s="42" t="s">
        <v>1017</v>
      </c>
      <c r="T2576" s="50"/>
      <c r="U2576" s="50"/>
      <c r="V2576" t="s">
        <v>1017</v>
      </c>
      <c r="W2576" s="50"/>
      <c r="Z2576" s="50"/>
      <c r="AA2576" s="38"/>
      <c r="AD2576" s="38" t="s">
        <v>1017</v>
      </c>
    </row>
    <row r="2577" spans="1:30" x14ac:dyDescent="0.35">
      <c r="A2577" s="497" t="s">
        <v>716</v>
      </c>
      <c r="B2577" s="13" t="s">
        <v>5547</v>
      </c>
      <c r="C2577" s="13" t="s">
        <v>5404</v>
      </c>
      <c r="D2577" s="13" t="s">
        <v>789</v>
      </c>
      <c r="E2577" s="13" t="s">
        <v>4809</v>
      </c>
      <c r="F2577" s="373">
        <v>20.18</v>
      </c>
      <c r="G2577" s="430">
        <v>20.18</v>
      </c>
      <c r="H2577" s="399">
        <f t="shared" si="1045"/>
        <v>16.14</v>
      </c>
      <c r="I2577" s="576"/>
      <c r="J2577" s="549" t="s">
        <v>5804</v>
      </c>
      <c r="K2577" s="11"/>
      <c r="L2577" s="55" t="str">
        <f t="shared" si="1046"/>
        <v/>
      </c>
      <c r="M2577" s="37">
        <f t="shared" si="1047"/>
        <v>20.18</v>
      </c>
      <c r="N2577" s="29">
        <v>9.18</v>
      </c>
      <c r="O2577" s="31"/>
      <c r="P2577" s="50"/>
      <c r="Q2577" s="50"/>
      <c r="R2577" s="42"/>
      <c r="T2577" s="50"/>
      <c r="U2577" s="50"/>
      <c r="W2577" s="50"/>
      <c r="Y2577" t="s">
        <v>1017</v>
      </c>
      <c r="Z2577" s="50"/>
      <c r="AA2577" s="38"/>
      <c r="AD2577" s="38" t="s">
        <v>1017</v>
      </c>
    </row>
    <row r="2578" spans="1:30" x14ac:dyDescent="0.35">
      <c r="A2578" s="497" t="s">
        <v>717</v>
      </c>
      <c r="B2578" s="13" t="s">
        <v>5547</v>
      </c>
      <c r="C2578" s="13" t="s">
        <v>5404</v>
      </c>
      <c r="D2578" s="13" t="s">
        <v>847</v>
      </c>
      <c r="E2578" s="13" t="s">
        <v>4811</v>
      </c>
      <c r="F2578" s="373">
        <v>23.18</v>
      </c>
      <c r="G2578" s="430">
        <v>23.18</v>
      </c>
      <c r="H2578" s="399">
        <f t="shared" si="1045"/>
        <v>18.54</v>
      </c>
      <c r="I2578" s="576"/>
      <c r="J2578" s="549" t="s">
        <v>5804</v>
      </c>
      <c r="K2578" s="11"/>
      <c r="L2578" s="55" t="str">
        <f t="shared" si="1046"/>
        <v/>
      </c>
      <c r="M2578" s="37">
        <f t="shared" si="1047"/>
        <v>23.18</v>
      </c>
      <c r="N2578" s="29">
        <v>9.18</v>
      </c>
      <c r="O2578" s="31" t="s">
        <v>1017</v>
      </c>
      <c r="P2578" s="50"/>
      <c r="Q2578" s="50"/>
      <c r="R2578" s="42"/>
      <c r="T2578" s="50"/>
      <c r="U2578" s="50"/>
      <c r="W2578" s="50"/>
      <c r="Y2578" t="s">
        <v>1017</v>
      </c>
      <c r="Z2578" s="50"/>
      <c r="AA2578" s="38"/>
      <c r="AD2578" s="38" t="s">
        <v>1017</v>
      </c>
    </row>
    <row r="2579" spans="1:30" x14ac:dyDescent="0.35">
      <c r="A2579" s="497" t="s">
        <v>718</v>
      </c>
      <c r="B2579" s="13" t="s">
        <v>5547</v>
      </c>
      <c r="C2579" s="13" t="s">
        <v>5404</v>
      </c>
      <c r="D2579" s="13" t="s">
        <v>790</v>
      </c>
      <c r="E2579" s="13" t="s">
        <v>4809</v>
      </c>
      <c r="F2579" s="373">
        <v>21.18</v>
      </c>
      <c r="G2579" s="430">
        <v>21.18</v>
      </c>
      <c r="H2579" s="399">
        <f t="shared" si="1045"/>
        <v>16.940000000000001</v>
      </c>
      <c r="I2579" s="576"/>
      <c r="J2579" s="549" t="s">
        <v>5804</v>
      </c>
      <c r="K2579" s="11"/>
      <c r="L2579" s="55" t="str">
        <f t="shared" si="1046"/>
        <v/>
      </c>
      <c r="M2579" s="37">
        <f t="shared" si="1047"/>
        <v>21.18</v>
      </c>
      <c r="N2579" s="29">
        <v>9.18</v>
      </c>
      <c r="O2579" s="31"/>
      <c r="P2579" s="50"/>
      <c r="Q2579" s="50"/>
      <c r="R2579" s="42" t="s">
        <v>1017</v>
      </c>
      <c r="T2579" s="50"/>
      <c r="U2579" s="50"/>
      <c r="W2579" s="50"/>
      <c r="Y2579" t="s">
        <v>1017</v>
      </c>
      <c r="Z2579" s="50"/>
      <c r="AA2579" s="38"/>
      <c r="AD2579" s="38" t="s">
        <v>1017</v>
      </c>
    </row>
    <row r="2580" spans="1:30" x14ac:dyDescent="0.35">
      <c r="A2580" s="497" t="s">
        <v>719</v>
      </c>
      <c r="B2580" s="13" t="s">
        <v>5547</v>
      </c>
      <c r="C2580" s="13" t="s">
        <v>5404</v>
      </c>
      <c r="D2580" s="13" t="s">
        <v>4382</v>
      </c>
      <c r="E2580" s="13" t="s">
        <v>4811</v>
      </c>
      <c r="F2580" s="373">
        <v>24.18</v>
      </c>
      <c r="G2580" s="430">
        <v>24.18</v>
      </c>
      <c r="H2580" s="399">
        <f t="shared" si="1045"/>
        <v>19.34</v>
      </c>
      <c r="I2580" s="576"/>
      <c r="J2580" s="549" t="s">
        <v>5804</v>
      </c>
      <c r="K2580" s="11"/>
      <c r="L2580" s="55" t="str">
        <f t="shared" si="1046"/>
        <v/>
      </c>
      <c r="M2580" s="37">
        <f t="shared" si="1047"/>
        <v>24.18</v>
      </c>
      <c r="N2580" s="29">
        <v>9.18</v>
      </c>
      <c r="O2580" s="31" t="s">
        <v>1017</v>
      </c>
      <c r="P2580" s="50"/>
      <c r="Q2580" s="50"/>
      <c r="R2580" s="42" t="s">
        <v>1017</v>
      </c>
      <c r="T2580" s="50"/>
      <c r="U2580" s="50"/>
      <c r="W2580" s="50"/>
      <c r="Y2580" t="s">
        <v>1017</v>
      </c>
      <c r="Z2580" s="50"/>
      <c r="AA2580" s="38"/>
      <c r="AD2580" s="38" t="s">
        <v>1017</v>
      </c>
    </row>
    <row r="2581" spans="1:30" x14ac:dyDescent="0.35">
      <c r="A2581" s="497" t="s">
        <v>720</v>
      </c>
      <c r="B2581" s="13" t="s">
        <v>5547</v>
      </c>
      <c r="C2581" s="13" t="s">
        <v>5404</v>
      </c>
      <c r="D2581" s="13" t="s">
        <v>4393</v>
      </c>
      <c r="E2581" s="13" t="s">
        <v>4809</v>
      </c>
      <c r="F2581" s="373">
        <v>19.18</v>
      </c>
      <c r="G2581" s="430">
        <v>19.18</v>
      </c>
      <c r="H2581" s="399">
        <f t="shared" si="1045"/>
        <v>15.34</v>
      </c>
      <c r="I2581" s="576"/>
      <c r="J2581" s="549" t="s">
        <v>5804</v>
      </c>
      <c r="K2581" s="11"/>
      <c r="L2581" s="55" t="str">
        <f t="shared" si="1046"/>
        <v/>
      </c>
      <c r="M2581" s="37">
        <f t="shared" si="1047"/>
        <v>19.18</v>
      </c>
      <c r="N2581" s="29">
        <v>9.18</v>
      </c>
      <c r="O2581" s="31"/>
      <c r="P2581" s="50"/>
      <c r="Q2581" s="50"/>
      <c r="R2581" s="42"/>
      <c r="T2581" s="50"/>
      <c r="U2581" s="50"/>
      <c r="W2581" s="50"/>
      <c r="X2581" t="s">
        <v>1017</v>
      </c>
      <c r="Z2581" s="50"/>
      <c r="AA2581" s="38"/>
      <c r="AD2581" s="38" t="s">
        <v>1017</v>
      </c>
    </row>
    <row r="2582" spans="1:30" x14ac:dyDescent="0.35">
      <c r="A2582" s="497" t="s">
        <v>721</v>
      </c>
      <c r="B2582" s="13" t="s">
        <v>5547</v>
      </c>
      <c r="C2582" s="13" t="s">
        <v>5404</v>
      </c>
      <c r="D2582" s="13" t="s">
        <v>5571</v>
      </c>
      <c r="E2582" s="13" t="s">
        <v>4811</v>
      </c>
      <c r="F2582" s="373">
        <v>22.18</v>
      </c>
      <c r="G2582" s="430">
        <v>22.18</v>
      </c>
      <c r="H2582" s="399">
        <f t="shared" si="1045"/>
        <v>17.739999999999998</v>
      </c>
      <c r="I2582" s="576"/>
      <c r="J2582" s="549" t="s">
        <v>5804</v>
      </c>
      <c r="K2582" s="11"/>
      <c r="L2582" s="55" t="str">
        <f t="shared" si="1046"/>
        <v/>
      </c>
      <c r="M2582" s="37">
        <f t="shared" si="1047"/>
        <v>22.18</v>
      </c>
      <c r="N2582" s="29">
        <v>9.18</v>
      </c>
      <c r="O2582" s="31" t="s">
        <v>1017</v>
      </c>
      <c r="P2582" s="50"/>
      <c r="Q2582" s="50"/>
      <c r="R2582" s="42"/>
      <c r="T2582" s="50"/>
      <c r="U2582" s="50"/>
      <c r="W2582" s="50"/>
      <c r="X2582" t="s">
        <v>1017</v>
      </c>
      <c r="Z2582" s="50"/>
      <c r="AA2582" s="38"/>
      <c r="AD2582" s="38" t="s">
        <v>1017</v>
      </c>
    </row>
    <row r="2583" spans="1:30" x14ac:dyDescent="0.35">
      <c r="A2583" s="497" t="s">
        <v>722</v>
      </c>
      <c r="B2583" s="13" t="s">
        <v>5547</v>
      </c>
      <c r="C2583" s="13" t="s">
        <v>5404</v>
      </c>
      <c r="D2583" s="13" t="s">
        <v>4781</v>
      </c>
      <c r="E2583" s="13" t="s">
        <v>4809</v>
      </c>
      <c r="F2583" s="373">
        <v>20.18</v>
      </c>
      <c r="G2583" s="430">
        <v>20.18</v>
      </c>
      <c r="H2583" s="399">
        <f t="shared" si="1045"/>
        <v>16.14</v>
      </c>
      <c r="I2583" s="576"/>
      <c r="J2583" s="549" t="s">
        <v>5804</v>
      </c>
      <c r="K2583" s="11"/>
      <c r="L2583" s="55" t="str">
        <f t="shared" si="1046"/>
        <v/>
      </c>
      <c r="M2583" s="37">
        <f t="shared" si="1047"/>
        <v>20.18</v>
      </c>
      <c r="N2583" s="29">
        <v>9.18</v>
      </c>
      <c r="O2583" s="31"/>
      <c r="P2583" s="50"/>
      <c r="Q2583" s="50"/>
      <c r="R2583" s="42" t="s">
        <v>1017</v>
      </c>
      <c r="T2583" s="50"/>
      <c r="U2583" s="50"/>
      <c r="W2583" s="50"/>
      <c r="X2583" t="s">
        <v>1017</v>
      </c>
      <c r="Z2583" s="50"/>
      <c r="AA2583" s="38"/>
      <c r="AD2583" s="38" t="s">
        <v>1017</v>
      </c>
    </row>
    <row r="2584" spans="1:30" x14ac:dyDescent="0.35">
      <c r="A2584" s="497" t="s">
        <v>723</v>
      </c>
      <c r="B2584" s="13" t="s">
        <v>5547</v>
      </c>
      <c r="C2584" s="13" t="s">
        <v>5404</v>
      </c>
      <c r="D2584" s="13" t="s">
        <v>5572</v>
      </c>
      <c r="E2584" s="13" t="s">
        <v>4811</v>
      </c>
      <c r="F2584" s="373">
        <v>23.18</v>
      </c>
      <c r="G2584" s="430">
        <v>23.18</v>
      </c>
      <c r="H2584" s="399">
        <f t="shared" si="1045"/>
        <v>18.54</v>
      </c>
      <c r="I2584" s="576"/>
      <c r="J2584" s="549" t="s">
        <v>5804</v>
      </c>
      <c r="K2584" s="11"/>
      <c r="L2584" s="55" t="str">
        <f t="shared" si="1046"/>
        <v/>
      </c>
      <c r="M2584" s="37">
        <f t="shared" si="1047"/>
        <v>23.18</v>
      </c>
      <c r="N2584" s="29">
        <v>9.18</v>
      </c>
      <c r="O2584" s="31" t="s">
        <v>1017</v>
      </c>
      <c r="P2584" s="50"/>
      <c r="Q2584" s="50"/>
      <c r="R2584" s="42" t="s">
        <v>1017</v>
      </c>
      <c r="T2584" s="50"/>
      <c r="U2584" s="50"/>
      <c r="W2584" s="50"/>
      <c r="X2584" t="s">
        <v>1017</v>
      </c>
      <c r="Z2584" s="50"/>
      <c r="AA2584" s="38"/>
      <c r="AD2584" s="38" t="s">
        <v>1017</v>
      </c>
    </row>
    <row r="2585" spans="1:30" x14ac:dyDescent="0.35">
      <c r="A2585" s="497" t="s">
        <v>724</v>
      </c>
      <c r="B2585" s="13" t="s">
        <v>5547</v>
      </c>
      <c r="C2585" s="13" t="s">
        <v>5404</v>
      </c>
      <c r="D2585" s="13" t="s">
        <v>2124</v>
      </c>
      <c r="E2585" s="13" t="s">
        <v>4809</v>
      </c>
      <c r="F2585" s="373">
        <v>21.18</v>
      </c>
      <c r="G2585" s="430">
        <v>21.18</v>
      </c>
      <c r="H2585" s="399">
        <f t="shared" si="1045"/>
        <v>16.940000000000001</v>
      </c>
      <c r="I2585" s="576"/>
      <c r="J2585" s="549" t="s">
        <v>5804</v>
      </c>
      <c r="K2585" s="11"/>
      <c r="L2585" s="55" t="str">
        <f t="shared" si="1046"/>
        <v/>
      </c>
      <c r="M2585" s="37">
        <f t="shared" si="1047"/>
        <v>21.18</v>
      </c>
      <c r="N2585" s="29">
        <v>9.18</v>
      </c>
      <c r="O2585" s="31"/>
      <c r="P2585" s="50"/>
      <c r="Q2585" s="50"/>
      <c r="R2585" s="42"/>
      <c r="T2585" s="50"/>
      <c r="U2585" s="50"/>
      <c r="W2585" s="50"/>
      <c r="Z2585" s="50"/>
      <c r="AA2585" s="38" t="s">
        <v>1017</v>
      </c>
      <c r="AD2585" s="38" t="s">
        <v>1017</v>
      </c>
    </row>
    <row r="2586" spans="1:30" x14ac:dyDescent="0.35">
      <c r="A2586" s="497" t="s">
        <v>725</v>
      </c>
      <c r="B2586" s="13" t="s">
        <v>5547</v>
      </c>
      <c r="C2586" s="13" t="s">
        <v>5404</v>
      </c>
      <c r="D2586" s="13" t="s">
        <v>2722</v>
      </c>
      <c r="E2586" s="13" t="s">
        <v>4811</v>
      </c>
      <c r="F2586" s="373">
        <v>24.18</v>
      </c>
      <c r="G2586" s="430">
        <v>24.18</v>
      </c>
      <c r="H2586" s="399">
        <f t="shared" si="1045"/>
        <v>19.34</v>
      </c>
      <c r="I2586" s="576"/>
      <c r="J2586" s="549" t="s">
        <v>5804</v>
      </c>
      <c r="K2586" s="11"/>
      <c r="L2586" s="55" t="str">
        <f t="shared" si="1046"/>
        <v/>
      </c>
      <c r="M2586" s="37">
        <f t="shared" si="1047"/>
        <v>24.18</v>
      </c>
      <c r="N2586" s="29">
        <v>9.18</v>
      </c>
      <c r="O2586" s="31" t="s">
        <v>1017</v>
      </c>
      <c r="P2586" s="50"/>
      <c r="Q2586" s="50"/>
      <c r="R2586" s="42"/>
      <c r="T2586" s="50"/>
      <c r="U2586" s="50"/>
      <c r="W2586" s="50"/>
      <c r="Z2586" s="50"/>
      <c r="AA2586" s="38" t="s">
        <v>1017</v>
      </c>
      <c r="AD2586" s="38" t="s">
        <v>1017</v>
      </c>
    </row>
    <row r="2587" spans="1:30" x14ac:dyDescent="0.35">
      <c r="A2587" s="497" t="s">
        <v>726</v>
      </c>
      <c r="B2587" s="13" t="s">
        <v>5547</v>
      </c>
      <c r="C2587" s="13" t="s">
        <v>5404</v>
      </c>
      <c r="D2587" s="13" t="s">
        <v>3192</v>
      </c>
      <c r="E2587" s="13" t="s">
        <v>4809</v>
      </c>
      <c r="F2587" s="373">
        <v>22.18</v>
      </c>
      <c r="G2587" s="430">
        <v>22.18</v>
      </c>
      <c r="H2587" s="399">
        <f t="shared" si="1045"/>
        <v>17.739999999999998</v>
      </c>
      <c r="I2587" s="576"/>
      <c r="J2587" s="549" t="s">
        <v>5804</v>
      </c>
      <c r="K2587" s="11"/>
      <c r="L2587" s="55" t="str">
        <f t="shared" si="1046"/>
        <v/>
      </c>
      <c r="M2587" s="37">
        <f t="shared" si="1047"/>
        <v>22.18</v>
      </c>
      <c r="N2587" s="29">
        <v>9.18</v>
      </c>
      <c r="O2587" s="31"/>
      <c r="P2587" s="50"/>
      <c r="Q2587" s="50"/>
      <c r="R2587" s="42" t="s">
        <v>1017</v>
      </c>
      <c r="T2587" s="50"/>
      <c r="U2587" s="50"/>
      <c r="W2587" s="50"/>
      <c r="Z2587" s="50"/>
      <c r="AA2587" s="38" t="s">
        <v>1017</v>
      </c>
      <c r="AD2587" s="38" t="s">
        <v>1017</v>
      </c>
    </row>
    <row r="2588" spans="1:30" x14ac:dyDescent="0.35">
      <c r="A2588" s="497" t="s">
        <v>727</v>
      </c>
      <c r="B2588" s="13" t="s">
        <v>5547</v>
      </c>
      <c r="C2588" s="13" t="s">
        <v>5404</v>
      </c>
      <c r="D2588" s="13" t="s">
        <v>4383</v>
      </c>
      <c r="E2588" s="13" t="s">
        <v>4811</v>
      </c>
      <c r="F2588" s="373">
        <v>25.18</v>
      </c>
      <c r="G2588" s="430">
        <v>25.18</v>
      </c>
      <c r="H2588" s="399">
        <f t="shared" si="1045"/>
        <v>20.14</v>
      </c>
      <c r="I2588" s="576"/>
      <c r="J2588" s="549" t="s">
        <v>5804</v>
      </c>
      <c r="K2588" s="11"/>
      <c r="L2588" s="55" t="str">
        <f t="shared" si="1046"/>
        <v/>
      </c>
      <c r="M2588" s="37">
        <f t="shared" si="1047"/>
        <v>25.18</v>
      </c>
      <c r="N2588" s="29">
        <v>9.18</v>
      </c>
      <c r="O2588" s="31" t="s">
        <v>1017</v>
      </c>
      <c r="P2588" s="50"/>
      <c r="Q2588" s="50"/>
      <c r="R2588" s="42" t="s">
        <v>1017</v>
      </c>
      <c r="T2588" s="50"/>
      <c r="U2588" s="50"/>
      <c r="W2588" s="50"/>
      <c r="Z2588" s="50"/>
      <c r="AA2588" s="38" t="s">
        <v>1017</v>
      </c>
      <c r="AD2588" s="38" t="s">
        <v>1017</v>
      </c>
    </row>
    <row r="2589" spans="1:30" x14ac:dyDescent="0.35">
      <c r="A2589" s="497" t="s">
        <v>3310</v>
      </c>
      <c r="B2589" s="13" t="s">
        <v>5547</v>
      </c>
      <c r="C2589" s="13" t="s">
        <v>5404</v>
      </c>
      <c r="D2589" s="13" t="s">
        <v>5407</v>
      </c>
      <c r="E2589" s="13" t="s">
        <v>4809</v>
      </c>
      <c r="F2589" s="373">
        <v>8.25</v>
      </c>
      <c r="G2589" s="430">
        <v>8.25</v>
      </c>
      <c r="H2589" s="399">
        <f t="shared" ref="H2589:H2613" si="1048">IF(ISNUMBER(G2589),ROUND(0.8*G2589,2),"")</f>
        <v>6.6</v>
      </c>
      <c r="I2589" s="576"/>
      <c r="J2589" s="549" t="s">
        <v>5804</v>
      </c>
      <c r="K2589" s="11"/>
      <c r="L2589" s="55" t="str">
        <f t="shared" ref="L2589:L2613" si="1049">IF(F2589=M2589,"",FALSE)</f>
        <v/>
      </c>
      <c r="M2589" s="37">
        <f t="shared" ref="M2589:M2613" si="1050">N2589+SUMIF(O2589:AD2589,"x",O$2396:AD$2396)</f>
        <v>8.25</v>
      </c>
      <c r="N2589" s="29">
        <v>8.25</v>
      </c>
      <c r="O2589" s="31"/>
      <c r="P2589" s="50"/>
      <c r="Q2589" s="50"/>
      <c r="R2589" s="60"/>
      <c r="S2589" s="50"/>
      <c r="V2589" s="50"/>
      <c r="W2589" s="50"/>
      <c r="X2589" s="50"/>
      <c r="Y2589" s="50"/>
      <c r="Z2589" s="50"/>
      <c r="AA2589" s="52"/>
      <c r="AD2589" s="38"/>
    </row>
    <row r="2590" spans="1:30" x14ac:dyDescent="0.35">
      <c r="A2590" s="497" t="s">
        <v>3311</v>
      </c>
      <c r="B2590" s="13" t="s">
        <v>5547</v>
      </c>
      <c r="C2590" s="13" t="s">
        <v>5404</v>
      </c>
      <c r="D2590" s="13" t="s">
        <v>2903</v>
      </c>
      <c r="E2590" s="13" t="s">
        <v>4811</v>
      </c>
      <c r="F2590" s="373">
        <v>11.25</v>
      </c>
      <c r="G2590" s="430">
        <v>11.25</v>
      </c>
      <c r="H2590" s="399">
        <f t="shared" si="1048"/>
        <v>9</v>
      </c>
      <c r="I2590" s="576"/>
      <c r="J2590" s="549" t="s">
        <v>5804</v>
      </c>
      <c r="K2590" s="11"/>
      <c r="L2590" s="55" t="str">
        <f t="shared" si="1049"/>
        <v/>
      </c>
      <c r="M2590" s="37">
        <f t="shared" si="1050"/>
        <v>11.25</v>
      </c>
      <c r="N2590" s="29">
        <v>8.25</v>
      </c>
      <c r="O2590" s="31" t="s">
        <v>1017</v>
      </c>
      <c r="P2590" s="50"/>
      <c r="Q2590" s="50"/>
      <c r="R2590" s="60"/>
      <c r="S2590" s="50"/>
      <c r="V2590" s="50"/>
      <c r="W2590" s="50"/>
      <c r="X2590" s="50"/>
      <c r="Y2590" s="50"/>
      <c r="Z2590" s="50"/>
      <c r="AA2590" s="52"/>
      <c r="AD2590" s="38"/>
    </row>
    <row r="2591" spans="1:30" x14ac:dyDescent="0.35">
      <c r="A2591" s="497" t="s">
        <v>3329</v>
      </c>
      <c r="B2591" s="13" t="s">
        <v>5547</v>
      </c>
      <c r="C2591" s="13" t="s">
        <v>5404</v>
      </c>
      <c r="D2591" s="13" t="s">
        <v>598</v>
      </c>
      <c r="E2591" s="13" t="s">
        <v>4809</v>
      </c>
      <c r="F2591" s="373">
        <v>12.25</v>
      </c>
      <c r="G2591" s="430">
        <v>12.25</v>
      </c>
      <c r="H2591" s="399">
        <f t="shared" si="1048"/>
        <v>9.8000000000000007</v>
      </c>
      <c r="I2591" s="576"/>
      <c r="J2591" s="549" t="s">
        <v>5804</v>
      </c>
      <c r="K2591" s="11"/>
      <c r="L2591" s="55" t="str">
        <f t="shared" si="1049"/>
        <v/>
      </c>
      <c r="M2591" s="37">
        <f t="shared" si="1050"/>
        <v>12.25</v>
      </c>
      <c r="N2591" s="29">
        <v>8.25</v>
      </c>
      <c r="O2591" s="31"/>
      <c r="P2591" s="50"/>
      <c r="Q2591" s="50"/>
      <c r="R2591" s="60"/>
      <c r="S2591" s="50"/>
      <c r="T2591" t="s">
        <v>1017</v>
      </c>
      <c r="V2591" s="50"/>
      <c r="W2591" s="50"/>
      <c r="X2591" s="50"/>
      <c r="Y2591" s="50"/>
      <c r="Z2591" s="50"/>
      <c r="AA2591" s="52"/>
      <c r="AD2591" s="38"/>
    </row>
    <row r="2592" spans="1:30" x14ac:dyDescent="0.35">
      <c r="A2592" s="497" t="s">
        <v>3330</v>
      </c>
      <c r="B2592" s="13" t="s">
        <v>5547</v>
      </c>
      <c r="C2592" s="13" t="s">
        <v>5404</v>
      </c>
      <c r="D2592" s="13" t="s">
        <v>3201</v>
      </c>
      <c r="E2592" s="13" t="s">
        <v>4811</v>
      </c>
      <c r="F2592" s="373">
        <v>15.25</v>
      </c>
      <c r="G2592" s="430">
        <v>15.25</v>
      </c>
      <c r="H2592" s="399">
        <f t="shared" si="1048"/>
        <v>12.2</v>
      </c>
      <c r="I2592" s="576"/>
      <c r="J2592" s="549" t="s">
        <v>5804</v>
      </c>
      <c r="K2592" s="11"/>
      <c r="L2592" s="55" t="str">
        <f t="shared" si="1049"/>
        <v/>
      </c>
      <c r="M2592" s="37">
        <f t="shared" si="1050"/>
        <v>15.25</v>
      </c>
      <c r="N2592" s="29">
        <v>8.25</v>
      </c>
      <c r="O2592" s="31" t="s">
        <v>1017</v>
      </c>
      <c r="P2592" s="50"/>
      <c r="Q2592" s="50"/>
      <c r="R2592" s="60"/>
      <c r="S2592" s="50"/>
      <c r="T2592" t="s">
        <v>1017</v>
      </c>
      <c r="V2592" s="50"/>
      <c r="W2592" s="50"/>
      <c r="X2592" s="50"/>
      <c r="Y2592" s="50"/>
      <c r="Z2592" s="50"/>
      <c r="AA2592" s="52"/>
      <c r="AD2592" s="38"/>
    </row>
    <row r="2593" spans="1:30" x14ac:dyDescent="0.35">
      <c r="A2593" s="497" t="s">
        <v>3331</v>
      </c>
      <c r="B2593" s="13" t="s">
        <v>5547</v>
      </c>
      <c r="C2593" s="13" t="s">
        <v>5404</v>
      </c>
      <c r="D2593" s="13" t="s">
        <v>599</v>
      </c>
      <c r="E2593" s="13" t="s">
        <v>4809</v>
      </c>
      <c r="F2593" s="373">
        <v>10.75</v>
      </c>
      <c r="G2593" s="430">
        <v>10.75</v>
      </c>
      <c r="H2593" s="399">
        <f t="shared" si="1048"/>
        <v>8.6</v>
      </c>
      <c r="I2593" s="576"/>
      <c r="J2593" s="549" t="s">
        <v>5804</v>
      </c>
      <c r="K2593" s="11"/>
      <c r="L2593" s="55" t="str">
        <f t="shared" si="1049"/>
        <v/>
      </c>
      <c r="M2593" s="37">
        <f t="shared" si="1050"/>
        <v>10.75</v>
      </c>
      <c r="N2593" s="29">
        <v>8.25</v>
      </c>
      <c r="O2593" s="31"/>
      <c r="P2593" s="50"/>
      <c r="Q2593" s="50"/>
      <c r="R2593" s="60"/>
      <c r="S2593" s="50"/>
      <c r="U2593" t="s">
        <v>1017</v>
      </c>
      <c r="V2593" s="50"/>
      <c r="W2593" s="50"/>
      <c r="X2593" s="50"/>
      <c r="Y2593" s="50"/>
      <c r="Z2593" s="50"/>
      <c r="AA2593" s="52"/>
      <c r="AD2593" s="38"/>
    </row>
    <row r="2594" spans="1:30" x14ac:dyDescent="0.35">
      <c r="A2594" s="497" t="s">
        <v>3332</v>
      </c>
      <c r="B2594" s="13" t="s">
        <v>5547</v>
      </c>
      <c r="C2594" s="13" t="s">
        <v>5404</v>
      </c>
      <c r="D2594" s="13" t="s">
        <v>3202</v>
      </c>
      <c r="E2594" s="13" t="s">
        <v>4811</v>
      </c>
      <c r="F2594" s="373">
        <v>13.75</v>
      </c>
      <c r="G2594" s="430">
        <v>13.75</v>
      </c>
      <c r="H2594" s="399">
        <f t="shared" si="1048"/>
        <v>11</v>
      </c>
      <c r="I2594" s="576"/>
      <c r="J2594" s="549" t="s">
        <v>5804</v>
      </c>
      <c r="K2594" s="11"/>
      <c r="L2594" s="55" t="str">
        <f t="shared" si="1049"/>
        <v/>
      </c>
      <c r="M2594" s="37">
        <f t="shared" si="1050"/>
        <v>13.75</v>
      </c>
      <c r="N2594" s="29">
        <v>8.25</v>
      </c>
      <c r="O2594" s="31" t="s">
        <v>1017</v>
      </c>
      <c r="P2594" s="50"/>
      <c r="Q2594" s="50"/>
      <c r="R2594" s="60"/>
      <c r="S2594" s="50"/>
      <c r="U2594" t="s">
        <v>1017</v>
      </c>
      <c r="V2594" s="50"/>
      <c r="W2594" s="50"/>
      <c r="X2594" s="50"/>
      <c r="Y2594" s="50"/>
      <c r="Z2594" s="50"/>
      <c r="AA2594" s="52"/>
      <c r="AD2594" s="38"/>
    </row>
    <row r="2595" spans="1:30" x14ac:dyDescent="0.35">
      <c r="A2595" s="497" t="s">
        <v>3317</v>
      </c>
      <c r="B2595" s="13" t="s">
        <v>5547</v>
      </c>
      <c r="C2595" s="13" t="s">
        <v>5404</v>
      </c>
      <c r="D2595" s="13" t="s">
        <v>2906</v>
      </c>
      <c r="E2595" s="13" t="s">
        <v>4809</v>
      </c>
      <c r="F2595" s="373">
        <v>10.25</v>
      </c>
      <c r="G2595" s="430">
        <v>10.25</v>
      </c>
      <c r="H2595" s="399">
        <f t="shared" si="1048"/>
        <v>8.1999999999999993</v>
      </c>
      <c r="I2595" s="576"/>
      <c r="J2595" s="549" t="s">
        <v>5804</v>
      </c>
      <c r="K2595" s="11"/>
      <c r="L2595" s="55" t="str">
        <f t="shared" si="1049"/>
        <v/>
      </c>
      <c r="M2595" s="37">
        <f t="shared" si="1050"/>
        <v>10.25</v>
      </c>
      <c r="N2595" s="29">
        <v>8.25</v>
      </c>
      <c r="O2595" s="31"/>
      <c r="P2595" s="50"/>
      <c r="Q2595" s="50"/>
      <c r="R2595" s="60"/>
      <c r="S2595" s="50"/>
      <c r="V2595" s="50"/>
      <c r="W2595" s="50"/>
      <c r="X2595" s="50"/>
      <c r="Y2595" s="50"/>
      <c r="Z2595" s="50"/>
      <c r="AA2595" s="52"/>
      <c r="AB2595" t="s">
        <v>1017</v>
      </c>
      <c r="AD2595" s="38"/>
    </row>
    <row r="2596" spans="1:30" x14ac:dyDescent="0.35">
      <c r="A2596" s="497" t="s">
        <v>3318</v>
      </c>
      <c r="B2596" s="13" t="s">
        <v>5547</v>
      </c>
      <c r="C2596" s="13" t="s">
        <v>5404</v>
      </c>
      <c r="D2596" s="13" t="s">
        <v>3195</v>
      </c>
      <c r="E2596" s="13" t="s">
        <v>4811</v>
      </c>
      <c r="F2596" s="373">
        <v>13.25</v>
      </c>
      <c r="G2596" s="430">
        <v>13.25</v>
      </c>
      <c r="H2596" s="399">
        <f t="shared" si="1048"/>
        <v>10.6</v>
      </c>
      <c r="I2596" s="576"/>
      <c r="J2596" s="549" t="s">
        <v>5804</v>
      </c>
      <c r="K2596" s="11"/>
      <c r="L2596" s="55" t="str">
        <f t="shared" si="1049"/>
        <v/>
      </c>
      <c r="M2596" s="37">
        <f t="shared" si="1050"/>
        <v>13.25</v>
      </c>
      <c r="N2596" s="29">
        <v>8.25</v>
      </c>
      <c r="O2596" s="31" t="s">
        <v>1017</v>
      </c>
      <c r="P2596" s="50"/>
      <c r="Q2596" s="50"/>
      <c r="R2596" s="60"/>
      <c r="S2596" s="50"/>
      <c r="V2596" s="50"/>
      <c r="W2596" s="50"/>
      <c r="X2596" s="50"/>
      <c r="Y2596" s="50"/>
      <c r="Z2596" s="50"/>
      <c r="AA2596" s="52"/>
      <c r="AB2596" t="s">
        <v>1017</v>
      </c>
      <c r="AD2596" s="38"/>
    </row>
    <row r="2597" spans="1:30" x14ac:dyDescent="0.35">
      <c r="A2597" s="497" t="s">
        <v>4316</v>
      </c>
      <c r="B2597" s="13" t="s">
        <v>5547</v>
      </c>
      <c r="C2597" s="13" t="s">
        <v>5404</v>
      </c>
      <c r="D2597" s="13" t="s">
        <v>3289</v>
      </c>
      <c r="E2597" s="13" t="s">
        <v>4809</v>
      </c>
      <c r="F2597" s="373">
        <v>14.25</v>
      </c>
      <c r="G2597" s="430">
        <v>14.25</v>
      </c>
      <c r="H2597" s="399">
        <f t="shared" si="1048"/>
        <v>11.4</v>
      </c>
      <c r="I2597" s="576"/>
      <c r="J2597" s="549" t="s">
        <v>5804</v>
      </c>
      <c r="K2597" s="11"/>
      <c r="L2597" s="55" t="str">
        <f t="shared" si="1049"/>
        <v/>
      </c>
      <c r="M2597" s="37">
        <f t="shared" si="1050"/>
        <v>14.25</v>
      </c>
      <c r="N2597" s="29">
        <v>8.25</v>
      </c>
      <c r="O2597" s="31"/>
      <c r="P2597" s="50"/>
      <c r="Q2597" s="50"/>
      <c r="R2597" s="60"/>
      <c r="S2597" s="50"/>
      <c r="T2597" t="s">
        <v>1017</v>
      </c>
      <c r="V2597" s="50"/>
      <c r="W2597" s="50"/>
      <c r="X2597" s="50"/>
      <c r="Y2597" s="50"/>
      <c r="Z2597" s="50"/>
      <c r="AA2597" s="52"/>
      <c r="AB2597" t="s">
        <v>1017</v>
      </c>
      <c r="AD2597" s="38"/>
    </row>
    <row r="2598" spans="1:30" x14ac:dyDescent="0.35">
      <c r="A2598" s="497" t="s">
        <v>4317</v>
      </c>
      <c r="B2598" s="13" t="s">
        <v>5547</v>
      </c>
      <c r="C2598" s="13" t="s">
        <v>5404</v>
      </c>
      <c r="D2598" s="13" t="s">
        <v>5560</v>
      </c>
      <c r="E2598" s="13" t="s">
        <v>4811</v>
      </c>
      <c r="F2598" s="373">
        <v>17.25</v>
      </c>
      <c r="G2598" s="430">
        <v>17.25</v>
      </c>
      <c r="H2598" s="399">
        <f t="shared" si="1048"/>
        <v>13.8</v>
      </c>
      <c r="I2598" s="576"/>
      <c r="J2598" s="549" t="s">
        <v>5804</v>
      </c>
      <c r="K2598" s="11"/>
      <c r="L2598" s="55" t="str">
        <f t="shared" si="1049"/>
        <v/>
      </c>
      <c r="M2598" s="37">
        <f t="shared" si="1050"/>
        <v>17.25</v>
      </c>
      <c r="N2598" s="29">
        <v>8.25</v>
      </c>
      <c r="O2598" s="31" t="s">
        <v>1017</v>
      </c>
      <c r="P2598" s="50"/>
      <c r="Q2598" s="50"/>
      <c r="R2598" s="60"/>
      <c r="S2598" s="50"/>
      <c r="T2598" t="s">
        <v>1017</v>
      </c>
      <c r="V2598" s="50"/>
      <c r="W2598" s="50"/>
      <c r="X2598" s="50"/>
      <c r="Y2598" s="50"/>
      <c r="Z2598" s="50"/>
      <c r="AA2598" s="52"/>
      <c r="AB2598" t="s">
        <v>1017</v>
      </c>
      <c r="AD2598" s="38"/>
    </row>
    <row r="2599" spans="1:30" x14ac:dyDescent="0.35">
      <c r="A2599" s="497" t="s">
        <v>4318</v>
      </c>
      <c r="B2599" s="13" t="s">
        <v>5547</v>
      </c>
      <c r="C2599" s="13" t="s">
        <v>5404</v>
      </c>
      <c r="D2599" s="13" t="s">
        <v>2366</v>
      </c>
      <c r="E2599" s="13" t="s">
        <v>4809</v>
      </c>
      <c r="F2599" s="373">
        <v>12.75</v>
      </c>
      <c r="G2599" s="430">
        <v>12.75</v>
      </c>
      <c r="H2599" s="399">
        <f t="shared" si="1048"/>
        <v>10.199999999999999</v>
      </c>
      <c r="I2599" s="576"/>
      <c r="J2599" s="549" t="s">
        <v>5804</v>
      </c>
      <c r="K2599" s="11"/>
      <c r="L2599" s="55" t="str">
        <f t="shared" si="1049"/>
        <v/>
      </c>
      <c r="M2599" s="37">
        <f t="shared" si="1050"/>
        <v>12.75</v>
      </c>
      <c r="N2599" s="29">
        <v>8.25</v>
      </c>
      <c r="O2599" s="31"/>
      <c r="P2599" s="50"/>
      <c r="Q2599" s="50"/>
      <c r="R2599" s="60"/>
      <c r="S2599" s="50"/>
      <c r="U2599" t="s">
        <v>1017</v>
      </c>
      <c r="V2599" s="50"/>
      <c r="W2599" s="50"/>
      <c r="X2599" s="50"/>
      <c r="Y2599" s="50"/>
      <c r="Z2599" s="50"/>
      <c r="AA2599" s="52"/>
      <c r="AB2599" t="s">
        <v>1017</v>
      </c>
      <c r="AD2599" s="38"/>
    </row>
    <row r="2600" spans="1:30" x14ac:dyDescent="0.35">
      <c r="A2600" s="497" t="s">
        <v>4319</v>
      </c>
      <c r="B2600" s="13" t="s">
        <v>5547</v>
      </c>
      <c r="C2600" s="13" t="s">
        <v>5404</v>
      </c>
      <c r="D2600" s="13" t="s">
        <v>5561</v>
      </c>
      <c r="E2600" s="13" t="s">
        <v>4811</v>
      </c>
      <c r="F2600" s="373">
        <v>15.75</v>
      </c>
      <c r="G2600" s="430">
        <v>15.75</v>
      </c>
      <c r="H2600" s="399">
        <f t="shared" si="1048"/>
        <v>12.6</v>
      </c>
      <c r="I2600" s="576"/>
      <c r="J2600" s="549" t="s">
        <v>5804</v>
      </c>
      <c r="K2600" s="11"/>
      <c r="L2600" s="55" t="str">
        <f t="shared" si="1049"/>
        <v/>
      </c>
      <c r="M2600" s="37">
        <f t="shared" si="1050"/>
        <v>15.75</v>
      </c>
      <c r="N2600" s="29">
        <v>8.25</v>
      </c>
      <c r="O2600" s="31" t="s">
        <v>1017</v>
      </c>
      <c r="P2600" s="50"/>
      <c r="Q2600" s="50"/>
      <c r="R2600" s="60"/>
      <c r="S2600" s="50"/>
      <c r="U2600" t="s">
        <v>1017</v>
      </c>
      <c r="V2600" s="50"/>
      <c r="W2600" s="50"/>
      <c r="X2600" s="50"/>
      <c r="Y2600" s="50"/>
      <c r="Z2600" s="50"/>
      <c r="AA2600" s="52"/>
      <c r="AB2600" t="s">
        <v>1017</v>
      </c>
      <c r="AD2600" s="38"/>
    </row>
    <row r="2601" spans="1:30" x14ac:dyDescent="0.35">
      <c r="A2601" s="497" t="s">
        <v>3323</v>
      </c>
      <c r="B2601" s="13" t="s">
        <v>5547</v>
      </c>
      <c r="C2601" s="13" t="s">
        <v>5404</v>
      </c>
      <c r="D2601" s="13" t="s">
        <v>594</v>
      </c>
      <c r="E2601" s="13" t="s">
        <v>4809</v>
      </c>
      <c r="F2601" s="373">
        <v>9.25</v>
      </c>
      <c r="G2601" s="430">
        <v>9.25</v>
      </c>
      <c r="H2601" s="399">
        <f t="shared" si="1048"/>
        <v>7.4</v>
      </c>
      <c r="I2601" s="576"/>
      <c r="J2601" s="549" t="s">
        <v>5804</v>
      </c>
      <c r="K2601" s="11"/>
      <c r="L2601" s="55" t="str">
        <f t="shared" si="1049"/>
        <v/>
      </c>
      <c r="M2601" s="37">
        <f t="shared" si="1050"/>
        <v>9.25</v>
      </c>
      <c r="N2601" s="29">
        <v>8.25</v>
      </c>
      <c r="O2601" s="31"/>
      <c r="P2601" s="50"/>
      <c r="Q2601" s="50"/>
      <c r="R2601" s="60"/>
      <c r="S2601" s="50"/>
      <c r="V2601" s="50"/>
      <c r="W2601" s="50"/>
      <c r="X2601" s="50"/>
      <c r="Y2601" s="50"/>
      <c r="Z2601" s="50"/>
      <c r="AA2601" s="52"/>
      <c r="AC2601" t="s">
        <v>1017</v>
      </c>
      <c r="AD2601" s="38"/>
    </row>
    <row r="2602" spans="1:30" x14ac:dyDescent="0.35">
      <c r="A2602" s="497" t="s">
        <v>3324</v>
      </c>
      <c r="B2602" s="13" t="s">
        <v>5547</v>
      </c>
      <c r="C2602" s="13" t="s">
        <v>5404</v>
      </c>
      <c r="D2602" s="13" t="s">
        <v>3197</v>
      </c>
      <c r="E2602" s="13" t="s">
        <v>4811</v>
      </c>
      <c r="F2602" s="373">
        <v>12.25</v>
      </c>
      <c r="G2602" s="430">
        <v>12.25</v>
      </c>
      <c r="H2602" s="399">
        <f t="shared" si="1048"/>
        <v>9.8000000000000007</v>
      </c>
      <c r="I2602" s="576"/>
      <c r="J2602" s="549" t="s">
        <v>5804</v>
      </c>
      <c r="K2602" s="11"/>
      <c r="L2602" s="55" t="str">
        <f t="shared" si="1049"/>
        <v/>
      </c>
      <c r="M2602" s="37">
        <f t="shared" si="1050"/>
        <v>12.25</v>
      </c>
      <c r="N2602" s="29">
        <v>8.25</v>
      </c>
      <c r="O2602" s="31" t="s">
        <v>1017</v>
      </c>
      <c r="P2602" s="50"/>
      <c r="Q2602" s="50"/>
      <c r="R2602" s="60"/>
      <c r="S2602" s="50"/>
      <c r="V2602" s="50"/>
      <c r="W2602" s="50"/>
      <c r="X2602" s="50"/>
      <c r="Y2602" s="50"/>
      <c r="Z2602" s="50"/>
      <c r="AA2602" s="52"/>
      <c r="AC2602" t="s">
        <v>1017</v>
      </c>
      <c r="AD2602" s="38"/>
    </row>
    <row r="2603" spans="1:30" x14ac:dyDescent="0.35">
      <c r="A2603" s="497" t="s">
        <v>1048</v>
      </c>
      <c r="B2603" s="13" t="s">
        <v>5547</v>
      </c>
      <c r="C2603" s="13" t="s">
        <v>5404</v>
      </c>
      <c r="D2603" s="13" t="s">
        <v>3293</v>
      </c>
      <c r="E2603" s="13" t="s">
        <v>4809</v>
      </c>
      <c r="F2603" s="373">
        <v>13.25</v>
      </c>
      <c r="G2603" s="430">
        <v>13.25</v>
      </c>
      <c r="H2603" s="399">
        <f t="shared" si="1048"/>
        <v>10.6</v>
      </c>
      <c r="I2603" s="576"/>
      <c r="J2603" s="549" t="s">
        <v>5804</v>
      </c>
      <c r="K2603" s="11"/>
      <c r="L2603" s="55" t="str">
        <f t="shared" si="1049"/>
        <v/>
      </c>
      <c r="M2603" s="37">
        <f t="shared" si="1050"/>
        <v>13.25</v>
      </c>
      <c r="N2603" s="29">
        <v>8.25</v>
      </c>
      <c r="O2603" s="31"/>
      <c r="P2603" s="50"/>
      <c r="Q2603" s="50"/>
      <c r="R2603" s="60"/>
      <c r="S2603" s="50"/>
      <c r="T2603" t="s">
        <v>1017</v>
      </c>
      <c r="V2603" s="50"/>
      <c r="W2603" s="50"/>
      <c r="X2603" s="50"/>
      <c r="Y2603" s="50"/>
      <c r="Z2603" s="50"/>
      <c r="AA2603" s="52"/>
      <c r="AC2603" t="s">
        <v>1017</v>
      </c>
      <c r="AD2603" s="38"/>
    </row>
    <row r="2604" spans="1:30" x14ac:dyDescent="0.35">
      <c r="A2604" s="497" t="s">
        <v>1049</v>
      </c>
      <c r="B2604" s="13" t="s">
        <v>5547</v>
      </c>
      <c r="C2604" s="13" t="s">
        <v>5404</v>
      </c>
      <c r="D2604" s="13" t="s">
        <v>5569</v>
      </c>
      <c r="E2604" s="13" t="s">
        <v>4811</v>
      </c>
      <c r="F2604" s="373">
        <v>16.25</v>
      </c>
      <c r="G2604" s="430">
        <v>16.25</v>
      </c>
      <c r="H2604" s="399">
        <f t="shared" si="1048"/>
        <v>13</v>
      </c>
      <c r="I2604" s="576"/>
      <c r="J2604" s="549" t="s">
        <v>5804</v>
      </c>
      <c r="K2604" s="11"/>
      <c r="L2604" s="55" t="str">
        <f t="shared" si="1049"/>
        <v/>
      </c>
      <c r="M2604" s="37">
        <f t="shared" si="1050"/>
        <v>16.25</v>
      </c>
      <c r="N2604" s="29">
        <v>8.25</v>
      </c>
      <c r="O2604" s="31" t="s">
        <v>1017</v>
      </c>
      <c r="P2604" s="50"/>
      <c r="Q2604" s="50"/>
      <c r="R2604" s="60"/>
      <c r="S2604" s="50"/>
      <c r="T2604" t="s">
        <v>1017</v>
      </c>
      <c r="V2604" s="50"/>
      <c r="W2604" s="50"/>
      <c r="X2604" s="50"/>
      <c r="Y2604" s="50"/>
      <c r="Z2604" s="50"/>
      <c r="AA2604" s="52"/>
      <c r="AC2604" t="s">
        <v>1017</v>
      </c>
      <c r="AD2604" s="38"/>
    </row>
    <row r="2605" spans="1:30" x14ac:dyDescent="0.35">
      <c r="A2605" s="497" t="s">
        <v>1050</v>
      </c>
      <c r="B2605" s="13" t="s">
        <v>5547</v>
      </c>
      <c r="C2605" s="13" t="s">
        <v>5404</v>
      </c>
      <c r="D2605" s="13" t="s">
        <v>2367</v>
      </c>
      <c r="E2605" s="13" t="s">
        <v>4809</v>
      </c>
      <c r="F2605" s="373">
        <v>11.75</v>
      </c>
      <c r="G2605" s="430">
        <v>11.75</v>
      </c>
      <c r="H2605" s="399">
        <f t="shared" si="1048"/>
        <v>9.4</v>
      </c>
      <c r="I2605" s="576"/>
      <c r="J2605" s="549" t="s">
        <v>5804</v>
      </c>
      <c r="K2605" s="11"/>
      <c r="L2605" s="55" t="str">
        <f t="shared" si="1049"/>
        <v/>
      </c>
      <c r="M2605" s="37">
        <f t="shared" si="1050"/>
        <v>11.75</v>
      </c>
      <c r="N2605" s="29">
        <v>8.25</v>
      </c>
      <c r="O2605" s="31"/>
      <c r="P2605" s="50"/>
      <c r="Q2605" s="50"/>
      <c r="R2605" s="60"/>
      <c r="S2605" s="50"/>
      <c r="U2605" t="s">
        <v>1017</v>
      </c>
      <c r="V2605" s="50"/>
      <c r="W2605" s="50"/>
      <c r="X2605" s="50"/>
      <c r="Y2605" s="50"/>
      <c r="Z2605" s="50"/>
      <c r="AA2605" s="52"/>
      <c r="AC2605" t="s">
        <v>1017</v>
      </c>
      <c r="AD2605" s="38"/>
    </row>
    <row r="2606" spans="1:30" x14ac:dyDescent="0.35">
      <c r="A2606" s="497" t="s">
        <v>1051</v>
      </c>
      <c r="B2606" s="13" t="s">
        <v>5547</v>
      </c>
      <c r="C2606" s="13" t="s">
        <v>5404</v>
      </c>
      <c r="D2606" s="13" t="s">
        <v>2646</v>
      </c>
      <c r="E2606" s="13" t="s">
        <v>4811</v>
      </c>
      <c r="F2606" s="373">
        <v>14.75</v>
      </c>
      <c r="G2606" s="430">
        <v>14.75</v>
      </c>
      <c r="H2606" s="399">
        <f t="shared" si="1048"/>
        <v>11.8</v>
      </c>
      <c r="I2606" s="576"/>
      <c r="J2606" s="549" t="s">
        <v>5804</v>
      </c>
      <c r="K2606" s="11"/>
      <c r="L2606" s="55" t="str">
        <f t="shared" si="1049"/>
        <v/>
      </c>
      <c r="M2606" s="37">
        <f t="shared" si="1050"/>
        <v>14.75</v>
      </c>
      <c r="N2606" s="29">
        <v>8.25</v>
      </c>
      <c r="O2606" s="31" t="s">
        <v>1017</v>
      </c>
      <c r="P2606" s="50"/>
      <c r="Q2606" s="50"/>
      <c r="R2606" s="60"/>
      <c r="S2606" s="50"/>
      <c r="U2606" t="s">
        <v>1017</v>
      </c>
      <c r="V2606" s="50"/>
      <c r="W2606" s="50"/>
      <c r="X2606" s="50"/>
      <c r="Y2606" s="50"/>
      <c r="Z2606" s="50"/>
      <c r="AA2606" s="52"/>
      <c r="AC2606" t="s">
        <v>1017</v>
      </c>
      <c r="AD2606" s="38"/>
    </row>
    <row r="2607" spans="1:30" x14ac:dyDescent="0.35">
      <c r="A2607" s="497" t="s">
        <v>728</v>
      </c>
      <c r="B2607" s="13" t="s">
        <v>5547</v>
      </c>
      <c r="C2607" s="13" t="s">
        <v>5404</v>
      </c>
      <c r="D2607" s="13" t="s">
        <v>596</v>
      </c>
      <c r="E2607" s="13" t="s">
        <v>4809</v>
      </c>
      <c r="F2607" s="373">
        <v>10.25</v>
      </c>
      <c r="G2607" s="430">
        <v>10.25</v>
      </c>
      <c r="H2607" s="399">
        <f t="shared" si="1048"/>
        <v>8.1999999999999993</v>
      </c>
      <c r="I2607" s="576"/>
      <c r="J2607" s="549" t="s">
        <v>5804</v>
      </c>
      <c r="K2607" s="11"/>
      <c r="L2607" s="55" t="str">
        <f t="shared" si="1049"/>
        <v/>
      </c>
      <c r="M2607" s="37">
        <f t="shared" si="1050"/>
        <v>10.25</v>
      </c>
      <c r="N2607" s="29">
        <v>8.25</v>
      </c>
      <c r="O2607" s="31"/>
      <c r="P2607" s="50"/>
      <c r="Q2607" s="50"/>
      <c r="R2607" s="60"/>
      <c r="S2607" s="50"/>
      <c r="V2607" s="50"/>
      <c r="W2607" s="50"/>
      <c r="X2607" s="50"/>
      <c r="Y2607" s="50"/>
      <c r="Z2607" s="50"/>
      <c r="AA2607" s="52"/>
      <c r="AD2607" s="38" t="s">
        <v>1017</v>
      </c>
    </row>
    <row r="2608" spans="1:30" x14ac:dyDescent="0.35">
      <c r="A2608" s="497" t="s">
        <v>729</v>
      </c>
      <c r="B2608" s="13" t="s">
        <v>5547</v>
      </c>
      <c r="C2608" s="13" t="s">
        <v>5404</v>
      </c>
      <c r="D2608" s="13" t="s">
        <v>3199</v>
      </c>
      <c r="E2608" s="13" t="s">
        <v>4811</v>
      </c>
      <c r="F2608" s="373">
        <v>13.25</v>
      </c>
      <c r="G2608" s="430">
        <v>13.25</v>
      </c>
      <c r="H2608" s="399">
        <f t="shared" si="1048"/>
        <v>10.6</v>
      </c>
      <c r="I2608" s="576"/>
      <c r="J2608" s="549" t="s">
        <v>5804</v>
      </c>
      <c r="K2608" s="11"/>
      <c r="L2608" s="55" t="str">
        <f t="shared" si="1049"/>
        <v/>
      </c>
      <c r="M2608" s="37">
        <f t="shared" si="1050"/>
        <v>13.25</v>
      </c>
      <c r="N2608" s="29">
        <v>8.25</v>
      </c>
      <c r="O2608" s="31" t="s">
        <v>1017</v>
      </c>
      <c r="P2608" s="50"/>
      <c r="Q2608" s="50"/>
      <c r="R2608" s="60"/>
      <c r="S2608" s="50"/>
      <c r="V2608" s="50"/>
      <c r="W2608" s="50"/>
      <c r="X2608" s="50"/>
      <c r="Y2608" s="50"/>
      <c r="Z2608" s="50"/>
      <c r="AA2608" s="52"/>
      <c r="AD2608" s="38" t="s">
        <v>1017</v>
      </c>
    </row>
    <row r="2609" spans="1:31" x14ac:dyDescent="0.35">
      <c r="A2609" s="497" t="s">
        <v>730</v>
      </c>
      <c r="B2609" s="13" t="s">
        <v>5547</v>
      </c>
      <c r="C2609" s="13" t="s">
        <v>5404</v>
      </c>
      <c r="D2609" s="13" t="s">
        <v>851</v>
      </c>
      <c r="E2609" s="13" t="s">
        <v>4809</v>
      </c>
      <c r="F2609" s="373">
        <v>14.25</v>
      </c>
      <c r="G2609" s="430">
        <v>14.25</v>
      </c>
      <c r="H2609" s="399">
        <f t="shared" si="1048"/>
        <v>11.4</v>
      </c>
      <c r="I2609" s="576"/>
      <c r="J2609" s="549" t="s">
        <v>5804</v>
      </c>
      <c r="K2609" s="11"/>
      <c r="L2609" s="55" t="str">
        <f t="shared" si="1049"/>
        <v/>
      </c>
      <c r="M2609" s="37">
        <f t="shared" si="1050"/>
        <v>14.25</v>
      </c>
      <c r="N2609" s="29">
        <v>8.25</v>
      </c>
      <c r="O2609" s="31"/>
      <c r="P2609" s="50"/>
      <c r="Q2609" s="50"/>
      <c r="R2609" s="60"/>
      <c r="S2609" s="50"/>
      <c r="T2609" t="s">
        <v>1017</v>
      </c>
      <c r="V2609" s="50"/>
      <c r="W2609" s="50"/>
      <c r="X2609" s="50"/>
      <c r="Y2609" s="50"/>
      <c r="Z2609" s="50"/>
      <c r="AA2609" s="52"/>
      <c r="AD2609" s="38" t="s">
        <v>1017</v>
      </c>
    </row>
    <row r="2610" spans="1:31" x14ac:dyDescent="0.35">
      <c r="A2610" s="497" t="s">
        <v>731</v>
      </c>
      <c r="B2610" s="13" t="s">
        <v>5547</v>
      </c>
      <c r="C2610" s="13" t="s">
        <v>5404</v>
      </c>
      <c r="D2610" s="13" t="s">
        <v>2654</v>
      </c>
      <c r="E2610" s="13" t="s">
        <v>4811</v>
      </c>
      <c r="F2610" s="373">
        <v>17.25</v>
      </c>
      <c r="G2610" s="430">
        <v>17.25</v>
      </c>
      <c r="H2610" s="399">
        <f t="shared" si="1048"/>
        <v>13.8</v>
      </c>
      <c r="I2610" s="576"/>
      <c r="J2610" s="549" t="s">
        <v>5804</v>
      </c>
      <c r="K2610" s="11"/>
      <c r="L2610" s="55" t="str">
        <f t="shared" si="1049"/>
        <v/>
      </c>
      <c r="M2610" s="37">
        <f t="shared" si="1050"/>
        <v>17.25</v>
      </c>
      <c r="N2610" s="29">
        <v>8.25</v>
      </c>
      <c r="O2610" s="31" t="s">
        <v>1017</v>
      </c>
      <c r="P2610" s="50"/>
      <c r="Q2610" s="50"/>
      <c r="R2610" s="60"/>
      <c r="S2610" s="50"/>
      <c r="T2610" t="s">
        <v>1017</v>
      </c>
      <c r="V2610" s="50"/>
      <c r="W2610" s="50"/>
      <c r="X2610" s="50"/>
      <c r="Y2610" s="50"/>
      <c r="Z2610" s="50"/>
      <c r="AA2610" s="52"/>
      <c r="AD2610" s="38" t="s">
        <v>1017</v>
      </c>
    </row>
    <row r="2611" spans="1:31" x14ac:dyDescent="0.35">
      <c r="A2611" s="497" t="s">
        <v>732</v>
      </c>
      <c r="B2611" s="13" t="s">
        <v>5547</v>
      </c>
      <c r="C2611" s="13" t="s">
        <v>5404</v>
      </c>
      <c r="D2611" s="13" t="s">
        <v>2368</v>
      </c>
      <c r="E2611" s="13" t="s">
        <v>4809</v>
      </c>
      <c r="F2611" s="373">
        <v>12.75</v>
      </c>
      <c r="G2611" s="430">
        <v>12.75</v>
      </c>
      <c r="H2611" s="399">
        <f t="shared" si="1048"/>
        <v>10.199999999999999</v>
      </c>
      <c r="I2611" s="576"/>
      <c r="J2611" s="549" t="s">
        <v>5804</v>
      </c>
      <c r="K2611" s="11"/>
      <c r="L2611" s="55" t="str">
        <f t="shared" si="1049"/>
        <v/>
      </c>
      <c r="M2611" s="37">
        <f t="shared" si="1050"/>
        <v>12.75</v>
      </c>
      <c r="N2611" s="29">
        <v>8.25</v>
      </c>
      <c r="O2611" s="31"/>
      <c r="P2611" s="50"/>
      <c r="Q2611" s="50"/>
      <c r="R2611" s="60"/>
      <c r="S2611" s="50"/>
      <c r="U2611" t="s">
        <v>1017</v>
      </c>
      <c r="V2611" s="50"/>
      <c r="W2611" s="50"/>
      <c r="X2611" s="50"/>
      <c r="Y2611" s="50"/>
      <c r="Z2611" s="50"/>
      <c r="AA2611" s="52"/>
      <c r="AD2611" s="38" t="s">
        <v>1017</v>
      </c>
    </row>
    <row r="2612" spans="1:31" x14ac:dyDescent="0.35">
      <c r="A2612" s="497" t="s">
        <v>733</v>
      </c>
      <c r="B2612" s="13" t="s">
        <v>5547</v>
      </c>
      <c r="C2612" s="13" t="s">
        <v>5404</v>
      </c>
      <c r="D2612" s="13" t="s">
        <v>2655</v>
      </c>
      <c r="E2612" s="13" t="s">
        <v>4811</v>
      </c>
      <c r="F2612" s="373">
        <v>15.75</v>
      </c>
      <c r="G2612" s="430">
        <v>15.75</v>
      </c>
      <c r="H2612" s="399">
        <f t="shared" si="1048"/>
        <v>12.6</v>
      </c>
      <c r="I2612" s="576"/>
      <c r="J2612" s="549" t="s">
        <v>5804</v>
      </c>
      <c r="K2612" s="11"/>
      <c r="L2612" s="55" t="str">
        <f t="shared" si="1049"/>
        <v/>
      </c>
      <c r="M2612" s="37">
        <f t="shared" si="1050"/>
        <v>15.75</v>
      </c>
      <c r="N2612" s="29">
        <v>8.25</v>
      </c>
      <c r="O2612" s="31" t="s">
        <v>1017</v>
      </c>
      <c r="P2612" s="50"/>
      <c r="Q2612" s="50"/>
      <c r="R2612" s="60"/>
      <c r="S2612" s="50"/>
      <c r="U2612" t="s">
        <v>1017</v>
      </c>
      <c r="V2612" s="50"/>
      <c r="W2612" s="50"/>
      <c r="X2612" s="50"/>
      <c r="Y2612" s="50"/>
      <c r="Z2612" s="50"/>
      <c r="AA2612" s="52"/>
      <c r="AD2612" s="38" t="s">
        <v>1017</v>
      </c>
    </row>
    <row r="2613" spans="1:31" x14ac:dyDescent="0.35">
      <c r="A2613" s="497" t="s">
        <v>3312</v>
      </c>
      <c r="B2613" s="13" t="s">
        <v>5547</v>
      </c>
      <c r="C2613" s="13" t="s">
        <v>5404</v>
      </c>
      <c r="D2613" s="13" t="s">
        <v>2904</v>
      </c>
      <c r="E2613" s="13" t="s">
        <v>4811</v>
      </c>
      <c r="F2613" s="373">
        <v>10.79</v>
      </c>
      <c r="G2613" s="430">
        <v>10.79</v>
      </c>
      <c r="H2613" s="399">
        <f t="shared" si="1048"/>
        <v>8.6300000000000008</v>
      </c>
      <c r="I2613" s="576"/>
      <c r="J2613" s="549" t="s">
        <v>5804</v>
      </c>
      <c r="K2613" s="67"/>
      <c r="L2613" s="68" t="str">
        <f t="shared" si="1049"/>
        <v/>
      </c>
      <c r="M2613" s="45">
        <f t="shared" si="1050"/>
        <v>10.79</v>
      </c>
      <c r="N2613" s="40">
        <v>7.79</v>
      </c>
      <c r="O2613" s="69" t="s">
        <v>1017</v>
      </c>
      <c r="P2613" s="70" t="s">
        <v>775</v>
      </c>
      <c r="Q2613" s="62"/>
      <c r="R2613" s="61"/>
      <c r="S2613" s="62"/>
      <c r="T2613" s="62"/>
      <c r="U2613" s="62"/>
      <c r="V2613" s="62"/>
      <c r="W2613" s="62"/>
      <c r="X2613" s="62"/>
      <c r="Y2613" s="62"/>
      <c r="Z2613" s="62"/>
      <c r="AA2613" s="63"/>
      <c r="AB2613" s="62"/>
      <c r="AC2613" s="62"/>
      <c r="AD2613" s="63"/>
    </row>
    <row r="2614" spans="1:31" x14ac:dyDescent="0.35">
      <c r="A2614" s="496"/>
      <c r="B2614" s="1"/>
      <c r="C2614" s="18"/>
      <c r="D2614" s="18"/>
      <c r="E2614" s="1"/>
      <c r="F2614" s="375"/>
      <c r="G2614" s="432"/>
      <c r="H2614" s="401"/>
      <c r="I2614" s="578"/>
      <c r="J2614" s="549" t="s">
        <v>4179</v>
      </c>
      <c r="K2614" s="22"/>
      <c r="L2614" s="22"/>
      <c r="M2614" s="22"/>
      <c r="N2614" s="22"/>
      <c r="O2614" s="11"/>
      <c r="P2614" s="11"/>
    </row>
    <row r="2615" spans="1:31" ht="17.25" customHeight="1" x14ac:dyDescent="0.35">
      <c r="A2615" s="496"/>
      <c r="B2615" s="1"/>
      <c r="C2615" s="1"/>
      <c r="D2615" s="1"/>
      <c r="E2615" s="1"/>
      <c r="F2615" s="375"/>
      <c r="G2615" s="432"/>
      <c r="H2615" s="401"/>
      <c r="I2615" s="578"/>
      <c r="J2615" s="549" t="s">
        <v>4179</v>
      </c>
      <c r="K2615" s="22"/>
      <c r="M2615" s="53" t="s">
        <v>1263</v>
      </c>
      <c r="N2615" s="27"/>
      <c r="O2615" s="22"/>
      <c r="P2615" s="22"/>
    </row>
    <row r="2616" spans="1:31" x14ac:dyDescent="0.35">
      <c r="A2616" s="496"/>
      <c r="B2616" s="1"/>
      <c r="C2616" s="18"/>
      <c r="D2616" s="18"/>
      <c r="E2616" s="1"/>
      <c r="F2616" s="375"/>
      <c r="G2616" s="432"/>
      <c r="H2616" s="401"/>
      <c r="I2616" s="578"/>
      <c r="J2616" s="549" t="s">
        <v>4179</v>
      </c>
      <c r="K2616" s="22"/>
      <c r="L2616" s="22"/>
      <c r="M2616" s="165">
        <v>2010</v>
      </c>
      <c r="N2616" s="22"/>
      <c r="O2616" s="31" t="s">
        <v>2660</v>
      </c>
      <c r="P2616" s="22"/>
      <c r="R2616" s="42"/>
      <c r="S2616" s="31" t="s">
        <v>776</v>
      </c>
      <c r="AA2616" s="38"/>
      <c r="AB2616" s="57" t="s">
        <v>777</v>
      </c>
      <c r="AD2616" s="38"/>
    </row>
    <row r="2617" spans="1:31" ht="63.5" x14ac:dyDescent="0.35">
      <c r="A2617" s="496"/>
      <c r="B2617" s="1"/>
      <c r="C2617" s="18"/>
      <c r="D2617" s="18"/>
      <c r="E2617" s="1"/>
      <c r="F2617" s="375"/>
      <c r="G2617" s="432"/>
      <c r="H2617" s="401"/>
      <c r="I2617" s="578"/>
      <c r="J2617" s="549" t="s">
        <v>4179</v>
      </c>
      <c r="K2617" s="22"/>
      <c r="L2617" s="22"/>
      <c r="M2617" s="36" t="s">
        <v>2913</v>
      </c>
      <c r="N2617" s="30" t="s">
        <v>1261</v>
      </c>
      <c r="O2617" s="32" t="s">
        <v>4851</v>
      </c>
      <c r="P2617" s="48"/>
      <c r="Q2617" s="48"/>
      <c r="R2617" s="65" t="s">
        <v>4853</v>
      </c>
      <c r="S2617" s="30" t="s">
        <v>1021</v>
      </c>
      <c r="T2617" s="30" t="s">
        <v>1029</v>
      </c>
      <c r="U2617" s="30" t="s">
        <v>786</v>
      </c>
      <c r="V2617" s="64" t="s">
        <v>4883</v>
      </c>
      <c r="W2617" s="64" t="s">
        <v>5519</v>
      </c>
      <c r="X2617" s="64" t="s">
        <v>5520</v>
      </c>
      <c r="Y2617" s="64" t="s">
        <v>5521</v>
      </c>
      <c r="Z2617" s="64" t="s">
        <v>4852</v>
      </c>
      <c r="AA2617" s="66" t="s">
        <v>770</v>
      </c>
      <c r="AB2617" s="30" t="s">
        <v>772</v>
      </c>
      <c r="AC2617" s="30" t="s">
        <v>773</v>
      </c>
      <c r="AD2617" s="39" t="s">
        <v>774</v>
      </c>
      <c r="AE2617" s="95" t="s">
        <v>5489</v>
      </c>
    </row>
    <row r="2618" spans="1:31" ht="31.5" x14ac:dyDescent="0.35">
      <c r="A2618" s="496"/>
      <c r="B2618" s="1"/>
      <c r="C2618" s="18"/>
      <c r="D2618" s="18"/>
      <c r="E2618" s="1"/>
      <c r="F2618" s="375"/>
      <c r="G2618" s="432"/>
      <c r="H2618" s="401"/>
      <c r="I2618" s="578"/>
      <c r="J2618" s="549" t="s">
        <v>4179</v>
      </c>
      <c r="K2618" s="22"/>
      <c r="L2618" s="22"/>
      <c r="M2618" s="34"/>
      <c r="N2618" s="30"/>
      <c r="O2618" s="32" t="s">
        <v>1033</v>
      </c>
      <c r="P2618" s="48"/>
      <c r="Q2618" s="48"/>
      <c r="R2618" s="43" t="s">
        <v>1034</v>
      </c>
      <c r="S2618" s="32" t="s">
        <v>1019</v>
      </c>
      <c r="T2618" s="30" t="s">
        <v>1020</v>
      </c>
      <c r="U2618" s="30" t="s">
        <v>1022</v>
      </c>
      <c r="V2618" s="30" t="s">
        <v>1023</v>
      </c>
      <c r="W2618" s="30" t="s">
        <v>1024</v>
      </c>
      <c r="X2618" s="30" t="s">
        <v>1025</v>
      </c>
      <c r="Y2618" s="30" t="s">
        <v>1026</v>
      </c>
      <c r="Z2618" s="30" t="s">
        <v>1028</v>
      </c>
      <c r="AA2618" s="39" t="s">
        <v>1027</v>
      </c>
      <c r="AB2618" s="30" t="s">
        <v>1032</v>
      </c>
      <c r="AC2618" s="30" t="s">
        <v>1030</v>
      </c>
      <c r="AD2618" s="39" t="s">
        <v>1031</v>
      </c>
      <c r="AE2618" s="100">
        <v>0.01</v>
      </c>
    </row>
    <row r="2619" spans="1:31" x14ac:dyDescent="0.35">
      <c r="A2619" s="496"/>
      <c r="B2619" s="1"/>
      <c r="C2619" s="1"/>
      <c r="D2619" s="1"/>
      <c r="E2619" s="1"/>
      <c r="F2619" s="375"/>
      <c r="G2619" s="432"/>
      <c r="H2619" s="401"/>
      <c r="I2619" s="578"/>
      <c r="J2619" s="549" t="s">
        <v>4179</v>
      </c>
      <c r="L2619" s="56"/>
      <c r="M2619" s="35"/>
      <c r="N2619" s="28"/>
      <c r="O2619" s="33">
        <f>ROUND(O$2396*(1-$AE$2618),2)</f>
        <v>2.97</v>
      </c>
      <c r="P2619" s="49"/>
      <c r="Q2619" s="49"/>
      <c r="R2619" s="44">
        <f>ROUND(R$2396*(1-$AE$2618),2)</f>
        <v>0.99</v>
      </c>
      <c r="S2619" s="28">
        <f>ROUND(S$2396*(1-$AE$2618),2)</f>
        <v>5.94</v>
      </c>
      <c r="T2619" s="28">
        <f>ROUND(T$2396*(1-$AE$2618),2)</f>
        <v>3.96</v>
      </c>
      <c r="U2619" s="28">
        <f>ROUND(U$2396*(1-$AE$2618),2)</f>
        <v>2.48</v>
      </c>
      <c r="V2619" s="28">
        <f>ROUND(V$2396*(1-$AE$2618),2)</f>
        <v>6.93</v>
      </c>
      <c r="W2619" s="28">
        <f>V2619+ROUND(4*(1-$AE$2618)^($M$2616-2009),2)</f>
        <v>10.89</v>
      </c>
      <c r="X2619" s="28">
        <f>V2619+ROUND(1*(1-$AE$2618)^($M$2616-2009),2)</f>
        <v>7.92</v>
      </c>
      <c r="Y2619" s="28">
        <f>V2619+ROUND(2*(1-$AE$2618)^($M$2616-2009),2)</f>
        <v>8.91</v>
      </c>
      <c r="Z2619" s="28">
        <f>W2619+ROUND(2*(1-$AE$2618)^($M$2616-2009),2)</f>
        <v>12.870000000000001</v>
      </c>
      <c r="AA2619" s="40">
        <f>X2619+ROUND(2*(1-$AE$2618)^($M$2616-2009),2)</f>
        <v>9.9</v>
      </c>
      <c r="AB2619" s="33">
        <f>ROUND(AB$2396*(1-$AE$2618),2)</f>
        <v>1.98</v>
      </c>
      <c r="AC2619" s="28">
        <f>ROUND(AC$2396*(1-$AE$2618),2)</f>
        <v>0.99</v>
      </c>
      <c r="AD2619" s="40">
        <f>ROUND(AD$2396*(1-$AE$2618),2)</f>
        <v>1.98</v>
      </c>
      <c r="AE2619" s="29" t="s">
        <v>5496</v>
      </c>
    </row>
    <row r="2620" spans="1:31" x14ac:dyDescent="0.35">
      <c r="A2620" s="497" t="s">
        <v>2392</v>
      </c>
      <c r="B2620" s="13" t="s">
        <v>5547</v>
      </c>
      <c r="C2620" s="13" t="s">
        <v>2385</v>
      </c>
      <c r="D2620" s="13" t="s">
        <v>1780</v>
      </c>
      <c r="E2620" s="13" t="s">
        <v>4809</v>
      </c>
      <c r="F2620" s="373">
        <v>11.55</v>
      </c>
      <c r="G2620" s="430">
        <v>11.55</v>
      </c>
      <c r="H2620" s="399">
        <f t="shared" ref="H2620:H2683" si="1051">IF(ISNUMBER(G2620),ROUND(0.8*G2620,2),"")</f>
        <v>9.24</v>
      </c>
      <c r="I2620" s="576"/>
      <c r="J2620" s="549" t="s">
        <v>5804</v>
      </c>
      <c r="K2620" s="11"/>
      <c r="L2620" s="55" t="str">
        <f t="shared" ref="L2620:L2683" si="1052">IF(F2620=M2620,"",FALSE)</f>
        <v/>
      </c>
      <c r="M2620" s="37">
        <f t="shared" ref="M2620:M2683" si="1053">N2620+SUMIF(O2620:AD2620,"x",O$2619:AD$2619)</f>
        <v>11.55</v>
      </c>
      <c r="N2620" s="29">
        <f t="shared" ref="N2620:N2683" si="1054">ROUND(N2397*(1-$AE$2618),2)</f>
        <v>11.55</v>
      </c>
      <c r="O2620" s="46"/>
      <c r="P2620" s="50"/>
      <c r="Q2620" s="50"/>
      <c r="R2620" s="54"/>
      <c r="T2620" s="50"/>
      <c r="U2620" s="50"/>
      <c r="X2620" s="50"/>
      <c r="AA2620" s="51"/>
      <c r="AD2620" s="47"/>
    </row>
    <row r="2621" spans="1:31" x14ac:dyDescent="0.35">
      <c r="A2621" s="497" t="s">
        <v>2393</v>
      </c>
      <c r="B2621" s="13" t="s">
        <v>5547</v>
      </c>
      <c r="C2621" s="13" t="s">
        <v>2385</v>
      </c>
      <c r="D2621" s="13" t="s">
        <v>7242</v>
      </c>
      <c r="E2621" s="13" t="s">
        <v>4811</v>
      </c>
      <c r="F2621" s="373">
        <v>14.52</v>
      </c>
      <c r="G2621" s="430">
        <v>14.52</v>
      </c>
      <c r="H2621" s="399">
        <f t="shared" si="1051"/>
        <v>11.62</v>
      </c>
      <c r="I2621" s="576"/>
      <c r="J2621" s="549" t="s">
        <v>5804</v>
      </c>
      <c r="K2621" s="11"/>
      <c r="L2621" s="55" t="str">
        <f t="shared" si="1052"/>
        <v/>
      </c>
      <c r="M2621" s="37">
        <f t="shared" si="1053"/>
        <v>14.520000000000001</v>
      </c>
      <c r="N2621" s="29">
        <f t="shared" si="1054"/>
        <v>11.55</v>
      </c>
      <c r="O2621" s="31" t="s">
        <v>1017</v>
      </c>
      <c r="P2621" s="50"/>
      <c r="Q2621" s="50"/>
      <c r="R2621" s="42"/>
      <c r="T2621" s="50"/>
      <c r="U2621" s="50"/>
      <c r="X2621" s="50"/>
      <c r="AA2621" s="52"/>
      <c r="AD2621" s="38"/>
    </row>
    <row r="2622" spans="1:31" x14ac:dyDescent="0.35">
      <c r="A2622" s="497" t="s">
        <v>2394</v>
      </c>
      <c r="B2622" s="13" t="s">
        <v>5547</v>
      </c>
      <c r="C2622" s="13" t="s">
        <v>2385</v>
      </c>
      <c r="D2622" s="13" t="s">
        <v>7243</v>
      </c>
      <c r="E2622" s="13" t="s">
        <v>4809</v>
      </c>
      <c r="F2622" s="373">
        <v>12.54</v>
      </c>
      <c r="G2622" s="430">
        <v>12.54</v>
      </c>
      <c r="H2622" s="399">
        <f t="shared" si="1051"/>
        <v>10.029999999999999</v>
      </c>
      <c r="I2622" s="576"/>
      <c r="J2622" s="549" t="s">
        <v>5804</v>
      </c>
      <c r="K2622" s="11"/>
      <c r="L2622" s="55" t="str">
        <f t="shared" si="1052"/>
        <v/>
      </c>
      <c r="M2622" s="37">
        <f t="shared" si="1053"/>
        <v>12.540000000000001</v>
      </c>
      <c r="N2622" s="29">
        <f t="shared" si="1054"/>
        <v>11.55</v>
      </c>
      <c r="O2622" s="31"/>
      <c r="P2622" s="50"/>
      <c r="Q2622" s="50"/>
      <c r="R2622" s="42" t="s">
        <v>1017</v>
      </c>
      <c r="T2622" s="50"/>
      <c r="U2622" s="50"/>
      <c r="X2622" s="50"/>
      <c r="AA2622" s="52"/>
      <c r="AD2622" s="38"/>
    </row>
    <row r="2623" spans="1:31" x14ac:dyDescent="0.35">
      <c r="A2623" s="497" t="s">
        <v>2395</v>
      </c>
      <c r="B2623" s="13" t="s">
        <v>5547</v>
      </c>
      <c r="C2623" s="13" t="s">
        <v>2385</v>
      </c>
      <c r="D2623" s="13" t="s">
        <v>7244</v>
      </c>
      <c r="E2623" s="13" t="s">
        <v>4811</v>
      </c>
      <c r="F2623" s="373">
        <v>15.51</v>
      </c>
      <c r="G2623" s="430">
        <v>15.51</v>
      </c>
      <c r="H2623" s="399">
        <f t="shared" si="1051"/>
        <v>12.41</v>
      </c>
      <c r="I2623" s="576"/>
      <c r="J2623" s="549" t="s">
        <v>5804</v>
      </c>
      <c r="K2623" s="11"/>
      <c r="L2623" s="55" t="str">
        <f t="shared" si="1052"/>
        <v/>
      </c>
      <c r="M2623" s="37">
        <f t="shared" si="1053"/>
        <v>15.510000000000002</v>
      </c>
      <c r="N2623" s="29">
        <f t="shared" si="1054"/>
        <v>11.55</v>
      </c>
      <c r="O2623" s="31" t="s">
        <v>1017</v>
      </c>
      <c r="P2623" s="50"/>
      <c r="Q2623" s="50"/>
      <c r="R2623" s="42" t="s">
        <v>1017</v>
      </c>
      <c r="T2623" s="50"/>
      <c r="U2623" s="50"/>
      <c r="X2623" s="50"/>
      <c r="AA2623" s="52"/>
      <c r="AD2623" s="38"/>
    </row>
    <row r="2624" spans="1:31" x14ac:dyDescent="0.35">
      <c r="A2624" s="497" t="s">
        <v>2396</v>
      </c>
      <c r="B2624" s="13" t="s">
        <v>5547</v>
      </c>
      <c r="C2624" s="13" t="s">
        <v>2385</v>
      </c>
      <c r="D2624" s="13" t="s">
        <v>6876</v>
      </c>
      <c r="E2624" s="13" t="s">
        <v>4809</v>
      </c>
      <c r="F2624" s="373">
        <v>17.489999999999998</v>
      </c>
      <c r="G2624" s="430">
        <v>17.489999999999998</v>
      </c>
      <c r="H2624" s="399">
        <f t="shared" si="1051"/>
        <v>13.99</v>
      </c>
      <c r="I2624" s="576"/>
      <c r="J2624" s="549" t="s">
        <v>5804</v>
      </c>
      <c r="K2624" s="11"/>
      <c r="L2624" s="55" t="str">
        <f t="shared" si="1052"/>
        <v/>
      </c>
      <c r="M2624" s="37">
        <f t="shared" si="1053"/>
        <v>17.490000000000002</v>
      </c>
      <c r="N2624" s="29">
        <f t="shared" si="1054"/>
        <v>11.55</v>
      </c>
      <c r="O2624" s="31"/>
      <c r="P2624" s="50"/>
      <c r="Q2624" s="50"/>
      <c r="R2624" s="42"/>
      <c r="S2624" t="s">
        <v>1017</v>
      </c>
      <c r="T2624" s="50"/>
      <c r="U2624" s="50"/>
      <c r="X2624" s="50"/>
      <c r="AA2624" s="52"/>
      <c r="AD2624" s="38"/>
    </row>
    <row r="2625" spans="1:30" x14ac:dyDescent="0.35">
      <c r="A2625" s="497" t="s">
        <v>2397</v>
      </c>
      <c r="B2625" s="13" t="s">
        <v>5547</v>
      </c>
      <c r="C2625" s="13" t="s">
        <v>2385</v>
      </c>
      <c r="D2625" s="13" t="s">
        <v>7245</v>
      </c>
      <c r="E2625" s="13" t="s">
        <v>4811</v>
      </c>
      <c r="F2625" s="373">
        <v>20.46</v>
      </c>
      <c r="G2625" s="430">
        <v>20.46</v>
      </c>
      <c r="H2625" s="399">
        <f t="shared" si="1051"/>
        <v>16.37</v>
      </c>
      <c r="I2625" s="576"/>
      <c r="J2625" s="549" t="s">
        <v>5804</v>
      </c>
      <c r="K2625" s="11"/>
      <c r="L2625" s="55" t="str">
        <f t="shared" si="1052"/>
        <v/>
      </c>
      <c r="M2625" s="37">
        <f t="shared" si="1053"/>
        <v>20.46</v>
      </c>
      <c r="N2625" s="29">
        <f t="shared" si="1054"/>
        <v>11.55</v>
      </c>
      <c r="O2625" s="31" t="s">
        <v>1017</v>
      </c>
      <c r="P2625" s="50"/>
      <c r="Q2625" s="50"/>
      <c r="R2625" s="42"/>
      <c r="S2625" t="s">
        <v>1017</v>
      </c>
      <c r="T2625" s="50"/>
      <c r="U2625" s="50"/>
      <c r="X2625" s="50"/>
      <c r="AA2625" s="52"/>
      <c r="AD2625" s="38"/>
    </row>
    <row r="2626" spans="1:30" x14ac:dyDescent="0.35">
      <c r="A2626" s="497" t="s">
        <v>2398</v>
      </c>
      <c r="B2626" s="13" t="s">
        <v>5547</v>
      </c>
      <c r="C2626" s="13" t="s">
        <v>2385</v>
      </c>
      <c r="D2626" s="13" t="s">
        <v>7246</v>
      </c>
      <c r="E2626" s="13" t="s">
        <v>4809</v>
      </c>
      <c r="F2626" s="373">
        <v>18.48</v>
      </c>
      <c r="G2626" s="430">
        <v>18.48</v>
      </c>
      <c r="H2626" s="399">
        <f t="shared" si="1051"/>
        <v>14.78</v>
      </c>
      <c r="I2626" s="576"/>
      <c r="J2626" s="549" t="s">
        <v>5804</v>
      </c>
      <c r="K2626" s="11"/>
      <c r="L2626" s="55" t="str">
        <f t="shared" si="1052"/>
        <v/>
      </c>
      <c r="M2626" s="37">
        <f t="shared" si="1053"/>
        <v>18.48</v>
      </c>
      <c r="N2626" s="29">
        <f t="shared" si="1054"/>
        <v>11.55</v>
      </c>
      <c r="O2626" s="31"/>
      <c r="P2626" s="50"/>
      <c r="Q2626" s="50"/>
      <c r="R2626" s="42" t="s">
        <v>1017</v>
      </c>
      <c r="S2626" t="s">
        <v>1017</v>
      </c>
      <c r="T2626" s="50"/>
      <c r="U2626" s="50"/>
      <c r="X2626" s="50"/>
      <c r="AA2626" s="52"/>
      <c r="AD2626" s="38"/>
    </row>
    <row r="2627" spans="1:30" x14ac:dyDescent="0.35">
      <c r="A2627" s="497" t="s">
        <v>2399</v>
      </c>
      <c r="B2627" s="13" t="s">
        <v>5547</v>
      </c>
      <c r="C2627" s="13" t="s">
        <v>2385</v>
      </c>
      <c r="D2627" s="13" t="s">
        <v>7247</v>
      </c>
      <c r="E2627" s="13" t="s">
        <v>4811</v>
      </c>
      <c r="F2627" s="373">
        <v>21.45</v>
      </c>
      <c r="G2627" s="430">
        <v>21.45</v>
      </c>
      <c r="H2627" s="399">
        <f t="shared" si="1051"/>
        <v>17.16</v>
      </c>
      <c r="I2627" s="576"/>
      <c r="J2627" s="549" t="s">
        <v>5804</v>
      </c>
      <c r="K2627" s="11"/>
      <c r="L2627" s="55" t="str">
        <f t="shared" si="1052"/>
        <v/>
      </c>
      <c r="M2627" s="37">
        <f t="shared" si="1053"/>
        <v>21.450000000000003</v>
      </c>
      <c r="N2627" s="29">
        <f t="shared" si="1054"/>
        <v>11.55</v>
      </c>
      <c r="O2627" s="31" t="s">
        <v>1017</v>
      </c>
      <c r="P2627" s="50"/>
      <c r="Q2627" s="50"/>
      <c r="R2627" s="42" t="s">
        <v>1017</v>
      </c>
      <c r="S2627" t="s">
        <v>1017</v>
      </c>
      <c r="T2627" s="50"/>
      <c r="U2627" s="50"/>
      <c r="X2627" s="50"/>
      <c r="AA2627" s="52"/>
      <c r="AD2627" s="38"/>
    </row>
    <row r="2628" spans="1:30" x14ac:dyDescent="0.35">
      <c r="A2628" s="497" t="s">
        <v>2400</v>
      </c>
      <c r="B2628" s="13" t="s">
        <v>5547</v>
      </c>
      <c r="C2628" s="13" t="s">
        <v>2385</v>
      </c>
      <c r="D2628" s="13" t="s">
        <v>6805</v>
      </c>
      <c r="E2628" s="13" t="s">
        <v>4809</v>
      </c>
      <c r="F2628" s="373">
        <v>18.48</v>
      </c>
      <c r="G2628" s="430">
        <v>18.48</v>
      </c>
      <c r="H2628" s="399">
        <f t="shared" si="1051"/>
        <v>14.78</v>
      </c>
      <c r="I2628" s="576"/>
      <c r="J2628" s="549" t="s">
        <v>5804</v>
      </c>
      <c r="K2628" s="11"/>
      <c r="L2628" s="55" t="str">
        <f t="shared" si="1052"/>
        <v/>
      </c>
      <c r="M2628" s="37">
        <f t="shared" si="1053"/>
        <v>18.48</v>
      </c>
      <c r="N2628" s="29">
        <f t="shared" si="1054"/>
        <v>11.55</v>
      </c>
      <c r="O2628" s="31"/>
      <c r="P2628" s="50"/>
      <c r="Q2628" s="50"/>
      <c r="R2628" s="42"/>
      <c r="T2628" s="50"/>
      <c r="U2628" s="50"/>
      <c r="V2628" t="s">
        <v>1017</v>
      </c>
      <c r="X2628" s="50"/>
      <c r="AA2628" s="52"/>
      <c r="AD2628" s="38"/>
    </row>
    <row r="2629" spans="1:30" x14ac:dyDescent="0.35">
      <c r="A2629" s="497" t="s">
        <v>2401</v>
      </c>
      <c r="B2629" s="13" t="s">
        <v>5547</v>
      </c>
      <c r="C2629" s="13" t="s">
        <v>2385</v>
      </c>
      <c r="D2629" s="13" t="s">
        <v>7248</v>
      </c>
      <c r="E2629" s="13" t="s">
        <v>4811</v>
      </c>
      <c r="F2629" s="373">
        <v>21.45</v>
      </c>
      <c r="G2629" s="430">
        <v>21.45</v>
      </c>
      <c r="H2629" s="399">
        <f t="shared" si="1051"/>
        <v>17.16</v>
      </c>
      <c r="I2629" s="576"/>
      <c r="J2629" s="549" t="s">
        <v>5804</v>
      </c>
      <c r="K2629" s="11"/>
      <c r="L2629" s="55" t="str">
        <f t="shared" si="1052"/>
        <v/>
      </c>
      <c r="M2629" s="37">
        <f t="shared" si="1053"/>
        <v>21.450000000000003</v>
      </c>
      <c r="N2629" s="29">
        <f t="shared" si="1054"/>
        <v>11.55</v>
      </c>
      <c r="O2629" s="31" t="s">
        <v>1017</v>
      </c>
      <c r="P2629" s="50"/>
      <c r="Q2629" s="50"/>
      <c r="R2629" s="42"/>
      <c r="T2629" s="50"/>
      <c r="U2629" s="50"/>
      <c r="V2629" t="s">
        <v>1017</v>
      </c>
      <c r="X2629" s="50"/>
      <c r="AA2629" s="52"/>
      <c r="AD2629" s="38"/>
    </row>
    <row r="2630" spans="1:30" x14ac:dyDescent="0.35">
      <c r="A2630" s="497" t="s">
        <v>2402</v>
      </c>
      <c r="B2630" s="13" t="s">
        <v>5547</v>
      </c>
      <c r="C2630" s="13" t="s">
        <v>2385</v>
      </c>
      <c r="D2630" s="13" t="s">
        <v>7249</v>
      </c>
      <c r="E2630" s="13" t="s">
        <v>4809</v>
      </c>
      <c r="F2630" s="373">
        <v>19.47</v>
      </c>
      <c r="G2630" s="430">
        <v>19.47</v>
      </c>
      <c r="H2630" s="399">
        <f t="shared" si="1051"/>
        <v>15.58</v>
      </c>
      <c r="I2630" s="576"/>
      <c r="J2630" s="549" t="s">
        <v>5804</v>
      </c>
      <c r="K2630" s="11"/>
      <c r="L2630" s="55" t="str">
        <f t="shared" si="1052"/>
        <v/>
      </c>
      <c r="M2630" s="37">
        <f t="shared" si="1053"/>
        <v>19.47</v>
      </c>
      <c r="N2630" s="29">
        <f t="shared" si="1054"/>
        <v>11.55</v>
      </c>
      <c r="O2630" s="31"/>
      <c r="P2630" s="50"/>
      <c r="Q2630" s="50"/>
      <c r="R2630" s="42" t="s">
        <v>1017</v>
      </c>
      <c r="T2630" s="50"/>
      <c r="U2630" s="50"/>
      <c r="V2630" t="s">
        <v>1017</v>
      </c>
      <c r="X2630" s="50"/>
      <c r="AA2630" s="52"/>
      <c r="AD2630" s="38"/>
    </row>
    <row r="2631" spans="1:30" x14ac:dyDescent="0.35">
      <c r="A2631" s="497" t="s">
        <v>2403</v>
      </c>
      <c r="B2631" s="13" t="s">
        <v>5547</v>
      </c>
      <c r="C2631" s="13" t="s">
        <v>2385</v>
      </c>
      <c r="D2631" s="13" t="s">
        <v>7250</v>
      </c>
      <c r="E2631" s="13" t="s">
        <v>4811</v>
      </c>
      <c r="F2631" s="373">
        <v>22.44</v>
      </c>
      <c r="G2631" s="430">
        <v>22.44</v>
      </c>
      <c r="H2631" s="399">
        <f t="shared" si="1051"/>
        <v>17.95</v>
      </c>
      <c r="I2631" s="576"/>
      <c r="J2631" s="549" t="s">
        <v>5804</v>
      </c>
      <c r="K2631" s="11"/>
      <c r="L2631" s="55" t="str">
        <f t="shared" si="1052"/>
        <v/>
      </c>
      <c r="M2631" s="37">
        <f t="shared" si="1053"/>
        <v>22.44</v>
      </c>
      <c r="N2631" s="29">
        <f t="shared" si="1054"/>
        <v>11.55</v>
      </c>
      <c r="O2631" s="31" t="s">
        <v>1017</v>
      </c>
      <c r="P2631" s="50"/>
      <c r="Q2631" s="50"/>
      <c r="R2631" s="42" t="s">
        <v>1017</v>
      </c>
      <c r="T2631" s="50"/>
      <c r="U2631" s="50"/>
      <c r="V2631" t="s">
        <v>1017</v>
      </c>
      <c r="X2631" s="50"/>
      <c r="AA2631" s="52"/>
      <c r="AD2631" s="38"/>
    </row>
    <row r="2632" spans="1:30" x14ac:dyDescent="0.35">
      <c r="A2632" s="497" t="s">
        <v>2404</v>
      </c>
      <c r="B2632" s="13" t="s">
        <v>5547</v>
      </c>
      <c r="C2632" s="13" t="s">
        <v>2385</v>
      </c>
      <c r="D2632" s="13" t="s">
        <v>6829</v>
      </c>
      <c r="E2632" s="13" t="s">
        <v>4809</v>
      </c>
      <c r="F2632" s="373">
        <v>20.46</v>
      </c>
      <c r="G2632" s="430">
        <v>20.46</v>
      </c>
      <c r="H2632" s="399">
        <f t="shared" si="1051"/>
        <v>16.37</v>
      </c>
      <c r="I2632" s="576"/>
      <c r="J2632" s="549" t="s">
        <v>5804</v>
      </c>
      <c r="K2632" s="11"/>
      <c r="L2632" s="55" t="str">
        <f t="shared" si="1052"/>
        <v/>
      </c>
      <c r="M2632" s="37">
        <f t="shared" si="1053"/>
        <v>20.46</v>
      </c>
      <c r="N2632" s="29">
        <f t="shared" si="1054"/>
        <v>11.55</v>
      </c>
      <c r="O2632" s="31"/>
      <c r="P2632" s="50"/>
      <c r="Q2632" s="50"/>
      <c r="R2632" s="42"/>
      <c r="T2632" s="50"/>
      <c r="U2632" s="50"/>
      <c r="X2632" s="50"/>
      <c r="Y2632" t="s">
        <v>1017</v>
      </c>
      <c r="AA2632" s="52"/>
      <c r="AD2632" s="38"/>
    </row>
    <row r="2633" spans="1:30" x14ac:dyDescent="0.35">
      <c r="A2633" s="497" t="s">
        <v>2405</v>
      </c>
      <c r="B2633" s="13" t="s">
        <v>5547</v>
      </c>
      <c r="C2633" s="13" t="s">
        <v>2385</v>
      </c>
      <c r="D2633" s="13" t="s">
        <v>7251</v>
      </c>
      <c r="E2633" s="13" t="s">
        <v>4811</v>
      </c>
      <c r="F2633" s="373">
        <v>23.43</v>
      </c>
      <c r="G2633" s="430">
        <v>23.43</v>
      </c>
      <c r="H2633" s="399">
        <f t="shared" si="1051"/>
        <v>18.739999999999998</v>
      </c>
      <c r="I2633" s="576"/>
      <c r="J2633" s="549" t="s">
        <v>5804</v>
      </c>
      <c r="K2633" s="11"/>
      <c r="L2633" s="55" t="str">
        <f t="shared" si="1052"/>
        <v/>
      </c>
      <c r="M2633" s="37">
        <f t="shared" si="1053"/>
        <v>23.43</v>
      </c>
      <c r="N2633" s="29">
        <f t="shared" si="1054"/>
        <v>11.55</v>
      </c>
      <c r="O2633" s="31" t="s">
        <v>1017</v>
      </c>
      <c r="P2633" s="50"/>
      <c r="Q2633" s="50"/>
      <c r="R2633" s="42"/>
      <c r="T2633" s="50"/>
      <c r="U2633" s="50"/>
      <c r="X2633" s="50"/>
      <c r="Y2633" t="s">
        <v>1017</v>
      </c>
      <c r="AA2633" s="52"/>
      <c r="AD2633" s="38"/>
    </row>
    <row r="2634" spans="1:30" x14ac:dyDescent="0.35">
      <c r="A2634" s="497" t="s">
        <v>2406</v>
      </c>
      <c r="B2634" s="13" t="s">
        <v>5547</v>
      </c>
      <c r="C2634" s="13" t="s">
        <v>2385</v>
      </c>
      <c r="D2634" s="13" t="s">
        <v>7252</v>
      </c>
      <c r="E2634" s="13" t="s">
        <v>4809</v>
      </c>
      <c r="F2634" s="373">
        <v>21.45</v>
      </c>
      <c r="G2634" s="430">
        <v>21.45</v>
      </c>
      <c r="H2634" s="399">
        <f t="shared" si="1051"/>
        <v>17.16</v>
      </c>
      <c r="I2634" s="576"/>
      <c r="J2634" s="549" t="s">
        <v>5804</v>
      </c>
      <c r="K2634" s="11"/>
      <c r="L2634" s="55" t="str">
        <f t="shared" si="1052"/>
        <v/>
      </c>
      <c r="M2634" s="37">
        <f t="shared" si="1053"/>
        <v>21.450000000000003</v>
      </c>
      <c r="N2634" s="29">
        <f t="shared" si="1054"/>
        <v>11.55</v>
      </c>
      <c r="O2634" s="31"/>
      <c r="P2634" s="50"/>
      <c r="Q2634" s="50"/>
      <c r="R2634" s="42" t="s">
        <v>1017</v>
      </c>
      <c r="T2634" s="50"/>
      <c r="U2634" s="50"/>
      <c r="X2634" s="50"/>
      <c r="Y2634" t="s">
        <v>1017</v>
      </c>
      <c r="AA2634" s="52"/>
      <c r="AD2634" s="38"/>
    </row>
    <row r="2635" spans="1:30" x14ac:dyDescent="0.35">
      <c r="A2635" s="497" t="s">
        <v>2407</v>
      </c>
      <c r="B2635" s="13" t="s">
        <v>5547</v>
      </c>
      <c r="C2635" s="13" t="s">
        <v>2385</v>
      </c>
      <c r="D2635" s="13" t="s">
        <v>7253</v>
      </c>
      <c r="E2635" s="13" t="s">
        <v>4811</v>
      </c>
      <c r="F2635" s="373">
        <v>24.42</v>
      </c>
      <c r="G2635" s="430">
        <v>24.42</v>
      </c>
      <c r="H2635" s="399">
        <f t="shared" si="1051"/>
        <v>19.54</v>
      </c>
      <c r="I2635" s="576"/>
      <c r="J2635" s="549" t="s">
        <v>5804</v>
      </c>
      <c r="K2635" s="11"/>
      <c r="L2635" s="55" t="str">
        <f t="shared" si="1052"/>
        <v/>
      </c>
      <c r="M2635" s="37">
        <f t="shared" si="1053"/>
        <v>24.42</v>
      </c>
      <c r="N2635" s="29">
        <f t="shared" si="1054"/>
        <v>11.55</v>
      </c>
      <c r="O2635" s="31" t="s">
        <v>1017</v>
      </c>
      <c r="P2635" s="50"/>
      <c r="Q2635" s="50"/>
      <c r="R2635" s="42" t="s">
        <v>1017</v>
      </c>
      <c r="T2635" s="50"/>
      <c r="U2635" s="50"/>
      <c r="X2635" s="50"/>
      <c r="Y2635" t="s">
        <v>1017</v>
      </c>
      <c r="AA2635" s="52"/>
      <c r="AD2635" s="38"/>
    </row>
    <row r="2636" spans="1:30" x14ac:dyDescent="0.35">
      <c r="A2636" s="497" t="s">
        <v>2408</v>
      </c>
      <c r="B2636" s="13" t="s">
        <v>5547</v>
      </c>
      <c r="C2636" s="13" t="s">
        <v>2385</v>
      </c>
      <c r="D2636" s="13" t="s">
        <v>6817</v>
      </c>
      <c r="E2636" s="13" t="s">
        <v>4809</v>
      </c>
      <c r="F2636" s="373">
        <v>22.44</v>
      </c>
      <c r="G2636" s="430">
        <v>22.44</v>
      </c>
      <c r="H2636" s="399">
        <f t="shared" si="1051"/>
        <v>17.95</v>
      </c>
      <c r="I2636" s="576"/>
      <c r="J2636" s="549" t="s">
        <v>5804</v>
      </c>
      <c r="K2636" s="11"/>
      <c r="L2636" s="55" t="str">
        <f t="shared" si="1052"/>
        <v/>
      </c>
      <c r="M2636" s="37">
        <f t="shared" si="1053"/>
        <v>22.44</v>
      </c>
      <c r="N2636" s="29">
        <f t="shared" si="1054"/>
        <v>11.55</v>
      </c>
      <c r="O2636" s="31"/>
      <c r="P2636" s="50"/>
      <c r="Q2636" s="50"/>
      <c r="R2636" s="42"/>
      <c r="T2636" s="50"/>
      <c r="U2636" s="50"/>
      <c r="W2636" t="s">
        <v>1017</v>
      </c>
      <c r="X2636" s="50"/>
      <c r="AA2636" s="52"/>
      <c r="AD2636" s="38"/>
    </row>
    <row r="2637" spans="1:30" x14ac:dyDescent="0.35">
      <c r="A2637" s="497" t="s">
        <v>2409</v>
      </c>
      <c r="B2637" s="13" t="s">
        <v>5547</v>
      </c>
      <c r="C2637" s="13" t="s">
        <v>2385</v>
      </c>
      <c r="D2637" s="13" t="s">
        <v>7254</v>
      </c>
      <c r="E2637" s="13" t="s">
        <v>4811</v>
      </c>
      <c r="F2637" s="373">
        <v>25.41</v>
      </c>
      <c r="G2637" s="430">
        <v>25.41</v>
      </c>
      <c r="H2637" s="399">
        <f t="shared" si="1051"/>
        <v>20.329999999999998</v>
      </c>
      <c r="I2637" s="576"/>
      <c r="J2637" s="549" t="s">
        <v>5804</v>
      </c>
      <c r="K2637" s="11"/>
      <c r="L2637" s="55" t="str">
        <f t="shared" si="1052"/>
        <v/>
      </c>
      <c r="M2637" s="37">
        <f t="shared" si="1053"/>
        <v>25.410000000000004</v>
      </c>
      <c r="N2637" s="29">
        <f t="shared" si="1054"/>
        <v>11.55</v>
      </c>
      <c r="O2637" s="31" t="s">
        <v>1017</v>
      </c>
      <c r="P2637" s="50"/>
      <c r="Q2637" s="50"/>
      <c r="R2637" s="42"/>
      <c r="T2637" s="50"/>
      <c r="U2637" s="50"/>
      <c r="W2637" t="s">
        <v>1017</v>
      </c>
      <c r="X2637" s="50"/>
      <c r="AA2637" s="52"/>
      <c r="AD2637" s="38"/>
    </row>
    <row r="2638" spans="1:30" x14ac:dyDescent="0.35">
      <c r="A2638" s="497" t="s">
        <v>2410</v>
      </c>
      <c r="B2638" s="13" t="s">
        <v>5547</v>
      </c>
      <c r="C2638" s="13" t="s">
        <v>2385</v>
      </c>
      <c r="D2638" s="13" t="s">
        <v>7255</v>
      </c>
      <c r="E2638" s="13" t="s">
        <v>4809</v>
      </c>
      <c r="F2638" s="373">
        <v>23.43</v>
      </c>
      <c r="G2638" s="430">
        <v>23.43</v>
      </c>
      <c r="H2638" s="399">
        <f t="shared" si="1051"/>
        <v>18.739999999999998</v>
      </c>
      <c r="I2638" s="576"/>
      <c r="J2638" s="549" t="s">
        <v>5804</v>
      </c>
      <c r="K2638" s="11"/>
      <c r="L2638" s="55" t="str">
        <f t="shared" si="1052"/>
        <v/>
      </c>
      <c r="M2638" s="37">
        <f t="shared" si="1053"/>
        <v>23.43</v>
      </c>
      <c r="N2638" s="29">
        <f t="shared" si="1054"/>
        <v>11.55</v>
      </c>
      <c r="O2638" s="31"/>
      <c r="P2638" s="50"/>
      <c r="Q2638" s="50"/>
      <c r="R2638" s="42" t="s">
        <v>1017</v>
      </c>
      <c r="T2638" s="50"/>
      <c r="U2638" s="50"/>
      <c r="W2638" t="s">
        <v>1017</v>
      </c>
      <c r="X2638" s="50"/>
      <c r="AA2638" s="52"/>
      <c r="AD2638" s="38"/>
    </row>
    <row r="2639" spans="1:30" x14ac:dyDescent="0.35">
      <c r="A2639" s="497" t="s">
        <v>2411</v>
      </c>
      <c r="B2639" s="13" t="s">
        <v>5547</v>
      </c>
      <c r="C2639" s="13" t="s">
        <v>2385</v>
      </c>
      <c r="D2639" s="13" t="s">
        <v>7256</v>
      </c>
      <c r="E2639" s="13" t="s">
        <v>4811</v>
      </c>
      <c r="F2639" s="373">
        <v>26.4</v>
      </c>
      <c r="G2639" s="430">
        <v>26.4</v>
      </c>
      <c r="H2639" s="399">
        <f t="shared" si="1051"/>
        <v>21.12</v>
      </c>
      <c r="I2639" s="576"/>
      <c r="J2639" s="549" t="s">
        <v>5804</v>
      </c>
      <c r="K2639" s="11"/>
      <c r="L2639" s="55" t="str">
        <f t="shared" si="1052"/>
        <v/>
      </c>
      <c r="M2639" s="37">
        <f t="shared" si="1053"/>
        <v>26.400000000000002</v>
      </c>
      <c r="N2639" s="29">
        <f t="shared" si="1054"/>
        <v>11.55</v>
      </c>
      <c r="O2639" s="31" t="s">
        <v>1017</v>
      </c>
      <c r="P2639" s="50"/>
      <c r="Q2639" s="50"/>
      <c r="R2639" s="42" t="s">
        <v>1017</v>
      </c>
      <c r="T2639" s="50"/>
      <c r="U2639" s="50"/>
      <c r="W2639" t="s">
        <v>1017</v>
      </c>
      <c r="X2639" s="50"/>
      <c r="AA2639" s="52"/>
      <c r="AD2639" s="38"/>
    </row>
    <row r="2640" spans="1:30" x14ac:dyDescent="0.35">
      <c r="A2640" s="497" t="s">
        <v>2412</v>
      </c>
      <c r="B2640" s="13" t="s">
        <v>5547</v>
      </c>
      <c r="C2640" s="13" t="s">
        <v>2385</v>
      </c>
      <c r="D2640" s="13" t="s">
        <v>7257</v>
      </c>
      <c r="E2640" s="13" t="s">
        <v>4809</v>
      </c>
      <c r="F2640" s="373">
        <v>24.42</v>
      </c>
      <c r="G2640" s="430">
        <v>24.42</v>
      </c>
      <c r="H2640" s="399">
        <f t="shared" si="1051"/>
        <v>19.54</v>
      </c>
      <c r="I2640" s="576"/>
      <c r="J2640" s="549" t="s">
        <v>5804</v>
      </c>
      <c r="K2640" s="11"/>
      <c r="L2640" s="55" t="str">
        <f t="shared" si="1052"/>
        <v/>
      </c>
      <c r="M2640" s="37">
        <f t="shared" si="1053"/>
        <v>24.42</v>
      </c>
      <c r="N2640" s="29">
        <f t="shared" si="1054"/>
        <v>11.55</v>
      </c>
      <c r="O2640" s="31"/>
      <c r="P2640" s="50"/>
      <c r="Q2640" s="50"/>
      <c r="R2640" s="42"/>
      <c r="T2640" s="50"/>
      <c r="U2640" s="50"/>
      <c r="X2640" s="50"/>
      <c r="Z2640" t="s">
        <v>1017</v>
      </c>
      <c r="AA2640" s="52"/>
      <c r="AD2640" s="38"/>
    </row>
    <row r="2641" spans="1:30" x14ac:dyDescent="0.35">
      <c r="A2641" s="497" t="s">
        <v>2413</v>
      </c>
      <c r="B2641" s="13" t="s">
        <v>5547</v>
      </c>
      <c r="C2641" s="13" t="s">
        <v>2385</v>
      </c>
      <c r="D2641" s="13" t="s">
        <v>7258</v>
      </c>
      <c r="E2641" s="13" t="s">
        <v>4811</v>
      </c>
      <c r="F2641" s="373">
        <v>27.39</v>
      </c>
      <c r="G2641" s="430">
        <v>27.39</v>
      </c>
      <c r="H2641" s="399">
        <f t="shared" si="1051"/>
        <v>21.91</v>
      </c>
      <c r="I2641" s="576"/>
      <c r="J2641" s="549" t="s">
        <v>5804</v>
      </c>
      <c r="K2641" s="11"/>
      <c r="L2641" s="55" t="str">
        <f t="shared" si="1052"/>
        <v/>
      </c>
      <c r="M2641" s="37">
        <f t="shared" si="1053"/>
        <v>27.39</v>
      </c>
      <c r="N2641" s="29">
        <f t="shared" si="1054"/>
        <v>11.55</v>
      </c>
      <c r="O2641" s="31" t="s">
        <v>1017</v>
      </c>
      <c r="P2641" s="50"/>
      <c r="Q2641" s="50"/>
      <c r="R2641" s="42"/>
      <c r="T2641" s="50"/>
      <c r="U2641" s="50"/>
      <c r="X2641" s="50"/>
      <c r="Z2641" t="s">
        <v>1017</v>
      </c>
      <c r="AA2641" s="52"/>
      <c r="AD2641" s="38"/>
    </row>
    <row r="2642" spans="1:30" x14ac:dyDescent="0.35">
      <c r="A2642" s="497" t="s">
        <v>2414</v>
      </c>
      <c r="B2642" s="13" t="s">
        <v>5547</v>
      </c>
      <c r="C2642" s="13" t="s">
        <v>2385</v>
      </c>
      <c r="D2642" s="13" t="s">
        <v>7259</v>
      </c>
      <c r="E2642" s="13" t="s">
        <v>4809</v>
      </c>
      <c r="F2642" s="373">
        <v>25.41</v>
      </c>
      <c r="G2642" s="430">
        <v>25.41</v>
      </c>
      <c r="H2642" s="399">
        <f t="shared" si="1051"/>
        <v>20.329999999999998</v>
      </c>
      <c r="I2642" s="576"/>
      <c r="J2642" s="549" t="s">
        <v>5804</v>
      </c>
      <c r="K2642" s="11"/>
      <c r="L2642" s="55" t="str">
        <f t="shared" si="1052"/>
        <v/>
      </c>
      <c r="M2642" s="37">
        <f t="shared" si="1053"/>
        <v>25.410000000000004</v>
      </c>
      <c r="N2642" s="29">
        <f t="shared" si="1054"/>
        <v>11.55</v>
      </c>
      <c r="O2642" s="31"/>
      <c r="P2642" s="50"/>
      <c r="Q2642" s="50"/>
      <c r="R2642" s="42" t="s">
        <v>1017</v>
      </c>
      <c r="T2642" s="50"/>
      <c r="U2642" s="50"/>
      <c r="X2642" s="50"/>
      <c r="Z2642" t="s">
        <v>1017</v>
      </c>
      <c r="AA2642" s="52"/>
      <c r="AD2642" s="38"/>
    </row>
    <row r="2643" spans="1:30" x14ac:dyDescent="0.35">
      <c r="A2643" s="497" t="s">
        <v>2415</v>
      </c>
      <c r="B2643" s="13" t="s">
        <v>5547</v>
      </c>
      <c r="C2643" s="13" t="s">
        <v>2385</v>
      </c>
      <c r="D2643" s="13" t="s">
        <v>7260</v>
      </c>
      <c r="E2643" s="13" t="s">
        <v>4811</v>
      </c>
      <c r="F2643" s="373">
        <v>28.38</v>
      </c>
      <c r="G2643" s="430">
        <v>28.38</v>
      </c>
      <c r="H2643" s="399">
        <f t="shared" si="1051"/>
        <v>22.7</v>
      </c>
      <c r="I2643" s="576"/>
      <c r="J2643" s="549" t="s">
        <v>5804</v>
      </c>
      <c r="K2643" s="11"/>
      <c r="L2643" s="55" t="str">
        <f t="shared" si="1052"/>
        <v/>
      </c>
      <c r="M2643" s="37">
        <f t="shared" si="1053"/>
        <v>28.380000000000003</v>
      </c>
      <c r="N2643" s="29">
        <f t="shared" si="1054"/>
        <v>11.55</v>
      </c>
      <c r="O2643" s="31" t="s">
        <v>1017</v>
      </c>
      <c r="P2643" s="50"/>
      <c r="Q2643" s="50"/>
      <c r="R2643" s="42" t="s">
        <v>1017</v>
      </c>
      <c r="T2643" s="50"/>
      <c r="U2643" s="50"/>
      <c r="X2643" s="50"/>
      <c r="Z2643" t="s">
        <v>1017</v>
      </c>
      <c r="AA2643" s="52"/>
      <c r="AD2643" s="38"/>
    </row>
    <row r="2644" spans="1:30" x14ac:dyDescent="0.35">
      <c r="A2644" s="497" t="s">
        <v>2416</v>
      </c>
      <c r="B2644" s="13" t="s">
        <v>5547</v>
      </c>
      <c r="C2644" s="13" t="s">
        <v>2385</v>
      </c>
      <c r="D2644" s="13" t="s">
        <v>7261</v>
      </c>
      <c r="E2644" s="13" t="s">
        <v>4809</v>
      </c>
      <c r="F2644" s="373">
        <v>13.53</v>
      </c>
      <c r="G2644" s="430">
        <v>13.53</v>
      </c>
      <c r="H2644" s="399">
        <f t="shared" si="1051"/>
        <v>10.82</v>
      </c>
      <c r="I2644" s="576"/>
      <c r="J2644" s="549" t="s">
        <v>5804</v>
      </c>
      <c r="K2644" s="11"/>
      <c r="L2644" s="55" t="str">
        <f t="shared" si="1052"/>
        <v/>
      </c>
      <c r="M2644" s="37">
        <f t="shared" si="1053"/>
        <v>13.530000000000001</v>
      </c>
      <c r="N2644" s="29">
        <f t="shared" si="1054"/>
        <v>11.55</v>
      </c>
      <c r="O2644" s="31"/>
      <c r="P2644" s="50"/>
      <c r="Q2644" s="50"/>
      <c r="R2644" s="42"/>
      <c r="T2644" s="50"/>
      <c r="U2644" s="50"/>
      <c r="X2644" s="50"/>
      <c r="AA2644" s="52"/>
      <c r="AB2644" t="s">
        <v>1017</v>
      </c>
      <c r="AD2644" s="38"/>
    </row>
    <row r="2645" spans="1:30" x14ac:dyDescent="0.35">
      <c r="A2645" s="497" t="s">
        <v>2417</v>
      </c>
      <c r="B2645" s="13" t="s">
        <v>5547</v>
      </c>
      <c r="C2645" s="13" t="s">
        <v>2385</v>
      </c>
      <c r="D2645" s="13" t="s">
        <v>7262</v>
      </c>
      <c r="E2645" s="13" t="s">
        <v>4811</v>
      </c>
      <c r="F2645" s="373">
        <v>16.5</v>
      </c>
      <c r="G2645" s="430">
        <v>16.5</v>
      </c>
      <c r="H2645" s="399">
        <f t="shared" si="1051"/>
        <v>13.2</v>
      </c>
      <c r="I2645" s="576"/>
      <c r="J2645" s="549" t="s">
        <v>5804</v>
      </c>
      <c r="K2645" s="11"/>
      <c r="L2645" s="55" t="str">
        <f t="shared" si="1052"/>
        <v/>
      </c>
      <c r="M2645" s="37">
        <f t="shared" si="1053"/>
        <v>16.5</v>
      </c>
      <c r="N2645" s="29">
        <f t="shared" si="1054"/>
        <v>11.55</v>
      </c>
      <c r="O2645" s="31" t="s">
        <v>1017</v>
      </c>
      <c r="P2645" s="50"/>
      <c r="Q2645" s="50"/>
      <c r="R2645" s="42"/>
      <c r="T2645" s="50"/>
      <c r="U2645" s="50"/>
      <c r="X2645" s="50"/>
      <c r="AA2645" s="52"/>
      <c r="AB2645" t="s">
        <v>1017</v>
      </c>
      <c r="AD2645" s="38"/>
    </row>
    <row r="2646" spans="1:30" x14ac:dyDescent="0.35">
      <c r="A2646" s="497" t="s">
        <v>2418</v>
      </c>
      <c r="B2646" s="13" t="s">
        <v>5547</v>
      </c>
      <c r="C2646" s="13" t="s">
        <v>2385</v>
      </c>
      <c r="D2646" s="13" t="s">
        <v>7263</v>
      </c>
      <c r="E2646" s="13" t="s">
        <v>4809</v>
      </c>
      <c r="F2646" s="373">
        <v>14.52</v>
      </c>
      <c r="G2646" s="430">
        <v>14.52</v>
      </c>
      <c r="H2646" s="399">
        <f t="shared" si="1051"/>
        <v>11.62</v>
      </c>
      <c r="I2646" s="576"/>
      <c r="J2646" s="549" t="s">
        <v>5804</v>
      </c>
      <c r="K2646" s="11"/>
      <c r="L2646" s="55" t="str">
        <f t="shared" si="1052"/>
        <v/>
      </c>
      <c r="M2646" s="37">
        <f t="shared" si="1053"/>
        <v>14.52</v>
      </c>
      <c r="N2646" s="29">
        <f t="shared" si="1054"/>
        <v>11.55</v>
      </c>
      <c r="O2646" s="31"/>
      <c r="P2646" s="50"/>
      <c r="Q2646" s="50"/>
      <c r="R2646" s="42" t="s">
        <v>1017</v>
      </c>
      <c r="T2646" s="50"/>
      <c r="U2646" s="50"/>
      <c r="X2646" s="50"/>
      <c r="AA2646" s="52"/>
      <c r="AB2646" t="s">
        <v>1017</v>
      </c>
      <c r="AD2646" s="38"/>
    </row>
    <row r="2647" spans="1:30" x14ac:dyDescent="0.35">
      <c r="A2647" s="497" t="s">
        <v>2419</v>
      </c>
      <c r="B2647" s="13" t="s">
        <v>5547</v>
      </c>
      <c r="C2647" s="13" t="s">
        <v>2385</v>
      </c>
      <c r="D2647" s="13" t="s">
        <v>7264</v>
      </c>
      <c r="E2647" s="13" t="s">
        <v>4811</v>
      </c>
      <c r="F2647" s="373">
        <v>17.489999999999998</v>
      </c>
      <c r="G2647" s="430">
        <v>17.489999999999998</v>
      </c>
      <c r="H2647" s="399">
        <f t="shared" si="1051"/>
        <v>13.99</v>
      </c>
      <c r="I2647" s="576"/>
      <c r="J2647" s="549" t="s">
        <v>5804</v>
      </c>
      <c r="K2647" s="11"/>
      <c r="L2647" s="55" t="str">
        <f t="shared" si="1052"/>
        <v/>
      </c>
      <c r="M2647" s="37">
        <f t="shared" si="1053"/>
        <v>17.490000000000002</v>
      </c>
      <c r="N2647" s="29">
        <f t="shared" si="1054"/>
        <v>11.55</v>
      </c>
      <c r="O2647" s="31" t="s">
        <v>1017</v>
      </c>
      <c r="P2647" s="50"/>
      <c r="Q2647" s="50"/>
      <c r="R2647" s="42" t="s">
        <v>1017</v>
      </c>
      <c r="T2647" s="50"/>
      <c r="U2647" s="50"/>
      <c r="X2647" s="50"/>
      <c r="AA2647" s="52"/>
      <c r="AB2647" t="s">
        <v>1017</v>
      </c>
      <c r="AD2647" s="38"/>
    </row>
    <row r="2648" spans="1:30" x14ac:dyDescent="0.35">
      <c r="A2648" s="497" t="s">
        <v>2420</v>
      </c>
      <c r="B2648" s="13" t="s">
        <v>5547</v>
      </c>
      <c r="C2648" s="13" t="s">
        <v>2385</v>
      </c>
      <c r="D2648" s="13" t="s">
        <v>7265</v>
      </c>
      <c r="E2648" s="13" t="s">
        <v>4809</v>
      </c>
      <c r="F2648" s="373">
        <v>19.47</v>
      </c>
      <c r="G2648" s="430">
        <v>19.47</v>
      </c>
      <c r="H2648" s="399">
        <f t="shared" si="1051"/>
        <v>15.58</v>
      </c>
      <c r="I2648" s="576"/>
      <c r="J2648" s="549" t="s">
        <v>5804</v>
      </c>
      <c r="K2648" s="11"/>
      <c r="L2648" s="55" t="str">
        <f t="shared" si="1052"/>
        <v/>
      </c>
      <c r="M2648" s="37">
        <f t="shared" si="1053"/>
        <v>19.47</v>
      </c>
      <c r="N2648" s="29">
        <f t="shared" si="1054"/>
        <v>11.55</v>
      </c>
      <c r="O2648" s="31"/>
      <c r="P2648" s="50"/>
      <c r="Q2648" s="50"/>
      <c r="R2648" s="42"/>
      <c r="S2648" t="s">
        <v>1017</v>
      </c>
      <c r="T2648" s="50"/>
      <c r="U2648" s="50"/>
      <c r="X2648" s="50"/>
      <c r="AA2648" s="52"/>
      <c r="AB2648" t="s">
        <v>1017</v>
      </c>
      <c r="AD2648" s="38"/>
    </row>
    <row r="2649" spans="1:30" x14ac:dyDescent="0.35">
      <c r="A2649" s="497" t="s">
        <v>2421</v>
      </c>
      <c r="B2649" s="13" t="s">
        <v>5547</v>
      </c>
      <c r="C2649" s="13" t="s">
        <v>2385</v>
      </c>
      <c r="D2649" s="13" t="s">
        <v>7266</v>
      </c>
      <c r="E2649" s="13" t="s">
        <v>4811</v>
      </c>
      <c r="F2649" s="373">
        <v>22.44</v>
      </c>
      <c r="G2649" s="430">
        <v>22.44</v>
      </c>
      <c r="H2649" s="399">
        <f t="shared" si="1051"/>
        <v>17.95</v>
      </c>
      <c r="I2649" s="576"/>
      <c r="J2649" s="549" t="s">
        <v>5804</v>
      </c>
      <c r="K2649" s="11"/>
      <c r="L2649" s="55" t="str">
        <f t="shared" si="1052"/>
        <v/>
      </c>
      <c r="M2649" s="37">
        <f t="shared" si="1053"/>
        <v>22.44</v>
      </c>
      <c r="N2649" s="29">
        <f t="shared" si="1054"/>
        <v>11.55</v>
      </c>
      <c r="O2649" s="31" t="s">
        <v>1017</v>
      </c>
      <c r="P2649" s="50"/>
      <c r="Q2649" s="50"/>
      <c r="R2649" s="42"/>
      <c r="S2649" t="s">
        <v>1017</v>
      </c>
      <c r="T2649" s="50"/>
      <c r="U2649" s="50"/>
      <c r="X2649" s="50"/>
      <c r="AA2649" s="52"/>
      <c r="AB2649" t="s">
        <v>1017</v>
      </c>
      <c r="AD2649" s="38"/>
    </row>
    <row r="2650" spans="1:30" x14ac:dyDescent="0.35">
      <c r="A2650" s="497" t="s">
        <v>2422</v>
      </c>
      <c r="B2650" s="13" t="s">
        <v>5547</v>
      </c>
      <c r="C2650" s="13" t="s">
        <v>2385</v>
      </c>
      <c r="D2650" s="13" t="s">
        <v>7267</v>
      </c>
      <c r="E2650" s="13" t="s">
        <v>4809</v>
      </c>
      <c r="F2650" s="373">
        <v>20.46</v>
      </c>
      <c r="G2650" s="430">
        <v>20.46</v>
      </c>
      <c r="H2650" s="399">
        <f t="shared" si="1051"/>
        <v>16.37</v>
      </c>
      <c r="I2650" s="576"/>
      <c r="J2650" s="549" t="s">
        <v>5804</v>
      </c>
      <c r="K2650" s="11"/>
      <c r="L2650" s="55" t="str">
        <f t="shared" si="1052"/>
        <v/>
      </c>
      <c r="M2650" s="37">
        <f t="shared" si="1053"/>
        <v>20.46</v>
      </c>
      <c r="N2650" s="29">
        <f t="shared" si="1054"/>
        <v>11.55</v>
      </c>
      <c r="O2650" s="31"/>
      <c r="P2650" s="50"/>
      <c r="Q2650" s="50"/>
      <c r="R2650" s="42" t="s">
        <v>1017</v>
      </c>
      <c r="S2650" t="s">
        <v>1017</v>
      </c>
      <c r="T2650" s="50"/>
      <c r="U2650" s="50"/>
      <c r="X2650" s="50"/>
      <c r="AA2650" s="52"/>
      <c r="AB2650" t="s">
        <v>1017</v>
      </c>
      <c r="AD2650" s="38"/>
    </row>
    <row r="2651" spans="1:30" x14ac:dyDescent="0.35">
      <c r="A2651" s="497" t="s">
        <v>2423</v>
      </c>
      <c r="B2651" s="13" t="s">
        <v>5547</v>
      </c>
      <c r="C2651" s="13" t="s">
        <v>2385</v>
      </c>
      <c r="D2651" s="13" t="s">
        <v>7268</v>
      </c>
      <c r="E2651" s="13" t="s">
        <v>4811</v>
      </c>
      <c r="F2651" s="373">
        <v>23.43</v>
      </c>
      <c r="G2651" s="430">
        <v>23.43</v>
      </c>
      <c r="H2651" s="399">
        <f t="shared" si="1051"/>
        <v>18.739999999999998</v>
      </c>
      <c r="I2651" s="576"/>
      <c r="J2651" s="549" t="s">
        <v>5804</v>
      </c>
      <c r="K2651" s="11"/>
      <c r="L2651" s="55" t="str">
        <f t="shared" si="1052"/>
        <v/>
      </c>
      <c r="M2651" s="37">
        <f t="shared" si="1053"/>
        <v>23.43</v>
      </c>
      <c r="N2651" s="29">
        <f t="shared" si="1054"/>
        <v>11.55</v>
      </c>
      <c r="O2651" s="31" t="s">
        <v>1017</v>
      </c>
      <c r="P2651" s="50"/>
      <c r="Q2651" s="50"/>
      <c r="R2651" s="42" t="s">
        <v>1017</v>
      </c>
      <c r="S2651" t="s">
        <v>1017</v>
      </c>
      <c r="T2651" s="50"/>
      <c r="U2651" s="50"/>
      <c r="X2651" s="50"/>
      <c r="AA2651" s="52"/>
      <c r="AB2651" t="s">
        <v>1017</v>
      </c>
      <c r="AD2651" s="38"/>
    </row>
    <row r="2652" spans="1:30" x14ac:dyDescent="0.35">
      <c r="A2652" s="497" t="s">
        <v>2424</v>
      </c>
      <c r="B2652" s="13" t="s">
        <v>5547</v>
      </c>
      <c r="C2652" s="13" t="s">
        <v>2385</v>
      </c>
      <c r="D2652" s="13" t="s">
        <v>7269</v>
      </c>
      <c r="E2652" s="13" t="s">
        <v>4809</v>
      </c>
      <c r="F2652" s="373">
        <v>20.46</v>
      </c>
      <c r="G2652" s="430">
        <v>20.46</v>
      </c>
      <c r="H2652" s="399">
        <f t="shared" si="1051"/>
        <v>16.37</v>
      </c>
      <c r="I2652" s="576"/>
      <c r="J2652" s="549" t="s">
        <v>5804</v>
      </c>
      <c r="K2652" s="11"/>
      <c r="L2652" s="55" t="str">
        <f t="shared" si="1052"/>
        <v/>
      </c>
      <c r="M2652" s="37">
        <f t="shared" si="1053"/>
        <v>20.46</v>
      </c>
      <c r="N2652" s="29">
        <f t="shared" si="1054"/>
        <v>11.55</v>
      </c>
      <c r="O2652" s="31"/>
      <c r="P2652" s="50"/>
      <c r="Q2652" s="50"/>
      <c r="R2652" s="42"/>
      <c r="T2652" s="50"/>
      <c r="U2652" s="50"/>
      <c r="V2652" t="s">
        <v>1017</v>
      </c>
      <c r="X2652" s="50"/>
      <c r="AA2652" s="52"/>
      <c r="AB2652" t="s">
        <v>1017</v>
      </c>
      <c r="AD2652" s="38"/>
    </row>
    <row r="2653" spans="1:30" x14ac:dyDescent="0.35">
      <c r="A2653" s="497" t="s">
        <v>2425</v>
      </c>
      <c r="B2653" s="13" t="s">
        <v>5547</v>
      </c>
      <c r="C2653" s="13" t="s">
        <v>2385</v>
      </c>
      <c r="D2653" s="13" t="s">
        <v>7270</v>
      </c>
      <c r="E2653" s="13" t="s">
        <v>4811</v>
      </c>
      <c r="F2653" s="373">
        <v>23.43</v>
      </c>
      <c r="G2653" s="430">
        <v>23.43</v>
      </c>
      <c r="H2653" s="399">
        <f t="shared" si="1051"/>
        <v>18.739999999999998</v>
      </c>
      <c r="I2653" s="576"/>
      <c r="J2653" s="549" t="s">
        <v>5804</v>
      </c>
      <c r="K2653" s="11"/>
      <c r="L2653" s="55" t="str">
        <f t="shared" si="1052"/>
        <v/>
      </c>
      <c r="M2653" s="37">
        <f t="shared" si="1053"/>
        <v>23.43</v>
      </c>
      <c r="N2653" s="29">
        <f t="shared" si="1054"/>
        <v>11.55</v>
      </c>
      <c r="O2653" s="31" t="s">
        <v>1017</v>
      </c>
      <c r="P2653" s="50"/>
      <c r="Q2653" s="50"/>
      <c r="R2653" s="42"/>
      <c r="T2653" s="50"/>
      <c r="U2653" s="50"/>
      <c r="V2653" t="s">
        <v>1017</v>
      </c>
      <c r="X2653" s="50"/>
      <c r="AA2653" s="52"/>
      <c r="AB2653" t="s">
        <v>1017</v>
      </c>
      <c r="AD2653" s="38"/>
    </row>
    <row r="2654" spans="1:30" x14ac:dyDescent="0.35">
      <c r="A2654" s="497" t="s">
        <v>2426</v>
      </c>
      <c r="B2654" s="13" t="s">
        <v>5547</v>
      </c>
      <c r="C2654" s="13" t="s">
        <v>2385</v>
      </c>
      <c r="D2654" s="13" t="s">
        <v>7271</v>
      </c>
      <c r="E2654" s="13" t="s">
        <v>4809</v>
      </c>
      <c r="F2654" s="373">
        <v>21.45</v>
      </c>
      <c r="G2654" s="430">
        <v>21.45</v>
      </c>
      <c r="H2654" s="399">
        <f t="shared" si="1051"/>
        <v>17.16</v>
      </c>
      <c r="I2654" s="576"/>
      <c r="J2654" s="549" t="s">
        <v>5804</v>
      </c>
      <c r="K2654" s="11"/>
      <c r="L2654" s="55" t="str">
        <f t="shared" si="1052"/>
        <v/>
      </c>
      <c r="M2654" s="37">
        <f t="shared" si="1053"/>
        <v>21.450000000000003</v>
      </c>
      <c r="N2654" s="29">
        <f t="shared" si="1054"/>
        <v>11.55</v>
      </c>
      <c r="O2654" s="31"/>
      <c r="P2654" s="50"/>
      <c r="Q2654" s="50"/>
      <c r="R2654" s="42" t="s">
        <v>1017</v>
      </c>
      <c r="T2654" s="50"/>
      <c r="U2654" s="50"/>
      <c r="V2654" t="s">
        <v>1017</v>
      </c>
      <c r="X2654" s="50"/>
      <c r="AA2654" s="52"/>
      <c r="AB2654" t="s">
        <v>1017</v>
      </c>
      <c r="AD2654" s="38"/>
    </row>
    <row r="2655" spans="1:30" x14ac:dyDescent="0.35">
      <c r="A2655" s="497" t="s">
        <v>2427</v>
      </c>
      <c r="B2655" s="13" t="s">
        <v>5547</v>
      </c>
      <c r="C2655" s="13" t="s">
        <v>2385</v>
      </c>
      <c r="D2655" s="13" t="s">
        <v>7272</v>
      </c>
      <c r="E2655" s="13" t="s">
        <v>4811</v>
      </c>
      <c r="F2655" s="373">
        <v>24.42</v>
      </c>
      <c r="G2655" s="430">
        <v>24.42</v>
      </c>
      <c r="H2655" s="399">
        <f t="shared" si="1051"/>
        <v>19.54</v>
      </c>
      <c r="I2655" s="576"/>
      <c r="J2655" s="549" t="s">
        <v>5804</v>
      </c>
      <c r="K2655" s="11"/>
      <c r="L2655" s="55" t="str">
        <f t="shared" si="1052"/>
        <v/>
      </c>
      <c r="M2655" s="37">
        <f t="shared" si="1053"/>
        <v>24.42</v>
      </c>
      <c r="N2655" s="29">
        <f t="shared" si="1054"/>
        <v>11.55</v>
      </c>
      <c r="O2655" s="31" t="s">
        <v>1017</v>
      </c>
      <c r="P2655" s="50"/>
      <c r="Q2655" s="50"/>
      <c r="R2655" s="42" t="s">
        <v>1017</v>
      </c>
      <c r="T2655" s="50"/>
      <c r="U2655" s="50"/>
      <c r="V2655" t="s">
        <v>1017</v>
      </c>
      <c r="X2655" s="50"/>
      <c r="AA2655" s="52"/>
      <c r="AB2655" t="s">
        <v>1017</v>
      </c>
      <c r="AD2655" s="38"/>
    </row>
    <row r="2656" spans="1:30" x14ac:dyDescent="0.35">
      <c r="A2656" s="497" t="s">
        <v>2428</v>
      </c>
      <c r="B2656" s="13" t="s">
        <v>5547</v>
      </c>
      <c r="C2656" s="13" t="s">
        <v>2385</v>
      </c>
      <c r="D2656" s="13" t="s">
        <v>7273</v>
      </c>
      <c r="E2656" s="13" t="s">
        <v>4809</v>
      </c>
      <c r="F2656" s="373">
        <v>22.44</v>
      </c>
      <c r="G2656" s="430">
        <v>22.44</v>
      </c>
      <c r="H2656" s="399">
        <f t="shared" si="1051"/>
        <v>17.95</v>
      </c>
      <c r="I2656" s="576"/>
      <c r="J2656" s="549" t="s">
        <v>5804</v>
      </c>
      <c r="K2656" s="11"/>
      <c r="L2656" s="55" t="str">
        <f t="shared" si="1052"/>
        <v/>
      </c>
      <c r="M2656" s="37">
        <f t="shared" si="1053"/>
        <v>22.44</v>
      </c>
      <c r="N2656" s="29">
        <f t="shared" si="1054"/>
        <v>11.55</v>
      </c>
      <c r="O2656" s="31"/>
      <c r="P2656" s="50"/>
      <c r="Q2656" s="50"/>
      <c r="R2656" s="42"/>
      <c r="T2656" s="50"/>
      <c r="U2656" s="50"/>
      <c r="X2656" s="50"/>
      <c r="Y2656" t="s">
        <v>1017</v>
      </c>
      <c r="AA2656" s="52"/>
      <c r="AB2656" t="s">
        <v>1017</v>
      </c>
      <c r="AD2656" s="38"/>
    </row>
    <row r="2657" spans="1:30" x14ac:dyDescent="0.35">
      <c r="A2657" s="497" t="s">
        <v>2429</v>
      </c>
      <c r="B2657" s="13" t="s">
        <v>5547</v>
      </c>
      <c r="C2657" s="13" t="s">
        <v>2385</v>
      </c>
      <c r="D2657" s="13" t="s">
        <v>7274</v>
      </c>
      <c r="E2657" s="13" t="s">
        <v>4811</v>
      </c>
      <c r="F2657" s="373">
        <v>25.41</v>
      </c>
      <c r="G2657" s="430">
        <v>25.41</v>
      </c>
      <c r="H2657" s="399">
        <f t="shared" si="1051"/>
        <v>20.329999999999998</v>
      </c>
      <c r="I2657" s="576"/>
      <c r="J2657" s="549" t="s">
        <v>5804</v>
      </c>
      <c r="K2657" s="11"/>
      <c r="L2657" s="55" t="str">
        <f t="shared" si="1052"/>
        <v/>
      </c>
      <c r="M2657" s="37">
        <f t="shared" si="1053"/>
        <v>25.410000000000004</v>
      </c>
      <c r="N2657" s="29">
        <f t="shared" si="1054"/>
        <v>11.55</v>
      </c>
      <c r="O2657" s="31" t="s">
        <v>1017</v>
      </c>
      <c r="P2657" s="50"/>
      <c r="Q2657" s="50"/>
      <c r="R2657" s="42"/>
      <c r="T2657" s="50"/>
      <c r="U2657" s="50"/>
      <c r="X2657" s="50"/>
      <c r="Y2657" t="s">
        <v>1017</v>
      </c>
      <c r="AA2657" s="52"/>
      <c r="AB2657" t="s">
        <v>1017</v>
      </c>
      <c r="AD2657" s="38"/>
    </row>
    <row r="2658" spans="1:30" x14ac:dyDescent="0.35">
      <c r="A2658" s="497" t="s">
        <v>2430</v>
      </c>
      <c r="B2658" s="13" t="s">
        <v>5547</v>
      </c>
      <c r="C2658" s="13" t="s">
        <v>2385</v>
      </c>
      <c r="D2658" s="13" t="s">
        <v>7275</v>
      </c>
      <c r="E2658" s="13" t="s">
        <v>4809</v>
      </c>
      <c r="F2658" s="373">
        <v>23.43</v>
      </c>
      <c r="G2658" s="430">
        <v>23.43</v>
      </c>
      <c r="H2658" s="399">
        <f t="shared" si="1051"/>
        <v>18.739999999999998</v>
      </c>
      <c r="I2658" s="576"/>
      <c r="J2658" s="549" t="s">
        <v>5804</v>
      </c>
      <c r="K2658" s="11"/>
      <c r="L2658" s="55" t="str">
        <f t="shared" si="1052"/>
        <v/>
      </c>
      <c r="M2658" s="37">
        <f t="shared" si="1053"/>
        <v>23.43</v>
      </c>
      <c r="N2658" s="29">
        <f t="shared" si="1054"/>
        <v>11.55</v>
      </c>
      <c r="O2658" s="31"/>
      <c r="P2658" s="50"/>
      <c r="Q2658" s="50"/>
      <c r="R2658" s="42" t="s">
        <v>1017</v>
      </c>
      <c r="T2658" s="50"/>
      <c r="U2658" s="50"/>
      <c r="X2658" s="50"/>
      <c r="Y2658" t="s">
        <v>1017</v>
      </c>
      <c r="AA2658" s="52"/>
      <c r="AB2658" t="s">
        <v>1017</v>
      </c>
      <c r="AD2658" s="38"/>
    </row>
    <row r="2659" spans="1:30" x14ac:dyDescent="0.35">
      <c r="A2659" s="497" t="s">
        <v>2431</v>
      </c>
      <c r="B2659" s="13" t="s">
        <v>5547</v>
      </c>
      <c r="C2659" s="13" t="s">
        <v>2385</v>
      </c>
      <c r="D2659" s="13" t="s">
        <v>7276</v>
      </c>
      <c r="E2659" s="13" t="s">
        <v>4811</v>
      </c>
      <c r="F2659" s="373">
        <v>26.4</v>
      </c>
      <c r="G2659" s="430">
        <v>26.4</v>
      </c>
      <c r="H2659" s="399">
        <f t="shared" si="1051"/>
        <v>21.12</v>
      </c>
      <c r="I2659" s="576"/>
      <c r="J2659" s="549" t="s">
        <v>5804</v>
      </c>
      <c r="K2659" s="11"/>
      <c r="L2659" s="55" t="str">
        <f t="shared" si="1052"/>
        <v/>
      </c>
      <c r="M2659" s="37">
        <f t="shared" si="1053"/>
        <v>26.400000000000002</v>
      </c>
      <c r="N2659" s="29">
        <f t="shared" si="1054"/>
        <v>11.55</v>
      </c>
      <c r="O2659" s="31" t="s">
        <v>1017</v>
      </c>
      <c r="P2659" s="50"/>
      <c r="Q2659" s="50"/>
      <c r="R2659" s="42" t="s">
        <v>1017</v>
      </c>
      <c r="T2659" s="50"/>
      <c r="U2659" s="50"/>
      <c r="X2659" s="50"/>
      <c r="Y2659" t="s">
        <v>1017</v>
      </c>
      <c r="AA2659" s="52"/>
      <c r="AB2659" t="s">
        <v>1017</v>
      </c>
      <c r="AD2659" s="38"/>
    </row>
    <row r="2660" spans="1:30" x14ac:dyDescent="0.35">
      <c r="A2660" s="497" t="s">
        <v>2432</v>
      </c>
      <c r="B2660" s="13" t="s">
        <v>5547</v>
      </c>
      <c r="C2660" s="13" t="s">
        <v>2385</v>
      </c>
      <c r="D2660" s="13" t="s">
        <v>7277</v>
      </c>
      <c r="E2660" s="13" t="s">
        <v>4809</v>
      </c>
      <c r="F2660" s="373">
        <v>24.42</v>
      </c>
      <c r="G2660" s="430">
        <v>24.42</v>
      </c>
      <c r="H2660" s="399">
        <f t="shared" si="1051"/>
        <v>19.54</v>
      </c>
      <c r="I2660" s="576"/>
      <c r="J2660" s="549" t="s">
        <v>5804</v>
      </c>
      <c r="K2660" s="11"/>
      <c r="L2660" s="55" t="str">
        <f t="shared" si="1052"/>
        <v/>
      </c>
      <c r="M2660" s="37">
        <f t="shared" si="1053"/>
        <v>24.42</v>
      </c>
      <c r="N2660" s="29">
        <f t="shared" si="1054"/>
        <v>11.55</v>
      </c>
      <c r="O2660" s="31"/>
      <c r="P2660" s="50"/>
      <c r="Q2660" s="50"/>
      <c r="R2660" s="42"/>
      <c r="T2660" s="50"/>
      <c r="U2660" s="50"/>
      <c r="W2660" t="s">
        <v>1017</v>
      </c>
      <c r="X2660" s="50"/>
      <c r="AA2660" s="52"/>
      <c r="AB2660" t="s">
        <v>1017</v>
      </c>
      <c r="AD2660" s="38"/>
    </row>
    <row r="2661" spans="1:30" x14ac:dyDescent="0.35">
      <c r="A2661" s="497" t="s">
        <v>2433</v>
      </c>
      <c r="B2661" s="13" t="s">
        <v>5547</v>
      </c>
      <c r="C2661" s="13" t="s">
        <v>2385</v>
      </c>
      <c r="D2661" s="13" t="s">
        <v>7278</v>
      </c>
      <c r="E2661" s="13" t="s">
        <v>4811</v>
      </c>
      <c r="F2661" s="373">
        <v>27.39</v>
      </c>
      <c r="G2661" s="430">
        <v>27.39</v>
      </c>
      <c r="H2661" s="399">
        <f t="shared" si="1051"/>
        <v>21.91</v>
      </c>
      <c r="I2661" s="576"/>
      <c r="J2661" s="549" t="s">
        <v>5804</v>
      </c>
      <c r="K2661" s="11"/>
      <c r="L2661" s="55" t="str">
        <f t="shared" si="1052"/>
        <v/>
      </c>
      <c r="M2661" s="37">
        <f t="shared" si="1053"/>
        <v>27.39</v>
      </c>
      <c r="N2661" s="29">
        <f t="shared" si="1054"/>
        <v>11.55</v>
      </c>
      <c r="O2661" s="31" t="s">
        <v>1017</v>
      </c>
      <c r="P2661" s="50"/>
      <c r="Q2661" s="50"/>
      <c r="R2661" s="42"/>
      <c r="T2661" s="50"/>
      <c r="U2661" s="50"/>
      <c r="W2661" t="s">
        <v>1017</v>
      </c>
      <c r="X2661" s="50"/>
      <c r="AA2661" s="52"/>
      <c r="AB2661" t="s">
        <v>1017</v>
      </c>
      <c r="AD2661" s="38"/>
    </row>
    <row r="2662" spans="1:30" x14ac:dyDescent="0.35">
      <c r="A2662" s="497" t="s">
        <v>4535</v>
      </c>
      <c r="B2662" s="13" t="s">
        <v>5547</v>
      </c>
      <c r="C2662" s="13" t="s">
        <v>2385</v>
      </c>
      <c r="D2662" s="13" t="s">
        <v>7279</v>
      </c>
      <c r="E2662" s="13" t="s">
        <v>4809</v>
      </c>
      <c r="F2662" s="373">
        <v>25.41</v>
      </c>
      <c r="G2662" s="430">
        <v>25.41</v>
      </c>
      <c r="H2662" s="399">
        <f t="shared" si="1051"/>
        <v>20.329999999999998</v>
      </c>
      <c r="I2662" s="576"/>
      <c r="J2662" s="549" t="s">
        <v>5804</v>
      </c>
      <c r="K2662" s="11"/>
      <c r="L2662" s="55" t="str">
        <f t="shared" si="1052"/>
        <v/>
      </c>
      <c r="M2662" s="37">
        <f t="shared" si="1053"/>
        <v>25.410000000000004</v>
      </c>
      <c r="N2662" s="29">
        <f t="shared" si="1054"/>
        <v>11.55</v>
      </c>
      <c r="O2662" s="31"/>
      <c r="P2662" s="50"/>
      <c r="Q2662" s="50"/>
      <c r="R2662" s="42" t="s">
        <v>1017</v>
      </c>
      <c r="T2662" s="50"/>
      <c r="U2662" s="50"/>
      <c r="W2662" t="s">
        <v>1017</v>
      </c>
      <c r="X2662" s="50"/>
      <c r="AA2662" s="52"/>
      <c r="AB2662" t="s">
        <v>1017</v>
      </c>
      <c r="AD2662" s="38"/>
    </row>
    <row r="2663" spans="1:30" x14ac:dyDescent="0.35">
      <c r="A2663" s="497" t="s">
        <v>4536</v>
      </c>
      <c r="B2663" s="13" t="s">
        <v>5547</v>
      </c>
      <c r="C2663" s="13" t="s">
        <v>2385</v>
      </c>
      <c r="D2663" s="13" t="s">
        <v>7280</v>
      </c>
      <c r="E2663" s="13" t="s">
        <v>4811</v>
      </c>
      <c r="F2663" s="373">
        <v>28.38</v>
      </c>
      <c r="G2663" s="430">
        <v>28.38</v>
      </c>
      <c r="H2663" s="399">
        <f t="shared" si="1051"/>
        <v>22.7</v>
      </c>
      <c r="I2663" s="576"/>
      <c r="J2663" s="549" t="s">
        <v>5804</v>
      </c>
      <c r="K2663" s="11"/>
      <c r="L2663" s="55" t="str">
        <f t="shared" si="1052"/>
        <v/>
      </c>
      <c r="M2663" s="37">
        <f t="shared" si="1053"/>
        <v>28.380000000000003</v>
      </c>
      <c r="N2663" s="29">
        <f t="shared" si="1054"/>
        <v>11.55</v>
      </c>
      <c r="O2663" s="31" t="s">
        <v>1017</v>
      </c>
      <c r="P2663" s="50"/>
      <c r="Q2663" s="50"/>
      <c r="R2663" s="42" t="s">
        <v>1017</v>
      </c>
      <c r="T2663" s="50"/>
      <c r="U2663" s="50"/>
      <c r="W2663" t="s">
        <v>1017</v>
      </c>
      <c r="X2663" s="50"/>
      <c r="AA2663" s="52"/>
      <c r="AB2663" t="s">
        <v>1017</v>
      </c>
      <c r="AD2663" s="38"/>
    </row>
    <row r="2664" spans="1:30" x14ac:dyDescent="0.35">
      <c r="A2664" s="497" t="s">
        <v>4537</v>
      </c>
      <c r="B2664" s="13" t="s">
        <v>5547</v>
      </c>
      <c r="C2664" s="13" t="s">
        <v>2385</v>
      </c>
      <c r="D2664" s="13" t="s">
        <v>7281</v>
      </c>
      <c r="E2664" s="13" t="s">
        <v>4809</v>
      </c>
      <c r="F2664" s="373">
        <v>26.4</v>
      </c>
      <c r="G2664" s="430">
        <v>26.4</v>
      </c>
      <c r="H2664" s="399">
        <f t="shared" si="1051"/>
        <v>21.12</v>
      </c>
      <c r="I2664" s="576"/>
      <c r="J2664" s="549" t="s">
        <v>5804</v>
      </c>
      <c r="K2664" s="11"/>
      <c r="L2664" s="55" t="str">
        <f t="shared" si="1052"/>
        <v/>
      </c>
      <c r="M2664" s="37">
        <f t="shared" si="1053"/>
        <v>26.400000000000002</v>
      </c>
      <c r="N2664" s="29">
        <f t="shared" si="1054"/>
        <v>11.55</v>
      </c>
      <c r="O2664" s="31"/>
      <c r="P2664" s="50"/>
      <c r="Q2664" s="50"/>
      <c r="R2664" s="42"/>
      <c r="T2664" s="50"/>
      <c r="U2664" s="50"/>
      <c r="X2664" s="50"/>
      <c r="Z2664" t="s">
        <v>1017</v>
      </c>
      <c r="AA2664" s="52"/>
      <c r="AB2664" t="s">
        <v>1017</v>
      </c>
      <c r="AD2664" s="38"/>
    </row>
    <row r="2665" spans="1:30" x14ac:dyDescent="0.35">
      <c r="A2665" s="497" t="s">
        <v>5596</v>
      </c>
      <c r="B2665" s="13" t="s">
        <v>5547</v>
      </c>
      <c r="C2665" s="13" t="s">
        <v>2385</v>
      </c>
      <c r="D2665" s="13" t="s">
        <v>7282</v>
      </c>
      <c r="E2665" s="13" t="s">
        <v>4811</v>
      </c>
      <c r="F2665" s="373">
        <v>29.37</v>
      </c>
      <c r="G2665" s="430">
        <v>29.37</v>
      </c>
      <c r="H2665" s="399">
        <f t="shared" si="1051"/>
        <v>23.5</v>
      </c>
      <c r="I2665" s="576"/>
      <c r="J2665" s="549" t="s">
        <v>5804</v>
      </c>
      <c r="K2665" s="11"/>
      <c r="L2665" s="55" t="str">
        <f t="shared" si="1052"/>
        <v/>
      </c>
      <c r="M2665" s="37">
        <f t="shared" si="1053"/>
        <v>29.37</v>
      </c>
      <c r="N2665" s="29">
        <f t="shared" si="1054"/>
        <v>11.55</v>
      </c>
      <c r="O2665" s="31" t="s">
        <v>1017</v>
      </c>
      <c r="P2665" s="50"/>
      <c r="Q2665" s="50"/>
      <c r="R2665" s="42"/>
      <c r="T2665" s="50"/>
      <c r="U2665" s="50"/>
      <c r="X2665" s="50"/>
      <c r="Z2665" t="s">
        <v>1017</v>
      </c>
      <c r="AA2665" s="52"/>
      <c r="AB2665" t="s">
        <v>1017</v>
      </c>
      <c r="AD2665" s="38"/>
    </row>
    <row r="2666" spans="1:30" x14ac:dyDescent="0.35">
      <c r="A2666" s="497" t="s">
        <v>5597</v>
      </c>
      <c r="B2666" s="13" t="s">
        <v>5547</v>
      </c>
      <c r="C2666" s="13" t="s">
        <v>2385</v>
      </c>
      <c r="D2666" s="13" t="s">
        <v>7283</v>
      </c>
      <c r="E2666" s="13" t="s">
        <v>4809</v>
      </c>
      <c r="F2666" s="373">
        <v>27.39</v>
      </c>
      <c r="G2666" s="430">
        <v>27.39</v>
      </c>
      <c r="H2666" s="399">
        <f t="shared" si="1051"/>
        <v>21.91</v>
      </c>
      <c r="I2666" s="576"/>
      <c r="J2666" s="549" t="s">
        <v>5804</v>
      </c>
      <c r="K2666" s="11"/>
      <c r="L2666" s="55" t="str">
        <f t="shared" si="1052"/>
        <v/>
      </c>
      <c r="M2666" s="37">
        <f t="shared" si="1053"/>
        <v>27.39</v>
      </c>
      <c r="N2666" s="29">
        <f t="shared" si="1054"/>
        <v>11.55</v>
      </c>
      <c r="O2666" s="31"/>
      <c r="P2666" s="50"/>
      <c r="Q2666" s="50"/>
      <c r="R2666" s="42" t="s">
        <v>1017</v>
      </c>
      <c r="T2666" s="50"/>
      <c r="U2666" s="50"/>
      <c r="X2666" s="50"/>
      <c r="Z2666" t="s">
        <v>1017</v>
      </c>
      <c r="AA2666" s="52"/>
      <c r="AB2666" t="s">
        <v>1017</v>
      </c>
      <c r="AD2666" s="38"/>
    </row>
    <row r="2667" spans="1:30" x14ac:dyDescent="0.35">
      <c r="A2667" s="497" t="s">
        <v>5598</v>
      </c>
      <c r="B2667" s="13" t="s">
        <v>5547</v>
      </c>
      <c r="C2667" s="13" t="s">
        <v>2385</v>
      </c>
      <c r="D2667" s="13" t="s">
        <v>7284</v>
      </c>
      <c r="E2667" s="13" t="s">
        <v>4811</v>
      </c>
      <c r="F2667" s="373">
        <v>30.36</v>
      </c>
      <c r="G2667" s="430">
        <v>30.36</v>
      </c>
      <c r="H2667" s="399">
        <f t="shared" si="1051"/>
        <v>24.29</v>
      </c>
      <c r="I2667" s="576"/>
      <c r="J2667" s="549" t="s">
        <v>5804</v>
      </c>
      <c r="K2667" s="11"/>
      <c r="L2667" s="55" t="str">
        <f t="shared" si="1052"/>
        <v/>
      </c>
      <c r="M2667" s="37">
        <f t="shared" si="1053"/>
        <v>30.360000000000003</v>
      </c>
      <c r="N2667" s="29">
        <f t="shared" si="1054"/>
        <v>11.55</v>
      </c>
      <c r="O2667" s="31" t="s">
        <v>1017</v>
      </c>
      <c r="P2667" s="50"/>
      <c r="Q2667" s="50"/>
      <c r="R2667" s="42" t="s">
        <v>1017</v>
      </c>
      <c r="T2667" s="50"/>
      <c r="U2667" s="50"/>
      <c r="X2667" s="50"/>
      <c r="Z2667" t="s">
        <v>1017</v>
      </c>
      <c r="AA2667" s="52"/>
      <c r="AB2667" t="s">
        <v>1017</v>
      </c>
      <c r="AD2667" s="38"/>
    </row>
    <row r="2668" spans="1:30" x14ac:dyDescent="0.35">
      <c r="A2668" s="497" t="s">
        <v>5599</v>
      </c>
      <c r="B2668" s="13" t="s">
        <v>5547</v>
      </c>
      <c r="C2668" s="13" t="s">
        <v>2385</v>
      </c>
      <c r="D2668" s="13" t="s">
        <v>7285</v>
      </c>
      <c r="E2668" s="13" t="s">
        <v>4809</v>
      </c>
      <c r="F2668" s="373">
        <v>12.54</v>
      </c>
      <c r="G2668" s="430">
        <v>12.54</v>
      </c>
      <c r="H2668" s="399">
        <f t="shared" si="1051"/>
        <v>10.029999999999999</v>
      </c>
      <c r="I2668" s="576"/>
      <c r="J2668" s="549" t="s">
        <v>5804</v>
      </c>
      <c r="K2668" s="11"/>
      <c r="L2668" s="55" t="str">
        <f t="shared" si="1052"/>
        <v/>
      </c>
      <c r="M2668" s="37">
        <f t="shared" si="1053"/>
        <v>12.540000000000001</v>
      </c>
      <c r="N2668" s="29">
        <f t="shared" si="1054"/>
        <v>11.55</v>
      </c>
      <c r="O2668" s="31"/>
      <c r="P2668" s="50"/>
      <c r="Q2668" s="50"/>
      <c r="R2668" s="42"/>
      <c r="T2668" s="50"/>
      <c r="U2668" s="50"/>
      <c r="X2668" s="50"/>
      <c r="AA2668" s="52"/>
      <c r="AC2668" t="s">
        <v>1017</v>
      </c>
      <c r="AD2668" s="38"/>
    </row>
    <row r="2669" spans="1:30" x14ac:dyDescent="0.35">
      <c r="A2669" s="497" t="s">
        <v>5600</v>
      </c>
      <c r="B2669" s="13" t="s">
        <v>5547</v>
      </c>
      <c r="C2669" s="13" t="s">
        <v>2385</v>
      </c>
      <c r="D2669" s="13" t="s">
        <v>7286</v>
      </c>
      <c r="E2669" s="13" t="s">
        <v>4811</v>
      </c>
      <c r="F2669" s="373">
        <v>15.51</v>
      </c>
      <c r="G2669" s="430">
        <v>15.51</v>
      </c>
      <c r="H2669" s="399">
        <f t="shared" si="1051"/>
        <v>12.41</v>
      </c>
      <c r="I2669" s="576"/>
      <c r="J2669" s="549" t="s">
        <v>5804</v>
      </c>
      <c r="K2669" s="11"/>
      <c r="L2669" s="55" t="str">
        <f t="shared" si="1052"/>
        <v/>
      </c>
      <c r="M2669" s="37">
        <f t="shared" si="1053"/>
        <v>15.510000000000002</v>
      </c>
      <c r="N2669" s="29">
        <f t="shared" si="1054"/>
        <v>11.55</v>
      </c>
      <c r="O2669" s="31" t="s">
        <v>1017</v>
      </c>
      <c r="P2669" s="50"/>
      <c r="Q2669" s="50"/>
      <c r="R2669" s="42"/>
      <c r="T2669" s="50"/>
      <c r="U2669" s="50"/>
      <c r="X2669" s="50"/>
      <c r="AA2669" s="52"/>
      <c r="AC2669" t="s">
        <v>1017</v>
      </c>
      <c r="AD2669" s="38"/>
    </row>
    <row r="2670" spans="1:30" x14ac:dyDescent="0.35">
      <c r="A2670" s="497" t="s">
        <v>5601</v>
      </c>
      <c r="B2670" s="13" t="s">
        <v>5547</v>
      </c>
      <c r="C2670" s="13" t="s">
        <v>2385</v>
      </c>
      <c r="D2670" s="13" t="s">
        <v>7287</v>
      </c>
      <c r="E2670" s="13" t="s">
        <v>4809</v>
      </c>
      <c r="F2670" s="373">
        <v>13.53</v>
      </c>
      <c r="G2670" s="430">
        <v>13.53</v>
      </c>
      <c r="H2670" s="399">
        <f t="shared" si="1051"/>
        <v>10.82</v>
      </c>
      <c r="I2670" s="576"/>
      <c r="J2670" s="549" t="s">
        <v>5804</v>
      </c>
      <c r="K2670" s="11"/>
      <c r="L2670" s="55" t="str">
        <f t="shared" si="1052"/>
        <v/>
      </c>
      <c r="M2670" s="37">
        <f t="shared" si="1053"/>
        <v>13.530000000000001</v>
      </c>
      <c r="N2670" s="29">
        <f t="shared" si="1054"/>
        <v>11.55</v>
      </c>
      <c r="O2670" s="31"/>
      <c r="P2670" s="50"/>
      <c r="Q2670" s="50"/>
      <c r="R2670" s="42" t="s">
        <v>1017</v>
      </c>
      <c r="T2670" s="50"/>
      <c r="U2670" s="50"/>
      <c r="X2670" s="50"/>
      <c r="AA2670" s="52"/>
      <c r="AC2670" t="s">
        <v>1017</v>
      </c>
      <c r="AD2670" s="38"/>
    </row>
    <row r="2671" spans="1:30" x14ac:dyDescent="0.35">
      <c r="A2671" s="497" t="s">
        <v>3729</v>
      </c>
      <c r="B2671" s="13" t="s">
        <v>5547</v>
      </c>
      <c r="C2671" s="13" t="s">
        <v>2385</v>
      </c>
      <c r="D2671" s="13" t="s">
        <v>7288</v>
      </c>
      <c r="E2671" s="13" t="s">
        <v>4811</v>
      </c>
      <c r="F2671" s="373">
        <v>16.5</v>
      </c>
      <c r="G2671" s="430">
        <v>16.5</v>
      </c>
      <c r="H2671" s="399">
        <f t="shared" si="1051"/>
        <v>13.2</v>
      </c>
      <c r="I2671" s="576"/>
      <c r="J2671" s="549" t="s">
        <v>5804</v>
      </c>
      <c r="K2671" s="11"/>
      <c r="L2671" s="55" t="str">
        <f t="shared" si="1052"/>
        <v/>
      </c>
      <c r="M2671" s="37">
        <f t="shared" si="1053"/>
        <v>16.5</v>
      </c>
      <c r="N2671" s="29">
        <f t="shared" si="1054"/>
        <v>11.55</v>
      </c>
      <c r="O2671" s="31" t="s">
        <v>1017</v>
      </c>
      <c r="P2671" s="50"/>
      <c r="Q2671" s="50"/>
      <c r="R2671" s="42" t="s">
        <v>1017</v>
      </c>
      <c r="T2671" s="50"/>
      <c r="U2671" s="50"/>
      <c r="X2671" s="50"/>
      <c r="AA2671" s="52"/>
      <c r="AC2671" t="s">
        <v>1017</v>
      </c>
      <c r="AD2671" s="38"/>
    </row>
    <row r="2672" spans="1:30" x14ac:dyDescent="0.35">
      <c r="A2672" s="497" t="s">
        <v>3730</v>
      </c>
      <c r="B2672" s="13" t="s">
        <v>5547</v>
      </c>
      <c r="C2672" s="13" t="s">
        <v>2385</v>
      </c>
      <c r="D2672" s="13" t="s">
        <v>7289</v>
      </c>
      <c r="E2672" s="13" t="s">
        <v>4809</v>
      </c>
      <c r="F2672" s="373">
        <v>18.48</v>
      </c>
      <c r="G2672" s="430">
        <v>18.48</v>
      </c>
      <c r="H2672" s="399">
        <f t="shared" si="1051"/>
        <v>14.78</v>
      </c>
      <c r="I2672" s="576"/>
      <c r="J2672" s="549" t="s">
        <v>5804</v>
      </c>
      <c r="K2672" s="11"/>
      <c r="L2672" s="55" t="str">
        <f t="shared" si="1052"/>
        <v/>
      </c>
      <c r="M2672" s="37">
        <f t="shared" si="1053"/>
        <v>18.48</v>
      </c>
      <c r="N2672" s="29">
        <f t="shared" si="1054"/>
        <v>11.55</v>
      </c>
      <c r="O2672" s="31"/>
      <c r="P2672" s="50"/>
      <c r="Q2672" s="50"/>
      <c r="R2672" s="42"/>
      <c r="S2672" t="s">
        <v>1017</v>
      </c>
      <c r="T2672" s="50"/>
      <c r="U2672" s="50"/>
      <c r="X2672" s="50"/>
      <c r="AA2672" s="52"/>
      <c r="AC2672" t="s">
        <v>1017</v>
      </c>
      <c r="AD2672" s="38"/>
    </row>
    <row r="2673" spans="1:30" x14ac:dyDescent="0.35">
      <c r="A2673" s="497" t="s">
        <v>3731</v>
      </c>
      <c r="B2673" s="13" t="s">
        <v>5547</v>
      </c>
      <c r="C2673" s="13" t="s">
        <v>2385</v>
      </c>
      <c r="D2673" s="13" t="s">
        <v>7290</v>
      </c>
      <c r="E2673" s="13" t="s">
        <v>4811</v>
      </c>
      <c r="F2673" s="373">
        <v>21.45</v>
      </c>
      <c r="G2673" s="430">
        <v>21.45</v>
      </c>
      <c r="H2673" s="399">
        <f t="shared" si="1051"/>
        <v>17.16</v>
      </c>
      <c r="I2673" s="576"/>
      <c r="J2673" s="549" t="s">
        <v>5804</v>
      </c>
      <c r="K2673" s="11"/>
      <c r="L2673" s="55" t="str">
        <f t="shared" si="1052"/>
        <v/>
      </c>
      <c r="M2673" s="37">
        <f t="shared" si="1053"/>
        <v>21.450000000000003</v>
      </c>
      <c r="N2673" s="29">
        <f t="shared" si="1054"/>
        <v>11.55</v>
      </c>
      <c r="O2673" s="31" t="s">
        <v>1017</v>
      </c>
      <c r="P2673" s="50"/>
      <c r="Q2673" s="50"/>
      <c r="R2673" s="42"/>
      <c r="S2673" t="s">
        <v>1017</v>
      </c>
      <c r="T2673" s="50"/>
      <c r="U2673" s="50"/>
      <c r="X2673" s="50"/>
      <c r="AA2673" s="52"/>
      <c r="AC2673" t="s">
        <v>1017</v>
      </c>
      <c r="AD2673" s="38"/>
    </row>
    <row r="2674" spans="1:30" x14ac:dyDescent="0.35">
      <c r="A2674" s="497" t="s">
        <v>3732</v>
      </c>
      <c r="B2674" s="13" t="s">
        <v>5547</v>
      </c>
      <c r="C2674" s="13" t="s">
        <v>2385</v>
      </c>
      <c r="D2674" s="13" t="s">
        <v>7291</v>
      </c>
      <c r="E2674" s="13" t="s">
        <v>4809</v>
      </c>
      <c r="F2674" s="373">
        <v>19.47</v>
      </c>
      <c r="G2674" s="430">
        <v>19.47</v>
      </c>
      <c r="H2674" s="399">
        <f t="shared" si="1051"/>
        <v>15.58</v>
      </c>
      <c r="I2674" s="576"/>
      <c r="J2674" s="549" t="s">
        <v>5804</v>
      </c>
      <c r="K2674" s="11"/>
      <c r="L2674" s="55" t="str">
        <f t="shared" si="1052"/>
        <v/>
      </c>
      <c r="M2674" s="37">
        <f t="shared" si="1053"/>
        <v>19.470000000000002</v>
      </c>
      <c r="N2674" s="29">
        <f t="shared" si="1054"/>
        <v>11.55</v>
      </c>
      <c r="O2674" s="31"/>
      <c r="P2674" s="50"/>
      <c r="Q2674" s="50"/>
      <c r="R2674" s="42" t="s">
        <v>1017</v>
      </c>
      <c r="S2674" t="s">
        <v>1017</v>
      </c>
      <c r="T2674" s="50"/>
      <c r="U2674" s="50"/>
      <c r="X2674" s="50"/>
      <c r="AA2674" s="52"/>
      <c r="AC2674" t="s">
        <v>1017</v>
      </c>
      <c r="AD2674" s="38"/>
    </row>
    <row r="2675" spans="1:30" x14ac:dyDescent="0.35">
      <c r="A2675" s="497" t="s">
        <v>3733</v>
      </c>
      <c r="B2675" s="13" t="s">
        <v>5547</v>
      </c>
      <c r="C2675" s="13" t="s">
        <v>2385</v>
      </c>
      <c r="D2675" s="13" t="s">
        <v>7292</v>
      </c>
      <c r="E2675" s="13" t="s">
        <v>4811</v>
      </c>
      <c r="F2675" s="373">
        <v>22.44</v>
      </c>
      <c r="G2675" s="430">
        <v>22.44</v>
      </c>
      <c r="H2675" s="399">
        <f t="shared" si="1051"/>
        <v>17.95</v>
      </c>
      <c r="I2675" s="576"/>
      <c r="J2675" s="549" t="s">
        <v>5804</v>
      </c>
      <c r="K2675" s="11"/>
      <c r="L2675" s="55" t="str">
        <f t="shared" si="1052"/>
        <v/>
      </c>
      <c r="M2675" s="37">
        <f t="shared" si="1053"/>
        <v>22.44</v>
      </c>
      <c r="N2675" s="29">
        <f t="shared" si="1054"/>
        <v>11.55</v>
      </c>
      <c r="O2675" s="31" t="s">
        <v>1017</v>
      </c>
      <c r="P2675" s="50"/>
      <c r="Q2675" s="50"/>
      <c r="R2675" s="42" t="s">
        <v>1017</v>
      </c>
      <c r="S2675" t="s">
        <v>1017</v>
      </c>
      <c r="T2675" s="50"/>
      <c r="U2675" s="50"/>
      <c r="X2675" s="50"/>
      <c r="AA2675" s="52"/>
      <c r="AC2675" t="s">
        <v>1017</v>
      </c>
      <c r="AD2675" s="38"/>
    </row>
    <row r="2676" spans="1:30" x14ac:dyDescent="0.35">
      <c r="A2676" s="497" t="s">
        <v>3734</v>
      </c>
      <c r="B2676" s="13" t="s">
        <v>5547</v>
      </c>
      <c r="C2676" s="13" t="s">
        <v>2385</v>
      </c>
      <c r="D2676" s="13" t="s">
        <v>7293</v>
      </c>
      <c r="E2676" s="13" t="s">
        <v>4809</v>
      </c>
      <c r="F2676" s="373">
        <v>19.47</v>
      </c>
      <c r="G2676" s="430">
        <v>19.47</v>
      </c>
      <c r="H2676" s="399">
        <f t="shared" si="1051"/>
        <v>15.58</v>
      </c>
      <c r="I2676" s="576"/>
      <c r="J2676" s="549" t="s">
        <v>5804</v>
      </c>
      <c r="K2676" s="11"/>
      <c r="L2676" s="55" t="str">
        <f t="shared" si="1052"/>
        <v/>
      </c>
      <c r="M2676" s="37">
        <f t="shared" si="1053"/>
        <v>19.47</v>
      </c>
      <c r="N2676" s="29">
        <f t="shared" si="1054"/>
        <v>11.55</v>
      </c>
      <c r="O2676" s="31"/>
      <c r="P2676" s="50"/>
      <c r="Q2676" s="50"/>
      <c r="R2676" s="42"/>
      <c r="T2676" s="50"/>
      <c r="U2676" s="50"/>
      <c r="V2676" t="s">
        <v>1017</v>
      </c>
      <c r="X2676" s="50"/>
      <c r="AA2676" s="52"/>
      <c r="AC2676" t="s">
        <v>1017</v>
      </c>
      <c r="AD2676" s="38"/>
    </row>
    <row r="2677" spans="1:30" x14ac:dyDescent="0.35">
      <c r="A2677" s="497" t="s">
        <v>3735</v>
      </c>
      <c r="B2677" s="13" t="s">
        <v>5547</v>
      </c>
      <c r="C2677" s="13" t="s">
        <v>2385</v>
      </c>
      <c r="D2677" s="13" t="s">
        <v>7294</v>
      </c>
      <c r="E2677" s="13" t="s">
        <v>4811</v>
      </c>
      <c r="F2677" s="373">
        <v>22.44</v>
      </c>
      <c r="G2677" s="430">
        <v>22.44</v>
      </c>
      <c r="H2677" s="399">
        <f t="shared" si="1051"/>
        <v>17.95</v>
      </c>
      <c r="I2677" s="576"/>
      <c r="J2677" s="549" t="s">
        <v>5804</v>
      </c>
      <c r="K2677" s="11"/>
      <c r="L2677" s="55" t="str">
        <f t="shared" si="1052"/>
        <v/>
      </c>
      <c r="M2677" s="37">
        <f t="shared" si="1053"/>
        <v>22.44</v>
      </c>
      <c r="N2677" s="29">
        <f t="shared" si="1054"/>
        <v>11.55</v>
      </c>
      <c r="O2677" s="31" t="s">
        <v>1017</v>
      </c>
      <c r="P2677" s="50"/>
      <c r="Q2677" s="50"/>
      <c r="R2677" s="42"/>
      <c r="T2677" s="50"/>
      <c r="U2677" s="50"/>
      <c r="V2677" t="s">
        <v>1017</v>
      </c>
      <c r="X2677" s="50"/>
      <c r="AA2677" s="52"/>
      <c r="AC2677" t="s">
        <v>1017</v>
      </c>
      <c r="AD2677" s="38"/>
    </row>
    <row r="2678" spans="1:30" x14ac:dyDescent="0.35">
      <c r="A2678" s="497" t="s">
        <v>3736</v>
      </c>
      <c r="B2678" s="13" t="s">
        <v>5547</v>
      </c>
      <c r="C2678" s="13" t="s">
        <v>2385</v>
      </c>
      <c r="D2678" s="13" t="s">
        <v>7295</v>
      </c>
      <c r="E2678" s="13" t="s">
        <v>4809</v>
      </c>
      <c r="F2678" s="373">
        <v>20.46</v>
      </c>
      <c r="G2678" s="430">
        <v>20.46</v>
      </c>
      <c r="H2678" s="399">
        <f t="shared" si="1051"/>
        <v>16.37</v>
      </c>
      <c r="I2678" s="576"/>
      <c r="J2678" s="549" t="s">
        <v>5804</v>
      </c>
      <c r="K2678" s="11"/>
      <c r="L2678" s="55" t="str">
        <f t="shared" si="1052"/>
        <v/>
      </c>
      <c r="M2678" s="37">
        <f t="shared" si="1053"/>
        <v>20.46</v>
      </c>
      <c r="N2678" s="29">
        <f t="shared" si="1054"/>
        <v>11.55</v>
      </c>
      <c r="O2678" s="31"/>
      <c r="P2678" s="50"/>
      <c r="Q2678" s="50"/>
      <c r="R2678" s="42" t="s">
        <v>1017</v>
      </c>
      <c r="T2678" s="50"/>
      <c r="U2678" s="50"/>
      <c r="V2678" t="s">
        <v>1017</v>
      </c>
      <c r="X2678" s="50"/>
      <c r="AA2678" s="52"/>
      <c r="AC2678" t="s">
        <v>1017</v>
      </c>
      <c r="AD2678" s="38"/>
    </row>
    <row r="2679" spans="1:30" x14ac:dyDescent="0.35">
      <c r="A2679" s="497" t="s">
        <v>3737</v>
      </c>
      <c r="B2679" s="13" t="s">
        <v>5547</v>
      </c>
      <c r="C2679" s="13" t="s">
        <v>2385</v>
      </c>
      <c r="D2679" s="13" t="s">
        <v>7296</v>
      </c>
      <c r="E2679" s="13" t="s">
        <v>4811</v>
      </c>
      <c r="F2679" s="373">
        <v>23.43</v>
      </c>
      <c r="G2679" s="430">
        <v>23.43</v>
      </c>
      <c r="H2679" s="399">
        <f t="shared" si="1051"/>
        <v>18.739999999999998</v>
      </c>
      <c r="I2679" s="576"/>
      <c r="J2679" s="549" t="s">
        <v>5804</v>
      </c>
      <c r="K2679" s="11"/>
      <c r="L2679" s="55" t="str">
        <f t="shared" si="1052"/>
        <v/>
      </c>
      <c r="M2679" s="37">
        <f t="shared" si="1053"/>
        <v>23.43</v>
      </c>
      <c r="N2679" s="29">
        <f t="shared" si="1054"/>
        <v>11.55</v>
      </c>
      <c r="O2679" s="31" t="s">
        <v>1017</v>
      </c>
      <c r="P2679" s="50"/>
      <c r="Q2679" s="50"/>
      <c r="R2679" s="42" t="s">
        <v>1017</v>
      </c>
      <c r="T2679" s="50"/>
      <c r="U2679" s="50"/>
      <c r="V2679" t="s">
        <v>1017</v>
      </c>
      <c r="X2679" s="50"/>
      <c r="AA2679" s="52"/>
      <c r="AC2679" t="s">
        <v>1017</v>
      </c>
      <c r="AD2679" s="38"/>
    </row>
    <row r="2680" spans="1:30" x14ac:dyDescent="0.35">
      <c r="A2680" s="497" t="s">
        <v>3738</v>
      </c>
      <c r="B2680" s="13" t="s">
        <v>5547</v>
      </c>
      <c r="C2680" s="13" t="s">
        <v>2385</v>
      </c>
      <c r="D2680" s="13" t="s">
        <v>7297</v>
      </c>
      <c r="E2680" s="13" t="s">
        <v>4809</v>
      </c>
      <c r="F2680" s="373">
        <v>21.45</v>
      </c>
      <c r="G2680" s="430">
        <v>21.45</v>
      </c>
      <c r="H2680" s="399">
        <f t="shared" si="1051"/>
        <v>17.16</v>
      </c>
      <c r="I2680" s="576"/>
      <c r="J2680" s="549" t="s">
        <v>5804</v>
      </c>
      <c r="K2680" s="11"/>
      <c r="L2680" s="55" t="str">
        <f t="shared" si="1052"/>
        <v/>
      </c>
      <c r="M2680" s="37">
        <f t="shared" si="1053"/>
        <v>21.450000000000003</v>
      </c>
      <c r="N2680" s="29">
        <f t="shared" si="1054"/>
        <v>11.55</v>
      </c>
      <c r="O2680" s="31"/>
      <c r="P2680" s="50"/>
      <c r="Q2680" s="50"/>
      <c r="R2680" s="42"/>
      <c r="T2680" s="50"/>
      <c r="U2680" s="50"/>
      <c r="X2680" s="50"/>
      <c r="Y2680" t="s">
        <v>1017</v>
      </c>
      <c r="AA2680" s="52"/>
      <c r="AC2680" t="s">
        <v>1017</v>
      </c>
      <c r="AD2680" s="38"/>
    </row>
    <row r="2681" spans="1:30" x14ac:dyDescent="0.35">
      <c r="A2681" s="497" t="s">
        <v>3739</v>
      </c>
      <c r="B2681" s="13" t="s">
        <v>5547</v>
      </c>
      <c r="C2681" s="13" t="s">
        <v>2385</v>
      </c>
      <c r="D2681" s="13" t="s">
        <v>7298</v>
      </c>
      <c r="E2681" s="13" t="s">
        <v>4811</v>
      </c>
      <c r="F2681" s="373">
        <v>24.42</v>
      </c>
      <c r="G2681" s="430">
        <v>24.42</v>
      </c>
      <c r="H2681" s="399">
        <f t="shared" si="1051"/>
        <v>19.54</v>
      </c>
      <c r="I2681" s="576"/>
      <c r="J2681" s="549" t="s">
        <v>5804</v>
      </c>
      <c r="K2681" s="11"/>
      <c r="L2681" s="55" t="str">
        <f t="shared" si="1052"/>
        <v/>
      </c>
      <c r="M2681" s="37">
        <f t="shared" si="1053"/>
        <v>24.42</v>
      </c>
      <c r="N2681" s="29">
        <f t="shared" si="1054"/>
        <v>11.55</v>
      </c>
      <c r="O2681" s="31" t="s">
        <v>1017</v>
      </c>
      <c r="P2681" s="50"/>
      <c r="Q2681" s="50"/>
      <c r="R2681" s="42"/>
      <c r="T2681" s="50"/>
      <c r="U2681" s="50"/>
      <c r="X2681" s="50"/>
      <c r="Y2681" t="s">
        <v>1017</v>
      </c>
      <c r="AA2681" s="52"/>
      <c r="AC2681" t="s">
        <v>1017</v>
      </c>
      <c r="AD2681" s="38"/>
    </row>
    <row r="2682" spans="1:30" x14ac:dyDescent="0.35">
      <c r="A2682" s="497" t="s">
        <v>3740</v>
      </c>
      <c r="B2682" s="13" t="s">
        <v>5547</v>
      </c>
      <c r="C2682" s="13" t="s">
        <v>2385</v>
      </c>
      <c r="D2682" s="13" t="s">
        <v>7299</v>
      </c>
      <c r="E2682" s="13" t="s">
        <v>4809</v>
      </c>
      <c r="F2682" s="373">
        <v>22.44</v>
      </c>
      <c r="G2682" s="430">
        <v>22.44</v>
      </c>
      <c r="H2682" s="399">
        <f t="shared" si="1051"/>
        <v>17.95</v>
      </c>
      <c r="I2682" s="576"/>
      <c r="J2682" s="549" t="s">
        <v>5804</v>
      </c>
      <c r="K2682" s="11"/>
      <c r="L2682" s="55" t="str">
        <f t="shared" si="1052"/>
        <v/>
      </c>
      <c r="M2682" s="37">
        <f t="shared" si="1053"/>
        <v>22.44</v>
      </c>
      <c r="N2682" s="29">
        <f t="shared" si="1054"/>
        <v>11.55</v>
      </c>
      <c r="O2682" s="31"/>
      <c r="P2682" s="50"/>
      <c r="Q2682" s="50"/>
      <c r="R2682" s="42" t="s">
        <v>1017</v>
      </c>
      <c r="T2682" s="50"/>
      <c r="U2682" s="50"/>
      <c r="X2682" s="50"/>
      <c r="Y2682" t="s">
        <v>1017</v>
      </c>
      <c r="AA2682" s="52"/>
      <c r="AC2682" t="s">
        <v>1017</v>
      </c>
      <c r="AD2682" s="38"/>
    </row>
    <row r="2683" spans="1:30" x14ac:dyDescent="0.35">
      <c r="A2683" s="497" t="s">
        <v>3741</v>
      </c>
      <c r="B2683" s="13" t="s">
        <v>5547</v>
      </c>
      <c r="C2683" s="13" t="s">
        <v>2385</v>
      </c>
      <c r="D2683" s="13" t="s">
        <v>7300</v>
      </c>
      <c r="E2683" s="13" t="s">
        <v>4811</v>
      </c>
      <c r="F2683" s="373">
        <v>25.41</v>
      </c>
      <c r="G2683" s="430">
        <v>25.41</v>
      </c>
      <c r="H2683" s="399">
        <f t="shared" si="1051"/>
        <v>20.329999999999998</v>
      </c>
      <c r="I2683" s="576"/>
      <c r="J2683" s="549" t="s">
        <v>5804</v>
      </c>
      <c r="K2683" s="11"/>
      <c r="L2683" s="55" t="str">
        <f t="shared" si="1052"/>
        <v/>
      </c>
      <c r="M2683" s="37">
        <f t="shared" si="1053"/>
        <v>25.410000000000004</v>
      </c>
      <c r="N2683" s="29">
        <f t="shared" si="1054"/>
        <v>11.55</v>
      </c>
      <c r="O2683" s="31" t="s">
        <v>1017</v>
      </c>
      <c r="P2683" s="50"/>
      <c r="Q2683" s="50"/>
      <c r="R2683" s="42" t="s">
        <v>1017</v>
      </c>
      <c r="T2683" s="50"/>
      <c r="U2683" s="50"/>
      <c r="X2683" s="50"/>
      <c r="Y2683" t="s">
        <v>1017</v>
      </c>
      <c r="AA2683" s="52"/>
      <c r="AC2683" t="s">
        <v>1017</v>
      </c>
      <c r="AD2683" s="38"/>
    </row>
    <row r="2684" spans="1:30" x14ac:dyDescent="0.35">
      <c r="A2684" s="497" t="s">
        <v>3742</v>
      </c>
      <c r="B2684" s="13" t="s">
        <v>5547</v>
      </c>
      <c r="C2684" s="13" t="s">
        <v>2385</v>
      </c>
      <c r="D2684" s="13" t="s">
        <v>7301</v>
      </c>
      <c r="E2684" s="13" t="s">
        <v>4809</v>
      </c>
      <c r="F2684" s="373">
        <v>23.43</v>
      </c>
      <c r="G2684" s="430">
        <v>23.43</v>
      </c>
      <c r="H2684" s="399">
        <f t="shared" ref="H2684:H2747" si="1055">IF(ISNUMBER(G2684),ROUND(0.8*G2684,2),"")</f>
        <v>18.739999999999998</v>
      </c>
      <c r="I2684" s="576"/>
      <c r="J2684" s="549" t="s">
        <v>5804</v>
      </c>
      <c r="K2684" s="11"/>
      <c r="L2684" s="55" t="str">
        <f t="shared" ref="L2684:L2747" si="1056">IF(F2684=M2684,"",FALSE)</f>
        <v/>
      </c>
      <c r="M2684" s="37">
        <f t="shared" ref="M2684:M2747" si="1057">N2684+SUMIF(O2684:AD2684,"x",O$2619:AD$2619)</f>
        <v>23.43</v>
      </c>
      <c r="N2684" s="29">
        <f t="shared" ref="N2684:N2747" si="1058">ROUND(N2461*(1-$AE$2618),2)</f>
        <v>11.55</v>
      </c>
      <c r="O2684" s="31"/>
      <c r="P2684" s="50"/>
      <c r="Q2684" s="50"/>
      <c r="R2684" s="42"/>
      <c r="T2684" s="50"/>
      <c r="U2684" s="50"/>
      <c r="W2684" t="s">
        <v>1017</v>
      </c>
      <c r="X2684" s="50"/>
      <c r="AA2684" s="52"/>
      <c r="AC2684" t="s">
        <v>1017</v>
      </c>
      <c r="AD2684" s="38"/>
    </row>
    <row r="2685" spans="1:30" x14ac:dyDescent="0.35">
      <c r="A2685" s="497" t="s">
        <v>3743</v>
      </c>
      <c r="B2685" s="13" t="s">
        <v>5547</v>
      </c>
      <c r="C2685" s="13" t="s">
        <v>2385</v>
      </c>
      <c r="D2685" s="13" t="s">
        <v>7302</v>
      </c>
      <c r="E2685" s="13" t="s">
        <v>4811</v>
      </c>
      <c r="F2685" s="373">
        <v>26.4</v>
      </c>
      <c r="G2685" s="430">
        <v>26.4</v>
      </c>
      <c r="H2685" s="399">
        <f t="shared" si="1055"/>
        <v>21.12</v>
      </c>
      <c r="I2685" s="576"/>
      <c r="J2685" s="549" t="s">
        <v>5804</v>
      </c>
      <c r="K2685" s="11"/>
      <c r="L2685" s="55" t="str">
        <f t="shared" si="1056"/>
        <v/>
      </c>
      <c r="M2685" s="37">
        <f t="shared" si="1057"/>
        <v>26.400000000000002</v>
      </c>
      <c r="N2685" s="29">
        <f t="shared" si="1058"/>
        <v>11.55</v>
      </c>
      <c r="O2685" s="31" t="s">
        <v>1017</v>
      </c>
      <c r="P2685" s="50"/>
      <c r="Q2685" s="50"/>
      <c r="R2685" s="42"/>
      <c r="T2685" s="50"/>
      <c r="U2685" s="50"/>
      <c r="W2685" t="s">
        <v>1017</v>
      </c>
      <c r="X2685" s="50"/>
      <c r="AA2685" s="52"/>
      <c r="AC2685" t="s">
        <v>1017</v>
      </c>
      <c r="AD2685" s="38"/>
    </row>
    <row r="2686" spans="1:30" x14ac:dyDescent="0.35">
      <c r="A2686" s="497" t="s">
        <v>3744</v>
      </c>
      <c r="B2686" s="13" t="s">
        <v>5547</v>
      </c>
      <c r="C2686" s="13" t="s">
        <v>2385</v>
      </c>
      <c r="D2686" s="13" t="s">
        <v>7303</v>
      </c>
      <c r="E2686" s="13" t="s">
        <v>4809</v>
      </c>
      <c r="F2686" s="373">
        <v>24.42</v>
      </c>
      <c r="G2686" s="430">
        <v>24.42</v>
      </c>
      <c r="H2686" s="399">
        <f t="shared" si="1055"/>
        <v>19.54</v>
      </c>
      <c r="I2686" s="576"/>
      <c r="J2686" s="549" t="s">
        <v>5804</v>
      </c>
      <c r="K2686" s="11"/>
      <c r="L2686" s="55" t="str">
        <f t="shared" si="1056"/>
        <v/>
      </c>
      <c r="M2686" s="37">
        <f t="shared" si="1057"/>
        <v>24.42</v>
      </c>
      <c r="N2686" s="29">
        <f t="shared" si="1058"/>
        <v>11.55</v>
      </c>
      <c r="O2686" s="31"/>
      <c r="P2686" s="50"/>
      <c r="Q2686" s="50"/>
      <c r="R2686" s="42" t="s">
        <v>1017</v>
      </c>
      <c r="T2686" s="50"/>
      <c r="U2686" s="50"/>
      <c r="W2686" t="s">
        <v>1017</v>
      </c>
      <c r="X2686" s="50"/>
      <c r="AA2686" s="52"/>
      <c r="AC2686" t="s">
        <v>1017</v>
      </c>
      <c r="AD2686" s="38"/>
    </row>
    <row r="2687" spans="1:30" x14ac:dyDescent="0.35">
      <c r="A2687" s="497" t="s">
        <v>3745</v>
      </c>
      <c r="B2687" s="13" t="s">
        <v>5547</v>
      </c>
      <c r="C2687" s="13" t="s">
        <v>2385</v>
      </c>
      <c r="D2687" s="13" t="s">
        <v>7304</v>
      </c>
      <c r="E2687" s="13" t="s">
        <v>4811</v>
      </c>
      <c r="F2687" s="373">
        <v>27.39</v>
      </c>
      <c r="G2687" s="430">
        <v>27.39</v>
      </c>
      <c r="H2687" s="399">
        <f t="shared" si="1055"/>
        <v>21.91</v>
      </c>
      <c r="I2687" s="576"/>
      <c r="J2687" s="549" t="s">
        <v>5804</v>
      </c>
      <c r="K2687" s="11"/>
      <c r="L2687" s="55" t="str">
        <f t="shared" si="1056"/>
        <v/>
      </c>
      <c r="M2687" s="37">
        <f t="shared" si="1057"/>
        <v>27.39</v>
      </c>
      <c r="N2687" s="29">
        <f t="shared" si="1058"/>
        <v>11.55</v>
      </c>
      <c r="O2687" s="31" t="s">
        <v>1017</v>
      </c>
      <c r="P2687" s="50"/>
      <c r="Q2687" s="50"/>
      <c r="R2687" s="42" t="s">
        <v>1017</v>
      </c>
      <c r="T2687" s="50"/>
      <c r="U2687" s="50"/>
      <c r="W2687" t="s">
        <v>1017</v>
      </c>
      <c r="X2687" s="50"/>
      <c r="AA2687" s="52"/>
      <c r="AC2687" t="s">
        <v>1017</v>
      </c>
      <c r="AD2687" s="38"/>
    </row>
    <row r="2688" spans="1:30" x14ac:dyDescent="0.35">
      <c r="A2688" s="497" t="s">
        <v>3746</v>
      </c>
      <c r="B2688" s="13" t="s">
        <v>5547</v>
      </c>
      <c r="C2688" s="13" t="s">
        <v>2385</v>
      </c>
      <c r="D2688" s="13" t="s">
        <v>7305</v>
      </c>
      <c r="E2688" s="13" t="s">
        <v>4809</v>
      </c>
      <c r="F2688" s="373">
        <v>25.41</v>
      </c>
      <c r="G2688" s="430">
        <v>25.41</v>
      </c>
      <c r="H2688" s="399">
        <f t="shared" si="1055"/>
        <v>20.329999999999998</v>
      </c>
      <c r="I2688" s="576"/>
      <c r="J2688" s="549" t="s">
        <v>5804</v>
      </c>
      <c r="K2688" s="11"/>
      <c r="L2688" s="55" t="str">
        <f t="shared" si="1056"/>
        <v/>
      </c>
      <c r="M2688" s="37">
        <f t="shared" si="1057"/>
        <v>25.410000000000004</v>
      </c>
      <c r="N2688" s="29">
        <f t="shared" si="1058"/>
        <v>11.55</v>
      </c>
      <c r="O2688" s="31"/>
      <c r="P2688" s="50"/>
      <c r="Q2688" s="50"/>
      <c r="R2688" s="42"/>
      <c r="T2688" s="50"/>
      <c r="U2688" s="50"/>
      <c r="X2688" s="50"/>
      <c r="Z2688" t="s">
        <v>1017</v>
      </c>
      <c r="AA2688" s="52"/>
      <c r="AC2688" t="s">
        <v>1017</v>
      </c>
      <c r="AD2688" s="38"/>
    </row>
    <row r="2689" spans="1:30" x14ac:dyDescent="0.35">
      <c r="A2689" s="497" t="s">
        <v>3747</v>
      </c>
      <c r="B2689" s="13" t="s">
        <v>5547</v>
      </c>
      <c r="C2689" s="13" t="s">
        <v>2385</v>
      </c>
      <c r="D2689" s="13" t="s">
        <v>7306</v>
      </c>
      <c r="E2689" s="13" t="s">
        <v>4811</v>
      </c>
      <c r="F2689" s="373">
        <v>28.38</v>
      </c>
      <c r="G2689" s="430">
        <v>28.38</v>
      </c>
      <c r="H2689" s="399">
        <f t="shared" si="1055"/>
        <v>22.7</v>
      </c>
      <c r="I2689" s="576"/>
      <c r="J2689" s="549" t="s">
        <v>5804</v>
      </c>
      <c r="K2689" s="11"/>
      <c r="L2689" s="55" t="str">
        <f t="shared" si="1056"/>
        <v/>
      </c>
      <c r="M2689" s="37">
        <f t="shared" si="1057"/>
        <v>28.380000000000003</v>
      </c>
      <c r="N2689" s="29">
        <f t="shared" si="1058"/>
        <v>11.55</v>
      </c>
      <c r="O2689" s="31" t="s">
        <v>1017</v>
      </c>
      <c r="P2689" s="50"/>
      <c r="Q2689" s="50"/>
      <c r="R2689" s="42"/>
      <c r="T2689" s="50"/>
      <c r="U2689" s="50"/>
      <c r="X2689" s="50"/>
      <c r="Z2689" t="s">
        <v>1017</v>
      </c>
      <c r="AA2689" s="52"/>
      <c r="AC2689" t="s">
        <v>1017</v>
      </c>
      <c r="AD2689" s="38"/>
    </row>
    <row r="2690" spans="1:30" x14ac:dyDescent="0.35">
      <c r="A2690" s="497" t="s">
        <v>3748</v>
      </c>
      <c r="B2690" s="13" t="s">
        <v>5547</v>
      </c>
      <c r="C2690" s="13" t="s">
        <v>2385</v>
      </c>
      <c r="D2690" s="13" t="s">
        <v>7307</v>
      </c>
      <c r="E2690" s="13" t="s">
        <v>4809</v>
      </c>
      <c r="F2690" s="373">
        <v>26.4</v>
      </c>
      <c r="G2690" s="430">
        <v>26.4</v>
      </c>
      <c r="H2690" s="399">
        <f t="shared" si="1055"/>
        <v>21.12</v>
      </c>
      <c r="I2690" s="576"/>
      <c r="J2690" s="549" t="s">
        <v>5804</v>
      </c>
      <c r="K2690" s="11"/>
      <c r="L2690" s="55" t="str">
        <f t="shared" si="1056"/>
        <v/>
      </c>
      <c r="M2690" s="37">
        <f t="shared" si="1057"/>
        <v>26.400000000000002</v>
      </c>
      <c r="N2690" s="29">
        <f t="shared" si="1058"/>
        <v>11.55</v>
      </c>
      <c r="O2690" s="31"/>
      <c r="P2690" s="50"/>
      <c r="Q2690" s="50"/>
      <c r="R2690" s="42" t="s">
        <v>1017</v>
      </c>
      <c r="T2690" s="50"/>
      <c r="U2690" s="50"/>
      <c r="X2690" s="50"/>
      <c r="Z2690" t="s">
        <v>1017</v>
      </c>
      <c r="AA2690" s="52"/>
      <c r="AC2690" t="s">
        <v>1017</v>
      </c>
      <c r="AD2690" s="38"/>
    </row>
    <row r="2691" spans="1:30" x14ac:dyDescent="0.35">
      <c r="A2691" s="497" t="s">
        <v>3749</v>
      </c>
      <c r="B2691" s="13" t="s">
        <v>5547</v>
      </c>
      <c r="C2691" s="13" t="s">
        <v>2385</v>
      </c>
      <c r="D2691" s="13" t="s">
        <v>7308</v>
      </c>
      <c r="E2691" s="13" t="s">
        <v>4811</v>
      </c>
      <c r="F2691" s="373">
        <v>29.37</v>
      </c>
      <c r="G2691" s="430">
        <v>29.37</v>
      </c>
      <c r="H2691" s="399">
        <f t="shared" si="1055"/>
        <v>23.5</v>
      </c>
      <c r="I2691" s="576"/>
      <c r="J2691" s="549" t="s">
        <v>5804</v>
      </c>
      <c r="K2691" s="11"/>
      <c r="L2691" s="55" t="str">
        <f t="shared" si="1056"/>
        <v/>
      </c>
      <c r="M2691" s="37">
        <f t="shared" si="1057"/>
        <v>29.37</v>
      </c>
      <c r="N2691" s="29">
        <f t="shared" si="1058"/>
        <v>11.55</v>
      </c>
      <c r="O2691" s="31" t="s">
        <v>1017</v>
      </c>
      <c r="P2691" s="50"/>
      <c r="Q2691" s="50"/>
      <c r="R2691" s="42" t="s">
        <v>1017</v>
      </c>
      <c r="T2691" s="50"/>
      <c r="U2691" s="50"/>
      <c r="X2691" s="50"/>
      <c r="Z2691" t="s">
        <v>1017</v>
      </c>
      <c r="AA2691" s="52"/>
      <c r="AC2691" t="s">
        <v>1017</v>
      </c>
      <c r="AD2691" s="38"/>
    </row>
    <row r="2692" spans="1:30" x14ac:dyDescent="0.35">
      <c r="A2692" s="497" t="s">
        <v>3750</v>
      </c>
      <c r="B2692" s="13" t="s">
        <v>5547</v>
      </c>
      <c r="C2692" s="13" t="s">
        <v>2385</v>
      </c>
      <c r="D2692" s="13" t="s">
        <v>7309</v>
      </c>
      <c r="E2692" s="13" t="s">
        <v>4809</v>
      </c>
      <c r="F2692" s="373">
        <v>13.53</v>
      </c>
      <c r="G2692" s="430">
        <v>13.53</v>
      </c>
      <c r="H2692" s="399">
        <f t="shared" si="1055"/>
        <v>10.82</v>
      </c>
      <c r="I2692" s="576"/>
      <c r="J2692" s="549" t="s">
        <v>5804</v>
      </c>
      <c r="K2692" s="11"/>
      <c r="L2692" s="55" t="str">
        <f t="shared" si="1056"/>
        <v/>
      </c>
      <c r="M2692" s="37">
        <f t="shared" si="1057"/>
        <v>13.530000000000001</v>
      </c>
      <c r="N2692" s="29">
        <f t="shared" si="1058"/>
        <v>11.55</v>
      </c>
      <c r="O2692" s="31"/>
      <c r="P2692" s="50"/>
      <c r="Q2692" s="50"/>
      <c r="R2692" s="42"/>
      <c r="T2692" s="50"/>
      <c r="U2692" s="50"/>
      <c r="X2692" s="50"/>
      <c r="AA2692" s="52"/>
      <c r="AD2692" s="38" t="s">
        <v>1017</v>
      </c>
    </row>
    <row r="2693" spans="1:30" x14ac:dyDescent="0.35">
      <c r="A2693" s="497" t="s">
        <v>3751</v>
      </c>
      <c r="B2693" s="13" t="s">
        <v>5547</v>
      </c>
      <c r="C2693" s="13" t="s">
        <v>2385</v>
      </c>
      <c r="D2693" s="13" t="s">
        <v>7310</v>
      </c>
      <c r="E2693" s="13" t="s">
        <v>4811</v>
      </c>
      <c r="F2693" s="373">
        <v>16.5</v>
      </c>
      <c r="G2693" s="430">
        <v>16.5</v>
      </c>
      <c r="H2693" s="399">
        <f t="shared" si="1055"/>
        <v>13.2</v>
      </c>
      <c r="I2693" s="576"/>
      <c r="J2693" s="549" t="s">
        <v>5804</v>
      </c>
      <c r="K2693" s="11"/>
      <c r="L2693" s="55" t="str">
        <f t="shared" si="1056"/>
        <v/>
      </c>
      <c r="M2693" s="37">
        <f t="shared" si="1057"/>
        <v>16.5</v>
      </c>
      <c r="N2693" s="29">
        <f t="shared" si="1058"/>
        <v>11.55</v>
      </c>
      <c r="O2693" s="31" t="s">
        <v>1017</v>
      </c>
      <c r="P2693" s="50"/>
      <c r="Q2693" s="50"/>
      <c r="R2693" s="42"/>
      <c r="T2693" s="50"/>
      <c r="U2693" s="50"/>
      <c r="X2693" s="50"/>
      <c r="AA2693" s="52"/>
      <c r="AD2693" s="38" t="s">
        <v>1017</v>
      </c>
    </row>
    <row r="2694" spans="1:30" x14ac:dyDescent="0.35">
      <c r="A2694" s="497" t="s">
        <v>3752</v>
      </c>
      <c r="B2694" s="13" t="s">
        <v>5547</v>
      </c>
      <c r="C2694" s="13" t="s">
        <v>2385</v>
      </c>
      <c r="D2694" s="13" t="s">
        <v>7311</v>
      </c>
      <c r="E2694" s="13" t="s">
        <v>4809</v>
      </c>
      <c r="F2694" s="373">
        <v>14.52</v>
      </c>
      <c r="G2694" s="430">
        <v>14.52</v>
      </c>
      <c r="H2694" s="399">
        <f t="shared" si="1055"/>
        <v>11.62</v>
      </c>
      <c r="I2694" s="576"/>
      <c r="J2694" s="549" t="s">
        <v>5804</v>
      </c>
      <c r="K2694" s="11"/>
      <c r="L2694" s="55" t="str">
        <f t="shared" si="1056"/>
        <v/>
      </c>
      <c r="M2694" s="37">
        <f t="shared" si="1057"/>
        <v>14.52</v>
      </c>
      <c r="N2694" s="29">
        <f t="shared" si="1058"/>
        <v>11.55</v>
      </c>
      <c r="O2694" s="31"/>
      <c r="P2694" s="50"/>
      <c r="Q2694" s="50"/>
      <c r="R2694" s="42" t="s">
        <v>1017</v>
      </c>
      <c r="T2694" s="50"/>
      <c r="U2694" s="50"/>
      <c r="X2694" s="50"/>
      <c r="AA2694" s="52"/>
      <c r="AD2694" s="38" t="s">
        <v>1017</v>
      </c>
    </row>
    <row r="2695" spans="1:30" x14ac:dyDescent="0.35">
      <c r="A2695" s="497" t="s">
        <v>3753</v>
      </c>
      <c r="B2695" s="13" t="s">
        <v>5547</v>
      </c>
      <c r="C2695" s="13" t="s">
        <v>2385</v>
      </c>
      <c r="D2695" s="13" t="s">
        <v>7312</v>
      </c>
      <c r="E2695" s="13" t="s">
        <v>4811</v>
      </c>
      <c r="F2695" s="373">
        <v>17.489999999999998</v>
      </c>
      <c r="G2695" s="430">
        <v>17.489999999999998</v>
      </c>
      <c r="H2695" s="399">
        <f t="shared" si="1055"/>
        <v>13.99</v>
      </c>
      <c r="I2695" s="576"/>
      <c r="J2695" s="549" t="s">
        <v>5804</v>
      </c>
      <c r="K2695" s="11"/>
      <c r="L2695" s="55" t="str">
        <f t="shared" si="1056"/>
        <v/>
      </c>
      <c r="M2695" s="37">
        <f t="shared" si="1057"/>
        <v>17.490000000000002</v>
      </c>
      <c r="N2695" s="29">
        <f t="shared" si="1058"/>
        <v>11.55</v>
      </c>
      <c r="O2695" s="31" t="s">
        <v>1017</v>
      </c>
      <c r="P2695" s="50"/>
      <c r="Q2695" s="50"/>
      <c r="R2695" s="42" t="s">
        <v>1017</v>
      </c>
      <c r="T2695" s="50"/>
      <c r="U2695" s="50"/>
      <c r="X2695" s="50"/>
      <c r="AA2695" s="52"/>
      <c r="AD2695" s="38" t="s">
        <v>1017</v>
      </c>
    </row>
    <row r="2696" spans="1:30" x14ac:dyDescent="0.35">
      <c r="A2696" s="497" t="s">
        <v>3754</v>
      </c>
      <c r="B2696" s="13" t="s">
        <v>5547</v>
      </c>
      <c r="C2696" s="13" t="s">
        <v>2385</v>
      </c>
      <c r="D2696" s="13" t="s">
        <v>7313</v>
      </c>
      <c r="E2696" s="13" t="s">
        <v>4809</v>
      </c>
      <c r="F2696" s="373">
        <v>19.47</v>
      </c>
      <c r="G2696" s="430">
        <v>19.47</v>
      </c>
      <c r="H2696" s="399">
        <f t="shared" si="1055"/>
        <v>15.58</v>
      </c>
      <c r="I2696" s="576"/>
      <c r="J2696" s="549" t="s">
        <v>5804</v>
      </c>
      <c r="K2696" s="11"/>
      <c r="L2696" s="55" t="str">
        <f t="shared" si="1056"/>
        <v/>
      </c>
      <c r="M2696" s="37">
        <f t="shared" si="1057"/>
        <v>19.47</v>
      </c>
      <c r="N2696" s="29">
        <f t="shared" si="1058"/>
        <v>11.55</v>
      </c>
      <c r="O2696" s="31"/>
      <c r="P2696" s="50"/>
      <c r="Q2696" s="50"/>
      <c r="R2696" s="42"/>
      <c r="S2696" t="s">
        <v>1017</v>
      </c>
      <c r="T2696" s="50"/>
      <c r="U2696" s="50"/>
      <c r="X2696" s="50"/>
      <c r="AA2696" s="52"/>
      <c r="AD2696" s="38" t="s">
        <v>1017</v>
      </c>
    </row>
    <row r="2697" spans="1:30" x14ac:dyDescent="0.35">
      <c r="A2697" s="497" t="s">
        <v>3755</v>
      </c>
      <c r="B2697" s="13" t="s">
        <v>5547</v>
      </c>
      <c r="C2697" s="13" t="s">
        <v>2385</v>
      </c>
      <c r="D2697" s="13" t="s">
        <v>7314</v>
      </c>
      <c r="E2697" s="13" t="s">
        <v>4811</v>
      </c>
      <c r="F2697" s="373">
        <v>22.44</v>
      </c>
      <c r="G2697" s="430">
        <v>22.44</v>
      </c>
      <c r="H2697" s="399">
        <f t="shared" si="1055"/>
        <v>17.95</v>
      </c>
      <c r="I2697" s="576"/>
      <c r="J2697" s="549" t="s">
        <v>5804</v>
      </c>
      <c r="K2697" s="11"/>
      <c r="L2697" s="55" t="str">
        <f t="shared" si="1056"/>
        <v/>
      </c>
      <c r="M2697" s="37">
        <f t="shared" si="1057"/>
        <v>22.44</v>
      </c>
      <c r="N2697" s="29">
        <f t="shared" si="1058"/>
        <v>11.55</v>
      </c>
      <c r="O2697" s="31" t="s">
        <v>1017</v>
      </c>
      <c r="P2697" s="50"/>
      <c r="Q2697" s="50"/>
      <c r="R2697" s="42"/>
      <c r="S2697" t="s">
        <v>1017</v>
      </c>
      <c r="T2697" s="50"/>
      <c r="U2697" s="50"/>
      <c r="X2697" s="50"/>
      <c r="AA2697" s="52"/>
      <c r="AD2697" s="38" t="s">
        <v>1017</v>
      </c>
    </row>
    <row r="2698" spans="1:30" x14ac:dyDescent="0.35">
      <c r="A2698" s="497" t="s">
        <v>3756</v>
      </c>
      <c r="B2698" s="13" t="s">
        <v>5547</v>
      </c>
      <c r="C2698" s="13" t="s">
        <v>2385</v>
      </c>
      <c r="D2698" s="13" t="s">
        <v>7315</v>
      </c>
      <c r="E2698" s="13" t="s">
        <v>4809</v>
      </c>
      <c r="F2698" s="373">
        <v>20.46</v>
      </c>
      <c r="G2698" s="430">
        <v>20.46</v>
      </c>
      <c r="H2698" s="399">
        <f t="shared" si="1055"/>
        <v>16.37</v>
      </c>
      <c r="I2698" s="576"/>
      <c r="J2698" s="549" t="s">
        <v>5804</v>
      </c>
      <c r="K2698" s="11"/>
      <c r="L2698" s="55" t="str">
        <f t="shared" si="1056"/>
        <v/>
      </c>
      <c r="M2698" s="37">
        <f t="shared" si="1057"/>
        <v>20.46</v>
      </c>
      <c r="N2698" s="29">
        <f t="shared" si="1058"/>
        <v>11.55</v>
      </c>
      <c r="O2698" s="31"/>
      <c r="P2698" s="50"/>
      <c r="Q2698" s="50"/>
      <c r="R2698" s="42" t="s">
        <v>1017</v>
      </c>
      <c r="S2698" t="s">
        <v>1017</v>
      </c>
      <c r="T2698" s="50"/>
      <c r="U2698" s="50"/>
      <c r="X2698" s="50"/>
      <c r="AA2698" s="52"/>
      <c r="AD2698" s="38" t="s">
        <v>1017</v>
      </c>
    </row>
    <row r="2699" spans="1:30" x14ac:dyDescent="0.35">
      <c r="A2699" s="497" t="s">
        <v>3757</v>
      </c>
      <c r="B2699" s="13" t="s">
        <v>5547</v>
      </c>
      <c r="C2699" s="13" t="s">
        <v>2385</v>
      </c>
      <c r="D2699" s="13" t="s">
        <v>7316</v>
      </c>
      <c r="E2699" s="13" t="s">
        <v>4811</v>
      </c>
      <c r="F2699" s="373">
        <v>23.43</v>
      </c>
      <c r="G2699" s="430">
        <v>23.43</v>
      </c>
      <c r="H2699" s="399">
        <f t="shared" si="1055"/>
        <v>18.739999999999998</v>
      </c>
      <c r="I2699" s="576"/>
      <c r="J2699" s="549" t="s">
        <v>5804</v>
      </c>
      <c r="K2699" s="11"/>
      <c r="L2699" s="55" t="str">
        <f t="shared" si="1056"/>
        <v/>
      </c>
      <c r="M2699" s="37">
        <f t="shared" si="1057"/>
        <v>23.43</v>
      </c>
      <c r="N2699" s="29">
        <f t="shared" si="1058"/>
        <v>11.55</v>
      </c>
      <c r="O2699" s="31" t="s">
        <v>1017</v>
      </c>
      <c r="P2699" s="50"/>
      <c r="Q2699" s="50"/>
      <c r="R2699" s="42" t="s">
        <v>1017</v>
      </c>
      <c r="S2699" t="s">
        <v>1017</v>
      </c>
      <c r="T2699" s="50"/>
      <c r="U2699" s="50"/>
      <c r="X2699" s="50"/>
      <c r="AA2699" s="52"/>
      <c r="AD2699" s="38" t="s">
        <v>1017</v>
      </c>
    </row>
    <row r="2700" spans="1:30" x14ac:dyDescent="0.35">
      <c r="A2700" s="497" t="s">
        <v>3758</v>
      </c>
      <c r="B2700" s="13" t="s">
        <v>5547</v>
      </c>
      <c r="C2700" s="13" t="s">
        <v>2385</v>
      </c>
      <c r="D2700" s="13" t="s">
        <v>7317</v>
      </c>
      <c r="E2700" s="13" t="s">
        <v>4809</v>
      </c>
      <c r="F2700" s="373">
        <v>20.46</v>
      </c>
      <c r="G2700" s="430">
        <v>20.46</v>
      </c>
      <c r="H2700" s="399">
        <f t="shared" si="1055"/>
        <v>16.37</v>
      </c>
      <c r="I2700" s="576"/>
      <c r="J2700" s="549" t="s">
        <v>5804</v>
      </c>
      <c r="K2700" s="11"/>
      <c r="L2700" s="55" t="str">
        <f t="shared" si="1056"/>
        <v/>
      </c>
      <c r="M2700" s="37">
        <f t="shared" si="1057"/>
        <v>20.46</v>
      </c>
      <c r="N2700" s="29">
        <f t="shared" si="1058"/>
        <v>11.55</v>
      </c>
      <c r="O2700" s="31"/>
      <c r="P2700" s="50"/>
      <c r="Q2700" s="50"/>
      <c r="R2700" s="42"/>
      <c r="T2700" s="50"/>
      <c r="U2700" s="50"/>
      <c r="V2700" t="s">
        <v>1017</v>
      </c>
      <c r="X2700" s="50"/>
      <c r="AA2700" s="52"/>
      <c r="AD2700" s="38" t="s">
        <v>1017</v>
      </c>
    </row>
    <row r="2701" spans="1:30" x14ac:dyDescent="0.35">
      <c r="A2701" s="497" t="s">
        <v>3759</v>
      </c>
      <c r="B2701" s="13" t="s">
        <v>5547</v>
      </c>
      <c r="C2701" s="13" t="s">
        <v>2385</v>
      </c>
      <c r="D2701" s="13" t="s">
        <v>7318</v>
      </c>
      <c r="E2701" s="13" t="s">
        <v>4811</v>
      </c>
      <c r="F2701" s="373">
        <v>23.43</v>
      </c>
      <c r="G2701" s="430">
        <v>23.43</v>
      </c>
      <c r="H2701" s="399">
        <f t="shared" si="1055"/>
        <v>18.739999999999998</v>
      </c>
      <c r="I2701" s="576"/>
      <c r="J2701" s="549" t="s">
        <v>5804</v>
      </c>
      <c r="K2701" s="11"/>
      <c r="L2701" s="55" t="str">
        <f t="shared" si="1056"/>
        <v/>
      </c>
      <c r="M2701" s="37">
        <f t="shared" si="1057"/>
        <v>23.43</v>
      </c>
      <c r="N2701" s="29">
        <f t="shared" si="1058"/>
        <v>11.55</v>
      </c>
      <c r="O2701" s="31" t="s">
        <v>1017</v>
      </c>
      <c r="P2701" s="50"/>
      <c r="Q2701" s="50"/>
      <c r="R2701" s="42"/>
      <c r="T2701" s="50"/>
      <c r="U2701" s="50"/>
      <c r="V2701" t="s">
        <v>1017</v>
      </c>
      <c r="X2701" s="50"/>
      <c r="AA2701" s="52"/>
      <c r="AD2701" s="38" t="s">
        <v>1017</v>
      </c>
    </row>
    <row r="2702" spans="1:30" x14ac:dyDescent="0.35">
      <c r="A2702" s="497" t="s">
        <v>3760</v>
      </c>
      <c r="B2702" s="13" t="s">
        <v>5547</v>
      </c>
      <c r="C2702" s="13" t="s">
        <v>2385</v>
      </c>
      <c r="D2702" s="13" t="s">
        <v>7319</v>
      </c>
      <c r="E2702" s="13" t="s">
        <v>4809</v>
      </c>
      <c r="F2702" s="373">
        <v>21.45</v>
      </c>
      <c r="G2702" s="430">
        <v>21.45</v>
      </c>
      <c r="H2702" s="399">
        <f t="shared" si="1055"/>
        <v>17.16</v>
      </c>
      <c r="I2702" s="576"/>
      <c r="J2702" s="549" t="s">
        <v>5804</v>
      </c>
      <c r="K2702" s="11"/>
      <c r="L2702" s="55" t="str">
        <f t="shared" si="1056"/>
        <v/>
      </c>
      <c r="M2702" s="37">
        <f t="shared" si="1057"/>
        <v>21.450000000000003</v>
      </c>
      <c r="N2702" s="29">
        <f t="shared" si="1058"/>
        <v>11.55</v>
      </c>
      <c r="O2702" s="31"/>
      <c r="P2702" s="50"/>
      <c r="Q2702" s="50"/>
      <c r="R2702" s="42" t="s">
        <v>1017</v>
      </c>
      <c r="T2702" s="50"/>
      <c r="U2702" s="50"/>
      <c r="V2702" t="s">
        <v>1017</v>
      </c>
      <c r="X2702" s="50"/>
      <c r="AA2702" s="52"/>
      <c r="AD2702" s="38" t="s">
        <v>1017</v>
      </c>
    </row>
    <row r="2703" spans="1:30" x14ac:dyDescent="0.35">
      <c r="A2703" s="497" t="s">
        <v>3761</v>
      </c>
      <c r="B2703" s="13" t="s">
        <v>5547</v>
      </c>
      <c r="C2703" s="13" t="s">
        <v>2385</v>
      </c>
      <c r="D2703" s="13" t="s">
        <v>7320</v>
      </c>
      <c r="E2703" s="13" t="s">
        <v>4811</v>
      </c>
      <c r="F2703" s="373">
        <v>24.42</v>
      </c>
      <c r="G2703" s="430">
        <v>24.42</v>
      </c>
      <c r="H2703" s="399">
        <f t="shared" si="1055"/>
        <v>19.54</v>
      </c>
      <c r="I2703" s="576"/>
      <c r="J2703" s="549" t="s">
        <v>5804</v>
      </c>
      <c r="K2703" s="11"/>
      <c r="L2703" s="55" t="str">
        <f t="shared" si="1056"/>
        <v/>
      </c>
      <c r="M2703" s="37">
        <f t="shared" si="1057"/>
        <v>24.42</v>
      </c>
      <c r="N2703" s="29">
        <f t="shared" si="1058"/>
        <v>11.55</v>
      </c>
      <c r="O2703" s="31" t="s">
        <v>1017</v>
      </c>
      <c r="P2703" s="50"/>
      <c r="Q2703" s="50"/>
      <c r="R2703" s="42" t="s">
        <v>1017</v>
      </c>
      <c r="T2703" s="50"/>
      <c r="U2703" s="50"/>
      <c r="V2703" t="s">
        <v>1017</v>
      </c>
      <c r="X2703" s="50"/>
      <c r="AA2703" s="52"/>
      <c r="AD2703" s="38" t="s">
        <v>1017</v>
      </c>
    </row>
    <row r="2704" spans="1:30" x14ac:dyDescent="0.35">
      <c r="A2704" s="497" t="s">
        <v>3762</v>
      </c>
      <c r="B2704" s="13" t="s">
        <v>5547</v>
      </c>
      <c r="C2704" s="13" t="s">
        <v>2385</v>
      </c>
      <c r="D2704" s="13" t="s">
        <v>7321</v>
      </c>
      <c r="E2704" s="13" t="s">
        <v>4809</v>
      </c>
      <c r="F2704" s="373">
        <v>22.44</v>
      </c>
      <c r="G2704" s="430">
        <v>22.44</v>
      </c>
      <c r="H2704" s="399">
        <f t="shared" si="1055"/>
        <v>17.95</v>
      </c>
      <c r="I2704" s="576"/>
      <c r="J2704" s="549" t="s">
        <v>5804</v>
      </c>
      <c r="K2704" s="11"/>
      <c r="L2704" s="55" t="str">
        <f t="shared" si="1056"/>
        <v/>
      </c>
      <c r="M2704" s="37">
        <f t="shared" si="1057"/>
        <v>22.44</v>
      </c>
      <c r="N2704" s="29">
        <f t="shared" si="1058"/>
        <v>11.55</v>
      </c>
      <c r="O2704" s="31"/>
      <c r="P2704" s="50"/>
      <c r="Q2704" s="50"/>
      <c r="R2704" s="42"/>
      <c r="T2704" s="50"/>
      <c r="U2704" s="50"/>
      <c r="X2704" s="50"/>
      <c r="Y2704" t="s">
        <v>1017</v>
      </c>
      <c r="AA2704" s="52"/>
      <c r="AD2704" s="38" t="s">
        <v>1017</v>
      </c>
    </row>
    <row r="2705" spans="1:30" x14ac:dyDescent="0.35">
      <c r="A2705" s="497" t="s">
        <v>3763</v>
      </c>
      <c r="B2705" s="13" t="s">
        <v>5547</v>
      </c>
      <c r="C2705" s="13" t="s">
        <v>2385</v>
      </c>
      <c r="D2705" s="13" t="s">
        <v>7322</v>
      </c>
      <c r="E2705" s="13" t="s">
        <v>4811</v>
      </c>
      <c r="F2705" s="373">
        <v>25.41</v>
      </c>
      <c r="G2705" s="430">
        <v>25.41</v>
      </c>
      <c r="H2705" s="399">
        <f t="shared" si="1055"/>
        <v>20.329999999999998</v>
      </c>
      <c r="I2705" s="576"/>
      <c r="J2705" s="549" t="s">
        <v>5804</v>
      </c>
      <c r="K2705" s="11"/>
      <c r="L2705" s="55" t="str">
        <f t="shared" si="1056"/>
        <v/>
      </c>
      <c r="M2705" s="37">
        <f t="shared" si="1057"/>
        <v>25.410000000000004</v>
      </c>
      <c r="N2705" s="29">
        <f t="shared" si="1058"/>
        <v>11.55</v>
      </c>
      <c r="O2705" s="31" t="s">
        <v>1017</v>
      </c>
      <c r="P2705" s="50"/>
      <c r="Q2705" s="50"/>
      <c r="R2705" s="42"/>
      <c r="T2705" s="50"/>
      <c r="U2705" s="50"/>
      <c r="X2705" s="50"/>
      <c r="Y2705" t="s">
        <v>1017</v>
      </c>
      <c r="AA2705" s="52"/>
      <c r="AD2705" s="38" t="s">
        <v>1017</v>
      </c>
    </row>
    <row r="2706" spans="1:30" x14ac:dyDescent="0.35">
      <c r="A2706" s="497" t="s">
        <v>3764</v>
      </c>
      <c r="B2706" s="13" t="s">
        <v>5547</v>
      </c>
      <c r="C2706" s="13" t="s">
        <v>2385</v>
      </c>
      <c r="D2706" s="13" t="s">
        <v>7323</v>
      </c>
      <c r="E2706" s="13" t="s">
        <v>4809</v>
      </c>
      <c r="F2706" s="373">
        <v>23.43</v>
      </c>
      <c r="G2706" s="430">
        <v>23.43</v>
      </c>
      <c r="H2706" s="399">
        <f t="shared" si="1055"/>
        <v>18.739999999999998</v>
      </c>
      <c r="I2706" s="576"/>
      <c r="J2706" s="549" t="s">
        <v>5804</v>
      </c>
      <c r="K2706" s="11"/>
      <c r="L2706" s="55" t="str">
        <f t="shared" si="1056"/>
        <v/>
      </c>
      <c r="M2706" s="37">
        <f t="shared" si="1057"/>
        <v>23.43</v>
      </c>
      <c r="N2706" s="29">
        <f t="shared" si="1058"/>
        <v>11.55</v>
      </c>
      <c r="O2706" s="31"/>
      <c r="P2706" s="50"/>
      <c r="Q2706" s="50"/>
      <c r="R2706" s="42" t="s">
        <v>1017</v>
      </c>
      <c r="T2706" s="50"/>
      <c r="U2706" s="50"/>
      <c r="X2706" s="50"/>
      <c r="Y2706" t="s">
        <v>1017</v>
      </c>
      <c r="AA2706" s="52"/>
      <c r="AD2706" s="38" t="s">
        <v>1017</v>
      </c>
    </row>
    <row r="2707" spans="1:30" x14ac:dyDescent="0.35">
      <c r="A2707" s="497" t="s">
        <v>3765</v>
      </c>
      <c r="B2707" s="13" t="s">
        <v>5547</v>
      </c>
      <c r="C2707" s="13" t="s">
        <v>2385</v>
      </c>
      <c r="D2707" s="13" t="s">
        <v>7324</v>
      </c>
      <c r="E2707" s="13" t="s">
        <v>4811</v>
      </c>
      <c r="F2707" s="373">
        <v>26.4</v>
      </c>
      <c r="G2707" s="430">
        <v>26.4</v>
      </c>
      <c r="H2707" s="399">
        <f t="shared" si="1055"/>
        <v>21.12</v>
      </c>
      <c r="I2707" s="576"/>
      <c r="J2707" s="549" t="s">
        <v>5804</v>
      </c>
      <c r="K2707" s="11"/>
      <c r="L2707" s="55" t="str">
        <f t="shared" si="1056"/>
        <v/>
      </c>
      <c r="M2707" s="37">
        <f t="shared" si="1057"/>
        <v>26.400000000000002</v>
      </c>
      <c r="N2707" s="29">
        <f t="shared" si="1058"/>
        <v>11.55</v>
      </c>
      <c r="O2707" s="31" t="s">
        <v>1017</v>
      </c>
      <c r="P2707" s="50"/>
      <c r="Q2707" s="50"/>
      <c r="R2707" s="42" t="s">
        <v>1017</v>
      </c>
      <c r="T2707" s="50"/>
      <c r="U2707" s="50"/>
      <c r="X2707" s="50"/>
      <c r="Y2707" t="s">
        <v>1017</v>
      </c>
      <c r="AA2707" s="52"/>
      <c r="AD2707" s="38" t="s">
        <v>1017</v>
      </c>
    </row>
    <row r="2708" spans="1:30" x14ac:dyDescent="0.35">
      <c r="A2708" s="497" t="s">
        <v>3766</v>
      </c>
      <c r="B2708" s="13" t="s">
        <v>5547</v>
      </c>
      <c r="C2708" s="13" t="s">
        <v>2385</v>
      </c>
      <c r="D2708" s="13" t="s">
        <v>7325</v>
      </c>
      <c r="E2708" s="13" t="s">
        <v>4809</v>
      </c>
      <c r="F2708" s="373">
        <v>24.42</v>
      </c>
      <c r="G2708" s="430">
        <v>24.42</v>
      </c>
      <c r="H2708" s="399">
        <f t="shared" si="1055"/>
        <v>19.54</v>
      </c>
      <c r="I2708" s="576"/>
      <c r="J2708" s="549" t="s">
        <v>5804</v>
      </c>
      <c r="K2708" s="11"/>
      <c r="L2708" s="55" t="str">
        <f t="shared" si="1056"/>
        <v/>
      </c>
      <c r="M2708" s="37">
        <f t="shared" si="1057"/>
        <v>24.42</v>
      </c>
      <c r="N2708" s="29">
        <f t="shared" si="1058"/>
        <v>11.55</v>
      </c>
      <c r="O2708" s="31"/>
      <c r="P2708" s="50"/>
      <c r="Q2708" s="50"/>
      <c r="R2708" s="42"/>
      <c r="T2708" s="50"/>
      <c r="U2708" s="50"/>
      <c r="W2708" t="s">
        <v>1017</v>
      </c>
      <c r="X2708" s="50"/>
      <c r="AA2708" s="52"/>
      <c r="AD2708" s="38" t="s">
        <v>1017</v>
      </c>
    </row>
    <row r="2709" spans="1:30" x14ac:dyDescent="0.35">
      <c r="A2709" s="497" t="s">
        <v>3767</v>
      </c>
      <c r="B2709" s="13" t="s">
        <v>5547</v>
      </c>
      <c r="C2709" s="13" t="s">
        <v>2385</v>
      </c>
      <c r="D2709" s="13" t="s">
        <v>7326</v>
      </c>
      <c r="E2709" s="13" t="s">
        <v>4811</v>
      </c>
      <c r="F2709" s="373">
        <v>27.39</v>
      </c>
      <c r="G2709" s="430">
        <v>27.39</v>
      </c>
      <c r="H2709" s="399">
        <f t="shared" si="1055"/>
        <v>21.91</v>
      </c>
      <c r="I2709" s="576"/>
      <c r="J2709" s="549" t="s">
        <v>5804</v>
      </c>
      <c r="K2709" s="11"/>
      <c r="L2709" s="55" t="str">
        <f t="shared" si="1056"/>
        <v/>
      </c>
      <c r="M2709" s="37">
        <f t="shared" si="1057"/>
        <v>27.39</v>
      </c>
      <c r="N2709" s="29">
        <f t="shared" si="1058"/>
        <v>11.55</v>
      </c>
      <c r="O2709" s="31" t="s">
        <v>1017</v>
      </c>
      <c r="P2709" s="50"/>
      <c r="Q2709" s="50"/>
      <c r="R2709" s="42"/>
      <c r="T2709" s="50"/>
      <c r="U2709" s="50"/>
      <c r="W2709" t="s">
        <v>1017</v>
      </c>
      <c r="X2709" s="50"/>
      <c r="AA2709" s="52"/>
      <c r="AD2709" s="38" t="s">
        <v>1017</v>
      </c>
    </row>
    <row r="2710" spans="1:30" x14ac:dyDescent="0.35">
      <c r="A2710" s="497" t="s">
        <v>3768</v>
      </c>
      <c r="B2710" s="13" t="s">
        <v>5547</v>
      </c>
      <c r="C2710" s="13" t="s">
        <v>2385</v>
      </c>
      <c r="D2710" s="13" t="s">
        <v>7327</v>
      </c>
      <c r="E2710" s="13" t="s">
        <v>4809</v>
      </c>
      <c r="F2710" s="373">
        <v>25.41</v>
      </c>
      <c r="G2710" s="430">
        <v>25.41</v>
      </c>
      <c r="H2710" s="399">
        <f t="shared" si="1055"/>
        <v>20.329999999999998</v>
      </c>
      <c r="I2710" s="576"/>
      <c r="J2710" s="549" t="s">
        <v>5804</v>
      </c>
      <c r="K2710" s="11"/>
      <c r="L2710" s="55" t="str">
        <f t="shared" si="1056"/>
        <v/>
      </c>
      <c r="M2710" s="37">
        <f t="shared" si="1057"/>
        <v>25.410000000000004</v>
      </c>
      <c r="N2710" s="29">
        <f t="shared" si="1058"/>
        <v>11.55</v>
      </c>
      <c r="O2710" s="31"/>
      <c r="P2710" s="50"/>
      <c r="Q2710" s="50"/>
      <c r="R2710" s="42" t="s">
        <v>1017</v>
      </c>
      <c r="T2710" s="50"/>
      <c r="U2710" s="50"/>
      <c r="W2710" t="s">
        <v>1017</v>
      </c>
      <c r="X2710" s="50"/>
      <c r="AA2710" s="52"/>
      <c r="AD2710" s="38" t="s">
        <v>1017</v>
      </c>
    </row>
    <row r="2711" spans="1:30" x14ac:dyDescent="0.35">
      <c r="A2711" s="497" t="s">
        <v>3769</v>
      </c>
      <c r="B2711" s="13" t="s">
        <v>5547</v>
      </c>
      <c r="C2711" s="13" t="s">
        <v>2385</v>
      </c>
      <c r="D2711" s="13" t="s">
        <v>7328</v>
      </c>
      <c r="E2711" s="13" t="s">
        <v>4811</v>
      </c>
      <c r="F2711" s="373">
        <v>28.38</v>
      </c>
      <c r="G2711" s="430">
        <v>28.38</v>
      </c>
      <c r="H2711" s="399">
        <f t="shared" si="1055"/>
        <v>22.7</v>
      </c>
      <c r="I2711" s="576"/>
      <c r="J2711" s="549" t="s">
        <v>5804</v>
      </c>
      <c r="K2711" s="11"/>
      <c r="L2711" s="55" t="str">
        <f t="shared" si="1056"/>
        <v/>
      </c>
      <c r="M2711" s="37">
        <f t="shared" si="1057"/>
        <v>28.380000000000003</v>
      </c>
      <c r="N2711" s="29">
        <f t="shared" si="1058"/>
        <v>11.55</v>
      </c>
      <c r="O2711" s="31" t="s">
        <v>1017</v>
      </c>
      <c r="P2711" s="50"/>
      <c r="Q2711" s="50"/>
      <c r="R2711" s="42" t="s">
        <v>1017</v>
      </c>
      <c r="T2711" s="50"/>
      <c r="U2711" s="50"/>
      <c r="W2711" t="s">
        <v>1017</v>
      </c>
      <c r="X2711" s="50"/>
      <c r="AA2711" s="52"/>
      <c r="AD2711" s="38" t="s">
        <v>1017</v>
      </c>
    </row>
    <row r="2712" spans="1:30" x14ac:dyDescent="0.35">
      <c r="A2712" s="497" t="s">
        <v>3770</v>
      </c>
      <c r="B2712" s="13" t="s">
        <v>5547</v>
      </c>
      <c r="C2712" s="13" t="s">
        <v>2385</v>
      </c>
      <c r="D2712" s="13" t="s">
        <v>7329</v>
      </c>
      <c r="E2712" s="13" t="s">
        <v>4809</v>
      </c>
      <c r="F2712" s="373">
        <v>26.4</v>
      </c>
      <c r="G2712" s="430">
        <v>26.4</v>
      </c>
      <c r="H2712" s="399">
        <f t="shared" si="1055"/>
        <v>21.12</v>
      </c>
      <c r="I2712" s="576"/>
      <c r="J2712" s="549" t="s">
        <v>5804</v>
      </c>
      <c r="K2712" s="11"/>
      <c r="L2712" s="55" t="str">
        <f t="shared" si="1056"/>
        <v/>
      </c>
      <c r="M2712" s="37">
        <f t="shared" si="1057"/>
        <v>26.400000000000002</v>
      </c>
      <c r="N2712" s="29">
        <f t="shared" si="1058"/>
        <v>11.55</v>
      </c>
      <c r="O2712" s="31"/>
      <c r="P2712" s="50"/>
      <c r="Q2712" s="50"/>
      <c r="R2712" s="42"/>
      <c r="T2712" s="50"/>
      <c r="U2712" s="50"/>
      <c r="X2712" s="50"/>
      <c r="Z2712" t="s">
        <v>1017</v>
      </c>
      <c r="AA2712" s="52"/>
      <c r="AD2712" s="38" t="s">
        <v>1017</v>
      </c>
    </row>
    <row r="2713" spans="1:30" x14ac:dyDescent="0.35">
      <c r="A2713" s="497" t="s">
        <v>3771</v>
      </c>
      <c r="B2713" s="13" t="s">
        <v>5547</v>
      </c>
      <c r="C2713" s="13" t="s">
        <v>2385</v>
      </c>
      <c r="D2713" s="13" t="s">
        <v>7330</v>
      </c>
      <c r="E2713" s="13" t="s">
        <v>4811</v>
      </c>
      <c r="F2713" s="373">
        <v>29.37</v>
      </c>
      <c r="G2713" s="430">
        <v>29.37</v>
      </c>
      <c r="H2713" s="399">
        <f t="shared" si="1055"/>
        <v>23.5</v>
      </c>
      <c r="I2713" s="576"/>
      <c r="J2713" s="549" t="s">
        <v>5804</v>
      </c>
      <c r="K2713" s="11"/>
      <c r="L2713" s="55" t="str">
        <f t="shared" si="1056"/>
        <v/>
      </c>
      <c r="M2713" s="37">
        <f t="shared" si="1057"/>
        <v>29.37</v>
      </c>
      <c r="N2713" s="29">
        <f t="shared" si="1058"/>
        <v>11.55</v>
      </c>
      <c r="O2713" s="31" t="s">
        <v>1017</v>
      </c>
      <c r="P2713" s="50"/>
      <c r="Q2713" s="50"/>
      <c r="R2713" s="42"/>
      <c r="T2713" s="50"/>
      <c r="U2713" s="50"/>
      <c r="X2713" s="50"/>
      <c r="Z2713" t="s">
        <v>1017</v>
      </c>
      <c r="AA2713" s="52"/>
      <c r="AD2713" s="38" t="s">
        <v>1017</v>
      </c>
    </row>
    <row r="2714" spans="1:30" x14ac:dyDescent="0.35">
      <c r="A2714" s="497" t="s">
        <v>3772</v>
      </c>
      <c r="B2714" s="13" t="s">
        <v>5547</v>
      </c>
      <c r="C2714" s="13" t="s">
        <v>2385</v>
      </c>
      <c r="D2714" s="13" t="s">
        <v>7331</v>
      </c>
      <c r="E2714" s="13" t="s">
        <v>4809</v>
      </c>
      <c r="F2714" s="373">
        <v>27.39</v>
      </c>
      <c r="G2714" s="430">
        <v>27.39</v>
      </c>
      <c r="H2714" s="399">
        <f t="shared" si="1055"/>
        <v>21.91</v>
      </c>
      <c r="I2714" s="576"/>
      <c r="J2714" s="549" t="s">
        <v>5804</v>
      </c>
      <c r="K2714" s="11"/>
      <c r="L2714" s="55" t="str">
        <f t="shared" si="1056"/>
        <v/>
      </c>
      <c r="M2714" s="37">
        <f t="shared" si="1057"/>
        <v>27.39</v>
      </c>
      <c r="N2714" s="29">
        <f t="shared" si="1058"/>
        <v>11.55</v>
      </c>
      <c r="O2714" s="31"/>
      <c r="P2714" s="50"/>
      <c r="Q2714" s="50"/>
      <c r="R2714" s="42" t="s">
        <v>1017</v>
      </c>
      <c r="T2714" s="50"/>
      <c r="U2714" s="50"/>
      <c r="X2714" s="50"/>
      <c r="Z2714" t="s">
        <v>1017</v>
      </c>
      <c r="AA2714" s="52"/>
      <c r="AD2714" s="38" t="s">
        <v>1017</v>
      </c>
    </row>
    <row r="2715" spans="1:30" x14ac:dyDescent="0.35">
      <c r="A2715" s="497" t="s">
        <v>3773</v>
      </c>
      <c r="B2715" s="13" t="s">
        <v>5547</v>
      </c>
      <c r="C2715" s="13" t="s">
        <v>2385</v>
      </c>
      <c r="D2715" s="13" t="s">
        <v>7332</v>
      </c>
      <c r="E2715" s="13" t="s">
        <v>4811</v>
      </c>
      <c r="F2715" s="373">
        <v>30.36</v>
      </c>
      <c r="G2715" s="430">
        <v>30.36</v>
      </c>
      <c r="H2715" s="399">
        <f t="shared" si="1055"/>
        <v>24.29</v>
      </c>
      <c r="I2715" s="576"/>
      <c r="J2715" s="549" t="s">
        <v>5804</v>
      </c>
      <c r="K2715" s="11"/>
      <c r="L2715" s="55" t="str">
        <f t="shared" si="1056"/>
        <v/>
      </c>
      <c r="M2715" s="37">
        <f t="shared" si="1057"/>
        <v>30.360000000000003</v>
      </c>
      <c r="N2715" s="29">
        <f t="shared" si="1058"/>
        <v>11.55</v>
      </c>
      <c r="O2715" s="31" t="s">
        <v>1017</v>
      </c>
      <c r="P2715" s="50"/>
      <c r="Q2715" s="50"/>
      <c r="R2715" s="42" t="s">
        <v>1017</v>
      </c>
      <c r="T2715" s="50"/>
      <c r="U2715" s="50"/>
      <c r="X2715" s="50"/>
      <c r="Z2715" t="s">
        <v>1017</v>
      </c>
      <c r="AA2715" s="52"/>
      <c r="AD2715" s="38" t="s">
        <v>1017</v>
      </c>
    </row>
    <row r="2716" spans="1:30" x14ac:dyDescent="0.35">
      <c r="A2716" s="497" t="s">
        <v>3774</v>
      </c>
      <c r="B2716" s="13" t="s">
        <v>5547</v>
      </c>
      <c r="C2716" s="13" t="s">
        <v>2385</v>
      </c>
      <c r="D2716" s="13" t="s">
        <v>5414</v>
      </c>
      <c r="E2716" s="13" t="s">
        <v>4809</v>
      </c>
      <c r="F2716" s="373">
        <v>9.09</v>
      </c>
      <c r="G2716" s="430">
        <v>9.09</v>
      </c>
      <c r="H2716" s="399">
        <f t="shared" si="1055"/>
        <v>7.27</v>
      </c>
      <c r="I2716" s="576"/>
      <c r="J2716" s="549" t="s">
        <v>5804</v>
      </c>
      <c r="K2716" s="11"/>
      <c r="L2716" s="55" t="str">
        <f t="shared" si="1056"/>
        <v/>
      </c>
      <c r="M2716" s="37">
        <f t="shared" si="1057"/>
        <v>9.09</v>
      </c>
      <c r="N2716" s="29">
        <f t="shared" si="1058"/>
        <v>9.09</v>
      </c>
      <c r="O2716" s="31"/>
      <c r="P2716" s="50"/>
      <c r="Q2716" s="50"/>
      <c r="R2716" s="42"/>
      <c r="T2716" s="50"/>
      <c r="U2716" s="50"/>
      <c r="W2716" s="50"/>
      <c r="Z2716" s="50"/>
      <c r="AA2716" s="38"/>
      <c r="AD2716" s="38"/>
    </row>
    <row r="2717" spans="1:30" x14ac:dyDescent="0.35">
      <c r="A2717" s="497" t="s">
        <v>3775</v>
      </c>
      <c r="B2717" s="13" t="s">
        <v>5547</v>
      </c>
      <c r="C2717" s="13" t="s">
        <v>2385</v>
      </c>
      <c r="D2717" s="13" t="s">
        <v>2902</v>
      </c>
      <c r="E2717" s="13" t="s">
        <v>4811</v>
      </c>
      <c r="F2717" s="373">
        <v>12.06</v>
      </c>
      <c r="G2717" s="430">
        <v>12.06</v>
      </c>
      <c r="H2717" s="399">
        <f t="shared" si="1055"/>
        <v>9.65</v>
      </c>
      <c r="I2717" s="576"/>
      <c r="J2717" s="549" t="s">
        <v>5804</v>
      </c>
      <c r="K2717" s="11"/>
      <c r="L2717" s="55" t="str">
        <f t="shared" si="1056"/>
        <v/>
      </c>
      <c r="M2717" s="37">
        <f t="shared" si="1057"/>
        <v>12.06</v>
      </c>
      <c r="N2717" s="29">
        <f t="shared" si="1058"/>
        <v>9.09</v>
      </c>
      <c r="O2717" s="31" t="s">
        <v>1017</v>
      </c>
      <c r="P2717" s="50"/>
      <c r="Q2717" s="50"/>
      <c r="R2717" s="42"/>
      <c r="T2717" s="50"/>
      <c r="U2717" s="50"/>
      <c r="W2717" s="50"/>
      <c r="Z2717" s="50"/>
      <c r="AA2717" s="38"/>
      <c r="AD2717" s="38"/>
    </row>
    <row r="2718" spans="1:30" x14ac:dyDescent="0.35">
      <c r="A2718" s="497" t="s">
        <v>3776</v>
      </c>
      <c r="B2718" s="13" t="s">
        <v>5547</v>
      </c>
      <c r="C2718" s="13" t="s">
        <v>2385</v>
      </c>
      <c r="D2718" s="13" t="s">
        <v>638</v>
      </c>
      <c r="E2718" s="13" t="s">
        <v>4809</v>
      </c>
      <c r="F2718" s="373">
        <v>10.08</v>
      </c>
      <c r="G2718" s="430">
        <v>10.08</v>
      </c>
      <c r="H2718" s="399">
        <f t="shared" si="1055"/>
        <v>8.06</v>
      </c>
      <c r="I2718" s="576"/>
      <c r="J2718" s="549" t="s">
        <v>5804</v>
      </c>
      <c r="K2718" s="11"/>
      <c r="L2718" s="55" t="str">
        <f t="shared" si="1056"/>
        <v/>
      </c>
      <c r="M2718" s="37">
        <f t="shared" si="1057"/>
        <v>10.08</v>
      </c>
      <c r="N2718" s="29">
        <f t="shared" si="1058"/>
        <v>9.09</v>
      </c>
      <c r="O2718" s="31"/>
      <c r="P2718" s="50"/>
      <c r="Q2718" s="50"/>
      <c r="R2718" s="42" t="s">
        <v>1017</v>
      </c>
      <c r="T2718" s="50"/>
      <c r="U2718" s="50"/>
      <c r="W2718" s="50"/>
      <c r="Z2718" s="50"/>
      <c r="AA2718" s="38"/>
      <c r="AD2718" s="38"/>
    </row>
    <row r="2719" spans="1:30" x14ac:dyDescent="0.35">
      <c r="A2719" s="497" t="s">
        <v>3777</v>
      </c>
      <c r="B2719" s="13" t="s">
        <v>5547</v>
      </c>
      <c r="C2719" s="13" t="s">
        <v>2385</v>
      </c>
      <c r="D2719" s="13" t="s">
        <v>639</v>
      </c>
      <c r="E2719" s="13" t="s">
        <v>4811</v>
      </c>
      <c r="F2719" s="373">
        <v>13.05</v>
      </c>
      <c r="G2719" s="430">
        <v>13.05</v>
      </c>
      <c r="H2719" s="399">
        <f t="shared" si="1055"/>
        <v>10.44</v>
      </c>
      <c r="I2719" s="576"/>
      <c r="J2719" s="549" t="s">
        <v>5804</v>
      </c>
      <c r="K2719" s="11"/>
      <c r="L2719" s="55" t="str">
        <f t="shared" si="1056"/>
        <v/>
      </c>
      <c r="M2719" s="37">
        <f t="shared" si="1057"/>
        <v>13.05</v>
      </c>
      <c r="N2719" s="29">
        <f t="shared" si="1058"/>
        <v>9.09</v>
      </c>
      <c r="O2719" s="31" t="s">
        <v>1017</v>
      </c>
      <c r="P2719" s="50"/>
      <c r="Q2719" s="50"/>
      <c r="R2719" s="42" t="s">
        <v>1017</v>
      </c>
      <c r="T2719" s="50"/>
      <c r="U2719" s="50"/>
      <c r="W2719" s="50"/>
      <c r="Z2719" s="50"/>
      <c r="AA2719" s="38"/>
      <c r="AD2719" s="38"/>
    </row>
    <row r="2720" spans="1:30" x14ac:dyDescent="0.35">
      <c r="A2720" s="497" t="s">
        <v>3778</v>
      </c>
      <c r="B2720" s="13" t="s">
        <v>5547</v>
      </c>
      <c r="C2720" s="13" t="s">
        <v>2385</v>
      </c>
      <c r="D2720" s="13" t="s">
        <v>597</v>
      </c>
      <c r="E2720" s="13" t="s">
        <v>4809</v>
      </c>
      <c r="F2720" s="373">
        <v>15.03</v>
      </c>
      <c r="G2720" s="430">
        <v>15.03</v>
      </c>
      <c r="H2720" s="399">
        <f t="shared" si="1055"/>
        <v>12.02</v>
      </c>
      <c r="I2720" s="576"/>
      <c r="J2720" s="549" t="s">
        <v>5804</v>
      </c>
      <c r="K2720" s="11"/>
      <c r="L2720" s="55" t="str">
        <f t="shared" si="1056"/>
        <v/>
      </c>
      <c r="M2720" s="37">
        <f t="shared" si="1057"/>
        <v>15.030000000000001</v>
      </c>
      <c r="N2720" s="29">
        <f t="shared" si="1058"/>
        <v>9.09</v>
      </c>
      <c r="O2720" s="31"/>
      <c r="P2720" s="50"/>
      <c r="Q2720" s="50"/>
      <c r="R2720" s="42"/>
      <c r="S2720" t="s">
        <v>1017</v>
      </c>
      <c r="T2720" s="50"/>
      <c r="U2720" s="50"/>
      <c r="W2720" s="50"/>
      <c r="Z2720" s="50"/>
      <c r="AA2720" s="38"/>
      <c r="AD2720" s="38"/>
    </row>
    <row r="2721" spans="1:30" x14ac:dyDescent="0.35">
      <c r="A2721" s="497" t="s">
        <v>3779</v>
      </c>
      <c r="B2721" s="13" t="s">
        <v>5547</v>
      </c>
      <c r="C2721" s="13" t="s">
        <v>2385</v>
      </c>
      <c r="D2721" s="13" t="s">
        <v>3200</v>
      </c>
      <c r="E2721" s="13" t="s">
        <v>4811</v>
      </c>
      <c r="F2721" s="373">
        <v>18</v>
      </c>
      <c r="G2721" s="430">
        <v>18</v>
      </c>
      <c r="H2721" s="399">
        <f t="shared" si="1055"/>
        <v>14.4</v>
      </c>
      <c r="I2721" s="576"/>
      <c r="J2721" s="549" t="s">
        <v>5804</v>
      </c>
      <c r="K2721" s="11"/>
      <c r="L2721" s="55" t="str">
        <f t="shared" si="1056"/>
        <v/>
      </c>
      <c r="M2721" s="37">
        <f t="shared" si="1057"/>
        <v>18</v>
      </c>
      <c r="N2721" s="29">
        <f t="shared" si="1058"/>
        <v>9.09</v>
      </c>
      <c r="O2721" s="31" t="s">
        <v>1017</v>
      </c>
      <c r="P2721" s="50"/>
      <c r="Q2721" s="50"/>
      <c r="R2721" s="42"/>
      <c r="S2721" t="s">
        <v>1017</v>
      </c>
      <c r="T2721" s="50"/>
      <c r="U2721" s="50"/>
      <c r="W2721" s="50"/>
      <c r="Z2721" s="50"/>
      <c r="AA2721" s="38"/>
      <c r="AD2721" s="38"/>
    </row>
    <row r="2722" spans="1:30" x14ac:dyDescent="0.35">
      <c r="A2722" s="497" t="s">
        <v>3780</v>
      </c>
      <c r="B2722" s="13" t="s">
        <v>5547</v>
      </c>
      <c r="C2722" s="13" t="s">
        <v>2385</v>
      </c>
      <c r="D2722" s="13" t="s">
        <v>2113</v>
      </c>
      <c r="E2722" s="13" t="s">
        <v>4809</v>
      </c>
      <c r="F2722" s="373">
        <v>16.02</v>
      </c>
      <c r="G2722" s="430">
        <v>16.02</v>
      </c>
      <c r="H2722" s="399">
        <f t="shared" si="1055"/>
        <v>12.82</v>
      </c>
      <c r="I2722" s="576"/>
      <c r="J2722" s="549" t="s">
        <v>5804</v>
      </c>
      <c r="K2722" s="11"/>
      <c r="L2722" s="55" t="str">
        <f t="shared" si="1056"/>
        <v/>
      </c>
      <c r="M2722" s="37">
        <f t="shared" si="1057"/>
        <v>16.02</v>
      </c>
      <c r="N2722" s="29">
        <f t="shared" si="1058"/>
        <v>9.09</v>
      </c>
      <c r="O2722" s="31"/>
      <c r="P2722" s="50"/>
      <c r="Q2722" s="50"/>
      <c r="R2722" s="42" t="s">
        <v>1017</v>
      </c>
      <c r="S2722" t="s">
        <v>1017</v>
      </c>
      <c r="T2722" s="50"/>
      <c r="U2722" s="50"/>
      <c r="W2722" s="50"/>
      <c r="Z2722" s="50"/>
      <c r="AA2722" s="38"/>
      <c r="AD2722" s="38"/>
    </row>
    <row r="2723" spans="1:30" x14ac:dyDescent="0.35">
      <c r="A2723" s="497" t="s">
        <v>3781</v>
      </c>
      <c r="B2723" s="13" t="s">
        <v>5547</v>
      </c>
      <c r="C2723" s="13" t="s">
        <v>2385</v>
      </c>
      <c r="D2723" s="13" t="s">
        <v>2112</v>
      </c>
      <c r="E2723" s="13" t="s">
        <v>4811</v>
      </c>
      <c r="F2723" s="373">
        <v>18.989999999999998</v>
      </c>
      <c r="G2723" s="430">
        <v>18.989999999999998</v>
      </c>
      <c r="H2723" s="399">
        <f t="shared" si="1055"/>
        <v>15.19</v>
      </c>
      <c r="I2723" s="576"/>
      <c r="J2723" s="549" t="s">
        <v>5804</v>
      </c>
      <c r="K2723" s="11"/>
      <c r="L2723" s="55" t="str">
        <f t="shared" si="1056"/>
        <v/>
      </c>
      <c r="M2723" s="37">
        <f t="shared" si="1057"/>
        <v>18.990000000000002</v>
      </c>
      <c r="N2723" s="29">
        <f t="shared" si="1058"/>
        <v>9.09</v>
      </c>
      <c r="O2723" s="31" t="s">
        <v>1017</v>
      </c>
      <c r="P2723" s="50"/>
      <c r="Q2723" s="50"/>
      <c r="R2723" s="42" t="s">
        <v>1017</v>
      </c>
      <c r="S2723" t="s">
        <v>1017</v>
      </c>
      <c r="T2723" s="50"/>
      <c r="U2723" s="50"/>
      <c r="W2723" s="50"/>
      <c r="Z2723" s="50"/>
      <c r="AA2723" s="38"/>
      <c r="AD2723" s="38"/>
    </row>
    <row r="2724" spans="1:30" x14ac:dyDescent="0.35">
      <c r="A2724" s="497" t="s">
        <v>3782</v>
      </c>
      <c r="B2724" s="13" t="s">
        <v>5547</v>
      </c>
      <c r="C2724" s="13" t="s">
        <v>2385</v>
      </c>
      <c r="D2724" s="13" t="s">
        <v>1197</v>
      </c>
      <c r="E2724" s="13" t="s">
        <v>4809</v>
      </c>
      <c r="F2724" s="373">
        <v>16.02</v>
      </c>
      <c r="G2724" s="430">
        <v>16.02</v>
      </c>
      <c r="H2724" s="399">
        <f t="shared" si="1055"/>
        <v>12.82</v>
      </c>
      <c r="I2724" s="576"/>
      <c r="J2724" s="549" t="s">
        <v>5804</v>
      </c>
      <c r="K2724" s="11"/>
      <c r="L2724" s="55" t="str">
        <f t="shared" si="1056"/>
        <v/>
      </c>
      <c r="M2724" s="37">
        <f t="shared" si="1057"/>
        <v>16.02</v>
      </c>
      <c r="N2724" s="29">
        <f t="shared" si="1058"/>
        <v>9.09</v>
      </c>
      <c r="O2724" s="31"/>
      <c r="P2724" s="50"/>
      <c r="Q2724" s="50"/>
      <c r="R2724" s="42"/>
      <c r="T2724" s="50"/>
      <c r="U2724" s="50"/>
      <c r="V2724" t="s">
        <v>1017</v>
      </c>
      <c r="W2724" s="50"/>
      <c r="Z2724" s="50"/>
      <c r="AA2724" s="38"/>
      <c r="AD2724" s="38"/>
    </row>
    <row r="2725" spans="1:30" x14ac:dyDescent="0.35">
      <c r="A2725" s="497" t="s">
        <v>3783</v>
      </c>
      <c r="B2725" s="13" t="s">
        <v>5547</v>
      </c>
      <c r="C2725" s="13" t="s">
        <v>2385</v>
      </c>
      <c r="D2725" s="13" t="s">
        <v>5553</v>
      </c>
      <c r="E2725" s="13" t="s">
        <v>4811</v>
      </c>
      <c r="F2725" s="373">
        <v>18.989999999999998</v>
      </c>
      <c r="G2725" s="430">
        <v>18.989999999999998</v>
      </c>
      <c r="H2725" s="399">
        <f t="shared" si="1055"/>
        <v>15.19</v>
      </c>
      <c r="I2725" s="576"/>
      <c r="J2725" s="549" t="s">
        <v>5804</v>
      </c>
      <c r="K2725" s="11"/>
      <c r="L2725" s="55" t="str">
        <f t="shared" si="1056"/>
        <v/>
      </c>
      <c r="M2725" s="37">
        <f t="shared" si="1057"/>
        <v>18.990000000000002</v>
      </c>
      <c r="N2725" s="29">
        <f t="shared" si="1058"/>
        <v>9.09</v>
      </c>
      <c r="O2725" s="31" t="s">
        <v>1017</v>
      </c>
      <c r="P2725" s="50"/>
      <c r="Q2725" s="50"/>
      <c r="R2725" s="42"/>
      <c r="T2725" s="50"/>
      <c r="U2725" s="50"/>
      <c r="V2725" t="s">
        <v>1017</v>
      </c>
      <c r="W2725" s="50"/>
      <c r="Z2725" s="50"/>
      <c r="AA2725" s="38"/>
      <c r="AD2725" s="38"/>
    </row>
    <row r="2726" spans="1:30" x14ac:dyDescent="0.35">
      <c r="A2726" s="497" t="s">
        <v>3784</v>
      </c>
      <c r="B2726" s="13" t="s">
        <v>5547</v>
      </c>
      <c r="C2726" s="13" t="s">
        <v>2385</v>
      </c>
      <c r="D2726" s="13" t="s">
        <v>4135</v>
      </c>
      <c r="E2726" s="13" t="s">
        <v>4809</v>
      </c>
      <c r="F2726" s="373">
        <v>17.010000000000002</v>
      </c>
      <c r="G2726" s="430">
        <v>17.010000000000002</v>
      </c>
      <c r="H2726" s="399">
        <f t="shared" si="1055"/>
        <v>13.61</v>
      </c>
      <c r="I2726" s="576"/>
      <c r="J2726" s="549" t="s">
        <v>5804</v>
      </c>
      <c r="K2726" s="11"/>
      <c r="L2726" s="55" t="str">
        <f t="shared" si="1056"/>
        <v/>
      </c>
      <c r="M2726" s="37">
        <f t="shared" si="1057"/>
        <v>17.009999999999998</v>
      </c>
      <c r="N2726" s="29">
        <f t="shared" si="1058"/>
        <v>9.09</v>
      </c>
      <c r="O2726" s="31"/>
      <c r="P2726" s="50"/>
      <c r="Q2726" s="50"/>
      <c r="R2726" s="42" t="s">
        <v>1017</v>
      </c>
      <c r="T2726" s="50"/>
      <c r="U2726" s="50"/>
      <c r="V2726" t="s">
        <v>1017</v>
      </c>
      <c r="W2726" s="50"/>
      <c r="Z2726" s="50"/>
      <c r="AA2726" s="38"/>
      <c r="AD2726" s="38"/>
    </row>
    <row r="2727" spans="1:30" x14ac:dyDescent="0.35">
      <c r="A2727" s="497" t="s">
        <v>3785</v>
      </c>
      <c r="B2727" s="13" t="s">
        <v>5547</v>
      </c>
      <c r="C2727" s="13" t="s">
        <v>2385</v>
      </c>
      <c r="D2727" s="13" t="s">
        <v>5556</v>
      </c>
      <c r="E2727" s="13" t="s">
        <v>4811</v>
      </c>
      <c r="F2727" s="373">
        <v>19.98</v>
      </c>
      <c r="G2727" s="430">
        <v>19.98</v>
      </c>
      <c r="H2727" s="399">
        <f t="shared" si="1055"/>
        <v>15.98</v>
      </c>
      <c r="I2727" s="576"/>
      <c r="J2727" s="549" t="s">
        <v>5804</v>
      </c>
      <c r="K2727" s="11"/>
      <c r="L2727" s="55" t="str">
        <f t="shared" si="1056"/>
        <v/>
      </c>
      <c r="M2727" s="37">
        <f t="shared" si="1057"/>
        <v>19.98</v>
      </c>
      <c r="N2727" s="29">
        <f t="shared" si="1058"/>
        <v>9.09</v>
      </c>
      <c r="O2727" s="31" t="s">
        <v>1017</v>
      </c>
      <c r="P2727" s="50"/>
      <c r="Q2727" s="50"/>
      <c r="R2727" s="42" t="s">
        <v>1017</v>
      </c>
      <c r="T2727" s="50"/>
      <c r="U2727" s="50"/>
      <c r="V2727" t="s">
        <v>1017</v>
      </c>
      <c r="W2727" s="50"/>
      <c r="Z2727" s="50"/>
      <c r="AA2727" s="38"/>
      <c r="AD2727" s="38"/>
    </row>
    <row r="2728" spans="1:30" x14ac:dyDescent="0.35">
      <c r="A2728" s="497" t="s">
        <v>3786</v>
      </c>
      <c r="B2728" s="13" t="s">
        <v>5547</v>
      </c>
      <c r="C2728" s="13" t="s">
        <v>2385</v>
      </c>
      <c r="D2728" s="13" t="s">
        <v>4133</v>
      </c>
      <c r="E2728" s="13" t="s">
        <v>4809</v>
      </c>
      <c r="F2728" s="373">
        <v>18</v>
      </c>
      <c r="G2728" s="430">
        <v>18</v>
      </c>
      <c r="H2728" s="399">
        <f t="shared" si="1055"/>
        <v>14.4</v>
      </c>
      <c r="I2728" s="576"/>
      <c r="J2728" s="549" t="s">
        <v>5804</v>
      </c>
      <c r="K2728" s="11"/>
      <c r="L2728" s="55" t="str">
        <f t="shared" si="1056"/>
        <v/>
      </c>
      <c r="M2728" s="37">
        <f t="shared" si="1057"/>
        <v>18</v>
      </c>
      <c r="N2728" s="29">
        <f t="shared" si="1058"/>
        <v>9.09</v>
      </c>
      <c r="O2728" s="31"/>
      <c r="P2728" s="50"/>
      <c r="Q2728" s="50"/>
      <c r="R2728" s="42"/>
      <c r="T2728" s="50"/>
      <c r="U2728" s="50"/>
      <c r="W2728" s="50"/>
      <c r="Y2728" t="s">
        <v>1017</v>
      </c>
      <c r="Z2728" s="50"/>
      <c r="AA2728" s="38"/>
      <c r="AD2728" s="38"/>
    </row>
    <row r="2729" spans="1:30" x14ac:dyDescent="0.35">
      <c r="A2729" s="497" t="s">
        <v>3787</v>
      </c>
      <c r="B2729" s="13" t="s">
        <v>5547</v>
      </c>
      <c r="C2729" s="13" t="s">
        <v>2385</v>
      </c>
      <c r="D2729" s="13" t="s">
        <v>5555</v>
      </c>
      <c r="E2729" s="13" t="s">
        <v>4811</v>
      </c>
      <c r="F2729" s="373">
        <v>20.97</v>
      </c>
      <c r="G2729" s="430">
        <v>20.97</v>
      </c>
      <c r="H2729" s="399">
        <f t="shared" si="1055"/>
        <v>16.78</v>
      </c>
      <c r="I2729" s="576"/>
      <c r="J2729" s="549" t="s">
        <v>5804</v>
      </c>
      <c r="K2729" s="11"/>
      <c r="L2729" s="55" t="str">
        <f t="shared" si="1056"/>
        <v/>
      </c>
      <c r="M2729" s="37">
        <f t="shared" si="1057"/>
        <v>20.97</v>
      </c>
      <c r="N2729" s="29">
        <f t="shared" si="1058"/>
        <v>9.09</v>
      </c>
      <c r="O2729" s="31" t="s">
        <v>1017</v>
      </c>
      <c r="P2729" s="50"/>
      <c r="Q2729" s="50"/>
      <c r="R2729" s="42"/>
      <c r="T2729" s="50"/>
      <c r="U2729" s="50"/>
      <c r="W2729" s="50"/>
      <c r="Y2729" t="s">
        <v>1017</v>
      </c>
      <c r="Z2729" s="50"/>
      <c r="AA2729" s="38"/>
      <c r="AD2729" s="38"/>
    </row>
    <row r="2730" spans="1:30" x14ac:dyDescent="0.35">
      <c r="A2730" s="497" t="s">
        <v>3788</v>
      </c>
      <c r="B2730" s="13" t="s">
        <v>5547</v>
      </c>
      <c r="C2730" s="13" t="s">
        <v>2385</v>
      </c>
      <c r="D2730" s="13" t="s">
        <v>2919</v>
      </c>
      <c r="E2730" s="13" t="s">
        <v>4809</v>
      </c>
      <c r="F2730" s="373">
        <v>18.989999999999998</v>
      </c>
      <c r="G2730" s="430">
        <v>18.989999999999998</v>
      </c>
      <c r="H2730" s="399">
        <f t="shared" si="1055"/>
        <v>15.19</v>
      </c>
      <c r="I2730" s="576"/>
      <c r="J2730" s="549" t="s">
        <v>5804</v>
      </c>
      <c r="K2730" s="11"/>
      <c r="L2730" s="55" t="str">
        <f t="shared" si="1056"/>
        <v/>
      </c>
      <c r="M2730" s="37">
        <f t="shared" si="1057"/>
        <v>18.990000000000002</v>
      </c>
      <c r="N2730" s="29">
        <f t="shared" si="1058"/>
        <v>9.09</v>
      </c>
      <c r="O2730" s="31"/>
      <c r="P2730" s="50"/>
      <c r="Q2730" s="50"/>
      <c r="R2730" s="42" t="s">
        <v>1017</v>
      </c>
      <c r="T2730" s="50"/>
      <c r="U2730" s="50"/>
      <c r="W2730" s="50"/>
      <c r="Y2730" t="s">
        <v>1017</v>
      </c>
      <c r="Z2730" s="50"/>
      <c r="AA2730" s="38"/>
      <c r="AD2730" s="38"/>
    </row>
    <row r="2731" spans="1:30" x14ac:dyDescent="0.35">
      <c r="A2731" s="497" t="s">
        <v>3789</v>
      </c>
      <c r="B2731" s="13" t="s">
        <v>5547</v>
      </c>
      <c r="C2731" s="13" t="s">
        <v>2385</v>
      </c>
      <c r="D2731" s="13" t="s">
        <v>5558</v>
      </c>
      <c r="E2731" s="13" t="s">
        <v>4811</v>
      </c>
      <c r="F2731" s="373">
        <v>21.96</v>
      </c>
      <c r="G2731" s="430">
        <v>21.96</v>
      </c>
      <c r="H2731" s="399">
        <f t="shared" si="1055"/>
        <v>17.57</v>
      </c>
      <c r="I2731" s="576"/>
      <c r="J2731" s="549" t="s">
        <v>5804</v>
      </c>
      <c r="K2731" s="11"/>
      <c r="L2731" s="55" t="str">
        <f t="shared" si="1056"/>
        <v/>
      </c>
      <c r="M2731" s="37">
        <f t="shared" si="1057"/>
        <v>21.96</v>
      </c>
      <c r="N2731" s="29">
        <f t="shared" si="1058"/>
        <v>9.09</v>
      </c>
      <c r="O2731" s="31" t="s">
        <v>1017</v>
      </c>
      <c r="P2731" s="50"/>
      <c r="Q2731" s="50"/>
      <c r="R2731" s="42" t="s">
        <v>1017</v>
      </c>
      <c r="T2731" s="50"/>
      <c r="U2731" s="50"/>
      <c r="W2731" s="50"/>
      <c r="Y2731" t="s">
        <v>1017</v>
      </c>
      <c r="Z2731" s="50"/>
      <c r="AA2731" s="38"/>
      <c r="AD2731" s="38"/>
    </row>
    <row r="2732" spans="1:30" x14ac:dyDescent="0.35">
      <c r="A2732" s="497" t="s">
        <v>3790</v>
      </c>
      <c r="B2732" s="13" t="s">
        <v>5547</v>
      </c>
      <c r="C2732" s="13" t="s">
        <v>2385</v>
      </c>
      <c r="D2732" s="13" t="s">
        <v>4132</v>
      </c>
      <c r="E2732" s="13" t="s">
        <v>4809</v>
      </c>
      <c r="F2732" s="373">
        <v>17.010000000000002</v>
      </c>
      <c r="G2732" s="430">
        <v>17.010000000000002</v>
      </c>
      <c r="H2732" s="399">
        <f t="shared" si="1055"/>
        <v>13.61</v>
      </c>
      <c r="I2732" s="576"/>
      <c r="J2732" s="549" t="s">
        <v>5804</v>
      </c>
      <c r="K2732" s="11"/>
      <c r="L2732" s="55" t="str">
        <f t="shared" si="1056"/>
        <v/>
      </c>
      <c r="M2732" s="37">
        <f t="shared" si="1057"/>
        <v>17.009999999999998</v>
      </c>
      <c r="N2732" s="29">
        <f t="shared" si="1058"/>
        <v>9.09</v>
      </c>
      <c r="O2732" s="31"/>
      <c r="P2732" s="50"/>
      <c r="Q2732" s="50"/>
      <c r="R2732" s="42"/>
      <c r="T2732" s="50"/>
      <c r="U2732" s="50"/>
      <c r="W2732" s="50"/>
      <c r="X2732" t="s">
        <v>1017</v>
      </c>
      <c r="Z2732" s="50"/>
      <c r="AA2732" s="38"/>
      <c r="AD2732" s="38"/>
    </row>
    <row r="2733" spans="1:30" x14ac:dyDescent="0.35">
      <c r="A2733" s="497" t="s">
        <v>3791</v>
      </c>
      <c r="B2733" s="13" t="s">
        <v>5547</v>
      </c>
      <c r="C2733" s="13" t="s">
        <v>2385</v>
      </c>
      <c r="D2733" s="13" t="s">
        <v>5554</v>
      </c>
      <c r="E2733" s="13" t="s">
        <v>4811</v>
      </c>
      <c r="F2733" s="373">
        <v>19.98</v>
      </c>
      <c r="G2733" s="430">
        <v>19.98</v>
      </c>
      <c r="H2733" s="399">
        <f t="shared" si="1055"/>
        <v>15.98</v>
      </c>
      <c r="I2733" s="576"/>
      <c r="J2733" s="549" t="s">
        <v>5804</v>
      </c>
      <c r="K2733" s="11"/>
      <c r="L2733" s="55" t="str">
        <f t="shared" si="1056"/>
        <v/>
      </c>
      <c r="M2733" s="37">
        <f t="shared" si="1057"/>
        <v>19.98</v>
      </c>
      <c r="N2733" s="29">
        <f t="shared" si="1058"/>
        <v>9.09</v>
      </c>
      <c r="O2733" s="31" t="s">
        <v>1017</v>
      </c>
      <c r="P2733" s="50"/>
      <c r="Q2733" s="50"/>
      <c r="R2733" s="42"/>
      <c r="T2733" s="50"/>
      <c r="U2733" s="50"/>
      <c r="W2733" s="50"/>
      <c r="X2733" t="s">
        <v>1017</v>
      </c>
      <c r="Z2733" s="50"/>
      <c r="AA2733" s="38"/>
      <c r="AD2733" s="38"/>
    </row>
    <row r="2734" spans="1:30" x14ac:dyDescent="0.35">
      <c r="A2734" s="497" t="s">
        <v>3792</v>
      </c>
      <c r="B2734" s="13" t="s">
        <v>5547</v>
      </c>
      <c r="C2734" s="13" t="s">
        <v>2385</v>
      </c>
      <c r="D2734" s="13" t="s">
        <v>4136</v>
      </c>
      <c r="E2734" s="13" t="s">
        <v>4809</v>
      </c>
      <c r="F2734" s="373">
        <v>18</v>
      </c>
      <c r="G2734" s="430">
        <v>18</v>
      </c>
      <c r="H2734" s="399">
        <f t="shared" si="1055"/>
        <v>14.4</v>
      </c>
      <c r="I2734" s="576"/>
      <c r="J2734" s="549" t="s">
        <v>5804</v>
      </c>
      <c r="K2734" s="11"/>
      <c r="L2734" s="55" t="str">
        <f t="shared" si="1056"/>
        <v/>
      </c>
      <c r="M2734" s="37">
        <f t="shared" si="1057"/>
        <v>18</v>
      </c>
      <c r="N2734" s="29">
        <f t="shared" si="1058"/>
        <v>9.09</v>
      </c>
      <c r="O2734" s="31"/>
      <c r="P2734" s="50"/>
      <c r="Q2734" s="50"/>
      <c r="R2734" s="42" t="s">
        <v>1017</v>
      </c>
      <c r="T2734" s="50"/>
      <c r="U2734" s="50"/>
      <c r="W2734" s="50"/>
      <c r="X2734" t="s">
        <v>1017</v>
      </c>
      <c r="Z2734" s="50"/>
      <c r="AA2734" s="38"/>
      <c r="AD2734" s="38"/>
    </row>
    <row r="2735" spans="1:30" x14ac:dyDescent="0.35">
      <c r="A2735" s="497" t="s">
        <v>3793</v>
      </c>
      <c r="B2735" s="13" t="s">
        <v>5547</v>
      </c>
      <c r="C2735" s="13" t="s">
        <v>2385</v>
      </c>
      <c r="D2735" s="13" t="s">
        <v>5557</v>
      </c>
      <c r="E2735" s="13" t="s">
        <v>4811</v>
      </c>
      <c r="F2735" s="373">
        <v>20.97</v>
      </c>
      <c r="G2735" s="430">
        <v>20.97</v>
      </c>
      <c r="H2735" s="399">
        <f t="shared" si="1055"/>
        <v>16.78</v>
      </c>
      <c r="I2735" s="576"/>
      <c r="J2735" s="549" t="s">
        <v>5804</v>
      </c>
      <c r="K2735" s="11"/>
      <c r="L2735" s="55" t="str">
        <f t="shared" si="1056"/>
        <v/>
      </c>
      <c r="M2735" s="37">
        <f t="shared" si="1057"/>
        <v>20.97</v>
      </c>
      <c r="N2735" s="29">
        <f t="shared" si="1058"/>
        <v>9.09</v>
      </c>
      <c r="O2735" s="31" t="s">
        <v>1017</v>
      </c>
      <c r="P2735" s="50"/>
      <c r="Q2735" s="50"/>
      <c r="R2735" s="42" t="s">
        <v>1017</v>
      </c>
      <c r="T2735" s="50"/>
      <c r="U2735" s="50"/>
      <c r="W2735" s="50"/>
      <c r="X2735" t="s">
        <v>1017</v>
      </c>
      <c r="Z2735" s="50"/>
      <c r="AA2735" s="38"/>
      <c r="AD2735" s="38"/>
    </row>
    <row r="2736" spans="1:30" x14ac:dyDescent="0.35">
      <c r="A2736" s="497" t="s">
        <v>3794</v>
      </c>
      <c r="B2736" s="13" t="s">
        <v>5547</v>
      </c>
      <c r="C2736" s="13" t="s">
        <v>2385</v>
      </c>
      <c r="D2736" s="13" t="s">
        <v>4134</v>
      </c>
      <c r="E2736" s="13" t="s">
        <v>4809</v>
      </c>
      <c r="F2736" s="373">
        <v>18.989999999999998</v>
      </c>
      <c r="G2736" s="430">
        <v>18.989999999999998</v>
      </c>
      <c r="H2736" s="399">
        <f t="shared" si="1055"/>
        <v>15.19</v>
      </c>
      <c r="I2736" s="576"/>
      <c r="J2736" s="549" t="s">
        <v>5804</v>
      </c>
      <c r="K2736" s="11"/>
      <c r="L2736" s="55" t="str">
        <f t="shared" si="1056"/>
        <v/>
      </c>
      <c r="M2736" s="37">
        <f t="shared" si="1057"/>
        <v>18.990000000000002</v>
      </c>
      <c r="N2736" s="29">
        <f t="shared" si="1058"/>
        <v>9.09</v>
      </c>
      <c r="O2736" s="31"/>
      <c r="P2736" s="50"/>
      <c r="Q2736" s="50"/>
      <c r="R2736" s="42"/>
      <c r="T2736" s="50"/>
      <c r="U2736" s="50"/>
      <c r="W2736" s="50"/>
      <c r="Z2736" s="50"/>
      <c r="AA2736" s="38" t="s">
        <v>1017</v>
      </c>
      <c r="AD2736" s="38"/>
    </row>
    <row r="2737" spans="1:30" x14ac:dyDescent="0.35">
      <c r="A2737" s="497" t="s">
        <v>3795</v>
      </c>
      <c r="B2737" s="13" t="s">
        <v>5547</v>
      </c>
      <c r="C2737" s="13" t="s">
        <v>2385</v>
      </c>
      <c r="D2737" s="13" t="s">
        <v>4388</v>
      </c>
      <c r="E2737" s="13" t="s">
        <v>4811</v>
      </c>
      <c r="F2737" s="373">
        <v>21.96</v>
      </c>
      <c r="G2737" s="430">
        <v>21.96</v>
      </c>
      <c r="H2737" s="399">
        <f t="shared" si="1055"/>
        <v>17.57</v>
      </c>
      <c r="I2737" s="576"/>
      <c r="J2737" s="549" t="s">
        <v>5804</v>
      </c>
      <c r="K2737" s="11"/>
      <c r="L2737" s="55" t="str">
        <f t="shared" si="1056"/>
        <v/>
      </c>
      <c r="M2737" s="37">
        <f t="shared" si="1057"/>
        <v>21.96</v>
      </c>
      <c r="N2737" s="29">
        <f t="shared" si="1058"/>
        <v>9.09</v>
      </c>
      <c r="O2737" s="31" t="s">
        <v>1017</v>
      </c>
      <c r="P2737" s="50"/>
      <c r="Q2737" s="50"/>
      <c r="R2737" s="42"/>
      <c r="T2737" s="50"/>
      <c r="U2737" s="50"/>
      <c r="W2737" s="50"/>
      <c r="Z2737" s="50"/>
      <c r="AA2737" s="38" t="s">
        <v>1017</v>
      </c>
      <c r="AD2737" s="38"/>
    </row>
    <row r="2738" spans="1:30" x14ac:dyDescent="0.35">
      <c r="A2738" s="497" t="s">
        <v>3796</v>
      </c>
      <c r="B2738" s="13" t="s">
        <v>5547</v>
      </c>
      <c r="C2738" s="13" t="s">
        <v>2385</v>
      </c>
      <c r="D2738" s="13" t="s">
        <v>2920</v>
      </c>
      <c r="E2738" s="13" t="s">
        <v>4809</v>
      </c>
      <c r="F2738" s="373">
        <v>19.98</v>
      </c>
      <c r="G2738" s="430">
        <v>19.98</v>
      </c>
      <c r="H2738" s="399">
        <f t="shared" si="1055"/>
        <v>15.98</v>
      </c>
      <c r="I2738" s="576"/>
      <c r="J2738" s="549" t="s">
        <v>5804</v>
      </c>
      <c r="K2738" s="11"/>
      <c r="L2738" s="55" t="str">
        <f t="shared" si="1056"/>
        <v/>
      </c>
      <c r="M2738" s="37">
        <f t="shared" si="1057"/>
        <v>19.98</v>
      </c>
      <c r="N2738" s="29">
        <f t="shared" si="1058"/>
        <v>9.09</v>
      </c>
      <c r="O2738" s="31"/>
      <c r="P2738" s="50"/>
      <c r="Q2738" s="50"/>
      <c r="R2738" s="42" t="s">
        <v>1017</v>
      </c>
      <c r="T2738" s="50"/>
      <c r="U2738" s="50"/>
      <c r="W2738" s="50"/>
      <c r="Z2738" s="50"/>
      <c r="AA2738" s="38" t="s">
        <v>1017</v>
      </c>
      <c r="AD2738" s="38"/>
    </row>
    <row r="2739" spans="1:30" x14ac:dyDescent="0.35">
      <c r="A2739" s="497" t="s">
        <v>3797</v>
      </c>
      <c r="B2739" s="13" t="s">
        <v>5547</v>
      </c>
      <c r="C2739" s="13" t="s">
        <v>2385</v>
      </c>
      <c r="D2739" s="13" t="s">
        <v>4389</v>
      </c>
      <c r="E2739" s="13" t="s">
        <v>4811</v>
      </c>
      <c r="F2739" s="373">
        <v>22.95</v>
      </c>
      <c r="G2739" s="430">
        <v>22.95</v>
      </c>
      <c r="H2739" s="399">
        <f t="shared" si="1055"/>
        <v>18.36</v>
      </c>
      <c r="I2739" s="576"/>
      <c r="J2739" s="549" t="s">
        <v>5804</v>
      </c>
      <c r="K2739" s="11"/>
      <c r="L2739" s="55" t="str">
        <f t="shared" si="1056"/>
        <v/>
      </c>
      <c r="M2739" s="37">
        <f t="shared" si="1057"/>
        <v>22.95</v>
      </c>
      <c r="N2739" s="29">
        <f t="shared" si="1058"/>
        <v>9.09</v>
      </c>
      <c r="O2739" s="31" t="s">
        <v>1017</v>
      </c>
      <c r="P2739" s="50"/>
      <c r="Q2739" s="50"/>
      <c r="R2739" s="42" t="s">
        <v>1017</v>
      </c>
      <c r="T2739" s="50"/>
      <c r="U2739" s="50"/>
      <c r="W2739" s="50"/>
      <c r="Z2739" s="50"/>
      <c r="AA2739" s="38" t="s">
        <v>1017</v>
      </c>
      <c r="AD2739" s="38"/>
    </row>
    <row r="2740" spans="1:30" x14ac:dyDescent="0.35">
      <c r="A2740" s="497" t="s">
        <v>3798</v>
      </c>
      <c r="B2740" s="13" t="s">
        <v>5547</v>
      </c>
      <c r="C2740" s="13" t="s">
        <v>2385</v>
      </c>
      <c r="D2740" s="13" t="s">
        <v>2905</v>
      </c>
      <c r="E2740" s="13" t="s">
        <v>4809</v>
      </c>
      <c r="F2740" s="373">
        <v>11.07</v>
      </c>
      <c r="G2740" s="430">
        <v>11.07</v>
      </c>
      <c r="H2740" s="399">
        <f t="shared" si="1055"/>
        <v>8.86</v>
      </c>
      <c r="I2740" s="576"/>
      <c r="J2740" s="549" t="s">
        <v>5804</v>
      </c>
      <c r="K2740" s="11"/>
      <c r="L2740" s="55" t="str">
        <f t="shared" si="1056"/>
        <v/>
      </c>
      <c r="M2740" s="37">
        <f t="shared" si="1057"/>
        <v>11.07</v>
      </c>
      <c r="N2740" s="29">
        <f t="shared" si="1058"/>
        <v>9.09</v>
      </c>
      <c r="O2740" s="31"/>
      <c r="P2740" s="50"/>
      <c r="Q2740" s="50"/>
      <c r="R2740" s="42"/>
      <c r="T2740" s="50"/>
      <c r="U2740" s="50"/>
      <c r="W2740" s="50"/>
      <c r="Z2740" s="50"/>
      <c r="AA2740" s="38"/>
      <c r="AB2740" t="s">
        <v>1017</v>
      </c>
      <c r="AD2740" s="38"/>
    </row>
    <row r="2741" spans="1:30" x14ac:dyDescent="0.35">
      <c r="A2741" s="497" t="s">
        <v>3799</v>
      </c>
      <c r="B2741" s="13" t="s">
        <v>5547</v>
      </c>
      <c r="C2741" s="13" t="s">
        <v>2385</v>
      </c>
      <c r="D2741" s="13" t="s">
        <v>3194</v>
      </c>
      <c r="E2741" s="13" t="s">
        <v>4811</v>
      </c>
      <c r="F2741" s="373">
        <v>14.04</v>
      </c>
      <c r="G2741" s="430">
        <v>14.04</v>
      </c>
      <c r="H2741" s="399">
        <f t="shared" si="1055"/>
        <v>11.23</v>
      </c>
      <c r="I2741" s="576"/>
      <c r="J2741" s="549" t="s">
        <v>5804</v>
      </c>
      <c r="K2741" s="11"/>
      <c r="L2741" s="55" t="str">
        <f t="shared" si="1056"/>
        <v/>
      </c>
      <c r="M2741" s="37">
        <f t="shared" si="1057"/>
        <v>14.04</v>
      </c>
      <c r="N2741" s="29">
        <f t="shared" si="1058"/>
        <v>9.09</v>
      </c>
      <c r="O2741" s="31" t="s">
        <v>1017</v>
      </c>
      <c r="P2741" s="50"/>
      <c r="Q2741" s="50"/>
      <c r="R2741" s="42"/>
      <c r="T2741" s="50"/>
      <c r="U2741" s="50"/>
      <c r="W2741" s="50"/>
      <c r="Z2741" s="50"/>
      <c r="AA2741" s="38"/>
      <c r="AB2741" t="s">
        <v>1017</v>
      </c>
      <c r="AD2741" s="38"/>
    </row>
    <row r="2742" spans="1:30" x14ac:dyDescent="0.35">
      <c r="A2742" s="497" t="s">
        <v>3800</v>
      </c>
      <c r="B2742" s="13" t="s">
        <v>5547</v>
      </c>
      <c r="C2742" s="13" t="s">
        <v>2385</v>
      </c>
      <c r="D2742" s="13" t="s">
        <v>2905</v>
      </c>
      <c r="E2742" s="13" t="s">
        <v>4809</v>
      </c>
      <c r="F2742" s="373">
        <v>12.06</v>
      </c>
      <c r="G2742" s="430">
        <v>12.06</v>
      </c>
      <c r="H2742" s="399">
        <f t="shared" si="1055"/>
        <v>9.65</v>
      </c>
      <c r="I2742" s="576"/>
      <c r="J2742" s="549" t="s">
        <v>5804</v>
      </c>
      <c r="K2742" s="11"/>
      <c r="L2742" s="55" t="str">
        <f t="shared" si="1056"/>
        <v/>
      </c>
      <c r="M2742" s="37">
        <f t="shared" si="1057"/>
        <v>12.059999999999999</v>
      </c>
      <c r="N2742" s="29">
        <f t="shared" si="1058"/>
        <v>9.09</v>
      </c>
      <c r="O2742" s="31"/>
      <c r="P2742" s="50"/>
      <c r="Q2742" s="50"/>
      <c r="R2742" s="42" t="s">
        <v>1017</v>
      </c>
      <c r="T2742" s="50"/>
      <c r="U2742" s="50"/>
      <c r="W2742" s="50"/>
      <c r="Z2742" s="50"/>
      <c r="AA2742" s="38"/>
      <c r="AB2742" t="s">
        <v>1017</v>
      </c>
      <c r="AD2742" s="38"/>
    </row>
    <row r="2743" spans="1:30" x14ac:dyDescent="0.35">
      <c r="A2743" s="497" t="s">
        <v>3801</v>
      </c>
      <c r="B2743" s="13" t="s">
        <v>5547</v>
      </c>
      <c r="C2743" s="13" t="s">
        <v>2385</v>
      </c>
      <c r="D2743" s="13" t="s">
        <v>3194</v>
      </c>
      <c r="E2743" s="13" t="s">
        <v>4811</v>
      </c>
      <c r="F2743" s="373">
        <v>15.03</v>
      </c>
      <c r="G2743" s="430">
        <v>15.03</v>
      </c>
      <c r="H2743" s="399">
        <f t="shared" si="1055"/>
        <v>12.02</v>
      </c>
      <c r="I2743" s="576"/>
      <c r="J2743" s="549" t="s">
        <v>5804</v>
      </c>
      <c r="K2743" s="11"/>
      <c r="L2743" s="55" t="str">
        <f t="shared" si="1056"/>
        <v/>
      </c>
      <c r="M2743" s="37">
        <f t="shared" si="1057"/>
        <v>15.03</v>
      </c>
      <c r="N2743" s="29">
        <f t="shared" si="1058"/>
        <v>9.09</v>
      </c>
      <c r="O2743" s="31" t="s">
        <v>1017</v>
      </c>
      <c r="P2743" s="50"/>
      <c r="Q2743" s="50"/>
      <c r="R2743" s="42" t="s">
        <v>1017</v>
      </c>
      <c r="T2743" s="50"/>
      <c r="U2743" s="50"/>
      <c r="W2743" s="50"/>
      <c r="Z2743" s="50"/>
      <c r="AA2743" s="38"/>
      <c r="AB2743" t="s">
        <v>1017</v>
      </c>
      <c r="AD2743" s="38"/>
    </row>
    <row r="2744" spans="1:30" x14ac:dyDescent="0.35">
      <c r="A2744" s="497" t="s">
        <v>3802</v>
      </c>
      <c r="B2744" s="13" t="s">
        <v>5547</v>
      </c>
      <c r="C2744" s="13" t="s">
        <v>2385</v>
      </c>
      <c r="D2744" s="13" t="s">
        <v>3288</v>
      </c>
      <c r="E2744" s="13" t="s">
        <v>4809</v>
      </c>
      <c r="F2744" s="373">
        <v>17.010000000000002</v>
      </c>
      <c r="G2744" s="430">
        <v>17.010000000000002</v>
      </c>
      <c r="H2744" s="399">
        <f t="shared" si="1055"/>
        <v>13.61</v>
      </c>
      <c r="I2744" s="576"/>
      <c r="J2744" s="549" t="s">
        <v>5804</v>
      </c>
      <c r="K2744" s="11"/>
      <c r="L2744" s="55" t="str">
        <f t="shared" si="1056"/>
        <v/>
      </c>
      <c r="M2744" s="37">
        <f t="shared" si="1057"/>
        <v>17.009999999999998</v>
      </c>
      <c r="N2744" s="29">
        <f t="shared" si="1058"/>
        <v>9.09</v>
      </c>
      <c r="O2744" s="31"/>
      <c r="P2744" s="50"/>
      <c r="Q2744" s="50"/>
      <c r="R2744" s="42"/>
      <c r="S2744" t="s">
        <v>1017</v>
      </c>
      <c r="T2744" s="50"/>
      <c r="U2744" s="50"/>
      <c r="W2744" s="50"/>
      <c r="Z2744" s="50"/>
      <c r="AA2744" s="38"/>
      <c r="AB2744" t="s">
        <v>1017</v>
      </c>
      <c r="AD2744" s="38"/>
    </row>
    <row r="2745" spans="1:30" x14ac:dyDescent="0.35">
      <c r="A2745" s="497" t="s">
        <v>3803</v>
      </c>
      <c r="B2745" s="13" t="s">
        <v>5547</v>
      </c>
      <c r="C2745" s="13" t="s">
        <v>2385</v>
      </c>
      <c r="D2745" s="13" t="s">
        <v>5559</v>
      </c>
      <c r="E2745" s="13" t="s">
        <v>4811</v>
      </c>
      <c r="F2745" s="373">
        <v>19.98</v>
      </c>
      <c r="G2745" s="430">
        <v>19.98</v>
      </c>
      <c r="H2745" s="399">
        <f t="shared" si="1055"/>
        <v>15.98</v>
      </c>
      <c r="I2745" s="576"/>
      <c r="J2745" s="549" t="s">
        <v>5804</v>
      </c>
      <c r="K2745" s="11"/>
      <c r="L2745" s="55" t="str">
        <f t="shared" si="1056"/>
        <v/>
      </c>
      <c r="M2745" s="37">
        <f t="shared" si="1057"/>
        <v>19.98</v>
      </c>
      <c r="N2745" s="29">
        <f t="shared" si="1058"/>
        <v>9.09</v>
      </c>
      <c r="O2745" s="31" t="s">
        <v>1017</v>
      </c>
      <c r="P2745" s="50"/>
      <c r="Q2745" s="50"/>
      <c r="R2745" s="42"/>
      <c r="S2745" t="s">
        <v>1017</v>
      </c>
      <c r="T2745" s="50"/>
      <c r="U2745" s="50"/>
      <c r="W2745" s="50"/>
      <c r="Z2745" s="50"/>
      <c r="AA2745" s="38"/>
      <c r="AB2745" t="s">
        <v>1017</v>
      </c>
      <c r="AD2745" s="38"/>
    </row>
    <row r="2746" spans="1:30" x14ac:dyDescent="0.35">
      <c r="A2746" s="497" t="s">
        <v>3804</v>
      </c>
      <c r="B2746" s="13" t="s">
        <v>5547</v>
      </c>
      <c r="C2746" s="13" t="s">
        <v>2385</v>
      </c>
      <c r="D2746" s="13" t="s">
        <v>2114</v>
      </c>
      <c r="E2746" s="13" t="s">
        <v>4809</v>
      </c>
      <c r="F2746" s="373">
        <v>18</v>
      </c>
      <c r="G2746" s="430">
        <v>18</v>
      </c>
      <c r="H2746" s="399">
        <f t="shared" si="1055"/>
        <v>14.4</v>
      </c>
      <c r="I2746" s="576"/>
      <c r="J2746" s="549" t="s">
        <v>5804</v>
      </c>
      <c r="K2746" s="11"/>
      <c r="L2746" s="55" t="str">
        <f t="shared" si="1056"/>
        <v/>
      </c>
      <c r="M2746" s="37">
        <f t="shared" si="1057"/>
        <v>18</v>
      </c>
      <c r="N2746" s="29">
        <f t="shared" si="1058"/>
        <v>9.09</v>
      </c>
      <c r="O2746" s="31"/>
      <c r="P2746" s="50"/>
      <c r="Q2746" s="50"/>
      <c r="R2746" s="42" t="s">
        <v>1017</v>
      </c>
      <c r="S2746" t="s">
        <v>1017</v>
      </c>
      <c r="T2746" s="50"/>
      <c r="U2746" s="50"/>
      <c r="W2746" s="50"/>
      <c r="Z2746" s="50"/>
      <c r="AA2746" s="38"/>
      <c r="AB2746" t="s">
        <v>1017</v>
      </c>
      <c r="AD2746" s="38"/>
    </row>
    <row r="2747" spans="1:30" x14ac:dyDescent="0.35">
      <c r="A2747" s="497" t="s">
        <v>3805</v>
      </c>
      <c r="B2747" s="13" t="s">
        <v>5547</v>
      </c>
      <c r="C2747" s="13" t="s">
        <v>2385</v>
      </c>
      <c r="D2747" s="13" t="s">
        <v>2115</v>
      </c>
      <c r="E2747" s="13" t="s">
        <v>4811</v>
      </c>
      <c r="F2747" s="373">
        <v>20.97</v>
      </c>
      <c r="G2747" s="430">
        <v>20.97</v>
      </c>
      <c r="H2747" s="399">
        <f t="shared" si="1055"/>
        <v>16.78</v>
      </c>
      <c r="I2747" s="576"/>
      <c r="J2747" s="549" t="s">
        <v>5804</v>
      </c>
      <c r="K2747" s="11"/>
      <c r="L2747" s="55" t="str">
        <f t="shared" si="1056"/>
        <v/>
      </c>
      <c r="M2747" s="37">
        <f t="shared" si="1057"/>
        <v>20.97</v>
      </c>
      <c r="N2747" s="29">
        <f t="shared" si="1058"/>
        <v>9.09</v>
      </c>
      <c r="O2747" s="31" t="s">
        <v>1017</v>
      </c>
      <c r="P2747" s="50"/>
      <c r="Q2747" s="50"/>
      <c r="R2747" s="42" t="s">
        <v>1017</v>
      </c>
      <c r="S2747" t="s">
        <v>1017</v>
      </c>
      <c r="T2747" s="50"/>
      <c r="U2747" s="50"/>
      <c r="W2747" s="50"/>
      <c r="Z2747" s="50"/>
      <c r="AA2747" s="38"/>
      <c r="AB2747" t="s">
        <v>1017</v>
      </c>
      <c r="AD2747" s="38"/>
    </row>
    <row r="2748" spans="1:30" x14ac:dyDescent="0.35">
      <c r="A2748" s="497" t="s">
        <v>3806</v>
      </c>
      <c r="B2748" s="13" t="s">
        <v>5547</v>
      </c>
      <c r="C2748" s="13" t="s">
        <v>2385</v>
      </c>
      <c r="D2748" s="13" t="s">
        <v>3290</v>
      </c>
      <c r="E2748" s="13" t="s">
        <v>4809</v>
      </c>
      <c r="F2748" s="373">
        <v>18</v>
      </c>
      <c r="G2748" s="430">
        <v>18</v>
      </c>
      <c r="H2748" s="399">
        <f t="shared" ref="H2748:H2811" si="1059">IF(ISNUMBER(G2748),ROUND(0.8*G2748,2),"")</f>
        <v>14.4</v>
      </c>
      <c r="I2748" s="576"/>
      <c r="J2748" s="549" t="s">
        <v>5804</v>
      </c>
      <c r="K2748" s="11"/>
      <c r="L2748" s="55" t="str">
        <f t="shared" ref="L2748:L2811" si="1060">IF(F2748=M2748,"",FALSE)</f>
        <v/>
      </c>
      <c r="M2748" s="37">
        <f t="shared" ref="M2748:M2811" si="1061">N2748+SUMIF(O2748:AD2748,"x",O$2619:AD$2619)</f>
        <v>18</v>
      </c>
      <c r="N2748" s="29">
        <f t="shared" ref="N2748:N2811" si="1062">ROUND(N2525*(1-$AE$2618),2)</f>
        <v>9.09</v>
      </c>
      <c r="O2748" s="31"/>
      <c r="P2748" s="50"/>
      <c r="Q2748" s="50"/>
      <c r="R2748" s="42"/>
      <c r="T2748" s="50"/>
      <c r="U2748" s="50"/>
      <c r="V2748" t="s">
        <v>1017</v>
      </c>
      <c r="W2748" s="50"/>
      <c r="Z2748" s="50"/>
      <c r="AA2748" s="38"/>
      <c r="AB2748" t="s">
        <v>1017</v>
      </c>
      <c r="AD2748" s="38"/>
    </row>
    <row r="2749" spans="1:30" x14ac:dyDescent="0.35">
      <c r="A2749" s="497" t="s">
        <v>3807</v>
      </c>
      <c r="B2749" s="13" t="s">
        <v>5547</v>
      </c>
      <c r="C2749" s="13" t="s">
        <v>2385</v>
      </c>
      <c r="D2749" s="13" t="s">
        <v>5562</v>
      </c>
      <c r="E2749" s="13" t="s">
        <v>4811</v>
      </c>
      <c r="F2749" s="373">
        <v>20.97</v>
      </c>
      <c r="G2749" s="430">
        <v>20.97</v>
      </c>
      <c r="H2749" s="399">
        <f t="shared" si="1059"/>
        <v>16.78</v>
      </c>
      <c r="I2749" s="576"/>
      <c r="J2749" s="549" t="s">
        <v>5804</v>
      </c>
      <c r="K2749" s="11"/>
      <c r="L2749" s="55" t="str">
        <f t="shared" si="1060"/>
        <v/>
      </c>
      <c r="M2749" s="37">
        <f t="shared" si="1061"/>
        <v>20.97</v>
      </c>
      <c r="N2749" s="29">
        <f t="shared" si="1062"/>
        <v>9.09</v>
      </c>
      <c r="O2749" s="31" t="s">
        <v>1017</v>
      </c>
      <c r="P2749" s="50"/>
      <c r="Q2749" s="50"/>
      <c r="R2749" s="42"/>
      <c r="T2749" s="50"/>
      <c r="U2749" s="50"/>
      <c r="V2749" t="s">
        <v>1017</v>
      </c>
      <c r="W2749" s="50"/>
      <c r="Z2749" s="50"/>
      <c r="AA2749" s="38"/>
      <c r="AB2749" t="s">
        <v>1017</v>
      </c>
      <c r="AD2749" s="38"/>
    </row>
    <row r="2750" spans="1:30" x14ac:dyDescent="0.35">
      <c r="A2750" s="497" t="s">
        <v>3808</v>
      </c>
      <c r="B2750" s="13" t="s">
        <v>5547</v>
      </c>
      <c r="C2750" s="13" t="s">
        <v>2385</v>
      </c>
      <c r="D2750" s="13" t="s">
        <v>3291</v>
      </c>
      <c r="E2750" s="13" t="s">
        <v>4809</v>
      </c>
      <c r="F2750" s="373">
        <v>18.989999999999998</v>
      </c>
      <c r="G2750" s="430">
        <v>18.989999999999998</v>
      </c>
      <c r="H2750" s="399">
        <f t="shared" si="1059"/>
        <v>15.19</v>
      </c>
      <c r="I2750" s="576"/>
      <c r="J2750" s="549" t="s">
        <v>5804</v>
      </c>
      <c r="K2750" s="11"/>
      <c r="L2750" s="55" t="str">
        <f t="shared" si="1060"/>
        <v/>
      </c>
      <c r="M2750" s="37">
        <f t="shared" si="1061"/>
        <v>18.990000000000002</v>
      </c>
      <c r="N2750" s="29">
        <f t="shared" si="1062"/>
        <v>9.09</v>
      </c>
      <c r="O2750" s="31"/>
      <c r="P2750" s="50"/>
      <c r="Q2750" s="50"/>
      <c r="R2750" s="42" t="s">
        <v>1017</v>
      </c>
      <c r="T2750" s="50"/>
      <c r="U2750" s="50"/>
      <c r="V2750" t="s">
        <v>1017</v>
      </c>
      <c r="W2750" s="50"/>
      <c r="Z2750" s="50"/>
      <c r="AA2750" s="38"/>
      <c r="AB2750" t="s">
        <v>1017</v>
      </c>
      <c r="AD2750" s="38"/>
    </row>
    <row r="2751" spans="1:30" x14ac:dyDescent="0.35">
      <c r="A2751" s="497" t="s">
        <v>3809</v>
      </c>
      <c r="B2751" s="13" t="s">
        <v>5547</v>
      </c>
      <c r="C2751" s="13" t="s">
        <v>2385</v>
      </c>
      <c r="D2751" s="13" t="s">
        <v>5565</v>
      </c>
      <c r="E2751" s="13" t="s">
        <v>4811</v>
      </c>
      <c r="F2751" s="373">
        <v>21.96</v>
      </c>
      <c r="G2751" s="430">
        <v>21.96</v>
      </c>
      <c r="H2751" s="399">
        <f t="shared" si="1059"/>
        <v>17.57</v>
      </c>
      <c r="I2751" s="576"/>
      <c r="J2751" s="549" t="s">
        <v>5804</v>
      </c>
      <c r="K2751" s="11"/>
      <c r="L2751" s="55" t="str">
        <f t="shared" si="1060"/>
        <v/>
      </c>
      <c r="M2751" s="37">
        <f t="shared" si="1061"/>
        <v>21.96</v>
      </c>
      <c r="N2751" s="29">
        <f t="shared" si="1062"/>
        <v>9.09</v>
      </c>
      <c r="O2751" s="31" t="s">
        <v>1017</v>
      </c>
      <c r="P2751" s="50"/>
      <c r="Q2751" s="50"/>
      <c r="R2751" s="42" t="s">
        <v>1017</v>
      </c>
      <c r="T2751" s="50"/>
      <c r="U2751" s="50"/>
      <c r="V2751" t="s">
        <v>1017</v>
      </c>
      <c r="W2751" s="50"/>
      <c r="Z2751" s="50"/>
      <c r="AA2751" s="38"/>
      <c r="AB2751" t="s">
        <v>1017</v>
      </c>
      <c r="AD2751" s="38"/>
    </row>
    <row r="2752" spans="1:30" x14ac:dyDescent="0.35">
      <c r="A2752" s="497" t="s">
        <v>3810</v>
      </c>
      <c r="B2752" s="13" t="s">
        <v>5547</v>
      </c>
      <c r="C2752" s="13" t="s">
        <v>2385</v>
      </c>
      <c r="D2752" s="13" t="s">
        <v>784</v>
      </c>
      <c r="E2752" s="13" t="s">
        <v>4809</v>
      </c>
      <c r="F2752" s="373">
        <v>19.98</v>
      </c>
      <c r="G2752" s="430">
        <v>19.98</v>
      </c>
      <c r="H2752" s="399">
        <f t="shared" si="1059"/>
        <v>15.98</v>
      </c>
      <c r="I2752" s="576"/>
      <c r="J2752" s="549" t="s">
        <v>5804</v>
      </c>
      <c r="K2752" s="11"/>
      <c r="L2752" s="55" t="str">
        <f t="shared" si="1060"/>
        <v/>
      </c>
      <c r="M2752" s="37">
        <f t="shared" si="1061"/>
        <v>19.98</v>
      </c>
      <c r="N2752" s="29">
        <f t="shared" si="1062"/>
        <v>9.09</v>
      </c>
      <c r="O2752" s="31"/>
      <c r="P2752" s="50"/>
      <c r="Q2752" s="50"/>
      <c r="R2752" s="42"/>
      <c r="T2752" s="50"/>
      <c r="U2752" s="50"/>
      <c r="W2752" s="50"/>
      <c r="Y2752" t="s">
        <v>1017</v>
      </c>
      <c r="Z2752" s="50"/>
      <c r="AA2752" s="38"/>
      <c r="AB2752" t="s">
        <v>1017</v>
      </c>
      <c r="AD2752" s="38"/>
    </row>
    <row r="2753" spans="1:30" x14ac:dyDescent="0.35">
      <c r="A2753" s="497" t="s">
        <v>3811</v>
      </c>
      <c r="B2753" s="13" t="s">
        <v>5547</v>
      </c>
      <c r="C2753" s="13" t="s">
        <v>2385</v>
      </c>
      <c r="D2753" s="13" t="s">
        <v>5563</v>
      </c>
      <c r="E2753" s="13" t="s">
        <v>4811</v>
      </c>
      <c r="F2753" s="373">
        <v>22.95</v>
      </c>
      <c r="G2753" s="430">
        <v>22.95</v>
      </c>
      <c r="H2753" s="399">
        <f t="shared" si="1059"/>
        <v>18.36</v>
      </c>
      <c r="I2753" s="576"/>
      <c r="J2753" s="549" t="s">
        <v>5804</v>
      </c>
      <c r="K2753" s="11"/>
      <c r="L2753" s="55" t="str">
        <f t="shared" si="1060"/>
        <v/>
      </c>
      <c r="M2753" s="37">
        <f t="shared" si="1061"/>
        <v>22.950000000000003</v>
      </c>
      <c r="N2753" s="29">
        <f t="shared" si="1062"/>
        <v>9.09</v>
      </c>
      <c r="O2753" s="31" t="s">
        <v>1017</v>
      </c>
      <c r="P2753" s="50"/>
      <c r="Q2753" s="50"/>
      <c r="R2753" s="42"/>
      <c r="T2753" s="50"/>
      <c r="U2753" s="50"/>
      <c r="W2753" s="50"/>
      <c r="Y2753" t="s">
        <v>1017</v>
      </c>
      <c r="Z2753" s="50"/>
      <c r="AA2753" s="38"/>
      <c r="AB2753" t="s">
        <v>1017</v>
      </c>
      <c r="AD2753" s="38"/>
    </row>
    <row r="2754" spans="1:30" x14ac:dyDescent="0.35">
      <c r="A2754" s="497" t="s">
        <v>3812</v>
      </c>
      <c r="B2754" s="13" t="s">
        <v>5547</v>
      </c>
      <c r="C2754" s="13" t="s">
        <v>2385</v>
      </c>
      <c r="D2754" s="13" t="s">
        <v>785</v>
      </c>
      <c r="E2754" s="13" t="s">
        <v>4809</v>
      </c>
      <c r="F2754" s="373">
        <v>20.97</v>
      </c>
      <c r="G2754" s="430">
        <v>20.97</v>
      </c>
      <c r="H2754" s="399">
        <f t="shared" si="1059"/>
        <v>16.78</v>
      </c>
      <c r="I2754" s="576"/>
      <c r="J2754" s="549" t="s">
        <v>5804</v>
      </c>
      <c r="K2754" s="11"/>
      <c r="L2754" s="55" t="str">
        <f t="shared" si="1060"/>
        <v/>
      </c>
      <c r="M2754" s="37">
        <f t="shared" si="1061"/>
        <v>20.97</v>
      </c>
      <c r="N2754" s="29">
        <f t="shared" si="1062"/>
        <v>9.09</v>
      </c>
      <c r="O2754" s="31"/>
      <c r="P2754" s="50"/>
      <c r="Q2754" s="50"/>
      <c r="R2754" s="42" t="s">
        <v>1017</v>
      </c>
      <c r="T2754" s="50"/>
      <c r="U2754" s="50"/>
      <c r="W2754" s="50"/>
      <c r="Y2754" t="s">
        <v>1017</v>
      </c>
      <c r="Z2754" s="50"/>
      <c r="AA2754" s="38"/>
      <c r="AB2754" t="s">
        <v>1017</v>
      </c>
      <c r="AD2754" s="38"/>
    </row>
    <row r="2755" spans="1:30" x14ac:dyDescent="0.35">
      <c r="A2755" s="497" t="s">
        <v>3813</v>
      </c>
      <c r="B2755" s="13" t="s">
        <v>5547</v>
      </c>
      <c r="C2755" s="13" t="s">
        <v>2385</v>
      </c>
      <c r="D2755" s="13" t="s">
        <v>5566</v>
      </c>
      <c r="E2755" s="13" t="s">
        <v>4811</v>
      </c>
      <c r="F2755" s="373">
        <v>23.94</v>
      </c>
      <c r="G2755" s="430">
        <v>23.94</v>
      </c>
      <c r="H2755" s="399">
        <f t="shared" si="1059"/>
        <v>19.149999999999999</v>
      </c>
      <c r="I2755" s="576"/>
      <c r="J2755" s="549" t="s">
        <v>5804</v>
      </c>
      <c r="K2755" s="11"/>
      <c r="L2755" s="55" t="str">
        <f t="shared" si="1060"/>
        <v/>
      </c>
      <c r="M2755" s="37">
        <f t="shared" si="1061"/>
        <v>23.94</v>
      </c>
      <c r="N2755" s="29">
        <f t="shared" si="1062"/>
        <v>9.09</v>
      </c>
      <c r="O2755" s="31" t="s">
        <v>1017</v>
      </c>
      <c r="P2755" s="50"/>
      <c r="Q2755" s="50"/>
      <c r="R2755" s="42" t="s">
        <v>1017</v>
      </c>
      <c r="T2755" s="50"/>
      <c r="U2755" s="50"/>
      <c r="W2755" s="50"/>
      <c r="Y2755" t="s">
        <v>1017</v>
      </c>
      <c r="Z2755" s="50"/>
      <c r="AA2755" s="38"/>
      <c r="AB2755" t="s">
        <v>1017</v>
      </c>
      <c r="AD2755" s="38"/>
    </row>
    <row r="2756" spans="1:30" x14ac:dyDescent="0.35">
      <c r="A2756" s="497" t="s">
        <v>3814</v>
      </c>
      <c r="B2756" s="13" t="s">
        <v>5547</v>
      </c>
      <c r="C2756" s="13" t="s">
        <v>2385</v>
      </c>
      <c r="D2756" s="13" t="s">
        <v>4390</v>
      </c>
      <c r="E2756" s="13" t="s">
        <v>4809</v>
      </c>
      <c r="F2756" s="373">
        <v>18.989999999999998</v>
      </c>
      <c r="G2756" s="430">
        <v>18.989999999999998</v>
      </c>
      <c r="H2756" s="399">
        <f t="shared" si="1059"/>
        <v>15.19</v>
      </c>
      <c r="I2756" s="576"/>
      <c r="J2756" s="549" t="s">
        <v>5804</v>
      </c>
      <c r="K2756" s="11"/>
      <c r="L2756" s="55" t="str">
        <f t="shared" si="1060"/>
        <v/>
      </c>
      <c r="M2756" s="37">
        <f t="shared" si="1061"/>
        <v>18.990000000000002</v>
      </c>
      <c r="N2756" s="29">
        <f t="shared" si="1062"/>
        <v>9.09</v>
      </c>
      <c r="O2756" s="31"/>
      <c r="P2756" s="50"/>
      <c r="Q2756" s="50"/>
      <c r="R2756" s="42"/>
      <c r="T2756" s="50"/>
      <c r="U2756" s="50"/>
      <c r="W2756" s="50"/>
      <c r="X2756" t="s">
        <v>1017</v>
      </c>
      <c r="Z2756" s="50"/>
      <c r="AA2756" s="38"/>
      <c r="AB2756" t="s">
        <v>1017</v>
      </c>
      <c r="AD2756" s="38"/>
    </row>
    <row r="2757" spans="1:30" x14ac:dyDescent="0.35">
      <c r="A2757" s="497" t="s">
        <v>3815</v>
      </c>
      <c r="B2757" s="13" t="s">
        <v>5547</v>
      </c>
      <c r="C2757" s="13" t="s">
        <v>2385</v>
      </c>
      <c r="D2757" s="13" t="s">
        <v>2921</v>
      </c>
      <c r="E2757" s="13" t="s">
        <v>4811</v>
      </c>
      <c r="F2757" s="373">
        <v>21.96</v>
      </c>
      <c r="G2757" s="430">
        <v>21.96</v>
      </c>
      <c r="H2757" s="399">
        <f t="shared" si="1059"/>
        <v>17.57</v>
      </c>
      <c r="I2757" s="576"/>
      <c r="J2757" s="549" t="s">
        <v>5804</v>
      </c>
      <c r="K2757" s="11"/>
      <c r="L2757" s="55" t="str">
        <f t="shared" si="1060"/>
        <v/>
      </c>
      <c r="M2757" s="37">
        <f t="shared" si="1061"/>
        <v>21.96</v>
      </c>
      <c r="N2757" s="29">
        <f t="shared" si="1062"/>
        <v>9.09</v>
      </c>
      <c r="O2757" s="31" t="s">
        <v>1017</v>
      </c>
      <c r="P2757" s="50"/>
      <c r="Q2757" s="50"/>
      <c r="R2757" s="42"/>
      <c r="T2757" s="50"/>
      <c r="U2757" s="50"/>
      <c r="W2757" s="50"/>
      <c r="X2757" t="s">
        <v>1017</v>
      </c>
      <c r="Z2757" s="50"/>
      <c r="AA2757" s="38"/>
      <c r="AB2757" t="s">
        <v>1017</v>
      </c>
      <c r="AD2757" s="38"/>
    </row>
    <row r="2758" spans="1:30" x14ac:dyDescent="0.35">
      <c r="A2758" s="497" t="s">
        <v>3816</v>
      </c>
      <c r="B2758" s="13" t="s">
        <v>5547</v>
      </c>
      <c r="C2758" s="13" t="s">
        <v>2385</v>
      </c>
      <c r="D2758" s="13" t="s">
        <v>4391</v>
      </c>
      <c r="E2758" s="13" t="s">
        <v>4809</v>
      </c>
      <c r="F2758" s="373">
        <v>19.98</v>
      </c>
      <c r="G2758" s="430">
        <v>19.98</v>
      </c>
      <c r="H2758" s="399">
        <f t="shared" si="1059"/>
        <v>15.98</v>
      </c>
      <c r="I2758" s="576"/>
      <c r="J2758" s="549" t="s">
        <v>5804</v>
      </c>
      <c r="K2758" s="11"/>
      <c r="L2758" s="55" t="str">
        <f t="shared" si="1060"/>
        <v/>
      </c>
      <c r="M2758" s="37">
        <f t="shared" si="1061"/>
        <v>19.98</v>
      </c>
      <c r="N2758" s="29">
        <f t="shared" si="1062"/>
        <v>9.09</v>
      </c>
      <c r="O2758" s="31"/>
      <c r="P2758" s="50"/>
      <c r="Q2758" s="50"/>
      <c r="R2758" s="42" t="s">
        <v>1017</v>
      </c>
      <c r="T2758" s="50"/>
      <c r="U2758" s="50"/>
      <c r="W2758" s="50"/>
      <c r="X2758" t="s">
        <v>1017</v>
      </c>
      <c r="Z2758" s="50"/>
      <c r="AA2758" s="38"/>
      <c r="AB2758" t="s">
        <v>1017</v>
      </c>
      <c r="AD2758" s="38"/>
    </row>
    <row r="2759" spans="1:30" x14ac:dyDescent="0.35">
      <c r="A2759" s="497" t="s">
        <v>3817</v>
      </c>
      <c r="B2759" s="13" t="s">
        <v>5547</v>
      </c>
      <c r="C2759" s="13" t="s">
        <v>2385</v>
      </c>
      <c r="D2759" s="13" t="s">
        <v>2922</v>
      </c>
      <c r="E2759" s="13" t="s">
        <v>4811</v>
      </c>
      <c r="F2759" s="373">
        <v>22.95</v>
      </c>
      <c r="G2759" s="430">
        <v>22.95</v>
      </c>
      <c r="H2759" s="399">
        <f t="shared" si="1059"/>
        <v>18.36</v>
      </c>
      <c r="I2759" s="576"/>
      <c r="J2759" s="549" t="s">
        <v>5804</v>
      </c>
      <c r="K2759" s="11"/>
      <c r="L2759" s="55" t="str">
        <f t="shared" si="1060"/>
        <v/>
      </c>
      <c r="M2759" s="37">
        <f t="shared" si="1061"/>
        <v>22.95</v>
      </c>
      <c r="N2759" s="29">
        <f t="shared" si="1062"/>
        <v>9.09</v>
      </c>
      <c r="O2759" s="31" t="s">
        <v>1017</v>
      </c>
      <c r="P2759" s="50"/>
      <c r="Q2759" s="50"/>
      <c r="R2759" s="42" t="s">
        <v>1017</v>
      </c>
      <c r="T2759" s="50"/>
      <c r="U2759" s="50"/>
      <c r="W2759" s="50"/>
      <c r="X2759" t="s">
        <v>1017</v>
      </c>
      <c r="Z2759" s="50"/>
      <c r="AA2759" s="38"/>
      <c r="AB2759" t="s">
        <v>1017</v>
      </c>
      <c r="AD2759" s="38"/>
    </row>
    <row r="2760" spans="1:30" x14ac:dyDescent="0.35">
      <c r="A2760" s="497" t="s">
        <v>3818</v>
      </c>
      <c r="B2760" s="13" t="s">
        <v>5547</v>
      </c>
      <c r="C2760" s="13" t="s">
        <v>2385</v>
      </c>
      <c r="D2760" s="13" t="s">
        <v>2120</v>
      </c>
      <c r="E2760" s="13" t="s">
        <v>4809</v>
      </c>
      <c r="F2760" s="373">
        <v>20.97</v>
      </c>
      <c r="G2760" s="430">
        <v>20.97</v>
      </c>
      <c r="H2760" s="399">
        <f t="shared" si="1059"/>
        <v>16.78</v>
      </c>
      <c r="I2760" s="576"/>
      <c r="J2760" s="549" t="s">
        <v>5804</v>
      </c>
      <c r="K2760" s="11"/>
      <c r="L2760" s="55" t="str">
        <f t="shared" si="1060"/>
        <v/>
      </c>
      <c r="M2760" s="37">
        <f t="shared" si="1061"/>
        <v>20.97</v>
      </c>
      <c r="N2760" s="29">
        <f t="shared" si="1062"/>
        <v>9.09</v>
      </c>
      <c r="O2760" s="31"/>
      <c r="P2760" s="50"/>
      <c r="Q2760" s="50"/>
      <c r="R2760" s="42"/>
      <c r="T2760" s="50"/>
      <c r="U2760" s="50"/>
      <c r="W2760" s="50"/>
      <c r="Z2760" s="50"/>
      <c r="AA2760" s="38" t="s">
        <v>1017</v>
      </c>
      <c r="AB2760" t="s">
        <v>1017</v>
      </c>
      <c r="AD2760" s="38"/>
    </row>
    <row r="2761" spans="1:30" x14ac:dyDescent="0.35">
      <c r="A2761" s="497" t="s">
        <v>3819</v>
      </c>
      <c r="B2761" s="13" t="s">
        <v>5547</v>
      </c>
      <c r="C2761" s="13" t="s">
        <v>2385</v>
      </c>
      <c r="D2761" s="13" t="s">
        <v>5564</v>
      </c>
      <c r="E2761" s="13" t="s">
        <v>4811</v>
      </c>
      <c r="F2761" s="373">
        <v>23.94</v>
      </c>
      <c r="G2761" s="430">
        <v>23.94</v>
      </c>
      <c r="H2761" s="399">
        <f t="shared" si="1059"/>
        <v>19.149999999999999</v>
      </c>
      <c r="I2761" s="576"/>
      <c r="J2761" s="549" t="s">
        <v>5804</v>
      </c>
      <c r="K2761" s="11"/>
      <c r="L2761" s="55" t="str">
        <f t="shared" si="1060"/>
        <v/>
      </c>
      <c r="M2761" s="37">
        <f t="shared" si="1061"/>
        <v>23.94</v>
      </c>
      <c r="N2761" s="29">
        <f t="shared" si="1062"/>
        <v>9.09</v>
      </c>
      <c r="O2761" s="31" t="s">
        <v>1017</v>
      </c>
      <c r="P2761" s="50"/>
      <c r="Q2761" s="50"/>
      <c r="R2761" s="42"/>
      <c r="T2761" s="50"/>
      <c r="U2761" s="50"/>
      <c r="W2761" s="50"/>
      <c r="Z2761" s="50"/>
      <c r="AA2761" s="38" t="s">
        <v>1017</v>
      </c>
      <c r="AB2761" t="s">
        <v>1017</v>
      </c>
      <c r="AD2761" s="38"/>
    </row>
    <row r="2762" spans="1:30" x14ac:dyDescent="0.35">
      <c r="A2762" s="497" t="s">
        <v>3820</v>
      </c>
      <c r="B2762" s="13" t="s">
        <v>5547</v>
      </c>
      <c r="C2762" s="13" t="s">
        <v>2385</v>
      </c>
      <c r="D2762" s="13" t="s">
        <v>2121</v>
      </c>
      <c r="E2762" s="13" t="s">
        <v>4809</v>
      </c>
      <c r="F2762" s="373">
        <v>21.96</v>
      </c>
      <c r="G2762" s="430">
        <v>21.96</v>
      </c>
      <c r="H2762" s="399">
        <f t="shared" si="1059"/>
        <v>17.57</v>
      </c>
      <c r="I2762" s="576"/>
      <c r="J2762" s="549" t="s">
        <v>5804</v>
      </c>
      <c r="K2762" s="11"/>
      <c r="L2762" s="55" t="str">
        <f t="shared" si="1060"/>
        <v/>
      </c>
      <c r="M2762" s="37">
        <f t="shared" si="1061"/>
        <v>21.96</v>
      </c>
      <c r="N2762" s="29">
        <f t="shared" si="1062"/>
        <v>9.09</v>
      </c>
      <c r="O2762" s="31"/>
      <c r="P2762" s="50"/>
      <c r="Q2762" s="50"/>
      <c r="R2762" s="42" t="s">
        <v>1017</v>
      </c>
      <c r="T2762" s="50"/>
      <c r="U2762" s="50"/>
      <c r="W2762" s="50"/>
      <c r="Z2762" s="50"/>
      <c r="AA2762" s="38" t="s">
        <v>1017</v>
      </c>
      <c r="AB2762" t="s">
        <v>1017</v>
      </c>
      <c r="AD2762" s="38"/>
    </row>
    <row r="2763" spans="1:30" x14ac:dyDescent="0.35">
      <c r="A2763" s="497" t="s">
        <v>3821</v>
      </c>
      <c r="B2763" s="13" t="s">
        <v>5547</v>
      </c>
      <c r="C2763" s="13" t="s">
        <v>2385</v>
      </c>
      <c r="D2763" s="13" t="s">
        <v>5567</v>
      </c>
      <c r="E2763" s="13" t="s">
        <v>4811</v>
      </c>
      <c r="F2763" s="373">
        <v>24.93</v>
      </c>
      <c r="G2763" s="430">
        <v>24.93</v>
      </c>
      <c r="H2763" s="399">
        <f t="shared" si="1059"/>
        <v>19.940000000000001</v>
      </c>
      <c r="I2763" s="576"/>
      <c r="J2763" s="549" t="s">
        <v>5804</v>
      </c>
      <c r="K2763" s="11"/>
      <c r="L2763" s="55" t="str">
        <f t="shared" si="1060"/>
        <v/>
      </c>
      <c r="M2763" s="37">
        <f t="shared" si="1061"/>
        <v>24.93</v>
      </c>
      <c r="N2763" s="29">
        <f t="shared" si="1062"/>
        <v>9.09</v>
      </c>
      <c r="O2763" s="31" t="s">
        <v>1017</v>
      </c>
      <c r="P2763" s="50"/>
      <c r="Q2763" s="50"/>
      <c r="R2763" s="42" t="s">
        <v>1017</v>
      </c>
      <c r="T2763" s="50"/>
      <c r="U2763" s="50"/>
      <c r="W2763" s="50"/>
      <c r="Z2763" s="50"/>
      <c r="AA2763" s="38" t="s">
        <v>1017</v>
      </c>
      <c r="AB2763" t="s">
        <v>1017</v>
      </c>
      <c r="AD2763" s="38"/>
    </row>
    <row r="2764" spans="1:30" x14ac:dyDescent="0.35">
      <c r="A2764" s="497" t="s">
        <v>3822</v>
      </c>
      <c r="B2764" s="13" t="s">
        <v>5547</v>
      </c>
      <c r="C2764" s="13" t="s">
        <v>2385</v>
      </c>
      <c r="D2764" s="13" t="s">
        <v>593</v>
      </c>
      <c r="E2764" s="13" t="s">
        <v>4809</v>
      </c>
      <c r="F2764" s="373">
        <v>10.08</v>
      </c>
      <c r="G2764" s="430">
        <v>10.08</v>
      </c>
      <c r="H2764" s="399">
        <f t="shared" si="1059"/>
        <v>8.06</v>
      </c>
      <c r="I2764" s="576"/>
      <c r="J2764" s="549" t="s">
        <v>5804</v>
      </c>
      <c r="K2764" s="11"/>
      <c r="L2764" s="55" t="str">
        <f t="shared" si="1060"/>
        <v/>
      </c>
      <c r="M2764" s="37">
        <f t="shared" si="1061"/>
        <v>10.08</v>
      </c>
      <c r="N2764" s="29">
        <f t="shared" si="1062"/>
        <v>9.09</v>
      </c>
      <c r="O2764" s="31"/>
      <c r="P2764" s="50"/>
      <c r="Q2764" s="50"/>
      <c r="R2764" s="42"/>
      <c r="T2764" s="50"/>
      <c r="U2764" s="50"/>
      <c r="W2764" s="50"/>
      <c r="Z2764" s="50"/>
      <c r="AA2764" s="38"/>
      <c r="AC2764" t="s">
        <v>1017</v>
      </c>
      <c r="AD2764" s="38"/>
    </row>
    <row r="2765" spans="1:30" x14ac:dyDescent="0.35">
      <c r="A2765" s="497" t="s">
        <v>3823</v>
      </c>
      <c r="B2765" s="13" t="s">
        <v>5547</v>
      </c>
      <c r="C2765" s="13" t="s">
        <v>2385</v>
      </c>
      <c r="D2765" s="13" t="s">
        <v>3196</v>
      </c>
      <c r="E2765" s="13" t="s">
        <v>4811</v>
      </c>
      <c r="F2765" s="373">
        <v>13.05</v>
      </c>
      <c r="G2765" s="430">
        <v>13.05</v>
      </c>
      <c r="H2765" s="399">
        <f t="shared" si="1059"/>
        <v>10.44</v>
      </c>
      <c r="I2765" s="576"/>
      <c r="J2765" s="549" t="s">
        <v>5804</v>
      </c>
      <c r="K2765" s="11"/>
      <c r="L2765" s="55" t="str">
        <f t="shared" si="1060"/>
        <v/>
      </c>
      <c r="M2765" s="37">
        <f t="shared" si="1061"/>
        <v>13.05</v>
      </c>
      <c r="N2765" s="29">
        <f t="shared" si="1062"/>
        <v>9.09</v>
      </c>
      <c r="O2765" s="31" t="s">
        <v>1017</v>
      </c>
      <c r="P2765" s="50"/>
      <c r="Q2765" s="50"/>
      <c r="R2765" s="42"/>
      <c r="T2765" s="50"/>
      <c r="U2765" s="50"/>
      <c r="W2765" s="50"/>
      <c r="Z2765" s="50"/>
      <c r="AA2765" s="38"/>
      <c r="AC2765" t="s">
        <v>1017</v>
      </c>
      <c r="AD2765" s="38"/>
    </row>
    <row r="2766" spans="1:30" x14ac:dyDescent="0.35">
      <c r="A2766" s="497" t="s">
        <v>3824</v>
      </c>
      <c r="B2766" s="13" t="s">
        <v>5547</v>
      </c>
      <c r="C2766" s="13" t="s">
        <v>2385</v>
      </c>
      <c r="D2766" s="13" t="s">
        <v>644</v>
      </c>
      <c r="E2766" s="13" t="s">
        <v>4809</v>
      </c>
      <c r="F2766" s="373">
        <v>11.07</v>
      </c>
      <c r="G2766" s="430">
        <v>11.07</v>
      </c>
      <c r="H2766" s="399">
        <f t="shared" si="1059"/>
        <v>8.86</v>
      </c>
      <c r="I2766" s="576"/>
      <c r="J2766" s="549" t="s">
        <v>5804</v>
      </c>
      <c r="K2766" s="11"/>
      <c r="L2766" s="55" t="str">
        <f t="shared" si="1060"/>
        <v/>
      </c>
      <c r="M2766" s="37">
        <f t="shared" si="1061"/>
        <v>11.07</v>
      </c>
      <c r="N2766" s="29">
        <f t="shared" si="1062"/>
        <v>9.09</v>
      </c>
      <c r="O2766" s="31"/>
      <c r="P2766" s="50"/>
      <c r="Q2766" s="50"/>
      <c r="R2766" s="42" t="s">
        <v>1017</v>
      </c>
      <c r="T2766" s="50"/>
      <c r="U2766" s="50"/>
      <c r="W2766" s="50"/>
      <c r="Z2766" s="50"/>
      <c r="AA2766" s="38"/>
      <c r="AC2766" t="s">
        <v>1017</v>
      </c>
      <c r="AD2766" s="38"/>
    </row>
    <row r="2767" spans="1:30" x14ac:dyDescent="0.35">
      <c r="A2767" s="497" t="s">
        <v>3825</v>
      </c>
      <c r="B2767" s="13" t="s">
        <v>5547</v>
      </c>
      <c r="C2767" s="13" t="s">
        <v>2385</v>
      </c>
      <c r="D2767" s="13" t="s">
        <v>2136</v>
      </c>
      <c r="E2767" s="13" t="s">
        <v>4811</v>
      </c>
      <c r="F2767" s="373">
        <v>14.04</v>
      </c>
      <c r="G2767" s="430">
        <v>14.04</v>
      </c>
      <c r="H2767" s="399">
        <f t="shared" si="1059"/>
        <v>11.23</v>
      </c>
      <c r="I2767" s="576"/>
      <c r="J2767" s="549" t="s">
        <v>5804</v>
      </c>
      <c r="K2767" s="11"/>
      <c r="L2767" s="55" t="str">
        <f t="shared" si="1060"/>
        <v/>
      </c>
      <c r="M2767" s="37">
        <f t="shared" si="1061"/>
        <v>14.04</v>
      </c>
      <c r="N2767" s="29">
        <f t="shared" si="1062"/>
        <v>9.09</v>
      </c>
      <c r="O2767" s="31" t="s">
        <v>1017</v>
      </c>
      <c r="P2767" s="50"/>
      <c r="Q2767" s="50"/>
      <c r="R2767" s="42" t="s">
        <v>1017</v>
      </c>
      <c r="T2767" s="50"/>
      <c r="U2767" s="50"/>
      <c r="W2767" s="50"/>
      <c r="Z2767" s="50"/>
      <c r="AA2767" s="38"/>
      <c r="AC2767" t="s">
        <v>1017</v>
      </c>
      <c r="AD2767" s="38"/>
    </row>
    <row r="2768" spans="1:30" x14ac:dyDescent="0.35">
      <c r="A2768" s="497" t="s">
        <v>3826</v>
      </c>
      <c r="B2768" s="13" t="s">
        <v>5547</v>
      </c>
      <c r="C2768" s="13" t="s">
        <v>2385</v>
      </c>
      <c r="D2768" s="13" t="s">
        <v>3292</v>
      </c>
      <c r="E2768" s="13" t="s">
        <v>4809</v>
      </c>
      <c r="F2768" s="373">
        <v>16.02</v>
      </c>
      <c r="G2768" s="430">
        <v>16.02</v>
      </c>
      <c r="H2768" s="399">
        <f t="shared" si="1059"/>
        <v>12.82</v>
      </c>
      <c r="I2768" s="576"/>
      <c r="J2768" s="549" t="s">
        <v>5804</v>
      </c>
      <c r="K2768" s="11"/>
      <c r="L2768" s="55" t="str">
        <f t="shared" si="1060"/>
        <v/>
      </c>
      <c r="M2768" s="37">
        <f t="shared" si="1061"/>
        <v>16.02</v>
      </c>
      <c r="N2768" s="29">
        <f t="shared" si="1062"/>
        <v>9.09</v>
      </c>
      <c r="O2768" s="31"/>
      <c r="P2768" s="50"/>
      <c r="Q2768" s="50"/>
      <c r="R2768" s="42"/>
      <c r="S2768" t="s">
        <v>1017</v>
      </c>
      <c r="T2768" s="50"/>
      <c r="U2768" s="50"/>
      <c r="W2768" s="50"/>
      <c r="Z2768" s="50"/>
      <c r="AA2768" s="38"/>
      <c r="AC2768" t="s">
        <v>1017</v>
      </c>
      <c r="AD2768" s="38"/>
    </row>
    <row r="2769" spans="1:30" x14ac:dyDescent="0.35">
      <c r="A2769" s="497" t="s">
        <v>3827</v>
      </c>
      <c r="B2769" s="13" t="s">
        <v>5547</v>
      </c>
      <c r="C2769" s="13" t="s">
        <v>2385</v>
      </c>
      <c r="D2769" s="13" t="s">
        <v>5568</v>
      </c>
      <c r="E2769" s="13" t="s">
        <v>4811</v>
      </c>
      <c r="F2769" s="373">
        <v>18.989999999999998</v>
      </c>
      <c r="G2769" s="430">
        <v>18.989999999999998</v>
      </c>
      <c r="H2769" s="399">
        <f t="shared" si="1059"/>
        <v>15.19</v>
      </c>
      <c r="I2769" s="576"/>
      <c r="J2769" s="549" t="s">
        <v>5804</v>
      </c>
      <c r="K2769" s="11"/>
      <c r="L2769" s="55" t="str">
        <f t="shared" si="1060"/>
        <v/>
      </c>
      <c r="M2769" s="37">
        <f t="shared" si="1061"/>
        <v>18.990000000000002</v>
      </c>
      <c r="N2769" s="29">
        <f t="shared" si="1062"/>
        <v>9.09</v>
      </c>
      <c r="O2769" s="31" t="s">
        <v>1017</v>
      </c>
      <c r="P2769" s="50"/>
      <c r="Q2769" s="50"/>
      <c r="R2769" s="42"/>
      <c r="S2769" t="s">
        <v>1017</v>
      </c>
      <c r="T2769" s="50"/>
      <c r="U2769" s="50"/>
      <c r="W2769" s="50"/>
      <c r="Z2769" s="50"/>
      <c r="AA2769" s="38"/>
      <c r="AC2769" t="s">
        <v>1017</v>
      </c>
      <c r="AD2769" s="38"/>
    </row>
    <row r="2770" spans="1:30" x14ac:dyDescent="0.35">
      <c r="A2770" s="497" t="s">
        <v>3828</v>
      </c>
      <c r="B2770" s="13" t="s">
        <v>5547</v>
      </c>
      <c r="C2770" s="13" t="s">
        <v>2385</v>
      </c>
      <c r="D2770" s="13" t="s">
        <v>2116</v>
      </c>
      <c r="E2770" s="13" t="s">
        <v>4809</v>
      </c>
      <c r="F2770" s="373">
        <v>17.010000000000002</v>
      </c>
      <c r="G2770" s="430">
        <v>17.010000000000002</v>
      </c>
      <c r="H2770" s="399">
        <f t="shared" si="1059"/>
        <v>13.61</v>
      </c>
      <c r="I2770" s="576"/>
      <c r="J2770" s="549" t="s">
        <v>5804</v>
      </c>
      <c r="K2770" s="11"/>
      <c r="L2770" s="55" t="str">
        <f t="shared" si="1060"/>
        <v/>
      </c>
      <c r="M2770" s="37">
        <f t="shared" si="1061"/>
        <v>17.010000000000002</v>
      </c>
      <c r="N2770" s="29">
        <f t="shared" si="1062"/>
        <v>9.09</v>
      </c>
      <c r="O2770" s="31"/>
      <c r="P2770" s="50"/>
      <c r="Q2770" s="50"/>
      <c r="R2770" s="42" t="s">
        <v>1017</v>
      </c>
      <c r="S2770" t="s">
        <v>1017</v>
      </c>
      <c r="T2770" s="50"/>
      <c r="U2770" s="50"/>
      <c r="W2770" s="50"/>
      <c r="Z2770" s="50"/>
      <c r="AA2770" s="38"/>
      <c r="AC2770" t="s">
        <v>1017</v>
      </c>
      <c r="AD2770" s="38"/>
    </row>
    <row r="2771" spans="1:30" x14ac:dyDescent="0.35">
      <c r="A2771" s="497" t="s">
        <v>3829</v>
      </c>
      <c r="B2771" s="13" t="s">
        <v>5547</v>
      </c>
      <c r="C2771" s="13" t="s">
        <v>2385</v>
      </c>
      <c r="D2771" s="13" t="s">
        <v>2117</v>
      </c>
      <c r="E2771" s="13" t="s">
        <v>4811</v>
      </c>
      <c r="F2771" s="373">
        <v>19.98</v>
      </c>
      <c r="G2771" s="430">
        <v>19.98</v>
      </c>
      <c r="H2771" s="399">
        <f t="shared" si="1059"/>
        <v>15.98</v>
      </c>
      <c r="I2771" s="576"/>
      <c r="J2771" s="549" t="s">
        <v>5804</v>
      </c>
      <c r="K2771" s="11"/>
      <c r="L2771" s="55" t="str">
        <f t="shared" si="1060"/>
        <v/>
      </c>
      <c r="M2771" s="37">
        <f t="shared" si="1061"/>
        <v>19.98</v>
      </c>
      <c r="N2771" s="29">
        <f t="shared" si="1062"/>
        <v>9.09</v>
      </c>
      <c r="O2771" s="31" t="s">
        <v>1017</v>
      </c>
      <c r="P2771" s="50"/>
      <c r="Q2771" s="50"/>
      <c r="R2771" s="42" t="s">
        <v>1017</v>
      </c>
      <c r="S2771" t="s">
        <v>1017</v>
      </c>
      <c r="T2771" s="50"/>
      <c r="U2771" s="50"/>
      <c r="W2771" s="50"/>
      <c r="Z2771" s="50"/>
      <c r="AA2771" s="38"/>
      <c r="AC2771" t="s">
        <v>1017</v>
      </c>
      <c r="AD2771" s="38"/>
    </row>
    <row r="2772" spans="1:30" x14ac:dyDescent="0.35">
      <c r="A2772" s="497" t="s">
        <v>3830</v>
      </c>
      <c r="B2772" s="13" t="s">
        <v>5547</v>
      </c>
      <c r="C2772" s="13" t="s">
        <v>2385</v>
      </c>
      <c r="D2772" s="13" t="s">
        <v>848</v>
      </c>
      <c r="E2772" s="13" t="s">
        <v>4809</v>
      </c>
      <c r="F2772" s="373">
        <v>17.010000000000002</v>
      </c>
      <c r="G2772" s="430">
        <v>17.010000000000002</v>
      </c>
      <c r="H2772" s="399">
        <f t="shared" si="1059"/>
        <v>13.61</v>
      </c>
      <c r="I2772" s="576"/>
      <c r="J2772" s="549" t="s">
        <v>5804</v>
      </c>
      <c r="K2772" s="11"/>
      <c r="L2772" s="55" t="str">
        <f t="shared" si="1060"/>
        <v/>
      </c>
      <c r="M2772" s="37">
        <f t="shared" si="1061"/>
        <v>17.009999999999998</v>
      </c>
      <c r="N2772" s="29">
        <f t="shared" si="1062"/>
        <v>9.09</v>
      </c>
      <c r="O2772" s="31"/>
      <c r="P2772" s="50"/>
      <c r="Q2772" s="50"/>
      <c r="R2772" s="42"/>
      <c r="T2772" s="50"/>
      <c r="U2772" s="50"/>
      <c r="V2772" t="s">
        <v>1017</v>
      </c>
      <c r="W2772" s="50"/>
      <c r="Z2772" s="50"/>
      <c r="AA2772" s="38"/>
      <c r="AC2772" t="s">
        <v>1017</v>
      </c>
      <c r="AD2772" s="38"/>
    </row>
    <row r="2773" spans="1:30" x14ac:dyDescent="0.35">
      <c r="A2773" s="497" t="s">
        <v>3831</v>
      </c>
      <c r="B2773" s="13" t="s">
        <v>5547</v>
      </c>
      <c r="C2773" s="13" t="s">
        <v>2385</v>
      </c>
      <c r="D2773" s="13" t="s">
        <v>2647</v>
      </c>
      <c r="E2773" s="13" t="s">
        <v>4811</v>
      </c>
      <c r="F2773" s="373">
        <v>19.98</v>
      </c>
      <c r="G2773" s="430">
        <v>19.98</v>
      </c>
      <c r="H2773" s="399">
        <f t="shared" si="1059"/>
        <v>15.98</v>
      </c>
      <c r="I2773" s="576"/>
      <c r="J2773" s="549" t="s">
        <v>5804</v>
      </c>
      <c r="K2773" s="11"/>
      <c r="L2773" s="55" t="str">
        <f t="shared" si="1060"/>
        <v/>
      </c>
      <c r="M2773" s="37">
        <f t="shared" si="1061"/>
        <v>19.98</v>
      </c>
      <c r="N2773" s="29">
        <f t="shared" si="1062"/>
        <v>9.09</v>
      </c>
      <c r="O2773" s="31" t="s">
        <v>1017</v>
      </c>
      <c r="P2773" s="50"/>
      <c r="Q2773" s="50"/>
      <c r="R2773" s="42"/>
      <c r="T2773" s="50"/>
      <c r="U2773" s="50"/>
      <c r="V2773" t="s">
        <v>1017</v>
      </c>
      <c r="W2773" s="50"/>
      <c r="Z2773" s="50"/>
      <c r="AA2773" s="38"/>
      <c r="AC2773" t="s">
        <v>1017</v>
      </c>
      <c r="AD2773" s="38"/>
    </row>
    <row r="2774" spans="1:30" x14ac:dyDescent="0.35">
      <c r="A2774" s="497" t="s">
        <v>3832</v>
      </c>
      <c r="B2774" s="13" t="s">
        <v>5547</v>
      </c>
      <c r="C2774" s="13" t="s">
        <v>2385</v>
      </c>
      <c r="D2774" s="13" t="s">
        <v>849</v>
      </c>
      <c r="E2774" s="13" t="s">
        <v>4809</v>
      </c>
      <c r="F2774" s="373">
        <v>18</v>
      </c>
      <c r="G2774" s="430">
        <v>18</v>
      </c>
      <c r="H2774" s="399">
        <f t="shared" si="1059"/>
        <v>14.4</v>
      </c>
      <c r="I2774" s="576"/>
      <c r="J2774" s="549" t="s">
        <v>5804</v>
      </c>
      <c r="K2774" s="11"/>
      <c r="L2774" s="55" t="str">
        <f t="shared" si="1060"/>
        <v/>
      </c>
      <c r="M2774" s="37">
        <f t="shared" si="1061"/>
        <v>18</v>
      </c>
      <c r="N2774" s="29">
        <f t="shared" si="1062"/>
        <v>9.09</v>
      </c>
      <c r="O2774" s="31"/>
      <c r="P2774" s="50"/>
      <c r="Q2774" s="50"/>
      <c r="R2774" s="42" t="s">
        <v>1017</v>
      </c>
      <c r="T2774" s="50"/>
      <c r="U2774" s="50"/>
      <c r="V2774" t="s">
        <v>1017</v>
      </c>
      <c r="W2774" s="50"/>
      <c r="Z2774" s="50"/>
      <c r="AA2774" s="38"/>
      <c r="AC2774" t="s">
        <v>1017</v>
      </c>
      <c r="AD2774" s="38"/>
    </row>
    <row r="2775" spans="1:30" x14ac:dyDescent="0.35">
      <c r="A2775" s="497" t="s">
        <v>3833</v>
      </c>
      <c r="B2775" s="13" t="s">
        <v>5547</v>
      </c>
      <c r="C2775" s="13" t="s">
        <v>2385</v>
      </c>
      <c r="D2775" s="13" t="s">
        <v>2650</v>
      </c>
      <c r="E2775" s="13" t="s">
        <v>4811</v>
      </c>
      <c r="F2775" s="373">
        <v>20.97</v>
      </c>
      <c r="G2775" s="430">
        <v>20.97</v>
      </c>
      <c r="H2775" s="399">
        <f t="shared" si="1059"/>
        <v>16.78</v>
      </c>
      <c r="I2775" s="576"/>
      <c r="J2775" s="549" t="s">
        <v>5804</v>
      </c>
      <c r="K2775" s="11"/>
      <c r="L2775" s="55" t="str">
        <f t="shared" si="1060"/>
        <v/>
      </c>
      <c r="M2775" s="37">
        <f t="shared" si="1061"/>
        <v>20.97</v>
      </c>
      <c r="N2775" s="29">
        <f t="shared" si="1062"/>
        <v>9.09</v>
      </c>
      <c r="O2775" s="31" t="s">
        <v>1017</v>
      </c>
      <c r="P2775" s="50"/>
      <c r="Q2775" s="50"/>
      <c r="R2775" s="42" t="s">
        <v>1017</v>
      </c>
      <c r="T2775" s="50"/>
      <c r="U2775" s="50"/>
      <c r="V2775" t="s">
        <v>1017</v>
      </c>
      <c r="W2775" s="50"/>
      <c r="Z2775" s="50"/>
      <c r="AA2775" s="38"/>
      <c r="AC2775" t="s">
        <v>1017</v>
      </c>
      <c r="AD2775" s="38"/>
    </row>
    <row r="2776" spans="1:30" x14ac:dyDescent="0.35">
      <c r="A2776" s="497" t="s">
        <v>3834</v>
      </c>
      <c r="B2776" s="13" t="s">
        <v>5547</v>
      </c>
      <c r="C2776" s="13" t="s">
        <v>2385</v>
      </c>
      <c r="D2776" s="13" t="s">
        <v>787</v>
      </c>
      <c r="E2776" s="13" t="s">
        <v>4809</v>
      </c>
      <c r="F2776" s="373">
        <v>18.989999999999998</v>
      </c>
      <c r="G2776" s="430">
        <v>18.989999999999998</v>
      </c>
      <c r="H2776" s="399">
        <f t="shared" si="1059"/>
        <v>15.19</v>
      </c>
      <c r="I2776" s="576"/>
      <c r="J2776" s="549" t="s">
        <v>5804</v>
      </c>
      <c r="K2776" s="11"/>
      <c r="L2776" s="55" t="str">
        <f t="shared" si="1060"/>
        <v/>
      </c>
      <c r="M2776" s="37">
        <f t="shared" si="1061"/>
        <v>18.990000000000002</v>
      </c>
      <c r="N2776" s="29">
        <f t="shared" si="1062"/>
        <v>9.09</v>
      </c>
      <c r="O2776" s="31"/>
      <c r="P2776" s="50"/>
      <c r="Q2776" s="50"/>
      <c r="R2776" s="42"/>
      <c r="T2776" s="50"/>
      <c r="U2776" s="50"/>
      <c r="W2776" s="50"/>
      <c r="Y2776" t="s">
        <v>1017</v>
      </c>
      <c r="Z2776" s="50"/>
      <c r="AA2776" s="38"/>
      <c r="AC2776" t="s">
        <v>1017</v>
      </c>
      <c r="AD2776" s="38"/>
    </row>
    <row r="2777" spans="1:30" x14ac:dyDescent="0.35">
      <c r="A2777" s="497" t="s">
        <v>3835</v>
      </c>
      <c r="B2777" s="13" t="s">
        <v>5547</v>
      </c>
      <c r="C2777" s="13" t="s">
        <v>2385</v>
      </c>
      <c r="D2777" s="13" t="s">
        <v>2648</v>
      </c>
      <c r="E2777" s="13" t="s">
        <v>4811</v>
      </c>
      <c r="F2777" s="373">
        <v>21.96</v>
      </c>
      <c r="G2777" s="430">
        <v>21.96</v>
      </c>
      <c r="H2777" s="399">
        <f t="shared" si="1059"/>
        <v>17.57</v>
      </c>
      <c r="I2777" s="576"/>
      <c r="J2777" s="549" t="s">
        <v>5804</v>
      </c>
      <c r="K2777" s="11"/>
      <c r="L2777" s="55" t="str">
        <f t="shared" si="1060"/>
        <v/>
      </c>
      <c r="M2777" s="37">
        <f t="shared" si="1061"/>
        <v>21.96</v>
      </c>
      <c r="N2777" s="29">
        <f t="shared" si="1062"/>
        <v>9.09</v>
      </c>
      <c r="O2777" s="31" t="s">
        <v>1017</v>
      </c>
      <c r="P2777" s="50"/>
      <c r="Q2777" s="50"/>
      <c r="R2777" s="42"/>
      <c r="T2777" s="50"/>
      <c r="U2777" s="50"/>
      <c r="W2777" s="50"/>
      <c r="Y2777" t="s">
        <v>1017</v>
      </c>
      <c r="Z2777" s="50"/>
      <c r="AA2777" s="38"/>
      <c r="AC2777" t="s">
        <v>1017</v>
      </c>
      <c r="AD2777" s="38"/>
    </row>
    <row r="2778" spans="1:30" x14ac:dyDescent="0.35">
      <c r="A2778" s="497" t="s">
        <v>3836</v>
      </c>
      <c r="B2778" s="13" t="s">
        <v>5547</v>
      </c>
      <c r="C2778" s="13" t="s">
        <v>2385</v>
      </c>
      <c r="D2778" s="13" t="s">
        <v>788</v>
      </c>
      <c r="E2778" s="13" t="s">
        <v>4809</v>
      </c>
      <c r="F2778" s="373">
        <v>19.98</v>
      </c>
      <c r="G2778" s="430">
        <v>19.98</v>
      </c>
      <c r="H2778" s="399">
        <f t="shared" si="1059"/>
        <v>15.98</v>
      </c>
      <c r="I2778" s="576"/>
      <c r="J2778" s="549" t="s">
        <v>5804</v>
      </c>
      <c r="K2778" s="11"/>
      <c r="L2778" s="55" t="str">
        <f t="shared" si="1060"/>
        <v/>
      </c>
      <c r="M2778" s="37">
        <f t="shared" si="1061"/>
        <v>19.98</v>
      </c>
      <c r="N2778" s="29">
        <f t="shared" si="1062"/>
        <v>9.09</v>
      </c>
      <c r="O2778" s="31"/>
      <c r="P2778" s="50"/>
      <c r="Q2778" s="50"/>
      <c r="R2778" s="42" t="s">
        <v>1017</v>
      </c>
      <c r="T2778" s="50"/>
      <c r="U2778" s="50"/>
      <c r="W2778" s="50"/>
      <c r="Y2778" t="s">
        <v>1017</v>
      </c>
      <c r="Z2778" s="50"/>
      <c r="AA2778" s="38"/>
      <c r="AC2778" t="s">
        <v>1017</v>
      </c>
      <c r="AD2778" s="38"/>
    </row>
    <row r="2779" spans="1:30" x14ac:dyDescent="0.35">
      <c r="A2779" s="497" t="s">
        <v>3837</v>
      </c>
      <c r="B2779" s="13" t="s">
        <v>5547</v>
      </c>
      <c r="C2779" s="13" t="s">
        <v>2385</v>
      </c>
      <c r="D2779" s="13" t="s">
        <v>2651</v>
      </c>
      <c r="E2779" s="13" t="s">
        <v>4811</v>
      </c>
      <c r="F2779" s="373">
        <v>22.95</v>
      </c>
      <c r="G2779" s="430">
        <v>22.95</v>
      </c>
      <c r="H2779" s="399">
        <f t="shared" si="1059"/>
        <v>18.36</v>
      </c>
      <c r="I2779" s="576"/>
      <c r="J2779" s="549" t="s">
        <v>5804</v>
      </c>
      <c r="K2779" s="11"/>
      <c r="L2779" s="55" t="str">
        <f t="shared" si="1060"/>
        <v/>
      </c>
      <c r="M2779" s="37">
        <f t="shared" si="1061"/>
        <v>22.950000000000003</v>
      </c>
      <c r="N2779" s="29">
        <f t="shared" si="1062"/>
        <v>9.09</v>
      </c>
      <c r="O2779" s="31" t="s">
        <v>1017</v>
      </c>
      <c r="P2779" s="50"/>
      <c r="Q2779" s="50"/>
      <c r="R2779" s="42" t="s">
        <v>1017</v>
      </c>
      <c r="T2779" s="50"/>
      <c r="U2779" s="50"/>
      <c r="W2779" s="50"/>
      <c r="Y2779" t="s">
        <v>1017</v>
      </c>
      <c r="Z2779" s="50"/>
      <c r="AA2779" s="38"/>
      <c r="AC2779" t="s">
        <v>1017</v>
      </c>
      <c r="AD2779" s="38"/>
    </row>
    <row r="2780" spans="1:30" x14ac:dyDescent="0.35">
      <c r="A2780" s="497" t="s">
        <v>3838</v>
      </c>
      <c r="B2780" s="13" t="s">
        <v>5547</v>
      </c>
      <c r="C2780" s="13" t="s">
        <v>2385</v>
      </c>
      <c r="D2780" s="13" t="s">
        <v>4392</v>
      </c>
      <c r="E2780" s="13" t="s">
        <v>4809</v>
      </c>
      <c r="F2780" s="373">
        <v>18</v>
      </c>
      <c r="G2780" s="430">
        <v>18</v>
      </c>
      <c r="H2780" s="399">
        <f t="shared" si="1059"/>
        <v>14.4</v>
      </c>
      <c r="I2780" s="576"/>
      <c r="J2780" s="549" t="s">
        <v>5804</v>
      </c>
      <c r="K2780" s="11"/>
      <c r="L2780" s="55" t="str">
        <f t="shared" si="1060"/>
        <v/>
      </c>
      <c r="M2780" s="37">
        <f t="shared" si="1061"/>
        <v>18</v>
      </c>
      <c r="N2780" s="29">
        <f t="shared" si="1062"/>
        <v>9.09</v>
      </c>
      <c r="O2780" s="31"/>
      <c r="P2780" s="50"/>
      <c r="Q2780" s="50"/>
      <c r="R2780" s="42"/>
      <c r="T2780" s="50"/>
      <c r="U2780" s="50"/>
      <c r="W2780" s="50"/>
      <c r="X2780" t="s">
        <v>1017</v>
      </c>
      <c r="Z2780" s="50"/>
      <c r="AA2780" s="38"/>
      <c r="AC2780" t="s">
        <v>1017</v>
      </c>
      <c r="AD2780" s="38"/>
    </row>
    <row r="2781" spans="1:30" x14ac:dyDescent="0.35">
      <c r="A2781" s="497" t="s">
        <v>3839</v>
      </c>
      <c r="B2781" s="13" t="s">
        <v>5547</v>
      </c>
      <c r="C2781" s="13" t="s">
        <v>2385</v>
      </c>
      <c r="D2781" s="13" t="s">
        <v>5570</v>
      </c>
      <c r="E2781" s="13" t="s">
        <v>4811</v>
      </c>
      <c r="F2781" s="373">
        <v>20.97</v>
      </c>
      <c r="G2781" s="430">
        <v>20.97</v>
      </c>
      <c r="H2781" s="399">
        <f t="shared" si="1059"/>
        <v>16.78</v>
      </c>
      <c r="I2781" s="576"/>
      <c r="J2781" s="549" t="s">
        <v>5804</v>
      </c>
      <c r="K2781" s="11"/>
      <c r="L2781" s="55" t="str">
        <f t="shared" si="1060"/>
        <v/>
      </c>
      <c r="M2781" s="37">
        <f t="shared" si="1061"/>
        <v>20.97</v>
      </c>
      <c r="N2781" s="29">
        <f t="shared" si="1062"/>
        <v>9.09</v>
      </c>
      <c r="O2781" s="31" t="s">
        <v>1017</v>
      </c>
      <c r="P2781" s="50"/>
      <c r="Q2781" s="50"/>
      <c r="R2781" s="42"/>
      <c r="T2781" s="50"/>
      <c r="U2781" s="50"/>
      <c r="W2781" s="50"/>
      <c r="X2781" t="s">
        <v>1017</v>
      </c>
      <c r="Z2781" s="50"/>
      <c r="AA2781" s="38"/>
      <c r="AC2781" t="s">
        <v>1017</v>
      </c>
      <c r="AD2781" s="38"/>
    </row>
    <row r="2782" spans="1:30" x14ac:dyDescent="0.35">
      <c r="A2782" s="497" t="s">
        <v>3840</v>
      </c>
      <c r="B2782" s="13" t="s">
        <v>5547</v>
      </c>
      <c r="C2782" s="13" t="s">
        <v>2385</v>
      </c>
      <c r="D2782" s="17" t="s">
        <v>675</v>
      </c>
      <c r="E2782" s="13" t="s">
        <v>4809</v>
      </c>
      <c r="F2782" s="373">
        <v>18.989999999999998</v>
      </c>
      <c r="G2782" s="430">
        <v>18.989999999999998</v>
      </c>
      <c r="H2782" s="399">
        <f t="shared" si="1059"/>
        <v>15.19</v>
      </c>
      <c r="I2782" s="576"/>
      <c r="J2782" s="549" t="s">
        <v>5804</v>
      </c>
      <c r="K2782" s="11"/>
      <c r="L2782" s="55" t="str">
        <f t="shared" si="1060"/>
        <v/>
      </c>
      <c r="M2782" s="37">
        <f t="shared" si="1061"/>
        <v>18.990000000000002</v>
      </c>
      <c r="N2782" s="29">
        <f t="shared" si="1062"/>
        <v>9.09</v>
      </c>
      <c r="O2782" s="31"/>
      <c r="P2782" s="50"/>
      <c r="Q2782" s="50"/>
      <c r="R2782" s="42" t="s">
        <v>1017</v>
      </c>
      <c r="T2782" s="50"/>
      <c r="U2782" s="50"/>
      <c r="W2782" s="50"/>
      <c r="X2782" t="s">
        <v>1017</v>
      </c>
      <c r="Z2782" s="50"/>
      <c r="AA2782" s="38"/>
      <c r="AC2782" t="s">
        <v>1017</v>
      </c>
      <c r="AD2782" s="38"/>
    </row>
    <row r="2783" spans="1:30" x14ac:dyDescent="0.35">
      <c r="A2783" s="497" t="s">
        <v>3841</v>
      </c>
      <c r="B2783" s="13" t="s">
        <v>5547</v>
      </c>
      <c r="C2783" s="13" t="s">
        <v>2385</v>
      </c>
      <c r="D2783" s="17" t="s">
        <v>676</v>
      </c>
      <c r="E2783" s="13" t="s">
        <v>4811</v>
      </c>
      <c r="F2783" s="373">
        <v>21.96</v>
      </c>
      <c r="G2783" s="430">
        <v>21.96</v>
      </c>
      <c r="H2783" s="399">
        <f t="shared" si="1059"/>
        <v>17.57</v>
      </c>
      <c r="I2783" s="576"/>
      <c r="J2783" s="549" t="s">
        <v>5804</v>
      </c>
      <c r="K2783" s="11"/>
      <c r="L2783" s="55" t="str">
        <f t="shared" si="1060"/>
        <v/>
      </c>
      <c r="M2783" s="37">
        <f t="shared" si="1061"/>
        <v>21.96</v>
      </c>
      <c r="N2783" s="29">
        <f t="shared" si="1062"/>
        <v>9.09</v>
      </c>
      <c r="O2783" s="31" t="s">
        <v>1017</v>
      </c>
      <c r="P2783" s="50"/>
      <c r="Q2783" s="50"/>
      <c r="R2783" s="42" t="s">
        <v>1017</v>
      </c>
      <c r="T2783" s="50"/>
      <c r="U2783" s="50"/>
      <c r="W2783" s="50"/>
      <c r="X2783" t="s">
        <v>1017</v>
      </c>
      <c r="Z2783" s="50"/>
      <c r="AA2783" s="38"/>
      <c r="AC2783" t="s">
        <v>1017</v>
      </c>
      <c r="AD2783" s="38"/>
    </row>
    <row r="2784" spans="1:30" x14ac:dyDescent="0.35">
      <c r="A2784" s="497" t="s">
        <v>3842</v>
      </c>
      <c r="B2784" s="13" t="s">
        <v>5547</v>
      </c>
      <c r="C2784" s="13" t="s">
        <v>2385</v>
      </c>
      <c r="D2784" s="13" t="s">
        <v>2122</v>
      </c>
      <c r="E2784" s="13" t="s">
        <v>4809</v>
      </c>
      <c r="F2784" s="373">
        <v>19.98</v>
      </c>
      <c r="G2784" s="430">
        <v>19.98</v>
      </c>
      <c r="H2784" s="399">
        <f t="shared" si="1059"/>
        <v>15.98</v>
      </c>
      <c r="I2784" s="576"/>
      <c r="J2784" s="549" t="s">
        <v>5804</v>
      </c>
      <c r="K2784" s="11"/>
      <c r="L2784" s="55" t="str">
        <f t="shared" si="1060"/>
        <v/>
      </c>
      <c r="M2784" s="37">
        <f t="shared" si="1061"/>
        <v>19.98</v>
      </c>
      <c r="N2784" s="29">
        <f t="shared" si="1062"/>
        <v>9.09</v>
      </c>
      <c r="O2784" s="31"/>
      <c r="P2784" s="50"/>
      <c r="Q2784" s="50"/>
      <c r="R2784" s="42"/>
      <c r="T2784" s="50"/>
      <c r="U2784" s="50"/>
      <c r="W2784" s="50"/>
      <c r="Z2784" s="50"/>
      <c r="AA2784" s="38" t="s">
        <v>1017</v>
      </c>
      <c r="AC2784" t="s">
        <v>1017</v>
      </c>
      <c r="AD2784" s="38"/>
    </row>
    <row r="2785" spans="1:30" x14ac:dyDescent="0.35">
      <c r="A2785" s="497" t="s">
        <v>3843</v>
      </c>
      <c r="B2785" s="13" t="s">
        <v>5547</v>
      </c>
      <c r="C2785" s="13" t="s">
        <v>2385</v>
      </c>
      <c r="D2785" s="13" t="s">
        <v>2649</v>
      </c>
      <c r="E2785" s="13" t="s">
        <v>4811</v>
      </c>
      <c r="F2785" s="373">
        <v>22.95</v>
      </c>
      <c r="G2785" s="430">
        <v>22.95</v>
      </c>
      <c r="H2785" s="399">
        <f t="shared" si="1059"/>
        <v>18.36</v>
      </c>
      <c r="I2785" s="576"/>
      <c r="J2785" s="549" t="s">
        <v>5804</v>
      </c>
      <c r="K2785" s="11"/>
      <c r="L2785" s="55" t="str">
        <f t="shared" si="1060"/>
        <v/>
      </c>
      <c r="M2785" s="37">
        <f t="shared" si="1061"/>
        <v>22.950000000000003</v>
      </c>
      <c r="N2785" s="29">
        <f t="shared" si="1062"/>
        <v>9.09</v>
      </c>
      <c r="O2785" s="31" t="s">
        <v>1017</v>
      </c>
      <c r="P2785" s="50"/>
      <c r="Q2785" s="50"/>
      <c r="R2785" s="42"/>
      <c r="T2785" s="50"/>
      <c r="U2785" s="50"/>
      <c r="W2785" s="50"/>
      <c r="Z2785" s="50"/>
      <c r="AA2785" s="38" t="s">
        <v>1017</v>
      </c>
      <c r="AC2785" t="s">
        <v>1017</v>
      </c>
      <c r="AD2785" s="38"/>
    </row>
    <row r="2786" spans="1:30" x14ac:dyDescent="0.35">
      <c r="A2786" s="497" t="s">
        <v>3844</v>
      </c>
      <c r="B2786" s="13" t="s">
        <v>5547</v>
      </c>
      <c r="C2786" s="13" t="s">
        <v>2385</v>
      </c>
      <c r="D2786" s="13" t="s">
        <v>2123</v>
      </c>
      <c r="E2786" s="13" t="s">
        <v>4809</v>
      </c>
      <c r="F2786" s="373">
        <v>20.97</v>
      </c>
      <c r="G2786" s="430">
        <v>20.97</v>
      </c>
      <c r="H2786" s="399">
        <f t="shared" si="1059"/>
        <v>16.78</v>
      </c>
      <c r="I2786" s="576"/>
      <c r="J2786" s="549" t="s">
        <v>5804</v>
      </c>
      <c r="K2786" s="11"/>
      <c r="L2786" s="55" t="str">
        <f t="shared" si="1060"/>
        <v/>
      </c>
      <c r="M2786" s="37">
        <f t="shared" si="1061"/>
        <v>20.97</v>
      </c>
      <c r="N2786" s="29">
        <f t="shared" si="1062"/>
        <v>9.09</v>
      </c>
      <c r="O2786" s="31"/>
      <c r="P2786" s="50"/>
      <c r="Q2786" s="50"/>
      <c r="R2786" s="42" t="s">
        <v>1017</v>
      </c>
      <c r="T2786" s="50"/>
      <c r="U2786" s="50"/>
      <c r="W2786" s="50"/>
      <c r="Z2786" s="50"/>
      <c r="AA2786" s="38" t="s">
        <v>1017</v>
      </c>
      <c r="AC2786" t="s">
        <v>1017</v>
      </c>
      <c r="AD2786" s="38"/>
    </row>
    <row r="2787" spans="1:30" x14ac:dyDescent="0.35">
      <c r="A2787" s="497" t="s">
        <v>3845</v>
      </c>
      <c r="B2787" s="13" t="s">
        <v>5547</v>
      </c>
      <c r="C2787" s="13" t="s">
        <v>2385</v>
      </c>
      <c r="D2787" s="13" t="s">
        <v>2652</v>
      </c>
      <c r="E2787" s="13" t="s">
        <v>4811</v>
      </c>
      <c r="F2787" s="373">
        <v>23.94</v>
      </c>
      <c r="G2787" s="430">
        <v>23.94</v>
      </c>
      <c r="H2787" s="399">
        <f t="shared" si="1059"/>
        <v>19.149999999999999</v>
      </c>
      <c r="I2787" s="576"/>
      <c r="J2787" s="549" t="s">
        <v>5804</v>
      </c>
      <c r="K2787" s="11"/>
      <c r="L2787" s="55" t="str">
        <f t="shared" si="1060"/>
        <v/>
      </c>
      <c r="M2787" s="37">
        <f t="shared" si="1061"/>
        <v>23.939999999999998</v>
      </c>
      <c r="N2787" s="29">
        <f t="shared" si="1062"/>
        <v>9.09</v>
      </c>
      <c r="O2787" s="31" t="s">
        <v>1017</v>
      </c>
      <c r="P2787" s="50"/>
      <c r="Q2787" s="50"/>
      <c r="R2787" s="42" t="s">
        <v>1017</v>
      </c>
      <c r="T2787" s="50"/>
      <c r="U2787" s="50"/>
      <c r="W2787" s="50"/>
      <c r="Z2787" s="50"/>
      <c r="AA2787" s="38" t="s">
        <v>1017</v>
      </c>
      <c r="AC2787" t="s">
        <v>1017</v>
      </c>
      <c r="AD2787" s="38"/>
    </row>
    <row r="2788" spans="1:30" x14ac:dyDescent="0.35">
      <c r="A2788" s="497" t="s">
        <v>3846</v>
      </c>
      <c r="B2788" s="13" t="s">
        <v>5547</v>
      </c>
      <c r="C2788" s="13" t="s">
        <v>2385</v>
      </c>
      <c r="D2788" s="13" t="s">
        <v>595</v>
      </c>
      <c r="E2788" s="13" t="s">
        <v>4809</v>
      </c>
      <c r="F2788" s="373">
        <v>11.07</v>
      </c>
      <c r="G2788" s="430">
        <v>11.07</v>
      </c>
      <c r="H2788" s="399">
        <f t="shared" si="1059"/>
        <v>8.86</v>
      </c>
      <c r="I2788" s="576"/>
      <c r="J2788" s="549" t="s">
        <v>5804</v>
      </c>
      <c r="K2788" s="11"/>
      <c r="L2788" s="55" t="str">
        <f t="shared" si="1060"/>
        <v/>
      </c>
      <c r="M2788" s="37">
        <f t="shared" si="1061"/>
        <v>11.07</v>
      </c>
      <c r="N2788" s="29">
        <f t="shared" si="1062"/>
        <v>9.09</v>
      </c>
      <c r="O2788" s="31"/>
      <c r="P2788" s="50"/>
      <c r="Q2788" s="50"/>
      <c r="R2788" s="42"/>
      <c r="T2788" s="50"/>
      <c r="U2788" s="50"/>
      <c r="W2788" s="50"/>
      <c r="Z2788" s="50"/>
      <c r="AA2788" s="38"/>
      <c r="AD2788" s="38" t="s">
        <v>1017</v>
      </c>
    </row>
    <row r="2789" spans="1:30" x14ac:dyDescent="0.35">
      <c r="A2789" s="497" t="s">
        <v>3847</v>
      </c>
      <c r="B2789" s="13" t="s">
        <v>5547</v>
      </c>
      <c r="C2789" s="13" t="s">
        <v>2385</v>
      </c>
      <c r="D2789" s="13" t="s">
        <v>3198</v>
      </c>
      <c r="E2789" s="13" t="s">
        <v>4811</v>
      </c>
      <c r="F2789" s="373">
        <v>14.04</v>
      </c>
      <c r="G2789" s="430">
        <v>14.04</v>
      </c>
      <c r="H2789" s="399">
        <f t="shared" si="1059"/>
        <v>11.23</v>
      </c>
      <c r="I2789" s="576"/>
      <c r="J2789" s="549" t="s">
        <v>5804</v>
      </c>
      <c r="K2789" s="11"/>
      <c r="L2789" s="55" t="str">
        <f t="shared" si="1060"/>
        <v/>
      </c>
      <c r="M2789" s="37">
        <f t="shared" si="1061"/>
        <v>14.04</v>
      </c>
      <c r="N2789" s="29">
        <f t="shared" si="1062"/>
        <v>9.09</v>
      </c>
      <c r="O2789" s="31" t="s">
        <v>1017</v>
      </c>
      <c r="P2789" s="50"/>
      <c r="Q2789" s="50"/>
      <c r="R2789" s="42"/>
      <c r="T2789" s="50"/>
      <c r="U2789" s="50"/>
      <c r="W2789" s="50"/>
      <c r="Z2789" s="50"/>
      <c r="AA2789" s="38"/>
      <c r="AD2789" s="38" t="s">
        <v>1017</v>
      </c>
    </row>
    <row r="2790" spans="1:30" x14ac:dyDescent="0.35">
      <c r="A2790" s="497" t="s">
        <v>3848</v>
      </c>
      <c r="B2790" s="13" t="s">
        <v>5547</v>
      </c>
      <c r="C2790" s="13" t="s">
        <v>2385</v>
      </c>
      <c r="D2790" s="13" t="s">
        <v>2139</v>
      </c>
      <c r="E2790" s="13" t="s">
        <v>4809</v>
      </c>
      <c r="F2790" s="373">
        <v>12.06</v>
      </c>
      <c r="G2790" s="430">
        <v>12.06</v>
      </c>
      <c r="H2790" s="399">
        <f t="shared" si="1059"/>
        <v>9.65</v>
      </c>
      <c r="I2790" s="576"/>
      <c r="J2790" s="549" t="s">
        <v>5804</v>
      </c>
      <c r="K2790" s="11"/>
      <c r="L2790" s="55" t="str">
        <f t="shared" si="1060"/>
        <v/>
      </c>
      <c r="M2790" s="37">
        <f t="shared" si="1061"/>
        <v>12.059999999999999</v>
      </c>
      <c r="N2790" s="29">
        <f t="shared" si="1062"/>
        <v>9.09</v>
      </c>
      <c r="O2790" s="31"/>
      <c r="P2790" s="50"/>
      <c r="Q2790" s="50"/>
      <c r="R2790" s="42" t="s">
        <v>1017</v>
      </c>
      <c r="T2790" s="50"/>
      <c r="U2790" s="50"/>
      <c r="W2790" s="50"/>
      <c r="Z2790" s="50"/>
      <c r="AA2790" s="38"/>
      <c r="AD2790" s="38" t="s">
        <v>1017</v>
      </c>
    </row>
    <row r="2791" spans="1:30" x14ac:dyDescent="0.35">
      <c r="A2791" s="497" t="s">
        <v>3849</v>
      </c>
      <c r="B2791" s="13" t="s">
        <v>5547</v>
      </c>
      <c r="C2791" s="13" t="s">
        <v>2385</v>
      </c>
      <c r="D2791" s="13" t="s">
        <v>2140</v>
      </c>
      <c r="E2791" s="13" t="s">
        <v>4811</v>
      </c>
      <c r="F2791" s="373">
        <v>15.03</v>
      </c>
      <c r="G2791" s="430">
        <v>15.03</v>
      </c>
      <c r="H2791" s="399">
        <f t="shared" si="1059"/>
        <v>12.02</v>
      </c>
      <c r="I2791" s="576"/>
      <c r="J2791" s="549" t="s">
        <v>5804</v>
      </c>
      <c r="K2791" s="11"/>
      <c r="L2791" s="55" t="str">
        <f t="shared" si="1060"/>
        <v/>
      </c>
      <c r="M2791" s="37">
        <f t="shared" si="1061"/>
        <v>15.03</v>
      </c>
      <c r="N2791" s="29">
        <f t="shared" si="1062"/>
        <v>9.09</v>
      </c>
      <c r="O2791" s="31" t="s">
        <v>1017</v>
      </c>
      <c r="P2791" s="50"/>
      <c r="Q2791" s="50"/>
      <c r="R2791" s="42" t="s">
        <v>1017</v>
      </c>
      <c r="T2791" s="50"/>
      <c r="U2791" s="50"/>
      <c r="W2791" s="50"/>
      <c r="Z2791" s="50"/>
      <c r="AA2791" s="38"/>
      <c r="AD2791" s="38" t="s">
        <v>1017</v>
      </c>
    </row>
    <row r="2792" spans="1:30" x14ac:dyDescent="0.35">
      <c r="A2792" s="497" t="s">
        <v>3850</v>
      </c>
      <c r="B2792" s="13" t="s">
        <v>5547</v>
      </c>
      <c r="C2792" s="13" t="s">
        <v>2385</v>
      </c>
      <c r="D2792" s="13" t="s">
        <v>850</v>
      </c>
      <c r="E2792" s="13" t="s">
        <v>4809</v>
      </c>
      <c r="F2792" s="373">
        <v>17.010000000000002</v>
      </c>
      <c r="G2792" s="430">
        <v>17.010000000000002</v>
      </c>
      <c r="H2792" s="399">
        <f t="shared" si="1059"/>
        <v>13.61</v>
      </c>
      <c r="I2792" s="576"/>
      <c r="J2792" s="549" t="s">
        <v>5804</v>
      </c>
      <c r="K2792" s="11"/>
      <c r="L2792" s="55" t="str">
        <f t="shared" si="1060"/>
        <v/>
      </c>
      <c r="M2792" s="37">
        <f t="shared" si="1061"/>
        <v>17.009999999999998</v>
      </c>
      <c r="N2792" s="29">
        <f t="shared" si="1062"/>
        <v>9.09</v>
      </c>
      <c r="O2792" s="31"/>
      <c r="P2792" s="50"/>
      <c r="Q2792" s="50"/>
      <c r="R2792" s="42"/>
      <c r="S2792" t="s">
        <v>1017</v>
      </c>
      <c r="T2792" s="50"/>
      <c r="U2792" s="50"/>
      <c r="W2792" s="50"/>
      <c r="Z2792" s="50"/>
      <c r="AA2792" s="38"/>
      <c r="AD2792" s="38" t="s">
        <v>1017</v>
      </c>
    </row>
    <row r="2793" spans="1:30" x14ac:dyDescent="0.35">
      <c r="A2793" s="497" t="s">
        <v>3851</v>
      </c>
      <c r="B2793" s="13" t="s">
        <v>5547</v>
      </c>
      <c r="C2793" s="13" t="s">
        <v>2385</v>
      </c>
      <c r="D2793" s="13" t="s">
        <v>2653</v>
      </c>
      <c r="E2793" s="13" t="s">
        <v>4811</v>
      </c>
      <c r="F2793" s="373">
        <v>19.98</v>
      </c>
      <c r="G2793" s="430">
        <v>19.98</v>
      </c>
      <c r="H2793" s="399">
        <f t="shared" si="1059"/>
        <v>15.98</v>
      </c>
      <c r="I2793" s="576"/>
      <c r="J2793" s="549" t="s">
        <v>5804</v>
      </c>
      <c r="K2793" s="11"/>
      <c r="L2793" s="55" t="str">
        <f t="shared" si="1060"/>
        <v/>
      </c>
      <c r="M2793" s="37">
        <f t="shared" si="1061"/>
        <v>19.98</v>
      </c>
      <c r="N2793" s="29">
        <f t="shared" si="1062"/>
        <v>9.09</v>
      </c>
      <c r="O2793" s="31" t="s">
        <v>1017</v>
      </c>
      <c r="P2793" s="50"/>
      <c r="Q2793" s="50"/>
      <c r="R2793" s="42"/>
      <c r="S2793" t="s">
        <v>1017</v>
      </c>
      <c r="T2793" s="50"/>
      <c r="U2793" s="50"/>
      <c r="W2793" s="50"/>
      <c r="Z2793" s="50"/>
      <c r="AA2793" s="38"/>
      <c r="AD2793" s="38" t="s">
        <v>1017</v>
      </c>
    </row>
    <row r="2794" spans="1:30" x14ac:dyDescent="0.35">
      <c r="A2794" s="497" t="s">
        <v>3852</v>
      </c>
      <c r="B2794" s="13" t="s">
        <v>5547</v>
      </c>
      <c r="C2794" s="13" t="s">
        <v>2385</v>
      </c>
      <c r="D2794" s="13" t="s">
        <v>564</v>
      </c>
      <c r="E2794" s="13" t="s">
        <v>4809</v>
      </c>
      <c r="F2794" s="373">
        <v>18</v>
      </c>
      <c r="G2794" s="430">
        <v>18</v>
      </c>
      <c r="H2794" s="399">
        <f t="shared" si="1059"/>
        <v>14.4</v>
      </c>
      <c r="I2794" s="576"/>
      <c r="J2794" s="549" t="s">
        <v>5804</v>
      </c>
      <c r="K2794" s="11"/>
      <c r="L2794" s="55" t="str">
        <f t="shared" si="1060"/>
        <v/>
      </c>
      <c r="M2794" s="37">
        <f t="shared" si="1061"/>
        <v>18</v>
      </c>
      <c r="N2794" s="29">
        <f t="shared" si="1062"/>
        <v>9.09</v>
      </c>
      <c r="O2794" s="31"/>
      <c r="P2794" s="50"/>
      <c r="Q2794" s="50"/>
      <c r="R2794" s="42" t="s">
        <v>1017</v>
      </c>
      <c r="S2794" t="s">
        <v>1017</v>
      </c>
      <c r="T2794" s="50"/>
      <c r="U2794" s="50"/>
      <c r="W2794" s="50"/>
      <c r="Z2794" s="50"/>
      <c r="AA2794" s="38"/>
      <c r="AD2794" s="38" t="s">
        <v>1017</v>
      </c>
    </row>
    <row r="2795" spans="1:30" x14ac:dyDescent="0.35">
      <c r="A2795" s="497" t="s">
        <v>3853</v>
      </c>
      <c r="B2795" s="13" t="s">
        <v>5547</v>
      </c>
      <c r="C2795" s="13" t="s">
        <v>2385</v>
      </c>
      <c r="D2795" s="13" t="s">
        <v>565</v>
      </c>
      <c r="E2795" s="13" t="s">
        <v>4811</v>
      </c>
      <c r="F2795" s="373">
        <v>20.97</v>
      </c>
      <c r="G2795" s="430">
        <v>20.97</v>
      </c>
      <c r="H2795" s="399">
        <f t="shared" si="1059"/>
        <v>16.78</v>
      </c>
      <c r="I2795" s="576"/>
      <c r="J2795" s="549" t="s">
        <v>5804</v>
      </c>
      <c r="K2795" s="11"/>
      <c r="L2795" s="55" t="str">
        <f t="shared" si="1060"/>
        <v/>
      </c>
      <c r="M2795" s="37">
        <f t="shared" si="1061"/>
        <v>20.97</v>
      </c>
      <c r="N2795" s="29">
        <f t="shared" si="1062"/>
        <v>9.09</v>
      </c>
      <c r="O2795" s="31" t="s">
        <v>1017</v>
      </c>
      <c r="P2795" s="50"/>
      <c r="Q2795" s="50"/>
      <c r="R2795" s="42" t="s">
        <v>1017</v>
      </c>
      <c r="S2795" t="s">
        <v>1017</v>
      </c>
      <c r="T2795" s="50"/>
      <c r="U2795" s="50"/>
      <c r="W2795" s="50"/>
      <c r="Z2795" s="50"/>
      <c r="AA2795" s="38"/>
      <c r="AD2795" s="38" t="s">
        <v>1017</v>
      </c>
    </row>
    <row r="2796" spans="1:30" x14ac:dyDescent="0.35">
      <c r="A2796" s="497" t="s">
        <v>3854</v>
      </c>
      <c r="B2796" s="13" t="s">
        <v>5547</v>
      </c>
      <c r="C2796" s="13" t="s">
        <v>2385</v>
      </c>
      <c r="D2796" s="13" t="s">
        <v>852</v>
      </c>
      <c r="E2796" s="13" t="s">
        <v>4809</v>
      </c>
      <c r="F2796" s="373">
        <v>18</v>
      </c>
      <c r="G2796" s="430">
        <v>18</v>
      </c>
      <c r="H2796" s="399">
        <f t="shared" si="1059"/>
        <v>14.4</v>
      </c>
      <c r="I2796" s="576"/>
      <c r="J2796" s="549" t="s">
        <v>5804</v>
      </c>
      <c r="K2796" s="11"/>
      <c r="L2796" s="55" t="str">
        <f t="shared" si="1060"/>
        <v/>
      </c>
      <c r="M2796" s="37">
        <f t="shared" si="1061"/>
        <v>18</v>
      </c>
      <c r="N2796" s="29">
        <f t="shared" si="1062"/>
        <v>9.09</v>
      </c>
      <c r="O2796" s="31"/>
      <c r="P2796" s="50"/>
      <c r="Q2796" s="50"/>
      <c r="R2796" s="42"/>
      <c r="T2796" s="50"/>
      <c r="U2796" s="50"/>
      <c r="V2796" t="s">
        <v>1017</v>
      </c>
      <c r="W2796" s="50"/>
      <c r="Z2796" s="50"/>
      <c r="AA2796" s="38"/>
      <c r="AD2796" s="38" t="s">
        <v>1017</v>
      </c>
    </row>
    <row r="2797" spans="1:30" x14ac:dyDescent="0.35">
      <c r="A2797" s="497" t="s">
        <v>3855</v>
      </c>
      <c r="B2797" s="13" t="s">
        <v>5547</v>
      </c>
      <c r="C2797" s="13" t="s">
        <v>2385</v>
      </c>
      <c r="D2797" s="13" t="s">
        <v>846</v>
      </c>
      <c r="E2797" s="13" t="s">
        <v>4811</v>
      </c>
      <c r="F2797" s="373">
        <v>20.97</v>
      </c>
      <c r="G2797" s="430">
        <v>20.97</v>
      </c>
      <c r="H2797" s="399">
        <f t="shared" si="1059"/>
        <v>16.78</v>
      </c>
      <c r="I2797" s="576"/>
      <c r="J2797" s="549" t="s">
        <v>5804</v>
      </c>
      <c r="K2797" s="11"/>
      <c r="L2797" s="55" t="str">
        <f t="shared" si="1060"/>
        <v/>
      </c>
      <c r="M2797" s="37">
        <f t="shared" si="1061"/>
        <v>20.97</v>
      </c>
      <c r="N2797" s="29">
        <f t="shared" si="1062"/>
        <v>9.09</v>
      </c>
      <c r="O2797" s="31" t="s">
        <v>1017</v>
      </c>
      <c r="P2797" s="50"/>
      <c r="Q2797" s="50"/>
      <c r="R2797" s="42"/>
      <c r="T2797" s="50"/>
      <c r="U2797" s="50"/>
      <c r="V2797" t="s">
        <v>1017</v>
      </c>
      <c r="W2797" s="50"/>
      <c r="Z2797" s="50"/>
      <c r="AA2797" s="38"/>
      <c r="AD2797" s="38" t="s">
        <v>1017</v>
      </c>
    </row>
    <row r="2798" spans="1:30" x14ac:dyDescent="0.35">
      <c r="A2798" s="497" t="s">
        <v>3856</v>
      </c>
      <c r="B2798" s="13" t="s">
        <v>5547</v>
      </c>
      <c r="C2798" s="13" t="s">
        <v>2385</v>
      </c>
      <c r="D2798" s="13" t="s">
        <v>2593</v>
      </c>
      <c r="E2798" s="13" t="s">
        <v>4809</v>
      </c>
      <c r="F2798" s="373">
        <v>18.989999999999998</v>
      </c>
      <c r="G2798" s="430">
        <v>18.989999999999998</v>
      </c>
      <c r="H2798" s="399">
        <f t="shared" si="1059"/>
        <v>15.19</v>
      </c>
      <c r="I2798" s="576"/>
      <c r="J2798" s="549" t="s">
        <v>5804</v>
      </c>
      <c r="K2798" s="11"/>
      <c r="L2798" s="55" t="str">
        <f t="shared" si="1060"/>
        <v/>
      </c>
      <c r="M2798" s="37">
        <f t="shared" si="1061"/>
        <v>18.990000000000002</v>
      </c>
      <c r="N2798" s="29">
        <f t="shared" si="1062"/>
        <v>9.09</v>
      </c>
      <c r="O2798" s="31"/>
      <c r="P2798" s="50"/>
      <c r="Q2798" s="50"/>
      <c r="R2798" s="42" t="s">
        <v>1017</v>
      </c>
      <c r="T2798" s="50"/>
      <c r="U2798" s="50"/>
      <c r="V2798" t="s">
        <v>1017</v>
      </c>
      <c r="W2798" s="50"/>
      <c r="Z2798" s="50"/>
      <c r="AA2798" s="38"/>
      <c r="AD2798" s="38" t="s">
        <v>1017</v>
      </c>
    </row>
    <row r="2799" spans="1:30" x14ac:dyDescent="0.35">
      <c r="A2799" s="497" t="s">
        <v>3857</v>
      </c>
      <c r="B2799" s="13" t="s">
        <v>5547</v>
      </c>
      <c r="C2799" s="13" t="s">
        <v>2385</v>
      </c>
      <c r="D2799" s="13" t="s">
        <v>2723</v>
      </c>
      <c r="E2799" s="13" t="s">
        <v>4811</v>
      </c>
      <c r="F2799" s="373">
        <v>21.96</v>
      </c>
      <c r="G2799" s="430">
        <v>21.96</v>
      </c>
      <c r="H2799" s="399">
        <f t="shared" si="1059"/>
        <v>17.57</v>
      </c>
      <c r="I2799" s="576"/>
      <c r="J2799" s="549" t="s">
        <v>5804</v>
      </c>
      <c r="K2799" s="11"/>
      <c r="L2799" s="55" t="str">
        <f t="shared" si="1060"/>
        <v/>
      </c>
      <c r="M2799" s="37">
        <f t="shared" si="1061"/>
        <v>21.96</v>
      </c>
      <c r="N2799" s="29">
        <f t="shared" si="1062"/>
        <v>9.09</v>
      </c>
      <c r="O2799" s="31" t="s">
        <v>1017</v>
      </c>
      <c r="P2799" s="50"/>
      <c r="Q2799" s="50"/>
      <c r="R2799" s="42" t="s">
        <v>1017</v>
      </c>
      <c r="T2799" s="50"/>
      <c r="U2799" s="50"/>
      <c r="V2799" t="s">
        <v>1017</v>
      </c>
      <c r="W2799" s="50"/>
      <c r="Z2799" s="50"/>
      <c r="AA2799" s="38"/>
      <c r="AD2799" s="38" t="s">
        <v>1017</v>
      </c>
    </row>
    <row r="2800" spans="1:30" x14ac:dyDescent="0.35">
      <c r="A2800" s="497" t="s">
        <v>3858</v>
      </c>
      <c r="B2800" s="13" t="s">
        <v>5547</v>
      </c>
      <c r="C2800" s="13" t="s">
        <v>2385</v>
      </c>
      <c r="D2800" s="13" t="s">
        <v>789</v>
      </c>
      <c r="E2800" s="13" t="s">
        <v>4809</v>
      </c>
      <c r="F2800" s="373">
        <v>19.98</v>
      </c>
      <c r="G2800" s="430">
        <v>19.98</v>
      </c>
      <c r="H2800" s="399">
        <f t="shared" si="1059"/>
        <v>15.98</v>
      </c>
      <c r="I2800" s="576"/>
      <c r="J2800" s="549" t="s">
        <v>5804</v>
      </c>
      <c r="K2800" s="11"/>
      <c r="L2800" s="55" t="str">
        <f t="shared" si="1060"/>
        <v/>
      </c>
      <c r="M2800" s="37">
        <f t="shared" si="1061"/>
        <v>19.98</v>
      </c>
      <c r="N2800" s="29">
        <f t="shared" si="1062"/>
        <v>9.09</v>
      </c>
      <c r="O2800" s="31"/>
      <c r="P2800" s="50"/>
      <c r="Q2800" s="50"/>
      <c r="R2800" s="42"/>
      <c r="T2800" s="50"/>
      <c r="U2800" s="50"/>
      <c r="W2800" s="50"/>
      <c r="Y2800" t="s">
        <v>1017</v>
      </c>
      <c r="Z2800" s="50"/>
      <c r="AA2800" s="38"/>
      <c r="AD2800" s="38" t="s">
        <v>1017</v>
      </c>
    </row>
    <row r="2801" spans="1:30" x14ac:dyDescent="0.35">
      <c r="A2801" s="497" t="s">
        <v>3859</v>
      </c>
      <c r="B2801" s="13" t="s">
        <v>5547</v>
      </c>
      <c r="C2801" s="13" t="s">
        <v>2385</v>
      </c>
      <c r="D2801" s="13" t="s">
        <v>847</v>
      </c>
      <c r="E2801" s="13" t="s">
        <v>4811</v>
      </c>
      <c r="F2801" s="373">
        <v>22.95</v>
      </c>
      <c r="G2801" s="430">
        <v>22.95</v>
      </c>
      <c r="H2801" s="399">
        <f t="shared" si="1059"/>
        <v>18.36</v>
      </c>
      <c r="I2801" s="576"/>
      <c r="J2801" s="549" t="s">
        <v>5804</v>
      </c>
      <c r="K2801" s="11"/>
      <c r="L2801" s="55" t="str">
        <f t="shared" si="1060"/>
        <v/>
      </c>
      <c r="M2801" s="37">
        <f t="shared" si="1061"/>
        <v>22.950000000000003</v>
      </c>
      <c r="N2801" s="29">
        <f t="shared" si="1062"/>
        <v>9.09</v>
      </c>
      <c r="O2801" s="31" t="s">
        <v>1017</v>
      </c>
      <c r="P2801" s="50"/>
      <c r="Q2801" s="50"/>
      <c r="R2801" s="42"/>
      <c r="T2801" s="50"/>
      <c r="U2801" s="50"/>
      <c r="W2801" s="50"/>
      <c r="Y2801" t="s">
        <v>1017</v>
      </c>
      <c r="Z2801" s="50"/>
      <c r="AA2801" s="38"/>
      <c r="AD2801" s="38" t="s">
        <v>1017</v>
      </c>
    </row>
    <row r="2802" spans="1:30" x14ac:dyDescent="0.35">
      <c r="A2802" s="497" t="s">
        <v>3860</v>
      </c>
      <c r="B2802" s="13" t="s">
        <v>5547</v>
      </c>
      <c r="C2802" s="13" t="s">
        <v>2385</v>
      </c>
      <c r="D2802" s="13" t="s">
        <v>790</v>
      </c>
      <c r="E2802" s="13" t="s">
        <v>4809</v>
      </c>
      <c r="F2802" s="373">
        <v>20.97</v>
      </c>
      <c r="G2802" s="430">
        <v>20.97</v>
      </c>
      <c r="H2802" s="399">
        <f t="shared" si="1059"/>
        <v>16.78</v>
      </c>
      <c r="I2802" s="576"/>
      <c r="J2802" s="549" t="s">
        <v>5804</v>
      </c>
      <c r="K2802" s="11"/>
      <c r="L2802" s="55" t="str">
        <f t="shared" si="1060"/>
        <v/>
      </c>
      <c r="M2802" s="37">
        <f t="shared" si="1061"/>
        <v>20.97</v>
      </c>
      <c r="N2802" s="29">
        <f t="shared" si="1062"/>
        <v>9.09</v>
      </c>
      <c r="O2802" s="31"/>
      <c r="P2802" s="50"/>
      <c r="Q2802" s="50"/>
      <c r="R2802" s="42" t="s">
        <v>1017</v>
      </c>
      <c r="T2802" s="50"/>
      <c r="U2802" s="50"/>
      <c r="W2802" s="50"/>
      <c r="Y2802" t="s">
        <v>1017</v>
      </c>
      <c r="Z2802" s="50"/>
      <c r="AA2802" s="38"/>
      <c r="AD2802" s="38" t="s">
        <v>1017</v>
      </c>
    </row>
    <row r="2803" spans="1:30" x14ac:dyDescent="0.35">
      <c r="A2803" s="497" t="s">
        <v>1227</v>
      </c>
      <c r="B2803" s="13" t="s">
        <v>5547</v>
      </c>
      <c r="C2803" s="13" t="s">
        <v>2385</v>
      </c>
      <c r="D2803" s="13" t="s">
        <v>4382</v>
      </c>
      <c r="E2803" s="13" t="s">
        <v>4811</v>
      </c>
      <c r="F2803" s="373">
        <v>23.94</v>
      </c>
      <c r="G2803" s="430">
        <v>23.94</v>
      </c>
      <c r="H2803" s="399">
        <f t="shared" si="1059"/>
        <v>19.149999999999999</v>
      </c>
      <c r="I2803" s="576"/>
      <c r="J2803" s="549" t="s">
        <v>5804</v>
      </c>
      <c r="K2803" s="11"/>
      <c r="L2803" s="55" t="str">
        <f t="shared" si="1060"/>
        <v/>
      </c>
      <c r="M2803" s="37">
        <f t="shared" si="1061"/>
        <v>23.94</v>
      </c>
      <c r="N2803" s="29">
        <f t="shared" si="1062"/>
        <v>9.09</v>
      </c>
      <c r="O2803" s="31" t="s">
        <v>1017</v>
      </c>
      <c r="P2803" s="50"/>
      <c r="Q2803" s="50"/>
      <c r="R2803" s="42" t="s">
        <v>1017</v>
      </c>
      <c r="T2803" s="50"/>
      <c r="U2803" s="50"/>
      <c r="W2803" s="50"/>
      <c r="Y2803" t="s">
        <v>1017</v>
      </c>
      <c r="Z2803" s="50"/>
      <c r="AA2803" s="38"/>
      <c r="AD2803" s="38" t="s">
        <v>1017</v>
      </c>
    </row>
    <row r="2804" spans="1:30" x14ac:dyDescent="0.35">
      <c r="A2804" s="497" t="s">
        <v>1228</v>
      </c>
      <c r="B2804" s="13" t="s">
        <v>5547</v>
      </c>
      <c r="C2804" s="13" t="s">
        <v>2385</v>
      </c>
      <c r="D2804" s="13" t="s">
        <v>4393</v>
      </c>
      <c r="E2804" s="13" t="s">
        <v>4809</v>
      </c>
      <c r="F2804" s="373">
        <v>18.989999999999998</v>
      </c>
      <c r="G2804" s="430">
        <v>18.989999999999998</v>
      </c>
      <c r="H2804" s="399">
        <f t="shared" si="1059"/>
        <v>15.19</v>
      </c>
      <c r="I2804" s="576"/>
      <c r="J2804" s="549" t="s">
        <v>5804</v>
      </c>
      <c r="K2804" s="11"/>
      <c r="L2804" s="55" t="str">
        <f t="shared" si="1060"/>
        <v/>
      </c>
      <c r="M2804" s="37">
        <f t="shared" si="1061"/>
        <v>18.990000000000002</v>
      </c>
      <c r="N2804" s="29">
        <f t="shared" si="1062"/>
        <v>9.09</v>
      </c>
      <c r="O2804" s="31"/>
      <c r="P2804" s="50"/>
      <c r="Q2804" s="50"/>
      <c r="R2804" s="42"/>
      <c r="T2804" s="50"/>
      <c r="U2804" s="50"/>
      <c r="W2804" s="50"/>
      <c r="X2804" t="s">
        <v>1017</v>
      </c>
      <c r="Z2804" s="50"/>
      <c r="AA2804" s="38"/>
      <c r="AD2804" s="38" t="s">
        <v>1017</v>
      </c>
    </row>
    <row r="2805" spans="1:30" x14ac:dyDescent="0.35">
      <c r="A2805" s="497" t="s">
        <v>1229</v>
      </c>
      <c r="B2805" s="13" t="s">
        <v>5547</v>
      </c>
      <c r="C2805" s="13" t="s">
        <v>2385</v>
      </c>
      <c r="D2805" s="13" t="s">
        <v>5571</v>
      </c>
      <c r="E2805" s="13" t="s">
        <v>4811</v>
      </c>
      <c r="F2805" s="373">
        <v>21.96</v>
      </c>
      <c r="G2805" s="430">
        <v>21.96</v>
      </c>
      <c r="H2805" s="399">
        <f t="shared" si="1059"/>
        <v>17.57</v>
      </c>
      <c r="I2805" s="576"/>
      <c r="J2805" s="549" t="s">
        <v>5804</v>
      </c>
      <c r="K2805" s="11"/>
      <c r="L2805" s="55" t="str">
        <f t="shared" si="1060"/>
        <v/>
      </c>
      <c r="M2805" s="37">
        <f t="shared" si="1061"/>
        <v>21.96</v>
      </c>
      <c r="N2805" s="29">
        <f t="shared" si="1062"/>
        <v>9.09</v>
      </c>
      <c r="O2805" s="31" t="s">
        <v>1017</v>
      </c>
      <c r="P2805" s="50"/>
      <c r="Q2805" s="50"/>
      <c r="R2805" s="42"/>
      <c r="T2805" s="50"/>
      <c r="U2805" s="50"/>
      <c r="W2805" s="50"/>
      <c r="X2805" t="s">
        <v>1017</v>
      </c>
      <c r="Z2805" s="50"/>
      <c r="AA2805" s="38"/>
      <c r="AD2805" s="38" t="s">
        <v>1017</v>
      </c>
    </row>
    <row r="2806" spans="1:30" x14ac:dyDescent="0.35">
      <c r="A2806" s="497" t="s">
        <v>1230</v>
      </c>
      <c r="B2806" s="13" t="s">
        <v>5547</v>
      </c>
      <c r="C2806" s="13" t="s">
        <v>2385</v>
      </c>
      <c r="D2806" s="13" t="s">
        <v>4781</v>
      </c>
      <c r="E2806" s="13" t="s">
        <v>4809</v>
      </c>
      <c r="F2806" s="373">
        <v>19.98</v>
      </c>
      <c r="G2806" s="430">
        <v>19.98</v>
      </c>
      <c r="H2806" s="399">
        <f t="shared" si="1059"/>
        <v>15.98</v>
      </c>
      <c r="I2806" s="576"/>
      <c r="J2806" s="549" t="s">
        <v>5804</v>
      </c>
      <c r="K2806" s="11"/>
      <c r="L2806" s="55" t="str">
        <f t="shared" si="1060"/>
        <v/>
      </c>
      <c r="M2806" s="37">
        <f t="shared" si="1061"/>
        <v>19.98</v>
      </c>
      <c r="N2806" s="29">
        <f t="shared" si="1062"/>
        <v>9.09</v>
      </c>
      <c r="O2806" s="31"/>
      <c r="P2806" s="50"/>
      <c r="Q2806" s="50"/>
      <c r="R2806" s="42" t="s">
        <v>1017</v>
      </c>
      <c r="T2806" s="50"/>
      <c r="U2806" s="50"/>
      <c r="W2806" s="50"/>
      <c r="X2806" t="s">
        <v>1017</v>
      </c>
      <c r="Z2806" s="50"/>
      <c r="AA2806" s="38"/>
      <c r="AD2806" s="38" t="s">
        <v>1017</v>
      </c>
    </row>
    <row r="2807" spans="1:30" x14ac:dyDescent="0.35">
      <c r="A2807" s="497" t="s">
        <v>1231</v>
      </c>
      <c r="B2807" s="13" t="s">
        <v>5547</v>
      </c>
      <c r="C2807" s="13" t="s">
        <v>2385</v>
      </c>
      <c r="D2807" s="13" t="s">
        <v>5572</v>
      </c>
      <c r="E2807" s="13" t="s">
        <v>4811</v>
      </c>
      <c r="F2807" s="373">
        <v>22.95</v>
      </c>
      <c r="G2807" s="430">
        <v>22.95</v>
      </c>
      <c r="H2807" s="399">
        <f t="shared" si="1059"/>
        <v>18.36</v>
      </c>
      <c r="I2807" s="576"/>
      <c r="J2807" s="549" t="s">
        <v>5804</v>
      </c>
      <c r="K2807" s="11"/>
      <c r="L2807" s="55" t="str">
        <f t="shared" si="1060"/>
        <v/>
      </c>
      <c r="M2807" s="37">
        <f t="shared" si="1061"/>
        <v>22.95</v>
      </c>
      <c r="N2807" s="29">
        <f t="shared" si="1062"/>
        <v>9.09</v>
      </c>
      <c r="O2807" s="31" t="s">
        <v>1017</v>
      </c>
      <c r="P2807" s="50"/>
      <c r="Q2807" s="50"/>
      <c r="R2807" s="42" t="s">
        <v>1017</v>
      </c>
      <c r="T2807" s="50"/>
      <c r="U2807" s="50"/>
      <c r="W2807" s="50"/>
      <c r="X2807" t="s">
        <v>1017</v>
      </c>
      <c r="Z2807" s="50"/>
      <c r="AA2807" s="38"/>
      <c r="AD2807" s="38" t="s">
        <v>1017</v>
      </c>
    </row>
    <row r="2808" spans="1:30" x14ac:dyDescent="0.35">
      <c r="A2808" s="497" t="s">
        <v>1232</v>
      </c>
      <c r="B2808" s="13" t="s">
        <v>5547</v>
      </c>
      <c r="C2808" s="13" t="s">
        <v>2385</v>
      </c>
      <c r="D2808" s="13" t="s">
        <v>2124</v>
      </c>
      <c r="E2808" s="13" t="s">
        <v>4809</v>
      </c>
      <c r="F2808" s="373">
        <v>20.97</v>
      </c>
      <c r="G2808" s="430">
        <v>20.97</v>
      </c>
      <c r="H2808" s="399">
        <f t="shared" si="1059"/>
        <v>16.78</v>
      </c>
      <c r="I2808" s="576"/>
      <c r="J2808" s="549" t="s">
        <v>5804</v>
      </c>
      <c r="K2808" s="11"/>
      <c r="L2808" s="55" t="str">
        <f t="shared" si="1060"/>
        <v/>
      </c>
      <c r="M2808" s="37">
        <f t="shared" si="1061"/>
        <v>20.97</v>
      </c>
      <c r="N2808" s="29">
        <f t="shared" si="1062"/>
        <v>9.09</v>
      </c>
      <c r="O2808" s="31"/>
      <c r="P2808" s="50"/>
      <c r="Q2808" s="50"/>
      <c r="R2808" s="42"/>
      <c r="T2808" s="50"/>
      <c r="U2808" s="50"/>
      <c r="W2808" s="50"/>
      <c r="Z2808" s="50"/>
      <c r="AA2808" s="38" t="s">
        <v>1017</v>
      </c>
      <c r="AD2808" s="38" t="s">
        <v>1017</v>
      </c>
    </row>
    <row r="2809" spans="1:30" x14ac:dyDescent="0.35">
      <c r="A2809" s="497" t="s">
        <v>1233</v>
      </c>
      <c r="B2809" s="13" t="s">
        <v>5547</v>
      </c>
      <c r="C2809" s="13" t="s">
        <v>2385</v>
      </c>
      <c r="D2809" s="13" t="s">
        <v>2722</v>
      </c>
      <c r="E2809" s="13" t="s">
        <v>4811</v>
      </c>
      <c r="F2809" s="373">
        <v>23.94</v>
      </c>
      <c r="G2809" s="430">
        <v>23.94</v>
      </c>
      <c r="H2809" s="399">
        <f t="shared" si="1059"/>
        <v>19.149999999999999</v>
      </c>
      <c r="I2809" s="576"/>
      <c r="J2809" s="549" t="s">
        <v>5804</v>
      </c>
      <c r="K2809" s="11"/>
      <c r="L2809" s="55" t="str">
        <f t="shared" si="1060"/>
        <v/>
      </c>
      <c r="M2809" s="37">
        <f t="shared" si="1061"/>
        <v>23.94</v>
      </c>
      <c r="N2809" s="29">
        <f t="shared" si="1062"/>
        <v>9.09</v>
      </c>
      <c r="O2809" s="31" t="s">
        <v>1017</v>
      </c>
      <c r="P2809" s="50"/>
      <c r="Q2809" s="50"/>
      <c r="R2809" s="42"/>
      <c r="T2809" s="50"/>
      <c r="U2809" s="50"/>
      <c r="W2809" s="50"/>
      <c r="Z2809" s="50"/>
      <c r="AA2809" s="38" t="s">
        <v>1017</v>
      </c>
      <c r="AD2809" s="38" t="s">
        <v>1017</v>
      </c>
    </row>
    <row r="2810" spans="1:30" x14ac:dyDescent="0.35">
      <c r="A2810" s="497" t="s">
        <v>1234</v>
      </c>
      <c r="B2810" s="13" t="s">
        <v>5547</v>
      </c>
      <c r="C2810" s="13" t="s">
        <v>2385</v>
      </c>
      <c r="D2810" s="13" t="s">
        <v>3192</v>
      </c>
      <c r="E2810" s="13" t="s">
        <v>4809</v>
      </c>
      <c r="F2810" s="373">
        <v>21.96</v>
      </c>
      <c r="G2810" s="430">
        <v>21.96</v>
      </c>
      <c r="H2810" s="399">
        <f t="shared" si="1059"/>
        <v>17.57</v>
      </c>
      <c r="I2810" s="576"/>
      <c r="J2810" s="549" t="s">
        <v>5804</v>
      </c>
      <c r="K2810" s="11"/>
      <c r="L2810" s="55" t="str">
        <f t="shared" si="1060"/>
        <v/>
      </c>
      <c r="M2810" s="37">
        <f t="shared" si="1061"/>
        <v>21.96</v>
      </c>
      <c r="N2810" s="29">
        <f t="shared" si="1062"/>
        <v>9.09</v>
      </c>
      <c r="O2810" s="31"/>
      <c r="P2810" s="50"/>
      <c r="Q2810" s="50"/>
      <c r="R2810" s="42" t="s">
        <v>1017</v>
      </c>
      <c r="T2810" s="50"/>
      <c r="U2810" s="50"/>
      <c r="W2810" s="50"/>
      <c r="Z2810" s="50"/>
      <c r="AA2810" s="38" t="s">
        <v>1017</v>
      </c>
      <c r="AD2810" s="38" t="s">
        <v>1017</v>
      </c>
    </row>
    <row r="2811" spans="1:30" x14ac:dyDescent="0.35">
      <c r="A2811" s="497" t="s">
        <v>1235</v>
      </c>
      <c r="B2811" s="13" t="s">
        <v>5547</v>
      </c>
      <c r="C2811" s="13" t="s">
        <v>2385</v>
      </c>
      <c r="D2811" s="13" t="s">
        <v>4383</v>
      </c>
      <c r="E2811" s="13" t="s">
        <v>4811</v>
      </c>
      <c r="F2811" s="373">
        <v>24.93</v>
      </c>
      <c r="G2811" s="430">
        <v>24.93</v>
      </c>
      <c r="H2811" s="399">
        <f t="shared" si="1059"/>
        <v>19.940000000000001</v>
      </c>
      <c r="I2811" s="576"/>
      <c r="J2811" s="549" t="s">
        <v>5804</v>
      </c>
      <c r="K2811" s="11"/>
      <c r="L2811" s="55" t="str">
        <f t="shared" si="1060"/>
        <v/>
      </c>
      <c r="M2811" s="37">
        <f t="shared" si="1061"/>
        <v>24.93</v>
      </c>
      <c r="N2811" s="29">
        <f t="shared" si="1062"/>
        <v>9.09</v>
      </c>
      <c r="O2811" s="31" t="s">
        <v>1017</v>
      </c>
      <c r="P2811" s="50"/>
      <c r="Q2811" s="50"/>
      <c r="R2811" s="42" t="s">
        <v>1017</v>
      </c>
      <c r="T2811" s="50"/>
      <c r="U2811" s="50"/>
      <c r="W2811" s="50"/>
      <c r="Z2811" s="50"/>
      <c r="AA2811" s="38" t="s">
        <v>1017</v>
      </c>
      <c r="AD2811" s="38" t="s">
        <v>1017</v>
      </c>
    </row>
    <row r="2812" spans="1:30" x14ac:dyDescent="0.35">
      <c r="A2812" s="497" t="s">
        <v>1236</v>
      </c>
      <c r="B2812" s="13" t="s">
        <v>5547</v>
      </c>
      <c r="C2812" s="13" t="s">
        <v>2385</v>
      </c>
      <c r="D2812" s="13" t="s">
        <v>5407</v>
      </c>
      <c r="E2812" s="13" t="s">
        <v>4809</v>
      </c>
      <c r="F2812" s="373">
        <v>8.17</v>
      </c>
      <c r="G2812" s="430">
        <v>8.17</v>
      </c>
      <c r="H2812" s="399">
        <f t="shared" ref="H2812:H2836" si="1063">IF(ISNUMBER(G2812),ROUND(0.8*G2812,2),"")</f>
        <v>6.54</v>
      </c>
      <c r="I2812" s="576"/>
      <c r="J2812" s="549" t="s">
        <v>5804</v>
      </c>
      <c r="K2812" s="11"/>
      <c r="L2812" s="55" t="str">
        <f t="shared" ref="L2812:L2836" si="1064">IF(F2812=M2812,"",FALSE)</f>
        <v/>
      </c>
      <c r="M2812" s="37">
        <f t="shared" ref="M2812:M2836" si="1065">N2812+SUMIF(O2812:AD2812,"x",O$2619:AD$2619)</f>
        <v>8.17</v>
      </c>
      <c r="N2812" s="29">
        <f t="shared" ref="N2812:N2836" si="1066">ROUND(N2589*(1-$AE$2618),2)</f>
        <v>8.17</v>
      </c>
      <c r="O2812" s="31"/>
      <c r="P2812" s="50"/>
      <c r="Q2812" s="50"/>
      <c r="R2812" s="60"/>
      <c r="S2812" s="50"/>
      <c r="V2812" s="50"/>
      <c r="W2812" s="50"/>
      <c r="X2812" s="50"/>
      <c r="Y2812" s="50"/>
      <c r="Z2812" s="50"/>
      <c r="AA2812" s="52"/>
      <c r="AD2812" s="38"/>
    </row>
    <row r="2813" spans="1:30" x14ac:dyDescent="0.35">
      <c r="A2813" s="497" t="s">
        <v>1237</v>
      </c>
      <c r="B2813" s="13" t="s">
        <v>5547</v>
      </c>
      <c r="C2813" s="13" t="s">
        <v>2385</v>
      </c>
      <c r="D2813" s="13" t="s">
        <v>2903</v>
      </c>
      <c r="E2813" s="13" t="s">
        <v>4811</v>
      </c>
      <c r="F2813" s="373">
        <v>11.14</v>
      </c>
      <c r="G2813" s="430">
        <v>11.14</v>
      </c>
      <c r="H2813" s="399">
        <f t="shared" si="1063"/>
        <v>8.91</v>
      </c>
      <c r="I2813" s="576"/>
      <c r="J2813" s="549" t="s">
        <v>5804</v>
      </c>
      <c r="K2813" s="11"/>
      <c r="L2813" s="55" t="str">
        <f t="shared" si="1064"/>
        <v/>
      </c>
      <c r="M2813" s="37">
        <f t="shared" si="1065"/>
        <v>11.14</v>
      </c>
      <c r="N2813" s="29">
        <f t="shared" si="1066"/>
        <v>8.17</v>
      </c>
      <c r="O2813" s="31" t="s">
        <v>1017</v>
      </c>
      <c r="P2813" s="50"/>
      <c r="Q2813" s="50"/>
      <c r="R2813" s="60"/>
      <c r="S2813" s="50"/>
      <c r="V2813" s="50"/>
      <c r="W2813" s="50"/>
      <c r="X2813" s="50"/>
      <c r="Y2813" s="50"/>
      <c r="Z2813" s="50"/>
      <c r="AA2813" s="52"/>
      <c r="AD2813" s="38"/>
    </row>
    <row r="2814" spans="1:30" x14ac:dyDescent="0.35">
      <c r="A2814" s="497" t="s">
        <v>1238</v>
      </c>
      <c r="B2814" s="13" t="s">
        <v>5547</v>
      </c>
      <c r="C2814" s="13" t="s">
        <v>2385</v>
      </c>
      <c r="D2814" s="13" t="s">
        <v>598</v>
      </c>
      <c r="E2814" s="13" t="s">
        <v>4809</v>
      </c>
      <c r="F2814" s="373">
        <v>12.13</v>
      </c>
      <c r="G2814" s="430">
        <v>12.13</v>
      </c>
      <c r="H2814" s="399">
        <f t="shared" si="1063"/>
        <v>9.6999999999999993</v>
      </c>
      <c r="I2814" s="576"/>
      <c r="J2814" s="549" t="s">
        <v>5804</v>
      </c>
      <c r="K2814" s="11"/>
      <c r="L2814" s="55" t="str">
        <f t="shared" si="1064"/>
        <v/>
      </c>
      <c r="M2814" s="37">
        <f t="shared" si="1065"/>
        <v>12.129999999999999</v>
      </c>
      <c r="N2814" s="29">
        <f t="shared" si="1066"/>
        <v>8.17</v>
      </c>
      <c r="O2814" s="31"/>
      <c r="P2814" s="50"/>
      <c r="Q2814" s="50"/>
      <c r="R2814" s="60"/>
      <c r="S2814" s="50"/>
      <c r="T2814" t="s">
        <v>1017</v>
      </c>
      <c r="V2814" s="50"/>
      <c r="W2814" s="50"/>
      <c r="X2814" s="50"/>
      <c r="Y2814" s="50"/>
      <c r="Z2814" s="50"/>
      <c r="AA2814" s="52"/>
      <c r="AD2814" s="38"/>
    </row>
    <row r="2815" spans="1:30" x14ac:dyDescent="0.35">
      <c r="A2815" s="497" t="s">
        <v>1239</v>
      </c>
      <c r="B2815" s="13" t="s">
        <v>5547</v>
      </c>
      <c r="C2815" s="13" t="s">
        <v>2385</v>
      </c>
      <c r="D2815" s="13" t="s">
        <v>3201</v>
      </c>
      <c r="E2815" s="13" t="s">
        <v>4811</v>
      </c>
      <c r="F2815" s="373">
        <v>15.1</v>
      </c>
      <c r="G2815" s="430">
        <v>15.1</v>
      </c>
      <c r="H2815" s="399">
        <f t="shared" si="1063"/>
        <v>12.08</v>
      </c>
      <c r="I2815" s="576"/>
      <c r="J2815" s="549" t="s">
        <v>5804</v>
      </c>
      <c r="K2815" s="11"/>
      <c r="L2815" s="55" t="str">
        <f t="shared" si="1064"/>
        <v/>
      </c>
      <c r="M2815" s="37">
        <f t="shared" si="1065"/>
        <v>15.1</v>
      </c>
      <c r="N2815" s="29">
        <f t="shared" si="1066"/>
        <v>8.17</v>
      </c>
      <c r="O2815" s="31" t="s">
        <v>1017</v>
      </c>
      <c r="P2815" s="50"/>
      <c r="Q2815" s="50"/>
      <c r="R2815" s="60"/>
      <c r="S2815" s="50"/>
      <c r="T2815" t="s">
        <v>1017</v>
      </c>
      <c r="V2815" s="50"/>
      <c r="W2815" s="50"/>
      <c r="X2815" s="50"/>
      <c r="Y2815" s="50"/>
      <c r="Z2815" s="50"/>
      <c r="AA2815" s="52"/>
      <c r="AD2815" s="38"/>
    </row>
    <row r="2816" spans="1:30" x14ac:dyDescent="0.35">
      <c r="A2816" s="497" t="s">
        <v>1240</v>
      </c>
      <c r="B2816" s="13" t="s">
        <v>5547</v>
      </c>
      <c r="C2816" s="13" t="s">
        <v>2385</v>
      </c>
      <c r="D2816" s="13" t="s">
        <v>599</v>
      </c>
      <c r="E2816" s="13" t="s">
        <v>4809</v>
      </c>
      <c r="F2816" s="373">
        <v>10.65</v>
      </c>
      <c r="G2816" s="430">
        <v>10.65</v>
      </c>
      <c r="H2816" s="399">
        <f t="shared" si="1063"/>
        <v>8.52</v>
      </c>
      <c r="I2816" s="576"/>
      <c r="J2816" s="549" t="s">
        <v>5804</v>
      </c>
      <c r="K2816" s="11"/>
      <c r="L2816" s="55" t="str">
        <f t="shared" si="1064"/>
        <v/>
      </c>
      <c r="M2816" s="37">
        <f t="shared" si="1065"/>
        <v>10.65</v>
      </c>
      <c r="N2816" s="29">
        <f t="shared" si="1066"/>
        <v>8.17</v>
      </c>
      <c r="O2816" s="31"/>
      <c r="P2816" s="50"/>
      <c r="Q2816" s="50"/>
      <c r="R2816" s="60"/>
      <c r="S2816" s="50"/>
      <c r="U2816" t="s">
        <v>1017</v>
      </c>
      <c r="V2816" s="50"/>
      <c r="W2816" s="50"/>
      <c r="X2816" s="50"/>
      <c r="Y2816" s="50"/>
      <c r="Z2816" s="50"/>
      <c r="AA2816" s="52"/>
      <c r="AD2816" s="38"/>
    </row>
    <row r="2817" spans="1:30" x14ac:dyDescent="0.35">
      <c r="A2817" s="497" t="s">
        <v>1241</v>
      </c>
      <c r="B2817" s="13" t="s">
        <v>5547</v>
      </c>
      <c r="C2817" s="13" t="s">
        <v>2385</v>
      </c>
      <c r="D2817" s="13" t="s">
        <v>3202</v>
      </c>
      <c r="E2817" s="13" t="s">
        <v>4811</v>
      </c>
      <c r="F2817" s="373">
        <v>13.62</v>
      </c>
      <c r="G2817" s="430">
        <v>13.62</v>
      </c>
      <c r="H2817" s="399">
        <f t="shared" si="1063"/>
        <v>10.9</v>
      </c>
      <c r="I2817" s="576"/>
      <c r="J2817" s="549" t="s">
        <v>5804</v>
      </c>
      <c r="K2817" s="11"/>
      <c r="L2817" s="55" t="str">
        <f t="shared" si="1064"/>
        <v/>
      </c>
      <c r="M2817" s="37">
        <f t="shared" si="1065"/>
        <v>13.620000000000001</v>
      </c>
      <c r="N2817" s="29">
        <f t="shared" si="1066"/>
        <v>8.17</v>
      </c>
      <c r="O2817" s="31" t="s">
        <v>1017</v>
      </c>
      <c r="P2817" s="50"/>
      <c r="Q2817" s="50"/>
      <c r="R2817" s="60"/>
      <c r="S2817" s="50"/>
      <c r="U2817" t="s">
        <v>1017</v>
      </c>
      <c r="V2817" s="50"/>
      <c r="W2817" s="50"/>
      <c r="X2817" s="50"/>
      <c r="Y2817" s="50"/>
      <c r="Z2817" s="50"/>
      <c r="AA2817" s="52"/>
      <c r="AD2817" s="38"/>
    </row>
    <row r="2818" spans="1:30" x14ac:dyDescent="0.35">
      <c r="A2818" s="497" t="s">
        <v>1242</v>
      </c>
      <c r="B2818" s="13" t="s">
        <v>5547</v>
      </c>
      <c r="C2818" s="13" t="s">
        <v>2385</v>
      </c>
      <c r="D2818" s="13" t="s">
        <v>2906</v>
      </c>
      <c r="E2818" s="13" t="s">
        <v>4809</v>
      </c>
      <c r="F2818" s="373">
        <v>10.15</v>
      </c>
      <c r="G2818" s="430">
        <v>10.15</v>
      </c>
      <c r="H2818" s="399">
        <f t="shared" si="1063"/>
        <v>8.1199999999999992</v>
      </c>
      <c r="I2818" s="576"/>
      <c r="J2818" s="549" t="s">
        <v>5804</v>
      </c>
      <c r="K2818" s="11"/>
      <c r="L2818" s="55" t="str">
        <f t="shared" si="1064"/>
        <v/>
      </c>
      <c r="M2818" s="37">
        <f t="shared" si="1065"/>
        <v>10.15</v>
      </c>
      <c r="N2818" s="29">
        <f t="shared" si="1066"/>
        <v>8.17</v>
      </c>
      <c r="O2818" s="31"/>
      <c r="P2818" s="50"/>
      <c r="Q2818" s="50"/>
      <c r="R2818" s="60"/>
      <c r="S2818" s="50"/>
      <c r="V2818" s="50"/>
      <c r="W2818" s="50"/>
      <c r="X2818" s="50"/>
      <c r="Y2818" s="50"/>
      <c r="Z2818" s="50"/>
      <c r="AA2818" s="52"/>
      <c r="AB2818" t="s">
        <v>1017</v>
      </c>
      <c r="AD2818" s="38"/>
    </row>
    <row r="2819" spans="1:30" x14ac:dyDescent="0.35">
      <c r="A2819" s="497" t="s">
        <v>1243</v>
      </c>
      <c r="B2819" s="13" t="s">
        <v>5547</v>
      </c>
      <c r="C2819" s="13" t="s">
        <v>2385</v>
      </c>
      <c r="D2819" s="13" t="s">
        <v>3195</v>
      </c>
      <c r="E2819" s="13" t="s">
        <v>4811</v>
      </c>
      <c r="F2819" s="373">
        <v>13.12</v>
      </c>
      <c r="G2819" s="430">
        <v>13.12</v>
      </c>
      <c r="H2819" s="399">
        <f t="shared" si="1063"/>
        <v>10.5</v>
      </c>
      <c r="I2819" s="576"/>
      <c r="J2819" s="549" t="s">
        <v>5804</v>
      </c>
      <c r="K2819" s="11"/>
      <c r="L2819" s="55" t="str">
        <f t="shared" si="1064"/>
        <v/>
      </c>
      <c r="M2819" s="37">
        <f t="shared" si="1065"/>
        <v>13.120000000000001</v>
      </c>
      <c r="N2819" s="29">
        <f t="shared" si="1066"/>
        <v>8.17</v>
      </c>
      <c r="O2819" s="31" t="s">
        <v>1017</v>
      </c>
      <c r="P2819" s="50"/>
      <c r="Q2819" s="50"/>
      <c r="R2819" s="60"/>
      <c r="S2819" s="50"/>
      <c r="V2819" s="50"/>
      <c r="W2819" s="50"/>
      <c r="X2819" s="50"/>
      <c r="Y2819" s="50"/>
      <c r="Z2819" s="50"/>
      <c r="AA2819" s="52"/>
      <c r="AB2819" t="s">
        <v>1017</v>
      </c>
      <c r="AD2819" s="38"/>
    </row>
    <row r="2820" spans="1:30" x14ac:dyDescent="0.35">
      <c r="A2820" s="497" t="s">
        <v>1244</v>
      </c>
      <c r="B2820" s="13" t="s">
        <v>5547</v>
      </c>
      <c r="C2820" s="13" t="s">
        <v>2385</v>
      </c>
      <c r="D2820" s="13" t="s">
        <v>3289</v>
      </c>
      <c r="E2820" s="13" t="s">
        <v>4809</v>
      </c>
      <c r="F2820" s="373">
        <v>14.11</v>
      </c>
      <c r="G2820" s="430">
        <v>14.11</v>
      </c>
      <c r="H2820" s="399">
        <f t="shared" si="1063"/>
        <v>11.29</v>
      </c>
      <c r="I2820" s="576"/>
      <c r="J2820" s="549" t="s">
        <v>5804</v>
      </c>
      <c r="K2820" s="11"/>
      <c r="L2820" s="55" t="str">
        <f t="shared" si="1064"/>
        <v/>
      </c>
      <c r="M2820" s="37">
        <f t="shared" si="1065"/>
        <v>14.11</v>
      </c>
      <c r="N2820" s="29">
        <f t="shared" si="1066"/>
        <v>8.17</v>
      </c>
      <c r="O2820" s="31"/>
      <c r="P2820" s="50"/>
      <c r="Q2820" s="50"/>
      <c r="R2820" s="60"/>
      <c r="S2820" s="50"/>
      <c r="T2820" t="s">
        <v>1017</v>
      </c>
      <c r="V2820" s="50"/>
      <c r="W2820" s="50"/>
      <c r="X2820" s="50"/>
      <c r="Y2820" s="50"/>
      <c r="Z2820" s="50"/>
      <c r="AA2820" s="52"/>
      <c r="AB2820" t="s">
        <v>1017</v>
      </c>
      <c r="AD2820" s="38"/>
    </row>
    <row r="2821" spans="1:30" x14ac:dyDescent="0.35">
      <c r="A2821" s="497" t="s">
        <v>1245</v>
      </c>
      <c r="B2821" s="13" t="s">
        <v>5547</v>
      </c>
      <c r="C2821" s="13" t="s">
        <v>2385</v>
      </c>
      <c r="D2821" s="13" t="s">
        <v>5560</v>
      </c>
      <c r="E2821" s="13" t="s">
        <v>4811</v>
      </c>
      <c r="F2821" s="373">
        <v>17.079999999999998</v>
      </c>
      <c r="G2821" s="430">
        <v>17.079999999999998</v>
      </c>
      <c r="H2821" s="399">
        <f t="shared" si="1063"/>
        <v>13.66</v>
      </c>
      <c r="I2821" s="576"/>
      <c r="J2821" s="549" t="s">
        <v>5804</v>
      </c>
      <c r="K2821" s="11"/>
      <c r="L2821" s="55" t="str">
        <f t="shared" si="1064"/>
        <v/>
      </c>
      <c r="M2821" s="37">
        <f t="shared" si="1065"/>
        <v>17.079999999999998</v>
      </c>
      <c r="N2821" s="29">
        <f t="shared" si="1066"/>
        <v>8.17</v>
      </c>
      <c r="O2821" s="31" t="s">
        <v>1017</v>
      </c>
      <c r="P2821" s="50"/>
      <c r="Q2821" s="50"/>
      <c r="R2821" s="60"/>
      <c r="S2821" s="50"/>
      <c r="T2821" t="s">
        <v>1017</v>
      </c>
      <c r="V2821" s="50"/>
      <c r="W2821" s="50"/>
      <c r="X2821" s="50"/>
      <c r="Y2821" s="50"/>
      <c r="Z2821" s="50"/>
      <c r="AA2821" s="52"/>
      <c r="AB2821" t="s">
        <v>1017</v>
      </c>
      <c r="AD2821" s="38"/>
    </row>
    <row r="2822" spans="1:30" x14ac:dyDescent="0.35">
      <c r="A2822" s="497" t="s">
        <v>1246</v>
      </c>
      <c r="B2822" s="13" t="s">
        <v>5547</v>
      </c>
      <c r="C2822" s="13" t="s">
        <v>2385</v>
      </c>
      <c r="D2822" s="13" t="s">
        <v>2366</v>
      </c>
      <c r="E2822" s="13" t="s">
        <v>4809</v>
      </c>
      <c r="F2822" s="373">
        <v>12.63</v>
      </c>
      <c r="G2822" s="430">
        <v>12.63</v>
      </c>
      <c r="H2822" s="399">
        <f t="shared" si="1063"/>
        <v>10.1</v>
      </c>
      <c r="I2822" s="576"/>
      <c r="J2822" s="549" t="s">
        <v>5804</v>
      </c>
      <c r="K2822" s="11"/>
      <c r="L2822" s="55" t="str">
        <f t="shared" si="1064"/>
        <v/>
      </c>
      <c r="M2822" s="37">
        <f t="shared" si="1065"/>
        <v>12.629999999999999</v>
      </c>
      <c r="N2822" s="29">
        <f t="shared" si="1066"/>
        <v>8.17</v>
      </c>
      <c r="O2822" s="31"/>
      <c r="P2822" s="50"/>
      <c r="Q2822" s="50"/>
      <c r="R2822" s="60"/>
      <c r="S2822" s="50"/>
      <c r="U2822" t="s">
        <v>1017</v>
      </c>
      <c r="V2822" s="50"/>
      <c r="W2822" s="50"/>
      <c r="X2822" s="50"/>
      <c r="Y2822" s="50"/>
      <c r="Z2822" s="50"/>
      <c r="AA2822" s="52"/>
      <c r="AB2822" t="s">
        <v>1017</v>
      </c>
      <c r="AD2822" s="38"/>
    </row>
    <row r="2823" spans="1:30" x14ac:dyDescent="0.35">
      <c r="A2823" s="497" t="s">
        <v>1247</v>
      </c>
      <c r="B2823" s="13" t="s">
        <v>5547</v>
      </c>
      <c r="C2823" s="13" t="s">
        <v>2385</v>
      </c>
      <c r="D2823" s="13" t="s">
        <v>5561</v>
      </c>
      <c r="E2823" s="13" t="s">
        <v>4811</v>
      </c>
      <c r="F2823" s="373">
        <v>15.6</v>
      </c>
      <c r="G2823" s="430">
        <v>15.6</v>
      </c>
      <c r="H2823" s="399">
        <f t="shared" si="1063"/>
        <v>12.48</v>
      </c>
      <c r="I2823" s="576"/>
      <c r="J2823" s="549" t="s">
        <v>5804</v>
      </c>
      <c r="K2823" s="11"/>
      <c r="L2823" s="55" t="str">
        <f t="shared" si="1064"/>
        <v/>
      </c>
      <c r="M2823" s="37">
        <f t="shared" si="1065"/>
        <v>15.6</v>
      </c>
      <c r="N2823" s="29">
        <f t="shared" si="1066"/>
        <v>8.17</v>
      </c>
      <c r="O2823" s="31" t="s">
        <v>1017</v>
      </c>
      <c r="P2823" s="50"/>
      <c r="Q2823" s="50"/>
      <c r="R2823" s="60"/>
      <c r="S2823" s="50"/>
      <c r="U2823" t="s">
        <v>1017</v>
      </c>
      <c r="V2823" s="50"/>
      <c r="W2823" s="50"/>
      <c r="X2823" s="50"/>
      <c r="Y2823" s="50"/>
      <c r="Z2823" s="50"/>
      <c r="AA2823" s="52"/>
      <c r="AB2823" t="s">
        <v>1017</v>
      </c>
      <c r="AD2823" s="38"/>
    </row>
    <row r="2824" spans="1:30" x14ac:dyDescent="0.35">
      <c r="A2824" s="497" t="s">
        <v>1248</v>
      </c>
      <c r="B2824" s="13" t="s">
        <v>5547</v>
      </c>
      <c r="C2824" s="13" t="s">
        <v>2385</v>
      </c>
      <c r="D2824" s="13" t="s">
        <v>594</v>
      </c>
      <c r="E2824" s="13" t="s">
        <v>4809</v>
      </c>
      <c r="F2824" s="373">
        <v>9.16</v>
      </c>
      <c r="G2824" s="430">
        <v>9.16</v>
      </c>
      <c r="H2824" s="399">
        <f t="shared" si="1063"/>
        <v>7.33</v>
      </c>
      <c r="I2824" s="576"/>
      <c r="J2824" s="549" t="s">
        <v>5804</v>
      </c>
      <c r="K2824" s="11"/>
      <c r="L2824" s="55" t="str">
        <f t="shared" si="1064"/>
        <v/>
      </c>
      <c r="M2824" s="37">
        <f t="shared" si="1065"/>
        <v>9.16</v>
      </c>
      <c r="N2824" s="29">
        <f t="shared" si="1066"/>
        <v>8.17</v>
      </c>
      <c r="O2824" s="31"/>
      <c r="P2824" s="50"/>
      <c r="Q2824" s="50"/>
      <c r="R2824" s="60"/>
      <c r="S2824" s="50"/>
      <c r="V2824" s="50"/>
      <c r="W2824" s="50"/>
      <c r="X2824" s="50"/>
      <c r="Y2824" s="50"/>
      <c r="Z2824" s="50"/>
      <c r="AA2824" s="52"/>
      <c r="AC2824" t="s">
        <v>1017</v>
      </c>
      <c r="AD2824" s="38"/>
    </row>
    <row r="2825" spans="1:30" x14ac:dyDescent="0.35">
      <c r="A2825" s="497" t="s">
        <v>1249</v>
      </c>
      <c r="B2825" s="13" t="s">
        <v>5547</v>
      </c>
      <c r="C2825" s="13" t="s">
        <v>2385</v>
      </c>
      <c r="D2825" s="13" t="s">
        <v>3197</v>
      </c>
      <c r="E2825" s="13" t="s">
        <v>4811</v>
      </c>
      <c r="F2825" s="373">
        <v>12.13</v>
      </c>
      <c r="G2825" s="430">
        <v>12.13</v>
      </c>
      <c r="H2825" s="399">
        <f t="shared" si="1063"/>
        <v>9.6999999999999993</v>
      </c>
      <c r="I2825" s="576"/>
      <c r="J2825" s="549" t="s">
        <v>5804</v>
      </c>
      <c r="K2825" s="11"/>
      <c r="L2825" s="55" t="str">
        <f t="shared" si="1064"/>
        <v/>
      </c>
      <c r="M2825" s="37">
        <f t="shared" si="1065"/>
        <v>12.129999999999999</v>
      </c>
      <c r="N2825" s="29">
        <f t="shared" si="1066"/>
        <v>8.17</v>
      </c>
      <c r="O2825" s="31" t="s">
        <v>1017</v>
      </c>
      <c r="P2825" s="50"/>
      <c r="Q2825" s="50"/>
      <c r="R2825" s="60"/>
      <c r="S2825" s="50"/>
      <c r="V2825" s="50"/>
      <c r="W2825" s="50"/>
      <c r="X2825" s="50"/>
      <c r="Y2825" s="50"/>
      <c r="Z2825" s="50"/>
      <c r="AA2825" s="52"/>
      <c r="AC2825" t="s">
        <v>1017</v>
      </c>
      <c r="AD2825" s="38"/>
    </row>
    <row r="2826" spans="1:30" x14ac:dyDescent="0.35">
      <c r="A2826" s="497" t="s">
        <v>1250</v>
      </c>
      <c r="B2826" s="13" t="s">
        <v>5547</v>
      </c>
      <c r="C2826" s="13" t="s">
        <v>2385</v>
      </c>
      <c r="D2826" s="13" t="s">
        <v>3293</v>
      </c>
      <c r="E2826" s="13" t="s">
        <v>4809</v>
      </c>
      <c r="F2826" s="373">
        <v>13.12</v>
      </c>
      <c r="G2826" s="430">
        <v>13.12</v>
      </c>
      <c r="H2826" s="399">
        <f t="shared" si="1063"/>
        <v>10.5</v>
      </c>
      <c r="I2826" s="576"/>
      <c r="J2826" s="549" t="s">
        <v>5804</v>
      </c>
      <c r="K2826" s="11"/>
      <c r="L2826" s="55" t="str">
        <f t="shared" si="1064"/>
        <v/>
      </c>
      <c r="M2826" s="37">
        <f t="shared" si="1065"/>
        <v>13.120000000000001</v>
      </c>
      <c r="N2826" s="29">
        <f t="shared" si="1066"/>
        <v>8.17</v>
      </c>
      <c r="O2826" s="31"/>
      <c r="P2826" s="50"/>
      <c r="Q2826" s="50"/>
      <c r="R2826" s="60"/>
      <c r="S2826" s="50"/>
      <c r="T2826" t="s">
        <v>1017</v>
      </c>
      <c r="V2826" s="50"/>
      <c r="W2826" s="50"/>
      <c r="X2826" s="50"/>
      <c r="Y2826" s="50"/>
      <c r="Z2826" s="50"/>
      <c r="AA2826" s="52"/>
      <c r="AC2826" t="s">
        <v>1017</v>
      </c>
      <c r="AD2826" s="38"/>
    </row>
    <row r="2827" spans="1:30" x14ac:dyDescent="0.35">
      <c r="A2827" s="497" t="s">
        <v>1251</v>
      </c>
      <c r="B2827" s="13" t="s">
        <v>5547</v>
      </c>
      <c r="C2827" s="13" t="s">
        <v>2385</v>
      </c>
      <c r="D2827" s="13" t="s">
        <v>5569</v>
      </c>
      <c r="E2827" s="13" t="s">
        <v>4811</v>
      </c>
      <c r="F2827" s="373">
        <v>16.09</v>
      </c>
      <c r="G2827" s="430">
        <v>16.09</v>
      </c>
      <c r="H2827" s="399">
        <f t="shared" si="1063"/>
        <v>12.87</v>
      </c>
      <c r="I2827" s="576"/>
      <c r="J2827" s="549" t="s">
        <v>5804</v>
      </c>
      <c r="K2827" s="11"/>
      <c r="L2827" s="55" t="str">
        <f t="shared" si="1064"/>
        <v/>
      </c>
      <c r="M2827" s="37">
        <f t="shared" si="1065"/>
        <v>16.09</v>
      </c>
      <c r="N2827" s="29">
        <f t="shared" si="1066"/>
        <v>8.17</v>
      </c>
      <c r="O2827" s="31" t="s">
        <v>1017</v>
      </c>
      <c r="P2827" s="50"/>
      <c r="Q2827" s="50"/>
      <c r="R2827" s="60"/>
      <c r="S2827" s="50"/>
      <c r="T2827" t="s">
        <v>1017</v>
      </c>
      <c r="V2827" s="50"/>
      <c r="W2827" s="50"/>
      <c r="X2827" s="50"/>
      <c r="Y2827" s="50"/>
      <c r="Z2827" s="50"/>
      <c r="AA2827" s="52"/>
      <c r="AC2827" t="s">
        <v>1017</v>
      </c>
      <c r="AD2827" s="38"/>
    </row>
    <row r="2828" spans="1:30" x14ac:dyDescent="0.35">
      <c r="A2828" s="497" t="s">
        <v>1252</v>
      </c>
      <c r="B2828" s="13" t="s">
        <v>5547</v>
      </c>
      <c r="C2828" s="13" t="s">
        <v>2385</v>
      </c>
      <c r="D2828" s="13" t="s">
        <v>2367</v>
      </c>
      <c r="E2828" s="13" t="s">
        <v>4809</v>
      </c>
      <c r="F2828" s="373">
        <v>11.64</v>
      </c>
      <c r="G2828" s="430">
        <v>11.64</v>
      </c>
      <c r="H2828" s="399">
        <f t="shared" si="1063"/>
        <v>9.31</v>
      </c>
      <c r="I2828" s="576"/>
      <c r="J2828" s="549" t="s">
        <v>5804</v>
      </c>
      <c r="K2828" s="11"/>
      <c r="L2828" s="55" t="str">
        <f t="shared" si="1064"/>
        <v/>
      </c>
      <c r="M2828" s="37">
        <f t="shared" si="1065"/>
        <v>11.64</v>
      </c>
      <c r="N2828" s="29">
        <f t="shared" si="1066"/>
        <v>8.17</v>
      </c>
      <c r="O2828" s="31"/>
      <c r="P2828" s="50"/>
      <c r="Q2828" s="50"/>
      <c r="R2828" s="60"/>
      <c r="S2828" s="50"/>
      <c r="U2828" t="s">
        <v>1017</v>
      </c>
      <c r="V2828" s="50"/>
      <c r="W2828" s="50"/>
      <c r="X2828" s="50"/>
      <c r="Y2828" s="50"/>
      <c r="Z2828" s="50"/>
      <c r="AA2828" s="52"/>
      <c r="AC2828" t="s">
        <v>1017</v>
      </c>
      <c r="AD2828" s="38"/>
    </row>
    <row r="2829" spans="1:30" x14ac:dyDescent="0.35">
      <c r="A2829" s="497" t="s">
        <v>1253</v>
      </c>
      <c r="B2829" s="13" t="s">
        <v>5547</v>
      </c>
      <c r="C2829" s="13" t="s">
        <v>2385</v>
      </c>
      <c r="D2829" s="13" t="s">
        <v>2646</v>
      </c>
      <c r="E2829" s="13" t="s">
        <v>4811</v>
      </c>
      <c r="F2829" s="373">
        <v>14.61</v>
      </c>
      <c r="G2829" s="430">
        <v>14.61</v>
      </c>
      <c r="H2829" s="399">
        <f t="shared" si="1063"/>
        <v>11.69</v>
      </c>
      <c r="I2829" s="576"/>
      <c r="J2829" s="549" t="s">
        <v>5804</v>
      </c>
      <c r="K2829" s="11"/>
      <c r="L2829" s="55" t="str">
        <f t="shared" si="1064"/>
        <v/>
      </c>
      <c r="M2829" s="37">
        <f t="shared" si="1065"/>
        <v>14.61</v>
      </c>
      <c r="N2829" s="29">
        <f t="shared" si="1066"/>
        <v>8.17</v>
      </c>
      <c r="O2829" s="31" t="s">
        <v>1017</v>
      </c>
      <c r="P2829" s="50"/>
      <c r="Q2829" s="50"/>
      <c r="R2829" s="60"/>
      <c r="S2829" s="50"/>
      <c r="U2829" t="s">
        <v>1017</v>
      </c>
      <c r="V2829" s="50"/>
      <c r="W2829" s="50"/>
      <c r="X2829" s="50"/>
      <c r="Y2829" s="50"/>
      <c r="Z2829" s="50"/>
      <c r="AA2829" s="52"/>
      <c r="AC2829" t="s">
        <v>1017</v>
      </c>
      <c r="AD2829" s="38"/>
    </row>
    <row r="2830" spans="1:30" x14ac:dyDescent="0.35">
      <c r="A2830" s="497" t="s">
        <v>1254</v>
      </c>
      <c r="B2830" s="13" t="s">
        <v>5547</v>
      </c>
      <c r="C2830" s="13" t="s">
        <v>2385</v>
      </c>
      <c r="D2830" s="13" t="s">
        <v>596</v>
      </c>
      <c r="E2830" s="13" t="s">
        <v>4809</v>
      </c>
      <c r="F2830" s="373">
        <v>10.15</v>
      </c>
      <c r="G2830" s="430">
        <v>10.15</v>
      </c>
      <c r="H2830" s="399">
        <f t="shared" si="1063"/>
        <v>8.1199999999999992</v>
      </c>
      <c r="I2830" s="576"/>
      <c r="J2830" s="549" t="s">
        <v>5804</v>
      </c>
      <c r="K2830" s="11"/>
      <c r="L2830" s="55" t="str">
        <f t="shared" si="1064"/>
        <v/>
      </c>
      <c r="M2830" s="37">
        <f t="shared" si="1065"/>
        <v>10.15</v>
      </c>
      <c r="N2830" s="29">
        <f t="shared" si="1066"/>
        <v>8.17</v>
      </c>
      <c r="O2830" s="31"/>
      <c r="P2830" s="50"/>
      <c r="Q2830" s="50"/>
      <c r="R2830" s="60"/>
      <c r="S2830" s="50"/>
      <c r="V2830" s="50"/>
      <c r="W2830" s="50"/>
      <c r="X2830" s="50"/>
      <c r="Y2830" s="50"/>
      <c r="Z2830" s="50"/>
      <c r="AA2830" s="52"/>
      <c r="AD2830" s="38" t="s">
        <v>1017</v>
      </c>
    </row>
    <row r="2831" spans="1:30" x14ac:dyDescent="0.35">
      <c r="A2831" s="497" t="s">
        <v>1255</v>
      </c>
      <c r="B2831" s="13" t="s">
        <v>5547</v>
      </c>
      <c r="C2831" s="13" t="s">
        <v>2385</v>
      </c>
      <c r="D2831" s="13" t="s">
        <v>3199</v>
      </c>
      <c r="E2831" s="13" t="s">
        <v>4811</v>
      </c>
      <c r="F2831" s="373">
        <v>13.12</v>
      </c>
      <c r="G2831" s="430">
        <v>13.12</v>
      </c>
      <c r="H2831" s="399">
        <f t="shared" si="1063"/>
        <v>10.5</v>
      </c>
      <c r="I2831" s="576"/>
      <c r="J2831" s="549" t="s">
        <v>5804</v>
      </c>
      <c r="K2831" s="11"/>
      <c r="L2831" s="55" t="str">
        <f t="shared" si="1064"/>
        <v/>
      </c>
      <c r="M2831" s="37">
        <f t="shared" si="1065"/>
        <v>13.120000000000001</v>
      </c>
      <c r="N2831" s="29">
        <f t="shared" si="1066"/>
        <v>8.17</v>
      </c>
      <c r="O2831" s="31" t="s">
        <v>1017</v>
      </c>
      <c r="P2831" s="50"/>
      <c r="Q2831" s="50"/>
      <c r="R2831" s="60"/>
      <c r="S2831" s="50"/>
      <c r="V2831" s="50"/>
      <c r="W2831" s="50"/>
      <c r="X2831" s="50"/>
      <c r="Y2831" s="50"/>
      <c r="Z2831" s="50"/>
      <c r="AA2831" s="52"/>
      <c r="AD2831" s="38" t="s">
        <v>1017</v>
      </c>
    </row>
    <row r="2832" spans="1:30" x14ac:dyDescent="0.35">
      <c r="A2832" s="497" t="s">
        <v>1256</v>
      </c>
      <c r="B2832" s="13" t="s">
        <v>5547</v>
      </c>
      <c r="C2832" s="13" t="s">
        <v>2385</v>
      </c>
      <c r="D2832" s="13" t="s">
        <v>851</v>
      </c>
      <c r="E2832" s="13" t="s">
        <v>4809</v>
      </c>
      <c r="F2832" s="373">
        <v>14.11</v>
      </c>
      <c r="G2832" s="430">
        <v>14.11</v>
      </c>
      <c r="H2832" s="399">
        <f t="shared" si="1063"/>
        <v>11.29</v>
      </c>
      <c r="I2832" s="576"/>
      <c r="J2832" s="549" t="s">
        <v>5804</v>
      </c>
      <c r="K2832" s="11"/>
      <c r="L2832" s="55" t="str">
        <f t="shared" si="1064"/>
        <v/>
      </c>
      <c r="M2832" s="37">
        <f t="shared" si="1065"/>
        <v>14.11</v>
      </c>
      <c r="N2832" s="29">
        <f t="shared" si="1066"/>
        <v>8.17</v>
      </c>
      <c r="O2832" s="31"/>
      <c r="P2832" s="50"/>
      <c r="Q2832" s="50"/>
      <c r="R2832" s="60"/>
      <c r="S2832" s="50"/>
      <c r="T2832" t="s">
        <v>1017</v>
      </c>
      <c r="V2832" s="50"/>
      <c r="W2832" s="50"/>
      <c r="X2832" s="50"/>
      <c r="Y2832" s="50"/>
      <c r="Z2832" s="50"/>
      <c r="AA2832" s="52"/>
      <c r="AD2832" s="38" t="s">
        <v>1017</v>
      </c>
    </row>
    <row r="2833" spans="1:31" x14ac:dyDescent="0.35">
      <c r="A2833" s="497" t="s">
        <v>1257</v>
      </c>
      <c r="B2833" s="13" t="s">
        <v>5547</v>
      </c>
      <c r="C2833" s="13" t="s">
        <v>2385</v>
      </c>
      <c r="D2833" s="13" t="s">
        <v>2654</v>
      </c>
      <c r="E2833" s="13" t="s">
        <v>4811</v>
      </c>
      <c r="F2833" s="373">
        <v>17.079999999999998</v>
      </c>
      <c r="G2833" s="430">
        <v>17.079999999999998</v>
      </c>
      <c r="H2833" s="399">
        <f t="shared" si="1063"/>
        <v>13.66</v>
      </c>
      <c r="I2833" s="576"/>
      <c r="J2833" s="549" t="s">
        <v>5804</v>
      </c>
      <c r="K2833" s="11"/>
      <c r="L2833" s="55" t="str">
        <f t="shared" si="1064"/>
        <v/>
      </c>
      <c r="M2833" s="37">
        <f t="shared" si="1065"/>
        <v>17.079999999999998</v>
      </c>
      <c r="N2833" s="29">
        <f t="shared" si="1066"/>
        <v>8.17</v>
      </c>
      <c r="O2833" s="31" t="s">
        <v>1017</v>
      </c>
      <c r="P2833" s="50"/>
      <c r="Q2833" s="50"/>
      <c r="R2833" s="60"/>
      <c r="S2833" s="50"/>
      <c r="T2833" t="s">
        <v>1017</v>
      </c>
      <c r="V2833" s="50"/>
      <c r="W2833" s="50"/>
      <c r="X2833" s="50"/>
      <c r="Y2833" s="50"/>
      <c r="Z2833" s="50"/>
      <c r="AA2833" s="52"/>
      <c r="AD2833" s="38" t="s">
        <v>1017</v>
      </c>
    </row>
    <row r="2834" spans="1:31" x14ac:dyDescent="0.35">
      <c r="A2834" s="497" t="s">
        <v>1258</v>
      </c>
      <c r="B2834" s="13" t="s">
        <v>5547</v>
      </c>
      <c r="C2834" s="13" t="s">
        <v>2385</v>
      </c>
      <c r="D2834" s="13" t="s">
        <v>2368</v>
      </c>
      <c r="E2834" s="13" t="s">
        <v>4809</v>
      </c>
      <c r="F2834" s="373">
        <v>12.63</v>
      </c>
      <c r="G2834" s="430">
        <v>12.63</v>
      </c>
      <c r="H2834" s="399">
        <f t="shared" si="1063"/>
        <v>10.1</v>
      </c>
      <c r="I2834" s="576"/>
      <c r="J2834" s="549" t="s">
        <v>5804</v>
      </c>
      <c r="K2834" s="11"/>
      <c r="L2834" s="55" t="str">
        <f t="shared" si="1064"/>
        <v/>
      </c>
      <c r="M2834" s="37">
        <f t="shared" si="1065"/>
        <v>12.629999999999999</v>
      </c>
      <c r="N2834" s="29">
        <f t="shared" si="1066"/>
        <v>8.17</v>
      </c>
      <c r="O2834" s="31"/>
      <c r="P2834" s="50"/>
      <c r="Q2834" s="50"/>
      <c r="R2834" s="60"/>
      <c r="S2834" s="50"/>
      <c r="U2834" t="s">
        <v>1017</v>
      </c>
      <c r="V2834" s="50"/>
      <c r="W2834" s="50"/>
      <c r="X2834" s="50"/>
      <c r="Y2834" s="50"/>
      <c r="Z2834" s="50"/>
      <c r="AA2834" s="52"/>
      <c r="AD2834" s="38" t="s">
        <v>1017</v>
      </c>
    </row>
    <row r="2835" spans="1:31" x14ac:dyDescent="0.35">
      <c r="A2835" s="497" t="s">
        <v>1259</v>
      </c>
      <c r="B2835" s="13" t="s">
        <v>5547</v>
      </c>
      <c r="C2835" s="13" t="s">
        <v>2385</v>
      </c>
      <c r="D2835" s="13" t="s">
        <v>2655</v>
      </c>
      <c r="E2835" s="13" t="s">
        <v>4811</v>
      </c>
      <c r="F2835" s="373">
        <v>15.6</v>
      </c>
      <c r="G2835" s="430">
        <v>15.6</v>
      </c>
      <c r="H2835" s="399">
        <f t="shared" si="1063"/>
        <v>12.48</v>
      </c>
      <c r="I2835" s="576"/>
      <c r="J2835" s="549" t="s">
        <v>5804</v>
      </c>
      <c r="K2835" s="11"/>
      <c r="L2835" s="55" t="str">
        <f t="shared" si="1064"/>
        <v/>
      </c>
      <c r="M2835" s="37">
        <f t="shared" si="1065"/>
        <v>15.6</v>
      </c>
      <c r="N2835" s="29">
        <f t="shared" si="1066"/>
        <v>8.17</v>
      </c>
      <c r="O2835" s="31" t="s">
        <v>1017</v>
      </c>
      <c r="P2835" s="50"/>
      <c r="Q2835" s="50"/>
      <c r="R2835" s="60"/>
      <c r="S2835" s="50"/>
      <c r="U2835" t="s">
        <v>1017</v>
      </c>
      <c r="V2835" s="50"/>
      <c r="W2835" s="50"/>
      <c r="X2835" s="50"/>
      <c r="Y2835" s="50"/>
      <c r="Z2835" s="50"/>
      <c r="AA2835" s="52"/>
      <c r="AD2835" s="38" t="s">
        <v>1017</v>
      </c>
    </row>
    <row r="2836" spans="1:31" x14ac:dyDescent="0.35">
      <c r="A2836" s="497" t="s">
        <v>1260</v>
      </c>
      <c r="B2836" s="13" t="s">
        <v>5547</v>
      </c>
      <c r="C2836" s="13" t="s">
        <v>2385</v>
      </c>
      <c r="D2836" s="13" t="s">
        <v>2904</v>
      </c>
      <c r="E2836" s="13" t="s">
        <v>4811</v>
      </c>
      <c r="F2836" s="373">
        <v>10.68</v>
      </c>
      <c r="G2836" s="430">
        <v>10.68</v>
      </c>
      <c r="H2836" s="399">
        <f t="shared" si="1063"/>
        <v>8.5399999999999991</v>
      </c>
      <c r="I2836" s="576"/>
      <c r="J2836" s="549" t="s">
        <v>5804</v>
      </c>
      <c r="K2836" s="655"/>
      <c r="L2836" s="68" t="str">
        <f t="shared" si="1064"/>
        <v/>
      </c>
      <c r="M2836" s="45">
        <f t="shared" si="1065"/>
        <v>10.68</v>
      </c>
      <c r="N2836" s="40">
        <f t="shared" si="1066"/>
        <v>7.71</v>
      </c>
      <c r="O2836" s="69" t="s">
        <v>1017</v>
      </c>
      <c r="P2836" s="70" t="s">
        <v>1262</v>
      </c>
      <c r="Q2836" s="62"/>
      <c r="R2836" s="61"/>
      <c r="S2836" s="62"/>
      <c r="T2836" s="62"/>
      <c r="U2836" s="62"/>
      <c r="V2836" s="62"/>
      <c r="W2836" s="62"/>
      <c r="X2836" s="62"/>
      <c r="Y2836" s="62"/>
      <c r="Z2836" s="62"/>
      <c r="AA2836" s="63"/>
      <c r="AB2836" s="62"/>
      <c r="AC2836" s="62"/>
      <c r="AD2836" s="63"/>
    </row>
    <row r="2837" spans="1:31" x14ac:dyDescent="0.35">
      <c r="A2837" s="496"/>
      <c r="B2837" s="1"/>
      <c r="C2837" s="1"/>
      <c r="D2837" s="1"/>
      <c r="E2837" s="1"/>
      <c r="F2837" s="362"/>
      <c r="G2837" s="425"/>
      <c r="H2837" s="10"/>
      <c r="I2837" s="566"/>
      <c r="J2837" s="549" t="s">
        <v>4179</v>
      </c>
      <c r="L2837" s="77"/>
      <c r="M2837" s="11"/>
    </row>
    <row r="2838" spans="1:31" ht="17.25" customHeight="1" x14ac:dyDescent="0.35">
      <c r="A2838" s="496"/>
      <c r="B2838" s="1"/>
      <c r="C2838" s="1"/>
      <c r="D2838" s="1"/>
      <c r="E2838" s="1"/>
      <c r="F2838" s="375"/>
      <c r="G2838" s="432"/>
      <c r="H2838" s="401"/>
      <c r="I2838" s="578"/>
      <c r="J2838" s="549" t="s">
        <v>4179</v>
      </c>
      <c r="K2838" s="22"/>
      <c r="M2838" s="53" t="str">
        <f>"Vergütungsberechnung für Anlagen mit Inbetriebnahmejahr "&amp;M2839</f>
        <v>Vergütungsberechnung für Anlagen mit Inbetriebnahmejahr 2011</v>
      </c>
      <c r="N2838" s="27"/>
      <c r="O2838" s="22"/>
      <c r="P2838" s="22"/>
    </row>
    <row r="2839" spans="1:31" x14ac:dyDescent="0.35">
      <c r="A2839" s="496"/>
      <c r="B2839" s="1"/>
      <c r="C2839" s="18"/>
      <c r="D2839" s="18"/>
      <c r="E2839" s="1"/>
      <c r="F2839" s="375"/>
      <c r="G2839" s="432"/>
      <c r="H2839" s="401"/>
      <c r="I2839" s="578"/>
      <c r="J2839" s="549" t="s">
        <v>4179</v>
      </c>
      <c r="K2839" s="22"/>
      <c r="L2839" s="22"/>
      <c r="M2839" s="150">
        <v>2011</v>
      </c>
      <c r="N2839" s="22"/>
      <c r="O2839" s="31" t="s">
        <v>2660</v>
      </c>
      <c r="P2839" s="22"/>
      <c r="R2839" s="42"/>
      <c r="S2839" s="31" t="s">
        <v>776</v>
      </c>
      <c r="AA2839" s="38"/>
      <c r="AB2839" s="57" t="s">
        <v>777</v>
      </c>
      <c r="AD2839" s="38"/>
    </row>
    <row r="2840" spans="1:31" ht="63.5" x14ac:dyDescent="0.35">
      <c r="A2840" s="496"/>
      <c r="B2840" s="1"/>
      <c r="C2840" s="18"/>
      <c r="D2840" s="18"/>
      <c r="E2840" s="1"/>
      <c r="F2840" s="375"/>
      <c r="G2840" s="432"/>
      <c r="H2840" s="401"/>
      <c r="I2840" s="578"/>
      <c r="J2840" s="549" t="s">
        <v>4179</v>
      </c>
      <c r="K2840" s="22"/>
      <c r="L2840" s="22"/>
      <c r="M2840" s="36" t="s">
        <v>2913</v>
      </c>
      <c r="N2840" s="30" t="s">
        <v>1261</v>
      </c>
      <c r="O2840" s="32" t="s">
        <v>4851</v>
      </c>
      <c r="P2840" s="48"/>
      <c r="Q2840" s="48"/>
      <c r="R2840" s="65" t="s">
        <v>4853</v>
      </c>
      <c r="S2840" s="30" t="s">
        <v>1021</v>
      </c>
      <c r="T2840" s="30" t="s">
        <v>1029</v>
      </c>
      <c r="U2840" s="30" t="s">
        <v>786</v>
      </c>
      <c r="V2840" s="64" t="s">
        <v>4883</v>
      </c>
      <c r="W2840" s="64" t="s">
        <v>5519</v>
      </c>
      <c r="X2840" s="64" t="s">
        <v>5520</v>
      </c>
      <c r="Y2840" s="64" t="s">
        <v>5521</v>
      </c>
      <c r="Z2840" s="64" t="s">
        <v>4852</v>
      </c>
      <c r="AA2840" s="66" t="s">
        <v>770</v>
      </c>
      <c r="AB2840" s="30" t="s">
        <v>772</v>
      </c>
      <c r="AC2840" s="30" t="s">
        <v>773</v>
      </c>
      <c r="AD2840" s="39" t="s">
        <v>774</v>
      </c>
      <c r="AE2840" s="95" t="s">
        <v>5489</v>
      </c>
    </row>
    <row r="2841" spans="1:31" ht="31.5" x14ac:dyDescent="0.35">
      <c r="A2841" s="496"/>
      <c r="B2841" s="1"/>
      <c r="C2841" s="18"/>
      <c r="D2841" s="18"/>
      <c r="E2841" s="1"/>
      <c r="F2841" s="375"/>
      <c r="G2841" s="432"/>
      <c r="H2841" s="401"/>
      <c r="I2841" s="578"/>
      <c r="J2841" s="549" t="s">
        <v>4179</v>
      </c>
      <c r="K2841" s="22"/>
      <c r="L2841" s="22"/>
      <c r="M2841" s="34"/>
      <c r="N2841" s="30"/>
      <c r="O2841" s="32" t="s">
        <v>1033</v>
      </c>
      <c r="P2841" s="48"/>
      <c r="Q2841" s="48"/>
      <c r="R2841" s="43" t="s">
        <v>1034</v>
      </c>
      <c r="S2841" s="32" t="s">
        <v>1019</v>
      </c>
      <c r="T2841" s="30" t="s">
        <v>1020</v>
      </c>
      <c r="U2841" s="30" t="s">
        <v>1022</v>
      </c>
      <c r="V2841" s="30" t="s">
        <v>1023</v>
      </c>
      <c r="W2841" s="30" t="s">
        <v>1024</v>
      </c>
      <c r="X2841" s="30" t="s">
        <v>1025</v>
      </c>
      <c r="Y2841" s="30" t="s">
        <v>1026</v>
      </c>
      <c r="Z2841" s="30" t="s">
        <v>1028</v>
      </c>
      <c r="AA2841" s="39" t="s">
        <v>1027</v>
      </c>
      <c r="AB2841" s="30" t="s">
        <v>1032</v>
      </c>
      <c r="AC2841" s="30" t="s">
        <v>1030</v>
      </c>
      <c r="AD2841" s="39" t="s">
        <v>1031</v>
      </c>
      <c r="AE2841" s="100">
        <v>0.01</v>
      </c>
    </row>
    <row r="2842" spans="1:31" x14ac:dyDescent="0.35">
      <c r="A2842" s="496"/>
      <c r="B2842" s="1"/>
      <c r="C2842" s="1"/>
      <c r="D2842" s="1"/>
      <c r="E2842" s="1"/>
      <c r="F2842" s="375"/>
      <c r="G2842" s="432"/>
      <c r="H2842" s="401"/>
      <c r="I2842" s="578"/>
      <c r="J2842" s="549" t="s">
        <v>4179</v>
      </c>
      <c r="L2842" s="56"/>
      <c r="M2842" s="35"/>
      <c r="N2842" s="28"/>
      <c r="O2842" s="158">
        <f>ROUND(O$2396*(1-$AE$2841)^($M2839-2009),2)</f>
        <v>2.94</v>
      </c>
      <c r="P2842" s="49"/>
      <c r="Q2842" s="49"/>
      <c r="R2842" s="158">
        <f>ROUND(R$2396*(1-$AE$2841)^($M2839-2009),2)</f>
        <v>0.98</v>
      </c>
      <c r="S2842" s="158">
        <f>ROUND(S$2396*(1-$AE$2841)^($M2839-2009),2)</f>
        <v>5.88</v>
      </c>
      <c r="T2842" s="158">
        <f>ROUND(T$2396*(1-$AE$2841)^($M2839-2009),2)</f>
        <v>3.92</v>
      </c>
      <c r="U2842" s="158">
        <f>ROUND(U$2396*(1-$AE$2841)^($M2839-2009),2)</f>
        <v>2.4500000000000002</v>
      </c>
      <c r="V2842" s="158">
        <f>ROUND(V$2396*(1-$AE$2841)^($M2839-2009),2)</f>
        <v>6.86</v>
      </c>
      <c r="W2842" s="158">
        <f>V2842+ROUND(4*(1-$AE$2841)^($M2839-2009),2)</f>
        <v>10.780000000000001</v>
      </c>
      <c r="X2842" s="158">
        <f>V2842+ROUND(1*(1-$AE$2841)^($M2839-2009),2)</f>
        <v>7.84</v>
      </c>
      <c r="Y2842" s="158">
        <f>V2842+ROUND(2*(1-$AE$2841)^($M2839-2009),2)</f>
        <v>8.82</v>
      </c>
      <c r="Z2842" s="158">
        <f>W2842+ROUND(2*(1-$AE$2841)^($M2839-2009),2)</f>
        <v>12.740000000000002</v>
      </c>
      <c r="AA2842" s="158">
        <f>X2842+ROUND(2*(1-$AE$2841)^($M2839-2009),2)</f>
        <v>9.8000000000000007</v>
      </c>
      <c r="AB2842" s="158">
        <f>ROUND(AB$2396*(1-$AE$2841)^($M2839-2009),2)</f>
        <v>1.96</v>
      </c>
      <c r="AC2842" s="158">
        <f>ROUND(AC$2396*(1-$AE$2841)^($M2839-2009),2)</f>
        <v>0.98</v>
      </c>
      <c r="AD2842" s="158">
        <f>ROUND(AD$2396*(1-$AE$2841)^($M2839-2009),2)</f>
        <v>1.96</v>
      </c>
      <c r="AE2842" s="159" t="s">
        <v>1215</v>
      </c>
    </row>
    <row r="2843" spans="1:31" x14ac:dyDescent="0.35">
      <c r="A2843" s="497" t="str">
        <f t="shared" ref="A2843:A2906" si="1067">LEFT(A2620,12)&amp;($M$2839-2000)</f>
        <v>BiK270------11</v>
      </c>
      <c r="B2843" s="13" t="s">
        <v>5547</v>
      </c>
      <c r="C2843" s="13" t="str">
        <f t="shared" ref="C2843:C2906" si="1068">"Inbetriebnahme "&amp;$M$2839</f>
        <v>Inbetriebnahme 2011</v>
      </c>
      <c r="D2843" s="13" t="s">
        <v>1780</v>
      </c>
      <c r="E2843" s="13" t="s">
        <v>4809</v>
      </c>
      <c r="F2843" s="373">
        <f t="shared" ref="F2843:F2906" si="1069">M2843</f>
        <v>11.44</v>
      </c>
      <c r="G2843" s="430">
        <v>11.44</v>
      </c>
      <c r="H2843" s="399">
        <f t="shared" ref="H2843:H2906" si="1070">IF(ISNUMBER(G2843),ROUND(0.8*G2843,2),"")</f>
        <v>9.15</v>
      </c>
      <c r="I2843" s="576"/>
      <c r="J2843" s="549" t="s">
        <v>5804</v>
      </c>
      <c r="K2843" s="11"/>
      <c r="L2843" s="55" t="str">
        <f t="shared" ref="L2843:L2906" si="1071">IF(F2843=M2843,"",FALSE)</f>
        <v/>
      </c>
      <c r="M2843" s="37">
        <f t="shared" ref="M2843:M2906" si="1072">N2843+SUMIF(O2843:AD2843,"x",$O$2842:$AD$2842)</f>
        <v>11.44</v>
      </c>
      <c r="N2843" s="29">
        <f t="shared" ref="N2843:N2906" si="1073">ROUND(N2397*(1-$AE$2841)^($M$2839-2009),2)</f>
        <v>11.44</v>
      </c>
      <c r="O2843" s="46"/>
      <c r="P2843" s="50"/>
      <c r="Q2843" s="50"/>
      <c r="R2843" s="54"/>
      <c r="T2843" s="50"/>
      <c r="U2843" s="50"/>
      <c r="X2843" s="50"/>
      <c r="AA2843" s="51"/>
      <c r="AD2843" s="47"/>
    </row>
    <row r="2844" spans="1:31" x14ac:dyDescent="0.35">
      <c r="A2844" s="497" t="str">
        <f t="shared" si="1067"/>
        <v>BiK270K-----11</v>
      </c>
      <c r="B2844" s="13" t="s">
        <v>5547</v>
      </c>
      <c r="C2844" s="13" t="str">
        <f t="shared" si="1068"/>
        <v>Inbetriebnahme 2011</v>
      </c>
      <c r="D2844" s="13" t="s">
        <v>7242</v>
      </c>
      <c r="E2844" s="13" t="s">
        <v>4811</v>
      </c>
      <c r="F2844" s="373">
        <f t="shared" si="1069"/>
        <v>14.379999999999999</v>
      </c>
      <c r="G2844" s="430">
        <v>14.379999999999999</v>
      </c>
      <c r="H2844" s="399">
        <f t="shared" si="1070"/>
        <v>11.5</v>
      </c>
      <c r="I2844" s="576"/>
      <c r="J2844" s="549" t="s">
        <v>5804</v>
      </c>
      <c r="K2844" s="11"/>
      <c r="L2844" s="55" t="str">
        <f t="shared" si="1071"/>
        <v/>
      </c>
      <c r="M2844" s="37">
        <f t="shared" si="1072"/>
        <v>14.379999999999999</v>
      </c>
      <c r="N2844" s="29">
        <f t="shared" si="1073"/>
        <v>11.44</v>
      </c>
      <c r="O2844" s="31" t="s">
        <v>1017</v>
      </c>
      <c r="P2844" s="50"/>
      <c r="Q2844" s="50"/>
      <c r="R2844" s="42"/>
      <c r="T2844" s="50"/>
      <c r="U2844" s="50"/>
      <c r="X2844" s="50"/>
      <c r="AA2844" s="52"/>
      <c r="AD2844" s="38"/>
    </row>
    <row r="2845" spans="1:31" x14ac:dyDescent="0.35">
      <c r="A2845" s="497" t="str">
        <f t="shared" si="1067"/>
        <v>BiK270i-----11</v>
      </c>
      <c r="B2845" s="13" t="s">
        <v>5547</v>
      </c>
      <c r="C2845" s="13" t="str">
        <f t="shared" si="1068"/>
        <v>Inbetriebnahme 2011</v>
      </c>
      <c r="D2845" s="13" t="s">
        <v>7243</v>
      </c>
      <c r="E2845" s="13" t="s">
        <v>4809</v>
      </c>
      <c r="F2845" s="373">
        <f t="shared" si="1069"/>
        <v>12.42</v>
      </c>
      <c r="G2845" s="430">
        <v>12.42</v>
      </c>
      <c r="H2845" s="399">
        <f t="shared" si="1070"/>
        <v>9.94</v>
      </c>
      <c r="I2845" s="576"/>
      <c r="J2845" s="549" t="s">
        <v>5804</v>
      </c>
      <c r="K2845" s="11"/>
      <c r="L2845" s="55" t="str">
        <f t="shared" si="1071"/>
        <v/>
      </c>
      <c r="M2845" s="37">
        <f t="shared" si="1072"/>
        <v>12.42</v>
      </c>
      <c r="N2845" s="29">
        <f t="shared" si="1073"/>
        <v>11.44</v>
      </c>
      <c r="O2845" s="31"/>
      <c r="P2845" s="50"/>
      <c r="Q2845" s="50"/>
      <c r="R2845" s="42" t="s">
        <v>1017</v>
      </c>
      <c r="T2845" s="50"/>
      <c r="U2845" s="50"/>
      <c r="X2845" s="50"/>
      <c r="AA2845" s="52"/>
      <c r="AD2845" s="38"/>
    </row>
    <row r="2846" spans="1:31" x14ac:dyDescent="0.35">
      <c r="A2846" s="497" t="str">
        <f t="shared" si="1067"/>
        <v>BiK270iK----11</v>
      </c>
      <c r="B2846" s="13" t="s">
        <v>5547</v>
      </c>
      <c r="C2846" s="13" t="str">
        <f t="shared" si="1068"/>
        <v>Inbetriebnahme 2011</v>
      </c>
      <c r="D2846" s="13" t="s">
        <v>7244</v>
      </c>
      <c r="E2846" s="13" t="s">
        <v>4811</v>
      </c>
      <c r="F2846" s="373">
        <f t="shared" si="1069"/>
        <v>15.36</v>
      </c>
      <c r="G2846" s="430">
        <v>15.36</v>
      </c>
      <c r="H2846" s="399">
        <f t="shared" si="1070"/>
        <v>12.29</v>
      </c>
      <c r="I2846" s="576"/>
      <c r="J2846" s="549" t="s">
        <v>5804</v>
      </c>
      <c r="K2846" s="11"/>
      <c r="L2846" s="55" t="str">
        <f t="shared" si="1071"/>
        <v/>
      </c>
      <c r="M2846" s="37">
        <f t="shared" si="1072"/>
        <v>15.36</v>
      </c>
      <c r="N2846" s="29">
        <f t="shared" si="1073"/>
        <v>11.44</v>
      </c>
      <c r="O2846" s="31" t="s">
        <v>1017</v>
      </c>
      <c r="P2846" s="50"/>
      <c r="Q2846" s="50"/>
      <c r="R2846" s="42" t="s">
        <v>1017</v>
      </c>
      <c r="T2846" s="50"/>
      <c r="U2846" s="50"/>
      <c r="X2846" s="50"/>
      <c r="AA2846" s="52"/>
      <c r="AD2846" s="38"/>
    </row>
    <row r="2847" spans="1:31" x14ac:dyDescent="0.35">
      <c r="A2847" s="497" t="str">
        <f t="shared" si="1067"/>
        <v>BiK270a1----11</v>
      </c>
      <c r="B2847" s="13" t="s">
        <v>5547</v>
      </c>
      <c r="C2847" s="13" t="str">
        <f t="shared" si="1068"/>
        <v>Inbetriebnahme 2011</v>
      </c>
      <c r="D2847" s="13" t="s">
        <v>6876</v>
      </c>
      <c r="E2847" s="13" t="s">
        <v>4809</v>
      </c>
      <c r="F2847" s="373">
        <f t="shared" si="1069"/>
        <v>17.32</v>
      </c>
      <c r="G2847" s="430">
        <v>17.32</v>
      </c>
      <c r="H2847" s="399">
        <f t="shared" si="1070"/>
        <v>13.86</v>
      </c>
      <c r="I2847" s="576"/>
      <c r="J2847" s="549" t="s">
        <v>5804</v>
      </c>
      <c r="K2847" s="11"/>
      <c r="L2847" s="55" t="str">
        <f t="shared" si="1071"/>
        <v/>
      </c>
      <c r="M2847" s="37">
        <f t="shared" si="1072"/>
        <v>17.32</v>
      </c>
      <c r="N2847" s="29">
        <f t="shared" si="1073"/>
        <v>11.44</v>
      </c>
      <c r="O2847" s="31"/>
      <c r="P2847" s="50"/>
      <c r="Q2847" s="50"/>
      <c r="R2847" s="42"/>
      <c r="S2847" t="s">
        <v>1017</v>
      </c>
      <c r="T2847" s="50"/>
      <c r="U2847" s="50"/>
      <c r="X2847" s="50"/>
      <c r="AA2847" s="52"/>
      <c r="AD2847" s="38"/>
    </row>
    <row r="2848" spans="1:31" x14ac:dyDescent="0.35">
      <c r="A2848" s="497" t="str">
        <f t="shared" si="1067"/>
        <v>BiK270a1K---11</v>
      </c>
      <c r="B2848" s="13" t="s">
        <v>5547</v>
      </c>
      <c r="C2848" s="13" t="str">
        <f t="shared" si="1068"/>
        <v>Inbetriebnahme 2011</v>
      </c>
      <c r="D2848" s="13" t="s">
        <v>7245</v>
      </c>
      <c r="E2848" s="13" t="s">
        <v>4811</v>
      </c>
      <c r="F2848" s="373">
        <f t="shared" si="1069"/>
        <v>20.259999999999998</v>
      </c>
      <c r="G2848" s="430">
        <v>20.259999999999998</v>
      </c>
      <c r="H2848" s="399">
        <f t="shared" si="1070"/>
        <v>16.21</v>
      </c>
      <c r="I2848" s="576"/>
      <c r="J2848" s="549" t="s">
        <v>5804</v>
      </c>
      <c r="K2848" s="11"/>
      <c r="L2848" s="55" t="str">
        <f t="shared" si="1071"/>
        <v/>
      </c>
      <c r="M2848" s="37">
        <f t="shared" si="1072"/>
        <v>20.259999999999998</v>
      </c>
      <c r="N2848" s="29">
        <f t="shared" si="1073"/>
        <v>11.44</v>
      </c>
      <c r="O2848" s="31" t="s">
        <v>1017</v>
      </c>
      <c r="P2848" s="50"/>
      <c r="Q2848" s="50"/>
      <c r="R2848" s="42"/>
      <c r="S2848" t="s">
        <v>1017</v>
      </c>
      <c r="T2848" s="50"/>
      <c r="U2848" s="50"/>
      <c r="X2848" s="50"/>
      <c r="AA2848" s="52"/>
      <c r="AD2848" s="38"/>
    </row>
    <row r="2849" spans="1:30" x14ac:dyDescent="0.35">
      <c r="A2849" s="497" t="str">
        <f t="shared" si="1067"/>
        <v>BiK270a1i---11</v>
      </c>
      <c r="B2849" s="13" t="s">
        <v>5547</v>
      </c>
      <c r="C2849" s="13" t="str">
        <f t="shared" si="1068"/>
        <v>Inbetriebnahme 2011</v>
      </c>
      <c r="D2849" s="13" t="s">
        <v>7246</v>
      </c>
      <c r="E2849" s="13" t="s">
        <v>4809</v>
      </c>
      <c r="F2849" s="373">
        <f t="shared" si="1069"/>
        <v>18.299999999999997</v>
      </c>
      <c r="G2849" s="430">
        <v>18.299999999999997</v>
      </c>
      <c r="H2849" s="399">
        <f t="shared" si="1070"/>
        <v>14.64</v>
      </c>
      <c r="I2849" s="576"/>
      <c r="J2849" s="549" t="s">
        <v>5804</v>
      </c>
      <c r="K2849" s="11"/>
      <c r="L2849" s="55" t="str">
        <f t="shared" si="1071"/>
        <v/>
      </c>
      <c r="M2849" s="37">
        <f t="shared" si="1072"/>
        <v>18.299999999999997</v>
      </c>
      <c r="N2849" s="29">
        <f t="shared" si="1073"/>
        <v>11.44</v>
      </c>
      <c r="O2849" s="31"/>
      <c r="P2849" s="50"/>
      <c r="Q2849" s="50"/>
      <c r="R2849" s="42" t="s">
        <v>1017</v>
      </c>
      <c r="S2849" t="s">
        <v>1017</v>
      </c>
      <c r="T2849" s="50"/>
      <c r="U2849" s="50"/>
      <c r="X2849" s="50"/>
      <c r="AA2849" s="52"/>
      <c r="AD2849" s="38"/>
    </row>
    <row r="2850" spans="1:30" x14ac:dyDescent="0.35">
      <c r="A2850" s="497" t="str">
        <f t="shared" si="1067"/>
        <v>BiK270a1iK--11</v>
      </c>
      <c r="B2850" s="13" t="s">
        <v>5547</v>
      </c>
      <c r="C2850" s="13" t="str">
        <f t="shared" si="1068"/>
        <v>Inbetriebnahme 2011</v>
      </c>
      <c r="D2850" s="13" t="s">
        <v>7247</v>
      </c>
      <c r="E2850" s="13" t="s">
        <v>4811</v>
      </c>
      <c r="F2850" s="373">
        <f t="shared" si="1069"/>
        <v>21.240000000000002</v>
      </c>
      <c r="G2850" s="430">
        <v>21.240000000000002</v>
      </c>
      <c r="H2850" s="399">
        <f t="shared" si="1070"/>
        <v>16.989999999999998</v>
      </c>
      <c r="I2850" s="576"/>
      <c r="J2850" s="549" t="s">
        <v>5804</v>
      </c>
      <c r="K2850" s="11"/>
      <c r="L2850" s="55" t="str">
        <f t="shared" si="1071"/>
        <v/>
      </c>
      <c r="M2850" s="37">
        <f t="shared" si="1072"/>
        <v>21.240000000000002</v>
      </c>
      <c r="N2850" s="29">
        <f t="shared" si="1073"/>
        <v>11.44</v>
      </c>
      <c r="O2850" s="31" t="s">
        <v>1017</v>
      </c>
      <c r="P2850" s="50"/>
      <c r="Q2850" s="50"/>
      <c r="R2850" s="42" t="s">
        <v>1017</v>
      </c>
      <c r="S2850" t="s">
        <v>1017</v>
      </c>
      <c r="T2850" s="50"/>
      <c r="U2850" s="50"/>
      <c r="X2850" s="50"/>
      <c r="AA2850" s="52"/>
      <c r="AD2850" s="38"/>
    </row>
    <row r="2851" spans="1:30" x14ac:dyDescent="0.35">
      <c r="A2851" s="497" t="str">
        <f t="shared" si="1067"/>
        <v>BiK270G-----11</v>
      </c>
      <c r="B2851" s="13" t="s">
        <v>5547</v>
      </c>
      <c r="C2851" s="13" t="str">
        <f t="shared" si="1068"/>
        <v>Inbetriebnahme 2011</v>
      </c>
      <c r="D2851" s="13" t="s">
        <v>6805</v>
      </c>
      <c r="E2851" s="13" t="s">
        <v>4809</v>
      </c>
      <c r="F2851" s="373">
        <f t="shared" si="1069"/>
        <v>18.3</v>
      </c>
      <c r="G2851" s="430">
        <v>18.3</v>
      </c>
      <c r="H2851" s="399">
        <f t="shared" si="1070"/>
        <v>14.64</v>
      </c>
      <c r="I2851" s="576"/>
      <c r="J2851" s="549" t="s">
        <v>5804</v>
      </c>
      <c r="K2851" s="11"/>
      <c r="L2851" s="55" t="str">
        <f t="shared" si="1071"/>
        <v/>
      </c>
      <c r="M2851" s="37">
        <f t="shared" si="1072"/>
        <v>18.3</v>
      </c>
      <c r="N2851" s="29">
        <f t="shared" si="1073"/>
        <v>11.44</v>
      </c>
      <c r="O2851" s="31"/>
      <c r="P2851" s="50"/>
      <c r="Q2851" s="50"/>
      <c r="R2851" s="42"/>
      <c r="T2851" s="50"/>
      <c r="U2851" s="50"/>
      <c r="V2851" t="s">
        <v>1017</v>
      </c>
      <c r="X2851" s="50"/>
      <c r="AA2851" s="52"/>
      <c r="AD2851" s="38"/>
    </row>
    <row r="2852" spans="1:30" x14ac:dyDescent="0.35">
      <c r="A2852" s="497" t="str">
        <f t="shared" si="1067"/>
        <v>BiK270GK----11</v>
      </c>
      <c r="B2852" s="13" t="s">
        <v>5547</v>
      </c>
      <c r="C2852" s="13" t="str">
        <f t="shared" si="1068"/>
        <v>Inbetriebnahme 2011</v>
      </c>
      <c r="D2852" s="13" t="s">
        <v>7248</v>
      </c>
      <c r="E2852" s="13" t="s">
        <v>4811</v>
      </c>
      <c r="F2852" s="373">
        <f t="shared" si="1069"/>
        <v>21.240000000000002</v>
      </c>
      <c r="G2852" s="430">
        <v>21.240000000000002</v>
      </c>
      <c r="H2852" s="399">
        <f t="shared" si="1070"/>
        <v>16.989999999999998</v>
      </c>
      <c r="I2852" s="576"/>
      <c r="J2852" s="549" t="s">
        <v>5804</v>
      </c>
      <c r="K2852" s="11"/>
      <c r="L2852" s="55" t="str">
        <f t="shared" si="1071"/>
        <v/>
      </c>
      <c r="M2852" s="37">
        <f t="shared" si="1072"/>
        <v>21.240000000000002</v>
      </c>
      <c r="N2852" s="29">
        <f t="shared" si="1073"/>
        <v>11.44</v>
      </c>
      <c r="O2852" s="31" t="s">
        <v>1017</v>
      </c>
      <c r="P2852" s="50"/>
      <c r="Q2852" s="50"/>
      <c r="R2852" s="42"/>
      <c r="T2852" s="50"/>
      <c r="U2852" s="50"/>
      <c r="V2852" t="s">
        <v>1017</v>
      </c>
      <c r="X2852" s="50"/>
      <c r="AA2852" s="52"/>
      <c r="AD2852" s="38"/>
    </row>
    <row r="2853" spans="1:30" x14ac:dyDescent="0.35">
      <c r="A2853" s="497" t="str">
        <f t="shared" si="1067"/>
        <v>BiK270Gi----11</v>
      </c>
      <c r="B2853" s="13" t="s">
        <v>5547</v>
      </c>
      <c r="C2853" s="13" t="str">
        <f t="shared" si="1068"/>
        <v>Inbetriebnahme 2011</v>
      </c>
      <c r="D2853" s="13" t="s">
        <v>7249</v>
      </c>
      <c r="E2853" s="13" t="s">
        <v>4809</v>
      </c>
      <c r="F2853" s="373">
        <f t="shared" si="1069"/>
        <v>19.28</v>
      </c>
      <c r="G2853" s="430">
        <v>19.28</v>
      </c>
      <c r="H2853" s="399">
        <f t="shared" si="1070"/>
        <v>15.42</v>
      </c>
      <c r="I2853" s="576"/>
      <c r="J2853" s="549" t="s">
        <v>5804</v>
      </c>
      <c r="K2853" s="11"/>
      <c r="L2853" s="55" t="str">
        <f t="shared" si="1071"/>
        <v/>
      </c>
      <c r="M2853" s="37">
        <f t="shared" si="1072"/>
        <v>19.28</v>
      </c>
      <c r="N2853" s="29">
        <f t="shared" si="1073"/>
        <v>11.44</v>
      </c>
      <c r="O2853" s="31"/>
      <c r="P2853" s="50"/>
      <c r="Q2853" s="50"/>
      <c r="R2853" s="42" t="s">
        <v>1017</v>
      </c>
      <c r="T2853" s="50"/>
      <c r="U2853" s="50"/>
      <c r="V2853" t="s">
        <v>1017</v>
      </c>
      <c r="X2853" s="50"/>
      <c r="AA2853" s="52"/>
      <c r="AD2853" s="38"/>
    </row>
    <row r="2854" spans="1:30" x14ac:dyDescent="0.35">
      <c r="A2854" s="497" t="str">
        <f t="shared" si="1067"/>
        <v>BiK270GiK---11</v>
      </c>
      <c r="B2854" s="13" t="s">
        <v>5547</v>
      </c>
      <c r="C2854" s="13" t="str">
        <f t="shared" si="1068"/>
        <v>Inbetriebnahme 2011</v>
      </c>
      <c r="D2854" s="13" t="s">
        <v>7250</v>
      </c>
      <c r="E2854" s="13" t="s">
        <v>4811</v>
      </c>
      <c r="F2854" s="373">
        <f t="shared" si="1069"/>
        <v>22.22</v>
      </c>
      <c r="G2854" s="430">
        <v>22.22</v>
      </c>
      <c r="H2854" s="399">
        <f t="shared" si="1070"/>
        <v>17.78</v>
      </c>
      <c r="I2854" s="576"/>
      <c r="J2854" s="549" t="s">
        <v>5804</v>
      </c>
      <c r="K2854" s="11"/>
      <c r="L2854" s="55" t="str">
        <f t="shared" si="1071"/>
        <v/>
      </c>
      <c r="M2854" s="37">
        <f t="shared" si="1072"/>
        <v>22.22</v>
      </c>
      <c r="N2854" s="29">
        <f t="shared" si="1073"/>
        <v>11.44</v>
      </c>
      <c r="O2854" s="31" t="s">
        <v>1017</v>
      </c>
      <c r="P2854" s="50"/>
      <c r="Q2854" s="50"/>
      <c r="R2854" s="42" t="s">
        <v>1017</v>
      </c>
      <c r="T2854" s="50"/>
      <c r="U2854" s="50"/>
      <c r="V2854" t="s">
        <v>1017</v>
      </c>
      <c r="X2854" s="50"/>
      <c r="AA2854" s="52"/>
      <c r="AD2854" s="38"/>
    </row>
    <row r="2855" spans="1:30" x14ac:dyDescent="0.35">
      <c r="A2855" s="497" t="str">
        <f t="shared" si="1067"/>
        <v>BiK270L-----11</v>
      </c>
      <c r="B2855" s="13" t="s">
        <v>5547</v>
      </c>
      <c r="C2855" s="13" t="str">
        <f t="shared" si="1068"/>
        <v>Inbetriebnahme 2011</v>
      </c>
      <c r="D2855" s="13" t="s">
        <v>6829</v>
      </c>
      <c r="E2855" s="13" t="s">
        <v>4809</v>
      </c>
      <c r="F2855" s="373">
        <f t="shared" si="1069"/>
        <v>20.259999999999998</v>
      </c>
      <c r="G2855" s="430">
        <v>20.259999999999998</v>
      </c>
      <c r="H2855" s="399">
        <f t="shared" si="1070"/>
        <v>16.21</v>
      </c>
      <c r="I2855" s="576"/>
      <c r="J2855" s="549" t="s">
        <v>5804</v>
      </c>
      <c r="K2855" s="11"/>
      <c r="L2855" s="55" t="str">
        <f t="shared" si="1071"/>
        <v/>
      </c>
      <c r="M2855" s="37">
        <f t="shared" si="1072"/>
        <v>20.259999999999998</v>
      </c>
      <c r="N2855" s="29">
        <f t="shared" si="1073"/>
        <v>11.44</v>
      </c>
      <c r="O2855" s="31"/>
      <c r="P2855" s="50"/>
      <c r="Q2855" s="50"/>
      <c r="R2855" s="42"/>
      <c r="T2855" s="50"/>
      <c r="U2855" s="50"/>
      <c r="X2855" s="50"/>
      <c r="Y2855" t="s">
        <v>1017</v>
      </c>
      <c r="AA2855" s="52"/>
      <c r="AD2855" s="38"/>
    </row>
    <row r="2856" spans="1:30" x14ac:dyDescent="0.35">
      <c r="A2856" s="497" t="str">
        <f t="shared" si="1067"/>
        <v>BiK270LK----11</v>
      </c>
      <c r="B2856" s="13" t="s">
        <v>5547</v>
      </c>
      <c r="C2856" s="13" t="str">
        <f t="shared" si="1068"/>
        <v>Inbetriebnahme 2011</v>
      </c>
      <c r="D2856" s="13" t="s">
        <v>7251</v>
      </c>
      <c r="E2856" s="13" t="s">
        <v>4811</v>
      </c>
      <c r="F2856" s="373">
        <f t="shared" si="1069"/>
        <v>23.2</v>
      </c>
      <c r="G2856" s="430">
        <v>23.2</v>
      </c>
      <c r="H2856" s="399">
        <f t="shared" si="1070"/>
        <v>18.559999999999999</v>
      </c>
      <c r="I2856" s="576"/>
      <c r="J2856" s="549" t="s">
        <v>5804</v>
      </c>
      <c r="K2856" s="11"/>
      <c r="L2856" s="55" t="str">
        <f t="shared" si="1071"/>
        <v/>
      </c>
      <c r="M2856" s="37">
        <f t="shared" si="1072"/>
        <v>23.2</v>
      </c>
      <c r="N2856" s="29">
        <f t="shared" si="1073"/>
        <v>11.44</v>
      </c>
      <c r="O2856" s="31" t="s">
        <v>1017</v>
      </c>
      <c r="P2856" s="50"/>
      <c r="Q2856" s="50"/>
      <c r="R2856" s="42"/>
      <c r="T2856" s="50"/>
      <c r="U2856" s="50"/>
      <c r="X2856" s="50"/>
      <c r="Y2856" t="s">
        <v>1017</v>
      </c>
      <c r="AA2856" s="52"/>
      <c r="AD2856" s="38"/>
    </row>
    <row r="2857" spans="1:30" x14ac:dyDescent="0.35">
      <c r="A2857" s="497" t="str">
        <f t="shared" si="1067"/>
        <v>BiK270Li----11</v>
      </c>
      <c r="B2857" s="13" t="s">
        <v>5547</v>
      </c>
      <c r="C2857" s="13" t="str">
        <f t="shared" si="1068"/>
        <v>Inbetriebnahme 2011</v>
      </c>
      <c r="D2857" s="13" t="s">
        <v>7252</v>
      </c>
      <c r="E2857" s="13" t="s">
        <v>4809</v>
      </c>
      <c r="F2857" s="373">
        <f t="shared" si="1069"/>
        <v>21.240000000000002</v>
      </c>
      <c r="G2857" s="430">
        <v>21.240000000000002</v>
      </c>
      <c r="H2857" s="399">
        <f t="shared" si="1070"/>
        <v>16.989999999999998</v>
      </c>
      <c r="I2857" s="576"/>
      <c r="J2857" s="549" t="s">
        <v>5804</v>
      </c>
      <c r="K2857" s="11"/>
      <c r="L2857" s="55" t="str">
        <f t="shared" si="1071"/>
        <v/>
      </c>
      <c r="M2857" s="37">
        <f t="shared" si="1072"/>
        <v>21.240000000000002</v>
      </c>
      <c r="N2857" s="29">
        <f t="shared" si="1073"/>
        <v>11.44</v>
      </c>
      <c r="O2857" s="31"/>
      <c r="P2857" s="50"/>
      <c r="Q2857" s="50"/>
      <c r="R2857" s="42" t="s">
        <v>1017</v>
      </c>
      <c r="T2857" s="50"/>
      <c r="U2857" s="50"/>
      <c r="X2857" s="50"/>
      <c r="Y2857" t="s">
        <v>1017</v>
      </c>
      <c r="AA2857" s="52"/>
      <c r="AD2857" s="38"/>
    </row>
    <row r="2858" spans="1:30" x14ac:dyDescent="0.35">
      <c r="A2858" s="497" t="str">
        <f t="shared" si="1067"/>
        <v>BiK270LiK---11</v>
      </c>
      <c r="B2858" s="13" t="s">
        <v>5547</v>
      </c>
      <c r="C2858" s="13" t="str">
        <f t="shared" si="1068"/>
        <v>Inbetriebnahme 2011</v>
      </c>
      <c r="D2858" s="13" t="s">
        <v>7253</v>
      </c>
      <c r="E2858" s="13" t="s">
        <v>4811</v>
      </c>
      <c r="F2858" s="373">
        <f t="shared" si="1069"/>
        <v>24.18</v>
      </c>
      <c r="G2858" s="430">
        <v>24.18</v>
      </c>
      <c r="H2858" s="399">
        <f t="shared" si="1070"/>
        <v>19.34</v>
      </c>
      <c r="I2858" s="576"/>
      <c r="J2858" s="549" t="s">
        <v>5804</v>
      </c>
      <c r="K2858" s="11"/>
      <c r="L2858" s="55" t="str">
        <f t="shared" si="1071"/>
        <v/>
      </c>
      <c r="M2858" s="37">
        <f t="shared" si="1072"/>
        <v>24.18</v>
      </c>
      <c r="N2858" s="29">
        <f t="shared" si="1073"/>
        <v>11.44</v>
      </c>
      <c r="O2858" s="31" t="s">
        <v>1017</v>
      </c>
      <c r="P2858" s="50"/>
      <c r="Q2858" s="50"/>
      <c r="R2858" s="42" t="s">
        <v>1017</v>
      </c>
      <c r="T2858" s="50"/>
      <c r="U2858" s="50"/>
      <c r="X2858" s="50"/>
      <c r="Y2858" t="s">
        <v>1017</v>
      </c>
      <c r="AA2858" s="52"/>
      <c r="AD2858" s="38"/>
    </row>
    <row r="2859" spans="1:30" x14ac:dyDescent="0.35">
      <c r="A2859" s="497" t="str">
        <f t="shared" si="1067"/>
        <v>BiK270M1----11</v>
      </c>
      <c r="B2859" s="13" t="s">
        <v>5547</v>
      </c>
      <c r="C2859" s="13" t="str">
        <f t="shared" si="1068"/>
        <v>Inbetriebnahme 2011</v>
      </c>
      <c r="D2859" s="13" t="s">
        <v>6817</v>
      </c>
      <c r="E2859" s="13" t="s">
        <v>4809</v>
      </c>
      <c r="F2859" s="373">
        <f t="shared" si="1069"/>
        <v>22.22</v>
      </c>
      <c r="G2859" s="430">
        <v>22.22</v>
      </c>
      <c r="H2859" s="399">
        <f t="shared" si="1070"/>
        <v>17.78</v>
      </c>
      <c r="I2859" s="576"/>
      <c r="J2859" s="549" t="s">
        <v>5804</v>
      </c>
      <c r="K2859" s="11"/>
      <c r="L2859" s="55" t="str">
        <f t="shared" si="1071"/>
        <v/>
      </c>
      <c r="M2859" s="37">
        <f t="shared" si="1072"/>
        <v>22.22</v>
      </c>
      <c r="N2859" s="29">
        <f t="shared" si="1073"/>
        <v>11.44</v>
      </c>
      <c r="O2859" s="31"/>
      <c r="P2859" s="50"/>
      <c r="Q2859" s="50"/>
      <c r="R2859" s="42"/>
      <c r="T2859" s="50"/>
      <c r="U2859" s="50"/>
      <c r="W2859" t="s">
        <v>1017</v>
      </c>
      <c r="X2859" s="50"/>
      <c r="AA2859" s="52"/>
      <c r="AD2859" s="38"/>
    </row>
    <row r="2860" spans="1:30" x14ac:dyDescent="0.35">
      <c r="A2860" s="497" t="str">
        <f t="shared" si="1067"/>
        <v>BiK270M1K---11</v>
      </c>
      <c r="B2860" s="13" t="s">
        <v>5547</v>
      </c>
      <c r="C2860" s="13" t="str">
        <f t="shared" si="1068"/>
        <v>Inbetriebnahme 2011</v>
      </c>
      <c r="D2860" s="13" t="s">
        <v>7254</v>
      </c>
      <c r="E2860" s="13" t="s">
        <v>4811</v>
      </c>
      <c r="F2860" s="373">
        <f t="shared" si="1069"/>
        <v>25.16</v>
      </c>
      <c r="G2860" s="430">
        <v>25.16</v>
      </c>
      <c r="H2860" s="399">
        <f t="shared" si="1070"/>
        <v>20.13</v>
      </c>
      <c r="I2860" s="576"/>
      <c r="J2860" s="549" t="s">
        <v>5804</v>
      </c>
      <c r="K2860" s="11"/>
      <c r="L2860" s="55" t="str">
        <f t="shared" si="1071"/>
        <v/>
      </c>
      <c r="M2860" s="37">
        <f t="shared" si="1072"/>
        <v>25.16</v>
      </c>
      <c r="N2860" s="29">
        <f t="shared" si="1073"/>
        <v>11.44</v>
      </c>
      <c r="O2860" s="31" t="s">
        <v>1017</v>
      </c>
      <c r="P2860" s="50"/>
      <c r="Q2860" s="50"/>
      <c r="R2860" s="42"/>
      <c r="T2860" s="50"/>
      <c r="U2860" s="50"/>
      <c r="W2860" t="s">
        <v>1017</v>
      </c>
      <c r="X2860" s="50"/>
      <c r="AA2860" s="52"/>
      <c r="AD2860" s="38"/>
    </row>
    <row r="2861" spans="1:30" x14ac:dyDescent="0.35">
      <c r="A2861" s="497" t="str">
        <f t="shared" si="1067"/>
        <v>BiK270M1i---11</v>
      </c>
      <c r="B2861" s="13" t="s">
        <v>5547</v>
      </c>
      <c r="C2861" s="13" t="str">
        <f t="shared" si="1068"/>
        <v>Inbetriebnahme 2011</v>
      </c>
      <c r="D2861" s="13" t="s">
        <v>7255</v>
      </c>
      <c r="E2861" s="13" t="s">
        <v>4809</v>
      </c>
      <c r="F2861" s="373">
        <f t="shared" si="1069"/>
        <v>23.200000000000003</v>
      </c>
      <c r="G2861" s="430">
        <v>23.200000000000003</v>
      </c>
      <c r="H2861" s="399">
        <f t="shared" si="1070"/>
        <v>18.559999999999999</v>
      </c>
      <c r="I2861" s="576"/>
      <c r="J2861" s="549" t="s">
        <v>5804</v>
      </c>
      <c r="K2861" s="11"/>
      <c r="L2861" s="55" t="str">
        <f t="shared" si="1071"/>
        <v/>
      </c>
      <c r="M2861" s="37">
        <f t="shared" si="1072"/>
        <v>23.200000000000003</v>
      </c>
      <c r="N2861" s="29">
        <f t="shared" si="1073"/>
        <v>11.44</v>
      </c>
      <c r="O2861" s="31"/>
      <c r="P2861" s="50"/>
      <c r="Q2861" s="50"/>
      <c r="R2861" s="42" t="s">
        <v>1017</v>
      </c>
      <c r="T2861" s="50"/>
      <c r="U2861" s="50"/>
      <c r="W2861" t="s">
        <v>1017</v>
      </c>
      <c r="X2861" s="50"/>
      <c r="AA2861" s="52"/>
      <c r="AD2861" s="38"/>
    </row>
    <row r="2862" spans="1:30" x14ac:dyDescent="0.35">
      <c r="A2862" s="497" t="str">
        <f t="shared" si="1067"/>
        <v>BiK270M1iK--11</v>
      </c>
      <c r="B2862" s="13" t="s">
        <v>5547</v>
      </c>
      <c r="C2862" s="13" t="str">
        <f t="shared" si="1068"/>
        <v>Inbetriebnahme 2011</v>
      </c>
      <c r="D2862" s="13" t="s">
        <v>7256</v>
      </c>
      <c r="E2862" s="13" t="s">
        <v>4811</v>
      </c>
      <c r="F2862" s="373">
        <f t="shared" si="1069"/>
        <v>26.14</v>
      </c>
      <c r="G2862" s="430">
        <v>26.14</v>
      </c>
      <c r="H2862" s="399">
        <f t="shared" si="1070"/>
        <v>20.91</v>
      </c>
      <c r="I2862" s="576"/>
      <c r="J2862" s="549" t="s">
        <v>5804</v>
      </c>
      <c r="K2862" s="11"/>
      <c r="L2862" s="55" t="str">
        <f t="shared" si="1071"/>
        <v/>
      </c>
      <c r="M2862" s="37">
        <f t="shared" si="1072"/>
        <v>26.14</v>
      </c>
      <c r="N2862" s="29">
        <f t="shared" si="1073"/>
        <v>11.44</v>
      </c>
      <c r="O2862" s="31" t="s">
        <v>1017</v>
      </c>
      <c r="P2862" s="50"/>
      <c r="Q2862" s="50"/>
      <c r="R2862" s="42" t="s">
        <v>1017</v>
      </c>
      <c r="T2862" s="50"/>
      <c r="U2862" s="50"/>
      <c r="W2862" t="s">
        <v>1017</v>
      </c>
      <c r="X2862" s="50"/>
      <c r="AA2862" s="52"/>
      <c r="AD2862" s="38"/>
    </row>
    <row r="2863" spans="1:30" x14ac:dyDescent="0.35">
      <c r="A2863" s="497" t="str">
        <f t="shared" si="1067"/>
        <v>BiK270X1----11</v>
      </c>
      <c r="B2863" s="13" t="s">
        <v>5547</v>
      </c>
      <c r="C2863" s="13" t="str">
        <f t="shared" si="1068"/>
        <v>Inbetriebnahme 2011</v>
      </c>
      <c r="D2863" s="13" t="s">
        <v>7257</v>
      </c>
      <c r="E2863" s="13" t="s">
        <v>4809</v>
      </c>
      <c r="F2863" s="373">
        <f t="shared" si="1069"/>
        <v>24.18</v>
      </c>
      <c r="G2863" s="430">
        <v>24.18</v>
      </c>
      <c r="H2863" s="399">
        <f t="shared" si="1070"/>
        <v>19.34</v>
      </c>
      <c r="I2863" s="576"/>
      <c r="J2863" s="549" t="s">
        <v>5804</v>
      </c>
      <c r="K2863" s="11"/>
      <c r="L2863" s="55" t="str">
        <f t="shared" si="1071"/>
        <v/>
      </c>
      <c r="M2863" s="37">
        <f t="shared" si="1072"/>
        <v>24.18</v>
      </c>
      <c r="N2863" s="29">
        <f t="shared" si="1073"/>
        <v>11.44</v>
      </c>
      <c r="O2863" s="31"/>
      <c r="P2863" s="50"/>
      <c r="Q2863" s="50"/>
      <c r="R2863" s="42"/>
      <c r="T2863" s="50"/>
      <c r="U2863" s="50"/>
      <c r="X2863" s="50"/>
      <c r="Z2863" t="s">
        <v>1017</v>
      </c>
      <c r="AA2863" s="52"/>
      <c r="AD2863" s="38"/>
    </row>
    <row r="2864" spans="1:30" x14ac:dyDescent="0.35">
      <c r="A2864" s="497" t="str">
        <f t="shared" si="1067"/>
        <v>BiK270X1K---11</v>
      </c>
      <c r="B2864" s="13" t="s">
        <v>5547</v>
      </c>
      <c r="C2864" s="13" t="str">
        <f t="shared" si="1068"/>
        <v>Inbetriebnahme 2011</v>
      </c>
      <c r="D2864" s="13" t="s">
        <v>7258</v>
      </c>
      <c r="E2864" s="13" t="s">
        <v>4811</v>
      </c>
      <c r="F2864" s="373">
        <f t="shared" si="1069"/>
        <v>27.12</v>
      </c>
      <c r="G2864" s="430">
        <v>27.12</v>
      </c>
      <c r="H2864" s="399">
        <f t="shared" si="1070"/>
        <v>21.7</v>
      </c>
      <c r="I2864" s="576"/>
      <c r="J2864" s="549" t="s">
        <v>5804</v>
      </c>
      <c r="K2864" s="11"/>
      <c r="L2864" s="55" t="str">
        <f t="shared" si="1071"/>
        <v/>
      </c>
      <c r="M2864" s="37">
        <f t="shared" si="1072"/>
        <v>27.12</v>
      </c>
      <c r="N2864" s="29">
        <f t="shared" si="1073"/>
        <v>11.44</v>
      </c>
      <c r="O2864" s="31" t="s">
        <v>1017</v>
      </c>
      <c r="P2864" s="50"/>
      <c r="Q2864" s="50"/>
      <c r="R2864" s="42"/>
      <c r="T2864" s="50"/>
      <c r="U2864" s="50"/>
      <c r="X2864" s="50"/>
      <c r="Z2864" t="s">
        <v>1017</v>
      </c>
      <c r="AA2864" s="52"/>
      <c r="AD2864" s="38"/>
    </row>
    <row r="2865" spans="1:30" x14ac:dyDescent="0.35">
      <c r="A2865" s="497" t="str">
        <f t="shared" si="1067"/>
        <v>BiK270X1i---11</v>
      </c>
      <c r="B2865" s="13" t="s">
        <v>5547</v>
      </c>
      <c r="C2865" s="13" t="str">
        <f t="shared" si="1068"/>
        <v>Inbetriebnahme 2011</v>
      </c>
      <c r="D2865" s="13" t="s">
        <v>7259</v>
      </c>
      <c r="E2865" s="13" t="s">
        <v>4809</v>
      </c>
      <c r="F2865" s="373">
        <f t="shared" si="1069"/>
        <v>25.160000000000004</v>
      </c>
      <c r="G2865" s="430">
        <v>25.160000000000004</v>
      </c>
      <c r="H2865" s="399">
        <f t="shared" si="1070"/>
        <v>20.13</v>
      </c>
      <c r="I2865" s="576"/>
      <c r="J2865" s="549" t="s">
        <v>5804</v>
      </c>
      <c r="K2865" s="11"/>
      <c r="L2865" s="55" t="str">
        <f t="shared" si="1071"/>
        <v/>
      </c>
      <c r="M2865" s="37">
        <f t="shared" si="1072"/>
        <v>25.160000000000004</v>
      </c>
      <c r="N2865" s="29">
        <f t="shared" si="1073"/>
        <v>11.44</v>
      </c>
      <c r="O2865" s="31"/>
      <c r="P2865" s="50"/>
      <c r="Q2865" s="50"/>
      <c r="R2865" s="42" t="s">
        <v>1017</v>
      </c>
      <c r="T2865" s="50"/>
      <c r="U2865" s="50"/>
      <c r="X2865" s="50"/>
      <c r="Z2865" t="s">
        <v>1017</v>
      </c>
      <c r="AA2865" s="52"/>
      <c r="AD2865" s="38"/>
    </row>
    <row r="2866" spans="1:30" x14ac:dyDescent="0.35">
      <c r="A2866" s="497" t="str">
        <f t="shared" si="1067"/>
        <v>BiK270X1iK--11</v>
      </c>
      <c r="B2866" s="13" t="s">
        <v>5547</v>
      </c>
      <c r="C2866" s="13" t="str">
        <f t="shared" si="1068"/>
        <v>Inbetriebnahme 2011</v>
      </c>
      <c r="D2866" s="13" t="s">
        <v>7260</v>
      </c>
      <c r="E2866" s="13" t="s">
        <v>4811</v>
      </c>
      <c r="F2866" s="373">
        <f t="shared" si="1069"/>
        <v>28.1</v>
      </c>
      <c r="G2866" s="430">
        <v>28.1</v>
      </c>
      <c r="H2866" s="399">
        <f t="shared" si="1070"/>
        <v>22.48</v>
      </c>
      <c r="I2866" s="576"/>
      <c r="J2866" s="549" t="s">
        <v>5804</v>
      </c>
      <c r="K2866" s="11"/>
      <c r="L2866" s="55" t="str">
        <f t="shared" si="1071"/>
        <v/>
      </c>
      <c r="M2866" s="37">
        <f t="shared" si="1072"/>
        <v>28.1</v>
      </c>
      <c r="N2866" s="29">
        <f t="shared" si="1073"/>
        <v>11.44</v>
      </c>
      <c r="O2866" s="31" t="s">
        <v>1017</v>
      </c>
      <c r="P2866" s="50"/>
      <c r="Q2866" s="50"/>
      <c r="R2866" s="42" t="s">
        <v>1017</v>
      </c>
      <c r="T2866" s="50"/>
      <c r="U2866" s="50"/>
      <c r="X2866" s="50"/>
      <c r="Z2866" t="s">
        <v>1017</v>
      </c>
      <c r="AA2866" s="52"/>
      <c r="AD2866" s="38"/>
    </row>
    <row r="2867" spans="1:30" x14ac:dyDescent="0.35">
      <c r="A2867" s="497" t="str">
        <f t="shared" si="1067"/>
        <v>BiK270t1----11</v>
      </c>
      <c r="B2867" s="13" t="s">
        <v>5547</v>
      </c>
      <c r="C2867" s="13" t="str">
        <f t="shared" si="1068"/>
        <v>Inbetriebnahme 2011</v>
      </c>
      <c r="D2867" s="13" t="s">
        <v>7261</v>
      </c>
      <c r="E2867" s="13" t="s">
        <v>4809</v>
      </c>
      <c r="F2867" s="373">
        <f t="shared" si="1069"/>
        <v>13.399999999999999</v>
      </c>
      <c r="G2867" s="430">
        <v>13.399999999999999</v>
      </c>
      <c r="H2867" s="399">
        <f t="shared" si="1070"/>
        <v>10.72</v>
      </c>
      <c r="I2867" s="576"/>
      <c r="J2867" s="549" t="s">
        <v>5804</v>
      </c>
      <c r="K2867" s="11"/>
      <c r="L2867" s="55" t="str">
        <f t="shared" si="1071"/>
        <v/>
      </c>
      <c r="M2867" s="37">
        <f t="shared" si="1072"/>
        <v>13.399999999999999</v>
      </c>
      <c r="N2867" s="29">
        <f t="shared" si="1073"/>
        <v>11.44</v>
      </c>
      <c r="O2867" s="31"/>
      <c r="P2867" s="50"/>
      <c r="Q2867" s="50"/>
      <c r="R2867" s="42"/>
      <c r="T2867" s="50"/>
      <c r="U2867" s="50"/>
      <c r="X2867" s="50"/>
      <c r="AA2867" s="52"/>
      <c r="AB2867" t="s">
        <v>1017</v>
      </c>
      <c r="AD2867" s="38"/>
    </row>
    <row r="2868" spans="1:30" x14ac:dyDescent="0.35">
      <c r="A2868" s="497" t="str">
        <f t="shared" si="1067"/>
        <v>BiK270t1K---11</v>
      </c>
      <c r="B2868" s="13" t="s">
        <v>5547</v>
      </c>
      <c r="C2868" s="13" t="str">
        <f t="shared" si="1068"/>
        <v>Inbetriebnahme 2011</v>
      </c>
      <c r="D2868" s="13" t="s">
        <v>7262</v>
      </c>
      <c r="E2868" s="13" t="s">
        <v>4811</v>
      </c>
      <c r="F2868" s="373">
        <f t="shared" si="1069"/>
        <v>16.34</v>
      </c>
      <c r="G2868" s="430">
        <v>16.34</v>
      </c>
      <c r="H2868" s="399">
        <f t="shared" si="1070"/>
        <v>13.07</v>
      </c>
      <c r="I2868" s="576"/>
      <c r="J2868" s="549" t="s">
        <v>5804</v>
      </c>
      <c r="K2868" s="11"/>
      <c r="L2868" s="55" t="str">
        <f t="shared" si="1071"/>
        <v/>
      </c>
      <c r="M2868" s="37">
        <f t="shared" si="1072"/>
        <v>16.34</v>
      </c>
      <c r="N2868" s="29">
        <f t="shared" si="1073"/>
        <v>11.44</v>
      </c>
      <c r="O2868" s="31" t="s">
        <v>1017</v>
      </c>
      <c r="P2868" s="50"/>
      <c r="Q2868" s="50"/>
      <c r="R2868" s="42"/>
      <c r="T2868" s="50"/>
      <c r="U2868" s="50"/>
      <c r="X2868" s="50"/>
      <c r="AA2868" s="52"/>
      <c r="AB2868" t="s">
        <v>1017</v>
      </c>
      <c r="AD2868" s="38"/>
    </row>
    <row r="2869" spans="1:30" x14ac:dyDescent="0.35">
      <c r="A2869" s="497" t="str">
        <f t="shared" si="1067"/>
        <v>BiK270t1i---11</v>
      </c>
      <c r="B2869" s="13" t="s">
        <v>5547</v>
      </c>
      <c r="C2869" s="13" t="str">
        <f t="shared" si="1068"/>
        <v>Inbetriebnahme 2011</v>
      </c>
      <c r="D2869" s="13" t="s">
        <v>7263</v>
      </c>
      <c r="E2869" s="13" t="s">
        <v>4809</v>
      </c>
      <c r="F2869" s="373">
        <f t="shared" si="1069"/>
        <v>14.379999999999999</v>
      </c>
      <c r="G2869" s="430">
        <v>14.379999999999999</v>
      </c>
      <c r="H2869" s="399">
        <f t="shared" si="1070"/>
        <v>11.5</v>
      </c>
      <c r="I2869" s="576"/>
      <c r="J2869" s="549" t="s">
        <v>5804</v>
      </c>
      <c r="K2869" s="11"/>
      <c r="L2869" s="55" t="str">
        <f t="shared" si="1071"/>
        <v/>
      </c>
      <c r="M2869" s="37">
        <f t="shared" si="1072"/>
        <v>14.379999999999999</v>
      </c>
      <c r="N2869" s="29">
        <f t="shared" si="1073"/>
        <v>11.44</v>
      </c>
      <c r="O2869" s="31"/>
      <c r="P2869" s="50"/>
      <c r="Q2869" s="50"/>
      <c r="R2869" s="42" t="s">
        <v>1017</v>
      </c>
      <c r="T2869" s="50"/>
      <c r="U2869" s="50"/>
      <c r="X2869" s="50"/>
      <c r="AA2869" s="52"/>
      <c r="AB2869" t="s">
        <v>1017</v>
      </c>
      <c r="AD2869" s="38"/>
    </row>
    <row r="2870" spans="1:30" x14ac:dyDescent="0.35">
      <c r="A2870" s="497" t="str">
        <f t="shared" si="1067"/>
        <v>BiK270t1iK--11</v>
      </c>
      <c r="B2870" s="13" t="s">
        <v>5547</v>
      </c>
      <c r="C2870" s="13" t="str">
        <f t="shared" si="1068"/>
        <v>Inbetriebnahme 2011</v>
      </c>
      <c r="D2870" s="13" t="s">
        <v>7264</v>
      </c>
      <c r="E2870" s="13" t="s">
        <v>4811</v>
      </c>
      <c r="F2870" s="373">
        <f t="shared" si="1069"/>
        <v>17.32</v>
      </c>
      <c r="G2870" s="430">
        <v>17.32</v>
      </c>
      <c r="H2870" s="399">
        <f t="shared" si="1070"/>
        <v>13.86</v>
      </c>
      <c r="I2870" s="576"/>
      <c r="J2870" s="549" t="s">
        <v>5804</v>
      </c>
      <c r="K2870" s="11"/>
      <c r="L2870" s="55" t="str">
        <f t="shared" si="1071"/>
        <v/>
      </c>
      <c r="M2870" s="37">
        <f t="shared" si="1072"/>
        <v>17.32</v>
      </c>
      <c r="N2870" s="29">
        <f t="shared" si="1073"/>
        <v>11.44</v>
      </c>
      <c r="O2870" s="31" t="s">
        <v>1017</v>
      </c>
      <c r="P2870" s="50"/>
      <c r="Q2870" s="50"/>
      <c r="R2870" s="42" t="s">
        <v>1017</v>
      </c>
      <c r="T2870" s="50"/>
      <c r="U2870" s="50"/>
      <c r="X2870" s="50"/>
      <c r="AA2870" s="52"/>
      <c r="AB2870" t="s">
        <v>1017</v>
      </c>
      <c r="AD2870" s="38"/>
    </row>
    <row r="2871" spans="1:30" x14ac:dyDescent="0.35">
      <c r="A2871" s="497" t="str">
        <f t="shared" si="1067"/>
        <v>BiK270t1a1--11</v>
      </c>
      <c r="B2871" s="13" t="s">
        <v>5547</v>
      </c>
      <c r="C2871" s="13" t="str">
        <f t="shared" si="1068"/>
        <v>Inbetriebnahme 2011</v>
      </c>
      <c r="D2871" s="13" t="s">
        <v>7265</v>
      </c>
      <c r="E2871" s="13" t="s">
        <v>4809</v>
      </c>
      <c r="F2871" s="373">
        <f t="shared" si="1069"/>
        <v>19.28</v>
      </c>
      <c r="G2871" s="430">
        <v>19.28</v>
      </c>
      <c r="H2871" s="399">
        <f t="shared" si="1070"/>
        <v>15.42</v>
      </c>
      <c r="I2871" s="576"/>
      <c r="J2871" s="549" t="s">
        <v>5804</v>
      </c>
      <c r="K2871" s="11"/>
      <c r="L2871" s="55" t="str">
        <f t="shared" si="1071"/>
        <v/>
      </c>
      <c r="M2871" s="37">
        <f t="shared" si="1072"/>
        <v>19.28</v>
      </c>
      <c r="N2871" s="29">
        <f t="shared" si="1073"/>
        <v>11.44</v>
      </c>
      <c r="O2871" s="31"/>
      <c r="P2871" s="50"/>
      <c r="Q2871" s="50"/>
      <c r="R2871" s="42"/>
      <c r="S2871" t="s">
        <v>1017</v>
      </c>
      <c r="T2871" s="50"/>
      <c r="U2871" s="50"/>
      <c r="X2871" s="50"/>
      <c r="AA2871" s="52"/>
      <c r="AB2871" t="s">
        <v>1017</v>
      </c>
      <c r="AD2871" s="38"/>
    </row>
    <row r="2872" spans="1:30" x14ac:dyDescent="0.35">
      <c r="A2872" s="497" t="str">
        <f t="shared" si="1067"/>
        <v>BiK270t1a1K-11</v>
      </c>
      <c r="B2872" s="13" t="s">
        <v>5547</v>
      </c>
      <c r="C2872" s="13" t="str">
        <f t="shared" si="1068"/>
        <v>Inbetriebnahme 2011</v>
      </c>
      <c r="D2872" s="13" t="s">
        <v>7266</v>
      </c>
      <c r="E2872" s="13" t="s">
        <v>4811</v>
      </c>
      <c r="F2872" s="373">
        <f t="shared" si="1069"/>
        <v>22.22</v>
      </c>
      <c r="G2872" s="430">
        <v>22.22</v>
      </c>
      <c r="H2872" s="399">
        <f t="shared" si="1070"/>
        <v>17.78</v>
      </c>
      <c r="I2872" s="576"/>
      <c r="J2872" s="549" t="s">
        <v>5804</v>
      </c>
      <c r="K2872" s="11"/>
      <c r="L2872" s="55" t="str">
        <f t="shared" si="1071"/>
        <v/>
      </c>
      <c r="M2872" s="37">
        <f t="shared" si="1072"/>
        <v>22.22</v>
      </c>
      <c r="N2872" s="29">
        <f t="shared" si="1073"/>
        <v>11.44</v>
      </c>
      <c r="O2872" s="31" t="s">
        <v>1017</v>
      </c>
      <c r="P2872" s="50"/>
      <c r="Q2872" s="50"/>
      <c r="R2872" s="42"/>
      <c r="S2872" t="s">
        <v>1017</v>
      </c>
      <c r="T2872" s="50"/>
      <c r="U2872" s="50"/>
      <c r="X2872" s="50"/>
      <c r="AA2872" s="52"/>
      <c r="AB2872" t="s">
        <v>1017</v>
      </c>
      <c r="AD2872" s="38"/>
    </row>
    <row r="2873" spans="1:30" x14ac:dyDescent="0.35">
      <c r="A2873" s="497" t="str">
        <f t="shared" si="1067"/>
        <v>BiK270t1a1i-11</v>
      </c>
      <c r="B2873" s="13" t="s">
        <v>5547</v>
      </c>
      <c r="C2873" s="13" t="str">
        <f t="shared" si="1068"/>
        <v>Inbetriebnahme 2011</v>
      </c>
      <c r="D2873" s="13" t="s">
        <v>7267</v>
      </c>
      <c r="E2873" s="13" t="s">
        <v>4809</v>
      </c>
      <c r="F2873" s="373">
        <f t="shared" si="1069"/>
        <v>20.259999999999998</v>
      </c>
      <c r="G2873" s="430">
        <v>20.259999999999998</v>
      </c>
      <c r="H2873" s="399">
        <f t="shared" si="1070"/>
        <v>16.21</v>
      </c>
      <c r="I2873" s="576"/>
      <c r="J2873" s="549" t="s">
        <v>5804</v>
      </c>
      <c r="K2873" s="11"/>
      <c r="L2873" s="55" t="str">
        <f t="shared" si="1071"/>
        <v/>
      </c>
      <c r="M2873" s="37">
        <f t="shared" si="1072"/>
        <v>20.259999999999998</v>
      </c>
      <c r="N2873" s="29">
        <f t="shared" si="1073"/>
        <v>11.44</v>
      </c>
      <c r="O2873" s="31"/>
      <c r="P2873" s="50"/>
      <c r="Q2873" s="50"/>
      <c r="R2873" s="42" t="s">
        <v>1017</v>
      </c>
      <c r="S2873" t="s">
        <v>1017</v>
      </c>
      <c r="T2873" s="50"/>
      <c r="U2873" s="50"/>
      <c r="X2873" s="50"/>
      <c r="AA2873" s="52"/>
      <c r="AB2873" t="s">
        <v>1017</v>
      </c>
      <c r="AD2873" s="38"/>
    </row>
    <row r="2874" spans="1:30" x14ac:dyDescent="0.35">
      <c r="A2874" s="497" t="str">
        <f t="shared" si="1067"/>
        <v>BiK270t1a1iK11</v>
      </c>
      <c r="B2874" s="13" t="s">
        <v>5547</v>
      </c>
      <c r="C2874" s="13" t="str">
        <f t="shared" si="1068"/>
        <v>Inbetriebnahme 2011</v>
      </c>
      <c r="D2874" s="13" t="s">
        <v>7268</v>
      </c>
      <c r="E2874" s="13" t="s">
        <v>4811</v>
      </c>
      <c r="F2874" s="373">
        <f t="shared" si="1069"/>
        <v>23.200000000000003</v>
      </c>
      <c r="G2874" s="430">
        <v>23.200000000000003</v>
      </c>
      <c r="H2874" s="399">
        <f t="shared" si="1070"/>
        <v>18.559999999999999</v>
      </c>
      <c r="I2874" s="576"/>
      <c r="J2874" s="549" t="s">
        <v>5804</v>
      </c>
      <c r="K2874" s="11"/>
      <c r="L2874" s="55" t="str">
        <f t="shared" si="1071"/>
        <v/>
      </c>
      <c r="M2874" s="37">
        <f t="shared" si="1072"/>
        <v>23.200000000000003</v>
      </c>
      <c r="N2874" s="29">
        <f t="shared" si="1073"/>
        <v>11.44</v>
      </c>
      <c r="O2874" s="31" t="s">
        <v>1017</v>
      </c>
      <c r="P2874" s="50"/>
      <c r="Q2874" s="50"/>
      <c r="R2874" s="42" t="s">
        <v>1017</v>
      </c>
      <c r="S2874" t="s">
        <v>1017</v>
      </c>
      <c r="T2874" s="50"/>
      <c r="U2874" s="50"/>
      <c r="X2874" s="50"/>
      <c r="AA2874" s="52"/>
      <c r="AB2874" t="s">
        <v>1017</v>
      </c>
      <c r="AD2874" s="38"/>
    </row>
    <row r="2875" spans="1:30" x14ac:dyDescent="0.35">
      <c r="A2875" s="497" t="str">
        <f t="shared" si="1067"/>
        <v>BiK270t1G---11</v>
      </c>
      <c r="B2875" s="13" t="s">
        <v>5547</v>
      </c>
      <c r="C2875" s="13" t="str">
        <f t="shared" si="1068"/>
        <v>Inbetriebnahme 2011</v>
      </c>
      <c r="D2875" s="13" t="s">
        <v>7269</v>
      </c>
      <c r="E2875" s="13" t="s">
        <v>4809</v>
      </c>
      <c r="F2875" s="373">
        <f t="shared" si="1069"/>
        <v>20.259999999999998</v>
      </c>
      <c r="G2875" s="430">
        <v>20.259999999999998</v>
      </c>
      <c r="H2875" s="399">
        <f t="shared" si="1070"/>
        <v>16.21</v>
      </c>
      <c r="I2875" s="576"/>
      <c r="J2875" s="549" t="s">
        <v>5804</v>
      </c>
      <c r="K2875" s="11"/>
      <c r="L2875" s="55" t="str">
        <f t="shared" si="1071"/>
        <v/>
      </c>
      <c r="M2875" s="37">
        <f t="shared" si="1072"/>
        <v>20.259999999999998</v>
      </c>
      <c r="N2875" s="29">
        <f t="shared" si="1073"/>
        <v>11.44</v>
      </c>
      <c r="O2875" s="31"/>
      <c r="P2875" s="50"/>
      <c r="Q2875" s="50"/>
      <c r="R2875" s="42"/>
      <c r="T2875" s="50"/>
      <c r="U2875" s="50"/>
      <c r="V2875" t="s">
        <v>1017</v>
      </c>
      <c r="X2875" s="50"/>
      <c r="AA2875" s="52"/>
      <c r="AB2875" t="s">
        <v>1017</v>
      </c>
      <c r="AD2875" s="38"/>
    </row>
    <row r="2876" spans="1:30" x14ac:dyDescent="0.35">
      <c r="A2876" s="497" t="str">
        <f t="shared" si="1067"/>
        <v>BiK270t1GK--11</v>
      </c>
      <c r="B2876" s="13" t="s">
        <v>5547</v>
      </c>
      <c r="C2876" s="13" t="str">
        <f t="shared" si="1068"/>
        <v>Inbetriebnahme 2011</v>
      </c>
      <c r="D2876" s="13" t="s">
        <v>7270</v>
      </c>
      <c r="E2876" s="13" t="s">
        <v>4811</v>
      </c>
      <c r="F2876" s="373">
        <f t="shared" si="1069"/>
        <v>23.200000000000003</v>
      </c>
      <c r="G2876" s="430">
        <v>23.200000000000003</v>
      </c>
      <c r="H2876" s="399">
        <f t="shared" si="1070"/>
        <v>18.559999999999999</v>
      </c>
      <c r="I2876" s="576"/>
      <c r="J2876" s="549" t="s">
        <v>5804</v>
      </c>
      <c r="K2876" s="11"/>
      <c r="L2876" s="55" t="str">
        <f t="shared" si="1071"/>
        <v/>
      </c>
      <c r="M2876" s="37">
        <f t="shared" si="1072"/>
        <v>23.200000000000003</v>
      </c>
      <c r="N2876" s="29">
        <f t="shared" si="1073"/>
        <v>11.44</v>
      </c>
      <c r="O2876" s="31" t="s">
        <v>1017</v>
      </c>
      <c r="P2876" s="50"/>
      <c r="Q2876" s="50"/>
      <c r="R2876" s="42"/>
      <c r="T2876" s="50"/>
      <c r="U2876" s="50"/>
      <c r="V2876" t="s">
        <v>1017</v>
      </c>
      <c r="X2876" s="50"/>
      <c r="AA2876" s="52"/>
      <c r="AB2876" t="s">
        <v>1017</v>
      </c>
      <c r="AD2876" s="38"/>
    </row>
    <row r="2877" spans="1:30" x14ac:dyDescent="0.35">
      <c r="A2877" s="497" t="str">
        <f t="shared" si="1067"/>
        <v>BiK270t1Gi--11</v>
      </c>
      <c r="B2877" s="13" t="s">
        <v>5547</v>
      </c>
      <c r="C2877" s="13" t="str">
        <f t="shared" si="1068"/>
        <v>Inbetriebnahme 2011</v>
      </c>
      <c r="D2877" s="13" t="s">
        <v>7271</v>
      </c>
      <c r="E2877" s="13" t="s">
        <v>4809</v>
      </c>
      <c r="F2877" s="373">
        <f t="shared" si="1069"/>
        <v>21.240000000000002</v>
      </c>
      <c r="G2877" s="430">
        <v>21.240000000000002</v>
      </c>
      <c r="H2877" s="399">
        <f t="shared" si="1070"/>
        <v>16.989999999999998</v>
      </c>
      <c r="I2877" s="576"/>
      <c r="J2877" s="549" t="s">
        <v>5804</v>
      </c>
      <c r="K2877" s="11"/>
      <c r="L2877" s="55" t="str">
        <f t="shared" si="1071"/>
        <v/>
      </c>
      <c r="M2877" s="37">
        <f t="shared" si="1072"/>
        <v>21.240000000000002</v>
      </c>
      <c r="N2877" s="29">
        <f t="shared" si="1073"/>
        <v>11.44</v>
      </c>
      <c r="O2877" s="31"/>
      <c r="P2877" s="50"/>
      <c r="Q2877" s="50"/>
      <c r="R2877" s="42" t="s">
        <v>1017</v>
      </c>
      <c r="T2877" s="50"/>
      <c r="U2877" s="50"/>
      <c r="V2877" t="s">
        <v>1017</v>
      </c>
      <c r="X2877" s="50"/>
      <c r="AA2877" s="52"/>
      <c r="AB2877" t="s">
        <v>1017</v>
      </c>
      <c r="AD2877" s="38"/>
    </row>
    <row r="2878" spans="1:30" x14ac:dyDescent="0.35">
      <c r="A2878" s="497" t="str">
        <f t="shared" si="1067"/>
        <v>BiK270t1GiK-11</v>
      </c>
      <c r="B2878" s="13" t="s">
        <v>5547</v>
      </c>
      <c r="C2878" s="13" t="str">
        <f t="shared" si="1068"/>
        <v>Inbetriebnahme 2011</v>
      </c>
      <c r="D2878" s="13" t="s">
        <v>7272</v>
      </c>
      <c r="E2878" s="13" t="s">
        <v>4811</v>
      </c>
      <c r="F2878" s="373">
        <f t="shared" si="1069"/>
        <v>24.18</v>
      </c>
      <c r="G2878" s="430">
        <v>24.18</v>
      </c>
      <c r="H2878" s="399">
        <f t="shared" si="1070"/>
        <v>19.34</v>
      </c>
      <c r="I2878" s="576"/>
      <c r="J2878" s="549" t="s">
        <v>5804</v>
      </c>
      <c r="K2878" s="11"/>
      <c r="L2878" s="55" t="str">
        <f t="shared" si="1071"/>
        <v/>
      </c>
      <c r="M2878" s="37">
        <f t="shared" si="1072"/>
        <v>24.18</v>
      </c>
      <c r="N2878" s="29">
        <f t="shared" si="1073"/>
        <v>11.44</v>
      </c>
      <c r="O2878" s="31" t="s">
        <v>1017</v>
      </c>
      <c r="P2878" s="50"/>
      <c r="Q2878" s="50"/>
      <c r="R2878" s="42" t="s">
        <v>1017</v>
      </c>
      <c r="T2878" s="50"/>
      <c r="U2878" s="50"/>
      <c r="V2878" t="s">
        <v>1017</v>
      </c>
      <c r="X2878" s="50"/>
      <c r="AA2878" s="52"/>
      <c r="AB2878" t="s">
        <v>1017</v>
      </c>
      <c r="AD2878" s="38"/>
    </row>
    <row r="2879" spans="1:30" x14ac:dyDescent="0.35">
      <c r="A2879" s="497" t="str">
        <f t="shared" si="1067"/>
        <v>BiK270t1L---11</v>
      </c>
      <c r="B2879" s="13" t="s">
        <v>5547</v>
      </c>
      <c r="C2879" s="13" t="str">
        <f t="shared" si="1068"/>
        <v>Inbetriebnahme 2011</v>
      </c>
      <c r="D2879" s="13" t="s">
        <v>7273</v>
      </c>
      <c r="E2879" s="13" t="s">
        <v>4809</v>
      </c>
      <c r="F2879" s="373">
        <f t="shared" si="1069"/>
        <v>22.22</v>
      </c>
      <c r="G2879" s="430">
        <v>22.22</v>
      </c>
      <c r="H2879" s="399">
        <f t="shared" si="1070"/>
        <v>17.78</v>
      </c>
      <c r="I2879" s="576"/>
      <c r="J2879" s="549" t="s">
        <v>5804</v>
      </c>
      <c r="K2879" s="11"/>
      <c r="L2879" s="55" t="str">
        <f t="shared" si="1071"/>
        <v/>
      </c>
      <c r="M2879" s="37">
        <f t="shared" si="1072"/>
        <v>22.22</v>
      </c>
      <c r="N2879" s="29">
        <f t="shared" si="1073"/>
        <v>11.44</v>
      </c>
      <c r="O2879" s="31"/>
      <c r="P2879" s="50"/>
      <c r="Q2879" s="50"/>
      <c r="R2879" s="42"/>
      <c r="T2879" s="50"/>
      <c r="U2879" s="50"/>
      <c r="X2879" s="50"/>
      <c r="Y2879" t="s">
        <v>1017</v>
      </c>
      <c r="AA2879" s="52"/>
      <c r="AB2879" t="s">
        <v>1017</v>
      </c>
      <c r="AD2879" s="38"/>
    </row>
    <row r="2880" spans="1:30" x14ac:dyDescent="0.35">
      <c r="A2880" s="497" t="str">
        <f t="shared" si="1067"/>
        <v>BiK270t1LK--11</v>
      </c>
      <c r="B2880" s="13" t="s">
        <v>5547</v>
      </c>
      <c r="C2880" s="13" t="str">
        <f t="shared" si="1068"/>
        <v>Inbetriebnahme 2011</v>
      </c>
      <c r="D2880" s="13" t="s">
        <v>7274</v>
      </c>
      <c r="E2880" s="13" t="s">
        <v>4811</v>
      </c>
      <c r="F2880" s="373">
        <f t="shared" si="1069"/>
        <v>25.159999999999997</v>
      </c>
      <c r="G2880" s="430">
        <v>25.159999999999997</v>
      </c>
      <c r="H2880" s="399">
        <f t="shared" si="1070"/>
        <v>20.13</v>
      </c>
      <c r="I2880" s="576"/>
      <c r="J2880" s="549" t="s">
        <v>5804</v>
      </c>
      <c r="K2880" s="11"/>
      <c r="L2880" s="55" t="str">
        <f t="shared" si="1071"/>
        <v/>
      </c>
      <c r="M2880" s="37">
        <f t="shared" si="1072"/>
        <v>25.159999999999997</v>
      </c>
      <c r="N2880" s="29">
        <f t="shared" si="1073"/>
        <v>11.44</v>
      </c>
      <c r="O2880" s="31" t="s">
        <v>1017</v>
      </c>
      <c r="P2880" s="50"/>
      <c r="Q2880" s="50"/>
      <c r="R2880" s="42"/>
      <c r="T2880" s="50"/>
      <c r="U2880" s="50"/>
      <c r="X2880" s="50"/>
      <c r="Y2880" t="s">
        <v>1017</v>
      </c>
      <c r="AA2880" s="52"/>
      <c r="AB2880" t="s">
        <v>1017</v>
      </c>
      <c r="AD2880" s="38"/>
    </row>
    <row r="2881" spans="1:30" x14ac:dyDescent="0.35">
      <c r="A2881" s="497" t="str">
        <f t="shared" si="1067"/>
        <v>BiK270t1Li--11</v>
      </c>
      <c r="B2881" s="13" t="s">
        <v>5547</v>
      </c>
      <c r="C2881" s="13" t="str">
        <f t="shared" si="1068"/>
        <v>Inbetriebnahme 2011</v>
      </c>
      <c r="D2881" s="13" t="s">
        <v>7275</v>
      </c>
      <c r="E2881" s="13" t="s">
        <v>4809</v>
      </c>
      <c r="F2881" s="373">
        <f t="shared" si="1069"/>
        <v>23.200000000000003</v>
      </c>
      <c r="G2881" s="430">
        <v>23.200000000000003</v>
      </c>
      <c r="H2881" s="399">
        <f t="shared" si="1070"/>
        <v>18.559999999999999</v>
      </c>
      <c r="I2881" s="576"/>
      <c r="J2881" s="549" t="s">
        <v>5804</v>
      </c>
      <c r="K2881" s="11"/>
      <c r="L2881" s="55" t="str">
        <f t="shared" si="1071"/>
        <v/>
      </c>
      <c r="M2881" s="37">
        <f t="shared" si="1072"/>
        <v>23.200000000000003</v>
      </c>
      <c r="N2881" s="29">
        <f t="shared" si="1073"/>
        <v>11.44</v>
      </c>
      <c r="O2881" s="31"/>
      <c r="P2881" s="50"/>
      <c r="Q2881" s="50"/>
      <c r="R2881" s="42" t="s">
        <v>1017</v>
      </c>
      <c r="T2881" s="50"/>
      <c r="U2881" s="50"/>
      <c r="X2881" s="50"/>
      <c r="Y2881" t="s">
        <v>1017</v>
      </c>
      <c r="AA2881" s="52"/>
      <c r="AB2881" t="s">
        <v>1017</v>
      </c>
      <c r="AD2881" s="38"/>
    </row>
    <row r="2882" spans="1:30" x14ac:dyDescent="0.35">
      <c r="A2882" s="497" t="str">
        <f t="shared" si="1067"/>
        <v>BiK270t1LiK-11</v>
      </c>
      <c r="B2882" s="13" t="s">
        <v>5547</v>
      </c>
      <c r="C2882" s="13" t="str">
        <f t="shared" si="1068"/>
        <v>Inbetriebnahme 2011</v>
      </c>
      <c r="D2882" s="13" t="s">
        <v>7276</v>
      </c>
      <c r="E2882" s="13" t="s">
        <v>4811</v>
      </c>
      <c r="F2882" s="373">
        <f t="shared" si="1069"/>
        <v>26.14</v>
      </c>
      <c r="G2882" s="430">
        <v>26.14</v>
      </c>
      <c r="H2882" s="399">
        <f t="shared" si="1070"/>
        <v>20.91</v>
      </c>
      <c r="I2882" s="576"/>
      <c r="J2882" s="549" t="s">
        <v>5804</v>
      </c>
      <c r="K2882" s="11"/>
      <c r="L2882" s="55" t="str">
        <f t="shared" si="1071"/>
        <v/>
      </c>
      <c r="M2882" s="37">
        <f t="shared" si="1072"/>
        <v>26.14</v>
      </c>
      <c r="N2882" s="29">
        <f t="shared" si="1073"/>
        <v>11.44</v>
      </c>
      <c r="O2882" s="31" t="s">
        <v>1017</v>
      </c>
      <c r="P2882" s="50"/>
      <c r="Q2882" s="50"/>
      <c r="R2882" s="42" t="s">
        <v>1017</v>
      </c>
      <c r="T2882" s="50"/>
      <c r="U2882" s="50"/>
      <c r="X2882" s="50"/>
      <c r="Y2882" t="s">
        <v>1017</v>
      </c>
      <c r="AA2882" s="52"/>
      <c r="AB2882" t="s">
        <v>1017</v>
      </c>
      <c r="AD2882" s="38"/>
    </row>
    <row r="2883" spans="1:30" x14ac:dyDescent="0.35">
      <c r="A2883" s="497" t="str">
        <f t="shared" si="1067"/>
        <v>BiK270t1M1--11</v>
      </c>
      <c r="B2883" s="13" t="s">
        <v>5547</v>
      </c>
      <c r="C2883" s="13" t="str">
        <f t="shared" si="1068"/>
        <v>Inbetriebnahme 2011</v>
      </c>
      <c r="D2883" s="13" t="s">
        <v>7277</v>
      </c>
      <c r="E2883" s="13" t="s">
        <v>4809</v>
      </c>
      <c r="F2883" s="373">
        <f t="shared" si="1069"/>
        <v>24.18</v>
      </c>
      <c r="G2883" s="430">
        <v>24.18</v>
      </c>
      <c r="H2883" s="399">
        <f t="shared" si="1070"/>
        <v>19.34</v>
      </c>
      <c r="I2883" s="576"/>
      <c r="J2883" s="549" t="s">
        <v>5804</v>
      </c>
      <c r="K2883" s="11"/>
      <c r="L2883" s="55" t="str">
        <f t="shared" si="1071"/>
        <v/>
      </c>
      <c r="M2883" s="37">
        <f t="shared" si="1072"/>
        <v>24.18</v>
      </c>
      <c r="N2883" s="29">
        <f t="shared" si="1073"/>
        <v>11.44</v>
      </c>
      <c r="O2883" s="31"/>
      <c r="P2883" s="50"/>
      <c r="Q2883" s="50"/>
      <c r="R2883" s="42"/>
      <c r="T2883" s="50"/>
      <c r="U2883" s="50"/>
      <c r="W2883" t="s">
        <v>1017</v>
      </c>
      <c r="X2883" s="50"/>
      <c r="AA2883" s="52"/>
      <c r="AB2883" t="s">
        <v>1017</v>
      </c>
      <c r="AD2883" s="38"/>
    </row>
    <row r="2884" spans="1:30" x14ac:dyDescent="0.35">
      <c r="A2884" s="497" t="str">
        <f t="shared" si="1067"/>
        <v>BiK270t1M1K-11</v>
      </c>
      <c r="B2884" s="13" t="s">
        <v>5547</v>
      </c>
      <c r="C2884" s="13" t="str">
        <f t="shared" si="1068"/>
        <v>Inbetriebnahme 2011</v>
      </c>
      <c r="D2884" s="13" t="s">
        <v>7278</v>
      </c>
      <c r="E2884" s="13" t="s">
        <v>4811</v>
      </c>
      <c r="F2884" s="373">
        <f t="shared" si="1069"/>
        <v>27.119999999999997</v>
      </c>
      <c r="G2884" s="430">
        <v>27.119999999999997</v>
      </c>
      <c r="H2884" s="399">
        <f t="shared" si="1070"/>
        <v>21.7</v>
      </c>
      <c r="I2884" s="576"/>
      <c r="J2884" s="549" t="s">
        <v>5804</v>
      </c>
      <c r="K2884" s="11"/>
      <c r="L2884" s="55" t="str">
        <f t="shared" si="1071"/>
        <v/>
      </c>
      <c r="M2884" s="37">
        <f t="shared" si="1072"/>
        <v>27.119999999999997</v>
      </c>
      <c r="N2884" s="29">
        <f t="shared" si="1073"/>
        <v>11.44</v>
      </c>
      <c r="O2884" s="31" t="s">
        <v>1017</v>
      </c>
      <c r="P2884" s="50"/>
      <c r="Q2884" s="50"/>
      <c r="R2884" s="42"/>
      <c r="T2884" s="50"/>
      <c r="U2884" s="50"/>
      <c r="W2884" t="s">
        <v>1017</v>
      </c>
      <c r="X2884" s="50"/>
      <c r="AA2884" s="52"/>
      <c r="AB2884" t="s">
        <v>1017</v>
      </c>
      <c r="AD2884" s="38"/>
    </row>
    <row r="2885" spans="1:30" x14ac:dyDescent="0.35">
      <c r="A2885" s="497" t="str">
        <f t="shared" si="1067"/>
        <v>BiK270t1M1i-11</v>
      </c>
      <c r="B2885" s="13" t="s">
        <v>5547</v>
      </c>
      <c r="C2885" s="13" t="str">
        <f t="shared" si="1068"/>
        <v>Inbetriebnahme 2011</v>
      </c>
      <c r="D2885" s="13" t="s">
        <v>7279</v>
      </c>
      <c r="E2885" s="13" t="s">
        <v>4809</v>
      </c>
      <c r="F2885" s="373">
        <f t="shared" si="1069"/>
        <v>25.160000000000004</v>
      </c>
      <c r="G2885" s="430">
        <v>25.160000000000004</v>
      </c>
      <c r="H2885" s="399">
        <f t="shared" si="1070"/>
        <v>20.13</v>
      </c>
      <c r="I2885" s="576"/>
      <c r="J2885" s="549" t="s">
        <v>5804</v>
      </c>
      <c r="K2885" s="11"/>
      <c r="L2885" s="55" t="str">
        <f t="shared" si="1071"/>
        <v/>
      </c>
      <c r="M2885" s="37">
        <f t="shared" si="1072"/>
        <v>25.160000000000004</v>
      </c>
      <c r="N2885" s="29">
        <f t="shared" si="1073"/>
        <v>11.44</v>
      </c>
      <c r="O2885" s="31"/>
      <c r="P2885" s="50"/>
      <c r="Q2885" s="50"/>
      <c r="R2885" s="42" t="s">
        <v>1017</v>
      </c>
      <c r="T2885" s="50"/>
      <c r="U2885" s="50"/>
      <c r="W2885" t="s">
        <v>1017</v>
      </c>
      <c r="X2885" s="50"/>
      <c r="AA2885" s="52"/>
      <c r="AB2885" t="s">
        <v>1017</v>
      </c>
      <c r="AD2885" s="38"/>
    </row>
    <row r="2886" spans="1:30" x14ac:dyDescent="0.35">
      <c r="A2886" s="497" t="str">
        <f t="shared" si="1067"/>
        <v>BiK270t1M1iK11</v>
      </c>
      <c r="B2886" s="13" t="s">
        <v>5547</v>
      </c>
      <c r="C2886" s="13" t="str">
        <f t="shared" si="1068"/>
        <v>Inbetriebnahme 2011</v>
      </c>
      <c r="D2886" s="13" t="s">
        <v>7280</v>
      </c>
      <c r="E2886" s="13" t="s">
        <v>4811</v>
      </c>
      <c r="F2886" s="373">
        <f t="shared" si="1069"/>
        <v>28.1</v>
      </c>
      <c r="G2886" s="430">
        <v>28.1</v>
      </c>
      <c r="H2886" s="399">
        <f t="shared" si="1070"/>
        <v>22.48</v>
      </c>
      <c r="I2886" s="576"/>
      <c r="J2886" s="549" t="s">
        <v>5804</v>
      </c>
      <c r="K2886" s="11"/>
      <c r="L2886" s="55" t="str">
        <f t="shared" si="1071"/>
        <v/>
      </c>
      <c r="M2886" s="37">
        <f t="shared" si="1072"/>
        <v>28.1</v>
      </c>
      <c r="N2886" s="29">
        <f t="shared" si="1073"/>
        <v>11.44</v>
      </c>
      <c r="O2886" s="31" t="s">
        <v>1017</v>
      </c>
      <c r="P2886" s="50"/>
      <c r="Q2886" s="50"/>
      <c r="R2886" s="42" t="s">
        <v>1017</v>
      </c>
      <c r="T2886" s="50"/>
      <c r="U2886" s="50"/>
      <c r="W2886" t="s">
        <v>1017</v>
      </c>
      <c r="X2886" s="50"/>
      <c r="AA2886" s="52"/>
      <c r="AB2886" t="s">
        <v>1017</v>
      </c>
      <c r="AD2886" s="38"/>
    </row>
    <row r="2887" spans="1:30" x14ac:dyDescent="0.35">
      <c r="A2887" s="497" t="str">
        <f t="shared" si="1067"/>
        <v>BiK270t1X1--11</v>
      </c>
      <c r="B2887" s="13" t="s">
        <v>5547</v>
      </c>
      <c r="C2887" s="13" t="str">
        <f t="shared" si="1068"/>
        <v>Inbetriebnahme 2011</v>
      </c>
      <c r="D2887" s="13" t="s">
        <v>7281</v>
      </c>
      <c r="E2887" s="13" t="s">
        <v>4809</v>
      </c>
      <c r="F2887" s="373">
        <f t="shared" si="1069"/>
        <v>26.14</v>
      </c>
      <c r="G2887" s="430">
        <v>26.14</v>
      </c>
      <c r="H2887" s="399">
        <f t="shared" si="1070"/>
        <v>20.91</v>
      </c>
      <c r="I2887" s="576"/>
      <c r="J2887" s="549" t="s">
        <v>5804</v>
      </c>
      <c r="K2887" s="11"/>
      <c r="L2887" s="55" t="str">
        <f t="shared" si="1071"/>
        <v/>
      </c>
      <c r="M2887" s="37">
        <f t="shared" si="1072"/>
        <v>26.14</v>
      </c>
      <c r="N2887" s="29">
        <f t="shared" si="1073"/>
        <v>11.44</v>
      </c>
      <c r="O2887" s="31"/>
      <c r="P2887" s="50"/>
      <c r="Q2887" s="50"/>
      <c r="R2887" s="42"/>
      <c r="T2887" s="50"/>
      <c r="U2887" s="50"/>
      <c r="X2887" s="50"/>
      <c r="Z2887" t="s">
        <v>1017</v>
      </c>
      <c r="AA2887" s="52"/>
      <c r="AB2887" t="s">
        <v>1017</v>
      </c>
      <c r="AD2887" s="38"/>
    </row>
    <row r="2888" spans="1:30" x14ac:dyDescent="0.35">
      <c r="A2888" s="497" t="str">
        <f t="shared" si="1067"/>
        <v>BiK270t1X1K-11</v>
      </c>
      <c r="B2888" s="13" t="s">
        <v>5547</v>
      </c>
      <c r="C2888" s="13" t="str">
        <f t="shared" si="1068"/>
        <v>Inbetriebnahme 2011</v>
      </c>
      <c r="D2888" s="13" t="s">
        <v>7282</v>
      </c>
      <c r="E2888" s="13" t="s">
        <v>4811</v>
      </c>
      <c r="F2888" s="373">
        <f t="shared" si="1069"/>
        <v>29.08</v>
      </c>
      <c r="G2888" s="430">
        <v>29.08</v>
      </c>
      <c r="H2888" s="399">
        <f t="shared" si="1070"/>
        <v>23.26</v>
      </c>
      <c r="I2888" s="576"/>
      <c r="J2888" s="549" t="s">
        <v>5804</v>
      </c>
      <c r="K2888" s="11"/>
      <c r="L2888" s="55" t="str">
        <f t="shared" si="1071"/>
        <v/>
      </c>
      <c r="M2888" s="37">
        <f t="shared" si="1072"/>
        <v>29.08</v>
      </c>
      <c r="N2888" s="29">
        <f t="shared" si="1073"/>
        <v>11.44</v>
      </c>
      <c r="O2888" s="31" t="s">
        <v>1017</v>
      </c>
      <c r="P2888" s="50"/>
      <c r="Q2888" s="50"/>
      <c r="R2888" s="42"/>
      <c r="T2888" s="50"/>
      <c r="U2888" s="50"/>
      <c r="X2888" s="50"/>
      <c r="Z2888" t="s">
        <v>1017</v>
      </c>
      <c r="AA2888" s="52"/>
      <c r="AB2888" t="s">
        <v>1017</v>
      </c>
      <c r="AD2888" s="38"/>
    </row>
    <row r="2889" spans="1:30" x14ac:dyDescent="0.35">
      <c r="A2889" s="497" t="str">
        <f t="shared" si="1067"/>
        <v>BiK270t1X1i-11</v>
      </c>
      <c r="B2889" s="13" t="s">
        <v>5547</v>
      </c>
      <c r="C2889" s="13" t="str">
        <f t="shared" si="1068"/>
        <v>Inbetriebnahme 2011</v>
      </c>
      <c r="D2889" s="13" t="s">
        <v>7283</v>
      </c>
      <c r="E2889" s="13" t="s">
        <v>4809</v>
      </c>
      <c r="F2889" s="373">
        <f t="shared" si="1069"/>
        <v>27.120000000000005</v>
      </c>
      <c r="G2889" s="430">
        <v>27.120000000000005</v>
      </c>
      <c r="H2889" s="399">
        <f t="shared" si="1070"/>
        <v>21.7</v>
      </c>
      <c r="I2889" s="576"/>
      <c r="J2889" s="549" t="s">
        <v>5804</v>
      </c>
      <c r="K2889" s="11"/>
      <c r="L2889" s="55" t="str">
        <f t="shared" si="1071"/>
        <v/>
      </c>
      <c r="M2889" s="37">
        <f t="shared" si="1072"/>
        <v>27.120000000000005</v>
      </c>
      <c r="N2889" s="29">
        <f t="shared" si="1073"/>
        <v>11.44</v>
      </c>
      <c r="O2889" s="31"/>
      <c r="P2889" s="50"/>
      <c r="Q2889" s="50"/>
      <c r="R2889" s="42" t="s">
        <v>1017</v>
      </c>
      <c r="T2889" s="50"/>
      <c r="U2889" s="50"/>
      <c r="X2889" s="50"/>
      <c r="Z2889" t="s">
        <v>1017</v>
      </c>
      <c r="AA2889" s="52"/>
      <c r="AB2889" t="s">
        <v>1017</v>
      </c>
      <c r="AD2889" s="38"/>
    </row>
    <row r="2890" spans="1:30" x14ac:dyDescent="0.35">
      <c r="A2890" s="497" t="str">
        <f t="shared" si="1067"/>
        <v>BiK270t1X1iK11</v>
      </c>
      <c r="B2890" s="13" t="s">
        <v>5547</v>
      </c>
      <c r="C2890" s="13" t="str">
        <f t="shared" si="1068"/>
        <v>Inbetriebnahme 2011</v>
      </c>
      <c r="D2890" s="13" t="s">
        <v>7284</v>
      </c>
      <c r="E2890" s="13" t="s">
        <v>4811</v>
      </c>
      <c r="F2890" s="373">
        <f t="shared" si="1069"/>
        <v>30.060000000000002</v>
      </c>
      <c r="G2890" s="430">
        <v>30.060000000000002</v>
      </c>
      <c r="H2890" s="399">
        <f t="shared" si="1070"/>
        <v>24.05</v>
      </c>
      <c r="I2890" s="576"/>
      <c r="J2890" s="549" t="s">
        <v>5804</v>
      </c>
      <c r="K2890" s="11"/>
      <c r="L2890" s="55" t="str">
        <f t="shared" si="1071"/>
        <v/>
      </c>
      <c r="M2890" s="37">
        <f t="shared" si="1072"/>
        <v>30.060000000000002</v>
      </c>
      <c r="N2890" s="29">
        <f t="shared" si="1073"/>
        <v>11.44</v>
      </c>
      <c r="O2890" s="31" t="s">
        <v>1017</v>
      </c>
      <c r="P2890" s="50"/>
      <c r="Q2890" s="50"/>
      <c r="R2890" s="42" t="s">
        <v>1017</v>
      </c>
      <c r="T2890" s="50"/>
      <c r="U2890" s="50"/>
      <c r="X2890" s="50"/>
      <c r="Z2890" t="s">
        <v>1017</v>
      </c>
      <c r="AA2890" s="52"/>
      <c r="AB2890" t="s">
        <v>1017</v>
      </c>
      <c r="AD2890" s="38"/>
    </row>
    <row r="2891" spans="1:30" x14ac:dyDescent="0.35">
      <c r="A2891" s="497" t="str">
        <f t="shared" si="1067"/>
        <v>BiK270t2----11</v>
      </c>
      <c r="B2891" s="13" t="s">
        <v>5547</v>
      </c>
      <c r="C2891" s="13" t="str">
        <f t="shared" si="1068"/>
        <v>Inbetriebnahme 2011</v>
      </c>
      <c r="D2891" s="13" t="s">
        <v>7285</v>
      </c>
      <c r="E2891" s="13" t="s">
        <v>4809</v>
      </c>
      <c r="F2891" s="373">
        <f t="shared" si="1069"/>
        <v>12.42</v>
      </c>
      <c r="G2891" s="430">
        <v>12.42</v>
      </c>
      <c r="H2891" s="399">
        <f t="shared" si="1070"/>
        <v>9.94</v>
      </c>
      <c r="I2891" s="576"/>
      <c r="J2891" s="549" t="s">
        <v>5804</v>
      </c>
      <c r="K2891" s="11"/>
      <c r="L2891" s="55" t="str">
        <f t="shared" si="1071"/>
        <v/>
      </c>
      <c r="M2891" s="37">
        <f t="shared" si="1072"/>
        <v>12.42</v>
      </c>
      <c r="N2891" s="29">
        <f t="shared" si="1073"/>
        <v>11.44</v>
      </c>
      <c r="O2891" s="31"/>
      <c r="P2891" s="50"/>
      <c r="Q2891" s="50"/>
      <c r="R2891" s="42"/>
      <c r="T2891" s="50"/>
      <c r="U2891" s="50"/>
      <c r="X2891" s="50"/>
      <c r="AA2891" s="52"/>
      <c r="AC2891" t="s">
        <v>1017</v>
      </c>
      <c r="AD2891" s="38"/>
    </row>
    <row r="2892" spans="1:30" x14ac:dyDescent="0.35">
      <c r="A2892" s="497" t="str">
        <f t="shared" si="1067"/>
        <v>BiK270t2K---11</v>
      </c>
      <c r="B2892" s="13" t="s">
        <v>5547</v>
      </c>
      <c r="C2892" s="13" t="str">
        <f t="shared" si="1068"/>
        <v>Inbetriebnahme 2011</v>
      </c>
      <c r="D2892" s="13" t="s">
        <v>7286</v>
      </c>
      <c r="E2892" s="13" t="s">
        <v>4811</v>
      </c>
      <c r="F2892" s="373">
        <f t="shared" si="1069"/>
        <v>15.36</v>
      </c>
      <c r="G2892" s="430">
        <v>15.36</v>
      </c>
      <c r="H2892" s="399">
        <f t="shared" si="1070"/>
        <v>12.29</v>
      </c>
      <c r="I2892" s="576"/>
      <c r="J2892" s="549" t="s">
        <v>5804</v>
      </c>
      <c r="K2892" s="11"/>
      <c r="L2892" s="55" t="str">
        <f t="shared" si="1071"/>
        <v/>
      </c>
      <c r="M2892" s="37">
        <f t="shared" si="1072"/>
        <v>15.36</v>
      </c>
      <c r="N2892" s="29">
        <f t="shared" si="1073"/>
        <v>11.44</v>
      </c>
      <c r="O2892" s="31" t="s">
        <v>1017</v>
      </c>
      <c r="P2892" s="50"/>
      <c r="Q2892" s="50"/>
      <c r="R2892" s="42"/>
      <c r="T2892" s="50"/>
      <c r="U2892" s="50"/>
      <c r="X2892" s="50"/>
      <c r="AA2892" s="52"/>
      <c r="AC2892" t="s">
        <v>1017</v>
      </c>
      <c r="AD2892" s="38"/>
    </row>
    <row r="2893" spans="1:30" x14ac:dyDescent="0.35">
      <c r="A2893" s="497" t="str">
        <f t="shared" si="1067"/>
        <v>BiK270t2i---11</v>
      </c>
      <c r="B2893" s="13" t="s">
        <v>5547</v>
      </c>
      <c r="C2893" s="13" t="str">
        <f t="shared" si="1068"/>
        <v>Inbetriebnahme 2011</v>
      </c>
      <c r="D2893" s="13" t="s">
        <v>7287</v>
      </c>
      <c r="E2893" s="13" t="s">
        <v>4809</v>
      </c>
      <c r="F2893" s="373">
        <f t="shared" si="1069"/>
        <v>13.399999999999999</v>
      </c>
      <c r="G2893" s="430">
        <v>13.399999999999999</v>
      </c>
      <c r="H2893" s="399">
        <f t="shared" si="1070"/>
        <v>10.72</v>
      </c>
      <c r="I2893" s="576"/>
      <c r="J2893" s="549" t="s">
        <v>5804</v>
      </c>
      <c r="K2893" s="11"/>
      <c r="L2893" s="55" t="str">
        <f t="shared" si="1071"/>
        <v/>
      </c>
      <c r="M2893" s="37">
        <f t="shared" si="1072"/>
        <v>13.399999999999999</v>
      </c>
      <c r="N2893" s="29">
        <f t="shared" si="1073"/>
        <v>11.44</v>
      </c>
      <c r="O2893" s="31"/>
      <c r="P2893" s="50"/>
      <c r="Q2893" s="50"/>
      <c r="R2893" s="42" t="s">
        <v>1017</v>
      </c>
      <c r="T2893" s="50"/>
      <c r="U2893" s="50"/>
      <c r="X2893" s="50"/>
      <c r="AA2893" s="52"/>
      <c r="AC2893" t="s">
        <v>1017</v>
      </c>
      <c r="AD2893" s="38"/>
    </row>
    <row r="2894" spans="1:30" x14ac:dyDescent="0.35">
      <c r="A2894" s="497" t="str">
        <f t="shared" si="1067"/>
        <v>BiK270t2iK--11</v>
      </c>
      <c r="B2894" s="13" t="s">
        <v>5547</v>
      </c>
      <c r="C2894" s="13" t="str">
        <f t="shared" si="1068"/>
        <v>Inbetriebnahme 2011</v>
      </c>
      <c r="D2894" s="13" t="s">
        <v>7288</v>
      </c>
      <c r="E2894" s="13" t="s">
        <v>4811</v>
      </c>
      <c r="F2894" s="373">
        <f t="shared" si="1069"/>
        <v>16.34</v>
      </c>
      <c r="G2894" s="430">
        <v>16.34</v>
      </c>
      <c r="H2894" s="399">
        <f t="shared" si="1070"/>
        <v>13.07</v>
      </c>
      <c r="I2894" s="576"/>
      <c r="J2894" s="549" t="s">
        <v>5804</v>
      </c>
      <c r="K2894" s="11"/>
      <c r="L2894" s="55" t="str">
        <f t="shared" si="1071"/>
        <v/>
      </c>
      <c r="M2894" s="37">
        <f t="shared" si="1072"/>
        <v>16.34</v>
      </c>
      <c r="N2894" s="29">
        <f t="shared" si="1073"/>
        <v>11.44</v>
      </c>
      <c r="O2894" s="31" t="s">
        <v>1017</v>
      </c>
      <c r="P2894" s="50"/>
      <c r="Q2894" s="50"/>
      <c r="R2894" s="42" t="s">
        <v>1017</v>
      </c>
      <c r="T2894" s="50"/>
      <c r="U2894" s="50"/>
      <c r="X2894" s="50"/>
      <c r="AA2894" s="52"/>
      <c r="AC2894" t="s">
        <v>1017</v>
      </c>
      <c r="AD2894" s="38"/>
    </row>
    <row r="2895" spans="1:30" x14ac:dyDescent="0.35">
      <c r="A2895" s="497" t="str">
        <f t="shared" si="1067"/>
        <v>BiK270t2a1--11</v>
      </c>
      <c r="B2895" s="13" t="s">
        <v>5547</v>
      </c>
      <c r="C2895" s="13" t="str">
        <f t="shared" si="1068"/>
        <v>Inbetriebnahme 2011</v>
      </c>
      <c r="D2895" s="13" t="s">
        <v>7289</v>
      </c>
      <c r="E2895" s="13" t="s">
        <v>4809</v>
      </c>
      <c r="F2895" s="373">
        <f t="shared" si="1069"/>
        <v>18.299999999999997</v>
      </c>
      <c r="G2895" s="430">
        <v>18.299999999999997</v>
      </c>
      <c r="H2895" s="399">
        <f t="shared" si="1070"/>
        <v>14.64</v>
      </c>
      <c r="I2895" s="576"/>
      <c r="J2895" s="549" t="s">
        <v>5804</v>
      </c>
      <c r="K2895" s="11"/>
      <c r="L2895" s="55" t="str">
        <f t="shared" si="1071"/>
        <v/>
      </c>
      <c r="M2895" s="37">
        <f t="shared" si="1072"/>
        <v>18.299999999999997</v>
      </c>
      <c r="N2895" s="29">
        <f t="shared" si="1073"/>
        <v>11.44</v>
      </c>
      <c r="O2895" s="31"/>
      <c r="P2895" s="50"/>
      <c r="Q2895" s="50"/>
      <c r="R2895" s="42"/>
      <c r="S2895" t="s">
        <v>1017</v>
      </c>
      <c r="T2895" s="50"/>
      <c r="U2895" s="50"/>
      <c r="X2895" s="50"/>
      <c r="AA2895" s="52"/>
      <c r="AC2895" t="s">
        <v>1017</v>
      </c>
      <c r="AD2895" s="38"/>
    </row>
    <row r="2896" spans="1:30" x14ac:dyDescent="0.35">
      <c r="A2896" s="497" t="str">
        <f t="shared" si="1067"/>
        <v>BiK270t2a1K-11</v>
      </c>
      <c r="B2896" s="13" t="s">
        <v>5547</v>
      </c>
      <c r="C2896" s="13" t="str">
        <f t="shared" si="1068"/>
        <v>Inbetriebnahme 2011</v>
      </c>
      <c r="D2896" s="13" t="s">
        <v>7290</v>
      </c>
      <c r="E2896" s="13" t="s">
        <v>4811</v>
      </c>
      <c r="F2896" s="373">
        <f t="shared" si="1069"/>
        <v>21.240000000000002</v>
      </c>
      <c r="G2896" s="430">
        <v>21.240000000000002</v>
      </c>
      <c r="H2896" s="399">
        <f t="shared" si="1070"/>
        <v>16.989999999999998</v>
      </c>
      <c r="I2896" s="576"/>
      <c r="J2896" s="549" t="s">
        <v>5804</v>
      </c>
      <c r="K2896" s="11"/>
      <c r="L2896" s="55" t="str">
        <f t="shared" si="1071"/>
        <v/>
      </c>
      <c r="M2896" s="37">
        <f t="shared" si="1072"/>
        <v>21.240000000000002</v>
      </c>
      <c r="N2896" s="29">
        <f t="shared" si="1073"/>
        <v>11.44</v>
      </c>
      <c r="O2896" s="31" t="s">
        <v>1017</v>
      </c>
      <c r="P2896" s="50"/>
      <c r="Q2896" s="50"/>
      <c r="R2896" s="42"/>
      <c r="S2896" t="s">
        <v>1017</v>
      </c>
      <c r="T2896" s="50"/>
      <c r="U2896" s="50"/>
      <c r="X2896" s="50"/>
      <c r="AA2896" s="52"/>
      <c r="AC2896" t="s">
        <v>1017</v>
      </c>
      <c r="AD2896" s="38"/>
    </row>
    <row r="2897" spans="1:30" x14ac:dyDescent="0.35">
      <c r="A2897" s="497" t="str">
        <f t="shared" si="1067"/>
        <v>BiK270t2a1i-11</v>
      </c>
      <c r="B2897" s="13" t="s">
        <v>5547</v>
      </c>
      <c r="C2897" s="13" t="str">
        <f t="shared" si="1068"/>
        <v>Inbetriebnahme 2011</v>
      </c>
      <c r="D2897" s="13" t="s">
        <v>7291</v>
      </c>
      <c r="E2897" s="13" t="s">
        <v>4809</v>
      </c>
      <c r="F2897" s="373">
        <f t="shared" si="1069"/>
        <v>19.28</v>
      </c>
      <c r="G2897" s="430">
        <v>19.28</v>
      </c>
      <c r="H2897" s="399">
        <f t="shared" si="1070"/>
        <v>15.42</v>
      </c>
      <c r="I2897" s="576"/>
      <c r="J2897" s="549" t="s">
        <v>5804</v>
      </c>
      <c r="K2897" s="11"/>
      <c r="L2897" s="55" t="str">
        <f t="shared" si="1071"/>
        <v/>
      </c>
      <c r="M2897" s="37">
        <f t="shared" si="1072"/>
        <v>19.28</v>
      </c>
      <c r="N2897" s="29">
        <f t="shared" si="1073"/>
        <v>11.44</v>
      </c>
      <c r="O2897" s="31"/>
      <c r="P2897" s="50"/>
      <c r="Q2897" s="50"/>
      <c r="R2897" s="42" t="s">
        <v>1017</v>
      </c>
      <c r="S2897" t="s">
        <v>1017</v>
      </c>
      <c r="T2897" s="50"/>
      <c r="U2897" s="50"/>
      <c r="X2897" s="50"/>
      <c r="AA2897" s="52"/>
      <c r="AC2897" t="s">
        <v>1017</v>
      </c>
      <c r="AD2897" s="38"/>
    </row>
    <row r="2898" spans="1:30" x14ac:dyDescent="0.35">
      <c r="A2898" s="497" t="str">
        <f t="shared" si="1067"/>
        <v>BiK270t2a1iK11</v>
      </c>
      <c r="B2898" s="13" t="s">
        <v>5547</v>
      </c>
      <c r="C2898" s="13" t="str">
        <f t="shared" si="1068"/>
        <v>Inbetriebnahme 2011</v>
      </c>
      <c r="D2898" s="13" t="s">
        <v>7292</v>
      </c>
      <c r="E2898" s="13" t="s">
        <v>4811</v>
      </c>
      <c r="F2898" s="373">
        <f t="shared" si="1069"/>
        <v>22.22</v>
      </c>
      <c r="G2898" s="430">
        <v>22.22</v>
      </c>
      <c r="H2898" s="399">
        <f t="shared" si="1070"/>
        <v>17.78</v>
      </c>
      <c r="I2898" s="576"/>
      <c r="J2898" s="549" t="s">
        <v>5804</v>
      </c>
      <c r="K2898" s="11"/>
      <c r="L2898" s="55" t="str">
        <f t="shared" si="1071"/>
        <v/>
      </c>
      <c r="M2898" s="37">
        <f t="shared" si="1072"/>
        <v>22.22</v>
      </c>
      <c r="N2898" s="29">
        <f t="shared" si="1073"/>
        <v>11.44</v>
      </c>
      <c r="O2898" s="31" t="s">
        <v>1017</v>
      </c>
      <c r="P2898" s="50"/>
      <c r="Q2898" s="50"/>
      <c r="R2898" s="42" t="s">
        <v>1017</v>
      </c>
      <c r="S2898" t="s">
        <v>1017</v>
      </c>
      <c r="T2898" s="50"/>
      <c r="U2898" s="50"/>
      <c r="X2898" s="50"/>
      <c r="AA2898" s="52"/>
      <c r="AC2898" t="s">
        <v>1017</v>
      </c>
      <c r="AD2898" s="38"/>
    </row>
    <row r="2899" spans="1:30" x14ac:dyDescent="0.35">
      <c r="A2899" s="497" t="str">
        <f t="shared" si="1067"/>
        <v>BiK270t2G---11</v>
      </c>
      <c r="B2899" s="13" t="s">
        <v>5547</v>
      </c>
      <c r="C2899" s="13" t="str">
        <f t="shared" si="1068"/>
        <v>Inbetriebnahme 2011</v>
      </c>
      <c r="D2899" s="13" t="s">
        <v>7293</v>
      </c>
      <c r="E2899" s="13" t="s">
        <v>4809</v>
      </c>
      <c r="F2899" s="373">
        <f t="shared" si="1069"/>
        <v>19.28</v>
      </c>
      <c r="G2899" s="430">
        <v>19.28</v>
      </c>
      <c r="H2899" s="399">
        <f t="shared" si="1070"/>
        <v>15.42</v>
      </c>
      <c r="I2899" s="576"/>
      <c r="J2899" s="549" t="s">
        <v>5804</v>
      </c>
      <c r="K2899" s="11"/>
      <c r="L2899" s="55" t="str">
        <f t="shared" si="1071"/>
        <v/>
      </c>
      <c r="M2899" s="37">
        <f t="shared" si="1072"/>
        <v>19.28</v>
      </c>
      <c r="N2899" s="29">
        <f t="shared" si="1073"/>
        <v>11.44</v>
      </c>
      <c r="O2899" s="31"/>
      <c r="P2899" s="50"/>
      <c r="Q2899" s="50"/>
      <c r="R2899" s="42"/>
      <c r="T2899" s="50"/>
      <c r="U2899" s="50"/>
      <c r="V2899" t="s">
        <v>1017</v>
      </c>
      <c r="X2899" s="50"/>
      <c r="AA2899" s="52"/>
      <c r="AC2899" t="s">
        <v>1017</v>
      </c>
      <c r="AD2899" s="38"/>
    </row>
    <row r="2900" spans="1:30" x14ac:dyDescent="0.35">
      <c r="A2900" s="497" t="str">
        <f t="shared" si="1067"/>
        <v>BiK270t2GK--11</v>
      </c>
      <c r="B2900" s="13" t="s">
        <v>5547</v>
      </c>
      <c r="C2900" s="13" t="str">
        <f t="shared" si="1068"/>
        <v>Inbetriebnahme 2011</v>
      </c>
      <c r="D2900" s="13" t="s">
        <v>7294</v>
      </c>
      <c r="E2900" s="13" t="s">
        <v>4811</v>
      </c>
      <c r="F2900" s="373">
        <f t="shared" si="1069"/>
        <v>22.22</v>
      </c>
      <c r="G2900" s="430">
        <v>22.22</v>
      </c>
      <c r="H2900" s="399">
        <f t="shared" si="1070"/>
        <v>17.78</v>
      </c>
      <c r="I2900" s="576"/>
      <c r="J2900" s="549" t="s">
        <v>5804</v>
      </c>
      <c r="K2900" s="11"/>
      <c r="L2900" s="55" t="str">
        <f t="shared" si="1071"/>
        <v/>
      </c>
      <c r="M2900" s="37">
        <f t="shared" si="1072"/>
        <v>22.22</v>
      </c>
      <c r="N2900" s="29">
        <f t="shared" si="1073"/>
        <v>11.44</v>
      </c>
      <c r="O2900" s="31" t="s">
        <v>1017</v>
      </c>
      <c r="P2900" s="50"/>
      <c r="Q2900" s="50"/>
      <c r="R2900" s="42"/>
      <c r="T2900" s="50"/>
      <c r="U2900" s="50"/>
      <c r="V2900" t="s">
        <v>1017</v>
      </c>
      <c r="X2900" s="50"/>
      <c r="AA2900" s="52"/>
      <c r="AC2900" t="s">
        <v>1017</v>
      </c>
      <c r="AD2900" s="38"/>
    </row>
    <row r="2901" spans="1:30" x14ac:dyDescent="0.35">
      <c r="A2901" s="497" t="str">
        <f t="shared" si="1067"/>
        <v>BiK270t2Gi--11</v>
      </c>
      <c r="B2901" s="13" t="s">
        <v>5547</v>
      </c>
      <c r="C2901" s="13" t="str">
        <f t="shared" si="1068"/>
        <v>Inbetriebnahme 2011</v>
      </c>
      <c r="D2901" s="13" t="s">
        <v>7295</v>
      </c>
      <c r="E2901" s="13" t="s">
        <v>4809</v>
      </c>
      <c r="F2901" s="373">
        <f t="shared" si="1069"/>
        <v>20.259999999999998</v>
      </c>
      <c r="G2901" s="430">
        <v>20.259999999999998</v>
      </c>
      <c r="H2901" s="399">
        <f t="shared" si="1070"/>
        <v>16.21</v>
      </c>
      <c r="I2901" s="576"/>
      <c r="J2901" s="549" t="s">
        <v>5804</v>
      </c>
      <c r="K2901" s="11"/>
      <c r="L2901" s="55" t="str">
        <f t="shared" si="1071"/>
        <v/>
      </c>
      <c r="M2901" s="37">
        <f t="shared" si="1072"/>
        <v>20.259999999999998</v>
      </c>
      <c r="N2901" s="29">
        <f t="shared" si="1073"/>
        <v>11.44</v>
      </c>
      <c r="O2901" s="31"/>
      <c r="P2901" s="50"/>
      <c r="Q2901" s="50"/>
      <c r="R2901" s="42" t="s">
        <v>1017</v>
      </c>
      <c r="T2901" s="50"/>
      <c r="U2901" s="50"/>
      <c r="V2901" t="s">
        <v>1017</v>
      </c>
      <c r="X2901" s="50"/>
      <c r="AA2901" s="52"/>
      <c r="AC2901" t="s">
        <v>1017</v>
      </c>
      <c r="AD2901" s="38"/>
    </row>
    <row r="2902" spans="1:30" x14ac:dyDescent="0.35">
      <c r="A2902" s="497" t="str">
        <f t="shared" si="1067"/>
        <v>BiK270t2GiK-11</v>
      </c>
      <c r="B2902" s="13" t="s">
        <v>5547</v>
      </c>
      <c r="C2902" s="13" t="str">
        <f t="shared" si="1068"/>
        <v>Inbetriebnahme 2011</v>
      </c>
      <c r="D2902" s="13" t="s">
        <v>7296</v>
      </c>
      <c r="E2902" s="13" t="s">
        <v>4811</v>
      </c>
      <c r="F2902" s="373">
        <f t="shared" si="1069"/>
        <v>23.200000000000003</v>
      </c>
      <c r="G2902" s="430">
        <v>23.200000000000003</v>
      </c>
      <c r="H2902" s="399">
        <f t="shared" si="1070"/>
        <v>18.559999999999999</v>
      </c>
      <c r="I2902" s="576"/>
      <c r="J2902" s="549" t="s">
        <v>5804</v>
      </c>
      <c r="K2902" s="11"/>
      <c r="L2902" s="55" t="str">
        <f t="shared" si="1071"/>
        <v/>
      </c>
      <c r="M2902" s="37">
        <f t="shared" si="1072"/>
        <v>23.200000000000003</v>
      </c>
      <c r="N2902" s="29">
        <f t="shared" si="1073"/>
        <v>11.44</v>
      </c>
      <c r="O2902" s="31" t="s">
        <v>1017</v>
      </c>
      <c r="P2902" s="50"/>
      <c r="Q2902" s="50"/>
      <c r="R2902" s="42" t="s">
        <v>1017</v>
      </c>
      <c r="T2902" s="50"/>
      <c r="U2902" s="50"/>
      <c r="V2902" t="s">
        <v>1017</v>
      </c>
      <c r="X2902" s="50"/>
      <c r="AA2902" s="52"/>
      <c r="AC2902" t="s">
        <v>1017</v>
      </c>
      <c r="AD2902" s="38"/>
    </row>
    <row r="2903" spans="1:30" x14ac:dyDescent="0.35">
      <c r="A2903" s="497" t="str">
        <f t="shared" si="1067"/>
        <v>BiK270t2L---11</v>
      </c>
      <c r="B2903" s="13" t="s">
        <v>5547</v>
      </c>
      <c r="C2903" s="13" t="str">
        <f t="shared" si="1068"/>
        <v>Inbetriebnahme 2011</v>
      </c>
      <c r="D2903" s="13" t="s">
        <v>7297</v>
      </c>
      <c r="E2903" s="13" t="s">
        <v>4809</v>
      </c>
      <c r="F2903" s="373">
        <f t="shared" si="1069"/>
        <v>21.240000000000002</v>
      </c>
      <c r="G2903" s="430">
        <v>21.240000000000002</v>
      </c>
      <c r="H2903" s="399">
        <f t="shared" si="1070"/>
        <v>16.989999999999998</v>
      </c>
      <c r="I2903" s="576"/>
      <c r="J2903" s="549" t="s">
        <v>5804</v>
      </c>
      <c r="K2903" s="11"/>
      <c r="L2903" s="55" t="str">
        <f t="shared" si="1071"/>
        <v/>
      </c>
      <c r="M2903" s="37">
        <f t="shared" si="1072"/>
        <v>21.240000000000002</v>
      </c>
      <c r="N2903" s="29">
        <f t="shared" si="1073"/>
        <v>11.44</v>
      </c>
      <c r="O2903" s="31"/>
      <c r="P2903" s="50"/>
      <c r="Q2903" s="50"/>
      <c r="R2903" s="42"/>
      <c r="T2903" s="50"/>
      <c r="U2903" s="50"/>
      <c r="X2903" s="50"/>
      <c r="Y2903" t="s">
        <v>1017</v>
      </c>
      <c r="AA2903" s="52"/>
      <c r="AC2903" t="s">
        <v>1017</v>
      </c>
      <c r="AD2903" s="38"/>
    </row>
    <row r="2904" spans="1:30" x14ac:dyDescent="0.35">
      <c r="A2904" s="497" t="str">
        <f t="shared" si="1067"/>
        <v>BiK270t2LK--11</v>
      </c>
      <c r="B2904" s="13" t="s">
        <v>5547</v>
      </c>
      <c r="C2904" s="13" t="str">
        <f t="shared" si="1068"/>
        <v>Inbetriebnahme 2011</v>
      </c>
      <c r="D2904" s="13" t="s">
        <v>7298</v>
      </c>
      <c r="E2904" s="13" t="s">
        <v>4811</v>
      </c>
      <c r="F2904" s="373">
        <f t="shared" si="1069"/>
        <v>24.18</v>
      </c>
      <c r="G2904" s="430">
        <v>24.18</v>
      </c>
      <c r="H2904" s="399">
        <f t="shared" si="1070"/>
        <v>19.34</v>
      </c>
      <c r="I2904" s="576"/>
      <c r="J2904" s="549" t="s">
        <v>5804</v>
      </c>
      <c r="K2904" s="11"/>
      <c r="L2904" s="55" t="str">
        <f t="shared" si="1071"/>
        <v/>
      </c>
      <c r="M2904" s="37">
        <f t="shared" si="1072"/>
        <v>24.18</v>
      </c>
      <c r="N2904" s="29">
        <f t="shared" si="1073"/>
        <v>11.44</v>
      </c>
      <c r="O2904" s="31" t="s">
        <v>1017</v>
      </c>
      <c r="P2904" s="50"/>
      <c r="Q2904" s="50"/>
      <c r="R2904" s="42"/>
      <c r="T2904" s="50"/>
      <c r="U2904" s="50"/>
      <c r="X2904" s="50"/>
      <c r="Y2904" t="s">
        <v>1017</v>
      </c>
      <c r="AA2904" s="52"/>
      <c r="AC2904" t="s">
        <v>1017</v>
      </c>
      <c r="AD2904" s="38"/>
    </row>
    <row r="2905" spans="1:30" x14ac:dyDescent="0.35">
      <c r="A2905" s="497" t="str">
        <f t="shared" si="1067"/>
        <v>BiK270t2Li--11</v>
      </c>
      <c r="B2905" s="13" t="s">
        <v>5547</v>
      </c>
      <c r="C2905" s="13" t="str">
        <f t="shared" si="1068"/>
        <v>Inbetriebnahme 2011</v>
      </c>
      <c r="D2905" s="13" t="s">
        <v>7299</v>
      </c>
      <c r="E2905" s="13" t="s">
        <v>4809</v>
      </c>
      <c r="F2905" s="373">
        <f t="shared" si="1069"/>
        <v>22.22</v>
      </c>
      <c r="G2905" s="430">
        <v>22.22</v>
      </c>
      <c r="H2905" s="399">
        <f t="shared" si="1070"/>
        <v>17.78</v>
      </c>
      <c r="I2905" s="576"/>
      <c r="J2905" s="549" t="s">
        <v>5804</v>
      </c>
      <c r="K2905" s="11"/>
      <c r="L2905" s="55" t="str">
        <f t="shared" si="1071"/>
        <v/>
      </c>
      <c r="M2905" s="37">
        <f t="shared" si="1072"/>
        <v>22.22</v>
      </c>
      <c r="N2905" s="29">
        <f t="shared" si="1073"/>
        <v>11.44</v>
      </c>
      <c r="O2905" s="31"/>
      <c r="P2905" s="50"/>
      <c r="Q2905" s="50"/>
      <c r="R2905" s="42" t="s">
        <v>1017</v>
      </c>
      <c r="T2905" s="50"/>
      <c r="U2905" s="50"/>
      <c r="X2905" s="50"/>
      <c r="Y2905" t="s">
        <v>1017</v>
      </c>
      <c r="AA2905" s="52"/>
      <c r="AC2905" t="s">
        <v>1017</v>
      </c>
      <c r="AD2905" s="38"/>
    </row>
    <row r="2906" spans="1:30" x14ac:dyDescent="0.35">
      <c r="A2906" s="497" t="str">
        <f t="shared" si="1067"/>
        <v>BiK270t2LiK-11</v>
      </c>
      <c r="B2906" s="13" t="s">
        <v>5547</v>
      </c>
      <c r="C2906" s="13" t="str">
        <f t="shared" si="1068"/>
        <v>Inbetriebnahme 2011</v>
      </c>
      <c r="D2906" s="13" t="s">
        <v>7300</v>
      </c>
      <c r="E2906" s="13" t="s">
        <v>4811</v>
      </c>
      <c r="F2906" s="373">
        <f t="shared" si="1069"/>
        <v>25.16</v>
      </c>
      <c r="G2906" s="430">
        <v>25.16</v>
      </c>
      <c r="H2906" s="399">
        <f t="shared" si="1070"/>
        <v>20.13</v>
      </c>
      <c r="I2906" s="576"/>
      <c r="J2906" s="549" t="s">
        <v>5804</v>
      </c>
      <c r="K2906" s="11"/>
      <c r="L2906" s="55" t="str">
        <f t="shared" si="1071"/>
        <v/>
      </c>
      <c r="M2906" s="37">
        <f t="shared" si="1072"/>
        <v>25.16</v>
      </c>
      <c r="N2906" s="29">
        <f t="shared" si="1073"/>
        <v>11.44</v>
      </c>
      <c r="O2906" s="31" t="s">
        <v>1017</v>
      </c>
      <c r="P2906" s="50"/>
      <c r="Q2906" s="50"/>
      <c r="R2906" s="42" t="s">
        <v>1017</v>
      </c>
      <c r="T2906" s="50"/>
      <c r="U2906" s="50"/>
      <c r="X2906" s="50"/>
      <c r="Y2906" t="s">
        <v>1017</v>
      </c>
      <c r="AA2906" s="52"/>
      <c r="AC2906" t="s">
        <v>1017</v>
      </c>
      <c r="AD2906" s="38"/>
    </row>
    <row r="2907" spans="1:30" x14ac:dyDescent="0.35">
      <c r="A2907" s="497" t="str">
        <f t="shared" ref="A2907:A2970" si="1074">LEFT(A2684,12)&amp;($M$2839-2000)</f>
        <v>BiK270t2M1--11</v>
      </c>
      <c r="B2907" s="13" t="s">
        <v>5547</v>
      </c>
      <c r="C2907" s="13" t="str">
        <f t="shared" ref="C2907:C2970" si="1075">"Inbetriebnahme "&amp;$M$2839</f>
        <v>Inbetriebnahme 2011</v>
      </c>
      <c r="D2907" s="13" t="s">
        <v>7301</v>
      </c>
      <c r="E2907" s="13" t="s">
        <v>4809</v>
      </c>
      <c r="F2907" s="373">
        <f t="shared" ref="F2907:F2970" si="1076">M2907</f>
        <v>23.200000000000003</v>
      </c>
      <c r="G2907" s="430">
        <v>23.200000000000003</v>
      </c>
      <c r="H2907" s="399">
        <f t="shared" ref="H2907:H2970" si="1077">IF(ISNUMBER(G2907),ROUND(0.8*G2907,2),"")</f>
        <v>18.559999999999999</v>
      </c>
      <c r="I2907" s="576"/>
      <c r="J2907" s="549" t="s">
        <v>5804</v>
      </c>
      <c r="K2907" s="11"/>
      <c r="L2907" s="55" t="str">
        <f t="shared" ref="L2907:L2970" si="1078">IF(F2907=M2907,"",FALSE)</f>
        <v/>
      </c>
      <c r="M2907" s="37">
        <f t="shared" ref="M2907:M2970" si="1079">N2907+SUMIF(O2907:AD2907,"x",$O$2842:$AD$2842)</f>
        <v>23.200000000000003</v>
      </c>
      <c r="N2907" s="29">
        <f t="shared" ref="N2907:N2970" si="1080">ROUND(N2461*(1-$AE$2841)^($M$2839-2009),2)</f>
        <v>11.44</v>
      </c>
      <c r="O2907" s="31"/>
      <c r="P2907" s="50"/>
      <c r="Q2907" s="50"/>
      <c r="R2907" s="42"/>
      <c r="T2907" s="50"/>
      <c r="U2907" s="50"/>
      <c r="W2907" t="s">
        <v>1017</v>
      </c>
      <c r="X2907" s="50"/>
      <c r="AA2907" s="52"/>
      <c r="AC2907" t="s">
        <v>1017</v>
      </c>
      <c r="AD2907" s="38"/>
    </row>
    <row r="2908" spans="1:30" x14ac:dyDescent="0.35">
      <c r="A2908" s="497" t="str">
        <f t="shared" si="1074"/>
        <v>BiK270t2M1K-11</v>
      </c>
      <c r="B2908" s="13" t="s">
        <v>5547</v>
      </c>
      <c r="C2908" s="13" t="str">
        <f t="shared" si="1075"/>
        <v>Inbetriebnahme 2011</v>
      </c>
      <c r="D2908" s="13" t="s">
        <v>7302</v>
      </c>
      <c r="E2908" s="13" t="s">
        <v>4811</v>
      </c>
      <c r="F2908" s="373">
        <f t="shared" si="1076"/>
        <v>26.14</v>
      </c>
      <c r="G2908" s="430">
        <v>26.14</v>
      </c>
      <c r="H2908" s="399">
        <f t="shared" si="1077"/>
        <v>20.91</v>
      </c>
      <c r="I2908" s="576"/>
      <c r="J2908" s="549" t="s">
        <v>5804</v>
      </c>
      <c r="K2908" s="11"/>
      <c r="L2908" s="55" t="str">
        <f t="shared" si="1078"/>
        <v/>
      </c>
      <c r="M2908" s="37">
        <f t="shared" si="1079"/>
        <v>26.14</v>
      </c>
      <c r="N2908" s="29">
        <f t="shared" si="1080"/>
        <v>11.44</v>
      </c>
      <c r="O2908" s="31" t="s">
        <v>1017</v>
      </c>
      <c r="P2908" s="50"/>
      <c r="Q2908" s="50"/>
      <c r="R2908" s="42"/>
      <c r="T2908" s="50"/>
      <c r="U2908" s="50"/>
      <c r="W2908" t="s">
        <v>1017</v>
      </c>
      <c r="X2908" s="50"/>
      <c r="AA2908" s="52"/>
      <c r="AC2908" t="s">
        <v>1017</v>
      </c>
      <c r="AD2908" s="38"/>
    </row>
    <row r="2909" spans="1:30" x14ac:dyDescent="0.35">
      <c r="A2909" s="497" t="str">
        <f t="shared" si="1074"/>
        <v>BiK270t2M1i-11</v>
      </c>
      <c r="B2909" s="13" t="s">
        <v>5547</v>
      </c>
      <c r="C2909" s="13" t="str">
        <f t="shared" si="1075"/>
        <v>Inbetriebnahme 2011</v>
      </c>
      <c r="D2909" s="13" t="s">
        <v>7303</v>
      </c>
      <c r="E2909" s="13" t="s">
        <v>4809</v>
      </c>
      <c r="F2909" s="373">
        <f t="shared" si="1076"/>
        <v>24.18</v>
      </c>
      <c r="G2909" s="430">
        <v>24.18</v>
      </c>
      <c r="H2909" s="399">
        <f t="shared" si="1077"/>
        <v>19.34</v>
      </c>
      <c r="I2909" s="576"/>
      <c r="J2909" s="549" t="s">
        <v>5804</v>
      </c>
      <c r="K2909" s="11"/>
      <c r="L2909" s="55" t="str">
        <f t="shared" si="1078"/>
        <v/>
      </c>
      <c r="M2909" s="37">
        <f t="shared" si="1079"/>
        <v>24.18</v>
      </c>
      <c r="N2909" s="29">
        <f t="shared" si="1080"/>
        <v>11.44</v>
      </c>
      <c r="O2909" s="31"/>
      <c r="P2909" s="50"/>
      <c r="Q2909" s="50"/>
      <c r="R2909" s="42" t="s">
        <v>1017</v>
      </c>
      <c r="T2909" s="50"/>
      <c r="U2909" s="50"/>
      <c r="W2909" t="s">
        <v>1017</v>
      </c>
      <c r="X2909" s="50"/>
      <c r="AA2909" s="52"/>
      <c r="AC2909" t="s">
        <v>1017</v>
      </c>
      <c r="AD2909" s="38"/>
    </row>
    <row r="2910" spans="1:30" x14ac:dyDescent="0.35">
      <c r="A2910" s="497" t="str">
        <f t="shared" si="1074"/>
        <v>BiK270t2M1iK11</v>
      </c>
      <c r="B2910" s="13" t="s">
        <v>5547</v>
      </c>
      <c r="C2910" s="13" t="str">
        <f t="shared" si="1075"/>
        <v>Inbetriebnahme 2011</v>
      </c>
      <c r="D2910" s="13" t="s">
        <v>7304</v>
      </c>
      <c r="E2910" s="13" t="s">
        <v>4811</v>
      </c>
      <c r="F2910" s="373">
        <f t="shared" si="1076"/>
        <v>27.12</v>
      </c>
      <c r="G2910" s="430">
        <v>27.12</v>
      </c>
      <c r="H2910" s="399">
        <f t="shared" si="1077"/>
        <v>21.7</v>
      </c>
      <c r="I2910" s="576"/>
      <c r="J2910" s="549" t="s">
        <v>5804</v>
      </c>
      <c r="K2910" s="11"/>
      <c r="L2910" s="55" t="str">
        <f t="shared" si="1078"/>
        <v/>
      </c>
      <c r="M2910" s="37">
        <f t="shared" si="1079"/>
        <v>27.12</v>
      </c>
      <c r="N2910" s="29">
        <f t="shared" si="1080"/>
        <v>11.44</v>
      </c>
      <c r="O2910" s="31" t="s">
        <v>1017</v>
      </c>
      <c r="P2910" s="50"/>
      <c r="Q2910" s="50"/>
      <c r="R2910" s="42" t="s">
        <v>1017</v>
      </c>
      <c r="T2910" s="50"/>
      <c r="U2910" s="50"/>
      <c r="W2910" t="s">
        <v>1017</v>
      </c>
      <c r="X2910" s="50"/>
      <c r="AA2910" s="52"/>
      <c r="AC2910" t="s">
        <v>1017</v>
      </c>
      <c r="AD2910" s="38"/>
    </row>
    <row r="2911" spans="1:30" x14ac:dyDescent="0.35">
      <c r="A2911" s="497" t="str">
        <f t="shared" si="1074"/>
        <v>BiK270t2X1--11</v>
      </c>
      <c r="B2911" s="13" t="s">
        <v>5547</v>
      </c>
      <c r="C2911" s="13" t="str">
        <f t="shared" si="1075"/>
        <v>Inbetriebnahme 2011</v>
      </c>
      <c r="D2911" s="13" t="s">
        <v>7305</v>
      </c>
      <c r="E2911" s="13" t="s">
        <v>4809</v>
      </c>
      <c r="F2911" s="373">
        <f t="shared" si="1076"/>
        <v>25.160000000000004</v>
      </c>
      <c r="G2911" s="430">
        <v>25.160000000000004</v>
      </c>
      <c r="H2911" s="399">
        <f t="shared" si="1077"/>
        <v>20.13</v>
      </c>
      <c r="I2911" s="576"/>
      <c r="J2911" s="549" t="s">
        <v>5804</v>
      </c>
      <c r="K2911" s="11"/>
      <c r="L2911" s="55" t="str">
        <f t="shared" si="1078"/>
        <v/>
      </c>
      <c r="M2911" s="37">
        <f t="shared" si="1079"/>
        <v>25.160000000000004</v>
      </c>
      <c r="N2911" s="29">
        <f t="shared" si="1080"/>
        <v>11.44</v>
      </c>
      <c r="O2911" s="31"/>
      <c r="P2911" s="50"/>
      <c r="Q2911" s="50"/>
      <c r="R2911" s="42"/>
      <c r="T2911" s="50"/>
      <c r="U2911" s="50"/>
      <c r="X2911" s="50"/>
      <c r="Z2911" t="s">
        <v>1017</v>
      </c>
      <c r="AA2911" s="52"/>
      <c r="AC2911" t="s">
        <v>1017</v>
      </c>
      <c r="AD2911" s="38"/>
    </row>
    <row r="2912" spans="1:30" x14ac:dyDescent="0.35">
      <c r="A2912" s="497" t="str">
        <f t="shared" si="1074"/>
        <v>BiK270t2X1K-11</v>
      </c>
      <c r="B2912" s="13" t="s">
        <v>5547</v>
      </c>
      <c r="C2912" s="13" t="str">
        <f t="shared" si="1075"/>
        <v>Inbetriebnahme 2011</v>
      </c>
      <c r="D2912" s="13" t="s">
        <v>7306</v>
      </c>
      <c r="E2912" s="13" t="s">
        <v>4811</v>
      </c>
      <c r="F2912" s="373">
        <f t="shared" si="1076"/>
        <v>28.1</v>
      </c>
      <c r="G2912" s="430">
        <v>28.1</v>
      </c>
      <c r="H2912" s="399">
        <f t="shared" si="1077"/>
        <v>22.48</v>
      </c>
      <c r="I2912" s="576"/>
      <c r="J2912" s="549" t="s">
        <v>5804</v>
      </c>
      <c r="K2912" s="11"/>
      <c r="L2912" s="55" t="str">
        <f t="shared" si="1078"/>
        <v/>
      </c>
      <c r="M2912" s="37">
        <f t="shared" si="1079"/>
        <v>28.1</v>
      </c>
      <c r="N2912" s="29">
        <f t="shared" si="1080"/>
        <v>11.44</v>
      </c>
      <c r="O2912" s="31" t="s">
        <v>1017</v>
      </c>
      <c r="P2912" s="50"/>
      <c r="Q2912" s="50"/>
      <c r="R2912" s="42"/>
      <c r="T2912" s="50"/>
      <c r="U2912" s="50"/>
      <c r="X2912" s="50"/>
      <c r="Z2912" t="s">
        <v>1017</v>
      </c>
      <c r="AA2912" s="52"/>
      <c r="AC2912" t="s">
        <v>1017</v>
      </c>
      <c r="AD2912" s="38"/>
    </row>
    <row r="2913" spans="1:30" x14ac:dyDescent="0.35">
      <c r="A2913" s="497" t="str">
        <f t="shared" si="1074"/>
        <v>BiK270t2X1i-11</v>
      </c>
      <c r="B2913" s="13" t="s">
        <v>5547</v>
      </c>
      <c r="C2913" s="13" t="str">
        <f t="shared" si="1075"/>
        <v>Inbetriebnahme 2011</v>
      </c>
      <c r="D2913" s="13" t="s">
        <v>7307</v>
      </c>
      <c r="E2913" s="13" t="s">
        <v>4809</v>
      </c>
      <c r="F2913" s="373">
        <f t="shared" si="1076"/>
        <v>26.14</v>
      </c>
      <c r="G2913" s="430">
        <v>26.14</v>
      </c>
      <c r="H2913" s="399">
        <f t="shared" si="1077"/>
        <v>20.91</v>
      </c>
      <c r="I2913" s="576"/>
      <c r="J2913" s="549" t="s">
        <v>5804</v>
      </c>
      <c r="K2913" s="11"/>
      <c r="L2913" s="55" t="str">
        <f t="shared" si="1078"/>
        <v/>
      </c>
      <c r="M2913" s="37">
        <f t="shared" si="1079"/>
        <v>26.14</v>
      </c>
      <c r="N2913" s="29">
        <f t="shared" si="1080"/>
        <v>11.44</v>
      </c>
      <c r="O2913" s="31"/>
      <c r="P2913" s="50"/>
      <c r="Q2913" s="50"/>
      <c r="R2913" s="42" t="s">
        <v>1017</v>
      </c>
      <c r="T2913" s="50"/>
      <c r="U2913" s="50"/>
      <c r="X2913" s="50"/>
      <c r="Z2913" t="s">
        <v>1017</v>
      </c>
      <c r="AA2913" s="52"/>
      <c r="AC2913" t="s">
        <v>1017</v>
      </c>
      <c r="AD2913" s="38"/>
    </row>
    <row r="2914" spans="1:30" x14ac:dyDescent="0.35">
      <c r="A2914" s="497" t="str">
        <f t="shared" si="1074"/>
        <v>BiK270t2X1iK11</v>
      </c>
      <c r="B2914" s="13" t="s">
        <v>5547</v>
      </c>
      <c r="C2914" s="13" t="str">
        <f t="shared" si="1075"/>
        <v>Inbetriebnahme 2011</v>
      </c>
      <c r="D2914" s="13" t="s">
        <v>7308</v>
      </c>
      <c r="E2914" s="13" t="s">
        <v>4811</v>
      </c>
      <c r="F2914" s="373">
        <f t="shared" si="1076"/>
        <v>29.080000000000005</v>
      </c>
      <c r="G2914" s="430">
        <v>29.080000000000005</v>
      </c>
      <c r="H2914" s="399">
        <f t="shared" si="1077"/>
        <v>23.26</v>
      </c>
      <c r="I2914" s="576"/>
      <c r="J2914" s="549" t="s">
        <v>5804</v>
      </c>
      <c r="K2914" s="11"/>
      <c r="L2914" s="55" t="str">
        <f t="shared" si="1078"/>
        <v/>
      </c>
      <c r="M2914" s="37">
        <f t="shared" si="1079"/>
        <v>29.080000000000005</v>
      </c>
      <c r="N2914" s="29">
        <f t="shared" si="1080"/>
        <v>11.44</v>
      </c>
      <c r="O2914" s="31" t="s">
        <v>1017</v>
      </c>
      <c r="P2914" s="50"/>
      <c r="Q2914" s="50"/>
      <c r="R2914" s="42" t="s">
        <v>1017</v>
      </c>
      <c r="T2914" s="50"/>
      <c r="U2914" s="50"/>
      <c r="X2914" s="50"/>
      <c r="Z2914" t="s">
        <v>1017</v>
      </c>
      <c r="AA2914" s="52"/>
      <c r="AC2914" t="s">
        <v>1017</v>
      </c>
      <c r="AD2914" s="38"/>
    </row>
    <row r="2915" spans="1:30" x14ac:dyDescent="0.35">
      <c r="A2915" s="497" t="str">
        <f t="shared" si="1074"/>
        <v>BiK270t3----11</v>
      </c>
      <c r="B2915" s="13" t="s">
        <v>5547</v>
      </c>
      <c r="C2915" s="13" t="str">
        <f t="shared" si="1075"/>
        <v>Inbetriebnahme 2011</v>
      </c>
      <c r="D2915" s="13" t="s">
        <v>7309</v>
      </c>
      <c r="E2915" s="13" t="s">
        <v>4809</v>
      </c>
      <c r="F2915" s="373">
        <f t="shared" si="1076"/>
        <v>13.399999999999999</v>
      </c>
      <c r="G2915" s="430">
        <v>13.399999999999999</v>
      </c>
      <c r="H2915" s="399">
        <f t="shared" si="1077"/>
        <v>10.72</v>
      </c>
      <c r="I2915" s="576"/>
      <c r="J2915" s="549" t="s">
        <v>5804</v>
      </c>
      <c r="K2915" s="11"/>
      <c r="L2915" s="55" t="str">
        <f t="shared" si="1078"/>
        <v/>
      </c>
      <c r="M2915" s="37">
        <f t="shared" si="1079"/>
        <v>13.399999999999999</v>
      </c>
      <c r="N2915" s="29">
        <f t="shared" si="1080"/>
        <v>11.44</v>
      </c>
      <c r="O2915" s="31"/>
      <c r="P2915" s="50"/>
      <c r="Q2915" s="50"/>
      <c r="R2915" s="42"/>
      <c r="T2915" s="50"/>
      <c r="U2915" s="50"/>
      <c r="X2915" s="50"/>
      <c r="AA2915" s="52"/>
      <c r="AD2915" s="38" t="s">
        <v>1017</v>
      </c>
    </row>
    <row r="2916" spans="1:30" x14ac:dyDescent="0.35">
      <c r="A2916" s="497" t="str">
        <f t="shared" si="1074"/>
        <v>BiK270t3K---11</v>
      </c>
      <c r="B2916" s="13" t="s">
        <v>5547</v>
      </c>
      <c r="C2916" s="13" t="str">
        <f t="shared" si="1075"/>
        <v>Inbetriebnahme 2011</v>
      </c>
      <c r="D2916" s="13" t="s">
        <v>7310</v>
      </c>
      <c r="E2916" s="13" t="s">
        <v>4811</v>
      </c>
      <c r="F2916" s="373">
        <f t="shared" si="1076"/>
        <v>16.34</v>
      </c>
      <c r="G2916" s="430">
        <v>16.34</v>
      </c>
      <c r="H2916" s="399">
        <f t="shared" si="1077"/>
        <v>13.07</v>
      </c>
      <c r="I2916" s="576"/>
      <c r="J2916" s="549" t="s">
        <v>5804</v>
      </c>
      <c r="K2916" s="11"/>
      <c r="L2916" s="55" t="str">
        <f t="shared" si="1078"/>
        <v/>
      </c>
      <c r="M2916" s="37">
        <f t="shared" si="1079"/>
        <v>16.34</v>
      </c>
      <c r="N2916" s="29">
        <f t="shared" si="1080"/>
        <v>11.44</v>
      </c>
      <c r="O2916" s="31" t="s">
        <v>1017</v>
      </c>
      <c r="P2916" s="50"/>
      <c r="Q2916" s="50"/>
      <c r="R2916" s="42"/>
      <c r="T2916" s="50"/>
      <c r="U2916" s="50"/>
      <c r="X2916" s="50"/>
      <c r="AA2916" s="52"/>
      <c r="AD2916" s="38" t="s">
        <v>1017</v>
      </c>
    </row>
    <row r="2917" spans="1:30" x14ac:dyDescent="0.35">
      <c r="A2917" s="497" t="str">
        <f t="shared" si="1074"/>
        <v>BiK270t3i---11</v>
      </c>
      <c r="B2917" s="13" t="s">
        <v>5547</v>
      </c>
      <c r="C2917" s="13" t="str">
        <f t="shared" si="1075"/>
        <v>Inbetriebnahme 2011</v>
      </c>
      <c r="D2917" s="13" t="s">
        <v>7311</v>
      </c>
      <c r="E2917" s="13" t="s">
        <v>4809</v>
      </c>
      <c r="F2917" s="373">
        <f t="shared" si="1076"/>
        <v>14.379999999999999</v>
      </c>
      <c r="G2917" s="430">
        <v>14.379999999999999</v>
      </c>
      <c r="H2917" s="399">
        <f t="shared" si="1077"/>
        <v>11.5</v>
      </c>
      <c r="I2917" s="576"/>
      <c r="J2917" s="549" t="s">
        <v>5804</v>
      </c>
      <c r="K2917" s="11"/>
      <c r="L2917" s="55" t="str">
        <f t="shared" si="1078"/>
        <v/>
      </c>
      <c r="M2917" s="37">
        <f t="shared" si="1079"/>
        <v>14.379999999999999</v>
      </c>
      <c r="N2917" s="29">
        <f t="shared" si="1080"/>
        <v>11.44</v>
      </c>
      <c r="O2917" s="31"/>
      <c r="P2917" s="50"/>
      <c r="Q2917" s="50"/>
      <c r="R2917" s="42" t="s">
        <v>1017</v>
      </c>
      <c r="T2917" s="50"/>
      <c r="U2917" s="50"/>
      <c r="X2917" s="50"/>
      <c r="AA2917" s="52"/>
      <c r="AD2917" s="38" t="s">
        <v>1017</v>
      </c>
    </row>
    <row r="2918" spans="1:30" x14ac:dyDescent="0.35">
      <c r="A2918" s="497" t="str">
        <f t="shared" si="1074"/>
        <v>BiK270t3iK--11</v>
      </c>
      <c r="B2918" s="13" t="s">
        <v>5547</v>
      </c>
      <c r="C2918" s="13" t="str">
        <f t="shared" si="1075"/>
        <v>Inbetriebnahme 2011</v>
      </c>
      <c r="D2918" s="13" t="s">
        <v>7312</v>
      </c>
      <c r="E2918" s="13" t="s">
        <v>4811</v>
      </c>
      <c r="F2918" s="373">
        <f t="shared" si="1076"/>
        <v>17.32</v>
      </c>
      <c r="G2918" s="430">
        <v>17.32</v>
      </c>
      <c r="H2918" s="399">
        <f t="shared" si="1077"/>
        <v>13.86</v>
      </c>
      <c r="I2918" s="576"/>
      <c r="J2918" s="549" t="s">
        <v>5804</v>
      </c>
      <c r="K2918" s="11"/>
      <c r="L2918" s="55" t="str">
        <f t="shared" si="1078"/>
        <v/>
      </c>
      <c r="M2918" s="37">
        <f t="shared" si="1079"/>
        <v>17.32</v>
      </c>
      <c r="N2918" s="29">
        <f t="shared" si="1080"/>
        <v>11.44</v>
      </c>
      <c r="O2918" s="31" t="s">
        <v>1017</v>
      </c>
      <c r="P2918" s="50"/>
      <c r="Q2918" s="50"/>
      <c r="R2918" s="42" t="s">
        <v>1017</v>
      </c>
      <c r="T2918" s="50"/>
      <c r="U2918" s="50"/>
      <c r="X2918" s="50"/>
      <c r="AA2918" s="52"/>
      <c r="AD2918" s="38" t="s">
        <v>1017</v>
      </c>
    </row>
    <row r="2919" spans="1:30" x14ac:dyDescent="0.35">
      <c r="A2919" s="497" t="str">
        <f t="shared" si="1074"/>
        <v>BiK270t3a1--11</v>
      </c>
      <c r="B2919" s="13" t="s">
        <v>5547</v>
      </c>
      <c r="C2919" s="13" t="str">
        <f t="shared" si="1075"/>
        <v>Inbetriebnahme 2011</v>
      </c>
      <c r="D2919" s="13" t="s">
        <v>7313</v>
      </c>
      <c r="E2919" s="13" t="s">
        <v>4809</v>
      </c>
      <c r="F2919" s="373">
        <f t="shared" si="1076"/>
        <v>19.28</v>
      </c>
      <c r="G2919" s="430">
        <v>19.28</v>
      </c>
      <c r="H2919" s="399">
        <f t="shared" si="1077"/>
        <v>15.42</v>
      </c>
      <c r="I2919" s="576"/>
      <c r="J2919" s="549" t="s">
        <v>5804</v>
      </c>
      <c r="K2919" s="11"/>
      <c r="L2919" s="55" t="str">
        <f t="shared" si="1078"/>
        <v/>
      </c>
      <c r="M2919" s="37">
        <f t="shared" si="1079"/>
        <v>19.28</v>
      </c>
      <c r="N2919" s="29">
        <f t="shared" si="1080"/>
        <v>11.44</v>
      </c>
      <c r="O2919" s="31"/>
      <c r="P2919" s="50"/>
      <c r="Q2919" s="50"/>
      <c r="R2919" s="42"/>
      <c r="S2919" t="s">
        <v>1017</v>
      </c>
      <c r="T2919" s="50"/>
      <c r="U2919" s="50"/>
      <c r="X2919" s="50"/>
      <c r="AA2919" s="52"/>
      <c r="AD2919" s="38" t="s">
        <v>1017</v>
      </c>
    </row>
    <row r="2920" spans="1:30" x14ac:dyDescent="0.35">
      <c r="A2920" s="497" t="str">
        <f t="shared" si="1074"/>
        <v>BiK270t3a1K-11</v>
      </c>
      <c r="B2920" s="13" t="s">
        <v>5547</v>
      </c>
      <c r="C2920" s="13" t="str">
        <f t="shared" si="1075"/>
        <v>Inbetriebnahme 2011</v>
      </c>
      <c r="D2920" s="13" t="s">
        <v>7314</v>
      </c>
      <c r="E2920" s="13" t="s">
        <v>4811</v>
      </c>
      <c r="F2920" s="373">
        <f t="shared" si="1076"/>
        <v>22.22</v>
      </c>
      <c r="G2920" s="430">
        <v>22.22</v>
      </c>
      <c r="H2920" s="399">
        <f t="shared" si="1077"/>
        <v>17.78</v>
      </c>
      <c r="I2920" s="576"/>
      <c r="J2920" s="549" t="s">
        <v>5804</v>
      </c>
      <c r="K2920" s="11"/>
      <c r="L2920" s="55" t="str">
        <f t="shared" si="1078"/>
        <v/>
      </c>
      <c r="M2920" s="37">
        <f t="shared" si="1079"/>
        <v>22.22</v>
      </c>
      <c r="N2920" s="29">
        <f t="shared" si="1080"/>
        <v>11.44</v>
      </c>
      <c r="O2920" s="31" t="s">
        <v>1017</v>
      </c>
      <c r="P2920" s="50"/>
      <c r="Q2920" s="50"/>
      <c r="R2920" s="42"/>
      <c r="S2920" t="s">
        <v>1017</v>
      </c>
      <c r="T2920" s="50"/>
      <c r="U2920" s="50"/>
      <c r="X2920" s="50"/>
      <c r="AA2920" s="52"/>
      <c r="AD2920" s="38" t="s">
        <v>1017</v>
      </c>
    </row>
    <row r="2921" spans="1:30" x14ac:dyDescent="0.35">
      <c r="A2921" s="497" t="str">
        <f t="shared" si="1074"/>
        <v>BiK270t3a1i-11</v>
      </c>
      <c r="B2921" s="13" t="s">
        <v>5547</v>
      </c>
      <c r="C2921" s="13" t="str">
        <f t="shared" si="1075"/>
        <v>Inbetriebnahme 2011</v>
      </c>
      <c r="D2921" s="13" t="s">
        <v>7315</v>
      </c>
      <c r="E2921" s="13" t="s">
        <v>4809</v>
      </c>
      <c r="F2921" s="373">
        <f t="shared" si="1076"/>
        <v>20.259999999999998</v>
      </c>
      <c r="G2921" s="430">
        <v>20.259999999999998</v>
      </c>
      <c r="H2921" s="399">
        <f t="shared" si="1077"/>
        <v>16.21</v>
      </c>
      <c r="I2921" s="576"/>
      <c r="J2921" s="549" t="s">
        <v>5804</v>
      </c>
      <c r="K2921" s="11"/>
      <c r="L2921" s="55" t="str">
        <f t="shared" si="1078"/>
        <v/>
      </c>
      <c r="M2921" s="37">
        <f t="shared" si="1079"/>
        <v>20.259999999999998</v>
      </c>
      <c r="N2921" s="29">
        <f t="shared" si="1080"/>
        <v>11.44</v>
      </c>
      <c r="O2921" s="31"/>
      <c r="P2921" s="50"/>
      <c r="Q2921" s="50"/>
      <c r="R2921" s="42" t="s">
        <v>1017</v>
      </c>
      <c r="S2921" t="s">
        <v>1017</v>
      </c>
      <c r="T2921" s="50"/>
      <c r="U2921" s="50"/>
      <c r="X2921" s="50"/>
      <c r="AA2921" s="52"/>
      <c r="AD2921" s="38" t="s">
        <v>1017</v>
      </c>
    </row>
    <row r="2922" spans="1:30" x14ac:dyDescent="0.35">
      <c r="A2922" s="497" t="str">
        <f t="shared" si="1074"/>
        <v>BiK270t3a1iK11</v>
      </c>
      <c r="B2922" s="13" t="s">
        <v>5547</v>
      </c>
      <c r="C2922" s="13" t="str">
        <f t="shared" si="1075"/>
        <v>Inbetriebnahme 2011</v>
      </c>
      <c r="D2922" s="13" t="s">
        <v>7316</v>
      </c>
      <c r="E2922" s="13" t="s">
        <v>4811</v>
      </c>
      <c r="F2922" s="373">
        <f t="shared" si="1076"/>
        <v>23.200000000000003</v>
      </c>
      <c r="G2922" s="430">
        <v>23.200000000000003</v>
      </c>
      <c r="H2922" s="399">
        <f t="shared" si="1077"/>
        <v>18.559999999999999</v>
      </c>
      <c r="I2922" s="576"/>
      <c r="J2922" s="549" t="s">
        <v>5804</v>
      </c>
      <c r="K2922" s="11"/>
      <c r="L2922" s="55" t="str">
        <f t="shared" si="1078"/>
        <v/>
      </c>
      <c r="M2922" s="37">
        <f t="shared" si="1079"/>
        <v>23.200000000000003</v>
      </c>
      <c r="N2922" s="29">
        <f t="shared" si="1080"/>
        <v>11.44</v>
      </c>
      <c r="O2922" s="31" t="s">
        <v>1017</v>
      </c>
      <c r="P2922" s="50"/>
      <c r="Q2922" s="50"/>
      <c r="R2922" s="42" t="s">
        <v>1017</v>
      </c>
      <c r="S2922" t="s">
        <v>1017</v>
      </c>
      <c r="T2922" s="50"/>
      <c r="U2922" s="50"/>
      <c r="X2922" s="50"/>
      <c r="AA2922" s="52"/>
      <c r="AD2922" s="38" t="s">
        <v>1017</v>
      </c>
    </row>
    <row r="2923" spans="1:30" x14ac:dyDescent="0.35">
      <c r="A2923" s="497" t="str">
        <f t="shared" si="1074"/>
        <v>BiK270t3G---11</v>
      </c>
      <c r="B2923" s="13" t="s">
        <v>5547</v>
      </c>
      <c r="C2923" s="13" t="str">
        <f t="shared" si="1075"/>
        <v>Inbetriebnahme 2011</v>
      </c>
      <c r="D2923" s="13" t="s">
        <v>7317</v>
      </c>
      <c r="E2923" s="13" t="s">
        <v>4809</v>
      </c>
      <c r="F2923" s="373">
        <f t="shared" si="1076"/>
        <v>20.259999999999998</v>
      </c>
      <c r="G2923" s="430">
        <v>20.259999999999998</v>
      </c>
      <c r="H2923" s="399">
        <f t="shared" si="1077"/>
        <v>16.21</v>
      </c>
      <c r="I2923" s="576"/>
      <c r="J2923" s="549" t="s">
        <v>5804</v>
      </c>
      <c r="K2923" s="11"/>
      <c r="L2923" s="55" t="str">
        <f t="shared" si="1078"/>
        <v/>
      </c>
      <c r="M2923" s="37">
        <f t="shared" si="1079"/>
        <v>20.259999999999998</v>
      </c>
      <c r="N2923" s="29">
        <f t="shared" si="1080"/>
        <v>11.44</v>
      </c>
      <c r="O2923" s="31"/>
      <c r="P2923" s="50"/>
      <c r="Q2923" s="50"/>
      <c r="R2923" s="42"/>
      <c r="T2923" s="50"/>
      <c r="U2923" s="50"/>
      <c r="V2923" t="s">
        <v>1017</v>
      </c>
      <c r="X2923" s="50"/>
      <c r="AA2923" s="52"/>
      <c r="AD2923" s="38" t="s">
        <v>1017</v>
      </c>
    </row>
    <row r="2924" spans="1:30" x14ac:dyDescent="0.35">
      <c r="A2924" s="497" t="str">
        <f t="shared" si="1074"/>
        <v>BiK270t3GK--11</v>
      </c>
      <c r="B2924" s="13" t="s">
        <v>5547</v>
      </c>
      <c r="C2924" s="13" t="str">
        <f t="shared" si="1075"/>
        <v>Inbetriebnahme 2011</v>
      </c>
      <c r="D2924" s="13" t="s">
        <v>7318</v>
      </c>
      <c r="E2924" s="13" t="s">
        <v>4811</v>
      </c>
      <c r="F2924" s="373">
        <f t="shared" si="1076"/>
        <v>23.200000000000003</v>
      </c>
      <c r="G2924" s="430">
        <v>23.200000000000003</v>
      </c>
      <c r="H2924" s="399">
        <f t="shared" si="1077"/>
        <v>18.559999999999999</v>
      </c>
      <c r="I2924" s="576"/>
      <c r="J2924" s="549" t="s">
        <v>5804</v>
      </c>
      <c r="K2924" s="11"/>
      <c r="L2924" s="55" t="str">
        <f t="shared" si="1078"/>
        <v/>
      </c>
      <c r="M2924" s="37">
        <f t="shared" si="1079"/>
        <v>23.200000000000003</v>
      </c>
      <c r="N2924" s="29">
        <f t="shared" si="1080"/>
        <v>11.44</v>
      </c>
      <c r="O2924" s="31" t="s">
        <v>1017</v>
      </c>
      <c r="P2924" s="50"/>
      <c r="Q2924" s="50"/>
      <c r="R2924" s="42"/>
      <c r="T2924" s="50"/>
      <c r="U2924" s="50"/>
      <c r="V2924" t="s">
        <v>1017</v>
      </c>
      <c r="X2924" s="50"/>
      <c r="AA2924" s="52"/>
      <c r="AD2924" s="38" t="s">
        <v>1017</v>
      </c>
    </row>
    <row r="2925" spans="1:30" x14ac:dyDescent="0.35">
      <c r="A2925" s="497" t="str">
        <f t="shared" si="1074"/>
        <v>BiK270t3Gi--11</v>
      </c>
      <c r="B2925" s="13" t="s">
        <v>5547</v>
      </c>
      <c r="C2925" s="13" t="str">
        <f t="shared" si="1075"/>
        <v>Inbetriebnahme 2011</v>
      </c>
      <c r="D2925" s="13" t="s">
        <v>7319</v>
      </c>
      <c r="E2925" s="13" t="s">
        <v>4809</v>
      </c>
      <c r="F2925" s="373">
        <f t="shared" si="1076"/>
        <v>21.240000000000002</v>
      </c>
      <c r="G2925" s="430">
        <v>21.240000000000002</v>
      </c>
      <c r="H2925" s="399">
        <f t="shared" si="1077"/>
        <v>16.989999999999998</v>
      </c>
      <c r="I2925" s="576"/>
      <c r="J2925" s="549" t="s">
        <v>5804</v>
      </c>
      <c r="K2925" s="11"/>
      <c r="L2925" s="55" t="str">
        <f t="shared" si="1078"/>
        <v/>
      </c>
      <c r="M2925" s="37">
        <f t="shared" si="1079"/>
        <v>21.240000000000002</v>
      </c>
      <c r="N2925" s="29">
        <f t="shared" si="1080"/>
        <v>11.44</v>
      </c>
      <c r="O2925" s="31"/>
      <c r="P2925" s="50"/>
      <c r="Q2925" s="50"/>
      <c r="R2925" s="42" t="s">
        <v>1017</v>
      </c>
      <c r="T2925" s="50"/>
      <c r="U2925" s="50"/>
      <c r="V2925" t="s">
        <v>1017</v>
      </c>
      <c r="X2925" s="50"/>
      <c r="AA2925" s="52"/>
      <c r="AD2925" s="38" t="s">
        <v>1017</v>
      </c>
    </row>
    <row r="2926" spans="1:30" x14ac:dyDescent="0.35">
      <c r="A2926" s="497" t="str">
        <f t="shared" si="1074"/>
        <v>BiK270t3GiK-11</v>
      </c>
      <c r="B2926" s="13" t="s">
        <v>5547</v>
      </c>
      <c r="C2926" s="13" t="str">
        <f t="shared" si="1075"/>
        <v>Inbetriebnahme 2011</v>
      </c>
      <c r="D2926" s="13" t="s">
        <v>7320</v>
      </c>
      <c r="E2926" s="13" t="s">
        <v>4811</v>
      </c>
      <c r="F2926" s="373">
        <f t="shared" si="1076"/>
        <v>24.18</v>
      </c>
      <c r="G2926" s="430">
        <v>24.18</v>
      </c>
      <c r="H2926" s="399">
        <f t="shared" si="1077"/>
        <v>19.34</v>
      </c>
      <c r="I2926" s="576"/>
      <c r="J2926" s="549" t="s">
        <v>5804</v>
      </c>
      <c r="K2926" s="11"/>
      <c r="L2926" s="55" t="str">
        <f t="shared" si="1078"/>
        <v/>
      </c>
      <c r="M2926" s="37">
        <f t="shared" si="1079"/>
        <v>24.18</v>
      </c>
      <c r="N2926" s="29">
        <f t="shared" si="1080"/>
        <v>11.44</v>
      </c>
      <c r="O2926" s="31" t="s">
        <v>1017</v>
      </c>
      <c r="P2926" s="50"/>
      <c r="Q2926" s="50"/>
      <c r="R2926" s="42" t="s">
        <v>1017</v>
      </c>
      <c r="T2926" s="50"/>
      <c r="U2926" s="50"/>
      <c r="V2926" t="s">
        <v>1017</v>
      </c>
      <c r="X2926" s="50"/>
      <c r="AA2926" s="52"/>
      <c r="AD2926" s="38" t="s">
        <v>1017</v>
      </c>
    </row>
    <row r="2927" spans="1:30" x14ac:dyDescent="0.35">
      <c r="A2927" s="497" t="str">
        <f t="shared" si="1074"/>
        <v>BiK270t3L---11</v>
      </c>
      <c r="B2927" s="13" t="s">
        <v>5547</v>
      </c>
      <c r="C2927" s="13" t="str">
        <f t="shared" si="1075"/>
        <v>Inbetriebnahme 2011</v>
      </c>
      <c r="D2927" s="13" t="s">
        <v>7321</v>
      </c>
      <c r="E2927" s="13" t="s">
        <v>4809</v>
      </c>
      <c r="F2927" s="373">
        <f t="shared" si="1076"/>
        <v>22.22</v>
      </c>
      <c r="G2927" s="430">
        <v>22.22</v>
      </c>
      <c r="H2927" s="399">
        <f t="shared" si="1077"/>
        <v>17.78</v>
      </c>
      <c r="I2927" s="576"/>
      <c r="J2927" s="549" t="s">
        <v>5804</v>
      </c>
      <c r="K2927" s="11"/>
      <c r="L2927" s="55" t="str">
        <f t="shared" si="1078"/>
        <v/>
      </c>
      <c r="M2927" s="37">
        <f t="shared" si="1079"/>
        <v>22.22</v>
      </c>
      <c r="N2927" s="29">
        <f t="shared" si="1080"/>
        <v>11.44</v>
      </c>
      <c r="O2927" s="31"/>
      <c r="P2927" s="50"/>
      <c r="Q2927" s="50"/>
      <c r="R2927" s="42"/>
      <c r="T2927" s="50"/>
      <c r="U2927" s="50"/>
      <c r="X2927" s="50"/>
      <c r="Y2927" t="s">
        <v>1017</v>
      </c>
      <c r="AA2927" s="52"/>
      <c r="AD2927" s="38" t="s">
        <v>1017</v>
      </c>
    </row>
    <row r="2928" spans="1:30" x14ac:dyDescent="0.35">
      <c r="A2928" s="497" t="str">
        <f t="shared" si="1074"/>
        <v>BiK270t3LK--11</v>
      </c>
      <c r="B2928" s="13" t="s">
        <v>5547</v>
      </c>
      <c r="C2928" s="13" t="str">
        <f t="shared" si="1075"/>
        <v>Inbetriebnahme 2011</v>
      </c>
      <c r="D2928" s="13" t="s">
        <v>7322</v>
      </c>
      <c r="E2928" s="13" t="s">
        <v>4811</v>
      </c>
      <c r="F2928" s="373">
        <f t="shared" si="1076"/>
        <v>25.159999999999997</v>
      </c>
      <c r="G2928" s="430">
        <v>25.159999999999997</v>
      </c>
      <c r="H2928" s="399">
        <f t="shared" si="1077"/>
        <v>20.13</v>
      </c>
      <c r="I2928" s="576"/>
      <c r="J2928" s="549" t="s">
        <v>5804</v>
      </c>
      <c r="K2928" s="11"/>
      <c r="L2928" s="55" t="str">
        <f t="shared" si="1078"/>
        <v/>
      </c>
      <c r="M2928" s="37">
        <f t="shared" si="1079"/>
        <v>25.159999999999997</v>
      </c>
      <c r="N2928" s="29">
        <f t="shared" si="1080"/>
        <v>11.44</v>
      </c>
      <c r="O2928" s="31" t="s">
        <v>1017</v>
      </c>
      <c r="P2928" s="50"/>
      <c r="Q2928" s="50"/>
      <c r="R2928" s="42"/>
      <c r="T2928" s="50"/>
      <c r="U2928" s="50"/>
      <c r="X2928" s="50"/>
      <c r="Y2928" t="s">
        <v>1017</v>
      </c>
      <c r="AA2928" s="52"/>
      <c r="AD2928" s="38" t="s">
        <v>1017</v>
      </c>
    </row>
    <row r="2929" spans="1:30" x14ac:dyDescent="0.35">
      <c r="A2929" s="497" t="str">
        <f t="shared" si="1074"/>
        <v>BiK270t3Li--11</v>
      </c>
      <c r="B2929" s="13" t="s">
        <v>5547</v>
      </c>
      <c r="C2929" s="13" t="str">
        <f t="shared" si="1075"/>
        <v>Inbetriebnahme 2011</v>
      </c>
      <c r="D2929" s="13" t="s">
        <v>7323</v>
      </c>
      <c r="E2929" s="13" t="s">
        <v>4809</v>
      </c>
      <c r="F2929" s="373">
        <f t="shared" si="1076"/>
        <v>23.200000000000003</v>
      </c>
      <c r="G2929" s="430">
        <v>23.200000000000003</v>
      </c>
      <c r="H2929" s="399">
        <f t="shared" si="1077"/>
        <v>18.559999999999999</v>
      </c>
      <c r="I2929" s="576"/>
      <c r="J2929" s="549" t="s">
        <v>5804</v>
      </c>
      <c r="K2929" s="11"/>
      <c r="L2929" s="55" t="str">
        <f t="shared" si="1078"/>
        <v/>
      </c>
      <c r="M2929" s="37">
        <f t="shared" si="1079"/>
        <v>23.200000000000003</v>
      </c>
      <c r="N2929" s="29">
        <f t="shared" si="1080"/>
        <v>11.44</v>
      </c>
      <c r="O2929" s="31"/>
      <c r="P2929" s="50"/>
      <c r="Q2929" s="50"/>
      <c r="R2929" s="42" t="s">
        <v>1017</v>
      </c>
      <c r="T2929" s="50"/>
      <c r="U2929" s="50"/>
      <c r="X2929" s="50"/>
      <c r="Y2929" t="s">
        <v>1017</v>
      </c>
      <c r="AA2929" s="52"/>
      <c r="AD2929" s="38" t="s">
        <v>1017</v>
      </c>
    </row>
    <row r="2930" spans="1:30" x14ac:dyDescent="0.35">
      <c r="A2930" s="497" t="str">
        <f t="shared" si="1074"/>
        <v>BiK270t3LiK-11</v>
      </c>
      <c r="B2930" s="13" t="s">
        <v>5547</v>
      </c>
      <c r="C2930" s="13" t="str">
        <f t="shared" si="1075"/>
        <v>Inbetriebnahme 2011</v>
      </c>
      <c r="D2930" s="13" t="s">
        <v>7324</v>
      </c>
      <c r="E2930" s="13" t="s">
        <v>4811</v>
      </c>
      <c r="F2930" s="373">
        <f t="shared" si="1076"/>
        <v>26.14</v>
      </c>
      <c r="G2930" s="430">
        <v>26.14</v>
      </c>
      <c r="H2930" s="399">
        <f t="shared" si="1077"/>
        <v>20.91</v>
      </c>
      <c r="I2930" s="576"/>
      <c r="J2930" s="549" t="s">
        <v>5804</v>
      </c>
      <c r="K2930" s="11"/>
      <c r="L2930" s="55" t="str">
        <f t="shared" si="1078"/>
        <v/>
      </c>
      <c r="M2930" s="37">
        <f t="shared" si="1079"/>
        <v>26.14</v>
      </c>
      <c r="N2930" s="29">
        <f t="shared" si="1080"/>
        <v>11.44</v>
      </c>
      <c r="O2930" s="31" t="s">
        <v>1017</v>
      </c>
      <c r="P2930" s="50"/>
      <c r="Q2930" s="50"/>
      <c r="R2930" s="42" t="s">
        <v>1017</v>
      </c>
      <c r="T2930" s="50"/>
      <c r="U2930" s="50"/>
      <c r="X2930" s="50"/>
      <c r="Y2930" t="s">
        <v>1017</v>
      </c>
      <c r="AA2930" s="52"/>
      <c r="AD2930" s="38" t="s">
        <v>1017</v>
      </c>
    </row>
    <row r="2931" spans="1:30" x14ac:dyDescent="0.35">
      <c r="A2931" s="497" t="str">
        <f t="shared" si="1074"/>
        <v>BiK270t3M1--11</v>
      </c>
      <c r="B2931" s="13" t="s">
        <v>5547</v>
      </c>
      <c r="C2931" s="13" t="str">
        <f t="shared" si="1075"/>
        <v>Inbetriebnahme 2011</v>
      </c>
      <c r="D2931" s="13" t="s">
        <v>7325</v>
      </c>
      <c r="E2931" s="13" t="s">
        <v>4809</v>
      </c>
      <c r="F2931" s="373">
        <f t="shared" si="1076"/>
        <v>24.18</v>
      </c>
      <c r="G2931" s="430">
        <v>24.18</v>
      </c>
      <c r="H2931" s="399">
        <f t="shared" si="1077"/>
        <v>19.34</v>
      </c>
      <c r="I2931" s="576"/>
      <c r="J2931" s="549" t="s">
        <v>5804</v>
      </c>
      <c r="K2931" s="11"/>
      <c r="L2931" s="55" t="str">
        <f t="shared" si="1078"/>
        <v/>
      </c>
      <c r="M2931" s="37">
        <f t="shared" si="1079"/>
        <v>24.18</v>
      </c>
      <c r="N2931" s="29">
        <f t="shared" si="1080"/>
        <v>11.44</v>
      </c>
      <c r="O2931" s="31"/>
      <c r="P2931" s="50"/>
      <c r="Q2931" s="50"/>
      <c r="R2931" s="42"/>
      <c r="T2931" s="50"/>
      <c r="U2931" s="50"/>
      <c r="W2931" t="s">
        <v>1017</v>
      </c>
      <c r="X2931" s="50"/>
      <c r="AA2931" s="52"/>
      <c r="AD2931" s="38" t="s">
        <v>1017</v>
      </c>
    </row>
    <row r="2932" spans="1:30" x14ac:dyDescent="0.35">
      <c r="A2932" s="497" t="str">
        <f t="shared" si="1074"/>
        <v>BiK270t3M1K-11</v>
      </c>
      <c r="B2932" s="13" t="s">
        <v>5547</v>
      </c>
      <c r="C2932" s="13" t="str">
        <f t="shared" si="1075"/>
        <v>Inbetriebnahme 2011</v>
      </c>
      <c r="D2932" s="13" t="s">
        <v>7326</v>
      </c>
      <c r="E2932" s="13" t="s">
        <v>4811</v>
      </c>
      <c r="F2932" s="373">
        <f t="shared" si="1076"/>
        <v>27.119999999999997</v>
      </c>
      <c r="G2932" s="430">
        <v>27.119999999999997</v>
      </c>
      <c r="H2932" s="399">
        <f t="shared" si="1077"/>
        <v>21.7</v>
      </c>
      <c r="I2932" s="576"/>
      <c r="J2932" s="549" t="s">
        <v>5804</v>
      </c>
      <c r="K2932" s="11"/>
      <c r="L2932" s="55" t="str">
        <f t="shared" si="1078"/>
        <v/>
      </c>
      <c r="M2932" s="37">
        <f t="shared" si="1079"/>
        <v>27.119999999999997</v>
      </c>
      <c r="N2932" s="29">
        <f t="shared" si="1080"/>
        <v>11.44</v>
      </c>
      <c r="O2932" s="31" t="s">
        <v>1017</v>
      </c>
      <c r="P2932" s="50"/>
      <c r="Q2932" s="50"/>
      <c r="R2932" s="42"/>
      <c r="T2932" s="50"/>
      <c r="U2932" s="50"/>
      <c r="W2932" t="s">
        <v>1017</v>
      </c>
      <c r="X2932" s="50"/>
      <c r="AA2932" s="52"/>
      <c r="AD2932" s="38" t="s">
        <v>1017</v>
      </c>
    </row>
    <row r="2933" spans="1:30" x14ac:dyDescent="0.35">
      <c r="A2933" s="497" t="str">
        <f t="shared" si="1074"/>
        <v>BiK270t3M1i-11</v>
      </c>
      <c r="B2933" s="13" t="s">
        <v>5547</v>
      </c>
      <c r="C2933" s="13" t="str">
        <f t="shared" si="1075"/>
        <v>Inbetriebnahme 2011</v>
      </c>
      <c r="D2933" s="13" t="s">
        <v>7327</v>
      </c>
      <c r="E2933" s="13" t="s">
        <v>4809</v>
      </c>
      <c r="F2933" s="373">
        <f t="shared" si="1076"/>
        <v>25.160000000000004</v>
      </c>
      <c r="G2933" s="430">
        <v>25.160000000000004</v>
      </c>
      <c r="H2933" s="399">
        <f t="shared" si="1077"/>
        <v>20.13</v>
      </c>
      <c r="I2933" s="576"/>
      <c r="J2933" s="549" t="s">
        <v>5804</v>
      </c>
      <c r="K2933" s="11"/>
      <c r="L2933" s="55" t="str">
        <f t="shared" si="1078"/>
        <v/>
      </c>
      <c r="M2933" s="37">
        <f t="shared" si="1079"/>
        <v>25.160000000000004</v>
      </c>
      <c r="N2933" s="29">
        <f t="shared" si="1080"/>
        <v>11.44</v>
      </c>
      <c r="O2933" s="31"/>
      <c r="P2933" s="50"/>
      <c r="Q2933" s="50"/>
      <c r="R2933" s="42" t="s">
        <v>1017</v>
      </c>
      <c r="T2933" s="50"/>
      <c r="U2933" s="50"/>
      <c r="W2933" t="s">
        <v>1017</v>
      </c>
      <c r="X2933" s="50"/>
      <c r="AA2933" s="52"/>
      <c r="AD2933" s="38" t="s">
        <v>1017</v>
      </c>
    </row>
    <row r="2934" spans="1:30" x14ac:dyDescent="0.35">
      <c r="A2934" s="497" t="str">
        <f t="shared" si="1074"/>
        <v>BiK270t3M1iK11</v>
      </c>
      <c r="B2934" s="13" t="s">
        <v>5547</v>
      </c>
      <c r="C2934" s="13" t="str">
        <f t="shared" si="1075"/>
        <v>Inbetriebnahme 2011</v>
      </c>
      <c r="D2934" s="13" t="s">
        <v>7328</v>
      </c>
      <c r="E2934" s="13" t="s">
        <v>4811</v>
      </c>
      <c r="F2934" s="373">
        <f t="shared" si="1076"/>
        <v>28.1</v>
      </c>
      <c r="G2934" s="430">
        <v>28.1</v>
      </c>
      <c r="H2934" s="399">
        <f t="shared" si="1077"/>
        <v>22.48</v>
      </c>
      <c r="I2934" s="576"/>
      <c r="J2934" s="549" t="s">
        <v>5804</v>
      </c>
      <c r="K2934" s="11"/>
      <c r="L2934" s="55" t="str">
        <f t="shared" si="1078"/>
        <v/>
      </c>
      <c r="M2934" s="37">
        <f t="shared" si="1079"/>
        <v>28.1</v>
      </c>
      <c r="N2934" s="29">
        <f t="shared" si="1080"/>
        <v>11.44</v>
      </c>
      <c r="O2934" s="31" t="s">
        <v>1017</v>
      </c>
      <c r="P2934" s="50"/>
      <c r="Q2934" s="50"/>
      <c r="R2934" s="42" t="s">
        <v>1017</v>
      </c>
      <c r="T2934" s="50"/>
      <c r="U2934" s="50"/>
      <c r="W2934" t="s">
        <v>1017</v>
      </c>
      <c r="X2934" s="50"/>
      <c r="AA2934" s="52"/>
      <c r="AD2934" s="38" t="s">
        <v>1017</v>
      </c>
    </row>
    <row r="2935" spans="1:30" x14ac:dyDescent="0.35">
      <c r="A2935" s="497" t="str">
        <f t="shared" si="1074"/>
        <v>BiK270t3X1--11</v>
      </c>
      <c r="B2935" s="13" t="s">
        <v>5547</v>
      </c>
      <c r="C2935" s="13" t="str">
        <f t="shared" si="1075"/>
        <v>Inbetriebnahme 2011</v>
      </c>
      <c r="D2935" s="13" t="s">
        <v>7329</v>
      </c>
      <c r="E2935" s="13" t="s">
        <v>4809</v>
      </c>
      <c r="F2935" s="373">
        <f t="shared" si="1076"/>
        <v>26.14</v>
      </c>
      <c r="G2935" s="430">
        <v>26.14</v>
      </c>
      <c r="H2935" s="399">
        <f t="shared" si="1077"/>
        <v>20.91</v>
      </c>
      <c r="I2935" s="576"/>
      <c r="J2935" s="549" t="s">
        <v>5804</v>
      </c>
      <c r="K2935" s="11"/>
      <c r="L2935" s="55" t="str">
        <f t="shared" si="1078"/>
        <v/>
      </c>
      <c r="M2935" s="37">
        <f t="shared" si="1079"/>
        <v>26.14</v>
      </c>
      <c r="N2935" s="29">
        <f t="shared" si="1080"/>
        <v>11.44</v>
      </c>
      <c r="O2935" s="31"/>
      <c r="P2935" s="50"/>
      <c r="Q2935" s="50"/>
      <c r="R2935" s="42"/>
      <c r="T2935" s="50"/>
      <c r="U2935" s="50"/>
      <c r="X2935" s="50"/>
      <c r="Z2935" t="s">
        <v>1017</v>
      </c>
      <c r="AA2935" s="52"/>
      <c r="AD2935" s="38" t="s">
        <v>1017</v>
      </c>
    </row>
    <row r="2936" spans="1:30" x14ac:dyDescent="0.35">
      <c r="A2936" s="497" t="str">
        <f t="shared" si="1074"/>
        <v>BiK270t3X1K-11</v>
      </c>
      <c r="B2936" s="13" t="s">
        <v>5547</v>
      </c>
      <c r="C2936" s="13" t="str">
        <f t="shared" si="1075"/>
        <v>Inbetriebnahme 2011</v>
      </c>
      <c r="D2936" s="13" t="s">
        <v>7330</v>
      </c>
      <c r="E2936" s="13" t="s">
        <v>4811</v>
      </c>
      <c r="F2936" s="373">
        <f t="shared" si="1076"/>
        <v>29.08</v>
      </c>
      <c r="G2936" s="430">
        <v>29.08</v>
      </c>
      <c r="H2936" s="399">
        <f t="shared" si="1077"/>
        <v>23.26</v>
      </c>
      <c r="I2936" s="576"/>
      <c r="J2936" s="549" t="s">
        <v>5804</v>
      </c>
      <c r="K2936" s="11"/>
      <c r="L2936" s="55" t="str">
        <f t="shared" si="1078"/>
        <v/>
      </c>
      <c r="M2936" s="37">
        <f t="shared" si="1079"/>
        <v>29.08</v>
      </c>
      <c r="N2936" s="29">
        <f t="shared" si="1080"/>
        <v>11.44</v>
      </c>
      <c r="O2936" s="31" t="s">
        <v>1017</v>
      </c>
      <c r="P2936" s="50"/>
      <c r="Q2936" s="50"/>
      <c r="R2936" s="42"/>
      <c r="T2936" s="50"/>
      <c r="U2936" s="50"/>
      <c r="X2936" s="50"/>
      <c r="Z2936" t="s">
        <v>1017</v>
      </c>
      <c r="AA2936" s="52"/>
      <c r="AD2936" s="38" t="s">
        <v>1017</v>
      </c>
    </row>
    <row r="2937" spans="1:30" x14ac:dyDescent="0.35">
      <c r="A2937" s="497" t="str">
        <f t="shared" si="1074"/>
        <v>BiK270t3X1i-11</v>
      </c>
      <c r="B2937" s="13" t="s">
        <v>5547</v>
      </c>
      <c r="C2937" s="13" t="str">
        <f t="shared" si="1075"/>
        <v>Inbetriebnahme 2011</v>
      </c>
      <c r="D2937" s="13" t="s">
        <v>7331</v>
      </c>
      <c r="E2937" s="13" t="s">
        <v>4809</v>
      </c>
      <c r="F2937" s="373">
        <f t="shared" si="1076"/>
        <v>27.120000000000005</v>
      </c>
      <c r="G2937" s="430">
        <v>27.120000000000005</v>
      </c>
      <c r="H2937" s="399">
        <f t="shared" si="1077"/>
        <v>21.7</v>
      </c>
      <c r="I2937" s="576"/>
      <c r="J2937" s="549" t="s">
        <v>5804</v>
      </c>
      <c r="K2937" s="11"/>
      <c r="L2937" s="55" t="str">
        <f t="shared" si="1078"/>
        <v/>
      </c>
      <c r="M2937" s="37">
        <f t="shared" si="1079"/>
        <v>27.120000000000005</v>
      </c>
      <c r="N2937" s="29">
        <f t="shared" si="1080"/>
        <v>11.44</v>
      </c>
      <c r="O2937" s="31"/>
      <c r="P2937" s="50"/>
      <c r="Q2937" s="50"/>
      <c r="R2937" s="42" t="s">
        <v>1017</v>
      </c>
      <c r="T2937" s="50"/>
      <c r="U2937" s="50"/>
      <c r="X2937" s="50"/>
      <c r="Z2937" t="s">
        <v>1017</v>
      </c>
      <c r="AA2937" s="52"/>
      <c r="AD2937" s="38" t="s">
        <v>1017</v>
      </c>
    </row>
    <row r="2938" spans="1:30" x14ac:dyDescent="0.35">
      <c r="A2938" s="497" t="str">
        <f t="shared" si="1074"/>
        <v>BiK270t3X1iK11</v>
      </c>
      <c r="B2938" s="13" t="s">
        <v>5547</v>
      </c>
      <c r="C2938" s="13" t="str">
        <f t="shared" si="1075"/>
        <v>Inbetriebnahme 2011</v>
      </c>
      <c r="D2938" s="13" t="s">
        <v>7332</v>
      </c>
      <c r="E2938" s="13" t="s">
        <v>4811</v>
      </c>
      <c r="F2938" s="373">
        <f t="shared" si="1076"/>
        <v>30.060000000000002</v>
      </c>
      <c r="G2938" s="430">
        <v>30.060000000000002</v>
      </c>
      <c r="H2938" s="399">
        <f t="shared" si="1077"/>
        <v>24.05</v>
      </c>
      <c r="I2938" s="576"/>
      <c r="J2938" s="549" t="s">
        <v>5804</v>
      </c>
      <c r="K2938" s="11"/>
      <c r="L2938" s="55" t="str">
        <f t="shared" si="1078"/>
        <v/>
      </c>
      <c r="M2938" s="37">
        <f t="shared" si="1079"/>
        <v>30.060000000000002</v>
      </c>
      <c r="N2938" s="29">
        <f t="shared" si="1080"/>
        <v>11.44</v>
      </c>
      <c r="O2938" s="31" t="s">
        <v>1017</v>
      </c>
      <c r="P2938" s="50"/>
      <c r="Q2938" s="50"/>
      <c r="R2938" s="42" t="s">
        <v>1017</v>
      </c>
      <c r="T2938" s="50"/>
      <c r="U2938" s="50"/>
      <c r="X2938" s="50"/>
      <c r="Z2938" t="s">
        <v>1017</v>
      </c>
      <c r="AA2938" s="52"/>
      <c r="AD2938" s="38" t="s">
        <v>1017</v>
      </c>
    </row>
    <row r="2939" spans="1:30" x14ac:dyDescent="0.35">
      <c r="A2939" s="497" t="str">
        <f t="shared" si="1074"/>
        <v>BiK271------11</v>
      </c>
      <c r="B2939" s="13" t="s">
        <v>5547</v>
      </c>
      <c r="C2939" s="13" t="str">
        <f t="shared" si="1075"/>
        <v>Inbetriebnahme 2011</v>
      </c>
      <c r="D2939" s="13" t="s">
        <v>5414</v>
      </c>
      <c r="E2939" s="13" t="s">
        <v>4809</v>
      </c>
      <c r="F2939" s="373">
        <f t="shared" si="1076"/>
        <v>9</v>
      </c>
      <c r="G2939" s="430">
        <v>9</v>
      </c>
      <c r="H2939" s="399">
        <f t="shared" si="1077"/>
        <v>7.2</v>
      </c>
      <c r="I2939" s="576"/>
      <c r="J2939" s="549" t="s">
        <v>5804</v>
      </c>
      <c r="K2939" s="11"/>
      <c r="L2939" s="55" t="str">
        <f t="shared" si="1078"/>
        <v/>
      </c>
      <c r="M2939" s="37">
        <f t="shared" si="1079"/>
        <v>9</v>
      </c>
      <c r="N2939" s="29">
        <f t="shared" si="1080"/>
        <v>9</v>
      </c>
      <c r="O2939" s="31"/>
      <c r="P2939" s="50"/>
      <c r="Q2939" s="50"/>
      <c r="R2939" s="42"/>
      <c r="T2939" s="50"/>
      <c r="U2939" s="50"/>
      <c r="W2939" s="50"/>
      <c r="Z2939" s="50"/>
      <c r="AA2939" s="38"/>
      <c r="AD2939" s="38"/>
    </row>
    <row r="2940" spans="1:30" x14ac:dyDescent="0.35">
      <c r="A2940" s="497" t="str">
        <f t="shared" si="1074"/>
        <v>BiK271K-----11</v>
      </c>
      <c r="B2940" s="13" t="s">
        <v>5547</v>
      </c>
      <c r="C2940" s="13" t="str">
        <f t="shared" si="1075"/>
        <v>Inbetriebnahme 2011</v>
      </c>
      <c r="D2940" s="13" t="s">
        <v>2902</v>
      </c>
      <c r="E2940" s="13" t="s">
        <v>4811</v>
      </c>
      <c r="F2940" s="373">
        <f t="shared" si="1076"/>
        <v>11.94</v>
      </c>
      <c r="G2940" s="430">
        <v>11.94</v>
      </c>
      <c r="H2940" s="399">
        <f t="shared" si="1077"/>
        <v>9.5500000000000007</v>
      </c>
      <c r="I2940" s="576"/>
      <c r="J2940" s="549" t="s">
        <v>5804</v>
      </c>
      <c r="K2940" s="11"/>
      <c r="L2940" s="55" t="str">
        <f t="shared" si="1078"/>
        <v/>
      </c>
      <c r="M2940" s="37">
        <f t="shared" si="1079"/>
        <v>11.94</v>
      </c>
      <c r="N2940" s="29">
        <f t="shared" si="1080"/>
        <v>9</v>
      </c>
      <c r="O2940" s="31" t="s">
        <v>1017</v>
      </c>
      <c r="P2940" s="50"/>
      <c r="Q2940" s="50"/>
      <c r="R2940" s="42"/>
      <c r="T2940" s="50"/>
      <c r="U2940" s="50"/>
      <c r="W2940" s="50"/>
      <c r="Z2940" s="50"/>
      <c r="AA2940" s="38"/>
      <c r="AD2940" s="38"/>
    </row>
    <row r="2941" spans="1:30" x14ac:dyDescent="0.35">
      <c r="A2941" s="497" t="str">
        <f t="shared" si="1074"/>
        <v>BiK271i-----11</v>
      </c>
      <c r="B2941" s="13" t="s">
        <v>5547</v>
      </c>
      <c r="C2941" s="13" t="str">
        <f t="shared" si="1075"/>
        <v>Inbetriebnahme 2011</v>
      </c>
      <c r="D2941" s="13" t="s">
        <v>638</v>
      </c>
      <c r="E2941" s="13" t="s">
        <v>4809</v>
      </c>
      <c r="F2941" s="373">
        <f t="shared" si="1076"/>
        <v>9.98</v>
      </c>
      <c r="G2941" s="430">
        <v>9.98</v>
      </c>
      <c r="H2941" s="399">
        <f t="shared" si="1077"/>
        <v>7.98</v>
      </c>
      <c r="I2941" s="576"/>
      <c r="J2941" s="549" t="s">
        <v>5804</v>
      </c>
      <c r="K2941" s="11"/>
      <c r="L2941" s="55" t="str">
        <f t="shared" si="1078"/>
        <v/>
      </c>
      <c r="M2941" s="37">
        <f t="shared" si="1079"/>
        <v>9.98</v>
      </c>
      <c r="N2941" s="29">
        <f t="shared" si="1080"/>
        <v>9</v>
      </c>
      <c r="O2941" s="31"/>
      <c r="P2941" s="50"/>
      <c r="Q2941" s="50"/>
      <c r="R2941" s="42" t="s">
        <v>1017</v>
      </c>
      <c r="T2941" s="50"/>
      <c r="U2941" s="50"/>
      <c r="W2941" s="50"/>
      <c r="Z2941" s="50"/>
      <c r="AA2941" s="38"/>
      <c r="AD2941" s="38"/>
    </row>
    <row r="2942" spans="1:30" x14ac:dyDescent="0.35">
      <c r="A2942" s="497" t="str">
        <f t="shared" si="1074"/>
        <v>BiK271iK----11</v>
      </c>
      <c r="B2942" s="13" t="s">
        <v>5547</v>
      </c>
      <c r="C2942" s="13" t="str">
        <f t="shared" si="1075"/>
        <v>Inbetriebnahme 2011</v>
      </c>
      <c r="D2942" s="13" t="s">
        <v>639</v>
      </c>
      <c r="E2942" s="13" t="s">
        <v>4811</v>
      </c>
      <c r="F2942" s="373">
        <f t="shared" si="1076"/>
        <v>12.92</v>
      </c>
      <c r="G2942" s="430">
        <v>12.92</v>
      </c>
      <c r="H2942" s="399">
        <f t="shared" si="1077"/>
        <v>10.34</v>
      </c>
      <c r="I2942" s="576"/>
      <c r="J2942" s="549" t="s">
        <v>5804</v>
      </c>
      <c r="K2942" s="11"/>
      <c r="L2942" s="55" t="str">
        <f t="shared" si="1078"/>
        <v/>
      </c>
      <c r="M2942" s="37">
        <f t="shared" si="1079"/>
        <v>12.92</v>
      </c>
      <c r="N2942" s="29">
        <f t="shared" si="1080"/>
        <v>9</v>
      </c>
      <c r="O2942" s="31" t="s">
        <v>1017</v>
      </c>
      <c r="P2942" s="50"/>
      <c r="Q2942" s="50"/>
      <c r="R2942" s="42" t="s">
        <v>1017</v>
      </c>
      <c r="T2942" s="50"/>
      <c r="U2942" s="50"/>
      <c r="W2942" s="50"/>
      <c r="Z2942" s="50"/>
      <c r="AA2942" s="38"/>
      <c r="AD2942" s="38"/>
    </row>
    <row r="2943" spans="1:30" x14ac:dyDescent="0.35">
      <c r="A2943" s="497" t="str">
        <f t="shared" si="1074"/>
        <v>BiK271a1----11</v>
      </c>
      <c r="B2943" s="13" t="s">
        <v>5547</v>
      </c>
      <c r="C2943" s="13" t="str">
        <f t="shared" si="1075"/>
        <v>Inbetriebnahme 2011</v>
      </c>
      <c r="D2943" s="13" t="s">
        <v>597</v>
      </c>
      <c r="E2943" s="13" t="s">
        <v>4809</v>
      </c>
      <c r="F2943" s="373">
        <f t="shared" si="1076"/>
        <v>14.879999999999999</v>
      </c>
      <c r="G2943" s="430">
        <v>14.879999999999999</v>
      </c>
      <c r="H2943" s="399">
        <f t="shared" si="1077"/>
        <v>11.9</v>
      </c>
      <c r="I2943" s="576"/>
      <c r="J2943" s="549" t="s">
        <v>5804</v>
      </c>
      <c r="K2943" s="11"/>
      <c r="L2943" s="55" t="str">
        <f t="shared" si="1078"/>
        <v/>
      </c>
      <c r="M2943" s="37">
        <f t="shared" si="1079"/>
        <v>14.879999999999999</v>
      </c>
      <c r="N2943" s="29">
        <f t="shared" si="1080"/>
        <v>9</v>
      </c>
      <c r="O2943" s="31"/>
      <c r="P2943" s="50"/>
      <c r="Q2943" s="50"/>
      <c r="R2943" s="42"/>
      <c r="S2943" t="s">
        <v>1017</v>
      </c>
      <c r="T2943" s="50"/>
      <c r="U2943" s="50"/>
      <c r="W2943" s="50"/>
      <c r="Z2943" s="50"/>
      <c r="AA2943" s="38"/>
      <c r="AD2943" s="38"/>
    </row>
    <row r="2944" spans="1:30" x14ac:dyDescent="0.35">
      <c r="A2944" s="497" t="str">
        <f t="shared" si="1074"/>
        <v>BiK271a1K---11</v>
      </c>
      <c r="B2944" s="13" t="s">
        <v>5547</v>
      </c>
      <c r="C2944" s="13" t="str">
        <f t="shared" si="1075"/>
        <v>Inbetriebnahme 2011</v>
      </c>
      <c r="D2944" s="13" t="s">
        <v>3200</v>
      </c>
      <c r="E2944" s="13" t="s">
        <v>4811</v>
      </c>
      <c r="F2944" s="373">
        <f t="shared" si="1076"/>
        <v>17.82</v>
      </c>
      <c r="G2944" s="430">
        <v>17.82</v>
      </c>
      <c r="H2944" s="399">
        <f t="shared" si="1077"/>
        <v>14.26</v>
      </c>
      <c r="I2944" s="576"/>
      <c r="J2944" s="549" t="s">
        <v>5804</v>
      </c>
      <c r="K2944" s="11"/>
      <c r="L2944" s="55" t="str">
        <f t="shared" si="1078"/>
        <v/>
      </c>
      <c r="M2944" s="37">
        <f t="shared" si="1079"/>
        <v>17.82</v>
      </c>
      <c r="N2944" s="29">
        <f t="shared" si="1080"/>
        <v>9</v>
      </c>
      <c r="O2944" s="31" t="s">
        <v>1017</v>
      </c>
      <c r="P2944" s="50"/>
      <c r="Q2944" s="50"/>
      <c r="R2944" s="42"/>
      <c r="S2944" t="s">
        <v>1017</v>
      </c>
      <c r="T2944" s="50"/>
      <c r="U2944" s="50"/>
      <c r="W2944" s="50"/>
      <c r="Z2944" s="50"/>
      <c r="AA2944" s="38"/>
      <c r="AD2944" s="38"/>
    </row>
    <row r="2945" spans="1:30" x14ac:dyDescent="0.35">
      <c r="A2945" s="497" t="str">
        <f t="shared" si="1074"/>
        <v>BiK271a1i---11</v>
      </c>
      <c r="B2945" s="13" t="s">
        <v>5547</v>
      </c>
      <c r="C2945" s="13" t="str">
        <f t="shared" si="1075"/>
        <v>Inbetriebnahme 2011</v>
      </c>
      <c r="D2945" s="13" t="s">
        <v>2113</v>
      </c>
      <c r="E2945" s="13" t="s">
        <v>4809</v>
      </c>
      <c r="F2945" s="373">
        <f t="shared" si="1076"/>
        <v>15.86</v>
      </c>
      <c r="G2945" s="430">
        <v>15.86</v>
      </c>
      <c r="H2945" s="399">
        <f t="shared" si="1077"/>
        <v>12.69</v>
      </c>
      <c r="I2945" s="576"/>
      <c r="J2945" s="549" t="s">
        <v>5804</v>
      </c>
      <c r="K2945" s="11"/>
      <c r="L2945" s="55" t="str">
        <f t="shared" si="1078"/>
        <v/>
      </c>
      <c r="M2945" s="37">
        <f t="shared" si="1079"/>
        <v>15.86</v>
      </c>
      <c r="N2945" s="29">
        <f t="shared" si="1080"/>
        <v>9</v>
      </c>
      <c r="O2945" s="31"/>
      <c r="P2945" s="50"/>
      <c r="Q2945" s="50"/>
      <c r="R2945" s="42" t="s">
        <v>1017</v>
      </c>
      <c r="S2945" t="s">
        <v>1017</v>
      </c>
      <c r="T2945" s="50"/>
      <c r="U2945" s="50"/>
      <c r="W2945" s="50"/>
      <c r="Z2945" s="50"/>
      <c r="AA2945" s="38"/>
      <c r="AD2945" s="38"/>
    </row>
    <row r="2946" spans="1:30" x14ac:dyDescent="0.35">
      <c r="A2946" s="497" t="str">
        <f t="shared" si="1074"/>
        <v>BiK271a1iK--11</v>
      </c>
      <c r="B2946" s="13" t="s">
        <v>5547</v>
      </c>
      <c r="C2946" s="13" t="str">
        <f t="shared" si="1075"/>
        <v>Inbetriebnahme 2011</v>
      </c>
      <c r="D2946" s="13" t="s">
        <v>2112</v>
      </c>
      <c r="E2946" s="13" t="s">
        <v>4811</v>
      </c>
      <c r="F2946" s="373">
        <f t="shared" si="1076"/>
        <v>18.8</v>
      </c>
      <c r="G2946" s="430">
        <v>18.8</v>
      </c>
      <c r="H2946" s="399">
        <f t="shared" si="1077"/>
        <v>15.04</v>
      </c>
      <c r="I2946" s="576"/>
      <c r="J2946" s="549" t="s">
        <v>5804</v>
      </c>
      <c r="K2946" s="11"/>
      <c r="L2946" s="55" t="str">
        <f t="shared" si="1078"/>
        <v/>
      </c>
      <c r="M2946" s="37">
        <f t="shared" si="1079"/>
        <v>18.8</v>
      </c>
      <c r="N2946" s="29">
        <f t="shared" si="1080"/>
        <v>9</v>
      </c>
      <c r="O2946" s="31" t="s">
        <v>1017</v>
      </c>
      <c r="P2946" s="50"/>
      <c r="Q2946" s="50"/>
      <c r="R2946" s="42" t="s">
        <v>1017</v>
      </c>
      <c r="S2946" t="s">
        <v>1017</v>
      </c>
      <c r="T2946" s="50"/>
      <c r="U2946" s="50"/>
      <c r="W2946" s="50"/>
      <c r="Z2946" s="50"/>
      <c r="AA2946" s="38"/>
      <c r="AD2946" s="38"/>
    </row>
    <row r="2947" spans="1:30" x14ac:dyDescent="0.35">
      <c r="A2947" s="497" t="str">
        <f t="shared" si="1074"/>
        <v>BiK271G-----11</v>
      </c>
      <c r="B2947" s="13" t="s">
        <v>5547</v>
      </c>
      <c r="C2947" s="13" t="str">
        <f t="shared" si="1075"/>
        <v>Inbetriebnahme 2011</v>
      </c>
      <c r="D2947" s="13" t="s">
        <v>1197</v>
      </c>
      <c r="E2947" s="13" t="s">
        <v>4809</v>
      </c>
      <c r="F2947" s="373">
        <f t="shared" si="1076"/>
        <v>15.86</v>
      </c>
      <c r="G2947" s="430">
        <v>15.86</v>
      </c>
      <c r="H2947" s="399">
        <f t="shared" si="1077"/>
        <v>12.69</v>
      </c>
      <c r="I2947" s="576"/>
      <c r="J2947" s="549" t="s">
        <v>5804</v>
      </c>
      <c r="K2947" s="11"/>
      <c r="L2947" s="55" t="str">
        <f t="shared" si="1078"/>
        <v/>
      </c>
      <c r="M2947" s="37">
        <f t="shared" si="1079"/>
        <v>15.86</v>
      </c>
      <c r="N2947" s="29">
        <f t="shared" si="1080"/>
        <v>9</v>
      </c>
      <c r="O2947" s="31"/>
      <c r="P2947" s="50"/>
      <c r="Q2947" s="50"/>
      <c r="R2947" s="42"/>
      <c r="T2947" s="50"/>
      <c r="U2947" s="50"/>
      <c r="V2947" t="s">
        <v>1017</v>
      </c>
      <c r="W2947" s="50"/>
      <c r="Z2947" s="50"/>
      <c r="AA2947" s="38"/>
      <c r="AD2947" s="38"/>
    </row>
    <row r="2948" spans="1:30" x14ac:dyDescent="0.35">
      <c r="A2948" s="497" t="str">
        <f t="shared" si="1074"/>
        <v>BiK271GK----11</v>
      </c>
      <c r="B2948" s="13" t="s">
        <v>5547</v>
      </c>
      <c r="C2948" s="13" t="str">
        <f t="shared" si="1075"/>
        <v>Inbetriebnahme 2011</v>
      </c>
      <c r="D2948" s="13" t="s">
        <v>5553</v>
      </c>
      <c r="E2948" s="13" t="s">
        <v>4811</v>
      </c>
      <c r="F2948" s="373">
        <f t="shared" si="1076"/>
        <v>18.8</v>
      </c>
      <c r="G2948" s="430">
        <v>18.8</v>
      </c>
      <c r="H2948" s="399">
        <f t="shared" si="1077"/>
        <v>15.04</v>
      </c>
      <c r="I2948" s="576"/>
      <c r="J2948" s="549" t="s">
        <v>5804</v>
      </c>
      <c r="K2948" s="11"/>
      <c r="L2948" s="55" t="str">
        <f t="shared" si="1078"/>
        <v/>
      </c>
      <c r="M2948" s="37">
        <f t="shared" si="1079"/>
        <v>18.8</v>
      </c>
      <c r="N2948" s="29">
        <f t="shared" si="1080"/>
        <v>9</v>
      </c>
      <c r="O2948" s="31" t="s">
        <v>1017</v>
      </c>
      <c r="P2948" s="50"/>
      <c r="Q2948" s="50"/>
      <c r="R2948" s="42"/>
      <c r="T2948" s="50"/>
      <c r="U2948" s="50"/>
      <c r="V2948" t="s">
        <v>1017</v>
      </c>
      <c r="W2948" s="50"/>
      <c r="Z2948" s="50"/>
      <c r="AA2948" s="38"/>
      <c r="AD2948" s="38"/>
    </row>
    <row r="2949" spans="1:30" x14ac:dyDescent="0.35">
      <c r="A2949" s="497" t="str">
        <f t="shared" si="1074"/>
        <v>BiK271Gi----11</v>
      </c>
      <c r="B2949" s="13" t="s">
        <v>5547</v>
      </c>
      <c r="C2949" s="13" t="str">
        <f t="shared" si="1075"/>
        <v>Inbetriebnahme 2011</v>
      </c>
      <c r="D2949" s="13" t="s">
        <v>4135</v>
      </c>
      <c r="E2949" s="13" t="s">
        <v>4809</v>
      </c>
      <c r="F2949" s="373">
        <f t="shared" si="1076"/>
        <v>16.84</v>
      </c>
      <c r="G2949" s="430">
        <v>16.84</v>
      </c>
      <c r="H2949" s="399">
        <f t="shared" si="1077"/>
        <v>13.47</v>
      </c>
      <c r="I2949" s="576"/>
      <c r="J2949" s="549" t="s">
        <v>5804</v>
      </c>
      <c r="K2949" s="11"/>
      <c r="L2949" s="55" t="str">
        <f t="shared" si="1078"/>
        <v/>
      </c>
      <c r="M2949" s="37">
        <f t="shared" si="1079"/>
        <v>16.84</v>
      </c>
      <c r="N2949" s="29">
        <f t="shared" si="1080"/>
        <v>9</v>
      </c>
      <c r="O2949" s="31"/>
      <c r="P2949" s="50"/>
      <c r="Q2949" s="50"/>
      <c r="R2949" s="42" t="s">
        <v>1017</v>
      </c>
      <c r="T2949" s="50"/>
      <c r="U2949" s="50"/>
      <c r="V2949" t="s">
        <v>1017</v>
      </c>
      <c r="W2949" s="50"/>
      <c r="Z2949" s="50"/>
      <c r="AA2949" s="38"/>
      <c r="AD2949" s="38"/>
    </row>
    <row r="2950" spans="1:30" x14ac:dyDescent="0.35">
      <c r="A2950" s="497" t="str">
        <f t="shared" si="1074"/>
        <v>BiK271GiK---11</v>
      </c>
      <c r="B2950" s="13" t="s">
        <v>5547</v>
      </c>
      <c r="C2950" s="13" t="str">
        <f t="shared" si="1075"/>
        <v>Inbetriebnahme 2011</v>
      </c>
      <c r="D2950" s="13" t="s">
        <v>5556</v>
      </c>
      <c r="E2950" s="13" t="s">
        <v>4811</v>
      </c>
      <c r="F2950" s="373">
        <f t="shared" si="1076"/>
        <v>19.78</v>
      </c>
      <c r="G2950" s="430">
        <v>19.78</v>
      </c>
      <c r="H2950" s="399">
        <f t="shared" si="1077"/>
        <v>15.82</v>
      </c>
      <c r="I2950" s="576"/>
      <c r="J2950" s="549" t="s">
        <v>5804</v>
      </c>
      <c r="K2950" s="11"/>
      <c r="L2950" s="55" t="str">
        <f t="shared" si="1078"/>
        <v/>
      </c>
      <c r="M2950" s="37">
        <f t="shared" si="1079"/>
        <v>19.78</v>
      </c>
      <c r="N2950" s="29">
        <f t="shared" si="1080"/>
        <v>9</v>
      </c>
      <c r="O2950" s="31" t="s">
        <v>1017</v>
      </c>
      <c r="P2950" s="50"/>
      <c r="Q2950" s="50"/>
      <c r="R2950" s="42" t="s">
        <v>1017</v>
      </c>
      <c r="T2950" s="50"/>
      <c r="U2950" s="50"/>
      <c r="V2950" t="s">
        <v>1017</v>
      </c>
      <c r="W2950" s="50"/>
      <c r="Z2950" s="50"/>
      <c r="AA2950" s="38"/>
      <c r="AD2950" s="38"/>
    </row>
    <row r="2951" spans="1:30" x14ac:dyDescent="0.35">
      <c r="A2951" s="497" t="str">
        <f t="shared" si="1074"/>
        <v>BiK271L-----11</v>
      </c>
      <c r="B2951" s="13" t="s">
        <v>5547</v>
      </c>
      <c r="C2951" s="13" t="str">
        <f t="shared" si="1075"/>
        <v>Inbetriebnahme 2011</v>
      </c>
      <c r="D2951" s="13" t="s">
        <v>4133</v>
      </c>
      <c r="E2951" s="13" t="s">
        <v>4809</v>
      </c>
      <c r="F2951" s="373">
        <f t="shared" si="1076"/>
        <v>17.82</v>
      </c>
      <c r="G2951" s="430">
        <v>17.82</v>
      </c>
      <c r="H2951" s="399">
        <f t="shared" si="1077"/>
        <v>14.26</v>
      </c>
      <c r="I2951" s="576"/>
      <c r="J2951" s="549" t="s">
        <v>5804</v>
      </c>
      <c r="K2951" s="11"/>
      <c r="L2951" s="55" t="str">
        <f t="shared" si="1078"/>
        <v/>
      </c>
      <c r="M2951" s="37">
        <f t="shared" si="1079"/>
        <v>17.82</v>
      </c>
      <c r="N2951" s="29">
        <f t="shared" si="1080"/>
        <v>9</v>
      </c>
      <c r="O2951" s="31"/>
      <c r="P2951" s="50"/>
      <c r="Q2951" s="50"/>
      <c r="R2951" s="42"/>
      <c r="T2951" s="50"/>
      <c r="U2951" s="50"/>
      <c r="W2951" s="50"/>
      <c r="Y2951" t="s">
        <v>1017</v>
      </c>
      <c r="Z2951" s="50"/>
      <c r="AA2951" s="38"/>
      <c r="AD2951" s="38"/>
    </row>
    <row r="2952" spans="1:30" x14ac:dyDescent="0.35">
      <c r="A2952" s="497" t="str">
        <f t="shared" si="1074"/>
        <v>BiK271LK----11</v>
      </c>
      <c r="B2952" s="13" t="s">
        <v>5547</v>
      </c>
      <c r="C2952" s="13" t="str">
        <f t="shared" si="1075"/>
        <v>Inbetriebnahme 2011</v>
      </c>
      <c r="D2952" s="13" t="s">
        <v>5555</v>
      </c>
      <c r="E2952" s="13" t="s">
        <v>4811</v>
      </c>
      <c r="F2952" s="373">
        <f t="shared" si="1076"/>
        <v>20.759999999999998</v>
      </c>
      <c r="G2952" s="430">
        <v>20.759999999999998</v>
      </c>
      <c r="H2952" s="399">
        <f t="shared" si="1077"/>
        <v>16.61</v>
      </c>
      <c r="I2952" s="576"/>
      <c r="J2952" s="549" t="s">
        <v>5804</v>
      </c>
      <c r="K2952" s="11"/>
      <c r="L2952" s="55" t="str">
        <f t="shared" si="1078"/>
        <v/>
      </c>
      <c r="M2952" s="37">
        <f t="shared" si="1079"/>
        <v>20.759999999999998</v>
      </c>
      <c r="N2952" s="29">
        <f t="shared" si="1080"/>
        <v>9</v>
      </c>
      <c r="O2952" s="31" t="s">
        <v>1017</v>
      </c>
      <c r="P2952" s="50"/>
      <c r="Q2952" s="50"/>
      <c r="R2952" s="42"/>
      <c r="T2952" s="50"/>
      <c r="U2952" s="50"/>
      <c r="W2952" s="50"/>
      <c r="Y2952" t="s">
        <v>1017</v>
      </c>
      <c r="Z2952" s="50"/>
      <c r="AA2952" s="38"/>
      <c r="AD2952" s="38"/>
    </row>
    <row r="2953" spans="1:30" x14ac:dyDescent="0.35">
      <c r="A2953" s="497" t="str">
        <f t="shared" si="1074"/>
        <v>BiK271Li----11</v>
      </c>
      <c r="B2953" s="13" t="s">
        <v>5547</v>
      </c>
      <c r="C2953" s="13" t="str">
        <f t="shared" si="1075"/>
        <v>Inbetriebnahme 2011</v>
      </c>
      <c r="D2953" s="13" t="s">
        <v>2919</v>
      </c>
      <c r="E2953" s="13" t="s">
        <v>4809</v>
      </c>
      <c r="F2953" s="373">
        <f t="shared" si="1076"/>
        <v>18.8</v>
      </c>
      <c r="G2953" s="430">
        <v>18.8</v>
      </c>
      <c r="H2953" s="399">
        <f t="shared" si="1077"/>
        <v>15.04</v>
      </c>
      <c r="I2953" s="576"/>
      <c r="J2953" s="549" t="s">
        <v>5804</v>
      </c>
      <c r="K2953" s="11"/>
      <c r="L2953" s="55" t="str">
        <f t="shared" si="1078"/>
        <v/>
      </c>
      <c r="M2953" s="37">
        <f t="shared" si="1079"/>
        <v>18.8</v>
      </c>
      <c r="N2953" s="29">
        <f t="shared" si="1080"/>
        <v>9</v>
      </c>
      <c r="O2953" s="31"/>
      <c r="P2953" s="50"/>
      <c r="Q2953" s="50"/>
      <c r="R2953" s="42" t="s">
        <v>1017</v>
      </c>
      <c r="T2953" s="50"/>
      <c r="U2953" s="50"/>
      <c r="W2953" s="50"/>
      <c r="Y2953" t="s">
        <v>1017</v>
      </c>
      <c r="Z2953" s="50"/>
      <c r="AA2953" s="38"/>
      <c r="AD2953" s="38"/>
    </row>
    <row r="2954" spans="1:30" x14ac:dyDescent="0.35">
      <c r="A2954" s="497" t="str">
        <f t="shared" si="1074"/>
        <v>BiK271LiK---11</v>
      </c>
      <c r="B2954" s="13" t="s">
        <v>5547</v>
      </c>
      <c r="C2954" s="13" t="str">
        <f t="shared" si="1075"/>
        <v>Inbetriebnahme 2011</v>
      </c>
      <c r="D2954" s="13" t="s">
        <v>5558</v>
      </c>
      <c r="E2954" s="13" t="s">
        <v>4811</v>
      </c>
      <c r="F2954" s="373">
        <f t="shared" si="1076"/>
        <v>21.740000000000002</v>
      </c>
      <c r="G2954" s="430">
        <v>21.740000000000002</v>
      </c>
      <c r="H2954" s="399">
        <f t="shared" si="1077"/>
        <v>17.39</v>
      </c>
      <c r="I2954" s="576"/>
      <c r="J2954" s="549" t="s">
        <v>5804</v>
      </c>
      <c r="K2954" s="11"/>
      <c r="L2954" s="55" t="str">
        <f t="shared" si="1078"/>
        <v/>
      </c>
      <c r="M2954" s="37">
        <f t="shared" si="1079"/>
        <v>21.740000000000002</v>
      </c>
      <c r="N2954" s="29">
        <f t="shared" si="1080"/>
        <v>9</v>
      </c>
      <c r="O2954" s="31" t="s">
        <v>1017</v>
      </c>
      <c r="P2954" s="50"/>
      <c r="Q2954" s="50"/>
      <c r="R2954" s="42" t="s">
        <v>1017</v>
      </c>
      <c r="T2954" s="50"/>
      <c r="U2954" s="50"/>
      <c r="W2954" s="50"/>
      <c r="Y2954" t="s">
        <v>1017</v>
      </c>
      <c r="Z2954" s="50"/>
      <c r="AA2954" s="38"/>
      <c r="AD2954" s="38"/>
    </row>
    <row r="2955" spans="1:30" x14ac:dyDescent="0.35">
      <c r="A2955" s="497" t="str">
        <f t="shared" si="1074"/>
        <v>BiK271M2----11</v>
      </c>
      <c r="B2955" s="13" t="s">
        <v>5547</v>
      </c>
      <c r="C2955" s="13" t="str">
        <f t="shared" si="1075"/>
        <v>Inbetriebnahme 2011</v>
      </c>
      <c r="D2955" s="13" t="s">
        <v>4132</v>
      </c>
      <c r="E2955" s="13" t="s">
        <v>4809</v>
      </c>
      <c r="F2955" s="373">
        <f t="shared" si="1076"/>
        <v>16.84</v>
      </c>
      <c r="G2955" s="430">
        <v>16.84</v>
      </c>
      <c r="H2955" s="399">
        <f t="shared" si="1077"/>
        <v>13.47</v>
      </c>
      <c r="I2955" s="576"/>
      <c r="J2955" s="549" t="s">
        <v>5804</v>
      </c>
      <c r="K2955" s="11"/>
      <c r="L2955" s="55" t="str">
        <f t="shared" si="1078"/>
        <v/>
      </c>
      <c r="M2955" s="37">
        <f t="shared" si="1079"/>
        <v>16.84</v>
      </c>
      <c r="N2955" s="29">
        <f t="shared" si="1080"/>
        <v>9</v>
      </c>
      <c r="O2955" s="31"/>
      <c r="P2955" s="50"/>
      <c r="Q2955" s="50"/>
      <c r="R2955" s="42"/>
      <c r="T2955" s="50"/>
      <c r="U2955" s="50"/>
      <c r="W2955" s="50"/>
      <c r="X2955" t="s">
        <v>1017</v>
      </c>
      <c r="Z2955" s="50"/>
      <c r="AA2955" s="38"/>
      <c r="AD2955" s="38"/>
    </row>
    <row r="2956" spans="1:30" x14ac:dyDescent="0.35">
      <c r="A2956" s="497" t="str">
        <f t="shared" si="1074"/>
        <v>BiK271M2K---11</v>
      </c>
      <c r="B2956" s="13" t="s">
        <v>5547</v>
      </c>
      <c r="C2956" s="13" t="str">
        <f t="shared" si="1075"/>
        <v>Inbetriebnahme 2011</v>
      </c>
      <c r="D2956" s="13" t="s">
        <v>5554</v>
      </c>
      <c r="E2956" s="13" t="s">
        <v>4811</v>
      </c>
      <c r="F2956" s="373">
        <f t="shared" si="1076"/>
        <v>19.78</v>
      </c>
      <c r="G2956" s="430">
        <v>19.78</v>
      </c>
      <c r="H2956" s="399">
        <f t="shared" si="1077"/>
        <v>15.82</v>
      </c>
      <c r="I2956" s="576"/>
      <c r="J2956" s="549" t="s">
        <v>5804</v>
      </c>
      <c r="K2956" s="11"/>
      <c r="L2956" s="55" t="str">
        <f t="shared" si="1078"/>
        <v/>
      </c>
      <c r="M2956" s="37">
        <f t="shared" si="1079"/>
        <v>19.78</v>
      </c>
      <c r="N2956" s="29">
        <f t="shared" si="1080"/>
        <v>9</v>
      </c>
      <c r="O2956" s="31" t="s">
        <v>1017</v>
      </c>
      <c r="P2956" s="50"/>
      <c r="Q2956" s="50"/>
      <c r="R2956" s="42"/>
      <c r="T2956" s="50"/>
      <c r="U2956" s="50"/>
      <c r="W2956" s="50"/>
      <c r="X2956" t="s">
        <v>1017</v>
      </c>
      <c r="Z2956" s="50"/>
      <c r="AA2956" s="38"/>
      <c r="AD2956" s="38"/>
    </row>
    <row r="2957" spans="1:30" x14ac:dyDescent="0.35">
      <c r="A2957" s="497" t="str">
        <f t="shared" si="1074"/>
        <v>BiK271M2i---11</v>
      </c>
      <c r="B2957" s="13" t="s">
        <v>5547</v>
      </c>
      <c r="C2957" s="13" t="str">
        <f t="shared" si="1075"/>
        <v>Inbetriebnahme 2011</v>
      </c>
      <c r="D2957" s="13" t="s">
        <v>4136</v>
      </c>
      <c r="E2957" s="13" t="s">
        <v>4809</v>
      </c>
      <c r="F2957" s="373">
        <f t="shared" si="1076"/>
        <v>17.82</v>
      </c>
      <c r="G2957" s="430">
        <v>17.82</v>
      </c>
      <c r="H2957" s="399">
        <f t="shared" si="1077"/>
        <v>14.26</v>
      </c>
      <c r="I2957" s="576"/>
      <c r="J2957" s="549" t="s">
        <v>5804</v>
      </c>
      <c r="K2957" s="11"/>
      <c r="L2957" s="55" t="str">
        <f t="shared" si="1078"/>
        <v/>
      </c>
      <c r="M2957" s="37">
        <f t="shared" si="1079"/>
        <v>17.82</v>
      </c>
      <c r="N2957" s="29">
        <f t="shared" si="1080"/>
        <v>9</v>
      </c>
      <c r="O2957" s="31"/>
      <c r="P2957" s="50"/>
      <c r="Q2957" s="50"/>
      <c r="R2957" s="42" t="s">
        <v>1017</v>
      </c>
      <c r="T2957" s="50"/>
      <c r="U2957" s="50"/>
      <c r="W2957" s="50"/>
      <c r="X2957" t="s">
        <v>1017</v>
      </c>
      <c r="Z2957" s="50"/>
      <c r="AA2957" s="38"/>
      <c r="AD2957" s="38"/>
    </row>
    <row r="2958" spans="1:30" x14ac:dyDescent="0.35">
      <c r="A2958" s="497" t="str">
        <f t="shared" si="1074"/>
        <v>BiK271M2iK--11</v>
      </c>
      <c r="B2958" s="13" t="s">
        <v>5547</v>
      </c>
      <c r="C2958" s="13" t="str">
        <f t="shared" si="1075"/>
        <v>Inbetriebnahme 2011</v>
      </c>
      <c r="D2958" s="13" t="s">
        <v>5557</v>
      </c>
      <c r="E2958" s="13" t="s">
        <v>4811</v>
      </c>
      <c r="F2958" s="373">
        <f t="shared" si="1076"/>
        <v>20.759999999999998</v>
      </c>
      <c r="G2958" s="430">
        <v>20.759999999999998</v>
      </c>
      <c r="H2958" s="399">
        <f t="shared" si="1077"/>
        <v>16.61</v>
      </c>
      <c r="I2958" s="576"/>
      <c r="J2958" s="549" t="s">
        <v>5804</v>
      </c>
      <c r="K2958" s="11"/>
      <c r="L2958" s="55" t="str">
        <f t="shared" si="1078"/>
        <v/>
      </c>
      <c r="M2958" s="37">
        <f t="shared" si="1079"/>
        <v>20.759999999999998</v>
      </c>
      <c r="N2958" s="29">
        <f t="shared" si="1080"/>
        <v>9</v>
      </c>
      <c r="O2958" s="31" t="s">
        <v>1017</v>
      </c>
      <c r="P2958" s="50"/>
      <c r="Q2958" s="50"/>
      <c r="R2958" s="42" t="s">
        <v>1017</v>
      </c>
      <c r="T2958" s="50"/>
      <c r="U2958" s="50"/>
      <c r="W2958" s="50"/>
      <c r="X2958" t="s">
        <v>1017</v>
      </c>
      <c r="Z2958" s="50"/>
      <c r="AA2958" s="38"/>
      <c r="AD2958" s="38"/>
    </row>
    <row r="2959" spans="1:30" x14ac:dyDescent="0.35">
      <c r="A2959" s="497" t="str">
        <f t="shared" si="1074"/>
        <v>BiK271X2----11</v>
      </c>
      <c r="B2959" s="13" t="s">
        <v>5547</v>
      </c>
      <c r="C2959" s="13" t="str">
        <f t="shared" si="1075"/>
        <v>Inbetriebnahme 2011</v>
      </c>
      <c r="D2959" s="13" t="s">
        <v>4134</v>
      </c>
      <c r="E2959" s="13" t="s">
        <v>4809</v>
      </c>
      <c r="F2959" s="373">
        <f t="shared" si="1076"/>
        <v>18.8</v>
      </c>
      <c r="G2959" s="430">
        <v>18.8</v>
      </c>
      <c r="H2959" s="399">
        <f t="shared" si="1077"/>
        <v>15.04</v>
      </c>
      <c r="I2959" s="576"/>
      <c r="J2959" s="549" t="s">
        <v>5804</v>
      </c>
      <c r="K2959" s="11"/>
      <c r="L2959" s="55" t="str">
        <f t="shared" si="1078"/>
        <v/>
      </c>
      <c r="M2959" s="37">
        <f t="shared" si="1079"/>
        <v>18.8</v>
      </c>
      <c r="N2959" s="29">
        <f t="shared" si="1080"/>
        <v>9</v>
      </c>
      <c r="O2959" s="31"/>
      <c r="P2959" s="50"/>
      <c r="Q2959" s="50"/>
      <c r="R2959" s="42"/>
      <c r="T2959" s="50"/>
      <c r="U2959" s="50"/>
      <c r="W2959" s="50"/>
      <c r="Z2959" s="50"/>
      <c r="AA2959" s="38" t="s">
        <v>1017</v>
      </c>
      <c r="AD2959" s="38"/>
    </row>
    <row r="2960" spans="1:30" x14ac:dyDescent="0.35">
      <c r="A2960" s="497" t="str">
        <f t="shared" si="1074"/>
        <v>BiK271X2K---11</v>
      </c>
      <c r="B2960" s="13" t="s">
        <v>5547</v>
      </c>
      <c r="C2960" s="13" t="str">
        <f t="shared" si="1075"/>
        <v>Inbetriebnahme 2011</v>
      </c>
      <c r="D2960" s="13" t="s">
        <v>4388</v>
      </c>
      <c r="E2960" s="13" t="s">
        <v>4811</v>
      </c>
      <c r="F2960" s="373">
        <f t="shared" si="1076"/>
        <v>21.740000000000002</v>
      </c>
      <c r="G2960" s="430">
        <v>21.740000000000002</v>
      </c>
      <c r="H2960" s="399">
        <f t="shared" si="1077"/>
        <v>17.39</v>
      </c>
      <c r="I2960" s="576"/>
      <c r="J2960" s="549" t="s">
        <v>5804</v>
      </c>
      <c r="K2960" s="11"/>
      <c r="L2960" s="55" t="str">
        <f t="shared" si="1078"/>
        <v/>
      </c>
      <c r="M2960" s="37">
        <f t="shared" si="1079"/>
        <v>21.740000000000002</v>
      </c>
      <c r="N2960" s="29">
        <f t="shared" si="1080"/>
        <v>9</v>
      </c>
      <c r="O2960" s="31" t="s">
        <v>1017</v>
      </c>
      <c r="P2960" s="50"/>
      <c r="Q2960" s="50"/>
      <c r="R2960" s="42"/>
      <c r="T2960" s="50"/>
      <c r="U2960" s="50"/>
      <c r="W2960" s="50"/>
      <c r="Z2960" s="50"/>
      <c r="AA2960" s="38" t="s">
        <v>1017</v>
      </c>
      <c r="AD2960" s="38"/>
    </row>
    <row r="2961" spans="1:30" x14ac:dyDescent="0.35">
      <c r="A2961" s="497" t="str">
        <f t="shared" si="1074"/>
        <v>BiK271X2i---11</v>
      </c>
      <c r="B2961" s="13" t="s">
        <v>5547</v>
      </c>
      <c r="C2961" s="13" t="str">
        <f t="shared" si="1075"/>
        <v>Inbetriebnahme 2011</v>
      </c>
      <c r="D2961" s="13" t="s">
        <v>2920</v>
      </c>
      <c r="E2961" s="13" t="s">
        <v>4809</v>
      </c>
      <c r="F2961" s="373">
        <f t="shared" si="1076"/>
        <v>19.78</v>
      </c>
      <c r="G2961" s="430">
        <v>19.78</v>
      </c>
      <c r="H2961" s="399">
        <f t="shared" si="1077"/>
        <v>15.82</v>
      </c>
      <c r="I2961" s="576"/>
      <c r="J2961" s="549" t="s">
        <v>5804</v>
      </c>
      <c r="K2961" s="11"/>
      <c r="L2961" s="55" t="str">
        <f t="shared" si="1078"/>
        <v/>
      </c>
      <c r="M2961" s="37">
        <f t="shared" si="1079"/>
        <v>19.78</v>
      </c>
      <c r="N2961" s="29">
        <f t="shared" si="1080"/>
        <v>9</v>
      </c>
      <c r="O2961" s="31"/>
      <c r="P2961" s="50"/>
      <c r="Q2961" s="50"/>
      <c r="R2961" s="42" t="s">
        <v>1017</v>
      </c>
      <c r="T2961" s="50"/>
      <c r="U2961" s="50"/>
      <c r="W2961" s="50"/>
      <c r="Z2961" s="50"/>
      <c r="AA2961" s="38" t="s">
        <v>1017</v>
      </c>
      <c r="AD2961" s="38"/>
    </row>
    <row r="2962" spans="1:30" x14ac:dyDescent="0.35">
      <c r="A2962" s="497" t="str">
        <f t="shared" si="1074"/>
        <v>BiK271X2iK--11</v>
      </c>
      <c r="B2962" s="13" t="s">
        <v>5547</v>
      </c>
      <c r="C2962" s="13" t="str">
        <f t="shared" si="1075"/>
        <v>Inbetriebnahme 2011</v>
      </c>
      <c r="D2962" s="13" t="s">
        <v>4389</v>
      </c>
      <c r="E2962" s="13" t="s">
        <v>4811</v>
      </c>
      <c r="F2962" s="373">
        <f t="shared" si="1076"/>
        <v>22.72</v>
      </c>
      <c r="G2962" s="430">
        <v>22.72</v>
      </c>
      <c r="H2962" s="399">
        <f t="shared" si="1077"/>
        <v>18.18</v>
      </c>
      <c r="I2962" s="576"/>
      <c r="J2962" s="549" t="s">
        <v>5804</v>
      </c>
      <c r="K2962" s="11"/>
      <c r="L2962" s="55" t="str">
        <f t="shared" si="1078"/>
        <v/>
      </c>
      <c r="M2962" s="37">
        <f t="shared" si="1079"/>
        <v>22.72</v>
      </c>
      <c r="N2962" s="29">
        <f t="shared" si="1080"/>
        <v>9</v>
      </c>
      <c r="O2962" s="31" t="s">
        <v>1017</v>
      </c>
      <c r="P2962" s="50"/>
      <c r="Q2962" s="50"/>
      <c r="R2962" s="42" t="s">
        <v>1017</v>
      </c>
      <c r="T2962" s="50"/>
      <c r="U2962" s="50"/>
      <c r="W2962" s="50"/>
      <c r="Z2962" s="50"/>
      <c r="AA2962" s="38" t="s">
        <v>1017</v>
      </c>
      <c r="AD2962" s="38"/>
    </row>
    <row r="2963" spans="1:30" x14ac:dyDescent="0.35">
      <c r="A2963" s="497" t="str">
        <f t="shared" si="1074"/>
        <v>BiK271t1----11</v>
      </c>
      <c r="B2963" s="13" t="s">
        <v>5547</v>
      </c>
      <c r="C2963" s="13" t="str">
        <f t="shared" si="1075"/>
        <v>Inbetriebnahme 2011</v>
      </c>
      <c r="D2963" s="13" t="s">
        <v>2905</v>
      </c>
      <c r="E2963" s="13" t="s">
        <v>4809</v>
      </c>
      <c r="F2963" s="373">
        <f t="shared" si="1076"/>
        <v>10.96</v>
      </c>
      <c r="G2963" s="430">
        <v>10.96</v>
      </c>
      <c r="H2963" s="399">
        <f t="shared" si="1077"/>
        <v>8.77</v>
      </c>
      <c r="I2963" s="576"/>
      <c r="J2963" s="549" t="s">
        <v>5804</v>
      </c>
      <c r="K2963" s="11"/>
      <c r="L2963" s="55" t="str">
        <f t="shared" si="1078"/>
        <v/>
      </c>
      <c r="M2963" s="37">
        <f t="shared" si="1079"/>
        <v>10.96</v>
      </c>
      <c r="N2963" s="29">
        <f t="shared" si="1080"/>
        <v>9</v>
      </c>
      <c r="O2963" s="31"/>
      <c r="P2963" s="50"/>
      <c r="Q2963" s="50"/>
      <c r="R2963" s="42"/>
      <c r="T2963" s="50"/>
      <c r="U2963" s="50"/>
      <c r="W2963" s="50"/>
      <c r="Z2963" s="50"/>
      <c r="AA2963" s="38"/>
      <c r="AB2963" t="s">
        <v>1017</v>
      </c>
      <c r="AD2963" s="38"/>
    </row>
    <row r="2964" spans="1:30" x14ac:dyDescent="0.35">
      <c r="A2964" s="497" t="str">
        <f t="shared" si="1074"/>
        <v>BiK271t1K---11</v>
      </c>
      <c r="B2964" s="13" t="s">
        <v>5547</v>
      </c>
      <c r="C2964" s="13" t="str">
        <f t="shared" si="1075"/>
        <v>Inbetriebnahme 2011</v>
      </c>
      <c r="D2964" s="13" t="s">
        <v>3194</v>
      </c>
      <c r="E2964" s="13" t="s">
        <v>4811</v>
      </c>
      <c r="F2964" s="373">
        <f t="shared" si="1076"/>
        <v>13.9</v>
      </c>
      <c r="G2964" s="430">
        <v>13.9</v>
      </c>
      <c r="H2964" s="399">
        <f t="shared" si="1077"/>
        <v>11.12</v>
      </c>
      <c r="I2964" s="576"/>
      <c r="J2964" s="549" t="s">
        <v>5804</v>
      </c>
      <c r="K2964" s="11"/>
      <c r="L2964" s="55" t="str">
        <f t="shared" si="1078"/>
        <v/>
      </c>
      <c r="M2964" s="37">
        <f t="shared" si="1079"/>
        <v>13.9</v>
      </c>
      <c r="N2964" s="29">
        <f t="shared" si="1080"/>
        <v>9</v>
      </c>
      <c r="O2964" s="31" t="s">
        <v>1017</v>
      </c>
      <c r="P2964" s="50"/>
      <c r="Q2964" s="50"/>
      <c r="R2964" s="42"/>
      <c r="T2964" s="50"/>
      <c r="U2964" s="50"/>
      <c r="W2964" s="50"/>
      <c r="Z2964" s="50"/>
      <c r="AA2964" s="38"/>
      <c r="AB2964" t="s">
        <v>1017</v>
      </c>
      <c r="AD2964" s="38"/>
    </row>
    <row r="2965" spans="1:30" x14ac:dyDescent="0.35">
      <c r="A2965" s="497" t="str">
        <f t="shared" si="1074"/>
        <v>BiK271t1i---11</v>
      </c>
      <c r="B2965" s="13" t="s">
        <v>5547</v>
      </c>
      <c r="C2965" s="13" t="str">
        <f t="shared" si="1075"/>
        <v>Inbetriebnahme 2011</v>
      </c>
      <c r="D2965" s="13" t="s">
        <v>2905</v>
      </c>
      <c r="E2965" s="13" t="s">
        <v>4809</v>
      </c>
      <c r="F2965" s="373">
        <f t="shared" si="1076"/>
        <v>11.94</v>
      </c>
      <c r="G2965" s="430">
        <v>11.94</v>
      </c>
      <c r="H2965" s="399">
        <f t="shared" si="1077"/>
        <v>9.5500000000000007</v>
      </c>
      <c r="I2965" s="576"/>
      <c r="J2965" s="549" t="s">
        <v>5804</v>
      </c>
      <c r="K2965" s="11"/>
      <c r="L2965" s="55" t="str">
        <f t="shared" si="1078"/>
        <v/>
      </c>
      <c r="M2965" s="37">
        <f t="shared" si="1079"/>
        <v>11.94</v>
      </c>
      <c r="N2965" s="29">
        <f t="shared" si="1080"/>
        <v>9</v>
      </c>
      <c r="O2965" s="31"/>
      <c r="P2965" s="50"/>
      <c r="Q2965" s="50"/>
      <c r="R2965" s="42" t="s">
        <v>1017</v>
      </c>
      <c r="T2965" s="50"/>
      <c r="U2965" s="50"/>
      <c r="W2965" s="50"/>
      <c r="Z2965" s="50"/>
      <c r="AA2965" s="38"/>
      <c r="AB2965" t="s">
        <v>1017</v>
      </c>
      <c r="AD2965" s="38"/>
    </row>
    <row r="2966" spans="1:30" x14ac:dyDescent="0.35">
      <c r="A2966" s="497" t="str">
        <f t="shared" si="1074"/>
        <v>BiK271t1iK--11</v>
      </c>
      <c r="B2966" s="13" t="s">
        <v>5547</v>
      </c>
      <c r="C2966" s="13" t="str">
        <f t="shared" si="1075"/>
        <v>Inbetriebnahme 2011</v>
      </c>
      <c r="D2966" s="13" t="s">
        <v>3194</v>
      </c>
      <c r="E2966" s="13" t="s">
        <v>4811</v>
      </c>
      <c r="F2966" s="373">
        <f t="shared" si="1076"/>
        <v>14.879999999999999</v>
      </c>
      <c r="G2966" s="430">
        <v>14.879999999999999</v>
      </c>
      <c r="H2966" s="399">
        <f t="shared" si="1077"/>
        <v>11.9</v>
      </c>
      <c r="I2966" s="576"/>
      <c r="J2966" s="549" t="s">
        <v>5804</v>
      </c>
      <c r="K2966" s="11"/>
      <c r="L2966" s="55" t="str">
        <f t="shared" si="1078"/>
        <v/>
      </c>
      <c r="M2966" s="37">
        <f t="shared" si="1079"/>
        <v>14.879999999999999</v>
      </c>
      <c r="N2966" s="29">
        <f t="shared" si="1080"/>
        <v>9</v>
      </c>
      <c r="O2966" s="31" t="s">
        <v>1017</v>
      </c>
      <c r="P2966" s="50"/>
      <c r="Q2966" s="50"/>
      <c r="R2966" s="42" t="s">
        <v>1017</v>
      </c>
      <c r="T2966" s="50"/>
      <c r="U2966" s="50"/>
      <c r="W2966" s="50"/>
      <c r="Z2966" s="50"/>
      <c r="AA2966" s="38"/>
      <c r="AB2966" t="s">
        <v>1017</v>
      </c>
      <c r="AD2966" s="38"/>
    </row>
    <row r="2967" spans="1:30" x14ac:dyDescent="0.35">
      <c r="A2967" s="497" t="str">
        <f t="shared" si="1074"/>
        <v>BiK271t1a1--11</v>
      </c>
      <c r="B2967" s="13" t="s">
        <v>5547</v>
      </c>
      <c r="C2967" s="13" t="str">
        <f t="shared" si="1075"/>
        <v>Inbetriebnahme 2011</v>
      </c>
      <c r="D2967" s="13" t="s">
        <v>3288</v>
      </c>
      <c r="E2967" s="13" t="s">
        <v>4809</v>
      </c>
      <c r="F2967" s="373">
        <f t="shared" si="1076"/>
        <v>16.84</v>
      </c>
      <c r="G2967" s="430">
        <v>16.84</v>
      </c>
      <c r="H2967" s="399">
        <f t="shared" si="1077"/>
        <v>13.47</v>
      </c>
      <c r="I2967" s="576"/>
      <c r="J2967" s="549" t="s">
        <v>5804</v>
      </c>
      <c r="K2967" s="11"/>
      <c r="L2967" s="55" t="str">
        <f t="shared" si="1078"/>
        <v/>
      </c>
      <c r="M2967" s="37">
        <f t="shared" si="1079"/>
        <v>16.84</v>
      </c>
      <c r="N2967" s="29">
        <f t="shared" si="1080"/>
        <v>9</v>
      </c>
      <c r="O2967" s="31"/>
      <c r="P2967" s="50"/>
      <c r="Q2967" s="50"/>
      <c r="R2967" s="42"/>
      <c r="S2967" t="s">
        <v>1017</v>
      </c>
      <c r="T2967" s="50"/>
      <c r="U2967" s="50"/>
      <c r="W2967" s="50"/>
      <c r="Z2967" s="50"/>
      <c r="AA2967" s="38"/>
      <c r="AB2967" t="s">
        <v>1017</v>
      </c>
      <c r="AD2967" s="38"/>
    </row>
    <row r="2968" spans="1:30" x14ac:dyDescent="0.35">
      <c r="A2968" s="497" t="str">
        <f t="shared" si="1074"/>
        <v>BiK271t1a1K-11</v>
      </c>
      <c r="B2968" s="13" t="s">
        <v>5547</v>
      </c>
      <c r="C2968" s="13" t="str">
        <f t="shared" si="1075"/>
        <v>Inbetriebnahme 2011</v>
      </c>
      <c r="D2968" s="13" t="s">
        <v>5559</v>
      </c>
      <c r="E2968" s="13" t="s">
        <v>4811</v>
      </c>
      <c r="F2968" s="373">
        <f t="shared" si="1076"/>
        <v>19.78</v>
      </c>
      <c r="G2968" s="430">
        <v>19.78</v>
      </c>
      <c r="H2968" s="399">
        <f t="shared" si="1077"/>
        <v>15.82</v>
      </c>
      <c r="I2968" s="576"/>
      <c r="J2968" s="549" t="s">
        <v>5804</v>
      </c>
      <c r="K2968" s="11"/>
      <c r="L2968" s="55" t="str">
        <f t="shared" si="1078"/>
        <v/>
      </c>
      <c r="M2968" s="37">
        <f t="shared" si="1079"/>
        <v>19.78</v>
      </c>
      <c r="N2968" s="29">
        <f t="shared" si="1080"/>
        <v>9</v>
      </c>
      <c r="O2968" s="31" t="s">
        <v>1017</v>
      </c>
      <c r="P2968" s="50"/>
      <c r="Q2968" s="50"/>
      <c r="R2968" s="42"/>
      <c r="S2968" t="s">
        <v>1017</v>
      </c>
      <c r="T2968" s="50"/>
      <c r="U2968" s="50"/>
      <c r="W2968" s="50"/>
      <c r="Z2968" s="50"/>
      <c r="AA2968" s="38"/>
      <c r="AB2968" t="s">
        <v>1017</v>
      </c>
      <c r="AD2968" s="38"/>
    </row>
    <row r="2969" spans="1:30" x14ac:dyDescent="0.35">
      <c r="A2969" s="497" t="str">
        <f t="shared" si="1074"/>
        <v>BiK271t1a1i-11</v>
      </c>
      <c r="B2969" s="13" t="s">
        <v>5547</v>
      </c>
      <c r="C2969" s="13" t="str">
        <f t="shared" si="1075"/>
        <v>Inbetriebnahme 2011</v>
      </c>
      <c r="D2969" s="13" t="s">
        <v>2114</v>
      </c>
      <c r="E2969" s="13" t="s">
        <v>4809</v>
      </c>
      <c r="F2969" s="373">
        <f t="shared" si="1076"/>
        <v>17.82</v>
      </c>
      <c r="G2969" s="430">
        <v>17.82</v>
      </c>
      <c r="H2969" s="399">
        <f t="shared" si="1077"/>
        <v>14.26</v>
      </c>
      <c r="I2969" s="576"/>
      <c r="J2969" s="549" t="s">
        <v>5804</v>
      </c>
      <c r="K2969" s="11"/>
      <c r="L2969" s="55" t="str">
        <f t="shared" si="1078"/>
        <v/>
      </c>
      <c r="M2969" s="37">
        <f t="shared" si="1079"/>
        <v>17.82</v>
      </c>
      <c r="N2969" s="29">
        <f t="shared" si="1080"/>
        <v>9</v>
      </c>
      <c r="O2969" s="31"/>
      <c r="P2969" s="50"/>
      <c r="Q2969" s="50"/>
      <c r="R2969" s="42" t="s">
        <v>1017</v>
      </c>
      <c r="S2969" t="s">
        <v>1017</v>
      </c>
      <c r="T2969" s="50"/>
      <c r="U2969" s="50"/>
      <c r="W2969" s="50"/>
      <c r="Z2969" s="50"/>
      <c r="AA2969" s="38"/>
      <c r="AB2969" t="s">
        <v>1017</v>
      </c>
      <c r="AD2969" s="38"/>
    </row>
    <row r="2970" spans="1:30" x14ac:dyDescent="0.35">
      <c r="A2970" s="497" t="str">
        <f t="shared" si="1074"/>
        <v>BiK271t1a1iK11</v>
      </c>
      <c r="B2970" s="13" t="s">
        <v>5547</v>
      </c>
      <c r="C2970" s="13" t="str">
        <f t="shared" si="1075"/>
        <v>Inbetriebnahme 2011</v>
      </c>
      <c r="D2970" s="13" t="s">
        <v>2115</v>
      </c>
      <c r="E2970" s="13" t="s">
        <v>4811</v>
      </c>
      <c r="F2970" s="373">
        <f t="shared" si="1076"/>
        <v>20.76</v>
      </c>
      <c r="G2970" s="430">
        <v>20.76</v>
      </c>
      <c r="H2970" s="399">
        <f t="shared" si="1077"/>
        <v>16.61</v>
      </c>
      <c r="I2970" s="576"/>
      <c r="J2970" s="549" t="s">
        <v>5804</v>
      </c>
      <c r="K2970" s="11"/>
      <c r="L2970" s="55" t="str">
        <f t="shared" si="1078"/>
        <v/>
      </c>
      <c r="M2970" s="37">
        <f t="shared" si="1079"/>
        <v>20.76</v>
      </c>
      <c r="N2970" s="29">
        <f t="shared" si="1080"/>
        <v>9</v>
      </c>
      <c r="O2970" s="31" t="s">
        <v>1017</v>
      </c>
      <c r="P2970" s="50"/>
      <c r="Q2970" s="50"/>
      <c r="R2970" s="42" t="s">
        <v>1017</v>
      </c>
      <c r="S2970" t="s">
        <v>1017</v>
      </c>
      <c r="T2970" s="50"/>
      <c r="U2970" s="50"/>
      <c r="W2970" s="50"/>
      <c r="Z2970" s="50"/>
      <c r="AA2970" s="38"/>
      <c r="AB2970" t="s">
        <v>1017</v>
      </c>
      <c r="AD2970" s="38"/>
    </row>
    <row r="2971" spans="1:30" x14ac:dyDescent="0.35">
      <c r="A2971" s="497" t="str">
        <f t="shared" ref="A2971:A3034" si="1081">LEFT(A2748,12)&amp;($M$2839-2000)</f>
        <v>BiK271t1G---11</v>
      </c>
      <c r="B2971" s="13" t="s">
        <v>5547</v>
      </c>
      <c r="C2971" s="13" t="str">
        <f t="shared" ref="C2971:C3034" si="1082">"Inbetriebnahme "&amp;$M$2839</f>
        <v>Inbetriebnahme 2011</v>
      </c>
      <c r="D2971" s="13" t="s">
        <v>3290</v>
      </c>
      <c r="E2971" s="13" t="s">
        <v>4809</v>
      </c>
      <c r="F2971" s="373">
        <f t="shared" ref="F2971:F3034" si="1083">M2971</f>
        <v>17.82</v>
      </c>
      <c r="G2971" s="430">
        <v>17.82</v>
      </c>
      <c r="H2971" s="399">
        <f t="shared" ref="H2971:H3034" si="1084">IF(ISNUMBER(G2971),ROUND(0.8*G2971,2),"")</f>
        <v>14.26</v>
      </c>
      <c r="I2971" s="576"/>
      <c r="J2971" s="549" t="s">
        <v>5804</v>
      </c>
      <c r="K2971" s="11"/>
      <c r="L2971" s="55" t="str">
        <f t="shared" ref="L2971:L3034" si="1085">IF(F2971=M2971,"",FALSE)</f>
        <v/>
      </c>
      <c r="M2971" s="37">
        <f t="shared" ref="M2971:M3034" si="1086">N2971+SUMIF(O2971:AD2971,"x",$O$2842:$AD$2842)</f>
        <v>17.82</v>
      </c>
      <c r="N2971" s="29">
        <f t="shared" ref="N2971:N3034" si="1087">ROUND(N2525*(1-$AE$2841)^($M$2839-2009),2)</f>
        <v>9</v>
      </c>
      <c r="O2971" s="31"/>
      <c r="P2971" s="50"/>
      <c r="Q2971" s="50"/>
      <c r="R2971" s="42"/>
      <c r="T2971" s="50"/>
      <c r="U2971" s="50"/>
      <c r="V2971" t="s">
        <v>1017</v>
      </c>
      <c r="W2971" s="50"/>
      <c r="Z2971" s="50"/>
      <c r="AA2971" s="38"/>
      <c r="AB2971" t="s">
        <v>1017</v>
      </c>
      <c r="AD2971" s="38"/>
    </row>
    <row r="2972" spans="1:30" x14ac:dyDescent="0.35">
      <c r="A2972" s="497" t="str">
        <f t="shared" si="1081"/>
        <v>BiK271t1GK--11</v>
      </c>
      <c r="B2972" s="13" t="s">
        <v>5547</v>
      </c>
      <c r="C2972" s="13" t="str">
        <f t="shared" si="1082"/>
        <v>Inbetriebnahme 2011</v>
      </c>
      <c r="D2972" s="13" t="s">
        <v>5562</v>
      </c>
      <c r="E2972" s="13" t="s">
        <v>4811</v>
      </c>
      <c r="F2972" s="373">
        <f t="shared" si="1083"/>
        <v>20.76</v>
      </c>
      <c r="G2972" s="430">
        <v>20.76</v>
      </c>
      <c r="H2972" s="399">
        <f t="shared" si="1084"/>
        <v>16.61</v>
      </c>
      <c r="I2972" s="576"/>
      <c r="J2972" s="549" t="s">
        <v>5804</v>
      </c>
      <c r="K2972" s="11"/>
      <c r="L2972" s="55" t="str">
        <f t="shared" si="1085"/>
        <v/>
      </c>
      <c r="M2972" s="37">
        <f t="shared" si="1086"/>
        <v>20.76</v>
      </c>
      <c r="N2972" s="29">
        <f t="shared" si="1087"/>
        <v>9</v>
      </c>
      <c r="O2972" s="31" t="s">
        <v>1017</v>
      </c>
      <c r="P2972" s="50"/>
      <c r="Q2972" s="50"/>
      <c r="R2972" s="42"/>
      <c r="T2972" s="50"/>
      <c r="U2972" s="50"/>
      <c r="V2972" t="s">
        <v>1017</v>
      </c>
      <c r="W2972" s="50"/>
      <c r="Z2972" s="50"/>
      <c r="AA2972" s="38"/>
      <c r="AB2972" t="s">
        <v>1017</v>
      </c>
      <c r="AD2972" s="38"/>
    </row>
    <row r="2973" spans="1:30" x14ac:dyDescent="0.35">
      <c r="A2973" s="497" t="str">
        <f t="shared" si="1081"/>
        <v>BiK271t1Gi--11</v>
      </c>
      <c r="B2973" s="13" t="s">
        <v>5547</v>
      </c>
      <c r="C2973" s="13" t="str">
        <f t="shared" si="1082"/>
        <v>Inbetriebnahme 2011</v>
      </c>
      <c r="D2973" s="13" t="s">
        <v>3291</v>
      </c>
      <c r="E2973" s="13" t="s">
        <v>4809</v>
      </c>
      <c r="F2973" s="373">
        <f t="shared" si="1083"/>
        <v>18.8</v>
      </c>
      <c r="G2973" s="430">
        <v>18.8</v>
      </c>
      <c r="H2973" s="399">
        <f t="shared" si="1084"/>
        <v>15.04</v>
      </c>
      <c r="I2973" s="576"/>
      <c r="J2973" s="549" t="s">
        <v>5804</v>
      </c>
      <c r="K2973" s="11"/>
      <c r="L2973" s="55" t="str">
        <f t="shared" si="1085"/>
        <v/>
      </c>
      <c r="M2973" s="37">
        <f t="shared" si="1086"/>
        <v>18.8</v>
      </c>
      <c r="N2973" s="29">
        <f t="shared" si="1087"/>
        <v>9</v>
      </c>
      <c r="O2973" s="31"/>
      <c r="P2973" s="50"/>
      <c r="Q2973" s="50"/>
      <c r="R2973" s="42" t="s">
        <v>1017</v>
      </c>
      <c r="T2973" s="50"/>
      <c r="U2973" s="50"/>
      <c r="V2973" t="s">
        <v>1017</v>
      </c>
      <c r="W2973" s="50"/>
      <c r="Z2973" s="50"/>
      <c r="AA2973" s="38"/>
      <c r="AB2973" t="s">
        <v>1017</v>
      </c>
      <c r="AD2973" s="38"/>
    </row>
    <row r="2974" spans="1:30" x14ac:dyDescent="0.35">
      <c r="A2974" s="497" t="str">
        <f t="shared" si="1081"/>
        <v>BiK271t1GiK-11</v>
      </c>
      <c r="B2974" s="13" t="s">
        <v>5547</v>
      </c>
      <c r="C2974" s="13" t="str">
        <f t="shared" si="1082"/>
        <v>Inbetriebnahme 2011</v>
      </c>
      <c r="D2974" s="13" t="s">
        <v>5565</v>
      </c>
      <c r="E2974" s="13" t="s">
        <v>4811</v>
      </c>
      <c r="F2974" s="373">
        <f t="shared" si="1083"/>
        <v>21.740000000000002</v>
      </c>
      <c r="G2974" s="430">
        <v>21.740000000000002</v>
      </c>
      <c r="H2974" s="399">
        <f t="shared" si="1084"/>
        <v>17.39</v>
      </c>
      <c r="I2974" s="576"/>
      <c r="J2974" s="549" t="s">
        <v>5804</v>
      </c>
      <c r="K2974" s="11"/>
      <c r="L2974" s="55" t="str">
        <f t="shared" si="1085"/>
        <v/>
      </c>
      <c r="M2974" s="37">
        <f t="shared" si="1086"/>
        <v>21.740000000000002</v>
      </c>
      <c r="N2974" s="29">
        <f t="shared" si="1087"/>
        <v>9</v>
      </c>
      <c r="O2974" s="31" t="s">
        <v>1017</v>
      </c>
      <c r="P2974" s="50"/>
      <c r="Q2974" s="50"/>
      <c r="R2974" s="42" t="s">
        <v>1017</v>
      </c>
      <c r="T2974" s="50"/>
      <c r="U2974" s="50"/>
      <c r="V2974" t="s">
        <v>1017</v>
      </c>
      <c r="W2974" s="50"/>
      <c r="Z2974" s="50"/>
      <c r="AA2974" s="38"/>
      <c r="AB2974" t="s">
        <v>1017</v>
      </c>
      <c r="AD2974" s="38"/>
    </row>
    <row r="2975" spans="1:30" x14ac:dyDescent="0.35">
      <c r="A2975" s="497" t="str">
        <f t="shared" si="1081"/>
        <v>BiK271t1L---11</v>
      </c>
      <c r="B2975" s="13" t="s">
        <v>5547</v>
      </c>
      <c r="C2975" s="13" t="str">
        <f t="shared" si="1082"/>
        <v>Inbetriebnahme 2011</v>
      </c>
      <c r="D2975" s="13" t="s">
        <v>784</v>
      </c>
      <c r="E2975" s="13" t="s">
        <v>4809</v>
      </c>
      <c r="F2975" s="373">
        <f t="shared" si="1083"/>
        <v>19.78</v>
      </c>
      <c r="G2975" s="430">
        <v>19.78</v>
      </c>
      <c r="H2975" s="399">
        <f t="shared" si="1084"/>
        <v>15.82</v>
      </c>
      <c r="I2975" s="576"/>
      <c r="J2975" s="549" t="s">
        <v>5804</v>
      </c>
      <c r="K2975" s="11"/>
      <c r="L2975" s="55" t="str">
        <f t="shared" si="1085"/>
        <v/>
      </c>
      <c r="M2975" s="37">
        <f t="shared" si="1086"/>
        <v>19.78</v>
      </c>
      <c r="N2975" s="29">
        <f t="shared" si="1087"/>
        <v>9</v>
      </c>
      <c r="O2975" s="31"/>
      <c r="P2975" s="50"/>
      <c r="Q2975" s="50"/>
      <c r="R2975" s="42"/>
      <c r="T2975" s="50"/>
      <c r="U2975" s="50"/>
      <c r="W2975" s="50"/>
      <c r="Y2975" t="s">
        <v>1017</v>
      </c>
      <c r="Z2975" s="50"/>
      <c r="AA2975" s="38"/>
      <c r="AB2975" t="s">
        <v>1017</v>
      </c>
      <c r="AD2975" s="38"/>
    </row>
    <row r="2976" spans="1:30" x14ac:dyDescent="0.35">
      <c r="A2976" s="497" t="str">
        <f t="shared" si="1081"/>
        <v>BiK271t1LK--11</v>
      </c>
      <c r="B2976" s="13" t="s">
        <v>5547</v>
      </c>
      <c r="C2976" s="13" t="str">
        <f t="shared" si="1082"/>
        <v>Inbetriebnahme 2011</v>
      </c>
      <c r="D2976" s="13" t="s">
        <v>5563</v>
      </c>
      <c r="E2976" s="13" t="s">
        <v>4811</v>
      </c>
      <c r="F2976" s="373">
        <f t="shared" si="1083"/>
        <v>22.72</v>
      </c>
      <c r="G2976" s="430">
        <v>22.72</v>
      </c>
      <c r="H2976" s="399">
        <f t="shared" si="1084"/>
        <v>18.18</v>
      </c>
      <c r="I2976" s="576"/>
      <c r="J2976" s="549" t="s">
        <v>5804</v>
      </c>
      <c r="K2976" s="11"/>
      <c r="L2976" s="55" t="str">
        <f t="shared" si="1085"/>
        <v/>
      </c>
      <c r="M2976" s="37">
        <f t="shared" si="1086"/>
        <v>22.72</v>
      </c>
      <c r="N2976" s="29">
        <f t="shared" si="1087"/>
        <v>9</v>
      </c>
      <c r="O2976" s="31" t="s">
        <v>1017</v>
      </c>
      <c r="P2976" s="50"/>
      <c r="Q2976" s="50"/>
      <c r="R2976" s="42"/>
      <c r="T2976" s="50"/>
      <c r="U2976" s="50"/>
      <c r="W2976" s="50"/>
      <c r="Y2976" t="s">
        <v>1017</v>
      </c>
      <c r="Z2976" s="50"/>
      <c r="AA2976" s="38"/>
      <c r="AB2976" t="s">
        <v>1017</v>
      </c>
      <c r="AD2976" s="38"/>
    </row>
    <row r="2977" spans="1:30" x14ac:dyDescent="0.35">
      <c r="A2977" s="497" t="str">
        <f t="shared" si="1081"/>
        <v>BiK271t1Li--11</v>
      </c>
      <c r="B2977" s="13" t="s">
        <v>5547</v>
      </c>
      <c r="C2977" s="13" t="str">
        <f t="shared" si="1082"/>
        <v>Inbetriebnahme 2011</v>
      </c>
      <c r="D2977" s="13" t="s">
        <v>785</v>
      </c>
      <c r="E2977" s="13" t="s">
        <v>4809</v>
      </c>
      <c r="F2977" s="373">
        <f t="shared" si="1083"/>
        <v>20.76</v>
      </c>
      <c r="G2977" s="430">
        <v>20.76</v>
      </c>
      <c r="H2977" s="399">
        <f t="shared" si="1084"/>
        <v>16.61</v>
      </c>
      <c r="I2977" s="576"/>
      <c r="J2977" s="549" t="s">
        <v>5804</v>
      </c>
      <c r="K2977" s="11"/>
      <c r="L2977" s="55" t="str">
        <f t="shared" si="1085"/>
        <v/>
      </c>
      <c r="M2977" s="37">
        <f t="shared" si="1086"/>
        <v>20.76</v>
      </c>
      <c r="N2977" s="29">
        <f t="shared" si="1087"/>
        <v>9</v>
      </c>
      <c r="O2977" s="31"/>
      <c r="P2977" s="50"/>
      <c r="Q2977" s="50"/>
      <c r="R2977" s="42" t="s">
        <v>1017</v>
      </c>
      <c r="T2977" s="50"/>
      <c r="U2977" s="50"/>
      <c r="W2977" s="50"/>
      <c r="Y2977" t="s">
        <v>1017</v>
      </c>
      <c r="Z2977" s="50"/>
      <c r="AA2977" s="38"/>
      <c r="AB2977" t="s">
        <v>1017</v>
      </c>
      <c r="AD2977" s="38"/>
    </row>
    <row r="2978" spans="1:30" x14ac:dyDescent="0.35">
      <c r="A2978" s="497" t="str">
        <f t="shared" si="1081"/>
        <v>BiK271t1LiK-11</v>
      </c>
      <c r="B2978" s="13" t="s">
        <v>5547</v>
      </c>
      <c r="C2978" s="13" t="str">
        <f t="shared" si="1082"/>
        <v>Inbetriebnahme 2011</v>
      </c>
      <c r="D2978" s="13" t="s">
        <v>5566</v>
      </c>
      <c r="E2978" s="13" t="s">
        <v>4811</v>
      </c>
      <c r="F2978" s="373">
        <f t="shared" si="1083"/>
        <v>23.7</v>
      </c>
      <c r="G2978" s="430">
        <v>23.7</v>
      </c>
      <c r="H2978" s="399">
        <f t="shared" si="1084"/>
        <v>18.96</v>
      </c>
      <c r="I2978" s="576"/>
      <c r="J2978" s="549" t="s">
        <v>5804</v>
      </c>
      <c r="K2978" s="11"/>
      <c r="L2978" s="55" t="str">
        <f t="shared" si="1085"/>
        <v/>
      </c>
      <c r="M2978" s="37">
        <f t="shared" si="1086"/>
        <v>23.7</v>
      </c>
      <c r="N2978" s="29">
        <f t="shared" si="1087"/>
        <v>9</v>
      </c>
      <c r="O2978" s="31" t="s">
        <v>1017</v>
      </c>
      <c r="P2978" s="50"/>
      <c r="Q2978" s="50"/>
      <c r="R2978" s="42" t="s">
        <v>1017</v>
      </c>
      <c r="T2978" s="50"/>
      <c r="U2978" s="50"/>
      <c r="W2978" s="50"/>
      <c r="Y2978" t="s">
        <v>1017</v>
      </c>
      <c r="Z2978" s="50"/>
      <c r="AA2978" s="38"/>
      <c r="AB2978" t="s">
        <v>1017</v>
      </c>
      <c r="AD2978" s="38"/>
    </row>
    <row r="2979" spans="1:30" x14ac:dyDescent="0.35">
      <c r="A2979" s="497" t="str">
        <f t="shared" si="1081"/>
        <v>BiK271t1M2--11</v>
      </c>
      <c r="B2979" s="13" t="s">
        <v>5547</v>
      </c>
      <c r="C2979" s="13" t="str">
        <f t="shared" si="1082"/>
        <v>Inbetriebnahme 2011</v>
      </c>
      <c r="D2979" s="13" t="s">
        <v>4390</v>
      </c>
      <c r="E2979" s="13" t="s">
        <v>4809</v>
      </c>
      <c r="F2979" s="373">
        <f t="shared" si="1083"/>
        <v>18.8</v>
      </c>
      <c r="G2979" s="430">
        <v>18.8</v>
      </c>
      <c r="H2979" s="399">
        <f t="shared" si="1084"/>
        <v>15.04</v>
      </c>
      <c r="I2979" s="576"/>
      <c r="J2979" s="549" t="s">
        <v>5804</v>
      </c>
      <c r="K2979" s="11"/>
      <c r="L2979" s="55" t="str">
        <f t="shared" si="1085"/>
        <v/>
      </c>
      <c r="M2979" s="37">
        <f t="shared" si="1086"/>
        <v>18.8</v>
      </c>
      <c r="N2979" s="29">
        <f t="shared" si="1087"/>
        <v>9</v>
      </c>
      <c r="O2979" s="31"/>
      <c r="P2979" s="50"/>
      <c r="Q2979" s="50"/>
      <c r="R2979" s="42"/>
      <c r="T2979" s="50"/>
      <c r="U2979" s="50"/>
      <c r="W2979" s="50"/>
      <c r="X2979" t="s">
        <v>1017</v>
      </c>
      <c r="Z2979" s="50"/>
      <c r="AA2979" s="38"/>
      <c r="AB2979" t="s">
        <v>1017</v>
      </c>
      <c r="AD2979" s="38"/>
    </row>
    <row r="2980" spans="1:30" x14ac:dyDescent="0.35">
      <c r="A2980" s="497" t="str">
        <f t="shared" si="1081"/>
        <v>BiK271t1M2K-11</v>
      </c>
      <c r="B2980" s="13" t="s">
        <v>5547</v>
      </c>
      <c r="C2980" s="13" t="str">
        <f t="shared" si="1082"/>
        <v>Inbetriebnahme 2011</v>
      </c>
      <c r="D2980" s="13" t="s">
        <v>2921</v>
      </c>
      <c r="E2980" s="13" t="s">
        <v>4811</v>
      </c>
      <c r="F2980" s="373">
        <f t="shared" si="1083"/>
        <v>21.74</v>
      </c>
      <c r="G2980" s="430">
        <v>21.74</v>
      </c>
      <c r="H2980" s="399">
        <f t="shared" si="1084"/>
        <v>17.39</v>
      </c>
      <c r="I2980" s="576"/>
      <c r="J2980" s="549" t="s">
        <v>5804</v>
      </c>
      <c r="K2980" s="11"/>
      <c r="L2980" s="55" t="str">
        <f t="shared" si="1085"/>
        <v/>
      </c>
      <c r="M2980" s="37">
        <f t="shared" si="1086"/>
        <v>21.74</v>
      </c>
      <c r="N2980" s="29">
        <f t="shared" si="1087"/>
        <v>9</v>
      </c>
      <c r="O2980" s="31" t="s">
        <v>1017</v>
      </c>
      <c r="P2980" s="50"/>
      <c r="Q2980" s="50"/>
      <c r="R2980" s="42"/>
      <c r="T2980" s="50"/>
      <c r="U2980" s="50"/>
      <c r="W2980" s="50"/>
      <c r="X2980" t="s">
        <v>1017</v>
      </c>
      <c r="Z2980" s="50"/>
      <c r="AA2980" s="38"/>
      <c r="AB2980" t="s">
        <v>1017</v>
      </c>
      <c r="AD2980" s="38"/>
    </row>
    <row r="2981" spans="1:30" x14ac:dyDescent="0.35">
      <c r="A2981" s="497" t="str">
        <f t="shared" si="1081"/>
        <v>BiK271t1M2i-11</v>
      </c>
      <c r="B2981" s="13" t="s">
        <v>5547</v>
      </c>
      <c r="C2981" s="13" t="str">
        <f t="shared" si="1082"/>
        <v>Inbetriebnahme 2011</v>
      </c>
      <c r="D2981" s="13" t="s">
        <v>4391</v>
      </c>
      <c r="E2981" s="13" t="s">
        <v>4809</v>
      </c>
      <c r="F2981" s="373">
        <f t="shared" si="1083"/>
        <v>19.78</v>
      </c>
      <c r="G2981" s="430">
        <v>19.78</v>
      </c>
      <c r="H2981" s="399">
        <f t="shared" si="1084"/>
        <v>15.82</v>
      </c>
      <c r="I2981" s="576"/>
      <c r="J2981" s="549" t="s">
        <v>5804</v>
      </c>
      <c r="K2981" s="11"/>
      <c r="L2981" s="55" t="str">
        <f t="shared" si="1085"/>
        <v/>
      </c>
      <c r="M2981" s="37">
        <f t="shared" si="1086"/>
        <v>19.78</v>
      </c>
      <c r="N2981" s="29">
        <f t="shared" si="1087"/>
        <v>9</v>
      </c>
      <c r="O2981" s="31"/>
      <c r="P2981" s="50"/>
      <c r="Q2981" s="50"/>
      <c r="R2981" s="42" t="s">
        <v>1017</v>
      </c>
      <c r="T2981" s="50"/>
      <c r="U2981" s="50"/>
      <c r="W2981" s="50"/>
      <c r="X2981" t="s">
        <v>1017</v>
      </c>
      <c r="Z2981" s="50"/>
      <c r="AA2981" s="38"/>
      <c r="AB2981" t="s">
        <v>1017</v>
      </c>
      <c r="AD2981" s="38"/>
    </row>
    <row r="2982" spans="1:30" x14ac:dyDescent="0.35">
      <c r="A2982" s="497" t="str">
        <f t="shared" si="1081"/>
        <v>BiK271t1M2iK11</v>
      </c>
      <c r="B2982" s="13" t="s">
        <v>5547</v>
      </c>
      <c r="C2982" s="13" t="str">
        <f t="shared" si="1082"/>
        <v>Inbetriebnahme 2011</v>
      </c>
      <c r="D2982" s="13" t="s">
        <v>2922</v>
      </c>
      <c r="E2982" s="13" t="s">
        <v>4811</v>
      </c>
      <c r="F2982" s="373">
        <f t="shared" si="1083"/>
        <v>22.72</v>
      </c>
      <c r="G2982" s="430">
        <v>22.72</v>
      </c>
      <c r="H2982" s="399">
        <f t="shared" si="1084"/>
        <v>18.18</v>
      </c>
      <c r="I2982" s="576"/>
      <c r="J2982" s="549" t="s">
        <v>5804</v>
      </c>
      <c r="K2982" s="11"/>
      <c r="L2982" s="55" t="str">
        <f t="shared" si="1085"/>
        <v/>
      </c>
      <c r="M2982" s="37">
        <f t="shared" si="1086"/>
        <v>22.72</v>
      </c>
      <c r="N2982" s="29">
        <f t="shared" si="1087"/>
        <v>9</v>
      </c>
      <c r="O2982" s="31" t="s">
        <v>1017</v>
      </c>
      <c r="P2982" s="50"/>
      <c r="Q2982" s="50"/>
      <c r="R2982" s="42" t="s">
        <v>1017</v>
      </c>
      <c r="T2982" s="50"/>
      <c r="U2982" s="50"/>
      <c r="W2982" s="50"/>
      <c r="X2982" t="s">
        <v>1017</v>
      </c>
      <c r="Z2982" s="50"/>
      <c r="AA2982" s="38"/>
      <c r="AB2982" t="s">
        <v>1017</v>
      </c>
      <c r="AD2982" s="38"/>
    </row>
    <row r="2983" spans="1:30" x14ac:dyDescent="0.35">
      <c r="A2983" s="497" t="str">
        <f t="shared" si="1081"/>
        <v>BiK271t1X2--11</v>
      </c>
      <c r="B2983" s="13" t="s">
        <v>5547</v>
      </c>
      <c r="C2983" s="13" t="str">
        <f t="shared" si="1082"/>
        <v>Inbetriebnahme 2011</v>
      </c>
      <c r="D2983" s="13" t="s">
        <v>2120</v>
      </c>
      <c r="E2983" s="13" t="s">
        <v>4809</v>
      </c>
      <c r="F2983" s="373">
        <f t="shared" si="1083"/>
        <v>20.76</v>
      </c>
      <c r="G2983" s="430">
        <v>20.76</v>
      </c>
      <c r="H2983" s="399">
        <f t="shared" si="1084"/>
        <v>16.61</v>
      </c>
      <c r="I2983" s="576"/>
      <c r="J2983" s="549" t="s">
        <v>5804</v>
      </c>
      <c r="K2983" s="11"/>
      <c r="L2983" s="55" t="str">
        <f t="shared" si="1085"/>
        <v/>
      </c>
      <c r="M2983" s="37">
        <f t="shared" si="1086"/>
        <v>20.76</v>
      </c>
      <c r="N2983" s="29">
        <f t="shared" si="1087"/>
        <v>9</v>
      </c>
      <c r="O2983" s="31"/>
      <c r="P2983" s="50"/>
      <c r="Q2983" s="50"/>
      <c r="R2983" s="42"/>
      <c r="T2983" s="50"/>
      <c r="U2983" s="50"/>
      <c r="W2983" s="50"/>
      <c r="Z2983" s="50"/>
      <c r="AA2983" s="38" t="s">
        <v>1017</v>
      </c>
      <c r="AB2983" t="s">
        <v>1017</v>
      </c>
      <c r="AD2983" s="38"/>
    </row>
    <row r="2984" spans="1:30" x14ac:dyDescent="0.35">
      <c r="A2984" s="497" t="str">
        <f t="shared" si="1081"/>
        <v>BiK271t1X2K-11</v>
      </c>
      <c r="B2984" s="13" t="s">
        <v>5547</v>
      </c>
      <c r="C2984" s="13" t="str">
        <f t="shared" si="1082"/>
        <v>Inbetriebnahme 2011</v>
      </c>
      <c r="D2984" s="13" t="s">
        <v>5564</v>
      </c>
      <c r="E2984" s="13" t="s">
        <v>4811</v>
      </c>
      <c r="F2984" s="373">
        <f t="shared" si="1083"/>
        <v>23.7</v>
      </c>
      <c r="G2984" s="430">
        <v>23.7</v>
      </c>
      <c r="H2984" s="399">
        <f t="shared" si="1084"/>
        <v>18.96</v>
      </c>
      <c r="I2984" s="576"/>
      <c r="J2984" s="549" t="s">
        <v>5804</v>
      </c>
      <c r="K2984" s="11"/>
      <c r="L2984" s="55" t="str">
        <f t="shared" si="1085"/>
        <v/>
      </c>
      <c r="M2984" s="37">
        <f t="shared" si="1086"/>
        <v>23.7</v>
      </c>
      <c r="N2984" s="29">
        <f t="shared" si="1087"/>
        <v>9</v>
      </c>
      <c r="O2984" s="31" t="s">
        <v>1017</v>
      </c>
      <c r="P2984" s="50"/>
      <c r="Q2984" s="50"/>
      <c r="R2984" s="42"/>
      <c r="T2984" s="50"/>
      <c r="U2984" s="50"/>
      <c r="W2984" s="50"/>
      <c r="Z2984" s="50"/>
      <c r="AA2984" s="38" t="s">
        <v>1017</v>
      </c>
      <c r="AB2984" t="s">
        <v>1017</v>
      </c>
      <c r="AD2984" s="38"/>
    </row>
    <row r="2985" spans="1:30" x14ac:dyDescent="0.35">
      <c r="A2985" s="497" t="str">
        <f t="shared" si="1081"/>
        <v>BiK271t1X2i-11</v>
      </c>
      <c r="B2985" s="13" t="s">
        <v>5547</v>
      </c>
      <c r="C2985" s="13" t="str">
        <f t="shared" si="1082"/>
        <v>Inbetriebnahme 2011</v>
      </c>
      <c r="D2985" s="13" t="s">
        <v>2121</v>
      </c>
      <c r="E2985" s="13" t="s">
        <v>4809</v>
      </c>
      <c r="F2985" s="373">
        <f t="shared" si="1083"/>
        <v>21.740000000000002</v>
      </c>
      <c r="G2985" s="430">
        <v>21.740000000000002</v>
      </c>
      <c r="H2985" s="399">
        <f t="shared" si="1084"/>
        <v>17.39</v>
      </c>
      <c r="I2985" s="576"/>
      <c r="J2985" s="549" t="s">
        <v>5804</v>
      </c>
      <c r="K2985" s="11"/>
      <c r="L2985" s="55" t="str">
        <f t="shared" si="1085"/>
        <v/>
      </c>
      <c r="M2985" s="37">
        <f t="shared" si="1086"/>
        <v>21.740000000000002</v>
      </c>
      <c r="N2985" s="29">
        <f t="shared" si="1087"/>
        <v>9</v>
      </c>
      <c r="O2985" s="31"/>
      <c r="P2985" s="50"/>
      <c r="Q2985" s="50"/>
      <c r="R2985" s="42" t="s">
        <v>1017</v>
      </c>
      <c r="T2985" s="50"/>
      <c r="U2985" s="50"/>
      <c r="W2985" s="50"/>
      <c r="Z2985" s="50"/>
      <c r="AA2985" s="38" t="s">
        <v>1017</v>
      </c>
      <c r="AB2985" t="s">
        <v>1017</v>
      </c>
      <c r="AD2985" s="38"/>
    </row>
    <row r="2986" spans="1:30" x14ac:dyDescent="0.35">
      <c r="A2986" s="497" t="str">
        <f t="shared" si="1081"/>
        <v>BiK271t1X2iK11</v>
      </c>
      <c r="B2986" s="13" t="s">
        <v>5547</v>
      </c>
      <c r="C2986" s="13" t="str">
        <f t="shared" si="1082"/>
        <v>Inbetriebnahme 2011</v>
      </c>
      <c r="D2986" s="13" t="s">
        <v>5567</v>
      </c>
      <c r="E2986" s="13" t="s">
        <v>4811</v>
      </c>
      <c r="F2986" s="373">
        <f t="shared" si="1083"/>
        <v>24.68</v>
      </c>
      <c r="G2986" s="430">
        <v>24.68</v>
      </c>
      <c r="H2986" s="399">
        <f t="shared" si="1084"/>
        <v>19.739999999999998</v>
      </c>
      <c r="I2986" s="576"/>
      <c r="J2986" s="549" t="s">
        <v>5804</v>
      </c>
      <c r="K2986" s="11"/>
      <c r="L2986" s="55" t="str">
        <f t="shared" si="1085"/>
        <v/>
      </c>
      <c r="M2986" s="37">
        <f t="shared" si="1086"/>
        <v>24.68</v>
      </c>
      <c r="N2986" s="29">
        <f t="shared" si="1087"/>
        <v>9</v>
      </c>
      <c r="O2986" s="31" t="s">
        <v>1017</v>
      </c>
      <c r="P2986" s="50"/>
      <c r="Q2986" s="50"/>
      <c r="R2986" s="42" t="s">
        <v>1017</v>
      </c>
      <c r="T2986" s="50"/>
      <c r="U2986" s="50"/>
      <c r="W2986" s="50"/>
      <c r="Z2986" s="50"/>
      <c r="AA2986" s="38" t="s">
        <v>1017</v>
      </c>
      <c r="AB2986" t="s">
        <v>1017</v>
      </c>
      <c r="AD2986" s="38"/>
    </row>
    <row r="2987" spans="1:30" x14ac:dyDescent="0.35">
      <c r="A2987" s="497" t="str">
        <f t="shared" si="1081"/>
        <v>BiK271t2----11</v>
      </c>
      <c r="B2987" s="13" t="s">
        <v>5547</v>
      </c>
      <c r="C2987" s="13" t="str">
        <f t="shared" si="1082"/>
        <v>Inbetriebnahme 2011</v>
      </c>
      <c r="D2987" s="13" t="s">
        <v>593</v>
      </c>
      <c r="E2987" s="13" t="s">
        <v>4809</v>
      </c>
      <c r="F2987" s="373">
        <f t="shared" si="1083"/>
        <v>9.98</v>
      </c>
      <c r="G2987" s="430">
        <v>9.98</v>
      </c>
      <c r="H2987" s="399">
        <f t="shared" si="1084"/>
        <v>7.98</v>
      </c>
      <c r="I2987" s="576"/>
      <c r="J2987" s="549" t="s">
        <v>5804</v>
      </c>
      <c r="K2987" s="11"/>
      <c r="L2987" s="55" t="str">
        <f t="shared" si="1085"/>
        <v/>
      </c>
      <c r="M2987" s="37">
        <f t="shared" si="1086"/>
        <v>9.98</v>
      </c>
      <c r="N2987" s="29">
        <f t="shared" si="1087"/>
        <v>9</v>
      </c>
      <c r="O2987" s="31"/>
      <c r="P2987" s="50"/>
      <c r="Q2987" s="50"/>
      <c r="R2987" s="42"/>
      <c r="T2987" s="50"/>
      <c r="U2987" s="50"/>
      <c r="W2987" s="50"/>
      <c r="Z2987" s="50"/>
      <c r="AA2987" s="38"/>
      <c r="AC2987" t="s">
        <v>1017</v>
      </c>
      <c r="AD2987" s="38"/>
    </row>
    <row r="2988" spans="1:30" x14ac:dyDescent="0.35">
      <c r="A2988" s="497" t="str">
        <f t="shared" si="1081"/>
        <v>BiK271t2K---11</v>
      </c>
      <c r="B2988" s="13" t="s">
        <v>5547</v>
      </c>
      <c r="C2988" s="13" t="str">
        <f t="shared" si="1082"/>
        <v>Inbetriebnahme 2011</v>
      </c>
      <c r="D2988" s="13" t="s">
        <v>3196</v>
      </c>
      <c r="E2988" s="13" t="s">
        <v>4811</v>
      </c>
      <c r="F2988" s="373">
        <f t="shared" si="1083"/>
        <v>12.92</v>
      </c>
      <c r="G2988" s="430">
        <v>12.92</v>
      </c>
      <c r="H2988" s="399">
        <f t="shared" si="1084"/>
        <v>10.34</v>
      </c>
      <c r="I2988" s="576"/>
      <c r="J2988" s="549" t="s">
        <v>5804</v>
      </c>
      <c r="K2988" s="11"/>
      <c r="L2988" s="55" t="str">
        <f t="shared" si="1085"/>
        <v/>
      </c>
      <c r="M2988" s="37">
        <f t="shared" si="1086"/>
        <v>12.92</v>
      </c>
      <c r="N2988" s="29">
        <f t="shared" si="1087"/>
        <v>9</v>
      </c>
      <c r="O2988" s="31" t="s">
        <v>1017</v>
      </c>
      <c r="P2988" s="50"/>
      <c r="Q2988" s="50"/>
      <c r="R2988" s="42"/>
      <c r="T2988" s="50"/>
      <c r="U2988" s="50"/>
      <c r="W2988" s="50"/>
      <c r="Z2988" s="50"/>
      <c r="AA2988" s="38"/>
      <c r="AC2988" t="s">
        <v>1017</v>
      </c>
      <c r="AD2988" s="38"/>
    </row>
    <row r="2989" spans="1:30" x14ac:dyDescent="0.35">
      <c r="A2989" s="497" t="str">
        <f t="shared" si="1081"/>
        <v>BiK271t2i---11</v>
      </c>
      <c r="B2989" s="13" t="s">
        <v>5547</v>
      </c>
      <c r="C2989" s="13" t="str">
        <f t="shared" si="1082"/>
        <v>Inbetriebnahme 2011</v>
      </c>
      <c r="D2989" s="13" t="s">
        <v>644</v>
      </c>
      <c r="E2989" s="13" t="s">
        <v>4809</v>
      </c>
      <c r="F2989" s="373">
        <f t="shared" si="1083"/>
        <v>10.96</v>
      </c>
      <c r="G2989" s="430">
        <v>10.96</v>
      </c>
      <c r="H2989" s="399">
        <f t="shared" si="1084"/>
        <v>8.77</v>
      </c>
      <c r="I2989" s="576"/>
      <c r="J2989" s="549" t="s">
        <v>5804</v>
      </c>
      <c r="K2989" s="11"/>
      <c r="L2989" s="55" t="str">
        <f t="shared" si="1085"/>
        <v/>
      </c>
      <c r="M2989" s="37">
        <f t="shared" si="1086"/>
        <v>10.96</v>
      </c>
      <c r="N2989" s="29">
        <f t="shared" si="1087"/>
        <v>9</v>
      </c>
      <c r="O2989" s="31"/>
      <c r="P2989" s="50"/>
      <c r="Q2989" s="50"/>
      <c r="R2989" s="42" t="s">
        <v>1017</v>
      </c>
      <c r="T2989" s="50"/>
      <c r="U2989" s="50"/>
      <c r="W2989" s="50"/>
      <c r="Z2989" s="50"/>
      <c r="AA2989" s="38"/>
      <c r="AC2989" t="s">
        <v>1017</v>
      </c>
      <c r="AD2989" s="38"/>
    </row>
    <row r="2990" spans="1:30" x14ac:dyDescent="0.35">
      <c r="A2990" s="497" t="str">
        <f t="shared" si="1081"/>
        <v>BiK271t2iK--11</v>
      </c>
      <c r="B2990" s="13" t="s">
        <v>5547</v>
      </c>
      <c r="C2990" s="13" t="str">
        <f t="shared" si="1082"/>
        <v>Inbetriebnahme 2011</v>
      </c>
      <c r="D2990" s="13" t="s">
        <v>2136</v>
      </c>
      <c r="E2990" s="13" t="s">
        <v>4811</v>
      </c>
      <c r="F2990" s="373">
        <f t="shared" si="1083"/>
        <v>13.9</v>
      </c>
      <c r="G2990" s="430">
        <v>13.9</v>
      </c>
      <c r="H2990" s="399">
        <f t="shared" si="1084"/>
        <v>11.12</v>
      </c>
      <c r="I2990" s="576"/>
      <c r="J2990" s="549" t="s">
        <v>5804</v>
      </c>
      <c r="K2990" s="11"/>
      <c r="L2990" s="55" t="str">
        <f t="shared" si="1085"/>
        <v/>
      </c>
      <c r="M2990" s="37">
        <f t="shared" si="1086"/>
        <v>13.9</v>
      </c>
      <c r="N2990" s="29">
        <f t="shared" si="1087"/>
        <v>9</v>
      </c>
      <c r="O2990" s="31" t="s">
        <v>1017</v>
      </c>
      <c r="P2990" s="50"/>
      <c r="Q2990" s="50"/>
      <c r="R2990" s="42" t="s">
        <v>1017</v>
      </c>
      <c r="T2990" s="50"/>
      <c r="U2990" s="50"/>
      <c r="W2990" s="50"/>
      <c r="Z2990" s="50"/>
      <c r="AA2990" s="38"/>
      <c r="AC2990" t="s">
        <v>1017</v>
      </c>
      <c r="AD2990" s="38"/>
    </row>
    <row r="2991" spans="1:30" x14ac:dyDescent="0.35">
      <c r="A2991" s="497" t="str">
        <f t="shared" si="1081"/>
        <v>BiK271t2a1--11</v>
      </c>
      <c r="B2991" s="13" t="s">
        <v>5547</v>
      </c>
      <c r="C2991" s="13" t="str">
        <f t="shared" si="1082"/>
        <v>Inbetriebnahme 2011</v>
      </c>
      <c r="D2991" s="13" t="s">
        <v>3292</v>
      </c>
      <c r="E2991" s="13" t="s">
        <v>4809</v>
      </c>
      <c r="F2991" s="373">
        <f t="shared" si="1083"/>
        <v>15.86</v>
      </c>
      <c r="G2991" s="430">
        <v>15.86</v>
      </c>
      <c r="H2991" s="399">
        <f t="shared" si="1084"/>
        <v>12.69</v>
      </c>
      <c r="I2991" s="576"/>
      <c r="J2991" s="549" t="s">
        <v>5804</v>
      </c>
      <c r="K2991" s="11"/>
      <c r="L2991" s="55" t="str">
        <f t="shared" si="1085"/>
        <v/>
      </c>
      <c r="M2991" s="37">
        <f t="shared" si="1086"/>
        <v>15.86</v>
      </c>
      <c r="N2991" s="29">
        <f t="shared" si="1087"/>
        <v>9</v>
      </c>
      <c r="O2991" s="31"/>
      <c r="P2991" s="50"/>
      <c r="Q2991" s="50"/>
      <c r="R2991" s="42"/>
      <c r="S2991" t="s">
        <v>1017</v>
      </c>
      <c r="T2991" s="50"/>
      <c r="U2991" s="50"/>
      <c r="W2991" s="50"/>
      <c r="Z2991" s="50"/>
      <c r="AA2991" s="38"/>
      <c r="AC2991" t="s">
        <v>1017</v>
      </c>
      <c r="AD2991" s="38"/>
    </row>
    <row r="2992" spans="1:30" x14ac:dyDescent="0.35">
      <c r="A2992" s="497" t="str">
        <f t="shared" si="1081"/>
        <v>BiK271t2a1K-11</v>
      </c>
      <c r="B2992" s="13" t="s">
        <v>5547</v>
      </c>
      <c r="C2992" s="13" t="str">
        <f t="shared" si="1082"/>
        <v>Inbetriebnahme 2011</v>
      </c>
      <c r="D2992" s="13" t="s">
        <v>5568</v>
      </c>
      <c r="E2992" s="13" t="s">
        <v>4811</v>
      </c>
      <c r="F2992" s="373">
        <f t="shared" si="1083"/>
        <v>18.8</v>
      </c>
      <c r="G2992" s="430">
        <v>18.8</v>
      </c>
      <c r="H2992" s="399">
        <f t="shared" si="1084"/>
        <v>15.04</v>
      </c>
      <c r="I2992" s="576"/>
      <c r="J2992" s="549" t="s">
        <v>5804</v>
      </c>
      <c r="K2992" s="11"/>
      <c r="L2992" s="55" t="str">
        <f t="shared" si="1085"/>
        <v/>
      </c>
      <c r="M2992" s="37">
        <f t="shared" si="1086"/>
        <v>18.8</v>
      </c>
      <c r="N2992" s="29">
        <f t="shared" si="1087"/>
        <v>9</v>
      </c>
      <c r="O2992" s="31" t="s">
        <v>1017</v>
      </c>
      <c r="P2992" s="50"/>
      <c r="Q2992" s="50"/>
      <c r="R2992" s="42"/>
      <c r="S2992" t="s">
        <v>1017</v>
      </c>
      <c r="T2992" s="50"/>
      <c r="U2992" s="50"/>
      <c r="W2992" s="50"/>
      <c r="Z2992" s="50"/>
      <c r="AA2992" s="38"/>
      <c r="AC2992" t="s">
        <v>1017</v>
      </c>
      <c r="AD2992" s="38"/>
    </row>
    <row r="2993" spans="1:30" x14ac:dyDescent="0.35">
      <c r="A2993" s="497" t="str">
        <f t="shared" si="1081"/>
        <v>BiK271t2a1i-11</v>
      </c>
      <c r="B2993" s="13" t="s">
        <v>5547</v>
      </c>
      <c r="C2993" s="13" t="str">
        <f t="shared" si="1082"/>
        <v>Inbetriebnahme 2011</v>
      </c>
      <c r="D2993" s="13" t="s">
        <v>2116</v>
      </c>
      <c r="E2993" s="13" t="s">
        <v>4809</v>
      </c>
      <c r="F2993" s="373">
        <f t="shared" si="1083"/>
        <v>16.84</v>
      </c>
      <c r="G2993" s="430">
        <v>16.84</v>
      </c>
      <c r="H2993" s="399">
        <f t="shared" si="1084"/>
        <v>13.47</v>
      </c>
      <c r="I2993" s="576"/>
      <c r="J2993" s="549" t="s">
        <v>5804</v>
      </c>
      <c r="K2993" s="11"/>
      <c r="L2993" s="55" t="str">
        <f t="shared" si="1085"/>
        <v/>
      </c>
      <c r="M2993" s="37">
        <f t="shared" si="1086"/>
        <v>16.84</v>
      </c>
      <c r="N2993" s="29">
        <f t="shared" si="1087"/>
        <v>9</v>
      </c>
      <c r="O2993" s="31"/>
      <c r="P2993" s="50"/>
      <c r="Q2993" s="50"/>
      <c r="R2993" s="42" t="s">
        <v>1017</v>
      </c>
      <c r="S2993" t="s">
        <v>1017</v>
      </c>
      <c r="T2993" s="50"/>
      <c r="U2993" s="50"/>
      <c r="W2993" s="50"/>
      <c r="Z2993" s="50"/>
      <c r="AA2993" s="38"/>
      <c r="AC2993" t="s">
        <v>1017</v>
      </c>
      <c r="AD2993" s="38"/>
    </row>
    <row r="2994" spans="1:30" x14ac:dyDescent="0.35">
      <c r="A2994" s="497" t="str">
        <f t="shared" si="1081"/>
        <v>BiK271t2a1iK11</v>
      </c>
      <c r="B2994" s="13" t="s">
        <v>5547</v>
      </c>
      <c r="C2994" s="13" t="str">
        <f t="shared" si="1082"/>
        <v>Inbetriebnahme 2011</v>
      </c>
      <c r="D2994" s="13" t="s">
        <v>2117</v>
      </c>
      <c r="E2994" s="13" t="s">
        <v>4811</v>
      </c>
      <c r="F2994" s="373">
        <f t="shared" si="1083"/>
        <v>19.78</v>
      </c>
      <c r="G2994" s="430">
        <v>19.78</v>
      </c>
      <c r="H2994" s="399">
        <f t="shared" si="1084"/>
        <v>15.82</v>
      </c>
      <c r="I2994" s="576"/>
      <c r="J2994" s="549" t="s">
        <v>5804</v>
      </c>
      <c r="K2994" s="11"/>
      <c r="L2994" s="55" t="str">
        <f t="shared" si="1085"/>
        <v/>
      </c>
      <c r="M2994" s="37">
        <f t="shared" si="1086"/>
        <v>19.78</v>
      </c>
      <c r="N2994" s="29">
        <f t="shared" si="1087"/>
        <v>9</v>
      </c>
      <c r="O2994" s="31" t="s">
        <v>1017</v>
      </c>
      <c r="P2994" s="50"/>
      <c r="Q2994" s="50"/>
      <c r="R2994" s="42" t="s">
        <v>1017</v>
      </c>
      <c r="S2994" t="s">
        <v>1017</v>
      </c>
      <c r="T2994" s="50"/>
      <c r="U2994" s="50"/>
      <c r="W2994" s="50"/>
      <c r="Z2994" s="50"/>
      <c r="AA2994" s="38"/>
      <c r="AC2994" t="s">
        <v>1017</v>
      </c>
      <c r="AD2994" s="38"/>
    </row>
    <row r="2995" spans="1:30" x14ac:dyDescent="0.35">
      <c r="A2995" s="497" t="str">
        <f t="shared" si="1081"/>
        <v>BiK271t2G---11</v>
      </c>
      <c r="B2995" s="13" t="s">
        <v>5547</v>
      </c>
      <c r="C2995" s="13" t="str">
        <f t="shared" si="1082"/>
        <v>Inbetriebnahme 2011</v>
      </c>
      <c r="D2995" s="13" t="s">
        <v>848</v>
      </c>
      <c r="E2995" s="13" t="s">
        <v>4809</v>
      </c>
      <c r="F2995" s="373">
        <f t="shared" si="1083"/>
        <v>16.84</v>
      </c>
      <c r="G2995" s="430">
        <v>16.84</v>
      </c>
      <c r="H2995" s="399">
        <f t="shared" si="1084"/>
        <v>13.47</v>
      </c>
      <c r="I2995" s="576"/>
      <c r="J2995" s="549" t="s">
        <v>5804</v>
      </c>
      <c r="K2995" s="11"/>
      <c r="L2995" s="55" t="str">
        <f t="shared" si="1085"/>
        <v/>
      </c>
      <c r="M2995" s="37">
        <f t="shared" si="1086"/>
        <v>16.84</v>
      </c>
      <c r="N2995" s="29">
        <f t="shared" si="1087"/>
        <v>9</v>
      </c>
      <c r="O2995" s="31"/>
      <c r="P2995" s="50"/>
      <c r="Q2995" s="50"/>
      <c r="R2995" s="42"/>
      <c r="T2995" s="50"/>
      <c r="U2995" s="50"/>
      <c r="V2995" t="s">
        <v>1017</v>
      </c>
      <c r="W2995" s="50"/>
      <c r="Z2995" s="50"/>
      <c r="AA2995" s="38"/>
      <c r="AC2995" t="s">
        <v>1017</v>
      </c>
      <c r="AD2995" s="38"/>
    </row>
    <row r="2996" spans="1:30" x14ac:dyDescent="0.35">
      <c r="A2996" s="497" t="str">
        <f t="shared" si="1081"/>
        <v>BiK271t2GK--11</v>
      </c>
      <c r="B2996" s="13" t="s">
        <v>5547</v>
      </c>
      <c r="C2996" s="13" t="str">
        <f t="shared" si="1082"/>
        <v>Inbetriebnahme 2011</v>
      </c>
      <c r="D2996" s="13" t="s">
        <v>2647</v>
      </c>
      <c r="E2996" s="13" t="s">
        <v>4811</v>
      </c>
      <c r="F2996" s="373">
        <f t="shared" si="1083"/>
        <v>19.78</v>
      </c>
      <c r="G2996" s="430">
        <v>19.78</v>
      </c>
      <c r="H2996" s="399">
        <f t="shared" si="1084"/>
        <v>15.82</v>
      </c>
      <c r="I2996" s="576"/>
      <c r="J2996" s="549" t="s">
        <v>5804</v>
      </c>
      <c r="K2996" s="11"/>
      <c r="L2996" s="55" t="str">
        <f t="shared" si="1085"/>
        <v/>
      </c>
      <c r="M2996" s="37">
        <f t="shared" si="1086"/>
        <v>19.78</v>
      </c>
      <c r="N2996" s="29">
        <f t="shared" si="1087"/>
        <v>9</v>
      </c>
      <c r="O2996" s="31" t="s">
        <v>1017</v>
      </c>
      <c r="P2996" s="50"/>
      <c r="Q2996" s="50"/>
      <c r="R2996" s="42"/>
      <c r="T2996" s="50"/>
      <c r="U2996" s="50"/>
      <c r="V2996" t="s">
        <v>1017</v>
      </c>
      <c r="W2996" s="50"/>
      <c r="Z2996" s="50"/>
      <c r="AA2996" s="38"/>
      <c r="AC2996" t="s">
        <v>1017</v>
      </c>
      <c r="AD2996" s="38"/>
    </row>
    <row r="2997" spans="1:30" x14ac:dyDescent="0.35">
      <c r="A2997" s="497" t="str">
        <f t="shared" si="1081"/>
        <v>BiK271t2Gi--11</v>
      </c>
      <c r="B2997" s="13" t="s">
        <v>5547</v>
      </c>
      <c r="C2997" s="13" t="str">
        <f t="shared" si="1082"/>
        <v>Inbetriebnahme 2011</v>
      </c>
      <c r="D2997" s="13" t="s">
        <v>849</v>
      </c>
      <c r="E2997" s="13" t="s">
        <v>4809</v>
      </c>
      <c r="F2997" s="373">
        <f t="shared" si="1083"/>
        <v>17.82</v>
      </c>
      <c r="G2997" s="430">
        <v>17.82</v>
      </c>
      <c r="H2997" s="399">
        <f t="shared" si="1084"/>
        <v>14.26</v>
      </c>
      <c r="I2997" s="576"/>
      <c r="J2997" s="549" t="s">
        <v>5804</v>
      </c>
      <c r="K2997" s="11"/>
      <c r="L2997" s="55" t="str">
        <f t="shared" si="1085"/>
        <v/>
      </c>
      <c r="M2997" s="37">
        <f t="shared" si="1086"/>
        <v>17.82</v>
      </c>
      <c r="N2997" s="29">
        <f t="shared" si="1087"/>
        <v>9</v>
      </c>
      <c r="O2997" s="31"/>
      <c r="P2997" s="50"/>
      <c r="Q2997" s="50"/>
      <c r="R2997" s="42" t="s">
        <v>1017</v>
      </c>
      <c r="T2997" s="50"/>
      <c r="U2997" s="50"/>
      <c r="V2997" t="s">
        <v>1017</v>
      </c>
      <c r="W2997" s="50"/>
      <c r="Z2997" s="50"/>
      <c r="AA2997" s="38"/>
      <c r="AC2997" t="s">
        <v>1017</v>
      </c>
      <c r="AD2997" s="38"/>
    </row>
    <row r="2998" spans="1:30" x14ac:dyDescent="0.35">
      <c r="A2998" s="497" t="str">
        <f t="shared" si="1081"/>
        <v>BiK271t2GiK-11</v>
      </c>
      <c r="B2998" s="13" t="s">
        <v>5547</v>
      </c>
      <c r="C2998" s="13" t="str">
        <f t="shared" si="1082"/>
        <v>Inbetriebnahme 2011</v>
      </c>
      <c r="D2998" s="13" t="s">
        <v>2650</v>
      </c>
      <c r="E2998" s="13" t="s">
        <v>4811</v>
      </c>
      <c r="F2998" s="373">
        <f t="shared" si="1083"/>
        <v>20.76</v>
      </c>
      <c r="G2998" s="430">
        <v>20.76</v>
      </c>
      <c r="H2998" s="399">
        <f t="shared" si="1084"/>
        <v>16.61</v>
      </c>
      <c r="I2998" s="576"/>
      <c r="J2998" s="549" t="s">
        <v>5804</v>
      </c>
      <c r="K2998" s="11"/>
      <c r="L2998" s="55" t="str">
        <f t="shared" si="1085"/>
        <v/>
      </c>
      <c r="M2998" s="37">
        <f t="shared" si="1086"/>
        <v>20.76</v>
      </c>
      <c r="N2998" s="29">
        <f t="shared" si="1087"/>
        <v>9</v>
      </c>
      <c r="O2998" s="31" t="s">
        <v>1017</v>
      </c>
      <c r="P2998" s="50"/>
      <c r="Q2998" s="50"/>
      <c r="R2998" s="42" t="s">
        <v>1017</v>
      </c>
      <c r="T2998" s="50"/>
      <c r="U2998" s="50"/>
      <c r="V2998" t="s">
        <v>1017</v>
      </c>
      <c r="W2998" s="50"/>
      <c r="Z2998" s="50"/>
      <c r="AA2998" s="38"/>
      <c r="AC2998" t="s">
        <v>1017</v>
      </c>
      <c r="AD2998" s="38"/>
    </row>
    <row r="2999" spans="1:30" x14ac:dyDescent="0.35">
      <c r="A2999" s="497" t="str">
        <f t="shared" si="1081"/>
        <v>BiK271t2L---11</v>
      </c>
      <c r="B2999" s="13" t="s">
        <v>5547</v>
      </c>
      <c r="C2999" s="13" t="str">
        <f t="shared" si="1082"/>
        <v>Inbetriebnahme 2011</v>
      </c>
      <c r="D2999" s="13" t="s">
        <v>787</v>
      </c>
      <c r="E2999" s="13" t="s">
        <v>4809</v>
      </c>
      <c r="F2999" s="373">
        <f t="shared" si="1083"/>
        <v>18.8</v>
      </c>
      <c r="G2999" s="430">
        <v>18.8</v>
      </c>
      <c r="H2999" s="399">
        <f t="shared" si="1084"/>
        <v>15.04</v>
      </c>
      <c r="I2999" s="576"/>
      <c r="J2999" s="549" t="s">
        <v>5804</v>
      </c>
      <c r="K2999" s="11"/>
      <c r="L2999" s="55" t="str">
        <f t="shared" si="1085"/>
        <v/>
      </c>
      <c r="M2999" s="37">
        <f t="shared" si="1086"/>
        <v>18.8</v>
      </c>
      <c r="N2999" s="29">
        <f t="shared" si="1087"/>
        <v>9</v>
      </c>
      <c r="O2999" s="31"/>
      <c r="P2999" s="50"/>
      <c r="Q2999" s="50"/>
      <c r="R2999" s="42"/>
      <c r="T2999" s="50"/>
      <c r="U2999" s="50"/>
      <c r="W2999" s="50"/>
      <c r="Y2999" t="s">
        <v>1017</v>
      </c>
      <c r="Z2999" s="50"/>
      <c r="AA2999" s="38"/>
      <c r="AC2999" t="s">
        <v>1017</v>
      </c>
      <c r="AD2999" s="38"/>
    </row>
    <row r="3000" spans="1:30" x14ac:dyDescent="0.35">
      <c r="A3000" s="497" t="str">
        <f t="shared" si="1081"/>
        <v>BiK271t2LK--11</v>
      </c>
      <c r="B3000" s="13" t="s">
        <v>5547</v>
      </c>
      <c r="C3000" s="13" t="str">
        <f t="shared" si="1082"/>
        <v>Inbetriebnahme 2011</v>
      </c>
      <c r="D3000" s="13" t="s">
        <v>2648</v>
      </c>
      <c r="E3000" s="13" t="s">
        <v>4811</v>
      </c>
      <c r="F3000" s="373">
        <f t="shared" si="1083"/>
        <v>21.740000000000002</v>
      </c>
      <c r="G3000" s="430">
        <v>21.740000000000002</v>
      </c>
      <c r="H3000" s="399">
        <f t="shared" si="1084"/>
        <v>17.39</v>
      </c>
      <c r="I3000" s="576"/>
      <c r="J3000" s="549" t="s">
        <v>5804</v>
      </c>
      <c r="K3000" s="11"/>
      <c r="L3000" s="55" t="str">
        <f t="shared" si="1085"/>
        <v/>
      </c>
      <c r="M3000" s="37">
        <f t="shared" si="1086"/>
        <v>21.740000000000002</v>
      </c>
      <c r="N3000" s="29">
        <f t="shared" si="1087"/>
        <v>9</v>
      </c>
      <c r="O3000" s="31" t="s">
        <v>1017</v>
      </c>
      <c r="P3000" s="50"/>
      <c r="Q3000" s="50"/>
      <c r="R3000" s="42"/>
      <c r="T3000" s="50"/>
      <c r="U3000" s="50"/>
      <c r="W3000" s="50"/>
      <c r="Y3000" t="s">
        <v>1017</v>
      </c>
      <c r="Z3000" s="50"/>
      <c r="AA3000" s="38"/>
      <c r="AC3000" t="s">
        <v>1017</v>
      </c>
      <c r="AD3000" s="38"/>
    </row>
    <row r="3001" spans="1:30" x14ac:dyDescent="0.35">
      <c r="A3001" s="497" t="str">
        <f t="shared" si="1081"/>
        <v>BiK271t2Li--11</v>
      </c>
      <c r="B3001" s="13" t="s">
        <v>5547</v>
      </c>
      <c r="C3001" s="13" t="str">
        <f t="shared" si="1082"/>
        <v>Inbetriebnahme 2011</v>
      </c>
      <c r="D3001" s="13" t="s">
        <v>788</v>
      </c>
      <c r="E3001" s="13" t="s">
        <v>4809</v>
      </c>
      <c r="F3001" s="373">
        <f t="shared" si="1083"/>
        <v>19.78</v>
      </c>
      <c r="G3001" s="430">
        <v>19.78</v>
      </c>
      <c r="H3001" s="399">
        <f t="shared" si="1084"/>
        <v>15.82</v>
      </c>
      <c r="I3001" s="576"/>
      <c r="J3001" s="549" t="s">
        <v>5804</v>
      </c>
      <c r="K3001" s="11"/>
      <c r="L3001" s="55" t="str">
        <f t="shared" si="1085"/>
        <v/>
      </c>
      <c r="M3001" s="37">
        <f t="shared" si="1086"/>
        <v>19.78</v>
      </c>
      <c r="N3001" s="29">
        <f t="shared" si="1087"/>
        <v>9</v>
      </c>
      <c r="O3001" s="31"/>
      <c r="P3001" s="50"/>
      <c r="Q3001" s="50"/>
      <c r="R3001" s="42" t="s">
        <v>1017</v>
      </c>
      <c r="T3001" s="50"/>
      <c r="U3001" s="50"/>
      <c r="W3001" s="50"/>
      <c r="Y3001" t="s">
        <v>1017</v>
      </c>
      <c r="Z3001" s="50"/>
      <c r="AA3001" s="38"/>
      <c r="AC3001" t="s">
        <v>1017</v>
      </c>
      <c r="AD3001" s="38"/>
    </row>
    <row r="3002" spans="1:30" x14ac:dyDescent="0.35">
      <c r="A3002" s="497" t="str">
        <f t="shared" si="1081"/>
        <v>BiK271t2LiK-11</v>
      </c>
      <c r="B3002" s="13" t="s">
        <v>5547</v>
      </c>
      <c r="C3002" s="13" t="str">
        <f t="shared" si="1082"/>
        <v>Inbetriebnahme 2011</v>
      </c>
      <c r="D3002" s="13" t="s">
        <v>2651</v>
      </c>
      <c r="E3002" s="13" t="s">
        <v>4811</v>
      </c>
      <c r="F3002" s="373">
        <f t="shared" si="1083"/>
        <v>22.72</v>
      </c>
      <c r="G3002" s="430">
        <v>22.72</v>
      </c>
      <c r="H3002" s="399">
        <f t="shared" si="1084"/>
        <v>18.18</v>
      </c>
      <c r="I3002" s="576"/>
      <c r="J3002" s="549" t="s">
        <v>5804</v>
      </c>
      <c r="K3002" s="11"/>
      <c r="L3002" s="55" t="str">
        <f t="shared" si="1085"/>
        <v/>
      </c>
      <c r="M3002" s="37">
        <f t="shared" si="1086"/>
        <v>22.72</v>
      </c>
      <c r="N3002" s="29">
        <f t="shared" si="1087"/>
        <v>9</v>
      </c>
      <c r="O3002" s="31" t="s">
        <v>1017</v>
      </c>
      <c r="P3002" s="50"/>
      <c r="Q3002" s="50"/>
      <c r="R3002" s="42" t="s">
        <v>1017</v>
      </c>
      <c r="T3002" s="50"/>
      <c r="U3002" s="50"/>
      <c r="W3002" s="50"/>
      <c r="Y3002" t="s">
        <v>1017</v>
      </c>
      <c r="Z3002" s="50"/>
      <c r="AA3002" s="38"/>
      <c r="AC3002" t="s">
        <v>1017</v>
      </c>
      <c r="AD3002" s="38"/>
    </row>
    <row r="3003" spans="1:30" x14ac:dyDescent="0.35">
      <c r="A3003" s="497" t="str">
        <f t="shared" si="1081"/>
        <v>BiK271t2M2--11</v>
      </c>
      <c r="B3003" s="13" t="s">
        <v>5547</v>
      </c>
      <c r="C3003" s="13" t="str">
        <f t="shared" si="1082"/>
        <v>Inbetriebnahme 2011</v>
      </c>
      <c r="D3003" s="13" t="s">
        <v>4392</v>
      </c>
      <c r="E3003" s="13" t="s">
        <v>4809</v>
      </c>
      <c r="F3003" s="373">
        <f t="shared" si="1083"/>
        <v>17.82</v>
      </c>
      <c r="G3003" s="430">
        <v>17.82</v>
      </c>
      <c r="H3003" s="399">
        <f t="shared" si="1084"/>
        <v>14.26</v>
      </c>
      <c r="I3003" s="576"/>
      <c r="J3003" s="549" t="s">
        <v>5804</v>
      </c>
      <c r="K3003" s="11"/>
      <c r="L3003" s="55" t="str">
        <f t="shared" si="1085"/>
        <v/>
      </c>
      <c r="M3003" s="37">
        <f t="shared" si="1086"/>
        <v>17.82</v>
      </c>
      <c r="N3003" s="29">
        <f t="shared" si="1087"/>
        <v>9</v>
      </c>
      <c r="O3003" s="31"/>
      <c r="P3003" s="50"/>
      <c r="Q3003" s="50"/>
      <c r="R3003" s="42"/>
      <c r="T3003" s="50"/>
      <c r="U3003" s="50"/>
      <c r="W3003" s="50"/>
      <c r="X3003" t="s">
        <v>1017</v>
      </c>
      <c r="Z3003" s="50"/>
      <c r="AA3003" s="38"/>
      <c r="AC3003" t="s">
        <v>1017</v>
      </c>
      <c r="AD3003" s="38"/>
    </row>
    <row r="3004" spans="1:30" x14ac:dyDescent="0.35">
      <c r="A3004" s="497" t="str">
        <f t="shared" si="1081"/>
        <v>BiK271t2M2K-11</v>
      </c>
      <c r="B3004" s="13" t="s">
        <v>5547</v>
      </c>
      <c r="C3004" s="13" t="str">
        <f t="shared" si="1082"/>
        <v>Inbetriebnahme 2011</v>
      </c>
      <c r="D3004" s="13" t="s">
        <v>5570</v>
      </c>
      <c r="E3004" s="13" t="s">
        <v>4811</v>
      </c>
      <c r="F3004" s="373">
        <f t="shared" si="1083"/>
        <v>20.759999999999998</v>
      </c>
      <c r="G3004" s="430">
        <v>20.759999999999998</v>
      </c>
      <c r="H3004" s="399">
        <f t="shared" si="1084"/>
        <v>16.61</v>
      </c>
      <c r="I3004" s="576"/>
      <c r="J3004" s="549" t="s">
        <v>5804</v>
      </c>
      <c r="K3004" s="11"/>
      <c r="L3004" s="55" t="str">
        <f t="shared" si="1085"/>
        <v/>
      </c>
      <c r="M3004" s="37">
        <f t="shared" si="1086"/>
        <v>20.759999999999998</v>
      </c>
      <c r="N3004" s="29">
        <f t="shared" si="1087"/>
        <v>9</v>
      </c>
      <c r="O3004" s="31" t="s">
        <v>1017</v>
      </c>
      <c r="P3004" s="50"/>
      <c r="Q3004" s="50"/>
      <c r="R3004" s="42"/>
      <c r="T3004" s="50"/>
      <c r="U3004" s="50"/>
      <c r="W3004" s="50"/>
      <c r="X3004" t="s">
        <v>1017</v>
      </c>
      <c r="Z3004" s="50"/>
      <c r="AA3004" s="38"/>
      <c r="AC3004" t="s">
        <v>1017</v>
      </c>
      <c r="AD3004" s="38"/>
    </row>
    <row r="3005" spans="1:30" x14ac:dyDescent="0.35">
      <c r="A3005" s="497" t="str">
        <f t="shared" si="1081"/>
        <v>BiK271t2M2i-11</v>
      </c>
      <c r="B3005" s="13" t="s">
        <v>5547</v>
      </c>
      <c r="C3005" s="13" t="str">
        <f t="shared" si="1082"/>
        <v>Inbetriebnahme 2011</v>
      </c>
      <c r="D3005" s="17" t="s">
        <v>675</v>
      </c>
      <c r="E3005" s="13" t="s">
        <v>4809</v>
      </c>
      <c r="F3005" s="373">
        <f t="shared" si="1083"/>
        <v>18.8</v>
      </c>
      <c r="G3005" s="430">
        <v>18.8</v>
      </c>
      <c r="H3005" s="399">
        <f t="shared" si="1084"/>
        <v>15.04</v>
      </c>
      <c r="I3005" s="576"/>
      <c r="J3005" s="549" t="s">
        <v>5804</v>
      </c>
      <c r="K3005" s="11"/>
      <c r="L3005" s="55" t="str">
        <f t="shared" si="1085"/>
        <v/>
      </c>
      <c r="M3005" s="37">
        <f t="shared" si="1086"/>
        <v>18.8</v>
      </c>
      <c r="N3005" s="29">
        <f t="shared" si="1087"/>
        <v>9</v>
      </c>
      <c r="O3005" s="31"/>
      <c r="P3005" s="50"/>
      <c r="Q3005" s="50"/>
      <c r="R3005" s="42" t="s">
        <v>1017</v>
      </c>
      <c r="T3005" s="50"/>
      <c r="U3005" s="50"/>
      <c r="W3005" s="50"/>
      <c r="X3005" t="s">
        <v>1017</v>
      </c>
      <c r="Z3005" s="50"/>
      <c r="AA3005" s="38"/>
      <c r="AC3005" t="s">
        <v>1017</v>
      </c>
      <c r="AD3005" s="38"/>
    </row>
    <row r="3006" spans="1:30" x14ac:dyDescent="0.35">
      <c r="A3006" s="497" t="str">
        <f t="shared" si="1081"/>
        <v>BiK271t2M2iK11</v>
      </c>
      <c r="B3006" s="13" t="s">
        <v>5547</v>
      </c>
      <c r="C3006" s="13" t="str">
        <f t="shared" si="1082"/>
        <v>Inbetriebnahme 2011</v>
      </c>
      <c r="D3006" s="17" t="s">
        <v>676</v>
      </c>
      <c r="E3006" s="13" t="s">
        <v>4811</v>
      </c>
      <c r="F3006" s="373">
        <f t="shared" si="1083"/>
        <v>21.740000000000002</v>
      </c>
      <c r="G3006" s="430">
        <v>21.740000000000002</v>
      </c>
      <c r="H3006" s="399">
        <f t="shared" si="1084"/>
        <v>17.39</v>
      </c>
      <c r="I3006" s="576"/>
      <c r="J3006" s="549" t="s">
        <v>5804</v>
      </c>
      <c r="K3006" s="11"/>
      <c r="L3006" s="55" t="str">
        <f t="shared" si="1085"/>
        <v/>
      </c>
      <c r="M3006" s="37">
        <f t="shared" si="1086"/>
        <v>21.740000000000002</v>
      </c>
      <c r="N3006" s="29">
        <f t="shared" si="1087"/>
        <v>9</v>
      </c>
      <c r="O3006" s="31" t="s">
        <v>1017</v>
      </c>
      <c r="P3006" s="50"/>
      <c r="Q3006" s="50"/>
      <c r="R3006" s="42" t="s">
        <v>1017</v>
      </c>
      <c r="T3006" s="50"/>
      <c r="U3006" s="50"/>
      <c r="W3006" s="50"/>
      <c r="X3006" t="s">
        <v>1017</v>
      </c>
      <c r="Z3006" s="50"/>
      <c r="AA3006" s="38"/>
      <c r="AC3006" t="s">
        <v>1017</v>
      </c>
      <c r="AD3006" s="38"/>
    </row>
    <row r="3007" spans="1:30" x14ac:dyDescent="0.35">
      <c r="A3007" s="497" t="str">
        <f t="shared" si="1081"/>
        <v>BiK271t2X2--11</v>
      </c>
      <c r="B3007" s="13" t="s">
        <v>5547</v>
      </c>
      <c r="C3007" s="13" t="str">
        <f t="shared" si="1082"/>
        <v>Inbetriebnahme 2011</v>
      </c>
      <c r="D3007" s="13" t="s">
        <v>2122</v>
      </c>
      <c r="E3007" s="13" t="s">
        <v>4809</v>
      </c>
      <c r="F3007" s="373">
        <f t="shared" si="1083"/>
        <v>19.78</v>
      </c>
      <c r="G3007" s="430">
        <v>19.78</v>
      </c>
      <c r="H3007" s="399">
        <f t="shared" si="1084"/>
        <v>15.82</v>
      </c>
      <c r="I3007" s="576"/>
      <c r="J3007" s="549" t="s">
        <v>5804</v>
      </c>
      <c r="K3007" s="11"/>
      <c r="L3007" s="55" t="str">
        <f t="shared" si="1085"/>
        <v/>
      </c>
      <c r="M3007" s="37">
        <f t="shared" si="1086"/>
        <v>19.78</v>
      </c>
      <c r="N3007" s="29">
        <f t="shared" si="1087"/>
        <v>9</v>
      </c>
      <c r="O3007" s="31"/>
      <c r="P3007" s="50"/>
      <c r="Q3007" s="50"/>
      <c r="R3007" s="42"/>
      <c r="T3007" s="50"/>
      <c r="U3007" s="50"/>
      <c r="W3007" s="50"/>
      <c r="Z3007" s="50"/>
      <c r="AA3007" s="38" t="s">
        <v>1017</v>
      </c>
      <c r="AC3007" t="s">
        <v>1017</v>
      </c>
      <c r="AD3007" s="38"/>
    </row>
    <row r="3008" spans="1:30" x14ac:dyDescent="0.35">
      <c r="A3008" s="497" t="str">
        <f t="shared" si="1081"/>
        <v>BiK271t2X2K-11</v>
      </c>
      <c r="B3008" s="13" t="s">
        <v>5547</v>
      </c>
      <c r="C3008" s="13" t="str">
        <f t="shared" si="1082"/>
        <v>Inbetriebnahme 2011</v>
      </c>
      <c r="D3008" s="13" t="s">
        <v>2649</v>
      </c>
      <c r="E3008" s="13" t="s">
        <v>4811</v>
      </c>
      <c r="F3008" s="373">
        <f t="shared" si="1083"/>
        <v>22.72</v>
      </c>
      <c r="G3008" s="430">
        <v>22.72</v>
      </c>
      <c r="H3008" s="399">
        <f t="shared" si="1084"/>
        <v>18.18</v>
      </c>
      <c r="I3008" s="576"/>
      <c r="J3008" s="549" t="s">
        <v>5804</v>
      </c>
      <c r="K3008" s="11"/>
      <c r="L3008" s="55" t="str">
        <f t="shared" si="1085"/>
        <v/>
      </c>
      <c r="M3008" s="37">
        <f t="shared" si="1086"/>
        <v>22.72</v>
      </c>
      <c r="N3008" s="29">
        <f t="shared" si="1087"/>
        <v>9</v>
      </c>
      <c r="O3008" s="31" t="s">
        <v>1017</v>
      </c>
      <c r="P3008" s="50"/>
      <c r="Q3008" s="50"/>
      <c r="R3008" s="42"/>
      <c r="T3008" s="50"/>
      <c r="U3008" s="50"/>
      <c r="W3008" s="50"/>
      <c r="Z3008" s="50"/>
      <c r="AA3008" s="38" t="s">
        <v>1017</v>
      </c>
      <c r="AC3008" t="s">
        <v>1017</v>
      </c>
      <c r="AD3008" s="38"/>
    </row>
    <row r="3009" spans="1:30" x14ac:dyDescent="0.35">
      <c r="A3009" s="497" t="str">
        <f t="shared" si="1081"/>
        <v>BiK271t2X2i-11</v>
      </c>
      <c r="B3009" s="13" t="s">
        <v>5547</v>
      </c>
      <c r="C3009" s="13" t="str">
        <f t="shared" si="1082"/>
        <v>Inbetriebnahme 2011</v>
      </c>
      <c r="D3009" s="13" t="s">
        <v>2123</v>
      </c>
      <c r="E3009" s="13" t="s">
        <v>4809</v>
      </c>
      <c r="F3009" s="373">
        <f t="shared" si="1083"/>
        <v>20.76</v>
      </c>
      <c r="G3009" s="430">
        <v>20.76</v>
      </c>
      <c r="H3009" s="399">
        <f t="shared" si="1084"/>
        <v>16.61</v>
      </c>
      <c r="I3009" s="576"/>
      <c r="J3009" s="549" t="s">
        <v>5804</v>
      </c>
      <c r="K3009" s="11"/>
      <c r="L3009" s="55" t="str">
        <f t="shared" si="1085"/>
        <v/>
      </c>
      <c r="M3009" s="37">
        <f t="shared" si="1086"/>
        <v>20.76</v>
      </c>
      <c r="N3009" s="29">
        <f t="shared" si="1087"/>
        <v>9</v>
      </c>
      <c r="O3009" s="31"/>
      <c r="P3009" s="50"/>
      <c r="Q3009" s="50"/>
      <c r="R3009" s="42" t="s">
        <v>1017</v>
      </c>
      <c r="T3009" s="50"/>
      <c r="U3009" s="50"/>
      <c r="W3009" s="50"/>
      <c r="Z3009" s="50"/>
      <c r="AA3009" s="38" t="s">
        <v>1017</v>
      </c>
      <c r="AC3009" t="s">
        <v>1017</v>
      </c>
      <c r="AD3009" s="38"/>
    </row>
    <row r="3010" spans="1:30" x14ac:dyDescent="0.35">
      <c r="A3010" s="497" t="str">
        <f t="shared" si="1081"/>
        <v>BiK271t2X2iK11</v>
      </c>
      <c r="B3010" s="13" t="s">
        <v>5547</v>
      </c>
      <c r="C3010" s="13" t="str">
        <f t="shared" si="1082"/>
        <v>Inbetriebnahme 2011</v>
      </c>
      <c r="D3010" s="13" t="s">
        <v>2652</v>
      </c>
      <c r="E3010" s="13" t="s">
        <v>4811</v>
      </c>
      <c r="F3010" s="373">
        <f t="shared" si="1083"/>
        <v>23.700000000000003</v>
      </c>
      <c r="G3010" s="430">
        <v>23.700000000000003</v>
      </c>
      <c r="H3010" s="399">
        <f t="shared" si="1084"/>
        <v>18.96</v>
      </c>
      <c r="I3010" s="576"/>
      <c r="J3010" s="549" t="s">
        <v>5804</v>
      </c>
      <c r="K3010" s="11"/>
      <c r="L3010" s="55" t="str">
        <f t="shared" si="1085"/>
        <v/>
      </c>
      <c r="M3010" s="37">
        <f t="shared" si="1086"/>
        <v>23.700000000000003</v>
      </c>
      <c r="N3010" s="29">
        <f t="shared" si="1087"/>
        <v>9</v>
      </c>
      <c r="O3010" s="31" t="s">
        <v>1017</v>
      </c>
      <c r="P3010" s="50"/>
      <c r="Q3010" s="50"/>
      <c r="R3010" s="42" t="s">
        <v>1017</v>
      </c>
      <c r="T3010" s="50"/>
      <c r="U3010" s="50"/>
      <c r="W3010" s="50"/>
      <c r="Z3010" s="50"/>
      <c r="AA3010" s="38" t="s">
        <v>1017</v>
      </c>
      <c r="AC3010" t="s">
        <v>1017</v>
      </c>
      <c r="AD3010" s="38"/>
    </row>
    <row r="3011" spans="1:30" x14ac:dyDescent="0.35">
      <c r="A3011" s="497" t="str">
        <f t="shared" si="1081"/>
        <v>BiK271t3----11</v>
      </c>
      <c r="B3011" s="13" t="s">
        <v>5547</v>
      </c>
      <c r="C3011" s="13" t="str">
        <f t="shared" si="1082"/>
        <v>Inbetriebnahme 2011</v>
      </c>
      <c r="D3011" s="13" t="s">
        <v>595</v>
      </c>
      <c r="E3011" s="13" t="s">
        <v>4809</v>
      </c>
      <c r="F3011" s="373">
        <f t="shared" si="1083"/>
        <v>10.96</v>
      </c>
      <c r="G3011" s="430">
        <v>10.96</v>
      </c>
      <c r="H3011" s="399">
        <f t="shared" si="1084"/>
        <v>8.77</v>
      </c>
      <c r="I3011" s="576"/>
      <c r="J3011" s="549" t="s">
        <v>5804</v>
      </c>
      <c r="K3011" s="11"/>
      <c r="L3011" s="55" t="str">
        <f t="shared" si="1085"/>
        <v/>
      </c>
      <c r="M3011" s="37">
        <f t="shared" si="1086"/>
        <v>10.96</v>
      </c>
      <c r="N3011" s="29">
        <f t="shared" si="1087"/>
        <v>9</v>
      </c>
      <c r="O3011" s="31"/>
      <c r="P3011" s="50"/>
      <c r="Q3011" s="50"/>
      <c r="R3011" s="42"/>
      <c r="T3011" s="50"/>
      <c r="U3011" s="50"/>
      <c r="W3011" s="50"/>
      <c r="Z3011" s="50"/>
      <c r="AA3011" s="38"/>
      <c r="AD3011" s="38" t="s">
        <v>1017</v>
      </c>
    </row>
    <row r="3012" spans="1:30" x14ac:dyDescent="0.35">
      <c r="A3012" s="497" t="str">
        <f t="shared" si="1081"/>
        <v>BiK271t3K---11</v>
      </c>
      <c r="B3012" s="13" t="s">
        <v>5547</v>
      </c>
      <c r="C3012" s="13" t="str">
        <f t="shared" si="1082"/>
        <v>Inbetriebnahme 2011</v>
      </c>
      <c r="D3012" s="13" t="s">
        <v>3198</v>
      </c>
      <c r="E3012" s="13" t="s">
        <v>4811</v>
      </c>
      <c r="F3012" s="373">
        <f t="shared" si="1083"/>
        <v>13.9</v>
      </c>
      <c r="G3012" s="430">
        <v>13.9</v>
      </c>
      <c r="H3012" s="399">
        <f t="shared" si="1084"/>
        <v>11.12</v>
      </c>
      <c r="I3012" s="576"/>
      <c r="J3012" s="549" t="s">
        <v>5804</v>
      </c>
      <c r="K3012" s="11"/>
      <c r="L3012" s="55" t="str">
        <f t="shared" si="1085"/>
        <v/>
      </c>
      <c r="M3012" s="37">
        <f t="shared" si="1086"/>
        <v>13.9</v>
      </c>
      <c r="N3012" s="29">
        <f t="shared" si="1087"/>
        <v>9</v>
      </c>
      <c r="O3012" s="31" t="s">
        <v>1017</v>
      </c>
      <c r="P3012" s="50"/>
      <c r="Q3012" s="50"/>
      <c r="R3012" s="42"/>
      <c r="T3012" s="50"/>
      <c r="U3012" s="50"/>
      <c r="W3012" s="50"/>
      <c r="Z3012" s="50"/>
      <c r="AA3012" s="38"/>
      <c r="AD3012" s="38" t="s">
        <v>1017</v>
      </c>
    </row>
    <row r="3013" spans="1:30" x14ac:dyDescent="0.35">
      <c r="A3013" s="497" t="str">
        <f t="shared" si="1081"/>
        <v>BiK271t3i---11</v>
      </c>
      <c r="B3013" s="13" t="s">
        <v>5547</v>
      </c>
      <c r="C3013" s="13" t="str">
        <f t="shared" si="1082"/>
        <v>Inbetriebnahme 2011</v>
      </c>
      <c r="D3013" s="13" t="s">
        <v>2139</v>
      </c>
      <c r="E3013" s="13" t="s">
        <v>4809</v>
      </c>
      <c r="F3013" s="373">
        <f t="shared" si="1083"/>
        <v>11.94</v>
      </c>
      <c r="G3013" s="430">
        <v>11.94</v>
      </c>
      <c r="H3013" s="399">
        <f t="shared" si="1084"/>
        <v>9.5500000000000007</v>
      </c>
      <c r="I3013" s="576"/>
      <c r="J3013" s="549" t="s">
        <v>5804</v>
      </c>
      <c r="K3013" s="11"/>
      <c r="L3013" s="55" t="str">
        <f t="shared" si="1085"/>
        <v/>
      </c>
      <c r="M3013" s="37">
        <f t="shared" si="1086"/>
        <v>11.94</v>
      </c>
      <c r="N3013" s="29">
        <f t="shared" si="1087"/>
        <v>9</v>
      </c>
      <c r="O3013" s="31"/>
      <c r="P3013" s="50"/>
      <c r="Q3013" s="50"/>
      <c r="R3013" s="42" t="s">
        <v>1017</v>
      </c>
      <c r="T3013" s="50"/>
      <c r="U3013" s="50"/>
      <c r="W3013" s="50"/>
      <c r="Z3013" s="50"/>
      <c r="AA3013" s="38"/>
      <c r="AD3013" s="38" t="s">
        <v>1017</v>
      </c>
    </row>
    <row r="3014" spans="1:30" x14ac:dyDescent="0.35">
      <c r="A3014" s="497" t="str">
        <f t="shared" si="1081"/>
        <v>BiK271t3iK--11</v>
      </c>
      <c r="B3014" s="13" t="s">
        <v>5547</v>
      </c>
      <c r="C3014" s="13" t="str">
        <f t="shared" si="1082"/>
        <v>Inbetriebnahme 2011</v>
      </c>
      <c r="D3014" s="13" t="s">
        <v>2140</v>
      </c>
      <c r="E3014" s="13" t="s">
        <v>4811</v>
      </c>
      <c r="F3014" s="373">
        <f t="shared" si="1083"/>
        <v>14.879999999999999</v>
      </c>
      <c r="G3014" s="430">
        <v>14.879999999999999</v>
      </c>
      <c r="H3014" s="399">
        <f t="shared" si="1084"/>
        <v>11.9</v>
      </c>
      <c r="I3014" s="576"/>
      <c r="J3014" s="549" t="s">
        <v>5804</v>
      </c>
      <c r="K3014" s="11"/>
      <c r="L3014" s="55" t="str">
        <f t="shared" si="1085"/>
        <v/>
      </c>
      <c r="M3014" s="37">
        <f t="shared" si="1086"/>
        <v>14.879999999999999</v>
      </c>
      <c r="N3014" s="29">
        <f t="shared" si="1087"/>
        <v>9</v>
      </c>
      <c r="O3014" s="31" t="s">
        <v>1017</v>
      </c>
      <c r="P3014" s="50"/>
      <c r="Q3014" s="50"/>
      <c r="R3014" s="42" t="s">
        <v>1017</v>
      </c>
      <c r="T3014" s="50"/>
      <c r="U3014" s="50"/>
      <c r="W3014" s="50"/>
      <c r="Z3014" s="50"/>
      <c r="AA3014" s="38"/>
      <c r="AD3014" s="38" t="s">
        <v>1017</v>
      </c>
    </row>
    <row r="3015" spans="1:30" x14ac:dyDescent="0.35">
      <c r="A3015" s="497" t="str">
        <f t="shared" si="1081"/>
        <v>BiK271t3a1--11</v>
      </c>
      <c r="B3015" s="13" t="s">
        <v>5547</v>
      </c>
      <c r="C3015" s="13" t="str">
        <f t="shared" si="1082"/>
        <v>Inbetriebnahme 2011</v>
      </c>
      <c r="D3015" s="13" t="s">
        <v>850</v>
      </c>
      <c r="E3015" s="13" t="s">
        <v>4809</v>
      </c>
      <c r="F3015" s="373">
        <f t="shared" si="1083"/>
        <v>16.84</v>
      </c>
      <c r="G3015" s="430">
        <v>16.84</v>
      </c>
      <c r="H3015" s="399">
        <f t="shared" si="1084"/>
        <v>13.47</v>
      </c>
      <c r="I3015" s="576"/>
      <c r="J3015" s="549" t="s">
        <v>5804</v>
      </c>
      <c r="K3015" s="11"/>
      <c r="L3015" s="55" t="str">
        <f t="shared" si="1085"/>
        <v/>
      </c>
      <c r="M3015" s="37">
        <f t="shared" si="1086"/>
        <v>16.84</v>
      </c>
      <c r="N3015" s="29">
        <f t="shared" si="1087"/>
        <v>9</v>
      </c>
      <c r="O3015" s="31"/>
      <c r="P3015" s="50"/>
      <c r="Q3015" s="50"/>
      <c r="R3015" s="42"/>
      <c r="S3015" t="s">
        <v>1017</v>
      </c>
      <c r="T3015" s="50"/>
      <c r="U3015" s="50"/>
      <c r="W3015" s="50"/>
      <c r="Z3015" s="50"/>
      <c r="AA3015" s="38"/>
      <c r="AD3015" s="38" t="s">
        <v>1017</v>
      </c>
    </row>
    <row r="3016" spans="1:30" x14ac:dyDescent="0.35">
      <c r="A3016" s="497" t="str">
        <f t="shared" si="1081"/>
        <v>BiK271t3a1K-11</v>
      </c>
      <c r="B3016" s="13" t="s">
        <v>5547</v>
      </c>
      <c r="C3016" s="13" t="str">
        <f t="shared" si="1082"/>
        <v>Inbetriebnahme 2011</v>
      </c>
      <c r="D3016" s="13" t="s">
        <v>2653</v>
      </c>
      <c r="E3016" s="13" t="s">
        <v>4811</v>
      </c>
      <c r="F3016" s="373">
        <f t="shared" si="1083"/>
        <v>19.78</v>
      </c>
      <c r="G3016" s="430">
        <v>19.78</v>
      </c>
      <c r="H3016" s="399">
        <f t="shared" si="1084"/>
        <v>15.82</v>
      </c>
      <c r="I3016" s="576"/>
      <c r="J3016" s="549" t="s">
        <v>5804</v>
      </c>
      <c r="K3016" s="11"/>
      <c r="L3016" s="55" t="str">
        <f t="shared" si="1085"/>
        <v/>
      </c>
      <c r="M3016" s="37">
        <f t="shared" si="1086"/>
        <v>19.78</v>
      </c>
      <c r="N3016" s="29">
        <f t="shared" si="1087"/>
        <v>9</v>
      </c>
      <c r="O3016" s="31" t="s">
        <v>1017</v>
      </c>
      <c r="P3016" s="50"/>
      <c r="Q3016" s="50"/>
      <c r="R3016" s="42"/>
      <c r="S3016" t="s">
        <v>1017</v>
      </c>
      <c r="T3016" s="50"/>
      <c r="U3016" s="50"/>
      <c r="W3016" s="50"/>
      <c r="Z3016" s="50"/>
      <c r="AA3016" s="38"/>
      <c r="AD3016" s="38" t="s">
        <v>1017</v>
      </c>
    </row>
    <row r="3017" spans="1:30" x14ac:dyDescent="0.35">
      <c r="A3017" s="497" t="str">
        <f t="shared" si="1081"/>
        <v>BiK271t3a1i-11</v>
      </c>
      <c r="B3017" s="13" t="s">
        <v>5547</v>
      </c>
      <c r="C3017" s="13" t="str">
        <f t="shared" si="1082"/>
        <v>Inbetriebnahme 2011</v>
      </c>
      <c r="D3017" s="13" t="s">
        <v>564</v>
      </c>
      <c r="E3017" s="13" t="s">
        <v>4809</v>
      </c>
      <c r="F3017" s="373">
        <f t="shared" si="1083"/>
        <v>17.82</v>
      </c>
      <c r="G3017" s="430">
        <v>17.82</v>
      </c>
      <c r="H3017" s="399">
        <f t="shared" si="1084"/>
        <v>14.26</v>
      </c>
      <c r="I3017" s="576"/>
      <c r="J3017" s="549" t="s">
        <v>5804</v>
      </c>
      <c r="K3017" s="11"/>
      <c r="L3017" s="55" t="str">
        <f t="shared" si="1085"/>
        <v/>
      </c>
      <c r="M3017" s="37">
        <f t="shared" si="1086"/>
        <v>17.82</v>
      </c>
      <c r="N3017" s="29">
        <f t="shared" si="1087"/>
        <v>9</v>
      </c>
      <c r="O3017" s="31"/>
      <c r="P3017" s="50"/>
      <c r="Q3017" s="50"/>
      <c r="R3017" s="42" t="s">
        <v>1017</v>
      </c>
      <c r="S3017" t="s">
        <v>1017</v>
      </c>
      <c r="T3017" s="50"/>
      <c r="U3017" s="50"/>
      <c r="W3017" s="50"/>
      <c r="Z3017" s="50"/>
      <c r="AA3017" s="38"/>
      <c r="AD3017" s="38" t="s">
        <v>1017</v>
      </c>
    </row>
    <row r="3018" spans="1:30" x14ac:dyDescent="0.35">
      <c r="A3018" s="497" t="str">
        <f t="shared" si="1081"/>
        <v>BiK271t3a1iK11</v>
      </c>
      <c r="B3018" s="13" t="s">
        <v>5547</v>
      </c>
      <c r="C3018" s="13" t="str">
        <f t="shared" si="1082"/>
        <v>Inbetriebnahme 2011</v>
      </c>
      <c r="D3018" s="13" t="s">
        <v>565</v>
      </c>
      <c r="E3018" s="13" t="s">
        <v>4811</v>
      </c>
      <c r="F3018" s="373">
        <f t="shared" si="1083"/>
        <v>20.76</v>
      </c>
      <c r="G3018" s="430">
        <v>20.76</v>
      </c>
      <c r="H3018" s="399">
        <f t="shared" si="1084"/>
        <v>16.61</v>
      </c>
      <c r="I3018" s="576"/>
      <c r="J3018" s="549" t="s">
        <v>5804</v>
      </c>
      <c r="K3018" s="11"/>
      <c r="L3018" s="55" t="str">
        <f t="shared" si="1085"/>
        <v/>
      </c>
      <c r="M3018" s="37">
        <f t="shared" si="1086"/>
        <v>20.76</v>
      </c>
      <c r="N3018" s="29">
        <f t="shared" si="1087"/>
        <v>9</v>
      </c>
      <c r="O3018" s="31" t="s">
        <v>1017</v>
      </c>
      <c r="P3018" s="50"/>
      <c r="Q3018" s="50"/>
      <c r="R3018" s="42" t="s">
        <v>1017</v>
      </c>
      <c r="S3018" t="s">
        <v>1017</v>
      </c>
      <c r="T3018" s="50"/>
      <c r="U3018" s="50"/>
      <c r="W3018" s="50"/>
      <c r="Z3018" s="50"/>
      <c r="AA3018" s="38"/>
      <c r="AD3018" s="38" t="s">
        <v>1017</v>
      </c>
    </row>
    <row r="3019" spans="1:30" x14ac:dyDescent="0.35">
      <c r="A3019" s="497" t="str">
        <f t="shared" si="1081"/>
        <v>BiK271t3G---11</v>
      </c>
      <c r="B3019" s="13" t="s">
        <v>5547</v>
      </c>
      <c r="C3019" s="13" t="str">
        <f t="shared" si="1082"/>
        <v>Inbetriebnahme 2011</v>
      </c>
      <c r="D3019" s="13" t="s">
        <v>852</v>
      </c>
      <c r="E3019" s="13" t="s">
        <v>4809</v>
      </c>
      <c r="F3019" s="373">
        <f t="shared" si="1083"/>
        <v>17.82</v>
      </c>
      <c r="G3019" s="430">
        <v>17.82</v>
      </c>
      <c r="H3019" s="399">
        <f t="shared" si="1084"/>
        <v>14.26</v>
      </c>
      <c r="I3019" s="576"/>
      <c r="J3019" s="549" t="s">
        <v>5804</v>
      </c>
      <c r="K3019" s="11"/>
      <c r="L3019" s="55" t="str">
        <f t="shared" si="1085"/>
        <v/>
      </c>
      <c r="M3019" s="37">
        <f t="shared" si="1086"/>
        <v>17.82</v>
      </c>
      <c r="N3019" s="29">
        <f t="shared" si="1087"/>
        <v>9</v>
      </c>
      <c r="O3019" s="31"/>
      <c r="P3019" s="50"/>
      <c r="Q3019" s="50"/>
      <c r="R3019" s="42"/>
      <c r="T3019" s="50"/>
      <c r="U3019" s="50"/>
      <c r="V3019" t="s">
        <v>1017</v>
      </c>
      <c r="W3019" s="50"/>
      <c r="Z3019" s="50"/>
      <c r="AA3019" s="38"/>
      <c r="AD3019" s="38" t="s">
        <v>1017</v>
      </c>
    </row>
    <row r="3020" spans="1:30" x14ac:dyDescent="0.35">
      <c r="A3020" s="497" t="str">
        <f t="shared" si="1081"/>
        <v>BiK271t3GK--11</v>
      </c>
      <c r="B3020" s="13" t="s">
        <v>5547</v>
      </c>
      <c r="C3020" s="13" t="str">
        <f t="shared" si="1082"/>
        <v>Inbetriebnahme 2011</v>
      </c>
      <c r="D3020" s="13" t="s">
        <v>846</v>
      </c>
      <c r="E3020" s="13" t="s">
        <v>4811</v>
      </c>
      <c r="F3020" s="373">
        <f t="shared" si="1083"/>
        <v>20.76</v>
      </c>
      <c r="G3020" s="430">
        <v>20.76</v>
      </c>
      <c r="H3020" s="399">
        <f t="shared" si="1084"/>
        <v>16.61</v>
      </c>
      <c r="I3020" s="576"/>
      <c r="J3020" s="549" t="s">
        <v>5804</v>
      </c>
      <c r="K3020" s="11"/>
      <c r="L3020" s="55" t="str">
        <f t="shared" si="1085"/>
        <v/>
      </c>
      <c r="M3020" s="37">
        <f t="shared" si="1086"/>
        <v>20.76</v>
      </c>
      <c r="N3020" s="29">
        <f t="shared" si="1087"/>
        <v>9</v>
      </c>
      <c r="O3020" s="31" t="s">
        <v>1017</v>
      </c>
      <c r="P3020" s="50"/>
      <c r="Q3020" s="50"/>
      <c r="R3020" s="42"/>
      <c r="T3020" s="50"/>
      <c r="U3020" s="50"/>
      <c r="V3020" t="s">
        <v>1017</v>
      </c>
      <c r="W3020" s="50"/>
      <c r="Z3020" s="50"/>
      <c r="AA3020" s="38"/>
      <c r="AD3020" s="38" t="s">
        <v>1017</v>
      </c>
    </row>
    <row r="3021" spans="1:30" x14ac:dyDescent="0.35">
      <c r="A3021" s="497" t="str">
        <f t="shared" si="1081"/>
        <v>BiK271t3Gi--11</v>
      </c>
      <c r="B3021" s="13" t="s">
        <v>5547</v>
      </c>
      <c r="C3021" s="13" t="str">
        <f t="shared" si="1082"/>
        <v>Inbetriebnahme 2011</v>
      </c>
      <c r="D3021" s="13" t="s">
        <v>2593</v>
      </c>
      <c r="E3021" s="13" t="s">
        <v>4809</v>
      </c>
      <c r="F3021" s="373">
        <f t="shared" si="1083"/>
        <v>18.8</v>
      </c>
      <c r="G3021" s="430">
        <v>18.8</v>
      </c>
      <c r="H3021" s="399">
        <f t="shared" si="1084"/>
        <v>15.04</v>
      </c>
      <c r="I3021" s="576"/>
      <c r="J3021" s="549" t="s">
        <v>5804</v>
      </c>
      <c r="K3021" s="11"/>
      <c r="L3021" s="55" t="str">
        <f t="shared" si="1085"/>
        <v/>
      </c>
      <c r="M3021" s="37">
        <f t="shared" si="1086"/>
        <v>18.8</v>
      </c>
      <c r="N3021" s="29">
        <f t="shared" si="1087"/>
        <v>9</v>
      </c>
      <c r="O3021" s="31"/>
      <c r="P3021" s="50"/>
      <c r="Q3021" s="50"/>
      <c r="R3021" s="42" t="s">
        <v>1017</v>
      </c>
      <c r="T3021" s="50"/>
      <c r="U3021" s="50"/>
      <c r="V3021" t="s">
        <v>1017</v>
      </c>
      <c r="W3021" s="50"/>
      <c r="Z3021" s="50"/>
      <c r="AA3021" s="38"/>
      <c r="AD3021" s="38" t="s">
        <v>1017</v>
      </c>
    </row>
    <row r="3022" spans="1:30" x14ac:dyDescent="0.35">
      <c r="A3022" s="497" t="str">
        <f t="shared" si="1081"/>
        <v>BiK271t3GiK-11</v>
      </c>
      <c r="B3022" s="13" t="s">
        <v>5547</v>
      </c>
      <c r="C3022" s="13" t="str">
        <f t="shared" si="1082"/>
        <v>Inbetriebnahme 2011</v>
      </c>
      <c r="D3022" s="13" t="s">
        <v>2723</v>
      </c>
      <c r="E3022" s="13" t="s">
        <v>4811</v>
      </c>
      <c r="F3022" s="373">
        <f t="shared" si="1083"/>
        <v>21.740000000000002</v>
      </c>
      <c r="G3022" s="430">
        <v>21.740000000000002</v>
      </c>
      <c r="H3022" s="399">
        <f t="shared" si="1084"/>
        <v>17.39</v>
      </c>
      <c r="I3022" s="576"/>
      <c r="J3022" s="549" t="s">
        <v>5804</v>
      </c>
      <c r="K3022" s="11"/>
      <c r="L3022" s="55" t="str">
        <f t="shared" si="1085"/>
        <v/>
      </c>
      <c r="M3022" s="37">
        <f t="shared" si="1086"/>
        <v>21.740000000000002</v>
      </c>
      <c r="N3022" s="29">
        <f t="shared" si="1087"/>
        <v>9</v>
      </c>
      <c r="O3022" s="31" t="s">
        <v>1017</v>
      </c>
      <c r="P3022" s="50"/>
      <c r="Q3022" s="50"/>
      <c r="R3022" s="42" t="s">
        <v>1017</v>
      </c>
      <c r="T3022" s="50"/>
      <c r="U3022" s="50"/>
      <c r="V3022" t="s">
        <v>1017</v>
      </c>
      <c r="W3022" s="50"/>
      <c r="Z3022" s="50"/>
      <c r="AA3022" s="38"/>
      <c r="AD3022" s="38" t="s">
        <v>1017</v>
      </c>
    </row>
    <row r="3023" spans="1:30" x14ac:dyDescent="0.35">
      <c r="A3023" s="497" t="str">
        <f t="shared" si="1081"/>
        <v>BiK271t3L---11</v>
      </c>
      <c r="B3023" s="13" t="s">
        <v>5547</v>
      </c>
      <c r="C3023" s="13" t="str">
        <f t="shared" si="1082"/>
        <v>Inbetriebnahme 2011</v>
      </c>
      <c r="D3023" s="13" t="s">
        <v>789</v>
      </c>
      <c r="E3023" s="13" t="s">
        <v>4809</v>
      </c>
      <c r="F3023" s="373">
        <f t="shared" si="1083"/>
        <v>19.78</v>
      </c>
      <c r="G3023" s="430">
        <v>19.78</v>
      </c>
      <c r="H3023" s="399">
        <f t="shared" si="1084"/>
        <v>15.82</v>
      </c>
      <c r="I3023" s="576"/>
      <c r="J3023" s="549" t="s">
        <v>5804</v>
      </c>
      <c r="K3023" s="11"/>
      <c r="L3023" s="55" t="str">
        <f t="shared" si="1085"/>
        <v/>
      </c>
      <c r="M3023" s="37">
        <f t="shared" si="1086"/>
        <v>19.78</v>
      </c>
      <c r="N3023" s="29">
        <f t="shared" si="1087"/>
        <v>9</v>
      </c>
      <c r="O3023" s="31"/>
      <c r="P3023" s="50"/>
      <c r="Q3023" s="50"/>
      <c r="R3023" s="42"/>
      <c r="T3023" s="50"/>
      <c r="U3023" s="50"/>
      <c r="W3023" s="50"/>
      <c r="Y3023" t="s">
        <v>1017</v>
      </c>
      <c r="Z3023" s="50"/>
      <c r="AA3023" s="38"/>
      <c r="AD3023" s="38" t="s">
        <v>1017</v>
      </c>
    </row>
    <row r="3024" spans="1:30" x14ac:dyDescent="0.35">
      <c r="A3024" s="497" t="str">
        <f t="shared" si="1081"/>
        <v>BiK271t3LK--11</v>
      </c>
      <c r="B3024" s="13" t="s">
        <v>5547</v>
      </c>
      <c r="C3024" s="13" t="str">
        <f t="shared" si="1082"/>
        <v>Inbetriebnahme 2011</v>
      </c>
      <c r="D3024" s="13" t="s">
        <v>847</v>
      </c>
      <c r="E3024" s="13" t="s">
        <v>4811</v>
      </c>
      <c r="F3024" s="373">
        <f t="shared" si="1083"/>
        <v>22.72</v>
      </c>
      <c r="G3024" s="430">
        <v>22.72</v>
      </c>
      <c r="H3024" s="399">
        <f t="shared" si="1084"/>
        <v>18.18</v>
      </c>
      <c r="I3024" s="576"/>
      <c r="J3024" s="549" t="s">
        <v>5804</v>
      </c>
      <c r="K3024" s="11"/>
      <c r="L3024" s="55" t="str">
        <f t="shared" si="1085"/>
        <v/>
      </c>
      <c r="M3024" s="37">
        <f t="shared" si="1086"/>
        <v>22.72</v>
      </c>
      <c r="N3024" s="29">
        <f t="shared" si="1087"/>
        <v>9</v>
      </c>
      <c r="O3024" s="31" t="s">
        <v>1017</v>
      </c>
      <c r="P3024" s="50"/>
      <c r="Q3024" s="50"/>
      <c r="R3024" s="42"/>
      <c r="T3024" s="50"/>
      <c r="U3024" s="50"/>
      <c r="W3024" s="50"/>
      <c r="Y3024" t="s">
        <v>1017</v>
      </c>
      <c r="Z3024" s="50"/>
      <c r="AA3024" s="38"/>
      <c r="AD3024" s="38" t="s">
        <v>1017</v>
      </c>
    </row>
    <row r="3025" spans="1:30" x14ac:dyDescent="0.35">
      <c r="A3025" s="497" t="str">
        <f t="shared" si="1081"/>
        <v>BiK271t3Li--11</v>
      </c>
      <c r="B3025" s="13" t="s">
        <v>5547</v>
      </c>
      <c r="C3025" s="13" t="str">
        <f t="shared" si="1082"/>
        <v>Inbetriebnahme 2011</v>
      </c>
      <c r="D3025" s="13" t="s">
        <v>790</v>
      </c>
      <c r="E3025" s="13" t="s">
        <v>4809</v>
      </c>
      <c r="F3025" s="373">
        <f t="shared" si="1083"/>
        <v>20.76</v>
      </c>
      <c r="G3025" s="430">
        <v>20.76</v>
      </c>
      <c r="H3025" s="399">
        <f t="shared" si="1084"/>
        <v>16.61</v>
      </c>
      <c r="I3025" s="576"/>
      <c r="J3025" s="549" t="s">
        <v>5804</v>
      </c>
      <c r="K3025" s="11"/>
      <c r="L3025" s="55" t="str">
        <f t="shared" si="1085"/>
        <v/>
      </c>
      <c r="M3025" s="37">
        <f t="shared" si="1086"/>
        <v>20.76</v>
      </c>
      <c r="N3025" s="29">
        <f t="shared" si="1087"/>
        <v>9</v>
      </c>
      <c r="O3025" s="31"/>
      <c r="P3025" s="50"/>
      <c r="Q3025" s="50"/>
      <c r="R3025" s="42" t="s">
        <v>1017</v>
      </c>
      <c r="T3025" s="50"/>
      <c r="U3025" s="50"/>
      <c r="W3025" s="50"/>
      <c r="Y3025" t="s">
        <v>1017</v>
      </c>
      <c r="Z3025" s="50"/>
      <c r="AA3025" s="38"/>
      <c r="AD3025" s="38" t="s">
        <v>1017</v>
      </c>
    </row>
    <row r="3026" spans="1:30" x14ac:dyDescent="0.35">
      <c r="A3026" s="497" t="str">
        <f t="shared" si="1081"/>
        <v>BiK271t3LiK-11</v>
      </c>
      <c r="B3026" s="13" t="s">
        <v>5547</v>
      </c>
      <c r="C3026" s="13" t="str">
        <f t="shared" si="1082"/>
        <v>Inbetriebnahme 2011</v>
      </c>
      <c r="D3026" s="13" t="s">
        <v>4382</v>
      </c>
      <c r="E3026" s="13" t="s">
        <v>4811</v>
      </c>
      <c r="F3026" s="373">
        <f t="shared" si="1083"/>
        <v>23.7</v>
      </c>
      <c r="G3026" s="430">
        <v>23.7</v>
      </c>
      <c r="H3026" s="399">
        <f t="shared" si="1084"/>
        <v>18.96</v>
      </c>
      <c r="I3026" s="576"/>
      <c r="J3026" s="549" t="s">
        <v>5804</v>
      </c>
      <c r="K3026" s="11"/>
      <c r="L3026" s="55" t="str">
        <f t="shared" si="1085"/>
        <v/>
      </c>
      <c r="M3026" s="37">
        <f t="shared" si="1086"/>
        <v>23.7</v>
      </c>
      <c r="N3026" s="29">
        <f t="shared" si="1087"/>
        <v>9</v>
      </c>
      <c r="O3026" s="31" t="s">
        <v>1017</v>
      </c>
      <c r="P3026" s="50"/>
      <c r="Q3026" s="50"/>
      <c r="R3026" s="42" t="s">
        <v>1017</v>
      </c>
      <c r="T3026" s="50"/>
      <c r="U3026" s="50"/>
      <c r="W3026" s="50"/>
      <c r="Y3026" t="s">
        <v>1017</v>
      </c>
      <c r="Z3026" s="50"/>
      <c r="AA3026" s="38"/>
      <c r="AD3026" s="38" t="s">
        <v>1017</v>
      </c>
    </row>
    <row r="3027" spans="1:30" x14ac:dyDescent="0.35">
      <c r="A3027" s="497" t="str">
        <f t="shared" si="1081"/>
        <v>BiK271t3M2--11</v>
      </c>
      <c r="B3027" s="13" t="s">
        <v>5547</v>
      </c>
      <c r="C3027" s="13" t="str">
        <f t="shared" si="1082"/>
        <v>Inbetriebnahme 2011</v>
      </c>
      <c r="D3027" s="13" t="s">
        <v>4393</v>
      </c>
      <c r="E3027" s="13" t="s">
        <v>4809</v>
      </c>
      <c r="F3027" s="373">
        <f t="shared" si="1083"/>
        <v>18.8</v>
      </c>
      <c r="G3027" s="430">
        <v>18.8</v>
      </c>
      <c r="H3027" s="399">
        <f t="shared" si="1084"/>
        <v>15.04</v>
      </c>
      <c r="I3027" s="576"/>
      <c r="J3027" s="549" t="s">
        <v>5804</v>
      </c>
      <c r="K3027" s="11"/>
      <c r="L3027" s="55" t="str">
        <f t="shared" si="1085"/>
        <v/>
      </c>
      <c r="M3027" s="37">
        <f t="shared" si="1086"/>
        <v>18.8</v>
      </c>
      <c r="N3027" s="29">
        <f t="shared" si="1087"/>
        <v>9</v>
      </c>
      <c r="O3027" s="31"/>
      <c r="P3027" s="50"/>
      <c r="Q3027" s="50"/>
      <c r="R3027" s="42"/>
      <c r="T3027" s="50"/>
      <c r="U3027" s="50"/>
      <c r="W3027" s="50"/>
      <c r="X3027" t="s">
        <v>1017</v>
      </c>
      <c r="Z3027" s="50"/>
      <c r="AA3027" s="38"/>
      <c r="AD3027" s="38" t="s">
        <v>1017</v>
      </c>
    </row>
    <row r="3028" spans="1:30" x14ac:dyDescent="0.35">
      <c r="A3028" s="497" t="str">
        <f t="shared" si="1081"/>
        <v>BiK271t3M2K-11</v>
      </c>
      <c r="B3028" s="13" t="s">
        <v>5547</v>
      </c>
      <c r="C3028" s="13" t="str">
        <f t="shared" si="1082"/>
        <v>Inbetriebnahme 2011</v>
      </c>
      <c r="D3028" s="13" t="s">
        <v>5571</v>
      </c>
      <c r="E3028" s="13" t="s">
        <v>4811</v>
      </c>
      <c r="F3028" s="373">
        <f t="shared" si="1083"/>
        <v>21.74</v>
      </c>
      <c r="G3028" s="430">
        <v>21.74</v>
      </c>
      <c r="H3028" s="399">
        <f t="shared" si="1084"/>
        <v>17.39</v>
      </c>
      <c r="I3028" s="576"/>
      <c r="J3028" s="549" t="s">
        <v>5804</v>
      </c>
      <c r="K3028" s="11"/>
      <c r="L3028" s="55" t="str">
        <f t="shared" si="1085"/>
        <v/>
      </c>
      <c r="M3028" s="37">
        <f t="shared" si="1086"/>
        <v>21.74</v>
      </c>
      <c r="N3028" s="29">
        <f t="shared" si="1087"/>
        <v>9</v>
      </c>
      <c r="O3028" s="31" t="s">
        <v>1017</v>
      </c>
      <c r="P3028" s="50"/>
      <c r="Q3028" s="50"/>
      <c r="R3028" s="42"/>
      <c r="T3028" s="50"/>
      <c r="U3028" s="50"/>
      <c r="W3028" s="50"/>
      <c r="X3028" t="s">
        <v>1017</v>
      </c>
      <c r="Z3028" s="50"/>
      <c r="AA3028" s="38"/>
      <c r="AD3028" s="38" t="s">
        <v>1017</v>
      </c>
    </row>
    <row r="3029" spans="1:30" x14ac:dyDescent="0.35">
      <c r="A3029" s="497" t="str">
        <f t="shared" si="1081"/>
        <v>BiK271t3M2i-11</v>
      </c>
      <c r="B3029" s="13" t="s">
        <v>5547</v>
      </c>
      <c r="C3029" s="13" t="str">
        <f t="shared" si="1082"/>
        <v>Inbetriebnahme 2011</v>
      </c>
      <c r="D3029" s="13" t="s">
        <v>4781</v>
      </c>
      <c r="E3029" s="13" t="s">
        <v>4809</v>
      </c>
      <c r="F3029" s="373">
        <f t="shared" si="1083"/>
        <v>19.78</v>
      </c>
      <c r="G3029" s="430">
        <v>19.78</v>
      </c>
      <c r="H3029" s="399">
        <f t="shared" si="1084"/>
        <v>15.82</v>
      </c>
      <c r="I3029" s="576"/>
      <c r="J3029" s="549" t="s">
        <v>5804</v>
      </c>
      <c r="K3029" s="11"/>
      <c r="L3029" s="55" t="str">
        <f t="shared" si="1085"/>
        <v/>
      </c>
      <c r="M3029" s="37">
        <f t="shared" si="1086"/>
        <v>19.78</v>
      </c>
      <c r="N3029" s="29">
        <f t="shared" si="1087"/>
        <v>9</v>
      </c>
      <c r="O3029" s="31"/>
      <c r="P3029" s="50"/>
      <c r="Q3029" s="50"/>
      <c r="R3029" s="42" t="s">
        <v>1017</v>
      </c>
      <c r="T3029" s="50"/>
      <c r="U3029" s="50"/>
      <c r="W3029" s="50"/>
      <c r="X3029" t="s">
        <v>1017</v>
      </c>
      <c r="Z3029" s="50"/>
      <c r="AA3029" s="38"/>
      <c r="AD3029" s="38" t="s">
        <v>1017</v>
      </c>
    </row>
    <row r="3030" spans="1:30" x14ac:dyDescent="0.35">
      <c r="A3030" s="497" t="str">
        <f t="shared" si="1081"/>
        <v>BiK271t3M2iK11</v>
      </c>
      <c r="B3030" s="13" t="s">
        <v>5547</v>
      </c>
      <c r="C3030" s="13" t="str">
        <f t="shared" si="1082"/>
        <v>Inbetriebnahme 2011</v>
      </c>
      <c r="D3030" s="13" t="s">
        <v>5572</v>
      </c>
      <c r="E3030" s="13" t="s">
        <v>4811</v>
      </c>
      <c r="F3030" s="373">
        <f t="shared" si="1083"/>
        <v>22.72</v>
      </c>
      <c r="G3030" s="430">
        <v>22.72</v>
      </c>
      <c r="H3030" s="399">
        <f t="shared" si="1084"/>
        <v>18.18</v>
      </c>
      <c r="I3030" s="576"/>
      <c r="J3030" s="549" t="s">
        <v>5804</v>
      </c>
      <c r="K3030" s="11"/>
      <c r="L3030" s="55" t="str">
        <f t="shared" si="1085"/>
        <v/>
      </c>
      <c r="M3030" s="37">
        <f t="shared" si="1086"/>
        <v>22.72</v>
      </c>
      <c r="N3030" s="29">
        <f t="shared" si="1087"/>
        <v>9</v>
      </c>
      <c r="O3030" s="31" t="s">
        <v>1017</v>
      </c>
      <c r="P3030" s="50"/>
      <c r="Q3030" s="50"/>
      <c r="R3030" s="42" t="s">
        <v>1017</v>
      </c>
      <c r="T3030" s="50"/>
      <c r="U3030" s="50"/>
      <c r="W3030" s="50"/>
      <c r="X3030" t="s">
        <v>1017</v>
      </c>
      <c r="Z3030" s="50"/>
      <c r="AA3030" s="38"/>
      <c r="AD3030" s="38" t="s">
        <v>1017</v>
      </c>
    </row>
    <row r="3031" spans="1:30" x14ac:dyDescent="0.35">
      <c r="A3031" s="497" t="str">
        <f t="shared" si="1081"/>
        <v>BiK271t3X2--11</v>
      </c>
      <c r="B3031" s="13" t="s">
        <v>5547</v>
      </c>
      <c r="C3031" s="13" t="str">
        <f t="shared" si="1082"/>
        <v>Inbetriebnahme 2011</v>
      </c>
      <c r="D3031" s="13" t="s">
        <v>2124</v>
      </c>
      <c r="E3031" s="13" t="s">
        <v>4809</v>
      </c>
      <c r="F3031" s="373">
        <f t="shared" si="1083"/>
        <v>20.76</v>
      </c>
      <c r="G3031" s="430">
        <v>20.76</v>
      </c>
      <c r="H3031" s="399">
        <f t="shared" si="1084"/>
        <v>16.61</v>
      </c>
      <c r="I3031" s="576"/>
      <c r="J3031" s="549" t="s">
        <v>5804</v>
      </c>
      <c r="K3031" s="11"/>
      <c r="L3031" s="55" t="str">
        <f t="shared" si="1085"/>
        <v/>
      </c>
      <c r="M3031" s="37">
        <f t="shared" si="1086"/>
        <v>20.76</v>
      </c>
      <c r="N3031" s="29">
        <f t="shared" si="1087"/>
        <v>9</v>
      </c>
      <c r="O3031" s="31"/>
      <c r="P3031" s="50"/>
      <c r="Q3031" s="50"/>
      <c r="R3031" s="42"/>
      <c r="T3031" s="50"/>
      <c r="U3031" s="50"/>
      <c r="W3031" s="50"/>
      <c r="Z3031" s="50"/>
      <c r="AA3031" s="38" t="s">
        <v>1017</v>
      </c>
      <c r="AD3031" s="38" t="s">
        <v>1017</v>
      </c>
    </row>
    <row r="3032" spans="1:30" x14ac:dyDescent="0.35">
      <c r="A3032" s="497" t="str">
        <f t="shared" si="1081"/>
        <v>BiK271t3X2K-11</v>
      </c>
      <c r="B3032" s="13" t="s">
        <v>5547</v>
      </c>
      <c r="C3032" s="13" t="str">
        <f t="shared" si="1082"/>
        <v>Inbetriebnahme 2011</v>
      </c>
      <c r="D3032" s="13" t="s">
        <v>2722</v>
      </c>
      <c r="E3032" s="13" t="s">
        <v>4811</v>
      </c>
      <c r="F3032" s="373">
        <f t="shared" si="1083"/>
        <v>23.7</v>
      </c>
      <c r="G3032" s="430">
        <v>23.7</v>
      </c>
      <c r="H3032" s="399">
        <f t="shared" si="1084"/>
        <v>18.96</v>
      </c>
      <c r="I3032" s="576"/>
      <c r="J3032" s="549" t="s">
        <v>5804</v>
      </c>
      <c r="K3032" s="11"/>
      <c r="L3032" s="55" t="str">
        <f t="shared" si="1085"/>
        <v/>
      </c>
      <c r="M3032" s="37">
        <f t="shared" si="1086"/>
        <v>23.7</v>
      </c>
      <c r="N3032" s="29">
        <f t="shared" si="1087"/>
        <v>9</v>
      </c>
      <c r="O3032" s="31" t="s">
        <v>1017</v>
      </c>
      <c r="P3032" s="50"/>
      <c r="Q3032" s="50"/>
      <c r="R3032" s="42"/>
      <c r="T3032" s="50"/>
      <c r="U3032" s="50"/>
      <c r="W3032" s="50"/>
      <c r="Z3032" s="50"/>
      <c r="AA3032" s="38" t="s">
        <v>1017</v>
      </c>
      <c r="AD3032" s="38" t="s">
        <v>1017</v>
      </c>
    </row>
    <row r="3033" spans="1:30" x14ac:dyDescent="0.35">
      <c r="A3033" s="497" t="str">
        <f t="shared" si="1081"/>
        <v>BiK271t3X2i-11</v>
      </c>
      <c r="B3033" s="13" t="s">
        <v>5547</v>
      </c>
      <c r="C3033" s="13" t="str">
        <f t="shared" si="1082"/>
        <v>Inbetriebnahme 2011</v>
      </c>
      <c r="D3033" s="13" t="s">
        <v>3192</v>
      </c>
      <c r="E3033" s="13" t="s">
        <v>4809</v>
      </c>
      <c r="F3033" s="373">
        <f t="shared" si="1083"/>
        <v>21.740000000000002</v>
      </c>
      <c r="G3033" s="430">
        <v>21.740000000000002</v>
      </c>
      <c r="H3033" s="399">
        <f t="shared" si="1084"/>
        <v>17.39</v>
      </c>
      <c r="I3033" s="576"/>
      <c r="J3033" s="549" t="s">
        <v>5804</v>
      </c>
      <c r="K3033" s="11"/>
      <c r="L3033" s="55" t="str">
        <f t="shared" si="1085"/>
        <v/>
      </c>
      <c r="M3033" s="37">
        <f t="shared" si="1086"/>
        <v>21.740000000000002</v>
      </c>
      <c r="N3033" s="29">
        <f t="shared" si="1087"/>
        <v>9</v>
      </c>
      <c r="O3033" s="31"/>
      <c r="P3033" s="50"/>
      <c r="Q3033" s="50"/>
      <c r="R3033" s="42" t="s">
        <v>1017</v>
      </c>
      <c r="T3033" s="50"/>
      <c r="U3033" s="50"/>
      <c r="W3033" s="50"/>
      <c r="Z3033" s="50"/>
      <c r="AA3033" s="38" t="s">
        <v>1017</v>
      </c>
      <c r="AD3033" s="38" t="s">
        <v>1017</v>
      </c>
    </row>
    <row r="3034" spans="1:30" x14ac:dyDescent="0.35">
      <c r="A3034" s="497" t="str">
        <f t="shared" si="1081"/>
        <v>BiK271t3X2iK11</v>
      </c>
      <c r="B3034" s="13" t="s">
        <v>5547</v>
      </c>
      <c r="C3034" s="13" t="str">
        <f t="shared" si="1082"/>
        <v>Inbetriebnahme 2011</v>
      </c>
      <c r="D3034" s="13" t="s">
        <v>4383</v>
      </c>
      <c r="E3034" s="13" t="s">
        <v>4811</v>
      </c>
      <c r="F3034" s="373">
        <f t="shared" si="1083"/>
        <v>24.68</v>
      </c>
      <c r="G3034" s="430">
        <v>24.68</v>
      </c>
      <c r="H3034" s="399">
        <f t="shared" si="1084"/>
        <v>19.739999999999998</v>
      </c>
      <c r="I3034" s="576"/>
      <c r="J3034" s="549" t="s">
        <v>5804</v>
      </c>
      <c r="K3034" s="11"/>
      <c r="L3034" s="55" t="str">
        <f t="shared" si="1085"/>
        <v/>
      </c>
      <c r="M3034" s="37">
        <f t="shared" si="1086"/>
        <v>24.68</v>
      </c>
      <c r="N3034" s="29">
        <f t="shared" si="1087"/>
        <v>9</v>
      </c>
      <c r="O3034" s="31" t="s">
        <v>1017</v>
      </c>
      <c r="P3034" s="50"/>
      <c r="Q3034" s="50"/>
      <c r="R3034" s="42" t="s">
        <v>1017</v>
      </c>
      <c r="T3034" s="50"/>
      <c r="U3034" s="50"/>
      <c r="W3034" s="50"/>
      <c r="Z3034" s="50"/>
      <c r="AA3034" s="38" t="s">
        <v>1017</v>
      </c>
      <c r="AD3034" s="38" t="s">
        <v>1017</v>
      </c>
    </row>
    <row r="3035" spans="1:30" x14ac:dyDescent="0.35">
      <c r="A3035" s="497" t="str">
        <f t="shared" ref="A3035:A3059" si="1088">LEFT(A2812,12)&amp;($M$2839-2000)</f>
        <v>BiK272------11</v>
      </c>
      <c r="B3035" s="13" t="s">
        <v>5547</v>
      </c>
      <c r="C3035" s="13" t="str">
        <f t="shared" ref="C3035:C3059" si="1089">"Inbetriebnahme "&amp;$M$2839</f>
        <v>Inbetriebnahme 2011</v>
      </c>
      <c r="D3035" s="13" t="s">
        <v>5407</v>
      </c>
      <c r="E3035" s="13" t="s">
        <v>4809</v>
      </c>
      <c r="F3035" s="373">
        <f t="shared" ref="F3035:F3059" si="1090">M3035</f>
        <v>8.09</v>
      </c>
      <c r="G3035" s="430">
        <v>8.09</v>
      </c>
      <c r="H3035" s="399">
        <f t="shared" ref="H3035:H3059" si="1091">IF(ISNUMBER(G3035),ROUND(0.8*G3035,2),"")</f>
        <v>6.47</v>
      </c>
      <c r="I3035" s="576"/>
      <c r="J3035" s="549" t="s">
        <v>5804</v>
      </c>
      <c r="K3035" s="11"/>
      <c r="L3035" s="55" t="str">
        <f t="shared" ref="L3035:L3059" si="1092">IF(F3035=M3035,"",FALSE)</f>
        <v/>
      </c>
      <c r="M3035" s="37">
        <f t="shared" ref="M3035:M3059" si="1093">N3035+SUMIF(O3035:AD3035,"x",$O$2842:$AD$2842)</f>
        <v>8.09</v>
      </c>
      <c r="N3035" s="29">
        <f t="shared" ref="N3035:N3059" si="1094">ROUND(N2589*(1-$AE$2841)^($M$2839-2009),2)</f>
        <v>8.09</v>
      </c>
      <c r="O3035" s="31"/>
      <c r="P3035" s="50"/>
      <c r="Q3035" s="50"/>
      <c r="R3035" s="60"/>
      <c r="S3035" s="50"/>
      <c r="V3035" s="50"/>
      <c r="W3035" s="50"/>
      <c r="X3035" s="50"/>
      <c r="Y3035" s="50"/>
      <c r="Z3035" s="50"/>
      <c r="AA3035" s="52"/>
      <c r="AD3035" s="38"/>
    </row>
    <row r="3036" spans="1:30" x14ac:dyDescent="0.35">
      <c r="A3036" s="497" t="str">
        <f t="shared" si="1088"/>
        <v>BiK272K-----11</v>
      </c>
      <c r="B3036" s="13" t="s">
        <v>5547</v>
      </c>
      <c r="C3036" s="13" t="str">
        <f t="shared" si="1089"/>
        <v>Inbetriebnahme 2011</v>
      </c>
      <c r="D3036" s="13" t="s">
        <v>2903</v>
      </c>
      <c r="E3036" s="13" t="s">
        <v>4811</v>
      </c>
      <c r="F3036" s="373">
        <f t="shared" si="1090"/>
        <v>11.03</v>
      </c>
      <c r="G3036" s="430">
        <v>11.03</v>
      </c>
      <c r="H3036" s="399">
        <f t="shared" si="1091"/>
        <v>8.82</v>
      </c>
      <c r="I3036" s="576"/>
      <c r="J3036" s="549" t="s">
        <v>5804</v>
      </c>
      <c r="K3036" s="11"/>
      <c r="L3036" s="55" t="str">
        <f t="shared" si="1092"/>
        <v/>
      </c>
      <c r="M3036" s="37">
        <f t="shared" si="1093"/>
        <v>11.03</v>
      </c>
      <c r="N3036" s="29">
        <f t="shared" si="1094"/>
        <v>8.09</v>
      </c>
      <c r="O3036" s="31" t="s">
        <v>1017</v>
      </c>
      <c r="P3036" s="50"/>
      <c r="Q3036" s="50"/>
      <c r="R3036" s="60"/>
      <c r="S3036" s="50"/>
      <c r="V3036" s="50"/>
      <c r="W3036" s="50"/>
      <c r="X3036" s="50"/>
      <c r="Y3036" s="50"/>
      <c r="Z3036" s="50"/>
      <c r="AA3036" s="52"/>
      <c r="AD3036" s="38"/>
    </row>
    <row r="3037" spans="1:30" x14ac:dyDescent="0.35">
      <c r="A3037" s="497" t="str">
        <f t="shared" si="1088"/>
        <v>BiK272a2----11</v>
      </c>
      <c r="B3037" s="13" t="s">
        <v>5547</v>
      </c>
      <c r="C3037" s="13" t="str">
        <f t="shared" si="1089"/>
        <v>Inbetriebnahme 2011</v>
      </c>
      <c r="D3037" s="13" t="s">
        <v>598</v>
      </c>
      <c r="E3037" s="13" t="s">
        <v>4809</v>
      </c>
      <c r="F3037" s="373">
        <f t="shared" si="1090"/>
        <v>12.01</v>
      </c>
      <c r="G3037" s="430">
        <v>12.01</v>
      </c>
      <c r="H3037" s="399">
        <f t="shared" si="1091"/>
        <v>9.61</v>
      </c>
      <c r="I3037" s="576"/>
      <c r="J3037" s="549" t="s">
        <v>5804</v>
      </c>
      <c r="K3037" s="11"/>
      <c r="L3037" s="55" t="str">
        <f t="shared" si="1092"/>
        <v/>
      </c>
      <c r="M3037" s="37">
        <f t="shared" si="1093"/>
        <v>12.01</v>
      </c>
      <c r="N3037" s="29">
        <f t="shared" si="1094"/>
        <v>8.09</v>
      </c>
      <c r="O3037" s="31"/>
      <c r="P3037" s="50"/>
      <c r="Q3037" s="50"/>
      <c r="R3037" s="60"/>
      <c r="S3037" s="50"/>
      <c r="T3037" t="s">
        <v>1017</v>
      </c>
      <c r="V3037" s="50"/>
      <c r="W3037" s="50"/>
      <c r="X3037" s="50"/>
      <c r="Y3037" s="50"/>
      <c r="Z3037" s="50"/>
      <c r="AA3037" s="52"/>
      <c r="AD3037" s="38"/>
    </row>
    <row r="3038" spans="1:30" x14ac:dyDescent="0.35">
      <c r="A3038" s="497" t="str">
        <f t="shared" si="1088"/>
        <v>BiK272a2K---11</v>
      </c>
      <c r="B3038" s="13" t="s">
        <v>5547</v>
      </c>
      <c r="C3038" s="13" t="str">
        <f t="shared" si="1089"/>
        <v>Inbetriebnahme 2011</v>
      </c>
      <c r="D3038" s="13" t="s">
        <v>3201</v>
      </c>
      <c r="E3038" s="13" t="s">
        <v>4811</v>
      </c>
      <c r="F3038" s="373">
        <f t="shared" si="1090"/>
        <v>14.95</v>
      </c>
      <c r="G3038" s="430">
        <v>14.95</v>
      </c>
      <c r="H3038" s="399">
        <f t="shared" si="1091"/>
        <v>11.96</v>
      </c>
      <c r="I3038" s="576"/>
      <c r="J3038" s="549" t="s">
        <v>5804</v>
      </c>
      <c r="K3038" s="11"/>
      <c r="L3038" s="55" t="str">
        <f t="shared" si="1092"/>
        <v/>
      </c>
      <c r="M3038" s="37">
        <f t="shared" si="1093"/>
        <v>14.95</v>
      </c>
      <c r="N3038" s="29">
        <f t="shared" si="1094"/>
        <v>8.09</v>
      </c>
      <c r="O3038" s="31" t="s">
        <v>1017</v>
      </c>
      <c r="P3038" s="50"/>
      <c r="Q3038" s="50"/>
      <c r="R3038" s="60"/>
      <c r="S3038" s="50"/>
      <c r="T3038" t="s">
        <v>1017</v>
      </c>
      <c r="V3038" s="50"/>
      <c r="W3038" s="50"/>
      <c r="X3038" s="50"/>
      <c r="Y3038" s="50"/>
      <c r="Z3038" s="50"/>
      <c r="AA3038" s="52"/>
      <c r="AD3038" s="38"/>
    </row>
    <row r="3039" spans="1:30" x14ac:dyDescent="0.35">
      <c r="A3039" s="497" t="str">
        <f t="shared" si="1088"/>
        <v>BiK272ah----11</v>
      </c>
      <c r="B3039" s="13" t="s">
        <v>5547</v>
      </c>
      <c r="C3039" s="13" t="str">
        <f t="shared" si="1089"/>
        <v>Inbetriebnahme 2011</v>
      </c>
      <c r="D3039" s="13" t="s">
        <v>599</v>
      </c>
      <c r="E3039" s="13" t="s">
        <v>4809</v>
      </c>
      <c r="F3039" s="373">
        <f t="shared" si="1090"/>
        <v>10.54</v>
      </c>
      <c r="G3039" s="430">
        <v>10.54</v>
      </c>
      <c r="H3039" s="399">
        <f t="shared" si="1091"/>
        <v>8.43</v>
      </c>
      <c r="I3039" s="576"/>
      <c r="J3039" s="549" t="s">
        <v>5804</v>
      </c>
      <c r="K3039" s="11"/>
      <c r="L3039" s="55" t="str">
        <f t="shared" si="1092"/>
        <v/>
      </c>
      <c r="M3039" s="37">
        <f t="shared" si="1093"/>
        <v>10.54</v>
      </c>
      <c r="N3039" s="29">
        <f t="shared" si="1094"/>
        <v>8.09</v>
      </c>
      <c r="O3039" s="31"/>
      <c r="P3039" s="50"/>
      <c r="Q3039" s="50"/>
      <c r="R3039" s="60"/>
      <c r="S3039" s="50"/>
      <c r="U3039" t="s">
        <v>1017</v>
      </c>
      <c r="V3039" s="50"/>
      <c r="W3039" s="50"/>
      <c r="X3039" s="50"/>
      <c r="Y3039" s="50"/>
      <c r="Z3039" s="50"/>
      <c r="AA3039" s="52"/>
      <c r="AD3039" s="38"/>
    </row>
    <row r="3040" spans="1:30" x14ac:dyDescent="0.35">
      <c r="A3040" s="497" t="str">
        <f t="shared" si="1088"/>
        <v>BiK272ahK---11</v>
      </c>
      <c r="B3040" s="13" t="s">
        <v>5547</v>
      </c>
      <c r="C3040" s="13" t="str">
        <f t="shared" si="1089"/>
        <v>Inbetriebnahme 2011</v>
      </c>
      <c r="D3040" s="13" t="s">
        <v>3202</v>
      </c>
      <c r="E3040" s="13" t="s">
        <v>4811</v>
      </c>
      <c r="F3040" s="373">
        <f t="shared" si="1090"/>
        <v>13.48</v>
      </c>
      <c r="G3040" s="430">
        <v>13.48</v>
      </c>
      <c r="H3040" s="399">
        <f t="shared" si="1091"/>
        <v>10.78</v>
      </c>
      <c r="I3040" s="576"/>
      <c r="J3040" s="549" t="s">
        <v>5804</v>
      </c>
      <c r="K3040" s="11"/>
      <c r="L3040" s="55" t="str">
        <f t="shared" si="1092"/>
        <v/>
      </c>
      <c r="M3040" s="37">
        <f t="shared" si="1093"/>
        <v>13.48</v>
      </c>
      <c r="N3040" s="29">
        <f t="shared" si="1094"/>
        <v>8.09</v>
      </c>
      <c r="O3040" s="31" t="s">
        <v>1017</v>
      </c>
      <c r="P3040" s="50"/>
      <c r="Q3040" s="50"/>
      <c r="R3040" s="60"/>
      <c r="S3040" s="50"/>
      <c r="U3040" t="s">
        <v>1017</v>
      </c>
      <c r="V3040" s="50"/>
      <c r="W3040" s="50"/>
      <c r="X3040" s="50"/>
      <c r="Y3040" s="50"/>
      <c r="Z3040" s="50"/>
      <c r="AA3040" s="52"/>
      <c r="AD3040" s="38"/>
    </row>
    <row r="3041" spans="1:30" x14ac:dyDescent="0.35">
      <c r="A3041" s="497" t="str">
        <f t="shared" si="1088"/>
        <v>BiK272t1----11</v>
      </c>
      <c r="B3041" s="13" t="s">
        <v>5547</v>
      </c>
      <c r="C3041" s="13" t="str">
        <f t="shared" si="1089"/>
        <v>Inbetriebnahme 2011</v>
      </c>
      <c r="D3041" s="13" t="s">
        <v>2906</v>
      </c>
      <c r="E3041" s="13" t="s">
        <v>4809</v>
      </c>
      <c r="F3041" s="373">
        <f t="shared" si="1090"/>
        <v>10.050000000000001</v>
      </c>
      <c r="G3041" s="430">
        <v>10.050000000000001</v>
      </c>
      <c r="H3041" s="399">
        <f t="shared" si="1091"/>
        <v>8.0399999999999991</v>
      </c>
      <c r="I3041" s="576"/>
      <c r="J3041" s="549" t="s">
        <v>5804</v>
      </c>
      <c r="K3041" s="11"/>
      <c r="L3041" s="55" t="str">
        <f t="shared" si="1092"/>
        <v/>
      </c>
      <c r="M3041" s="37">
        <f t="shared" si="1093"/>
        <v>10.050000000000001</v>
      </c>
      <c r="N3041" s="29">
        <f t="shared" si="1094"/>
        <v>8.09</v>
      </c>
      <c r="O3041" s="31"/>
      <c r="P3041" s="50"/>
      <c r="Q3041" s="50"/>
      <c r="R3041" s="60"/>
      <c r="S3041" s="50"/>
      <c r="V3041" s="50"/>
      <c r="W3041" s="50"/>
      <c r="X3041" s="50"/>
      <c r="Y3041" s="50"/>
      <c r="Z3041" s="50"/>
      <c r="AA3041" s="52"/>
      <c r="AB3041" t="s">
        <v>1017</v>
      </c>
      <c r="AD3041" s="38"/>
    </row>
    <row r="3042" spans="1:30" x14ac:dyDescent="0.35">
      <c r="A3042" s="497" t="str">
        <f t="shared" si="1088"/>
        <v>BiK272t1K---11</v>
      </c>
      <c r="B3042" s="13" t="s">
        <v>5547</v>
      </c>
      <c r="C3042" s="13" t="str">
        <f t="shared" si="1089"/>
        <v>Inbetriebnahme 2011</v>
      </c>
      <c r="D3042" s="13" t="s">
        <v>3195</v>
      </c>
      <c r="E3042" s="13" t="s">
        <v>4811</v>
      </c>
      <c r="F3042" s="373">
        <f t="shared" si="1090"/>
        <v>12.99</v>
      </c>
      <c r="G3042" s="430">
        <v>12.99</v>
      </c>
      <c r="H3042" s="399">
        <f t="shared" si="1091"/>
        <v>10.39</v>
      </c>
      <c r="I3042" s="576"/>
      <c r="J3042" s="549" t="s">
        <v>5804</v>
      </c>
      <c r="K3042" s="11"/>
      <c r="L3042" s="55" t="str">
        <f t="shared" si="1092"/>
        <v/>
      </c>
      <c r="M3042" s="37">
        <f t="shared" si="1093"/>
        <v>12.99</v>
      </c>
      <c r="N3042" s="29">
        <f t="shared" si="1094"/>
        <v>8.09</v>
      </c>
      <c r="O3042" s="31" t="s">
        <v>1017</v>
      </c>
      <c r="P3042" s="50"/>
      <c r="Q3042" s="50"/>
      <c r="R3042" s="60"/>
      <c r="S3042" s="50"/>
      <c r="V3042" s="50"/>
      <c r="W3042" s="50"/>
      <c r="X3042" s="50"/>
      <c r="Y3042" s="50"/>
      <c r="Z3042" s="50"/>
      <c r="AA3042" s="52"/>
      <c r="AB3042" t="s">
        <v>1017</v>
      </c>
      <c r="AD3042" s="38"/>
    </row>
    <row r="3043" spans="1:30" x14ac:dyDescent="0.35">
      <c r="A3043" s="497" t="str">
        <f t="shared" si="1088"/>
        <v>BiK272t1a2--11</v>
      </c>
      <c r="B3043" s="13" t="s">
        <v>5547</v>
      </c>
      <c r="C3043" s="13" t="str">
        <f t="shared" si="1089"/>
        <v>Inbetriebnahme 2011</v>
      </c>
      <c r="D3043" s="13" t="s">
        <v>3289</v>
      </c>
      <c r="E3043" s="13" t="s">
        <v>4809</v>
      </c>
      <c r="F3043" s="373">
        <f t="shared" si="1090"/>
        <v>13.969999999999999</v>
      </c>
      <c r="G3043" s="430">
        <v>13.969999999999999</v>
      </c>
      <c r="H3043" s="399">
        <f t="shared" si="1091"/>
        <v>11.18</v>
      </c>
      <c r="I3043" s="576"/>
      <c r="J3043" s="549" t="s">
        <v>5804</v>
      </c>
      <c r="K3043" s="11"/>
      <c r="L3043" s="55" t="str">
        <f t="shared" si="1092"/>
        <v/>
      </c>
      <c r="M3043" s="37">
        <f t="shared" si="1093"/>
        <v>13.969999999999999</v>
      </c>
      <c r="N3043" s="29">
        <f t="shared" si="1094"/>
        <v>8.09</v>
      </c>
      <c r="O3043" s="31"/>
      <c r="P3043" s="50"/>
      <c r="Q3043" s="50"/>
      <c r="R3043" s="60"/>
      <c r="S3043" s="50"/>
      <c r="T3043" t="s">
        <v>1017</v>
      </c>
      <c r="V3043" s="50"/>
      <c r="W3043" s="50"/>
      <c r="X3043" s="50"/>
      <c r="Y3043" s="50"/>
      <c r="Z3043" s="50"/>
      <c r="AA3043" s="52"/>
      <c r="AB3043" t="s">
        <v>1017</v>
      </c>
      <c r="AD3043" s="38"/>
    </row>
    <row r="3044" spans="1:30" x14ac:dyDescent="0.35">
      <c r="A3044" s="497" t="str">
        <f t="shared" si="1088"/>
        <v>BiK272t1a2K-11</v>
      </c>
      <c r="B3044" s="13" t="s">
        <v>5547</v>
      </c>
      <c r="C3044" s="13" t="str">
        <f t="shared" si="1089"/>
        <v>Inbetriebnahme 2011</v>
      </c>
      <c r="D3044" s="13" t="s">
        <v>5560</v>
      </c>
      <c r="E3044" s="13" t="s">
        <v>4811</v>
      </c>
      <c r="F3044" s="373">
        <f t="shared" si="1090"/>
        <v>16.91</v>
      </c>
      <c r="G3044" s="430">
        <v>16.91</v>
      </c>
      <c r="H3044" s="399">
        <f t="shared" si="1091"/>
        <v>13.53</v>
      </c>
      <c r="I3044" s="576"/>
      <c r="J3044" s="549" t="s">
        <v>5804</v>
      </c>
      <c r="K3044" s="11"/>
      <c r="L3044" s="55" t="str">
        <f t="shared" si="1092"/>
        <v/>
      </c>
      <c r="M3044" s="37">
        <f t="shared" si="1093"/>
        <v>16.91</v>
      </c>
      <c r="N3044" s="29">
        <f t="shared" si="1094"/>
        <v>8.09</v>
      </c>
      <c r="O3044" s="31" t="s">
        <v>1017</v>
      </c>
      <c r="P3044" s="50"/>
      <c r="Q3044" s="50"/>
      <c r="R3044" s="60"/>
      <c r="S3044" s="50"/>
      <c r="T3044" t="s">
        <v>1017</v>
      </c>
      <c r="V3044" s="50"/>
      <c r="W3044" s="50"/>
      <c r="X3044" s="50"/>
      <c r="Y3044" s="50"/>
      <c r="Z3044" s="50"/>
      <c r="AA3044" s="52"/>
      <c r="AB3044" t="s">
        <v>1017</v>
      </c>
      <c r="AD3044" s="38"/>
    </row>
    <row r="3045" spans="1:30" x14ac:dyDescent="0.35">
      <c r="A3045" s="497" t="str">
        <f t="shared" si="1088"/>
        <v>BiK272t1ah--11</v>
      </c>
      <c r="B3045" s="13" t="s">
        <v>5547</v>
      </c>
      <c r="C3045" s="13" t="str">
        <f t="shared" si="1089"/>
        <v>Inbetriebnahme 2011</v>
      </c>
      <c r="D3045" s="13" t="s">
        <v>2366</v>
      </c>
      <c r="E3045" s="13" t="s">
        <v>4809</v>
      </c>
      <c r="F3045" s="373">
        <f t="shared" si="1090"/>
        <v>12.5</v>
      </c>
      <c r="G3045" s="430">
        <v>12.5</v>
      </c>
      <c r="H3045" s="399">
        <f t="shared" si="1091"/>
        <v>10</v>
      </c>
      <c r="I3045" s="576"/>
      <c r="J3045" s="549" t="s">
        <v>5804</v>
      </c>
      <c r="K3045" s="11"/>
      <c r="L3045" s="55" t="str">
        <f t="shared" si="1092"/>
        <v/>
      </c>
      <c r="M3045" s="37">
        <f t="shared" si="1093"/>
        <v>12.5</v>
      </c>
      <c r="N3045" s="29">
        <f t="shared" si="1094"/>
        <v>8.09</v>
      </c>
      <c r="O3045" s="31"/>
      <c r="P3045" s="50"/>
      <c r="Q3045" s="50"/>
      <c r="R3045" s="60"/>
      <c r="S3045" s="50"/>
      <c r="U3045" t="s">
        <v>1017</v>
      </c>
      <c r="V3045" s="50"/>
      <c r="W3045" s="50"/>
      <c r="X3045" s="50"/>
      <c r="Y3045" s="50"/>
      <c r="Z3045" s="50"/>
      <c r="AA3045" s="52"/>
      <c r="AB3045" t="s">
        <v>1017</v>
      </c>
      <c r="AD3045" s="38"/>
    </row>
    <row r="3046" spans="1:30" x14ac:dyDescent="0.35">
      <c r="A3046" s="497" t="str">
        <f t="shared" si="1088"/>
        <v>BiK272t1ahK-11</v>
      </c>
      <c r="B3046" s="13" t="s">
        <v>5547</v>
      </c>
      <c r="C3046" s="13" t="str">
        <f t="shared" si="1089"/>
        <v>Inbetriebnahme 2011</v>
      </c>
      <c r="D3046" s="13" t="s">
        <v>5561</v>
      </c>
      <c r="E3046" s="13" t="s">
        <v>4811</v>
      </c>
      <c r="F3046" s="373">
        <f t="shared" si="1090"/>
        <v>15.440000000000001</v>
      </c>
      <c r="G3046" s="430">
        <v>15.440000000000001</v>
      </c>
      <c r="H3046" s="399">
        <f t="shared" si="1091"/>
        <v>12.35</v>
      </c>
      <c r="I3046" s="576"/>
      <c r="J3046" s="549" t="s">
        <v>5804</v>
      </c>
      <c r="K3046" s="11"/>
      <c r="L3046" s="55" t="str">
        <f t="shared" si="1092"/>
        <v/>
      </c>
      <c r="M3046" s="37">
        <f t="shared" si="1093"/>
        <v>15.440000000000001</v>
      </c>
      <c r="N3046" s="29">
        <f t="shared" si="1094"/>
        <v>8.09</v>
      </c>
      <c r="O3046" s="31" t="s">
        <v>1017</v>
      </c>
      <c r="P3046" s="50"/>
      <c r="Q3046" s="50"/>
      <c r="R3046" s="60"/>
      <c r="S3046" s="50"/>
      <c r="U3046" t="s">
        <v>1017</v>
      </c>
      <c r="V3046" s="50"/>
      <c r="W3046" s="50"/>
      <c r="X3046" s="50"/>
      <c r="Y3046" s="50"/>
      <c r="Z3046" s="50"/>
      <c r="AA3046" s="52"/>
      <c r="AB3046" t="s">
        <v>1017</v>
      </c>
      <c r="AD3046" s="38"/>
    </row>
    <row r="3047" spans="1:30" x14ac:dyDescent="0.35">
      <c r="A3047" s="497" t="str">
        <f t="shared" si="1088"/>
        <v>BiK272t2----11</v>
      </c>
      <c r="B3047" s="13" t="s">
        <v>5547</v>
      </c>
      <c r="C3047" s="13" t="str">
        <f t="shared" si="1089"/>
        <v>Inbetriebnahme 2011</v>
      </c>
      <c r="D3047" s="13" t="s">
        <v>594</v>
      </c>
      <c r="E3047" s="13" t="s">
        <v>4809</v>
      </c>
      <c r="F3047" s="373">
        <f t="shared" si="1090"/>
        <v>9.07</v>
      </c>
      <c r="G3047" s="430">
        <v>9.07</v>
      </c>
      <c r="H3047" s="399">
        <f t="shared" si="1091"/>
        <v>7.26</v>
      </c>
      <c r="I3047" s="576"/>
      <c r="J3047" s="549" t="s">
        <v>5804</v>
      </c>
      <c r="K3047" s="11"/>
      <c r="L3047" s="55" t="str">
        <f t="shared" si="1092"/>
        <v/>
      </c>
      <c r="M3047" s="37">
        <f t="shared" si="1093"/>
        <v>9.07</v>
      </c>
      <c r="N3047" s="29">
        <f t="shared" si="1094"/>
        <v>8.09</v>
      </c>
      <c r="O3047" s="31"/>
      <c r="P3047" s="50"/>
      <c r="Q3047" s="50"/>
      <c r="R3047" s="60"/>
      <c r="S3047" s="50"/>
      <c r="V3047" s="50"/>
      <c r="W3047" s="50"/>
      <c r="X3047" s="50"/>
      <c r="Y3047" s="50"/>
      <c r="Z3047" s="50"/>
      <c r="AA3047" s="52"/>
      <c r="AC3047" t="s">
        <v>1017</v>
      </c>
      <c r="AD3047" s="38"/>
    </row>
    <row r="3048" spans="1:30" x14ac:dyDescent="0.35">
      <c r="A3048" s="497" t="str">
        <f t="shared" si="1088"/>
        <v>BiK272t2K---11</v>
      </c>
      <c r="B3048" s="13" t="s">
        <v>5547</v>
      </c>
      <c r="C3048" s="13" t="str">
        <f t="shared" si="1089"/>
        <v>Inbetriebnahme 2011</v>
      </c>
      <c r="D3048" s="13" t="s">
        <v>3197</v>
      </c>
      <c r="E3048" s="13" t="s">
        <v>4811</v>
      </c>
      <c r="F3048" s="373">
        <f t="shared" si="1090"/>
        <v>12.01</v>
      </c>
      <c r="G3048" s="430">
        <v>12.01</v>
      </c>
      <c r="H3048" s="399">
        <f t="shared" si="1091"/>
        <v>9.61</v>
      </c>
      <c r="I3048" s="576"/>
      <c r="J3048" s="549" t="s">
        <v>5804</v>
      </c>
      <c r="K3048" s="11"/>
      <c r="L3048" s="55" t="str">
        <f t="shared" si="1092"/>
        <v/>
      </c>
      <c r="M3048" s="37">
        <f t="shared" si="1093"/>
        <v>12.01</v>
      </c>
      <c r="N3048" s="29">
        <f t="shared" si="1094"/>
        <v>8.09</v>
      </c>
      <c r="O3048" s="31" t="s">
        <v>1017</v>
      </c>
      <c r="P3048" s="50"/>
      <c r="Q3048" s="50"/>
      <c r="R3048" s="60"/>
      <c r="S3048" s="50"/>
      <c r="V3048" s="50"/>
      <c r="W3048" s="50"/>
      <c r="X3048" s="50"/>
      <c r="Y3048" s="50"/>
      <c r="Z3048" s="50"/>
      <c r="AA3048" s="52"/>
      <c r="AC3048" t="s">
        <v>1017</v>
      </c>
      <c r="AD3048" s="38"/>
    </row>
    <row r="3049" spans="1:30" x14ac:dyDescent="0.35">
      <c r="A3049" s="497" t="str">
        <f t="shared" si="1088"/>
        <v>BiK272t2a2--11</v>
      </c>
      <c r="B3049" s="13" t="s">
        <v>5547</v>
      </c>
      <c r="C3049" s="13" t="str">
        <f t="shared" si="1089"/>
        <v>Inbetriebnahme 2011</v>
      </c>
      <c r="D3049" s="13" t="s">
        <v>3293</v>
      </c>
      <c r="E3049" s="13" t="s">
        <v>4809</v>
      </c>
      <c r="F3049" s="373">
        <f t="shared" si="1090"/>
        <v>12.99</v>
      </c>
      <c r="G3049" s="430">
        <v>12.99</v>
      </c>
      <c r="H3049" s="399">
        <f t="shared" si="1091"/>
        <v>10.39</v>
      </c>
      <c r="I3049" s="576"/>
      <c r="J3049" s="549" t="s">
        <v>5804</v>
      </c>
      <c r="K3049" s="11"/>
      <c r="L3049" s="55" t="str">
        <f t="shared" si="1092"/>
        <v/>
      </c>
      <c r="M3049" s="37">
        <f t="shared" si="1093"/>
        <v>12.99</v>
      </c>
      <c r="N3049" s="29">
        <f t="shared" si="1094"/>
        <v>8.09</v>
      </c>
      <c r="O3049" s="31"/>
      <c r="P3049" s="50"/>
      <c r="Q3049" s="50"/>
      <c r="R3049" s="60"/>
      <c r="S3049" s="50"/>
      <c r="T3049" t="s">
        <v>1017</v>
      </c>
      <c r="V3049" s="50"/>
      <c r="W3049" s="50"/>
      <c r="X3049" s="50"/>
      <c r="Y3049" s="50"/>
      <c r="Z3049" s="50"/>
      <c r="AA3049" s="52"/>
      <c r="AC3049" t="s">
        <v>1017</v>
      </c>
      <c r="AD3049" s="38"/>
    </row>
    <row r="3050" spans="1:30" x14ac:dyDescent="0.35">
      <c r="A3050" s="497" t="str">
        <f t="shared" si="1088"/>
        <v>BiK272t2a2K-11</v>
      </c>
      <c r="B3050" s="13" t="s">
        <v>5547</v>
      </c>
      <c r="C3050" s="13" t="str">
        <f t="shared" si="1089"/>
        <v>Inbetriebnahme 2011</v>
      </c>
      <c r="D3050" s="13" t="s">
        <v>5569</v>
      </c>
      <c r="E3050" s="13" t="s">
        <v>4811</v>
      </c>
      <c r="F3050" s="373">
        <f t="shared" si="1090"/>
        <v>15.93</v>
      </c>
      <c r="G3050" s="430">
        <v>15.93</v>
      </c>
      <c r="H3050" s="399">
        <f t="shared" si="1091"/>
        <v>12.74</v>
      </c>
      <c r="I3050" s="576"/>
      <c r="J3050" s="549" t="s">
        <v>5804</v>
      </c>
      <c r="K3050" s="11"/>
      <c r="L3050" s="55" t="str">
        <f t="shared" si="1092"/>
        <v/>
      </c>
      <c r="M3050" s="37">
        <f t="shared" si="1093"/>
        <v>15.93</v>
      </c>
      <c r="N3050" s="29">
        <f t="shared" si="1094"/>
        <v>8.09</v>
      </c>
      <c r="O3050" s="31" t="s">
        <v>1017</v>
      </c>
      <c r="P3050" s="50"/>
      <c r="Q3050" s="50"/>
      <c r="R3050" s="60"/>
      <c r="S3050" s="50"/>
      <c r="T3050" t="s">
        <v>1017</v>
      </c>
      <c r="V3050" s="50"/>
      <c r="W3050" s="50"/>
      <c r="X3050" s="50"/>
      <c r="Y3050" s="50"/>
      <c r="Z3050" s="50"/>
      <c r="AA3050" s="52"/>
      <c r="AC3050" t="s">
        <v>1017</v>
      </c>
      <c r="AD3050" s="38"/>
    </row>
    <row r="3051" spans="1:30" x14ac:dyDescent="0.35">
      <c r="A3051" s="497" t="str">
        <f t="shared" si="1088"/>
        <v>BiK272t2ah--11</v>
      </c>
      <c r="B3051" s="13" t="s">
        <v>5547</v>
      </c>
      <c r="C3051" s="13" t="str">
        <f t="shared" si="1089"/>
        <v>Inbetriebnahme 2011</v>
      </c>
      <c r="D3051" s="13" t="s">
        <v>2367</v>
      </c>
      <c r="E3051" s="13" t="s">
        <v>4809</v>
      </c>
      <c r="F3051" s="373">
        <f t="shared" si="1090"/>
        <v>11.52</v>
      </c>
      <c r="G3051" s="430">
        <v>11.52</v>
      </c>
      <c r="H3051" s="399">
        <f t="shared" si="1091"/>
        <v>9.2200000000000006</v>
      </c>
      <c r="I3051" s="576"/>
      <c r="J3051" s="549" t="s">
        <v>5804</v>
      </c>
      <c r="K3051" s="11"/>
      <c r="L3051" s="55" t="str">
        <f t="shared" si="1092"/>
        <v/>
      </c>
      <c r="M3051" s="37">
        <f t="shared" si="1093"/>
        <v>11.52</v>
      </c>
      <c r="N3051" s="29">
        <f t="shared" si="1094"/>
        <v>8.09</v>
      </c>
      <c r="O3051" s="31"/>
      <c r="P3051" s="50"/>
      <c r="Q3051" s="50"/>
      <c r="R3051" s="60"/>
      <c r="S3051" s="50"/>
      <c r="U3051" t="s">
        <v>1017</v>
      </c>
      <c r="V3051" s="50"/>
      <c r="W3051" s="50"/>
      <c r="X3051" s="50"/>
      <c r="Y3051" s="50"/>
      <c r="Z3051" s="50"/>
      <c r="AA3051" s="52"/>
      <c r="AC3051" t="s">
        <v>1017</v>
      </c>
      <c r="AD3051" s="38"/>
    </row>
    <row r="3052" spans="1:30" x14ac:dyDescent="0.35">
      <c r="A3052" s="497" t="str">
        <f t="shared" si="1088"/>
        <v>BiK272t2ahK-11</v>
      </c>
      <c r="B3052" s="13" t="s">
        <v>5547</v>
      </c>
      <c r="C3052" s="13" t="str">
        <f t="shared" si="1089"/>
        <v>Inbetriebnahme 2011</v>
      </c>
      <c r="D3052" s="13" t="s">
        <v>2646</v>
      </c>
      <c r="E3052" s="13" t="s">
        <v>4811</v>
      </c>
      <c r="F3052" s="373">
        <f t="shared" si="1090"/>
        <v>14.46</v>
      </c>
      <c r="G3052" s="430">
        <v>14.46</v>
      </c>
      <c r="H3052" s="399">
        <f t="shared" si="1091"/>
        <v>11.57</v>
      </c>
      <c r="I3052" s="576"/>
      <c r="J3052" s="549" t="s">
        <v>5804</v>
      </c>
      <c r="K3052" s="11"/>
      <c r="L3052" s="55" t="str">
        <f t="shared" si="1092"/>
        <v/>
      </c>
      <c r="M3052" s="37">
        <f t="shared" si="1093"/>
        <v>14.46</v>
      </c>
      <c r="N3052" s="29">
        <f t="shared" si="1094"/>
        <v>8.09</v>
      </c>
      <c r="O3052" s="31" t="s">
        <v>1017</v>
      </c>
      <c r="P3052" s="50"/>
      <c r="Q3052" s="50"/>
      <c r="R3052" s="60"/>
      <c r="S3052" s="50"/>
      <c r="U3052" t="s">
        <v>1017</v>
      </c>
      <c r="V3052" s="50"/>
      <c r="W3052" s="50"/>
      <c r="X3052" s="50"/>
      <c r="Y3052" s="50"/>
      <c r="Z3052" s="50"/>
      <c r="AA3052" s="52"/>
      <c r="AC3052" t="s">
        <v>1017</v>
      </c>
      <c r="AD3052" s="38"/>
    </row>
    <row r="3053" spans="1:30" x14ac:dyDescent="0.35">
      <c r="A3053" s="497" t="str">
        <f t="shared" si="1088"/>
        <v>BiK272t3----11</v>
      </c>
      <c r="B3053" s="13" t="s">
        <v>5547</v>
      </c>
      <c r="C3053" s="13" t="str">
        <f t="shared" si="1089"/>
        <v>Inbetriebnahme 2011</v>
      </c>
      <c r="D3053" s="13" t="s">
        <v>596</v>
      </c>
      <c r="E3053" s="13" t="s">
        <v>4809</v>
      </c>
      <c r="F3053" s="373">
        <f t="shared" si="1090"/>
        <v>10.050000000000001</v>
      </c>
      <c r="G3053" s="430">
        <v>10.050000000000001</v>
      </c>
      <c r="H3053" s="399">
        <f t="shared" si="1091"/>
        <v>8.0399999999999991</v>
      </c>
      <c r="I3053" s="576"/>
      <c r="J3053" s="549" t="s">
        <v>5804</v>
      </c>
      <c r="K3053" s="11"/>
      <c r="L3053" s="55" t="str">
        <f t="shared" si="1092"/>
        <v/>
      </c>
      <c r="M3053" s="37">
        <f t="shared" si="1093"/>
        <v>10.050000000000001</v>
      </c>
      <c r="N3053" s="29">
        <f t="shared" si="1094"/>
        <v>8.09</v>
      </c>
      <c r="O3053" s="31"/>
      <c r="P3053" s="50"/>
      <c r="Q3053" s="50"/>
      <c r="R3053" s="60"/>
      <c r="S3053" s="50"/>
      <c r="V3053" s="50"/>
      <c r="W3053" s="50"/>
      <c r="X3053" s="50"/>
      <c r="Y3053" s="50"/>
      <c r="Z3053" s="50"/>
      <c r="AA3053" s="52"/>
      <c r="AD3053" s="38" t="s">
        <v>1017</v>
      </c>
    </row>
    <row r="3054" spans="1:30" x14ac:dyDescent="0.35">
      <c r="A3054" s="497" t="str">
        <f t="shared" si="1088"/>
        <v>BiK272t3K---11</v>
      </c>
      <c r="B3054" s="13" t="s">
        <v>5547</v>
      </c>
      <c r="C3054" s="13" t="str">
        <f t="shared" si="1089"/>
        <v>Inbetriebnahme 2011</v>
      </c>
      <c r="D3054" s="13" t="s">
        <v>3199</v>
      </c>
      <c r="E3054" s="13" t="s">
        <v>4811</v>
      </c>
      <c r="F3054" s="373">
        <f t="shared" si="1090"/>
        <v>12.99</v>
      </c>
      <c r="G3054" s="430">
        <v>12.99</v>
      </c>
      <c r="H3054" s="399">
        <f t="shared" si="1091"/>
        <v>10.39</v>
      </c>
      <c r="I3054" s="576"/>
      <c r="J3054" s="549" t="s">
        <v>5804</v>
      </c>
      <c r="K3054" s="11"/>
      <c r="L3054" s="55" t="str">
        <f t="shared" si="1092"/>
        <v/>
      </c>
      <c r="M3054" s="37">
        <f t="shared" si="1093"/>
        <v>12.99</v>
      </c>
      <c r="N3054" s="29">
        <f t="shared" si="1094"/>
        <v>8.09</v>
      </c>
      <c r="O3054" s="31" t="s">
        <v>1017</v>
      </c>
      <c r="P3054" s="50"/>
      <c r="Q3054" s="50"/>
      <c r="R3054" s="60"/>
      <c r="S3054" s="50"/>
      <c r="V3054" s="50"/>
      <c r="W3054" s="50"/>
      <c r="X3054" s="50"/>
      <c r="Y3054" s="50"/>
      <c r="Z3054" s="50"/>
      <c r="AA3054" s="52"/>
      <c r="AD3054" s="38" t="s">
        <v>1017</v>
      </c>
    </row>
    <row r="3055" spans="1:30" x14ac:dyDescent="0.35">
      <c r="A3055" s="497" t="str">
        <f t="shared" si="1088"/>
        <v>BiK272t3a2--11</v>
      </c>
      <c r="B3055" s="13" t="s">
        <v>5547</v>
      </c>
      <c r="C3055" s="13" t="str">
        <f t="shared" si="1089"/>
        <v>Inbetriebnahme 2011</v>
      </c>
      <c r="D3055" s="13" t="s">
        <v>851</v>
      </c>
      <c r="E3055" s="13" t="s">
        <v>4809</v>
      </c>
      <c r="F3055" s="373">
        <f t="shared" si="1090"/>
        <v>13.969999999999999</v>
      </c>
      <c r="G3055" s="430">
        <v>13.969999999999999</v>
      </c>
      <c r="H3055" s="399">
        <f t="shared" si="1091"/>
        <v>11.18</v>
      </c>
      <c r="I3055" s="576"/>
      <c r="J3055" s="549" t="s">
        <v>5804</v>
      </c>
      <c r="K3055" s="11"/>
      <c r="L3055" s="55" t="str">
        <f t="shared" si="1092"/>
        <v/>
      </c>
      <c r="M3055" s="37">
        <f t="shared" si="1093"/>
        <v>13.969999999999999</v>
      </c>
      <c r="N3055" s="29">
        <f t="shared" si="1094"/>
        <v>8.09</v>
      </c>
      <c r="O3055" s="31"/>
      <c r="P3055" s="50"/>
      <c r="Q3055" s="50"/>
      <c r="R3055" s="60"/>
      <c r="S3055" s="50"/>
      <c r="T3055" t="s">
        <v>1017</v>
      </c>
      <c r="V3055" s="50"/>
      <c r="W3055" s="50"/>
      <c r="X3055" s="50"/>
      <c r="Y3055" s="50"/>
      <c r="Z3055" s="50"/>
      <c r="AA3055" s="52"/>
      <c r="AD3055" s="38" t="s">
        <v>1017</v>
      </c>
    </row>
    <row r="3056" spans="1:30" x14ac:dyDescent="0.35">
      <c r="A3056" s="497" t="str">
        <f t="shared" si="1088"/>
        <v>BiK272t3a2K-11</v>
      </c>
      <c r="B3056" s="13" t="s">
        <v>5547</v>
      </c>
      <c r="C3056" s="13" t="str">
        <f t="shared" si="1089"/>
        <v>Inbetriebnahme 2011</v>
      </c>
      <c r="D3056" s="13" t="s">
        <v>2654</v>
      </c>
      <c r="E3056" s="13" t="s">
        <v>4811</v>
      </c>
      <c r="F3056" s="373">
        <f t="shared" si="1090"/>
        <v>16.91</v>
      </c>
      <c r="G3056" s="430">
        <v>16.91</v>
      </c>
      <c r="H3056" s="399">
        <f t="shared" si="1091"/>
        <v>13.53</v>
      </c>
      <c r="I3056" s="576"/>
      <c r="J3056" s="549" t="s">
        <v>5804</v>
      </c>
      <c r="K3056" s="11"/>
      <c r="L3056" s="55" t="str">
        <f t="shared" si="1092"/>
        <v/>
      </c>
      <c r="M3056" s="37">
        <f t="shared" si="1093"/>
        <v>16.91</v>
      </c>
      <c r="N3056" s="29">
        <f t="shared" si="1094"/>
        <v>8.09</v>
      </c>
      <c r="O3056" s="31" t="s">
        <v>1017</v>
      </c>
      <c r="P3056" s="50"/>
      <c r="Q3056" s="50"/>
      <c r="R3056" s="60"/>
      <c r="S3056" s="50"/>
      <c r="T3056" t="s">
        <v>1017</v>
      </c>
      <c r="V3056" s="50"/>
      <c r="W3056" s="50"/>
      <c r="X3056" s="50"/>
      <c r="Y3056" s="50"/>
      <c r="Z3056" s="50"/>
      <c r="AA3056" s="52"/>
      <c r="AD3056" s="38" t="s">
        <v>1017</v>
      </c>
    </row>
    <row r="3057" spans="1:255" x14ac:dyDescent="0.35">
      <c r="A3057" s="497" t="str">
        <f t="shared" si="1088"/>
        <v>BiK272t3ah--11</v>
      </c>
      <c r="B3057" s="13" t="s">
        <v>5547</v>
      </c>
      <c r="C3057" s="13" t="str">
        <f t="shared" si="1089"/>
        <v>Inbetriebnahme 2011</v>
      </c>
      <c r="D3057" s="13" t="s">
        <v>2368</v>
      </c>
      <c r="E3057" s="13" t="s">
        <v>4809</v>
      </c>
      <c r="F3057" s="373">
        <f t="shared" si="1090"/>
        <v>12.5</v>
      </c>
      <c r="G3057" s="430">
        <v>12.5</v>
      </c>
      <c r="H3057" s="399">
        <f t="shared" si="1091"/>
        <v>10</v>
      </c>
      <c r="I3057" s="576"/>
      <c r="J3057" s="549" t="s">
        <v>5804</v>
      </c>
      <c r="K3057" s="11"/>
      <c r="L3057" s="55" t="str">
        <f t="shared" si="1092"/>
        <v/>
      </c>
      <c r="M3057" s="37">
        <f t="shared" si="1093"/>
        <v>12.5</v>
      </c>
      <c r="N3057" s="29">
        <f t="shared" si="1094"/>
        <v>8.09</v>
      </c>
      <c r="O3057" s="31"/>
      <c r="P3057" s="50"/>
      <c r="Q3057" s="50"/>
      <c r="R3057" s="60"/>
      <c r="S3057" s="50"/>
      <c r="U3057" t="s">
        <v>1017</v>
      </c>
      <c r="V3057" s="50"/>
      <c r="W3057" s="50"/>
      <c r="X3057" s="50"/>
      <c r="Y3057" s="50"/>
      <c r="Z3057" s="50"/>
      <c r="AA3057" s="52"/>
      <c r="AD3057" s="38" t="s">
        <v>1017</v>
      </c>
    </row>
    <row r="3058" spans="1:255" x14ac:dyDescent="0.35">
      <c r="A3058" s="497" t="str">
        <f t="shared" si="1088"/>
        <v>BiK272t3ahK-11</v>
      </c>
      <c r="B3058" s="13" t="s">
        <v>5547</v>
      </c>
      <c r="C3058" s="13" t="str">
        <f t="shared" si="1089"/>
        <v>Inbetriebnahme 2011</v>
      </c>
      <c r="D3058" s="13" t="s">
        <v>2655</v>
      </c>
      <c r="E3058" s="13" t="s">
        <v>4811</v>
      </c>
      <c r="F3058" s="373">
        <f t="shared" si="1090"/>
        <v>15.440000000000001</v>
      </c>
      <c r="G3058" s="430">
        <v>15.440000000000001</v>
      </c>
      <c r="H3058" s="399">
        <f t="shared" si="1091"/>
        <v>12.35</v>
      </c>
      <c r="I3058" s="576"/>
      <c r="J3058" s="549" t="s">
        <v>5804</v>
      </c>
      <c r="K3058" s="11"/>
      <c r="L3058" s="55" t="str">
        <f t="shared" si="1092"/>
        <v/>
      </c>
      <c r="M3058" s="37">
        <f t="shared" si="1093"/>
        <v>15.440000000000001</v>
      </c>
      <c r="N3058" s="29">
        <f t="shared" si="1094"/>
        <v>8.09</v>
      </c>
      <c r="O3058" s="31" t="s">
        <v>1017</v>
      </c>
      <c r="P3058" s="50"/>
      <c r="Q3058" s="50"/>
      <c r="R3058" s="60"/>
      <c r="S3058" s="50"/>
      <c r="U3058" t="s">
        <v>1017</v>
      </c>
      <c r="V3058" s="50"/>
      <c r="W3058" s="50"/>
      <c r="X3058" s="50"/>
      <c r="Y3058" s="50"/>
      <c r="Z3058" s="50"/>
      <c r="AA3058" s="52"/>
      <c r="AD3058" s="38" t="s">
        <v>1017</v>
      </c>
    </row>
    <row r="3059" spans="1:255" x14ac:dyDescent="0.35">
      <c r="A3059" s="497" t="str">
        <f t="shared" si="1088"/>
        <v>BiK273K-----11</v>
      </c>
      <c r="B3059" s="13" t="s">
        <v>5547</v>
      </c>
      <c r="C3059" s="13" t="str">
        <f t="shared" si="1089"/>
        <v>Inbetriebnahme 2011</v>
      </c>
      <c r="D3059" s="13" t="s">
        <v>2904</v>
      </c>
      <c r="E3059" s="13" t="s">
        <v>4811</v>
      </c>
      <c r="F3059" s="373">
        <f t="shared" si="1090"/>
        <v>10.57</v>
      </c>
      <c r="G3059" s="430">
        <v>10.57</v>
      </c>
      <c r="H3059" s="399">
        <f t="shared" si="1091"/>
        <v>8.4600000000000009</v>
      </c>
      <c r="I3059" s="576"/>
      <c r="J3059" s="549" t="s">
        <v>5804</v>
      </c>
      <c r="K3059" s="67"/>
      <c r="L3059" s="68" t="str">
        <f t="shared" si="1092"/>
        <v/>
      </c>
      <c r="M3059" s="37">
        <f t="shared" si="1093"/>
        <v>10.57</v>
      </c>
      <c r="N3059" s="29">
        <f t="shared" si="1094"/>
        <v>7.63</v>
      </c>
      <c r="O3059" s="69" t="s">
        <v>1017</v>
      </c>
      <c r="P3059" s="160" t="s">
        <v>1217</v>
      </c>
      <c r="Q3059" s="161"/>
      <c r="R3059" s="162"/>
      <c r="S3059" s="161"/>
      <c r="T3059" s="161"/>
      <c r="U3059" s="161"/>
      <c r="V3059" s="161"/>
      <c r="W3059" s="161"/>
      <c r="X3059" s="161"/>
      <c r="Y3059" s="161"/>
      <c r="Z3059" s="161"/>
      <c r="AA3059" s="163"/>
      <c r="AB3059" s="161"/>
      <c r="AC3059" s="161"/>
      <c r="AD3059" s="163"/>
      <c r="AE3059" s="164"/>
    </row>
    <row r="3060" spans="1:255" x14ac:dyDescent="0.35">
      <c r="A3060" s="2"/>
      <c r="B3060" s="1"/>
      <c r="C3060" s="1"/>
      <c r="D3060" s="1"/>
      <c r="E3060" s="1"/>
      <c r="F3060" s="362"/>
      <c r="G3060" s="425"/>
      <c r="H3060" s="10"/>
      <c r="I3060" s="566"/>
      <c r="J3060" s="549" t="s">
        <v>4179</v>
      </c>
      <c r="K3060" s="9"/>
      <c r="M3060" s="22"/>
      <c r="N3060" s="11"/>
      <c r="O3060" s="11"/>
    </row>
    <row r="3061" spans="1:255" ht="15.5" x14ac:dyDescent="0.35">
      <c r="A3061" s="212" t="s">
        <v>1768</v>
      </c>
      <c r="B3061" s="1"/>
      <c r="C3061" s="1"/>
      <c r="D3061" s="1"/>
      <c r="E3061" s="1"/>
      <c r="F3061" s="362"/>
      <c r="G3061" s="425"/>
      <c r="H3061" s="10"/>
      <c r="I3061" s="566"/>
      <c r="J3061" s="549" t="s">
        <v>4179</v>
      </c>
      <c r="K3061" s="9"/>
      <c r="M3061" s="53" t="str">
        <f>"Vergütungsberechnung für Anlagen mit Inbetriebnahmejahr "&amp;M3064 &amp; " nach EEG 2009"</f>
        <v>Vergütungsberechnung für Anlagen mit Inbetriebnahmejahr 2012 nach EEG 2009</v>
      </c>
      <c r="N3061" s="11"/>
      <c r="O3061" s="11"/>
    </row>
    <row r="3062" spans="1:255" ht="15.5" x14ac:dyDescent="0.35">
      <c r="A3062" s="496"/>
      <c r="B3062" s="1"/>
      <c r="C3062" s="1"/>
      <c r="D3062" s="1"/>
      <c r="E3062" s="1"/>
      <c r="F3062" s="375"/>
      <c r="G3062" s="432"/>
      <c r="H3062" s="401"/>
      <c r="I3062" s="578"/>
      <c r="J3062" s="549" t="s">
        <v>4179</v>
      </c>
      <c r="K3062" s="22"/>
      <c r="M3062" s="176" t="s">
        <v>1710</v>
      </c>
      <c r="N3062" s="27"/>
      <c r="O3062" s="22"/>
      <c r="P3062" s="22"/>
    </row>
    <row r="3063" spans="1:255" s="187" customFormat="1" ht="21.75" customHeight="1" x14ac:dyDescent="0.35">
      <c r="A3063" s="508"/>
      <c r="B3063" s="181"/>
      <c r="C3063" s="181"/>
      <c r="D3063" s="181"/>
      <c r="E3063" s="181"/>
      <c r="F3063" s="380"/>
      <c r="G3063" s="436"/>
      <c r="H3063" s="404"/>
      <c r="I3063" s="582"/>
      <c r="J3063" s="549" t="s">
        <v>4179</v>
      </c>
      <c r="K3063" s="184"/>
      <c r="M3063" s="210" t="s">
        <v>1711</v>
      </c>
      <c r="N3063" s="211"/>
      <c r="O3063" s="184"/>
      <c r="P3063" s="184"/>
    </row>
    <row r="3064" spans="1:255" x14ac:dyDescent="0.35">
      <c r="A3064" s="496"/>
      <c r="B3064" s="1"/>
      <c r="C3064" s="18"/>
      <c r="D3064" s="18"/>
      <c r="E3064" s="1"/>
      <c r="F3064" s="375"/>
      <c r="G3064" s="432"/>
      <c r="H3064" s="401"/>
      <c r="I3064" s="578"/>
      <c r="J3064" s="549" t="s">
        <v>4179</v>
      </c>
      <c r="K3064" s="22"/>
      <c r="L3064" s="22"/>
      <c r="M3064" s="150">
        <v>2012</v>
      </c>
      <c r="N3064" s="22"/>
      <c r="O3064" s="31" t="s">
        <v>2660</v>
      </c>
      <c r="P3064" s="22"/>
      <c r="R3064" s="42"/>
      <c r="S3064" s="31" t="s">
        <v>776</v>
      </c>
      <c r="AA3064" s="38"/>
      <c r="AB3064" s="57" t="s">
        <v>777</v>
      </c>
      <c r="AD3064" s="38"/>
    </row>
    <row r="3065" spans="1:255" ht="63.5" x14ac:dyDescent="0.35">
      <c r="A3065" s="496"/>
      <c r="B3065" s="1"/>
      <c r="C3065" s="18"/>
      <c r="D3065" s="18"/>
      <c r="E3065" s="1"/>
      <c r="F3065" s="375"/>
      <c r="G3065" s="432"/>
      <c r="H3065" s="401"/>
      <c r="I3065" s="578"/>
      <c r="J3065" s="549" t="s">
        <v>4179</v>
      </c>
      <c r="K3065" s="22"/>
      <c r="L3065" s="22"/>
      <c r="M3065" s="36" t="s">
        <v>2913</v>
      </c>
      <c r="N3065" s="30" t="s">
        <v>4233</v>
      </c>
      <c r="O3065" s="32" t="s">
        <v>4851</v>
      </c>
      <c r="P3065" s="48"/>
      <c r="Q3065" s="48"/>
      <c r="R3065" s="65" t="s">
        <v>4853</v>
      </c>
      <c r="S3065" s="30" t="s">
        <v>1021</v>
      </c>
      <c r="T3065" s="30" t="s">
        <v>1029</v>
      </c>
      <c r="U3065" s="30" t="s">
        <v>786</v>
      </c>
      <c r="V3065" s="64" t="s">
        <v>4883</v>
      </c>
      <c r="W3065" s="64" t="s">
        <v>5519</v>
      </c>
      <c r="X3065" s="64" t="s">
        <v>5520</v>
      </c>
      <c r="Y3065" s="64" t="s">
        <v>5521</v>
      </c>
      <c r="Z3065" s="64" t="s">
        <v>4852</v>
      </c>
      <c r="AA3065" s="66" t="s">
        <v>770</v>
      </c>
      <c r="AB3065" s="30" t="s">
        <v>772</v>
      </c>
      <c r="AC3065" s="30" t="s">
        <v>773</v>
      </c>
      <c r="AD3065" s="39" t="s">
        <v>774</v>
      </c>
      <c r="AE3065" s="95" t="s">
        <v>5489</v>
      </c>
    </row>
    <row r="3066" spans="1:255" ht="31.5" x14ac:dyDescent="0.35">
      <c r="A3066" s="496"/>
      <c r="B3066" s="1"/>
      <c r="C3066" s="18"/>
      <c r="D3066" s="18"/>
      <c r="E3066" s="1"/>
      <c r="F3066" s="375"/>
      <c r="G3066" s="432"/>
      <c r="H3066" s="401"/>
      <c r="I3066" s="578"/>
      <c r="J3066" s="549" t="s">
        <v>4179</v>
      </c>
      <c r="K3066" s="22"/>
      <c r="L3066" s="22"/>
      <c r="M3066" s="34"/>
      <c r="N3066" s="30"/>
      <c r="O3066" s="32" t="s">
        <v>1033</v>
      </c>
      <c r="P3066" s="48"/>
      <c r="Q3066" s="48"/>
      <c r="R3066" s="43" t="s">
        <v>1034</v>
      </c>
      <c r="S3066" s="32" t="s">
        <v>1019</v>
      </c>
      <c r="T3066" s="30" t="s">
        <v>1020</v>
      </c>
      <c r="U3066" s="30" t="s">
        <v>1022</v>
      </c>
      <c r="V3066" s="30" t="s">
        <v>1023</v>
      </c>
      <c r="W3066" s="30" t="s">
        <v>1024</v>
      </c>
      <c r="X3066" s="30" t="s">
        <v>1025</v>
      </c>
      <c r="Y3066" s="30" t="s">
        <v>1026</v>
      </c>
      <c r="Z3066" s="30" t="s">
        <v>1028</v>
      </c>
      <c r="AA3066" s="39" t="s">
        <v>1027</v>
      </c>
      <c r="AB3066" s="30" t="s">
        <v>1032</v>
      </c>
      <c r="AC3066" s="30" t="s">
        <v>1030</v>
      </c>
      <c r="AD3066" s="39" t="s">
        <v>1031</v>
      </c>
      <c r="AE3066" s="100">
        <v>0.01</v>
      </c>
    </row>
    <row r="3067" spans="1:255" x14ac:dyDescent="0.35">
      <c r="A3067" s="496"/>
      <c r="B3067" s="1"/>
      <c r="C3067" s="1"/>
      <c r="D3067" s="1"/>
      <c r="E3067" s="1"/>
      <c r="F3067" s="375"/>
      <c r="G3067" s="432"/>
      <c r="H3067" s="401"/>
      <c r="I3067" s="578"/>
      <c r="J3067" s="549" t="s">
        <v>4179</v>
      </c>
      <c r="L3067" s="56"/>
      <c r="M3067" s="35"/>
      <c r="N3067" s="28"/>
      <c r="O3067" s="158">
        <f>ROUND(O$2396*(1-$AE$2841)^($M3064-2009),2)</f>
        <v>2.91</v>
      </c>
      <c r="P3067" s="49"/>
      <c r="Q3067" s="49"/>
      <c r="R3067" s="158">
        <f>ROUND(R$2396*(1-$AE$2841)^($M3064-2009),2)</f>
        <v>0.97</v>
      </c>
      <c r="S3067" s="158">
        <f>ROUND(S$2396*(1-$AE$2841)^($M3064-2009),2)</f>
        <v>5.82</v>
      </c>
      <c r="T3067" s="222">
        <f>ROUND(T$2396*(1-$AE$2841)^($M3064-2009),2)</f>
        <v>3.88</v>
      </c>
      <c r="U3067" s="222">
        <f>ROUND(U$2396*(1-$AE$2841)^($M3064-2009),2)</f>
        <v>2.4300000000000002</v>
      </c>
      <c r="V3067" s="222">
        <f>ROUND(V$2396*(1-$AE$2841)^($M3064-2009),2)</f>
        <v>6.79</v>
      </c>
      <c r="W3067" s="222">
        <f>V3067+ROUND(4*(1-$AE$2841)^($M3064-2009),2)</f>
        <v>10.67</v>
      </c>
      <c r="X3067" s="222">
        <f>V3067+ROUND(1*(1-$AE$2841)^($M3064-2009),2)</f>
        <v>7.76</v>
      </c>
      <c r="Y3067" s="222">
        <f>V3067+ROUND(2*(1-$AE$2841)^($M3064-2009),2)</f>
        <v>8.73</v>
      </c>
      <c r="Z3067" s="222">
        <f>W3067+ROUND(2*(1-$AE$2841)^($M3064-2009),2)</f>
        <v>12.61</v>
      </c>
      <c r="AA3067" s="222">
        <f>X3067+ROUND(2*(1-$AE$2841)^($M3064-2009),2)</f>
        <v>9.6999999999999993</v>
      </c>
      <c r="AB3067" s="158">
        <f>ROUND(AB$2396*(1-$AE$2841)^($M3064-2009),2)</f>
        <v>1.94</v>
      </c>
      <c r="AC3067" s="222">
        <f>ROUND(AC$2396*(1-$AE$2841)^($M3064-2009),2)</f>
        <v>0.97</v>
      </c>
      <c r="AD3067" s="223">
        <f>ROUND(AD$2396*(1-$AE$2841)^($M3064-2009),2)</f>
        <v>1.94</v>
      </c>
      <c r="AE3067" s="159" t="s">
        <v>2012</v>
      </c>
    </row>
    <row r="3068" spans="1:255" x14ac:dyDescent="0.35">
      <c r="A3068" s="511" t="s">
        <v>1712</v>
      </c>
      <c r="B3068" s="173" t="s">
        <v>5547</v>
      </c>
      <c r="C3068" s="173" t="str">
        <f t="shared" ref="C3068:C3096" si="1095">"Inbetriebnahme "&amp;$M$3064</f>
        <v>Inbetriebnahme 2012</v>
      </c>
      <c r="D3068" s="173" t="s">
        <v>1780</v>
      </c>
      <c r="E3068" s="173" t="s">
        <v>4809</v>
      </c>
      <c r="F3068" s="374">
        <f t="shared" ref="F3068:F3096" si="1096">M3068</f>
        <v>11.32</v>
      </c>
      <c r="G3068" s="431">
        <v>11.32</v>
      </c>
      <c r="H3068" s="400">
        <f t="shared" ref="H3068:H3096" si="1097">IF(ISNUMBER(G3068),ROUND(0.8*G3068,2),"")</f>
        <v>9.06</v>
      </c>
      <c r="I3068" s="577"/>
      <c r="J3068" s="549" t="s">
        <v>5804</v>
      </c>
      <c r="K3068" s="11"/>
      <c r="L3068" s="55" t="str">
        <f t="shared" ref="L3068:L3096" si="1098">IF(F3068=M3068,"",FALSE)</f>
        <v/>
      </c>
      <c r="M3068" s="37">
        <f t="shared" ref="M3068:M3096" si="1099">N3068+SUMIF(O3068:AD3068,"x",$O$3067:$AD$3067)</f>
        <v>11.32</v>
      </c>
      <c r="N3068" s="29">
        <f>ROUND(N2397*(1-$AE$3066)^($M$3064-2009),2)</f>
        <v>11.32</v>
      </c>
      <c r="O3068" s="46"/>
      <c r="P3068" s="50"/>
      <c r="Q3068" s="50"/>
      <c r="R3068" s="60"/>
      <c r="T3068" s="50"/>
      <c r="U3068" s="50"/>
      <c r="V3068" s="50"/>
      <c r="W3068" s="50"/>
      <c r="X3068" s="50"/>
      <c r="Y3068" s="50"/>
      <c r="Z3068" s="50"/>
      <c r="AA3068" s="50"/>
      <c r="AB3068" s="60"/>
      <c r="AC3068" s="50"/>
      <c r="AD3068" s="47"/>
      <c r="AE3068" t="str">
        <f t="shared" ref="AE3068:AE3096" si="1100">IF(R3068 &amp; V3068 &amp; W3068 &amp; X3068 &amp; Y3068 &amp; Z3068 &amp; AA3068 &amp; AB3068 &amp; AC3068 = "","","x")</f>
        <v/>
      </c>
      <c r="AF3068" t="str">
        <f t="shared" ref="AF3068:AF3096" si="1101">R3068 &amp; V3068 &amp; W3068 &amp; X3068 &amp; Y3068 &amp; Z3068 &amp; AA3068 &amp; AB3068 &amp; AC3068</f>
        <v/>
      </c>
    </row>
    <row r="3069" spans="1:255" x14ac:dyDescent="0.35">
      <c r="A3069" s="511" t="s">
        <v>1713</v>
      </c>
      <c r="B3069" s="173" t="s">
        <v>5547</v>
      </c>
      <c r="C3069" s="173" t="str">
        <f t="shared" si="1095"/>
        <v>Inbetriebnahme 2012</v>
      </c>
      <c r="D3069" s="173" t="s">
        <v>7242</v>
      </c>
      <c r="E3069" s="173" t="s">
        <v>4811</v>
      </c>
      <c r="F3069" s="374">
        <f t="shared" si="1096"/>
        <v>14.23</v>
      </c>
      <c r="G3069" s="431">
        <v>14.23</v>
      </c>
      <c r="H3069" s="400">
        <f t="shared" si="1097"/>
        <v>11.38</v>
      </c>
      <c r="I3069" s="577"/>
      <c r="J3069" s="549" t="s">
        <v>5804</v>
      </c>
      <c r="K3069" s="11"/>
      <c r="L3069" s="55" t="str">
        <f t="shared" si="1098"/>
        <v/>
      </c>
      <c r="M3069" s="37">
        <f t="shared" si="1099"/>
        <v>14.23</v>
      </c>
      <c r="N3069" s="29">
        <f>ROUND(N2398*(1-$AE$3066)^($M$3064-2009),2)</f>
        <v>11.32</v>
      </c>
      <c r="O3069" s="31" t="s">
        <v>1017</v>
      </c>
      <c r="P3069" s="50"/>
      <c r="Q3069" s="50"/>
      <c r="R3069" s="60"/>
      <c r="T3069" s="50"/>
      <c r="U3069" s="50"/>
      <c r="V3069" s="50"/>
      <c r="W3069" s="50"/>
      <c r="X3069" s="50"/>
      <c r="Y3069" s="50"/>
      <c r="Z3069" s="50"/>
      <c r="AA3069" s="50"/>
      <c r="AB3069" s="60"/>
      <c r="AC3069" s="50"/>
      <c r="AD3069" s="38"/>
      <c r="AE3069" t="str">
        <f t="shared" si="1100"/>
        <v/>
      </c>
      <c r="AF3069" t="str">
        <f t="shared" si="1101"/>
        <v/>
      </c>
    </row>
    <row r="3070" spans="1:255" x14ac:dyDescent="0.35">
      <c r="A3070" s="511" t="s">
        <v>1714</v>
      </c>
      <c r="B3070" s="173" t="s">
        <v>5547</v>
      </c>
      <c r="C3070" s="173" t="str">
        <f t="shared" si="1095"/>
        <v>Inbetriebnahme 2012</v>
      </c>
      <c r="D3070" s="173" t="s">
        <v>6876</v>
      </c>
      <c r="E3070" s="173" t="s">
        <v>4809</v>
      </c>
      <c r="F3070" s="374">
        <f t="shared" si="1096"/>
        <v>17.14</v>
      </c>
      <c r="G3070" s="431">
        <v>17.14</v>
      </c>
      <c r="H3070" s="400">
        <f t="shared" si="1097"/>
        <v>13.71</v>
      </c>
      <c r="I3070" s="577"/>
      <c r="J3070" s="549" t="s">
        <v>5804</v>
      </c>
      <c r="K3070" s="11"/>
      <c r="L3070" s="55" t="str">
        <f t="shared" si="1098"/>
        <v/>
      </c>
      <c r="M3070" s="37">
        <f t="shared" si="1099"/>
        <v>17.14</v>
      </c>
      <c r="N3070" s="29">
        <f>ROUND(N2401*(1-$AE$3066)^($M$3064-2009),2)</f>
        <v>11.32</v>
      </c>
      <c r="O3070" s="31"/>
      <c r="P3070" s="50"/>
      <c r="Q3070" s="50"/>
      <c r="R3070" s="60"/>
      <c r="S3070" t="s">
        <v>1017</v>
      </c>
      <c r="T3070" s="50"/>
      <c r="U3070" s="50"/>
      <c r="V3070" s="50"/>
      <c r="W3070" s="50"/>
      <c r="X3070" s="50"/>
      <c r="Y3070" s="50"/>
      <c r="Z3070" s="50"/>
      <c r="AA3070" s="50"/>
      <c r="AB3070" s="60"/>
      <c r="AC3070" s="50"/>
      <c r="AD3070" s="38"/>
      <c r="AE3070" t="str">
        <f t="shared" si="1100"/>
        <v/>
      </c>
      <c r="AF3070" t="str">
        <f t="shared" si="1101"/>
        <v/>
      </c>
      <c r="AH3070" s="9"/>
      <c r="AI3070" s="12"/>
      <c r="AL3070" s="9"/>
      <c r="AM3070" s="12"/>
      <c r="AP3070" s="9"/>
      <c r="AQ3070" s="12"/>
      <c r="AT3070" s="9"/>
      <c r="AU3070" s="12"/>
      <c r="AX3070" s="9"/>
      <c r="AY3070" s="12"/>
      <c r="BB3070" s="9"/>
      <c r="BC3070" s="12"/>
      <c r="BF3070" s="9"/>
      <c r="BG3070" s="12"/>
      <c r="BJ3070" s="9"/>
      <c r="BK3070" s="12"/>
      <c r="BN3070" s="9"/>
      <c r="BO3070" s="12"/>
      <c r="BR3070" s="9"/>
      <c r="BS3070" s="12"/>
      <c r="BV3070" s="9"/>
      <c r="BW3070" s="12"/>
      <c r="BZ3070" s="9"/>
      <c r="CA3070" s="12"/>
      <c r="CD3070" s="9"/>
      <c r="CE3070" s="12"/>
      <c r="CH3070" s="9"/>
      <c r="CI3070" s="12"/>
      <c r="CL3070" s="9"/>
      <c r="CM3070" s="12"/>
      <c r="CP3070" s="9"/>
      <c r="CQ3070" s="12"/>
      <c r="CT3070" s="9"/>
      <c r="CU3070" s="12"/>
      <c r="CX3070" s="9"/>
      <c r="CY3070" s="12"/>
      <c r="DB3070" s="9"/>
      <c r="DC3070" s="12"/>
      <c r="DF3070" s="9"/>
      <c r="DG3070" s="12"/>
      <c r="DJ3070" s="9"/>
      <c r="DK3070" s="12"/>
      <c r="DN3070" s="9"/>
      <c r="DO3070" s="12"/>
      <c r="DR3070" s="9"/>
      <c r="DS3070" s="12"/>
      <c r="DV3070" s="9"/>
      <c r="DW3070" s="12"/>
      <c r="DZ3070" s="9"/>
      <c r="EA3070" s="12"/>
      <c r="ED3070" s="9"/>
      <c r="EE3070" s="12"/>
      <c r="EH3070" s="9"/>
      <c r="EI3070" s="12"/>
      <c r="EL3070" s="9"/>
      <c r="EM3070" s="12"/>
      <c r="EP3070" s="9"/>
      <c r="EQ3070" s="12"/>
      <c r="ET3070" s="9"/>
      <c r="EU3070" s="12"/>
      <c r="EX3070" s="9"/>
      <c r="EY3070" s="12"/>
      <c r="FB3070" s="9"/>
      <c r="FC3070" s="12"/>
      <c r="FF3070" s="9"/>
      <c r="FG3070" s="12"/>
      <c r="FJ3070" s="9"/>
      <c r="FK3070" s="12"/>
      <c r="FN3070" s="9"/>
      <c r="FO3070" s="12"/>
      <c r="FR3070" s="9"/>
      <c r="FS3070" s="12"/>
      <c r="FV3070" s="9"/>
      <c r="FW3070" s="12"/>
      <c r="FZ3070" s="9"/>
      <c r="GA3070" s="12"/>
      <c r="GD3070" s="9"/>
      <c r="GE3070" s="12"/>
      <c r="GH3070" s="9"/>
      <c r="GI3070" s="12"/>
      <c r="GL3070" s="9"/>
      <c r="GM3070" s="12"/>
      <c r="GP3070" s="9"/>
      <c r="GQ3070" s="12"/>
      <c r="GT3070" s="9"/>
      <c r="GU3070" s="12"/>
      <c r="GX3070" s="9"/>
      <c r="GY3070" s="12"/>
      <c r="HB3070" s="9"/>
      <c r="HC3070" s="12"/>
      <c r="HF3070" s="9"/>
      <c r="HG3070" s="12"/>
      <c r="HJ3070" s="9"/>
      <c r="HK3070" s="12"/>
      <c r="HN3070" s="9"/>
      <c r="HO3070" s="12"/>
      <c r="HR3070" s="9"/>
      <c r="HS3070" s="12"/>
      <c r="HV3070" s="9"/>
      <c r="HW3070" s="12"/>
      <c r="HZ3070" s="9"/>
      <c r="IA3070" s="12"/>
      <c r="ID3070" s="9"/>
      <c r="IE3070" s="12"/>
      <c r="IH3070" s="9"/>
      <c r="II3070" s="12"/>
      <c r="IL3070" s="9"/>
      <c r="IM3070" s="12"/>
      <c r="IP3070" s="9"/>
      <c r="IQ3070" s="12"/>
      <c r="IT3070" s="9"/>
      <c r="IU3070" s="12"/>
    </row>
    <row r="3071" spans="1:255" x14ac:dyDescent="0.35">
      <c r="A3071" s="511" t="s">
        <v>1715</v>
      </c>
      <c r="B3071" s="173" t="s">
        <v>5547</v>
      </c>
      <c r="C3071" s="173" t="str">
        <f t="shared" si="1095"/>
        <v>Inbetriebnahme 2012</v>
      </c>
      <c r="D3071" s="173" t="s">
        <v>7245</v>
      </c>
      <c r="E3071" s="173" t="s">
        <v>4811</v>
      </c>
      <c r="F3071" s="374">
        <f t="shared" si="1096"/>
        <v>20.05</v>
      </c>
      <c r="G3071" s="431">
        <v>20.05</v>
      </c>
      <c r="H3071" s="400">
        <f t="shared" si="1097"/>
        <v>16.04</v>
      </c>
      <c r="I3071" s="577"/>
      <c r="J3071" s="549" t="s">
        <v>5804</v>
      </c>
      <c r="K3071" s="11"/>
      <c r="L3071" s="55" t="str">
        <f t="shared" si="1098"/>
        <v/>
      </c>
      <c r="M3071" s="37">
        <f t="shared" si="1099"/>
        <v>20.05</v>
      </c>
      <c r="N3071" s="29">
        <f>ROUND(N2402*(1-$AE$3066)^($M$3064-2009),2)</f>
        <v>11.32</v>
      </c>
      <c r="O3071" s="31" t="s">
        <v>1017</v>
      </c>
      <c r="P3071" s="50"/>
      <c r="Q3071" s="50"/>
      <c r="R3071" s="60"/>
      <c r="S3071" t="s">
        <v>1017</v>
      </c>
      <c r="T3071" s="50"/>
      <c r="U3071" s="50"/>
      <c r="V3071" s="50"/>
      <c r="W3071" s="50"/>
      <c r="X3071" s="50"/>
      <c r="Y3071" s="50"/>
      <c r="Z3071" s="50"/>
      <c r="AA3071" s="50"/>
      <c r="AB3071" s="60"/>
      <c r="AC3071" s="50"/>
      <c r="AD3071" s="38"/>
      <c r="AE3071" t="str">
        <f t="shared" si="1100"/>
        <v/>
      </c>
      <c r="AF3071" t="str">
        <f t="shared" si="1101"/>
        <v/>
      </c>
      <c r="AH3071" s="9"/>
      <c r="AI3071" s="12"/>
      <c r="AL3071" s="9"/>
      <c r="AM3071" s="12"/>
      <c r="AP3071" s="9"/>
      <c r="AQ3071" s="12"/>
      <c r="AT3071" s="9"/>
      <c r="AU3071" s="12"/>
      <c r="AX3071" s="9"/>
      <c r="AY3071" s="12"/>
      <c r="BB3071" s="9"/>
      <c r="BC3071" s="12"/>
      <c r="BF3071" s="9"/>
      <c r="BG3071" s="12"/>
      <c r="BJ3071" s="9"/>
      <c r="BK3071" s="12"/>
      <c r="BN3071" s="9"/>
      <c r="BO3071" s="12"/>
      <c r="BR3071" s="9"/>
      <c r="BS3071" s="12"/>
      <c r="BV3071" s="9"/>
      <c r="BW3071" s="12"/>
      <c r="BZ3071" s="9"/>
      <c r="CA3071" s="12"/>
      <c r="CD3071" s="9"/>
      <c r="CE3071" s="12"/>
      <c r="CH3071" s="9"/>
      <c r="CI3071" s="12"/>
      <c r="CL3071" s="9"/>
      <c r="CM3071" s="12"/>
      <c r="CP3071" s="9"/>
      <c r="CQ3071" s="12"/>
      <c r="CT3071" s="9"/>
      <c r="CU3071" s="12"/>
      <c r="CX3071" s="9"/>
      <c r="CY3071" s="12"/>
      <c r="DB3071" s="9"/>
      <c r="DC3071" s="12"/>
      <c r="DF3071" s="9"/>
      <c r="DG3071" s="12"/>
      <c r="DJ3071" s="9"/>
      <c r="DK3071" s="12"/>
      <c r="DN3071" s="9"/>
      <c r="DO3071" s="12"/>
      <c r="DR3071" s="9"/>
      <c r="DS3071" s="12"/>
      <c r="DV3071" s="9"/>
      <c r="DW3071" s="12"/>
      <c r="DZ3071" s="9"/>
      <c r="EA3071" s="12"/>
      <c r="ED3071" s="9"/>
      <c r="EE3071" s="12"/>
      <c r="EH3071" s="9"/>
      <c r="EI3071" s="12"/>
      <c r="EL3071" s="9"/>
      <c r="EM3071" s="12"/>
      <c r="EP3071" s="9"/>
      <c r="EQ3071" s="12"/>
      <c r="ET3071" s="9"/>
      <c r="EU3071" s="12"/>
      <c r="EX3071" s="9"/>
      <c r="EY3071" s="12"/>
      <c r="FB3071" s="9"/>
      <c r="FC3071" s="12"/>
      <c r="FF3071" s="9"/>
      <c r="FG3071" s="12"/>
      <c r="FJ3071" s="9"/>
      <c r="FK3071" s="12"/>
      <c r="FN3071" s="9"/>
      <c r="FO3071" s="12"/>
      <c r="FR3071" s="9"/>
      <c r="FS3071" s="12"/>
      <c r="FV3071" s="9"/>
      <c r="FW3071" s="12"/>
      <c r="FZ3071" s="9"/>
      <c r="GA3071" s="12"/>
      <c r="GD3071" s="9"/>
      <c r="GE3071" s="12"/>
      <c r="GH3071" s="9"/>
      <c r="GI3071" s="12"/>
      <c r="GL3071" s="9"/>
      <c r="GM3071" s="12"/>
      <c r="GP3071" s="9"/>
      <c r="GQ3071" s="12"/>
      <c r="GT3071" s="9"/>
      <c r="GU3071" s="12"/>
      <c r="GX3071" s="9"/>
      <c r="GY3071" s="12"/>
      <c r="HB3071" s="9"/>
      <c r="HC3071" s="12"/>
      <c r="HF3071" s="9"/>
      <c r="HG3071" s="12"/>
      <c r="HJ3071" s="9"/>
      <c r="HK3071" s="12"/>
      <c r="HN3071" s="9"/>
      <c r="HO3071" s="12"/>
      <c r="HR3071" s="9"/>
      <c r="HS3071" s="12"/>
      <c r="HV3071" s="9"/>
      <c r="HW3071" s="12"/>
      <c r="HZ3071" s="9"/>
      <c r="IA3071" s="12"/>
      <c r="ID3071" s="9"/>
      <c r="IE3071" s="12"/>
      <c r="IH3071" s="9"/>
      <c r="II3071" s="12"/>
      <c r="IL3071" s="9"/>
      <c r="IM3071" s="12"/>
      <c r="IP3071" s="9"/>
      <c r="IQ3071" s="12"/>
      <c r="IT3071" s="9"/>
      <c r="IU3071" s="12"/>
    </row>
    <row r="3072" spans="1:255" x14ac:dyDescent="0.35">
      <c r="A3072" s="511" t="s">
        <v>1716</v>
      </c>
      <c r="B3072" s="173" t="s">
        <v>5547</v>
      </c>
      <c r="C3072" s="173" t="str">
        <f t="shared" si="1095"/>
        <v>Inbetriebnahme 2012</v>
      </c>
      <c r="D3072" s="173" t="s">
        <v>7309</v>
      </c>
      <c r="E3072" s="173" t="s">
        <v>4809</v>
      </c>
      <c r="F3072" s="374">
        <f t="shared" si="1096"/>
        <v>13.26</v>
      </c>
      <c r="G3072" s="431">
        <v>13.26</v>
      </c>
      <c r="H3072" s="400">
        <f t="shared" si="1097"/>
        <v>10.61</v>
      </c>
      <c r="I3072" s="577"/>
      <c r="J3072" s="549" t="s">
        <v>5804</v>
      </c>
      <c r="K3072" s="11"/>
      <c r="L3072" s="55" t="str">
        <f t="shared" si="1098"/>
        <v/>
      </c>
      <c r="M3072" s="37">
        <f t="shared" si="1099"/>
        <v>13.26</v>
      </c>
      <c r="N3072" s="29">
        <f>ROUND(N2469*(1-$AE$3066)^($M$3064-2009),2)</f>
        <v>11.32</v>
      </c>
      <c r="O3072" s="31"/>
      <c r="P3072" s="50"/>
      <c r="Q3072" s="50"/>
      <c r="R3072" s="60"/>
      <c r="T3072" s="50"/>
      <c r="U3072" s="50"/>
      <c r="V3072" s="50"/>
      <c r="W3072" s="50"/>
      <c r="X3072" s="50"/>
      <c r="Y3072" s="50"/>
      <c r="Z3072" s="50"/>
      <c r="AA3072" s="50"/>
      <c r="AB3072" s="60"/>
      <c r="AC3072" s="50"/>
      <c r="AD3072" s="38" t="s">
        <v>1017</v>
      </c>
      <c r="AE3072" t="str">
        <f t="shared" si="1100"/>
        <v/>
      </c>
      <c r="AF3072" t="str">
        <f t="shared" si="1101"/>
        <v/>
      </c>
    </row>
    <row r="3073" spans="1:32" x14ac:dyDescent="0.35">
      <c r="A3073" s="511" t="s">
        <v>1717</v>
      </c>
      <c r="B3073" s="173" t="s">
        <v>5547</v>
      </c>
      <c r="C3073" s="173" t="str">
        <f t="shared" si="1095"/>
        <v>Inbetriebnahme 2012</v>
      </c>
      <c r="D3073" s="173" t="s">
        <v>7310</v>
      </c>
      <c r="E3073" s="173" t="s">
        <v>4811</v>
      </c>
      <c r="F3073" s="374">
        <f t="shared" si="1096"/>
        <v>16.170000000000002</v>
      </c>
      <c r="G3073" s="431">
        <v>16.170000000000002</v>
      </c>
      <c r="H3073" s="400">
        <f t="shared" si="1097"/>
        <v>12.94</v>
      </c>
      <c r="I3073" s="577"/>
      <c r="J3073" s="549" t="s">
        <v>5804</v>
      </c>
      <c r="K3073" s="11"/>
      <c r="L3073" s="55" t="str">
        <f t="shared" si="1098"/>
        <v/>
      </c>
      <c r="M3073" s="37">
        <f t="shared" si="1099"/>
        <v>16.170000000000002</v>
      </c>
      <c r="N3073" s="29">
        <f>ROUND(N2470*(1-$AE$3066)^($M$3064-2009),2)</f>
        <v>11.32</v>
      </c>
      <c r="O3073" s="31" t="s">
        <v>1017</v>
      </c>
      <c r="P3073" s="50"/>
      <c r="Q3073" s="50"/>
      <c r="R3073" s="60"/>
      <c r="T3073" s="50"/>
      <c r="U3073" s="50"/>
      <c r="V3073" s="50"/>
      <c r="W3073" s="50"/>
      <c r="X3073" s="50"/>
      <c r="Y3073" s="50"/>
      <c r="Z3073" s="50"/>
      <c r="AA3073" s="50"/>
      <c r="AB3073" s="60"/>
      <c r="AC3073" s="50"/>
      <c r="AD3073" s="38" t="s">
        <v>1017</v>
      </c>
      <c r="AE3073" t="str">
        <f t="shared" si="1100"/>
        <v/>
      </c>
      <c r="AF3073" t="str">
        <f t="shared" si="1101"/>
        <v/>
      </c>
    </row>
    <row r="3074" spans="1:32" x14ac:dyDescent="0.35">
      <c r="A3074" s="511" t="s">
        <v>1718</v>
      </c>
      <c r="B3074" s="173" t="s">
        <v>5547</v>
      </c>
      <c r="C3074" s="173" t="str">
        <f t="shared" si="1095"/>
        <v>Inbetriebnahme 2012</v>
      </c>
      <c r="D3074" s="173" t="s">
        <v>7313</v>
      </c>
      <c r="E3074" s="173" t="s">
        <v>4809</v>
      </c>
      <c r="F3074" s="374">
        <f t="shared" si="1096"/>
        <v>19.079999999999998</v>
      </c>
      <c r="G3074" s="431">
        <v>19.079999999999998</v>
      </c>
      <c r="H3074" s="400">
        <f t="shared" si="1097"/>
        <v>15.26</v>
      </c>
      <c r="I3074" s="577"/>
      <c r="J3074" s="549" t="s">
        <v>5804</v>
      </c>
      <c r="K3074" s="11"/>
      <c r="L3074" s="55" t="str">
        <f t="shared" si="1098"/>
        <v/>
      </c>
      <c r="M3074" s="37">
        <f t="shared" si="1099"/>
        <v>19.079999999999998</v>
      </c>
      <c r="N3074" s="29">
        <f>ROUND(N2473*(1-$AE$3066)^($M$3064-2009),2)</f>
        <v>11.32</v>
      </c>
      <c r="O3074" s="31"/>
      <c r="P3074" s="50"/>
      <c r="Q3074" s="50"/>
      <c r="R3074" s="60"/>
      <c r="S3074" t="s">
        <v>1017</v>
      </c>
      <c r="T3074" s="50"/>
      <c r="U3074" s="50"/>
      <c r="V3074" s="50"/>
      <c r="W3074" s="50"/>
      <c r="X3074" s="50"/>
      <c r="Y3074" s="50"/>
      <c r="Z3074" s="50"/>
      <c r="AA3074" s="50"/>
      <c r="AB3074" s="60"/>
      <c r="AC3074" s="50"/>
      <c r="AD3074" s="38" t="s">
        <v>1017</v>
      </c>
      <c r="AE3074" t="str">
        <f t="shared" si="1100"/>
        <v/>
      </c>
      <c r="AF3074" t="str">
        <f t="shared" si="1101"/>
        <v/>
      </c>
    </row>
    <row r="3075" spans="1:32" x14ac:dyDescent="0.35">
      <c r="A3075" s="511" t="s">
        <v>1719</v>
      </c>
      <c r="B3075" s="173" t="s">
        <v>5547</v>
      </c>
      <c r="C3075" s="173" t="str">
        <f t="shared" si="1095"/>
        <v>Inbetriebnahme 2012</v>
      </c>
      <c r="D3075" s="173" t="s">
        <v>7314</v>
      </c>
      <c r="E3075" s="173" t="s">
        <v>4811</v>
      </c>
      <c r="F3075" s="374">
        <f t="shared" si="1096"/>
        <v>21.990000000000002</v>
      </c>
      <c r="G3075" s="431">
        <v>21.990000000000002</v>
      </c>
      <c r="H3075" s="400">
        <f t="shared" si="1097"/>
        <v>17.59</v>
      </c>
      <c r="I3075" s="577"/>
      <c r="J3075" s="549" t="s">
        <v>5804</v>
      </c>
      <c r="K3075" s="11"/>
      <c r="L3075" s="55" t="str">
        <f t="shared" si="1098"/>
        <v/>
      </c>
      <c r="M3075" s="37">
        <f t="shared" si="1099"/>
        <v>21.990000000000002</v>
      </c>
      <c r="N3075" s="29">
        <f>ROUND(N2474*(1-$AE$3066)^($M$3064-2009),2)</f>
        <v>11.32</v>
      </c>
      <c r="O3075" s="31" t="s">
        <v>1017</v>
      </c>
      <c r="P3075" s="50"/>
      <c r="Q3075" s="50"/>
      <c r="R3075" s="60"/>
      <c r="S3075" t="s">
        <v>1017</v>
      </c>
      <c r="T3075" s="50"/>
      <c r="U3075" s="50"/>
      <c r="V3075" s="50"/>
      <c r="W3075" s="50"/>
      <c r="X3075" s="50"/>
      <c r="Y3075" s="50"/>
      <c r="Z3075" s="50"/>
      <c r="AA3075" s="50"/>
      <c r="AB3075" s="60"/>
      <c r="AC3075" s="50"/>
      <c r="AD3075" s="38" t="s">
        <v>1017</v>
      </c>
      <c r="AE3075" t="str">
        <f t="shared" si="1100"/>
        <v/>
      </c>
      <c r="AF3075" t="str">
        <f t="shared" si="1101"/>
        <v/>
      </c>
    </row>
    <row r="3076" spans="1:32" x14ac:dyDescent="0.35">
      <c r="A3076" s="511" t="s">
        <v>1720</v>
      </c>
      <c r="B3076" s="173" t="s">
        <v>5547</v>
      </c>
      <c r="C3076" s="173" t="str">
        <f t="shared" si="1095"/>
        <v>Inbetriebnahme 2012</v>
      </c>
      <c r="D3076" s="173" t="s">
        <v>5414</v>
      </c>
      <c r="E3076" s="173" t="s">
        <v>4809</v>
      </c>
      <c r="F3076" s="374">
        <f t="shared" si="1096"/>
        <v>8.91</v>
      </c>
      <c r="G3076" s="431">
        <v>8.91</v>
      </c>
      <c r="H3076" s="400">
        <f t="shared" si="1097"/>
        <v>7.13</v>
      </c>
      <c r="I3076" s="577"/>
      <c r="J3076" s="549" t="s">
        <v>5804</v>
      </c>
      <c r="K3076" s="11"/>
      <c r="L3076" s="55" t="str">
        <f t="shared" si="1098"/>
        <v/>
      </c>
      <c r="M3076" s="37">
        <f t="shared" si="1099"/>
        <v>8.91</v>
      </c>
      <c r="N3076" s="29">
        <f>ROUND(N2493*(1-$AE$3066)^($M$3064-2009),2)</f>
        <v>8.91</v>
      </c>
      <c r="O3076" s="31"/>
      <c r="P3076" s="50"/>
      <c r="Q3076" s="50"/>
      <c r="R3076" s="60"/>
      <c r="T3076" s="50"/>
      <c r="U3076" s="50"/>
      <c r="V3076" s="50"/>
      <c r="W3076" s="50"/>
      <c r="X3076" s="50"/>
      <c r="Y3076" s="50"/>
      <c r="Z3076" s="50"/>
      <c r="AA3076" s="50"/>
      <c r="AB3076" s="60"/>
      <c r="AC3076" s="50"/>
      <c r="AD3076" s="38"/>
      <c r="AE3076" t="str">
        <f t="shared" si="1100"/>
        <v/>
      </c>
      <c r="AF3076" t="str">
        <f t="shared" si="1101"/>
        <v/>
      </c>
    </row>
    <row r="3077" spans="1:32" x14ac:dyDescent="0.35">
      <c r="A3077" s="511" t="s">
        <v>1721</v>
      </c>
      <c r="B3077" s="173" t="s">
        <v>5547</v>
      </c>
      <c r="C3077" s="173" t="str">
        <f t="shared" si="1095"/>
        <v>Inbetriebnahme 2012</v>
      </c>
      <c r="D3077" s="173" t="s">
        <v>2902</v>
      </c>
      <c r="E3077" s="173" t="s">
        <v>4811</v>
      </c>
      <c r="F3077" s="374">
        <f t="shared" si="1096"/>
        <v>11.82</v>
      </c>
      <c r="G3077" s="431">
        <v>11.82</v>
      </c>
      <c r="H3077" s="400">
        <f t="shared" si="1097"/>
        <v>9.4600000000000009</v>
      </c>
      <c r="I3077" s="577"/>
      <c r="J3077" s="549" t="s">
        <v>5804</v>
      </c>
      <c r="K3077" s="11"/>
      <c r="L3077" s="55" t="str">
        <f t="shared" si="1098"/>
        <v/>
      </c>
      <c r="M3077" s="37">
        <f t="shared" si="1099"/>
        <v>11.82</v>
      </c>
      <c r="N3077" s="29">
        <f>ROUND(N2494*(1-$AE$3066)^($M$3064-2009),2)</f>
        <v>8.91</v>
      </c>
      <c r="O3077" s="31" t="s">
        <v>1017</v>
      </c>
      <c r="P3077" s="50"/>
      <c r="Q3077" s="50"/>
      <c r="R3077" s="60"/>
      <c r="T3077" s="50"/>
      <c r="U3077" s="50"/>
      <c r="V3077" s="50"/>
      <c r="W3077" s="50"/>
      <c r="X3077" s="50"/>
      <c r="Y3077" s="50"/>
      <c r="Z3077" s="50"/>
      <c r="AA3077" s="50"/>
      <c r="AB3077" s="60"/>
      <c r="AC3077" s="50"/>
      <c r="AD3077" s="38"/>
      <c r="AE3077" t="str">
        <f t="shared" si="1100"/>
        <v/>
      </c>
      <c r="AF3077" t="str">
        <f t="shared" si="1101"/>
        <v/>
      </c>
    </row>
    <row r="3078" spans="1:32" x14ac:dyDescent="0.35">
      <c r="A3078" s="511" t="s">
        <v>1722</v>
      </c>
      <c r="B3078" s="173" t="s">
        <v>5547</v>
      </c>
      <c r="C3078" s="173" t="str">
        <f t="shared" si="1095"/>
        <v>Inbetriebnahme 2012</v>
      </c>
      <c r="D3078" s="173" t="s">
        <v>597</v>
      </c>
      <c r="E3078" s="173" t="s">
        <v>4809</v>
      </c>
      <c r="F3078" s="374">
        <f t="shared" si="1096"/>
        <v>14.73</v>
      </c>
      <c r="G3078" s="431">
        <v>14.73</v>
      </c>
      <c r="H3078" s="400">
        <f t="shared" si="1097"/>
        <v>11.78</v>
      </c>
      <c r="I3078" s="577"/>
      <c r="J3078" s="549" t="s">
        <v>5804</v>
      </c>
      <c r="K3078" s="11"/>
      <c r="L3078" s="55" t="str">
        <f t="shared" si="1098"/>
        <v/>
      </c>
      <c r="M3078" s="37">
        <f t="shared" si="1099"/>
        <v>14.73</v>
      </c>
      <c r="N3078" s="29">
        <f>ROUND(N2497*(1-$AE$3066)^($M$3064-2009),2)</f>
        <v>8.91</v>
      </c>
      <c r="O3078" s="31"/>
      <c r="P3078" s="50"/>
      <c r="Q3078" s="50"/>
      <c r="R3078" s="60"/>
      <c r="S3078" t="s">
        <v>1017</v>
      </c>
      <c r="T3078" s="50"/>
      <c r="U3078" s="50"/>
      <c r="V3078" s="50"/>
      <c r="W3078" s="50"/>
      <c r="X3078" s="50"/>
      <c r="Y3078" s="50"/>
      <c r="Z3078" s="50"/>
      <c r="AA3078" s="50"/>
      <c r="AB3078" s="60"/>
      <c r="AC3078" s="50"/>
      <c r="AD3078" s="38"/>
      <c r="AE3078" t="str">
        <f t="shared" si="1100"/>
        <v/>
      </c>
      <c r="AF3078" t="str">
        <f t="shared" si="1101"/>
        <v/>
      </c>
    </row>
    <row r="3079" spans="1:32" x14ac:dyDescent="0.35">
      <c r="A3079" s="511" t="s">
        <v>1723</v>
      </c>
      <c r="B3079" s="173" t="s">
        <v>5547</v>
      </c>
      <c r="C3079" s="173" t="str">
        <f t="shared" si="1095"/>
        <v>Inbetriebnahme 2012</v>
      </c>
      <c r="D3079" s="173" t="s">
        <v>3200</v>
      </c>
      <c r="E3079" s="173" t="s">
        <v>4811</v>
      </c>
      <c r="F3079" s="374">
        <f t="shared" si="1096"/>
        <v>17.64</v>
      </c>
      <c r="G3079" s="431">
        <v>17.64</v>
      </c>
      <c r="H3079" s="400">
        <f t="shared" si="1097"/>
        <v>14.11</v>
      </c>
      <c r="I3079" s="577"/>
      <c r="J3079" s="549" t="s">
        <v>5804</v>
      </c>
      <c r="K3079" s="11"/>
      <c r="L3079" s="55" t="str">
        <f t="shared" si="1098"/>
        <v/>
      </c>
      <c r="M3079" s="37">
        <f t="shared" si="1099"/>
        <v>17.64</v>
      </c>
      <c r="N3079" s="29">
        <f>ROUND(N2498*(1-$AE$3066)^($M$3064-2009),2)</f>
        <v>8.91</v>
      </c>
      <c r="O3079" s="31" t="s">
        <v>1017</v>
      </c>
      <c r="P3079" s="50"/>
      <c r="Q3079" s="50"/>
      <c r="R3079" s="60"/>
      <c r="S3079" t="s">
        <v>1017</v>
      </c>
      <c r="T3079" s="50"/>
      <c r="U3079" s="50"/>
      <c r="V3079" s="50"/>
      <c r="W3079" s="50"/>
      <c r="X3079" s="50"/>
      <c r="Y3079" s="50"/>
      <c r="Z3079" s="50"/>
      <c r="AA3079" s="50"/>
      <c r="AB3079" s="60"/>
      <c r="AC3079" s="50"/>
      <c r="AD3079" s="38"/>
      <c r="AE3079" t="str">
        <f t="shared" si="1100"/>
        <v/>
      </c>
      <c r="AF3079" t="str">
        <f t="shared" si="1101"/>
        <v/>
      </c>
    </row>
    <row r="3080" spans="1:32" x14ac:dyDescent="0.35">
      <c r="A3080" s="511" t="s">
        <v>1724</v>
      </c>
      <c r="B3080" s="173" t="s">
        <v>5547</v>
      </c>
      <c r="C3080" s="173" t="str">
        <f t="shared" si="1095"/>
        <v>Inbetriebnahme 2012</v>
      </c>
      <c r="D3080" s="173" t="s">
        <v>595</v>
      </c>
      <c r="E3080" s="173" t="s">
        <v>4809</v>
      </c>
      <c r="F3080" s="374">
        <f t="shared" si="1096"/>
        <v>10.85</v>
      </c>
      <c r="G3080" s="431">
        <v>10.85</v>
      </c>
      <c r="H3080" s="400">
        <f t="shared" si="1097"/>
        <v>8.68</v>
      </c>
      <c r="I3080" s="577"/>
      <c r="J3080" s="549" t="s">
        <v>5804</v>
      </c>
      <c r="K3080" s="11"/>
      <c r="L3080" s="55" t="str">
        <f t="shared" si="1098"/>
        <v/>
      </c>
      <c r="M3080" s="37">
        <f t="shared" si="1099"/>
        <v>10.85</v>
      </c>
      <c r="N3080" s="29">
        <f>ROUND(N2565*(1-$AE$3066)^($M$3064-2009),2)</f>
        <v>8.91</v>
      </c>
      <c r="O3080" s="31"/>
      <c r="P3080" s="50"/>
      <c r="Q3080" s="50"/>
      <c r="R3080" s="60"/>
      <c r="T3080" s="50"/>
      <c r="U3080" s="50"/>
      <c r="V3080" s="50"/>
      <c r="W3080" s="50"/>
      <c r="X3080" s="50"/>
      <c r="Y3080" s="50"/>
      <c r="Z3080" s="50"/>
      <c r="AA3080" s="50"/>
      <c r="AB3080" s="60"/>
      <c r="AC3080" s="50"/>
      <c r="AD3080" s="38" t="s">
        <v>1017</v>
      </c>
      <c r="AE3080" t="str">
        <f t="shared" si="1100"/>
        <v/>
      </c>
      <c r="AF3080" t="str">
        <f t="shared" si="1101"/>
        <v/>
      </c>
    </row>
    <row r="3081" spans="1:32" x14ac:dyDescent="0.35">
      <c r="A3081" s="511" t="s">
        <v>1725</v>
      </c>
      <c r="B3081" s="173" t="s">
        <v>5547</v>
      </c>
      <c r="C3081" s="173" t="str">
        <f t="shared" si="1095"/>
        <v>Inbetriebnahme 2012</v>
      </c>
      <c r="D3081" s="173" t="s">
        <v>3198</v>
      </c>
      <c r="E3081" s="173" t="s">
        <v>4811</v>
      </c>
      <c r="F3081" s="374">
        <f t="shared" si="1096"/>
        <v>13.76</v>
      </c>
      <c r="G3081" s="431">
        <v>13.76</v>
      </c>
      <c r="H3081" s="400">
        <f t="shared" si="1097"/>
        <v>11.01</v>
      </c>
      <c r="I3081" s="577"/>
      <c r="J3081" s="549" t="s">
        <v>5804</v>
      </c>
      <c r="K3081" s="11"/>
      <c r="L3081" s="55" t="str">
        <f t="shared" si="1098"/>
        <v/>
      </c>
      <c r="M3081" s="37">
        <f t="shared" si="1099"/>
        <v>13.76</v>
      </c>
      <c r="N3081" s="29">
        <f>ROUND(N2566*(1-$AE$3066)^($M$3064-2009),2)</f>
        <v>8.91</v>
      </c>
      <c r="O3081" s="31" t="s">
        <v>1017</v>
      </c>
      <c r="P3081" s="50"/>
      <c r="Q3081" s="50"/>
      <c r="R3081" s="60"/>
      <c r="T3081" s="50"/>
      <c r="U3081" s="50"/>
      <c r="V3081" s="50"/>
      <c r="W3081" s="50"/>
      <c r="X3081" s="50"/>
      <c r="Y3081" s="50"/>
      <c r="Z3081" s="50"/>
      <c r="AA3081" s="50"/>
      <c r="AB3081" s="60"/>
      <c r="AC3081" s="50"/>
      <c r="AD3081" s="38" t="s">
        <v>1017</v>
      </c>
      <c r="AE3081" t="str">
        <f t="shared" si="1100"/>
        <v/>
      </c>
      <c r="AF3081" t="str">
        <f t="shared" si="1101"/>
        <v/>
      </c>
    </row>
    <row r="3082" spans="1:32" x14ac:dyDescent="0.35">
      <c r="A3082" s="511" t="s">
        <v>1726</v>
      </c>
      <c r="B3082" s="173" t="s">
        <v>5547</v>
      </c>
      <c r="C3082" s="173" t="str">
        <f t="shared" si="1095"/>
        <v>Inbetriebnahme 2012</v>
      </c>
      <c r="D3082" s="173" t="s">
        <v>850</v>
      </c>
      <c r="E3082" s="173" t="s">
        <v>4809</v>
      </c>
      <c r="F3082" s="374">
        <f t="shared" si="1096"/>
        <v>16.670000000000002</v>
      </c>
      <c r="G3082" s="431">
        <v>16.670000000000002</v>
      </c>
      <c r="H3082" s="400">
        <f t="shared" si="1097"/>
        <v>13.34</v>
      </c>
      <c r="I3082" s="577"/>
      <c r="J3082" s="549" t="s">
        <v>5804</v>
      </c>
      <c r="K3082" s="11"/>
      <c r="L3082" s="55" t="str">
        <f t="shared" si="1098"/>
        <v/>
      </c>
      <c r="M3082" s="37">
        <f t="shared" si="1099"/>
        <v>16.670000000000002</v>
      </c>
      <c r="N3082" s="29">
        <f>ROUND(N2569*(1-$AE$3066)^($M$3064-2009),2)</f>
        <v>8.91</v>
      </c>
      <c r="O3082" s="31"/>
      <c r="P3082" s="50"/>
      <c r="Q3082" s="50"/>
      <c r="R3082" s="60"/>
      <c r="S3082" t="s">
        <v>1017</v>
      </c>
      <c r="T3082" s="50"/>
      <c r="U3082" s="50"/>
      <c r="V3082" s="50"/>
      <c r="W3082" s="50"/>
      <c r="X3082" s="50"/>
      <c r="Y3082" s="50"/>
      <c r="Z3082" s="50"/>
      <c r="AA3082" s="50"/>
      <c r="AB3082" s="60"/>
      <c r="AC3082" s="50"/>
      <c r="AD3082" s="38" t="s">
        <v>1017</v>
      </c>
      <c r="AE3082" t="str">
        <f t="shared" si="1100"/>
        <v/>
      </c>
      <c r="AF3082" t="str">
        <f t="shared" si="1101"/>
        <v/>
      </c>
    </row>
    <row r="3083" spans="1:32" x14ac:dyDescent="0.35">
      <c r="A3083" s="511" t="s">
        <v>5373</v>
      </c>
      <c r="B3083" s="173" t="s">
        <v>5547</v>
      </c>
      <c r="C3083" s="173" t="str">
        <f t="shared" si="1095"/>
        <v>Inbetriebnahme 2012</v>
      </c>
      <c r="D3083" s="173" t="s">
        <v>2653</v>
      </c>
      <c r="E3083" s="173" t="s">
        <v>4811</v>
      </c>
      <c r="F3083" s="374">
        <f t="shared" si="1096"/>
        <v>19.579999999999998</v>
      </c>
      <c r="G3083" s="431">
        <v>19.579999999999998</v>
      </c>
      <c r="H3083" s="400">
        <f t="shared" si="1097"/>
        <v>15.66</v>
      </c>
      <c r="I3083" s="577"/>
      <c r="J3083" s="549" t="s">
        <v>5804</v>
      </c>
      <c r="K3083" s="11"/>
      <c r="L3083" s="55" t="str">
        <f t="shared" si="1098"/>
        <v/>
      </c>
      <c r="M3083" s="37">
        <f t="shared" si="1099"/>
        <v>19.579999999999998</v>
      </c>
      <c r="N3083" s="29">
        <f>ROUND(N2570*(1-$AE$3066)^($M$3064-2009),2)</f>
        <v>8.91</v>
      </c>
      <c r="O3083" s="31" t="s">
        <v>1017</v>
      </c>
      <c r="P3083" s="50"/>
      <c r="Q3083" s="50"/>
      <c r="R3083" s="60"/>
      <c r="S3083" t="s">
        <v>1017</v>
      </c>
      <c r="T3083" s="50"/>
      <c r="U3083" s="50"/>
      <c r="V3083" s="50"/>
      <c r="W3083" s="50"/>
      <c r="X3083" s="50"/>
      <c r="Y3083" s="50"/>
      <c r="Z3083" s="50"/>
      <c r="AA3083" s="50"/>
      <c r="AB3083" s="60"/>
      <c r="AC3083" s="50"/>
      <c r="AD3083" s="38" t="s">
        <v>1017</v>
      </c>
      <c r="AE3083" t="str">
        <f t="shared" si="1100"/>
        <v/>
      </c>
      <c r="AF3083" t="str">
        <f t="shared" si="1101"/>
        <v/>
      </c>
    </row>
    <row r="3084" spans="1:32" x14ac:dyDescent="0.35">
      <c r="A3084" s="511" t="s">
        <v>1727</v>
      </c>
      <c r="B3084" s="173" t="s">
        <v>5547</v>
      </c>
      <c r="C3084" s="173" t="str">
        <f t="shared" si="1095"/>
        <v>Inbetriebnahme 2012</v>
      </c>
      <c r="D3084" s="173" t="s">
        <v>5407</v>
      </c>
      <c r="E3084" s="173" t="s">
        <v>4809</v>
      </c>
      <c r="F3084" s="374">
        <f t="shared" si="1096"/>
        <v>8</v>
      </c>
      <c r="G3084" s="431">
        <v>8</v>
      </c>
      <c r="H3084" s="400">
        <f t="shared" si="1097"/>
        <v>6.4</v>
      </c>
      <c r="I3084" s="577"/>
      <c r="J3084" s="549" t="s">
        <v>5804</v>
      </c>
      <c r="K3084" s="11"/>
      <c r="L3084" s="55" t="str">
        <f t="shared" si="1098"/>
        <v/>
      </c>
      <c r="M3084" s="37">
        <f t="shared" si="1099"/>
        <v>8</v>
      </c>
      <c r="N3084" s="29">
        <f t="shared" ref="N3084:N3089" si="1102">ROUND(N2589*(1-$AE$3066)^($M$3064-2009),2)</f>
        <v>8</v>
      </c>
      <c r="O3084" s="31"/>
      <c r="P3084" s="50"/>
      <c r="Q3084" s="50"/>
      <c r="R3084" s="60"/>
      <c r="S3084" s="50"/>
      <c r="V3084" s="50"/>
      <c r="W3084" s="50"/>
      <c r="X3084" s="50"/>
      <c r="Y3084" s="50"/>
      <c r="Z3084" s="50"/>
      <c r="AA3084" s="50"/>
      <c r="AB3084" s="60"/>
      <c r="AC3084" s="50"/>
      <c r="AD3084" s="38"/>
      <c r="AE3084" t="str">
        <f t="shared" si="1100"/>
        <v/>
      </c>
      <c r="AF3084" t="str">
        <f t="shared" si="1101"/>
        <v/>
      </c>
    </row>
    <row r="3085" spans="1:32" x14ac:dyDescent="0.35">
      <c r="A3085" s="511" t="s">
        <v>1728</v>
      </c>
      <c r="B3085" s="173" t="s">
        <v>5547</v>
      </c>
      <c r="C3085" s="173" t="str">
        <f t="shared" si="1095"/>
        <v>Inbetriebnahme 2012</v>
      </c>
      <c r="D3085" s="173" t="s">
        <v>2903</v>
      </c>
      <c r="E3085" s="173" t="s">
        <v>4811</v>
      </c>
      <c r="F3085" s="374">
        <f t="shared" si="1096"/>
        <v>10.91</v>
      </c>
      <c r="G3085" s="431">
        <v>10.91</v>
      </c>
      <c r="H3085" s="400">
        <f t="shared" si="1097"/>
        <v>8.73</v>
      </c>
      <c r="I3085" s="577"/>
      <c r="J3085" s="549" t="s">
        <v>5804</v>
      </c>
      <c r="K3085" s="11"/>
      <c r="L3085" s="55" t="str">
        <f t="shared" si="1098"/>
        <v/>
      </c>
      <c r="M3085" s="37">
        <f t="shared" si="1099"/>
        <v>10.91</v>
      </c>
      <c r="N3085" s="29">
        <f t="shared" si="1102"/>
        <v>8</v>
      </c>
      <c r="O3085" s="31" t="s">
        <v>1017</v>
      </c>
      <c r="P3085" s="50"/>
      <c r="Q3085" s="50"/>
      <c r="R3085" s="60"/>
      <c r="S3085" s="50"/>
      <c r="V3085" s="50"/>
      <c r="W3085" s="50"/>
      <c r="X3085" s="50"/>
      <c r="Y3085" s="50"/>
      <c r="Z3085" s="50"/>
      <c r="AA3085" s="50"/>
      <c r="AB3085" s="60"/>
      <c r="AC3085" s="50"/>
      <c r="AD3085" s="38"/>
      <c r="AE3085" t="str">
        <f t="shared" si="1100"/>
        <v/>
      </c>
      <c r="AF3085" t="str">
        <f t="shared" si="1101"/>
        <v/>
      </c>
    </row>
    <row r="3086" spans="1:32" x14ac:dyDescent="0.35">
      <c r="A3086" s="511" t="s">
        <v>1729</v>
      </c>
      <c r="B3086" s="173" t="s">
        <v>5547</v>
      </c>
      <c r="C3086" s="173" t="str">
        <f t="shared" si="1095"/>
        <v>Inbetriebnahme 2012</v>
      </c>
      <c r="D3086" s="173" t="s">
        <v>598</v>
      </c>
      <c r="E3086" s="173" t="s">
        <v>4809</v>
      </c>
      <c r="F3086" s="374">
        <f t="shared" si="1096"/>
        <v>11.879999999999999</v>
      </c>
      <c r="G3086" s="431">
        <v>11.879999999999999</v>
      </c>
      <c r="H3086" s="400">
        <f t="shared" si="1097"/>
        <v>9.5</v>
      </c>
      <c r="I3086" s="577"/>
      <c r="J3086" s="549" t="s">
        <v>5804</v>
      </c>
      <c r="K3086" s="11"/>
      <c r="L3086" s="55" t="str">
        <f t="shared" si="1098"/>
        <v/>
      </c>
      <c r="M3086" s="37">
        <f t="shared" si="1099"/>
        <v>11.879999999999999</v>
      </c>
      <c r="N3086" s="29">
        <f t="shared" si="1102"/>
        <v>8</v>
      </c>
      <c r="O3086" s="31"/>
      <c r="P3086" s="50"/>
      <c r="Q3086" s="50"/>
      <c r="R3086" s="60"/>
      <c r="S3086" s="50"/>
      <c r="T3086" t="s">
        <v>1017</v>
      </c>
      <c r="V3086" s="50"/>
      <c r="W3086" s="50"/>
      <c r="X3086" s="50"/>
      <c r="Y3086" s="50"/>
      <c r="Z3086" s="50"/>
      <c r="AA3086" s="50"/>
      <c r="AB3086" s="60"/>
      <c r="AC3086" s="50"/>
      <c r="AD3086" s="38"/>
      <c r="AE3086" t="str">
        <f t="shared" si="1100"/>
        <v/>
      </c>
      <c r="AF3086" t="str">
        <f t="shared" si="1101"/>
        <v/>
      </c>
    </row>
    <row r="3087" spans="1:32" x14ac:dyDescent="0.35">
      <c r="A3087" s="511" t="s">
        <v>1730</v>
      </c>
      <c r="B3087" s="173" t="s">
        <v>5547</v>
      </c>
      <c r="C3087" s="173" t="str">
        <f t="shared" si="1095"/>
        <v>Inbetriebnahme 2012</v>
      </c>
      <c r="D3087" s="173" t="s">
        <v>3201</v>
      </c>
      <c r="E3087" s="173" t="s">
        <v>4811</v>
      </c>
      <c r="F3087" s="374">
        <f t="shared" si="1096"/>
        <v>14.79</v>
      </c>
      <c r="G3087" s="431">
        <v>14.79</v>
      </c>
      <c r="H3087" s="400">
        <f t="shared" si="1097"/>
        <v>11.83</v>
      </c>
      <c r="I3087" s="577"/>
      <c r="J3087" s="549" t="s">
        <v>5804</v>
      </c>
      <c r="K3087" s="11"/>
      <c r="L3087" s="55" t="str">
        <f t="shared" si="1098"/>
        <v/>
      </c>
      <c r="M3087" s="37">
        <f t="shared" si="1099"/>
        <v>14.79</v>
      </c>
      <c r="N3087" s="29">
        <f t="shared" si="1102"/>
        <v>8</v>
      </c>
      <c r="O3087" s="31" t="s">
        <v>1017</v>
      </c>
      <c r="P3087" s="50"/>
      <c r="Q3087" s="50"/>
      <c r="R3087" s="60"/>
      <c r="S3087" s="50"/>
      <c r="T3087" t="s">
        <v>1017</v>
      </c>
      <c r="V3087" s="50"/>
      <c r="W3087" s="50"/>
      <c r="X3087" s="50"/>
      <c r="Y3087" s="50"/>
      <c r="Z3087" s="50"/>
      <c r="AA3087" s="50"/>
      <c r="AB3087" s="60"/>
      <c r="AC3087" s="50"/>
      <c r="AD3087" s="38"/>
      <c r="AE3087" t="str">
        <f t="shared" si="1100"/>
        <v/>
      </c>
      <c r="AF3087" t="str">
        <f t="shared" si="1101"/>
        <v/>
      </c>
    </row>
    <row r="3088" spans="1:32" x14ac:dyDescent="0.35">
      <c r="A3088" s="511" t="s">
        <v>1731</v>
      </c>
      <c r="B3088" s="173" t="s">
        <v>5547</v>
      </c>
      <c r="C3088" s="173" t="str">
        <f t="shared" si="1095"/>
        <v>Inbetriebnahme 2012</v>
      </c>
      <c r="D3088" s="173" t="s">
        <v>599</v>
      </c>
      <c r="E3088" s="173" t="s">
        <v>4809</v>
      </c>
      <c r="F3088" s="374">
        <f t="shared" si="1096"/>
        <v>10.43</v>
      </c>
      <c r="G3088" s="431">
        <v>10.43</v>
      </c>
      <c r="H3088" s="400">
        <f t="shared" si="1097"/>
        <v>8.34</v>
      </c>
      <c r="I3088" s="577"/>
      <c r="J3088" s="549" t="s">
        <v>5804</v>
      </c>
      <c r="K3088" s="11"/>
      <c r="L3088" s="55" t="str">
        <f t="shared" si="1098"/>
        <v/>
      </c>
      <c r="M3088" s="37">
        <f t="shared" si="1099"/>
        <v>10.43</v>
      </c>
      <c r="N3088" s="29">
        <f t="shared" si="1102"/>
        <v>8</v>
      </c>
      <c r="O3088" s="31"/>
      <c r="P3088" s="50"/>
      <c r="Q3088" s="50"/>
      <c r="R3088" s="60"/>
      <c r="S3088" s="50"/>
      <c r="U3088" t="s">
        <v>1017</v>
      </c>
      <c r="V3088" s="50"/>
      <c r="W3088" s="50"/>
      <c r="X3088" s="50"/>
      <c r="Y3088" s="50"/>
      <c r="Z3088" s="50"/>
      <c r="AA3088" s="50"/>
      <c r="AB3088" s="60"/>
      <c r="AC3088" s="50"/>
      <c r="AD3088" s="38"/>
      <c r="AE3088" t="str">
        <f t="shared" si="1100"/>
        <v/>
      </c>
      <c r="AF3088" t="str">
        <f t="shared" si="1101"/>
        <v/>
      </c>
    </row>
    <row r="3089" spans="1:52" x14ac:dyDescent="0.35">
      <c r="A3089" s="511" t="s">
        <v>1732</v>
      </c>
      <c r="B3089" s="173" t="s">
        <v>5547</v>
      </c>
      <c r="C3089" s="173" t="str">
        <f t="shared" si="1095"/>
        <v>Inbetriebnahme 2012</v>
      </c>
      <c r="D3089" s="173" t="s">
        <v>3202</v>
      </c>
      <c r="E3089" s="173" t="s">
        <v>4811</v>
      </c>
      <c r="F3089" s="374">
        <f t="shared" si="1096"/>
        <v>13.34</v>
      </c>
      <c r="G3089" s="431">
        <v>13.34</v>
      </c>
      <c r="H3089" s="400">
        <f t="shared" si="1097"/>
        <v>10.67</v>
      </c>
      <c r="I3089" s="577"/>
      <c r="J3089" s="549" t="s">
        <v>5804</v>
      </c>
      <c r="K3089" s="11"/>
      <c r="L3089" s="55" t="str">
        <f t="shared" si="1098"/>
        <v/>
      </c>
      <c r="M3089" s="37">
        <f t="shared" si="1099"/>
        <v>13.34</v>
      </c>
      <c r="N3089" s="29">
        <f t="shared" si="1102"/>
        <v>8</v>
      </c>
      <c r="O3089" s="31" t="s">
        <v>1017</v>
      </c>
      <c r="P3089" s="50"/>
      <c r="Q3089" s="50"/>
      <c r="R3089" s="60"/>
      <c r="S3089" s="50"/>
      <c r="U3089" t="s">
        <v>1017</v>
      </c>
      <c r="V3089" s="50"/>
      <c r="W3089" s="50"/>
      <c r="X3089" s="50"/>
      <c r="Y3089" s="50"/>
      <c r="Z3089" s="50"/>
      <c r="AA3089" s="50"/>
      <c r="AB3089" s="60"/>
      <c r="AC3089" s="50"/>
      <c r="AD3089" s="38"/>
      <c r="AE3089" t="str">
        <f t="shared" si="1100"/>
        <v/>
      </c>
      <c r="AF3089" t="str">
        <f t="shared" si="1101"/>
        <v/>
      </c>
    </row>
    <row r="3090" spans="1:52" x14ac:dyDescent="0.35">
      <c r="A3090" s="511" t="s">
        <v>1733</v>
      </c>
      <c r="B3090" s="173" t="s">
        <v>5547</v>
      </c>
      <c r="C3090" s="173" t="str">
        <f t="shared" si="1095"/>
        <v>Inbetriebnahme 2012</v>
      </c>
      <c r="D3090" s="173" t="s">
        <v>596</v>
      </c>
      <c r="E3090" s="173" t="s">
        <v>4809</v>
      </c>
      <c r="F3090" s="374">
        <f t="shared" si="1096"/>
        <v>9.94</v>
      </c>
      <c r="G3090" s="431">
        <v>9.94</v>
      </c>
      <c r="H3090" s="400">
        <f t="shared" si="1097"/>
        <v>7.95</v>
      </c>
      <c r="I3090" s="577"/>
      <c r="J3090" s="549" t="s">
        <v>5804</v>
      </c>
      <c r="K3090" s="11"/>
      <c r="L3090" s="55" t="str">
        <f t="shared" si="1098"/>
        <v/>
      </c>
      <c r="M3090" s="37">
        <f t="shared" si="1099"/>
        <v>9.94</v>
      </c>
      <c r="N3090" s="29">
        <f t="shared" ref="N3090:N3096" si="1103">ROUND(N2607*(1-$AE$3066)^($M$3064-2009),2)</f>
        <v>8</v>
      </c>
      <c r="O3090" s="31"/>
      <c r="P3090" s="50"/>
      <c r="Q3090" s="50"/>
      <c r="R3090" s="60"/>
      <c r="S3090" s="50"/>
      <c r="V3090" s="50"/>
      <c r="W3090" s="50"/>
      <c r="X3090" s="50"/>
      <c r="Y3090" s="50"/>
      <c r="Z3090" s="50"/>
      <c r="AA3090" s="50"/>
      <c r="AB3090" s="60"/>
      <c r="AC3090" s="50"/>
      <c r="AD3090" s="38" t="s">
        <v>1017</v>
      </c>
      <c r="AE3090" t="str">
        <f t="shared" si="1100"/>
        <v/>
      </c>
      <c r="AF3090" t="str">
        <f t="shared" si="1101"/>
        <v/>
      </c>
    </row>
    <row r="3091" spans="1:52" x14ac:dyDescent="0.35">
      <c r="A3091" s="511" t="s">
        <v>1734</v>
      </c>
      <c r="B3091" s="173" t="s">
        <v>5547</v>
      </c>
      <c r="C3091" s="173" t="str">
        <f t="shared" si="1095"/>
        <v>Inbetriebnahme 2012</v>
      </c>
      <c r="D3091" s="173" t="s">
        <v>3199</v>
      </c>
      <c r="E3091" s="173" t="s">
        <v>4811</v>
      </c>
      <c r="F3091" s="374">
        <f t="shared" si="1096"/>
        <v>12.85</v>
      </c>
      <c r="G3091" s="431">
        <v>12.85</v>
      </c>
      <c r="H3091" s="400">
        <f t="shared" si="1097"/>
        <v>10.28</v>
      </c>
      <c r="I3091" s="577"/>
      <c r="J3091" s="549" t="s">
        <v>5804</v>
      </c>
      <c r="K3091" s="11"/>
      <c r="L3091" s="55" t="str">
        <f t="shared" si="1098"/>
        <v/>
      </c>
      <c r="M3091" s="37">
        <f t="shared" si="1099"/>
        <v>12.85</v>
      </c>
      <c r="N3091" s="29">
        <f t="shared" si="1103"/>
        <v>8</v>
      </c>
      <c r="O3091" s="31" t="s">
        <v>1017</v>
      </c>
      <c r="P3091" s="50"/>
      <c r="Q3091" s="50"/>
      <c r="R3091" s="60"/>
      <c r="S3091" s="50"/>
      <c r="V3091" s="50"/>
      <c r="W3091" s="50"/>
      <c r="X3091" s="50"/>
      <c r="Y3091" s="50"/>
      <c r="Z3091" s="50"/>
      <c r="AA3091" s="50"/>
      <c r="AB3091" s="60"/>
      <c r="AC3091" s="50"/>
      <c r="AD3091" s="38" t="s">
        <v>1017</v>
      </c>
      <c r="AE3091" t="str">
        <f t="shared" si="1100"/>
        <v/>
      </c>
      <c r="AF3091" t="str">
        <f t="shared" si="1101"/>
        <v/>
      </c>
    </row>
    <row r="3092" spans="1:52" x14ac:dyDescent="0.35">
      <c r="A3092" s="511" t="s">
        <v>1735</v>
      </c>
      <c r="B3092" s="173" t="s">
        <v>5547</v>
      </c>
      <c r="C3092" s="173" t="str">
        <f t="shared" si="1095"/>
        <v>Inbetriebnahme 2012</v>
      </c>
      <c r="D3092" s="173" t="s">
        <v>851</v>
      </c>
      <c r="E3092" s="173" t="s">
        <v>4809</v>
      </c>
      <c r="F3092" s="374">
        <f t="shared" si="1096"/>
        <v>13.82</v>
      </c>
      <c r="G3092" s="431">
        <v>13.82</v>
      </c>
      <c r="H3092" s="400">
        <f t="shared" si="1097"/>
        <v>11.06</v>
      </c>
      <c r="I3092" s="577"/>
      <c r="J3092" s="549" t="s">
        <v>5804</v>
      </c>
      <c r="K3092" s="11"/>
      <c r="L3092" s="55" t="str">
        <f t="shared" si="1098"/>
        <v/>
      </c>
      <c r="M3092" s="37">
        <f t="shared" si="1099"/>
        <v>13.82</v>
      </c>
      <c r="N3092" s="29">
        <f t="shared" si="1103"/>
        <v>8</v>
      </c>
      <c r="O3092" s="31"/>
      <c r="P3092" s="50"/>
      <c r="Q3092" s="50"/>
      <c r="R3092" s="60"/>
      <c r="S3092" s="50"/>
      <c r="T3092" t="s">
        <v>1017</v>
      </c>
      <c r="V3092" s="50"/>
      <c r="W3092" s="50"/>
      <c r="X3092" s="50"/>
      <c r="Y3092" s="50"/>
      <c r="Z3092" s="50"/>
      <c r="AA3092" s="50"/>
      <c r="AB3092" s="60"/>
      <c r="AC3092" s="50"/>
      <c r="AD3092" s="38" t="s">
        <v>1017</v>
      </c>
      <c r="AE3092" t="str">
        <f t="shared" si="1100"/>
        <v/>
      </c>
      <c r="AF3092" t="str">
        <f t="shared" si="1101"/>
        <v/>
      </c>
    </row>
    <row r="3093" spans="1:52" x14ac:dyDescent="0.35">
      <c r="A3093" s="511" t="s">
        <v>1736</v>
      </c>
      <c r="B3093" s="173" t="s">
        <v>5547</v>
      </c>
      <c r="C3093" s="173" t="str">
        <f t="shared" si="1095"/>
        <v>Inbetriebnahme 2012</v>
      </c>
      <c r="D3093" s="173" t="s">
        <v>2654</v>
      </c>
      <c r="E3093" s="173" t="s">
        <v>4811</v>
      </c>
      <c r="F3093" s="374">
        <f t="shared" si="1096"/>
        <v>16.73</v>
      </c>
      <c r="G3093" s="431">
        <v>16.73</v>
      </c>
      <c r="H3093" s="400">
        <f t="shared" si="1097"/>
        <v>13.38</v>
      </c>
      <c r="I3093" s="577"/>
      <c r="J3093" s="549" t="s">
        <v>5804</v>
      </c>
      <c r="K3093" s="11"/>
      <c r="L3093" s="55" t="str">
        <f t="shared" si="1098"/>
        <v/>
      </c>
      <c r="M3093" s="37">
        <f t="shared" si="1099"/>
        <v>16.73</v>
      </c>
      <c r="N3093" s="29">
        <f t="shared" si="1103"/>
        <v>8</v>
      </c>
      <c r="O3093" s="31" t="s">
        <v>1017</v>
      </c>
      <c r="P3093" s="50"/>
      <c r="Q3093" s="50"/>
      <c r="R3093" s="60"/>
      <c r="S3093" s="50"/>
      <c r="T3093" t="s">
        <v>1017</v>
      </c>
      <c r="V3093" s="50"/>
      <c r="W3093" s="50"/>
      <c r="X3093" s="50"/>
      <c r="Y3093" s="50"/>
      <c r="Z3093" s="50"/>
      <c r="AA3093" s="50"/>
      <c r="AB3093" s="60"/>
      <c r="AC3093" s="50"/>
      <c r="AD3093" s="38" t="s">
        <v>1017</v>
      </c>
      <c r="AE3093" t="str">
        <f t="shared" si="1100"/>
        <v/>
      </c>
      <c r="AF3093" t="str">
        <f t="shared" si="1101"/>
        <v/>
      </c>
    </row>
    <row r="3094" spans="1:52" x14ac:dyDescent="0.35">
      <c r="A3094" s="511" t="s">
        <v>1737</v>
      </c>
      <c r="B3094" s="173" t="s">
        <v>5547</v>
      </c>
      <c r="C3094" s="173" t="str">
        <f t="shared" si="1095"/>
        <v>Inbetriebnahme 2012</v>
      </c>
      <c r="D3094" s="173" t="s">
        <v>2368</v>
      </c>
      <c r="E3094" s="173" t="s">
        <v>4809</v>
      </c>
      <c r="F3094" s="374">
        <f t="shared" si="1096"/>
        <v>12.370000000000001</v>
      </c>
      <c r="G3094" s="431">
        <v>12.370000000000001</v>
      </c>
      <c r="H3094" s="400">
        <f t="shared" si="1097"/>
        <v>9.9</v>
      </c>
      <c r="I3094" s="577"/>
      <c r="J3094" s="549" t="s">
        <v>5804</v>
      </c>
      <c r="K3094" s="11"/>
      <c r="L3094" s="55" t="str">
        <f t="shared" si="1098"/>
        <v/>
      </c>
      <c r="M3094" s="37">
        <f t="shared" si="1099"/>
        <v>12.370000000000001</v>
      </c>
      <c r="N3094" s="29">
        <f t="shared" si="1103"/>
        <v>8</v>
      </c>
      <c r="O3094" s="31"/>
      <c r="P3094" s="50"/>
      <c r="Q3094" s="50"/>
      <c r="R3094" s="60"/>
      <c r="S3094" s="50"/>
      <c r="U3094" t="s">
        <v>1017</v>
      </c>
      <c r="V3094" s="50"/>
      <c r="W3094" s="50"/>
      <c r="X3094" s="50"/>
      <c r="Y3094" s="50"/>
      <c r="Z3094" s="50"/>
      <c r="AA3094" s="50"/>
      <c r="AB3094" s="60"/>
      <c r="AC3094" s="50"/>
      <c r="AD3094" s="38" t="s">
        <v>1017</v>
      </c>
      <c r="AE3094" t="str">
        <f t="shared" si="1100"/>
        <v/>
      </c>
      <c r="AF3094" t="str">
        <f t="shared" si="1101"/>
        <v/>
      </c>
    </row>
    <row r="3095" spans="1:52" x14ac:dyDescent="0.35">
      <c r="A3095" s="511" t="s">
        <v>1738</v>
      </c>
      <c r="B3095" s="173" t="s">
        <v>5547</v>
      </c>
      <c r="C3095" s="173" t="str">
        <f t="shared" si="1095"/>
        <v>Inbetriebnahme 2012</v>
      </c>
      <c r="D3095" s="173" t="s">
        <v>2655</v>
      </c>
      <c r="E3095" s="173" t="s">
        <v>4811</v>
      </c>
      <c r="F3095" s="374">
        <f t="shared" si="1096"/>
        <v>15.28</v>
      </c>
      <c r="G3095" s="431">
        <v>15.28</v>
      </c>
      <c r="H3095" s="400">
        <f t="shared" si="1097"/>
        <v>12.22</v>
      </c>
      <c r="I3095" s="577"/>
      <c r="J3095" s="549" t="s">
        <v>5804</v>
      </c>
      <c r="K3095" s="11"/>
      <c r="L3095" s="55" t="str">
        <f t="shared" si="1098"/>
        <v/>
      </c>
      <c r="M3095" s="37">
        <f t="shared" si="1099"/>
        <v>15.28</v>
      </c>
      <c r="N3095" s="29">
        <f t="shared" si="1103"/>
        <v>8</v>
      </c>
      <c r="O3095" s="31" t="s">
        <v>1017</v>
      </c>
      <c r="P3095" s="50"/>
      <c r="Q3095" s="50"/>
      <c r="R3095" s="60"/>
      <c r="S3095" s="50"/>
      <c r="U3095" t="s">
        <v>1017</v>
      </c>
      <c r="V3095" s="50"/>
      <c r="W3095" s="50"/>
      <c r="X3095" s="50"/>
      <c r="Y3095" s="50"/>
      <c r="Z3095" s="50"/>
      <c r="AA3095" s="50"/>
      <c r="AB3095" s="60"/>
      <c r="AC3095" s="50"/>
      <c r="AD3095" s="38" t="s">
        <v>1017</v>
      </c>
      <c r="AE3095" t="str">
        <f t="shared" si="1100"/>
        <v/>
      </c>
      <c r="AF3095" t="str">
        <f t="shared" si="1101"/>
        <v/>
      </c>
    </row>
    <row r="3096" spans="1:52" x14ac:dyDescent="0.35">
      <c r="A3096" s="511" t="s">
        <v>1739</v>
      </c>
      <c r="B3096" s="173" t="s">
        <v>5547</v>
      </c>
      <c r="C3096" s="173" t="str">
        <f t="shared" si="1095"/>
        <v>Inbetriebnahme 2012</v>
      </c>
      <c r="D3096" s="173" t="s">
        <v>2904</v>
      </c>
      <c r="E3096" s="173" t="s">
        <v>4811</v>
      </c>
      <c r="F3096" s="374">
        <f t="shared" si="1096"/>
        <v>10.469999999999999</v>
      </c>
      <c r="G3096" s="431">
        <v>10.469999999999999</v>
      </c>
      <c r="H3096" s="400">
        <f t="shared" si="1097"/>
        <v>8.3800000000000008</v>
      </c>
      <c r="I3096" s="577"/>
      <c r="J3096" s="549" t="s">
        <v>5804</v>
      </c>
      <c r="K3096" s="67"/>
      <c r="L3096" s="68" t="str">
        <f t="shared" si="1098"/>
        <v/>
      </c>
      <c r="M3096" s="37">
        <f t="shared" si="1099"/>
        <v>10.469999999999999</v>
      </c>
      <c r="N3096" s="29">
        <f t="shared" si="1103"/>
        <v>7.56</v>
      </c>
      <c r="O3096" s="69" t="s">
        <v>1017</v>
      </c>
      <c r="P3096" s="160" t="s">
        <v>1976</v>
      </c>
      <c r="Q3096" s="161"/>
      <c r="R3096" s="162"/>
      <c r="S3096" s="161"/>
      <c r="T3096" s="161"/>
      <c r="U3096" s="161"/>
      <c r="V3096" s="161"/>
      <c r="W3096" s="161"/>
      <c r="X3096" s="161"/>
      <c r="Y3096" s="161"/>
      <c r="Z3096" s="161"/>
      <c r="AA3096" s="163"/>
      <c r="AB3096" s="161"/>
      <c r="AC3096" s="161"/>
      <c r="AD3096" s="163"/>
      <c r="AE3096" t="str">
        <f t="shared" si="1100"/>
        <v/>
      </c>
      <c r="AF3096" t="str">
        <f t="shared" si="1101"/>
        <v/>
      </c>
    </row>
    <row r="3097" spans="1:52" x14ac:dyDescent="0.35">
      <c r="A3097" s="2"/>
      <c r="B3097" s="1"/>
      <c r="C3097" s="1"/>
      <c r="D3097" s="1"/>
      <c r="E3097" s="1"/>
      <c r="F3097" s="375"/>
      <c r="G3097" s="432"/>
      <c r="H3097" s="401"/>
      <c r="I3097" s="578"/>
      <c r="J3097" s="549" t="s">
        <v>4179</v>
      </c>
      <c r="K3097" s="11"/>
      <c r="L3097" s="55"/>
      <c r="M3097" s="37"/>
      <c r="N3097" s="29"/>
      <c r="O3097" s="22"/>
      <c r="P3097" s="177"/>
      <c r="Q3097" s="164"/>
      <c r="R3097" s="164"/>
      <c r="S3097" s="164"/>
      <c r="T3097" s="164"/>
      <c r="U3097" s="164"/>
      <c r="V3097" s="164"/>
      <c r="W3097" s="164"/>
      <c r="X3097" s="164"/>
      <c r="Y3097" s="164"/>
      <c r="Z3097" s="164"/>
      <c r="AA3097" s="164"/>
      <c r="AB3097" s="164"/>
      <c r="AC3097" s="164"/>
      <c r="AD3097" s="164"/>
    </row>
    <row r="3098" spans="1:52" s="207" customFormat="1" ht="20.25" customHeight="1" x14ac:dyDescent="0.35">
      <c r="A3098" s="212" t="s">
        <v>1767</v>
      </c>
      <c r="B3098" s="204"/>
      <c r="C3098" s="204"/>
      <c r="D3098" s="204"/>
      <c r="E3098" s="204"/>
      <c r="F3098" s="381"/>
      <c r="G3098" s="437"/>
      <c r="H3098" s="205"/>
      <c r="I3098" s="583"/>
      <c r="J3098" s="549" t="s">
        <v>4179</v>
      </c>
      <c r="K3098" s="206"/>
      <c r="M3098" s="208" t="str">
        <f>"Vergütungsberechnung für Anlagen mit Inbetriebnahmejahr "&amp; M3099 &amp; " nach EEG 2012"</f>
        <v>Vergütungsberechnung für Anlagen mit Inbetriebnahmejahr 2012 nach EEG 2012</v>
      </c>
      <c r="N3098" s="209"/>
      <c r="O3098" s="209"/>
    </row>
    <row r="3099" spans="1:52" s="187" customFormat="1" ht="39.75" customHeight="1" x14ac:dyDescent="0.35">
      <c r="A3099" s="180"/>
      <c r="B3099" s="181"/>
      <c r="C3099" s="182"/>
      <c r="D3099" s="182"/>
      <c r="E3099" s="181"/>
      <c r="F3099" s="380"/>
      <c r="G3099" s="436"/>
      <c r="H3099" s="404"/>
      <c r="I3099" s="582"/>
      <c r="J3099" s="549" t="s">
        <v>4179</v>
      </c>
      <c r="K3099" s="184"/>
      <c r="L3099" s="184"/>
      <c r="M3099" s="185">
        <v>2012</v>
      </c>
      <c r="N3099" s="184"/>
      <c r="O3099" s="922" t="s">
        <v>1743</v>
      </c>
      <c r="P3099" s="923"/>
      <c r="Q3099" s="923"/>
      <c r="R3099" s="924"/>
      <c r="S3099" s="922" t="s">
        <v>1744</v>
      </c>
      <c r="T3099" s="923"/>
      <c r="U3099" s="924"/>
      <c r="V3099" s="919" t="s">
        <v>1745</v>
      </c>
      <c r="W3099" s="920"/>
      <c r="X3099" s="921"/>
      <c r="Y3099" s="186"/>
    </row>
    <row r="3100" spans="1:52" s="187" customFormat="1" ht="57.75" customHeight="1" x14ac:dyDescent="0.2">
      <c r="A3100" s="180"/>
      <c r="B3100" s="181"/>
      <c r="C3100" s="182"/>
      <c r="D3100" s="182"/>
      <c r="E3100" s="181"/>
      <c r="F3100" s="380"/>
      <c r="G3100" s="436"/>
      <c r="H3100" s="404"/>
      <c r="I3100" s="582"/>
      <c r="J3100" s="549" t="s">
        <v>4179</v>
      </c>
      <c r="K3100" s="184"/>
      <c r="L3100" s="184"/>
      <c r="M3100" s="191" t="s">
        <v>2913</v>
      </c>
      <c r="N3100" s="192" t="s">
        <v>511</v>
      </c>
      <c r="O3100" s="195" t="s">
        <v>1762</v>
      </c>
      <c r="P3100" s="193" t="s">
        <v>1759</v>
      </c>
      <c r="Q3100" s="193" t="s">
        <v>1760</v>
      </c>
      <c r="R3100" s="194" t="s">
        <v>1761</v>
      </c>
      <c r="S3100" s="195" t="s">
        <v>1756</v>
      </c>
      <c r="T3100" s="193" t="s">
        <v>1757</v>
      </c>
      <c r="U3100" s="194" t="s">
        <v>1758</v>
      </c>
      <c r="V3100" s="196" t="s">
        <v>1746</v>
      </c>
      <c r="W3100" s="197" t="s">
        <v>1747</v>
      </c>
      <c r="X3100" s="198" t="s">
        <v>1748</v>
      </c>
      <c r="Y3100" s="95" t="s">
        <v>505</v>
      </c>
    </row>
    <row r="3101" spans="1:52" x14ac:dyDescent="0.35">
      <c r="A3101" s="2"/>
      <c r="B3101" s="1"/>
      <c r="C3101" s="18"/>
      <c r="D3101" s="18"/>
      <c r="E3101" s="1"/>
      <c r="F3101" s="375"/>
      <c r="G3101" s="432"/>
      <c r="H3101" s="401"/>
      <c r="I3101" s="578"/>
      <c r="J3101" s="549" t="s">
        <v>4179</v>
      </c>
      <c r="K3101" s="22"/>
      <c r="L3101" s="22"/>
      <c r="M3101" s="34"/>
      <c r="N3101" s="30"/>
      <c r="O3101" s="199" t="s">
        <v>1749</v>
      </c>
      <c r="P3101" s="200" t="s">
        <v>1750</v>
      </c>
      <c r="Q3101" s="200" t="s">
        <v>1751</v>
      </c>
      <c r="R3101" s="200" t="s">
        <v>1752</v>
      </c>
      <c r="S3101" s="199" t="s">
        <v>1753</v>
      </c>
      <c r="T3101" s="200" t="s">
        <v>1754</v>
      </c>
      <c r="U3101" s="201" t="s">
        <v>1755</v>
      </c>
      <c r="V3101" s="199" t="s">
        <v>1740</v>
      </c>
      <c r="W3101" s="200" t="s">
        <v>1741</v>
      </c>
      <c r="X3101" s="201" t="s">
        <v>1742</v>
      </c>
      <c r="Y3101" s="219">
        <v>0.02</v>
      </c>
      <c r="Z3101" s="224" t="s">
        <v>4237</v>
      </c>
    </row>
    <row r="3102" spans="1:52" x14ac:dyDescent="0.35">
      <c r="A3102" s="496"/>
      <c r="B3102" s="1"/>
      <c r="C3102" s="1"/>
      <c r="D3102" s="1"/>
      <c r="E3102" s="1"/>
      <c r="F3102" s="375"/>
      <c r="G3102" s="432"/>
      <c r="H3102" s="401"/>
      <c r="I3102" s="578"/>
      <c r="J3102" s="549" t="s">
        <v>4179</v>
      </c>
      <c r="L3102" s="56"/>
      <c r="M3102" s="35"/>
      <c r="N3102" s="28"/>
      <c r="O3102" s="178">
        <v>6</v>
      </c>
      <c r="P3102" s="189">
        <v>5</v>
      </c>
      <c r="Q3102" s="189">
        <v>4</v>
      </c>
      <c r="R3102" s="190">
        <v>2.5</v>
      </c>
      <c r="S3102" s="178">
        <v>8</v>
      </c>
      <c r="T3102" s="189">
        <v>8</v>
      </c>
      <c r="U3102" s="190">
        <v>6</v>
      </c>
      <c r="V3102" s="33">
        <v>3</v>
      </c>
      <c r="W3102" s="28">
        <v>2</v>
      </c>
      <c r="X3102" s="40">
        <v>1</v>
      </c>
      <c r="Y3102" s="159" t="str">
        <f xml:space="preserve"> "Bonushöhe bei Inbetriebnahme in " &amp; M3099</f>
        <v>Bonushöhe bei Inbetriebnahme in 2012</v>
      </c>
      <c r="AH3102" t="s">
        <v>1749</v>
      </c>
      <c r="AI3102" t="s">
        <v>1750</v>
      </c>
      <c r="AJ3102" t="s">
        <v>1751</v>
      </c>
      <c r="AK3102" t="s">
        <v>1752</v>
      </c>
      <c r="AL3102" t="s">
        <v>1753</v>
      </c>
      <c r="AM3102" t="s">
        <v>1754</v>
      </c>
      <c r="AN3102" t="s">
        <v>1755</v>
      </c>
      <c r="AO3102" t="s">
        <v>1740</v>
      </c>
      <c r="AP3102" t="s">
        <v>1741</v>
      </c>
      <c r="AQ3102" t="s">
        <v>1742</v>
      </c>
      <c r="AR3102" t="s">
        <v>1764</v>
      </c>
      <c r="AS3102" t="s">
        <v>1765</v>
      </c>
      <c r="AT3102" t="s">
        <v>1766</v>
      </c>
      <c r="AU3102" t="s">
        <v>669</v>
      </c>
      <c r="AV3102" t="s">
        <v>1763</v>
      </c>
    </row>
    <row r="3103" spans="1:52" x14ac:dyDescent="0.35">
      <c r="A3103" s="500" t="str">
        <f t="shared" ref="A3103:A3118" si="1104">"BiK270"&amp;AU3103&amp;RIGHT("------",6-LEN(AU3103))&amp;RIGHT($M$3099,2)</f>
        <v>BiK270------12</v>
      </c>
      <c r="B3103" s="225" t="s">
        <v>5547</v>
      </c>
      <c r="C3103" s="225" t="str">
        <f t="shared" ref="C3103:C3134" si="1105">"Inbetriebnahme "&amp;$M$3099</f>
        <v>Inbetriebnahme 2012</v>
      </c>
      <c r="D3103" s="225" t="str">
        <f t="shared" ref="D3103:D3134" si="1106">IF(COUNTA(O3103:X3103)=0,AH3103,AH3103&amp;", Bonusregel"&amp;IF(AND(COUNTA(O3103:U3103)&gt;0,COUNTA(V3103:X3103)&gt;0),"n "&amp;AK3103&amp;AL3103&amp;AM3103&amp;AN3103&amp;AO3103&amp;AP3103&amp;AQ3103&amp;", "&amp;AR3103&amp;AS3103&amp;AT3103," "&amp;AK3103&amp;AL3103&amp;AM3103&amp;AN3103&amp;AO3103&amp;AP3103&amp;AQ3103&amp;AR3103&amp;AS3103&amp;AT3103))</f>
        <v>0-0,15 MW</v>
      </c>
      <c r="E3103" s="225"/>
      <c r="F3103" s="382">
        <f t="shared" ref="F3103:F3134" si="1107">M3103</f>
        <v>14.3</v>
      </c>
      <c r="G3103" s="438">
        <v>14.3</v>
      </c>
      <c r="H3103" s="405">
        <f t="shared" ref="H3103:H3134" si="1108">IF(ISNUMBER(G3103),ROUND(0.8*G3103,2),"")</f>
        <v>11.44</v>
      </c>
      <c r="I3103" s="584"/>
      <c r="J3103" s="549" t="s">
        <v>5804</v>
      </c>
      <c r="K3103" s="11"/>
      <c r="L3103" s="55" t="str">
        <f t="shared" ref="L3103:L3134" si="1109">IF(F3103=M3103,"",FALSE)</f>
        <v/>
      </c>
      <c r="M3103" s="37">
        <f t="shared" ref="M3103:M3134" si="1110">N3103+SUMIF(O3103:X3103,"x",$O$3102:$X$3102)</f>
        <v>14.3</v>
      </c>
      <c r="N3103" s="29">
        <v>14.3</v>
      </c>
      <c r="O3103" s="46"/>
      <c r="P3103" s="50"/>
      <c r="Q3103" s="50"/>
      <c r="R3103" s="50"/>
      <c r="S3103" s="46"/>
      <c r="T3103" s="188"/>
      <c r="U3103" s="50"/>
      <c r="V3103" s="46"/>
      <c r="W3103" s="22"/>
      <c r="X3103" s="47"/>
      <c r="AH3103" s="202" t="s">
        <v>1780</v>
      </c>
      <c r="AK3103" t="str">
        <f t="shared" ref="AK3103:AK3134" si="1111">IF(O3103="x",O$3101,"")</f>
        <v/>
      </c>
      <c r="AL3103" t="str">
        <f t="shared" ref="AL3103:AL3134" si="1112">IF(P3103="x",P$3101,"")</f>
        <v/>
      </c>
      <c r="AM3103" t="str">
        <f t="shared" ref="AM3103:AM3134" si="1113">IF(Q3103="x",Q$3101,"")</f>
        <v/>
      </c>
      <c r="AN3103" t="str">
        <f t="shared" ref="AN3103:AN3134" si="1114">IF(R3103="x",R$3101,"")</f>
        <v/>
      </c>
      <c r="AO3103" t="str">
        <f t="shared" ref="AO3103:AO3134" si="1115">IF(S3103="x",S$3101,"")</f>
        <v/>
      </c>
      <c r="AP3103" t="str">
        <f t="shared" ref="AP3103:AP3134" si="1116">IF(T3103="x",T$3101,"")</f>
        <v/>
      </c>
      <c r="AQ3103" t="str">
        <f t="shared" ref="AQ3103:AQ3134" si="1117">IF(U3103="x",U$3101,"")</f>
        <v/>
      </c>
      <c r="AR3103" t="str">
        <f t="shared" ref="AR3103:AR3134" si="1118">IF(V3103="x",V$3101,"")</f>
        <v/>
      </c>
      <c r="AS3103" t="str">
        <f t="shared" ref="AS3103:AS3134" si="1119">IF(W3103="x",W$3101,"")</f>
        <v/>
      </c>
      <c r="AT3103" t="str">
        <f t="shared" ref="AT3103:AT3134" si="1120">IF(X3103="x",X$3101,"")</f>
        <v/>
      </c>
      <c r="AU3103" t="str">
        <f t="shared" ref="AU3103:AU3134" si="1121">AK3103&amp;AL3103&amp;AM3103&amp;AN3103&amp;AO3103&amp;AP3103&amp;AQ3103&amp;AR3103&amp;AS3103&amp;AT3103</f>
        <v/>
      </c>
      <c r="AV3103" s="203" t="str">
        <f t="shared" ref="AV3103:AV3118" si="1122">"BiK270"&amp;AU3103&amp;RIGHT("------",6-LEN(AU3103))&amp;RIGHT($M$3099,2)</f>
        <v>BiK270------12</v>
      </c>
      <c r="AW3103">
        <f t="shared" ref="AW3103:AW3134" si="1123">LEN(AV3103)</f>
        <v>14</v>
      </c>
      <c r="AX3103" t="str">
        <f t="shared" ref="AX3103:AX3134" si="1124">IF(COUNTA(O3103:X3103)=0,AH3103,AH3103&amp;", Bonusregel"&amp;IF(AND(COUNTA(O3103:U3103)&gt;0,COUNTA(V3103:X3103)&gt;0),"n "&amp;AK3103&amp;AL3103&amp;AM3103&amp;AN3103&amp;AO3103&amp;AP3103&amp;AQ3103&amp;", "&amp;AR3103&amp;AS3103&amp;AT3103," "&amp;AK3103&amp;AL3103&amp;AM3103&amp;AN3103&amp;AO3103&amp;AP3103&amp;AQ3103&amp;AR3103&amp;AS3103&amp;AT3103))</f>
        <v>0-0,15 MW</v>
      </c>
      <c r="AY3103" t="str">
        <f t="shared" ref="AY3103:AY3134" si="1125">IF(COUNTA(O3103:U3103)&gt;1,"Fehler ESVK",IF(COUNTA(V3103:X3103)&gt;1,"Fehler GAB",IF(AW3103&lt;&gt;14,"Fehler Kategorie","")))</f>
        <v/>
      </c>
      <c r="AZ3103" t="str">
        <f>SUBSTITUTE(AU3103,", ","")</f>
        <v/>
      </c>
    </row>
    <row r="3104" spans="1:52" x14ac:dyDescent="0.35">
      <c r="A3104" s="500" t="str">
        <f t="shared" si="1104"/>
        <v>BiK270E1a---12</v>
      </c>
      <c r="B3104" s="225" t="s">
        <v>5547</v>
      </c>
      <c r="C3104" s="225" t="str">
        <f t="shared" si="1105"/>
        <v>Inbetriebnahme 2012</v>
      </c>
      <c r="D3104" s="225" t="str">
        <f t="shared" si="1106"/>
        <v>0-0,15 MW, Bonusregel E1a</v>
      </c>
      <c r="E3104" s="225"/>
      <c r="F3104" s="382">
        <f t="shared" si="1107"/>
        <v>20.3</v>
      </c>
      <c r="G3104" s="438">
        <v>20.3</v>
      </c>
      <c r="H3104" s="405">
        <f t="shared" si="1108"/>
        <v>16.239999999999998</v>
      </c>
      <c r="I3104" s="584"/>
      <c r="J3104" s="549" t="s">
        <v>5804</v>
      </c>
      <c r="K3104" s="11"/>
      <c r="L3104" s="55" t="str">
        <f t="shared" si="1109"/>
        <v/>
      </c>
      <c r="M3104" s="37">
        <f t="shared" si="1110"/>
        <v>20.3</v>
      </c>
      <c r="N3104" s="29">
        <f t="shared" ref="N3104:N3118" si="1126">N3103</f>
        <v>14.3</v>
      </c>
      <c r="O3104" s="179" t="s">
        <v>1017</v>
      </c>
      <c r="P3104" s="50"/>
      <c r="Q3104" s="50"/>
      <c r="R3104" s="50"/>
      <c r="S3104" s="31"/>
      <c r="T3104" s="22"/>
      <c r="U3104" s="50"/>
      <c r="V3104" s="31"/>
      <c r="W3104" s="22"/>
      <c r="X3104" s="38"/>
      <c r="AH3104" s="202" t="s">
        <v>1780</v>
      </c>
      <c r="AK3104" t="str">
        <f t="shared" si="1111"/>
        <v>E1a</v>
      </c>
      <c r="AL3104" t="str">
        <f t="shared" si="1112"/>
        <v/>
      </c>
      <c r="AM3104" t="str">
        <f t="shared" si="1113"/>
        <v/>
      </c>
      <c r="AN3104" t="str">
        <f t="shared" si="1114"/>
        <v/>
      </c>
      <c r="AO3104" t="str">
        <f t="shared" si="1115"/>
        <v/>
      </c>
      <c r="AP3104" t="str">
        <f t="shared" si="1116"/>
        <v/>
      </c>
      <c r="AQ3104" t="str">
        <f t="shared" si="1117"/>
        <v/>
      </c>
      <c r="AR3104" t="str">
        <f t="shared" si="1118"/>
        <v/>
      </c>
      <c r="AS3104" t="str">
        <f t="shared" si="1119"/>
        <v/>
      </c>
      <c r="AT3104" t="str">
        <f t="shared" si="1120"/>
        <v/>
      </c>
      <c r="AU3104" t="str">
        <f t="shared" si="1121"/>
        <v>E1a</v>
      </c>
      <c r="AV3104" s="203" t="str">
        <f t="shared" si="1122"/>
        <v>BiK270E1a---12</v>
      </c>
      <c r="AW3104">
        <f t="shared" si="1123"/>
        <v>14</v>
      </c>
      <c r="AX3104" t="str">
        <f t="shared" si="1124"/>
        <v>0-0,15 MW, Bonusregel E1a</v>
      </c>
      <c r="AY3104" t="str">
        <f t="shared" si="1125"/>
        <v/>
      </c>
    </row>
    <row r="3105" spans="1:51" x14ac:dyDescent="0.35">
      <c r="A3105" s="500" t="str">
        <f t="shared" si="1104"/>
        <v>BiK270E2a---12</v>
      </c>
      <c r="B3105" s="225" t="s">
        <v>5547</v>
      </c>
      <c r="C3105" s="225" t="str">
        <f t="shared" si="1105"/>
        <v>Inbetriebnahme 2012</v>
      </c>
      <c r="D3105" s="225" t="str">
        <f t="shared" si="1106"/>
        <v>0-0,15 MW, Bonusregel E2a</v>
      </c>
      <c r="E3105" s="225"/>
      <c r="F3105" s="382">
        <f t="shared" si="1107"/>
        <v>22.3</v>
      </c>
      <c r="G3105" s="438">
        <v>22.3</v>
      </c>
      <c r="H3105" s="405">
        <f t="shared" si="1108"/>
        <v>17.84</v>
      </c>
      <c r="I3105" s="584"/>
      <c r="J3105" s="549" t="s">
        <v>5804</v>
      </c>
      <c r="K3105" s="11"/>
      <c r="L3105" s="55" t="str">
        <f t="shared" si="1109"/>
        <v/>
      </c>
      <c r="M3105" s="37">
        <f t="shared" si="1110"/>
        <v>22.3</v>
      </c>
      <c r="N3105" s="29">
        <f t="shared" si="1126"/>
        <v>14.3</v>
      </c>
      <c r="O3105" s="31"/>
      <c r="P3105" s="50"/>
      <c r="Q3105" s="50"/>
      <c r="R3105" s="50"/>
      <c r="S3105" s="179" t="s">
        <v>1017</v>
      </c>
      <c r="T3105" s="22"/>
      <c r="U3105" s="50"/>
      <c r="V3105" s="31"/>
      <c r="W3105" s="22"/>
      <c r="X3105" s="38"/>
      <c r="AH3105" s="202" t="s">
        <v>1780</v>
      </c>
      <c r="AK3105" t="str">
        <f t="shared" si="1111"/>
        <v/>
      </c>
      <c r="AL3105" t="str">
        <f t="shared" si="1112"/>
        <v/>
      </c>
      <c r="AM3105" t="str">
        <f t="shared" si="1113"/>
        <v/>
      </c>
      <c r="AN3105" t="str">
        <f t="shared" si="1114"/>
        <v/>
      </c>
      <c r="AO3105" t="str">
        <f t="shared" si="1115"/>
        <v>E2a</v>
      </c>
      <c r="AP3105" t="str">
        <f t="shared" si="1116"/>
        <v/>
      </c>
      <c r="AQ3105" t="str">
        <f t="shared" si="1117"/>
        <v/>
      </c>
      <c r="AR3105" t="str">
        <f t="shared" si="1118"/>
        <v/>
      </c>
      <c r="AS3105" t="str">
        <f t="shared" si="1119"/>
        <v/>
      </c>
      <c r="AT3105" t="str">
        <f t="shared" si="1120"/>
        <v/>
      </c>
      <c r="AU3105" t="str">
        <f t="shared" si="1121"/>
        <v>E2a</v>
      </c>
      <c r="AV3105" s="203" t="str">
        <f t="shared" si="1122"/>
        <v>BiK270E2a---12</v>
      </c>
      <c r="AW3105">
        <f t="shared" si="1123"/>
        <v>14</v>
      </c>
      <c r="AX3105" t="str">
        <f t="shared" si="1124"/>
        <v>0-0,15 MW, Bonusregel E2a</v>
      </c>
      <c r="AY3105" t="str">
        <f t="shared" si="1125"/>
        <v/>
      </c>
    </row>
    <row r="3106" spans="1:51" x14ac:dyDescent="0.35">
      <c r="A3106" s="500" t="str">
        <f t="shared" si="1104"/>
        <v>BiK270E2b---12</v>
      </c>
      <c r="B3106" s="225" t="s">
        <v>5547</v>
      </c>
      <c r="C3106" s="225" t="str">
        <f t="shared" si="1105"/>
        <v>Inbetriebnahme 2012</v>
      </c>
      <c r="D3106" s="225" t="str">
        <f t="shared" si="1106"/>
        <v>0-0,15 MW, Bonusregel E2b</v>
      </c>
      <c r="E3106" s="225"/>
      <c r="F3106" s="382">
        <f t="shared" si="1107"/>
        <v>22.3</v>
      </c>
      <c r="G3106" s="438">
        <v>22.3</v>
      </c>
      <c r="H3106" s="405">
        <f t="shared" si="1108"/>
        <v>17.84</v>
      </c>
      <c r="I3106" s="584"/>
      <c r="J3106" s="549" t="s">
        <v>5804</v>
      </c>
      <c r="K3106" s="11"/>
      <c r="L3106" s="55" t="str">
        <f t="shared" si="1109"/>
        <v/>
      </c>
      <c r="M3106" s="37">
        <f t="shared" si="1110"/>
        <v>22.3</v>
      </c>
      <c r="N3106" s="29">
        <f t="shared" si="1126"/>
        <v>14.3</v>
      </c>
      <c r="O3106" s="31"/>
      <c r="P3106" s="50"/>
      <c r="Q3106" s="50"/>
      <c r="R3106" s="50"/>
      <c r="S3106" s="179"/>
      <c r="T3106" s="202" t="s">
        <v>1017</v>
      </c>
      <c r="U3106" s="50"/>
      <c r="V3106" s="31"/>
      <c r="W3106" s="22"/>
      <c r="X3106" s="38"/>
      <c r="AH3106" s="202" t="s">
        <v>1780</v>
      </c>
      <c r="AK3106" t="str">
        <f t="shared" si="1111"/>
        <v/>
      </c>
      <c r="AL3106" t="str">
        <f t="shared" si="1112"/>
        <v/>
      </c>
      <c r="AM3106" t="str">
        <f t="shared" si="1113"/>
        <v/>
      </c>
      <c r="AN3106" t="str">
        <f t="shared" si="1114"/>
        <v/>
      </c>
      <c r="AO3106" t="str">
        <f t="shared" si="1115"/>
        <v/>
      </c>
      <c r="AP3106" t="str">
        <f t="shared" si="1116"/>
        <v>E2b</v>
      </c>
      <c r="AQ3106" t="str">
        <f t="shared" si="1117"/>
        <v/>
      </c>
      <c r="AR3106" t="str">
        <f t="shared" si="1118"/>
        <v/>
      </c>
      <c r="AS3106" t="str">
        <f t="shared" si="1119"/>
        <v/>
      </c>
      <c r="AT3106" t="str">
        <f t="shared" si="1120"/>
        <v/>
      </c>
      <c r="AU3106" t="str">
        <f t="shared" si="1121"/>
        <v>E2b</v>
      </c>
      <c r="AV3106" s="203" t="str">
        <f t="shared" si="1122"/>
        <v>BiK270E2b---12</v>
      </c>
      <c r="AW3106">
        <f t="shared" si="1123"/>
        <v>14</v>
      </c>
      <c r="AX3106" t="str">
        <f t="shared" si="1124"/>
        <v>0-0,15 MW, Bonusregel E2b</v>
      </c>
      <c r="AY3106" t="str">
        <f t="shared" si="1125"/>
        <v/>
      </c>
    </row>
    <row r="3107" spans="1:51" x14ac:dyDescent="0.35">
      <c r="A3107" s="500" t="str">
        <f t="shared" si="1104"/>
        <v>BiK270G1----12</v>
      </c>
      <c r="B3107" s="225" t="s">
        <v>5547</v>
      </c>
      <c r="C3107" s="225" t="str">
        <f t="shared" si="1105"/>
        <v>Inbetriebnahme 2012</v>
      </c>
      <c r="D3107" s="225" t="str">
        <f t="shared" si="1106"/>
        <v>0-0,15 MW, Bonusregel G1</v>
      </c>
      <c r="E3107" s="225"/>
      <c r="F3107" s="382">
        <f t="shared" si="1107"/>
        <v>17.3</v>
      </c>
      <c r="G3107" s="438">
        <v>17.3</v>
      </c>
      <c r="H3107" s="405">
        <f t="shared" si="1108"/>
        <v>13.84</v>
      </c>
      <c r="I3107" s="584"/>
      <c r="J3107" s="549" t="s">
        <v>5804</v>
      </c>
      <c r="K3107" s="11"/>
      <c r="L3107" s="55" t="str">
        <f t="shared" si="1109"/>
        <v/>
      </c>
      <c r="M3107" s="37">
        <f t="shared" si="1110"/>
        <v>17.3</v>
      </c>
      <c r="N3107" s="29">
        <f t="shared" si="1126"/>
        <v>14.3</v>
      </c>
      <c r="O3107" s="31"/>
      <c r="P3107" s="50"/>
      <c r="Q3107" s="50"/>
      <c r="R3107" s="50"/>
      <c r="S3107" s="31"/>
      <c r="T3107" s="22"/>
      <c r="U3107" s="50"/>
      <c r="V3107" s="179" t="s">
        <v>1017</v>
      </c>
      <c r="W3107" s="22"/>
      <c r="X3107" s="38"/>
      <c r="AH3107" s="202" t="s">
        <v>1780</v>
      </c>
      <c r="AK3107" t="str">
        <f t="shared" si="1111"/>
        <v/>
      </c>
      <c r="AL3107" t="str">
        <f t="shared" si="1112"/>
        <v/>
      </c>
      <c r="AM3107" t="str">
        <f t="shared" si="1113"/>
        <v/>
      </c>
      <c r="AN3107" t="str">
        <f t="shared" si="1114"/>
        <v/>
      </c>
      <c r="AO3107" t="str">
        <f t="shared" si="1115"/>
        <v/>
      </c>
      <c r="AP3107" t="str">
        <f t="shared" si="1116"/>
        <v/>
      </c>
      <c r="AQ3107" t="str">
        <f t="shared" si="1117"/>
        <v/>
      </c>
      <c r="AR3107" t="str">
        <f t="shared" si="1118"/>
        <v>G1</v>
      </c>
      <c r="AS3107" t="str">
        <f t="shared" si="1119"/>
        <v/>
      </c>
      <c r="AT3107" t="str">
        <f t="shared" si="1120"/>
        <v/>
      </c>
      <c r="AU3107" t="str">
        <f t="shared" si="1121"/>
        <v>G1</v>
      </c>
      <c r="AV3107" s="203" t="str">
        <f t="shared" si="1122"/>
        <v>BiK270G1----12</v>
      </c>
      <c r="AW3107">
        <f t="shared" si="1123"/>
        <v>14</v>
      </c>
      <c r="AX3107" t="str">
        <f t="shared" si="1124"/>
        <v>0-0,15 MW, Bonusregel G1</v>
      </c>
      <c r="AY3107" t="str">
        <f t="shared" si="1125"/>
        <v/>
      </c>
    </row>
    <row r="3108" spans="1:51" x14ac:dyDescent="0.35">
      <c r="A3108" s="500" t="str">
        <f t="shared" si="1104"/>
        <v>BiK270E1aG1-12</v>
      </c>
      <c r="B3108" s="225" t="s">
        <v>5547</v>
      </c>
      <c r="C3108" s="225" t="str">
        <f t="shared" si="1105"/>
        <v>Inbetriebnahme 2012</v>
      </c>
      <c r="D3108" s="225" t="str">
        <f t="shared" si="1106"/>
        <v>0-0,15 MW, Bonusregeln E1a, G1</v>
      </c>
      <c r="E3108" s="225"/>
      <c r="F3108" s="382">
        <f t="shared" si="1107"/>
        <v>23.3</v>
      </c>
      <c r="G3108" s="438">
        <v>23.3</v>
      </c>
      <c r="H3108" s="405">
        <f t="shared" si="1108"/>
        <v>18.64</v>
      </c>
      <c r="I3108" s="584"/>
      <c r="J3108" s="549" t="s">
        <v>5804</v>
      </c>
      <c r="K3108" s="11"/>
      <c r="L3108" s="55" t="str">
        <f t="shared" si="1109"/>
        <v/>
      </c>
      <c r="M3108" s="37">
        <f t="shared" si="1110"/>
        <v>23.3</v>
      </c>
      <c r="N3108" s="29">
        <f t="shared" si="1126"/>
        <v>14.3</v>
      </c>
      <c r="O3108" s="31" t="s">
        <v>1017</v>
      </c>
      <c r="P3108" s="50"/>
      <c r="Q3108" s="50"/>
      <c r="R3108" s="50"/>
      <c r="S3108" s="179"/>
      <c r="T3108" s="22"/>
      <c r="U3108" s="50"/>
      <c r="V3108" s="179" t="s">
        <v>1017</v>
      </c>
      <c r="W3108" s="22"/>
      <c r="X3108" s="38"/>
      <c r="AH3108" s="202" t="s">
        <v>1780</v>
      </c>
      <c r="AK3108" t="str">
        <f t="shared" si="1111"/>
        <v>E1a</v>
      </c>
      <c r="AL3108" t="str">
        <f t="shared" si="1112"/>
        <v/>
      </c>
      <c r="AM3108" t="str">
        <f t="shared" si="1113"/>
        <v/>
      </c>
      <c r="AN3108" t="str">
        <f t="shared" si="1114"/>
        <v/>
      </c>
      <c r="AO3108" t="str">
        <f t="shared" si="1115"/>
        <v/>
      </c>
      <c r="AP3108" t="str">
        <f t="shared" si="1116"/>
        <v/>
      </c>
      <c r="AQ3108" t="str">
        <f t="shared" si="1117"/>
        <v/>
      </c>
      <c r="AR3108" t="str">
        <f t="shared" si="1118"/>
        <v>G1</v>
      </c>
      <c r="AS3108" t="str">
        <f t="shared" si="1119"/>
        <v/>
      </c>
      <c r="AT3108" t="str">
        <f t="shared" si="1120"/>
        <v/>
      </c>
      <c r="AU3108" t="str">
        <f t="shared" si="1121"/>
        <v>E1aG1</v>
      </c>
      <c r="AV3108" s="203" t="str">
        <f t="shared" si="1122"/>
        <v>BiK270E1aG1-12</v>
      </c>
      <c r="AW3108">
        <f t="shared" si="1123"/>
        <v>14</v>
      </c>
      <c r="AX3108" t="str">
        <f t="shared" si="1124"/>
        <v>0-0,15 MW, Bonusregeln E1a, G1</v>
      </c>
      <c r="AY3108" t="str">
        <f t="shared" si="1125"/>
        <v/>
      </c>
    </row>
    <row r="3109" spans="1:51" x14ac:dyDescent="0.35">
      <c r="A3109" s="500" t="str">
        <f t="shared" si="1104"/>
        <v>BiK270E2aG1-12</v>
      </c>
      <c r="B3109" s="225" t="s">
        <v>5547</v>
      </c>
      <c r="C3109" s="225" t="str">
        <f t="shared" si="1105"/>
        <v>Inbetriebnahme 2012</v>
      </c>
      <c r="D3109" s="225" t="str">
        <f t="shared" si="1106"/>
        <v>0-0,15 MW, Bonusregeln E2a, G1</v>
      </c>
      <c r="E3109" s="225"/>
      <c r="F3109" s="382">
        <f t="shared" si="1107"/>
        <v>25.3</v>
      </c>
      <c r="G3109" s="438">
        <v>25.3</v>
      </c>
      <c r="H3109" s="405">
        <f t="shared" si="1108"/>
        <v>20.239999999999998</v>
      </c>
      <c r="I3109" s="584"/>
      <c r="J3109" s="549" t="s">
        <v>5804</v>
      </c>
      <c r="K3109" s="11"/>
      <c r="L3109" s="55" t="str">
        <f t="shared" si="1109"/>
        <v/>
      </c>
      <c r="M3109" s="37">
        <f t="shared" si="1110"/>
        <v>25.3</v>
      </c>
      <c r="N3109" s="29">
        <f t="shared" si="1126"/>
        <v>14.3</v>
      </c>
      <c r="O3109" s="31"/>
      <c r="P3109" s="50"/>
      <c r="Q3109" s="50"/>
      <c r="R3109" s="50"/>
      <c r="S3109" s="179" t="s">
        <v>1017</v>
      </c>
      <c r="T3109" s="22"/>
      <c r="U3109" s="50"/>
      <c r="V3109" s="179" t="s">
        <v>1017</v>
      </c>
      <c r="W3109" s="22"/>
      <c r="X3109" s="38"/>
      <c r="AH3109" s="202" t="s">
        <v>1780</v>
      </c>
      <c r="AK3109" t="str">
        <f t="shared" si="1111"/>
        <v/>
      </c>
      <c r="AL3109" t="str">
        <f t="shared" si="1112"/>
        <v/>
      </c>
      <c r="AM3109" t="str">
        <f t="shared" si="1113"/>
        <v/>
      </c>
      <c r="AN3109" t="str">
        <f t="shared" si="1114"/>
        <v/>
      </c>
      <c r="AO3109" t="str">
        <f t="shared" si="1115"/>
        <v>E2a</v>
      </c>
      <c r="AP3109" t="str">
        <f t="shared" si="1116"/>
        <v/>
      </c>
      <c r="AQ3109" t="str">
        <f t="shared" si="1117"/>
        <v/>
      </c>
      <c r="AR3109" t="str">
        <f t="shared" si="1118"/>
        <v>G1</v>
      </c>
      <c r="AS3109" t="str">
        <f t="shared" si="1119"/>
        <v/>
      </c>
      <c r="AT3109" t="str">
        <f t="shared" si="1120"/>
        <v/>
      </c>
      <c r="AU3109" t="str">
        <f t="shared" si="1121"/>
        <v>E2aG1</v>
      </c>
      <c r="AV3109" s="203" t="str">
        <f t="shared" si="1122"/>
        <v>BiK270E2aG1-12</v>
      </c>
      <c r="AW3109">
        <f t="shared" si="1123"/>
        <v>14</v>
      </c>
      <c r="AX3109" t="str">
        <f t="shared" si="1124"/>
        <v>0-0,15 MW, Bonusregeln E2a, G1</v>
      </c>
      <c r="AY3109" t="str">
        <f t="shared" si="1125"/>
        <v/>
      </c>
    </row>
    <row r="3110" spans="1:51" x14ac:dyDescent="0.35">
      <c r="A3110" s="500" t="str">
        <f t="shared" si="1104"/>
        <v>BiK270E2bG1-12</v>
      </c>
      <c r="B3110" s="225" t="s">
        <v>5547</v>
      </c>
      <c r="C3110" s="225" t="str">
        <f t="shared" si="1105"/>
        <v>Inbetriebnahme 2012</v>
      </c>
      <c r="D3110" s="225" t="str">
        <f t="shared" si="1106"/>
        <v>0-0,15 MW, Bonusregeln E2b, G1</v>
      </c>
      <c r="E3110" s="225"/>
      <c r="F3110" s="382">
        <f t="shared" si="1107"/>
        <v>25.3</v>
      </c>
      <c r="G3110" s="438">
        <v>25.3</v>
      </c>
      <c r="H3110" s="405">
        <f t="shared" si="1108"/>
        <v>20.239999999999998</v>
      </c>
      <c r="I3110" s="584"/>
      <c r="J3110" s="549" t="s">
        <v>5804</v>
      </c>
      <c r="K3110" s="11"/>
      <c r="L3110" s="55" t="str">
        <f t="shared" si="1109"/>
        <v/>
      </c>
      <c r="M3110" s="37">
        <f t="shared" si="1110"/>
        <v>25.3</v>
      </c>
      <c r="N3110" s="29">
        <f t="shared" si="1126"/>
        <v>14.3</v>
      </c>
      <c r="O3110" s="31"/>
      <c r="P3110" s="50"/>
      <c r="Q3110" s="50"/>
      <c r="R3110" s="50"/>
      <c r="S3110" s="179"/>
      <c r="T3110" s="22" t="s">
        <v>1017</v>
      </c>
      <c r="U3110" s="50"/>
      <c r="V3110" s="179" t="s">
        <v>1017</v>
      </c>
      <c r="W3110" s="22"/>
      <c r="X3110" s="38"/>
      <c r="AH3110" s="202" t="s">
        <v>1780</v>
      </c>
      <c r="AK3110" t="str">
        <f t="shared" si="1111"/>
        <v/>
      </c>
      <c r="AL3110" t="str">
        <f t="shared" si="1112"/>
        <v/>
      </c>
      <c r="AM3110" t="str">
        <f t="shared" si="1113"/>
        <v/>
      </c>
      <c r="AN3110" t="str">
        <f t="shared" si="1114"/>
        <v/>
      </c>
      <c r="AO3110" t="str">
        <f t="shared" si="1115"/>
        <v/>
      </c>
      <c r="AP3110" t="str">
        <f t="shared" si="1116"/>
        <v>E2b</v>
      </c>
      <c r="AQ3110" t="str">
        <f t="shared" si="1117"/>
        <v/>
      </c>
      <c r="AR3110" t="str">
        <f t="shared" si="1118"/>
        <v>G1</v>
      </c>
      <c r="AS3110" t="str">
        <f t="shared" si="1119"/>
        <v/>
      </c>
      <c r="AT3110" t="str">
        <f t="shared" si="1120"/>
        <v/>
      </c>
      <c r="AU3110" t="str">
        <f t="shared" si="1121"/>
        <v>E2bG1</v>
      </c>
      <c r="AV3110" s="203" t="str">
        <f t="shared" si="1122"/>
        <v>BiK270E2bG1-12</v>
      </c>
      <c r="AW3110">
        <f t="shared" si="1123"/>
        <v>14</v>
      </c>
      <c r="AX3110" t="str">
        <f t="shared" si="1124"/>
        <v>0-0,15 MW, Bonusregeln E2b, G1</v>
      </c>
      <c r="AY3110" t="str">
        <f t="shared" si="1125"/>
        <v/>
      </c>
    </row>
    <row r="3111" spans="1:51" x14ac:dyDescent="0.35">
      <c r="A3111" s="500" t="str">
        <f t="shared" si="1104"/>
        <v>BiK270G2----12</v>
      </c>
      <c r="B3111" s="225" t="s">
        <v>5547</v>
      </c>
      <c r="C3111" s="225" t="str">
        <f t="shared" si="1105"/>
        <v>Inbetriebnahme 2012</v>
      </c>
      <c r="D3111" s="225" t="str">
        <f t="shared" si="1106"/>
        <v>0-0,15 MW, Bonusregel G2</v>
      </c>
      <c r="E3111" s="225"/>
      <c r="F3111" s="382">
        <f t="shared" si="1107"/>
        <v>16.3</v>
      </c>
      <c r="G3111" s="438">
        <v>16.3</v>
      </c>
      <c r="H3111" s="405">
        <f t="shared" si="1108"/>
        <v>13.04</v>
      </c>
      <c r="I3111" s="584"/>
      <c r="J3111" s="549" t="s">
        <v>5804</v>
      </c>
      <c r="K3111" s="11"/>
      <c r="L3111" s="55" t="str">
        <f t="shared" si="1109"/>
        <v/>
      </c>
      <c r="M3111" s="37">
        <f t="shared" si="1110"/>
        <v>16.3</v>
      </c>
      <c r="N3111" s="29">
        <f t="shared" si="1126"/>
        <v>14.3</v>
      </c>
      <c r="O3111" s="31"/>
      <c r="P3111" s="50"/>
      <c r="Q3111" s="50"/>
      <c r="R3111" s="50"/>
      <c r="S3111" s="31"/>
      <c r="T3111" s="22"/>
      <c r="U3111" s="50"/>
      <c r="V3111" s="179"/>
      <c r="W3111" s="202" t="s">
        <v>1017</v>
      </c>
      <c r="X3111" s="38"/>
      <c r="AH3111" s="202" t="s">
        <v>1780</v>
      </c>
      <c r="AK3111" t="str">
        <f t="shared" si="1111"/>
        <v/>
      </c>
      <c r="AL3111" t="str">
        <f t="shared" si="1112"/>
        <v/>
      </c>
      <c r="AM3111" t="str">
        <f t="shared" si="1113"/>
        <v/>
      </c>
      <c r="AN3111" t="str">
        <f t="shared" si="1114"/>
        <v/>
      </c>
      <c r="AO3111" t="str">
        <f t="shared" si="1115"/>
        <v/>
      </c>
      <c r="AP3111" t="str">
        <f t="shared" si="1116"/>
        <v/>
      </c>
      <c r="AQ3111" t="str">
        <f t="shared" si="1117"/>
        <v/>
      </c>
      <c r="AR3111" t="str">
        <f t="shared" si="1118"/>
        <v/>
      </c>
      <c r="AS3111" t="str">
        <f t="shared" si="1119"/>
        <v>G2</v>
      </c>
      <c r="AT3111" t="str">
        <f t="shared" si="1120"/>
        <v/>
      </c>
      <c r="AU3111" t="str">
        <f t="shared" si="1121"/>
        <v>G2</v>
      </c>
      <c r="AV3111" s="203" t="str">
        <f t="shared" si="1122"/>
        <v>BiK270G2----12</v>
      </c>
      <c r="AW3111">
        <f t="shared" si="1123"/>
        <v>14</v>
      </c>
      <c r="AX3111" t="str">
        <f t="shared" si="1124"/>
        <v>0-0,15 MW, Bonusregel G2</v>
      </c>
      <c r="AY3111" t="str">
        <f t="shared" si="1125"/>
        <v/>
      </c>
    </row>
    <row r="3112" spans="1:51" x14ac:dyDescent="0.35">
      <c r="A3112" s="500" t="str">
        <f t="shared" si="1104"/>
        <v>BiK270E1aG2-12</v>
      </c>
      <c r="B3112" s="225" t="s">
        <v>5547</v>
      </c>
      <c r="C3112" s="225" t="str">
        <f t="shared" si="1105"/>
        <v>Inbetriebnahme 2012</v>
      </c>
      <c r="D3112" s="225" t="str">
        <f t="shared" si="1106"/>
        <v>0-0,15 MW, Bonusregeln E1a, G2</v>
      </c>
      <c r="E3112" s="225"/>
      <c r="F3112" s="382">
        <f t="shared" si="1107"/>
        <v>22.3</v>
      </c>
      <c r="G3112" s="438">
        <v>22.3</v>
      </c>
      <c r="H3112" s="405">
        <f t="shared" si="1108"/>
        <v>17.84</v>
      </c>
      <c r="I3112" s="584"/>
      <c r="J3112" s="549" t="s">
        <v>5804</v>
      </c>
      <c r="K3112" s="11"/>
      <c r="L3112" s="55" t="str">
        <f t="shared" si="1109"/>
        <v/>
      </c>
      <c r="M3112" s="37">
        <f t="shared" si="1110"/>
        <v>22.3</v>
      </c>
      <c r="N3112" s="29">
        <f t="shared" si="1126"/>
        <v>14.3</v>
      </c>
      <c r="O3112" s="31" t="s">
        <v>1017</v>
      </c>
      <c r="P3112" s="50"/>
      <c r="Q3112" s="50"/>
      <c r="R3112" s="50"/>
      <c r="S3112" s="179"/>
      <c r="T3112" s="22"/>
      <c r="U3112" s="50"/>
      <c r="V3112" s="179"/>
      <c r="W3112" s="202" t="s">
        <v>1017</v>
      </c>
      <c r="X3112" s="38"/>
      <c r="AH3112" s="202" t="s">
        <v>1780</v>
      </c>
      <c r="AK3112" t="str">
        <f t="shared" si="1111"/>
        <v>E1a</v>
      </c>
      <c r="AL3112" t="str">
        <f t="shared" si="1112"/>
        <v/>
      </c>
      <c r="AM3112" t="str">
        <f t="shared" si="1113"/>
        <v/>
      </c>
      <c r="AN3112" t="str">
        <f t="shared" si="1114"/>
        <v/>
      </c>
      <c r="AO3112" t="str">
        <f t="shared" si="1115"/>
        <v/>
      </c>
      <c r="AP3112" t="str">
        <f t="shared" si="1116"/>
        <v/>
      </c>
      <c r="AQ3112" t="str">
        <f t="shared" si="1117"/>
        <v/>
      </c>
      <c r="AR3112" t="str">
        <f t="shared" si="1118"/>
        <v/>
      </c>
      <c r="AS3112" t="str">
        <f t="shared" si="1119"/>
        <v>G2</v>
      </c>
      <c r="AT3112" t="str">
        <f t="shared" si="1120"/>
        <v/>
      </c>
      <c r="AU3112" t="str">
        <f t="shared" si="1121"/>
        <v>E1aG2</v>
      </c>
      <c r="AV3112" s="203" t="str">
        <f t="shared" si="1122"/>
        <v>BiK270E1aG2-12</v>
      </c>
      <c r="AW3112">
        <f t="shared" si="1123"/>
        <v>14</v>
      </c>
      <c r="AX3112" t="str">
        <f t="shared" si="1124"/>
        <v>0-0,15 MW, Bonusregeln E1a, G2</v>
      </c>
      <c r="AY3112" t="str">
        <f t="shared" si="1125"/>
        <v/>
      </c>
    </row>
    <row r="3113" spans="1:51" x14ac:dyDescent="0.35">
      <c r="A3113" s="500" t="str">
        <f t="shared" si="1104"/>
        <v>BiK270E2aG2-12</v>
      </c>
      <c r="B3113" s="225" t="s">
        <v>5547</v>
      </c>
      <c r="C3113" s="225" t="str">
        <f t="shared" si="1105"/>
        <v>Inbetriebnahme 2012</v>
      </c>
      <c r="D3113" s="225" t="str">
        <f t="shared" si="1106"/>
        <v>0-0,15 MW, Bonusregeln E2a, G2</v>
      </c>
      <c r="E3113" s="225"/>
      <c r="F3113" s="382">
        <f t="shared" si="1107"/>
        <v>24.3</v>
      </c>
      <c r="G3113" s="438">
        <v>24.3</v>
      </c>
      <c r="H3113" s="405">
        <f t="shared" si="1108"/>
        <v>19.440000000000001</v>
      </c>
      <c r="I3113" s="584"/>
      <c r="J3113" s="549" t="s">
        <v>5804</v>
      </c>
      <c r="K3113" s="11"/>
      <c r="L3113" s="55" t="str">
        <f t="shared" si="1109"/>
        <v/>
      </c>
      <c r="M3113" s="37">
        <f t="shared" si="1110"/>
        <v>24.3</v>
      </c>
      <c r="N3113" s="29">
        <f t="shared" si="1126"/>
        <v>14.3</v>
      </c>
      <c r="O3113" s="31"/>
      <c r="P3113" s="50"/>
      <c r="Q3113" s="50"/>
      <c r="R3113" s="50"/>
      <c r="S3113" s="179" t="s">
        <v>1017</v>
      </c>
      <c r="T3113" s="22"/>
      <c r="U3113" s="50"/>
      <c r="V3113" s="179"/>
      <c r="W3113" s="202" t="s">
        <v>1017</v>
      </c>
      <c r="X3113" s="38"/>
      <c r="AH3113" s="202" t="s">
        <v>1780</v>
      </c>
      <c r="AK3113" t="str">
        <f t="shared" si="1111"/>
        <v/>
      </c>
      <c r="AL3113" t="str">
        <f t="shared" si="1112"/>
        <v/>
      </c>
      <c r="AM3113" t="str">
        <f t="shared" si="1113"/>
        <v/>
      </c>
      <c r="AN3113" t="str">
        <f t="shared" si="1114"/>
        <v/>
      </c>
      <c r="AO3113" t="str">
        <f t="shared" si="1115"/>
        <v>E2a</v>
      </c>
      <c r="AP3113" t="str">
        <f t="shared" si="1116"/>
        <v/>
      </c>
      <c r="AQ3113" t="str">
        <f t="shared" si="1117"/>
        <v/>
      </c>
      <c r="AR3113" t="str">
        <f t="shared" si="1118"/>
        <v/>
      </c>
      <c r="AS3113" t="str">
        <f t="shared" si="1119"/>
        <v>G2</v>
      </c>
      <c r="AT3113" t="str">
        <f t="shared" si="1120"/>
        <v/>
      </c>
      <c r="AU3113" t="str">
        <f t="shared" si="1121"/>
        <v>E2aG2</v>
      </c>
      <c r="AV3113" s="203" t="str">
        <f t="shared" si="1122"/>
        <v>BiK270E2aG2-12</v>
      </c>
      <c r="AW3113">
        <f t="shared" si="1123"/>
        <v>14</v>
      </c>
      <c r="AX3113" t="str">
        <f t="shared" si="1124"/>
        <v>0-0,15 MW, Bonusregeln E2a, G2</v>
      </c>
      <c r="AY3113" t="str">
        <f t="shared" si="1125"/>
        <v/>
      </c>
    </row>
    <row r="3114" spans="1:51" x14ac:dyDescent="0.35">
      <c r="A3114" s="500" t="str">
        <f t="shared" si="1104"/>
        <v>BiK270E2bG2-12</v>
      </c>
      <c r="B3114" s="225" t="s">
        <v>5547</v>
      </c>
      <c r="C3114" s="225" t="str">
        <f t="shared" si="1105"/>
        <v>Inbetriebnahme 2012</v>
      </c>
      <c r="D3114" s="225" t="str">
        <f t="shared" si="1106"/>
        <v>0-0,15 MW, Bonusregeln E2b, G2</v>
      </c>
      <c r="E3114" s="225"/>
      <c r="F3114" s="382">
        <f t="shared" si="1107"/>
        <v>24.3</v>
      </c>
      <c r="G3114" s="438">
        <v>24.3</v>
      </c>
      <c r="H3114" s="405">
        <f t="shared" si="1108"/>
        <v>19.440000000000001</v>
      </c>
      <c r="I3114" s="584"/>
      <c r="J3114" s="549" t="s">
        <v>5804</v>
      </c>
      <c r="K3114" s="11"/>
      <c r="L3114" s="55" t="str">
        <f t="shared" si="1109"/>
        <v/>
      </c>
      <c r="M3114" s="37">
        <f t="shared" si="1110"/>
        <v>24.3</v>
      </c>
      <c r="N3114" s="29">
        <f t="shared" si="1126"/>
        <v>14.3</v>
      </c>
      <c r="O3114" s="31"/>
      <c r="P3114" s="50"/>
      <c r="Q3114" s="50"/>
      <c r="R3114" s="50"/>
      <c r="S3114" s="179"/>
      <c r="T3114" s="22" t="s">
        <v>1017</v>
      </c>
      <c r="U3114" s="50"/>
      <c r="V3114" s="179"/>
      <c r="W3114" s="202" t="s">
        <v>1017</v>
      </c>
      <c r="X3114" s="38"/>
      <c r="AH3114" s="202" t="s">
        <v>1780</v>
      </c>
      <c r="AK3114" t="str">
        <f t="shared" si="1111"/>
        <v/>
      </c>
      <c r="AL3114" t="str">
        <f t="shared" si="1112"/>
        <v/>
      </c>
      <c r="AM3114" t="str">
        <f t="shared" si="1113"/>
        <v/>
      </c>
      <c r="AN3114" t="str">
        <f t="shared" si="1114"/>
        <v/>
      </c>
      <c r="AO3114" t="str">
        <f t="shared" si="1115"/>
        <v/>
      </c>
      <c r="AP3114" t="str">
        <f t="shared" si="1116"/>
        <v>E2b</v>
      </c>
      <c r="AQ3114" t="str">
        <f t="shared" si="1117"/>
        <v/>
      </c>
      <c r="AR3114" t="str">
        <f t="shared" si="1118"/>
        <v/>
      </c>
      <c r="AS3114" t="str">
        <f t="shared" si="1119"/>
        <v>G2</v>
      </c>
      <c r="AT3114" t="str">
        <f t="shared" si="1120"/>
        <v/>
      </c>
      <c r="AU3114" t="str">
        <f t="shared" si="1121"/>
        <v>E2bG2</v>
      </c>
      <c r="AV3114" s="203" t="str">
        <f t="shared" si="1122"/>
        <v>BiK270E2bG2-12</v>
      </c>
      <c r="AW3114">
        <f t="shared" si="1123"/>
        <v>14</v>
      </c>
      <c r="AX3114" t="str">
        <f t="shared" si="1124"/>
        <v>0-0,15 MW, Bonusregeln E2b, G2</v>
      </c>
      <c r="AY3114" t="str">
        <f t="shared" si="1125"/>
        <v/>
      </c>
    </row>
    <row r="3115" spans="1:51" x14ac:dyDescent="0.35">
      <c r="A3115" s="500" t="str">
        <f t="shared" si="1104"/>
        <v>BiK270G3----12</v>
      </c>
      <c r="B3115" s="225" t="s">
        <v>5547</v>
      </c>
      <c r="C3115" s="225" t="str">
        <f t="shared" si="1105"/>
        <v>Inbetriebnahme 2012</v>
      </c>
      <c r="D3115" s="225" t="str">
        <f t="shared" si="1106"/>
        <v>0-0,15 MW, Bonusregel G3</v>
      </c>
      <c r="E3115" s="225"/>
      <c r="F3115" s="382">
        <f t="shared" si="1107"/>
        <v>15.3</v>
      </c>
      <c r="G3115" s="438">
        <v>15.3</v>
      </c>
      <c r="H3115" s="405">
        <f t="shared" si="1108"/>
        <v>12.24</v>
      </c>
      <c r="I3115" s="584"/>
      <c r="J3115" s="549" t="s">
        <v>5804</v>
      </c>
      <c r="K3115" s="11"/>
      <c r="L3115" s="55" t="str">
        <f t="shared" si="1109"/>
        <v/>
      </c>
      <c r="M3115" s="37">
        <f t="shared" si="1110"/>
        <v>15.3</v>
      </c>
      <c r="N3115" s="29">
        <f t="shared" si="1126"/>
        <v>14.3</v>
      </c>
      <c r="O3115" s="31"/>
      <c r="P3115" s="50"/>
      <c r="Q3115" s="50"/>
      <c r="R3115" s="50"/>
      <c r="S3115" s="31"/>
      <c r="T3115" s="22"/>
      <c r="U3115" s="50"/>
      <c r="V3115" s="179"/>
      <c r="W3115" s="22"/>
      <c r="X3115" s="38" t="s">
        <v>1017</v>
      </c>
      <c r="AH3115" s="202" t="s">
        <v>1780</v>
      </c>
      <c r="AK3115" t="str">
        <f t="shared" si="1111"/>
        <v/>
      </c>
      <c r="AL3115" t="str">
        <f t="shared" si="1112"/>
        <v/>
      </c>
      <c r="AM3115" t="str">
        <f t="shared" si="1113"/>
        <v/>
      </c>
      <c r="AN3115" t="str">
        <f t="shared" si="1114"/>
        <v/>
      </c>
      <c r="AO3115" t="str">
        <f t="shared" si="1115"/>
        <v/>
      </c>
      <c r="AP3115" t="str">
        <f t="shared" si="1116"/>
        <v/>
      </c>
      <c r="AQ3115" t="str">
        <f t="shared" si="1117"/>
        <v/>
      </c>
      <c r="AR3115" t="str">
        <f t="shared" si="1118"/>
        <v/>
      </c>
      <c r="AS3115" t="str">
        <f t="shared" si="1119"/>
        <v/>
      </c>
      <c r="AT3115" t="str">
        <f t="shared" si="1120"/>
        <v>G3</v>
      </c>
      <c r="AU3115" t="str">
        <f t="shared" si="1121"/>
        <v>G3</v>
      </c>
      <c r="AV3115" s="203" t="str">
        <f t="shared" si="1122"/>
        <v>BiK270G3----12</v>
      </c>
      <c r="AW3115">
        <f t="shared" si="1123"/>
        <v>14</v>
      </c>
      <c r="AX3115" t="str">
        <f t="shared" si="1124"/>
        <v>0-0,15 MW, Bonusregel G3</v>
      </c>
      <c r="AY3115" t="str">
        <f t="shared" si="1125"/>
        <v/>
      </c>
    </row>
    <row r="3116" spans="1:51" x14ac:dyDescent="0.35">
      <c r="A3116" s="500" t="str">
        <f t="shared" si="1104"/>
        <v>BiK270E1aG3-12</v>
      </c>
      <c r="B3116" s="225" t="s">
        <v>5547</v>
      </c>
      <c r="C3116" s="225" t="str">
        <f t="shared" si="1105"/>
        <v>Inbetriebnahme 2012</v>
      </c>
      <c r="D3116" s="225" t="str">
        <f t="shared" si="1106"/>
        <v>0-0,15 MW, Bonusregeln E1a, G3</v>
      </c>
      <c r="E3116" s="225"/>
      <c r="F3116" s="382">
        <f t="shared" si="1107"/>
        <v>21.3</v>
      </c>
      <c r="G3116" s="438">
        <v>21.3</v>
      </c>
      <c r="H3116" s="405">
        <f t="shared" si="1108"/>
        <v>17.04</v>
      </c>
      <c r="I3116" s="584"/>
      <c r="J3116" s="549" t="s">
        <v>5804</v>
      </c>
      <c r="K3116" s="11"/>
      <c r="L3116" s="55" t="str">
        <f t="shared" si="1109"/>
        <v/>
      </c>
      <c r="M3116" s="37">
        <f t="shared" si="1110"/>
        <v>21.3</v>
      </c>
      <c r="N3116" s="29">
        <f t="shared" si="1126"/>
        <v>14.3</v>
      </c>
      <c r="O3116" s="31" t="s">
        <v>1017</v>
      </c>
      <c r="P3116" s="50"/>
      <c r="Q3116" s="50"/>
      <c r="R3116" s="50"/>
      <c r="S3116" s="179"/>
      <c r="T3116" s="22"/>
      <c r="U3116" s="50"/>
      <c r="V3116" s="179"/>
      <c r="W3116" s="22"/>
      <c r="X3116" s="38" t="s">
        <v>1017</v>
      </c>
      <c r="AH3116" s="202" t="s">
        <v>1780</v>
      </c>
      <c r="AK3116" t="str">
        <f t="shared" si="1111"/>
        <v>E1a</v>
      </c>
      <c r="AL3116" t="str">
        <f t="shared" si="1112"/>
        <v/>
      </c>
      <c r="AM3116" t="str">
        <f t="shared" si="1113"/>
        <v/>
      </c>
      <c r="AN3116" t="str">
        <f t="shared" si="1114"/>
        <v/>
      </c>
      <c r="AO3116" t="str">
        <f t="shared" si="1115"/>
        <v/>
      </c>
      <c r="AP3116" t="str">
        <f t="shared" si="1116"/>
        <v/>
      </c>
      <c r="AQ3116" t="str">
        <f t="shared" si="1117"/>
        <v/>
      </c>
      <c r="AR3116" t="str">
        <f t="shared" si="1118"/>
        <v/>
      </c>
      <c r="AS3116" t="str">
        <f t="shared" si="1119"/>
        <v/>
      </c>
      <c r="AT3116" t="str">
        <f t="shared" si="1120"/>
        <v>G3</v>
      </c>
      <c r="AU3116" t="str">
        <f t="shared" si="1121"/>
        <v>E1aG3</v>
      </c>
      <c r="AV3116" s="203" t="str">
        <f t="shared" si="1122"/>
        <v>BiK270E1aG3-12</v>
      </c>
      <c r="AW3116">
        <f t="shared" si="1123"/>
        <v>14</v>
      </c>
      <c r="AX3116" t="str">
        <f t="shared" si="1124"/>
        <v>0-0,15 MW, Bonusregeln E1a, G3</v>
      </c>
      <c r="AY3116" t="str">
        <f t="shared" si="1125"/>
        <v/>
      </c>
    </row>
    <row r="3117" spans="1:51" x14ac:dyDescent="0.35">
      <c r="A3117" s="500" t="str">
        <f t="shared" si="1104"/>
        <v>BiK270E2aG3-12</v>
      </c>
      <c r="B3117" s="225" t="s">
        <v>5547</v>
      </c>
      <c r="C3117" s="225" t="str">
        <f t="shared" si="1105"/>
        <v>Inbetriebnahme 2012</v>
      </c>
      <c r="D3117" s="225" t="str">
        <f t="shared" si="1106"/>
        <v>0-0,15 MW, Bonusregeln E2a, G3</v>
      </c>
      <c r="E3117" s="225"/>
      <c r="F3117" s="382">
        <f t="shared" si="1107"/>
        <v>23.3</v>
      </c>
      <c r="G3117" s="438">
        <v>23.3</v>
      </c>
      <c r="H3117" s="405">
        <f t="shared" si="1108"/>
        <v>18.64</v>
      </c>
      <c r="I3117" s="584"/>
      <c r="J3117" s="549" t="s">
        <v>5804</v>
      </c>
      <c r="K3117" s="11"/>
      <c r="L3117" s="55" t="str">
        <f t="shared" si="1109"/>
        <v/>
      </c>
      <c r="M3117" s="37">
        <f t="shared" si="1110"/>
        <v>23.3</v>
      </c>
      <c r="N3117" s="29">
        <f t="shared" si="1126"/>
        <v>14.3</v>
      </c>
      <c r="O3117" s="31"/>
      <c r="P3117" s="50"/>
      <c r="Q3117" s="50"/>
      <c r="R3117" s="50"/>
      <c r="S3117" s="179" t="s">
        <v>1017</v>
      </c>
      <c r="T3117" s="22"/>
      <c r="U3117" s="50"/>
      <c r="V3117" s="179"/>
      <c r="W3117" s="22"/>
      <c r="X3117" s="38" t="s">
        <v>1017</v>
      </c>
      <c r="AH3117" s="202" t="s">
        <v>1780</v>
      </c>
      <c r="AK3117" t="str">
        <f t="shared" si="1111"/>
        <v/>
      </c>
      <c r="AL3117" t="str">
        <f t="shared" si="1112"/>
        <v/>
      </c>
      <c r="AM3117" t="str">
        <f t="shared" si="1113"/>
        <v/>
      </c>
      <c r="AN3117" t="str">
        <f t="shared" si="1114"/>
        <v/>
      </c>
      <c r="AO3117" t="str">
        <f t="shared" si="1115"/>
        <v>E2a</v>
      </c>
      <c r="AP3117" t="str">
        <f t="shared" si="1116"/>
        <v/>
      </c>
      <c r="AQ3117" t="str">
        <f t="shared" si="1117"/>
        <v/>
      </c>
      <c r="AR3117" t="str">
        <f t="shared" si="1118"/>
        <v/>
      </c>
      <c r="AS3117" t="str">
        <f t="shared" si="1119"/>
        <v/>
      </c>
      <c r="AT3117" t="str">
        <f t="shared" si="1120"/>
        <v>G3</v>
      </c>
      <c r="AU3117" t="str">
        <f t="shared" si="1121"/>
        <v>E2aG3</v>
      </c>
      <c r="AV3117" s="203" t="str">
        <f t="shared" si="1122"/>
        <v>BiK270E2aG3-12</v>
      </c>
      <c r="AW3117">
        <f t="shared" si="1123"/>
        <v>14</v>
      </c>
      <c r="AX3117" t="str">
        <f t="shared" si="1124"/>
        <v>0-0,15 MW, Bonusregeln E2a, G3</v>
      </c>
      <c r="AY3117" t="str">
        <f t="shared" si="1125"/>
        <v/>
      </c>
    </row>
    <row r="3118" spans="1:51" x14ac:dyDescent="0.35">
      <c r="A3118" s="500" t="str">
        <f t="shared" si="1104"/>
        <v>BiK270E2bG3-12</v>
      </c>
      <c r="B3118" s="225" t="s">
        <v>5547</v>
      </c>
      <c r="C3118" s="225" t="str">
        <f t="shared" si="1105"/>
        <v>Inbetriebnahme 2012</v>
      </c>
      <c r="D3118" s="225" t="str">
        <f t="shared" si="1106"/>
        <v>0-0,15 MW, Bonusregeln E2b, G3</v>
      </c>
      <c r="E3118" s="225"/>
      <c r="F3118" s="382">
        <f t="shared" si="1107"/>
        <v>23.3</v>
      </c>
      <c r="G3118" s="438">
        <v>23.3</v>
      </c>
      <c r="H3118" s="405">
        <f t="shared" si="1108"/>
        <v>18.64</v>
      </c>
      <c r="I3118" s="584"/>
      <c r="J3118" s="549" t="s">
        <v>5804</v>
      </c>
      <c r="K3118" s="11"/>
      <c r="L3118" s="55" t="str">
        <f t="shared" si="1109"/>
        <v/>
      </c>
      <c r="M3118" s="37">
        <f t="shared" si="1110"/>
        <v>23.3</v>
      </c>
      <c r="N3118" s="29">
        <f t="shared" si="1126"/>
        <v>14.3</v>
      </c>
      <c r="O3118" s="22"/>
      <c r="P3118" s="50"/>
      <c r="Q3118" s="50"/>
      <c r="R3118" s="50"/>
      <c r="S3118" s="202"/>
      <c r="T3118" s="22" t="s">
        <v>1017</v>
      </c>
      <c r="U3118" s="50"/>
      <c r="V3118" s="179"/>
      <c r="W3118" s="22"/>
      <c r="X3118" s="38" t="s">
        <v>1017</v>
      </c>
      <c r="AH3118" s="202" t="s">
        <v>1780</v>
      </c>
      <c r="AK3118" t="str">
        <f t="shared" si="1111"/>
        <v/>
      </c>
      <c r="AL3118" t="str">
        <f t="shared" si="1112"/>
        <v/>
      </c>
      <c r="AM3118" t="str">
        <f t="shared" si="1113"/>
        <v/>
      </c>
      <c r="AN3118" t="str">
        <f t="shared" si="1114"/>
        <v/>
      </c>
      <c r="AO3118" t="str">
        <f t="shared" si="1115"/>
        <v/>
      </c>
      <c r="AP3118" t="str">
        <f t="shared" si="1116"/>
        <v>E2b</v>
      </c>
      <c r="AQ3118" t="str">
        <f t="shared" si="1117"/>
        <v/>
      </c>
      <c r="AR3118" t="str">
        <f t="shared" si="1118"/>
        <v/>
      </c>
      <c r="AS3118" t="str">
        <f t="shared" si="1119"/>
        <v/>
      </c>
      <c r="AT3118" t="str">
        <f t="shared" si="1120"/>
        <v>G3</v>
      </c>
      <c r="AU3118" t="str">
        <f t="shared" si="1121"/>
        <v>E2bG3</v>
      </c>
      <c r="AV3118" s="203" t="str">
        <f t="shared" si="1122"/>
        <v>BiK270E2bG3-12</v>
      </c>
      <c r="AW3118">
        <f t="shared" si="1123"/>
        <v>14</v>
      </c>
      <c r="AX3118" t="str">
        <f t="shared" si="1124"/>
        <v>0-0,15 MW, Bonusregeln E2b, G3</v>
      </c>
      <c r="AY3118" t="str">
        <f t="shared" si="1125"/>
        <v/>
      </c>
    </row>
    <row r="3119" spans="1:51" x14ac:dyDescent="0.35">
      <c r="A3119" s="500" t="str">
        <f t="shared" ref="A3119:A3134" si="1127">"BiK271"&amp;AU3119&amp;RIGHT("------",6-LEN(AU3119))&amp;RIGHT($M$3099,2)</f>
        <v>BiK271------12</v>
      </c>
      <c r="B3119" s="225" t="s">
        <v>5547</v>
      </c>
      <c r="C3119" s="225" t="str">
        <f t="shared" si="1105"/>
        <v>Inbetriebnahme 2012</v>
      </c>
      <c r="D3119" s="225" t="str">
        <f t="shared" si="1106"/>
        <v>0,15-0,5 MW</v>
      </c>
      <c r="E3119" s="225"/>
      <c r="F3119" s="382">
        <f t="shared" si="1107"/>
        <v>12.3</v>
      </c>
      <c r="G3119" s="438">
        <v>12.3</v>
      </c>
      <c r="H3119" s="405">
        <f t="shared" si="1108"/>
        <v>9.84</v>
      </c>
      <c r="I3119" s="584"/>
      <c r="J3119" s="549" t="s">
        <v>5804</v>
      </c>
      <c r="K3119" s="11"/>
      <c r="L3119" s="55" t="str">
        <f t="shared" si="1109"/>
        <v/>
      </c>
      <c r="M3119" s="37">
        <f t="shared" si="1110"/>
        <v>12.3</v>
      </c>
      <c r="N3119" s="29">
        <v>12.3</v>
      </c>
      <c r="O3119" s="31"/>
      <c r="P3119" s="50"/>
      <c r="Q3119" s="50"/>
      <c r="R3119" s="50"/>
      <c r="S3119" s="31"/>
      <c r="T3119" s="22"/>
      <c r="U3119" s="50"/>
      <c r="V3119" s="31"/>
      <c r="W3119" s="22"/>
      <c r="X3119" s="38"/>
      <c r="AH3119" s="202" t="s">
        <v>1779</v>
      </c>
      <c r="AK3119" t="str">
        <f t="shared" si="1111"/>
        <v/>
      </c>
      <c r="AL3119" t="str">
        <f t="shared" si="1112"/>
        <v/>
      </c>
      <c r="AM3119" t="str">
        <f t="shared" si="1113"/>
        <v/>
      </c>
      <c r="AN3119" t="str">
        <f t="shared" si="1114"/>
        <v/>
      </c>
      <c r="AO3119" t="str">
        <f t="shared" si="1115"/>
        <v/>
      </c>
      <c r="AP3119" t="str">
        <f t="shared" si="1116"/>
        <v/>
      </c>
      <c r="AQ3119" t="str">
        <f t="shared" si="1117"/>
        <v/>
      </c>
      <c r="AR3119" t="str">
        <f t="shared" si="1118"/>
        <v/>
      </c>
      <c r="AS3119" t="str">
        <f t="shared" si="1119"/>
        <v/>
      </c>
      <c r="AT3119" t="str">
        <f t="shared" si="1120"/>
        <v/>
      </c>
      <c r="AU3119" t="str">
        <f t="shared" si="1121"/>
        <v/>
      </c>
      <c r="AV3119" s="203" t="str">
        <f t="shared" ref="AV3119:AV3134" si="1128">"BiK271"&amp;AU3119&amp;RIGHT("------",6-LEN(AU3119))&amp;RIGHT($M$3099,2)</f>
        <v>BiK271------12</v>
      </c>
      <c r="AW3119">
        <f t="shared" si="1123"/>
        <v>14</v>
      </c>
      <c r="AX3119" t="str">
        <f t="shared" si="1124"/>
        <v>0,15-0,5 MW</v>
      </c>
      <c r="AY3119" t="str">
        <f t="shared" si="1125"/>
        <v/>
      </c>
    </row>
    <row r="3120" spans="1:51" x14ac:dyDescent="0.35">
      <c r="A3120" s="500" t="str">
        <f t="shared" si="1127"/>
        <v>BiK271E1a---12</v>
      </c>
      <c r="B3120" s="225" t="s">
        <v>5547</v>
      </c>
      <c r="C3120" s="225" t="str">
        <f t="shared" si="1105"/>
        <v>Inbetriebnahme 2012</v>
      </c>
      <c r="D3120" s="225" t="str">
        <f t="shared" si="1106"/>
        <v>0,15-0,5 MW, Bonusregel E1a</v>
      </c>
      <c r="E3120" s="225"/>
      <c r="F3120" s="382">
        <f t="shared" si="1107"/>
        <v>18.3</v>
      </c>
      <c r="G3120" s="438">
        <v>18.3</v>
      </c>
      <c r="H3120" s="405">
        <f t="shared" si="1108"/>
        <v>14.64</v>
      </c>
      <c r="I3120" s="584"/>
      <c r="J3120" s="549" t="s">
        <v>5804</v>
      </c>
      <c r="K3120" s="11"/>
      <c r="L3120" s="55" t="str">
        <f t="shared" si="1109"/>
        <v/>
      </c>
      <c r="M3120" s="37">
        <f t="shared" si="1110"/>
        <v>18.3</v>
      </c>
      <c r="N3120" s="29">
        <f t="shared" ref="N3120:N3134" si="1129">N3119</f>
        <v>12.3</v>
      </c>
      <c r="O3120" s="179" t="s">
        <v>1017</v>
      </c>
      <c r="P3120" s="50"/>
      <c r="Q3120" s="50"/>
      <c r="R3120" s="50"/>
      <c r="S3120" s="31"/>
      <c r="T3120" s="22"/>
      <c r="U3120" s="50"/>
      <c r="V3120" s="31"/>
      <c r="W3120" s="22"/>
      <c r="X3120" s="38"/>
      <c r="AH3120" s="202" t="s">
        <v>1779</v>
      </c>
      <c r="AK3120" t="str">
        <f t="shared" si="1111"/>
        <v>E1a</v>
      </c>
      <c r="AL3120" t="str">
        <f t="shared" si="1112"/>
        <v/>
      </c>
      <c r="AM3120" t="str">
        <f t="shared" si="1113"/>
        <v/>
      </c>
      <c r="AN3120" t="str">
        <f t="shared" si="1114"/>
        <v/>
      </c>
      <c r="AO3120" t="str">
        <f t="shared" si="1115"/>
        <v/>
      </c>
      <c r="AP3120" t="str">
        <f t="shared" si="1116"/>
        <v/>
      </c>
      <c r="AQ3120" t="str">
        <f t="shared" si="1117"/>
        <v/>
      </c>
      <c r="AR3120" t="str">
        <f t="shared" si="1118"/>
        <v/>
      </c>
      <c r="AS3120" t="str">
        <f t="shared" si="1119"/>
        <v/>
      </c>
      <c r="AT3120" t="str">
        <f t="shared" si="1120"/>
        <v/>
      </c>
      <c r="AU3120" t="str">
        <f t="shared" si="1121"/>
        <v>E1a</v>
      </c>
      <c r="AV3120" s="203" t="str">
        <f t="shared" si="1128"/>
        <v>BiK271E1a---12</v>
      </c>
      <c r="AW3120">
        <f t="shared" si="1123"/>
        <v>14</v>
      </c>
      <c r="AX3120" t="str">
        <f t="shared" si="1124"/>
        <v>0,15-0,5 MW, Bonusregel E1a</v>
      </c>
      <c r="AY3120" t="str">
        <f t="shared" si="1125"/>
        <v/>
      </c>
    </row>
    <row r="3121" spans="1:51" x14ac:dyDescent="0.35">
      <c r="A3121" s="500" t="str">
        <f t="shared" si="1127"/>
        <v>BiK271E2a---12</v>
      </c>
      <c r="B3121" s="225" t="s">
        <v>5547</v>
      </c>
      <c r="C3121" s="225" t="str">
        <f t="shared" si="1105"/>
        <v>Inbetriebnahme 2012</v>
      </c>
      <c r="D3121" s="225" t="str">
        <f t="shared" si="1106"/>
        <v>0,15-0,5 MW, Bonusregel E2a</v>
      </c>
      <c r="E3121" s="225"/>
      <c r="F3121" s="382">
        <f t="shared" si="1107"/>
        <v>20.3</v>
      </c>
      <c r="G3121" s="438">
        <v>20.3</v>
      </c>
      <c r="H3121" s="405">
        <f t="shared" si="1108"/>
        <v>16.239999999999998</v>
      </c>
      <c r="I3121" s="584"/>
      <c r="J3121" s="549" t="s">
        <v>5804</v>
      </c>
      <c r="K3121" s="11"/>
      <c r="L3121" s="55" t="str">
        <f t="shared" si="1109"/>
        <v/>
      </c>
      <c r="M3121" s="37">
        <f t="shared" si="1110"/>
        <v>20.3</v>
      </c>
      <c r="N3121" s="29">
        <f t="shared" si="1129"/>
        <v>12.3</v>
      </c>
      <c r="O3121" s="31"/>
      <c r="P3121" s="50"/>
      <c r="Q3121" s="50"/>
      <c r="R3121" s="50"/>
      <c r="S3121" s="179" t="s">
        <v>1017</v>
      </c>
      <c r="T3121" s="22"/>
      <c r="U3121" s="50"/>
      <c r="V3121" s="31"/>
      <c r="W3121" s="22"/>
      <c r="X3121" s="38"/>
      <c r="AH3121" s="202" t="s">
        <v>1779</v>
      </c>
      <c r="AK3121" t="str">
        <f t="shared" si="1111"/>
        <v/>
      </c>
      <c r="AL3121" t="str">
        <f t="shared" si="1112"/>
        <v/>
      </c>
      <c r="AM3121" t="str">
        <f t="shared" si="1113"/>
        <v/>
      </c>
      <c r="AN3121" t="str">
        <f t="shared" si="1114"/>
        <v/>
      </c>
      <c r="AO3121" t="str">
        <f t="shared" si="1115"/>
        <v>E2a</v>
      </c>
      <c r="AP3121" t="str">
        <f t="shared" si="1116"/>
        <v/>
      </c>
      <c r="AQ3121" t="str">
        <f t="shared" si="1117"/>
        <v/>
      </c>
      <c r="AR3121" t="str">
        <f t="shared" si="1118"/>
        <v/>
      </c>
      <c r="AS3121" t="str">
        <f t="shared" si="1119"/>
        <v/>
      </c>
      <c r="AT3121" t="str">
        <f t="shared" si="1120"/>
        <v/>
      </c>
      <c r="AU3121" t="str">
        <f t="shared" si="1121"/>
        <v>E2a</v>
      </c>
      <c r="AV3121" s="203" t="str">
        <f t="shared" si="1128"/>
        <v>BiK271E2a---12</v>
      </c>
      <c r="AW3121">
        <f t="shared" si="1123"/>
        <v>14</v>
      </c>
      <c r="AX3121" t="str">
        <f t="shared" si="1124"/>
        <v>0,15-0,5 MW, Bonusregel E2a</v>
      </c>
      <c r="AY3121" t="str">
        <f t="shared" si="1125"/>
        <v/>
      </c>
    </row>
    <row r="3122" spans="1:51" x14ac:dyDescent="0.35">
      <c r="A3122" s="500" t="str">
        <f t="shared" si="1127"/>
        <v>BiK271E2b---12</v>
      </c>
      <c r="B3122" s="225" t="s">
        <v>5547</v>
      </c>
      <c r="C3122" s="225" t="str">
        <f t="shared" si="1105"/>
        <v>Inbetriebnahme 2012</v>
      </c>
      <c r="D3122" s="225" t="str">
        <f t="shared" si="1106"/>
        <v>0,15-0,5 MW, Bonusregel E2b</v>
      </c>
      <c r="E3122" s="225"/>
      <c r="F3122" s="382">
        <f t="shared" si="1107"/>
        <v>20.3</v>
      </c>
      <c r="G3122" s="438">
        <v>20.3</v>
      </c>
      <c r="H3122" s="405">
        <f t="shared" si="1108"/>
        <v>16.239999999999998</v>
      </c>
      <c r="I3122" s="584"/>
      <c r="J3122" s="549" t="s">
        <v>5804</v>
      </c>
      <c r="K3122" s="11"/>
      <c r="L3122" s="55" t="str">
        <f t="shared" si="1109"/>
        <v/>
      </c>
      <c r="M3122" s="37">
        <f t="shared" si="1110"/>
        <v>20.3</v>
      </c>
      <c r="N3122" s="29">
        <f t="shared" si="1129"/>
        <v>12.3</v>
      </c>
      <c r="O3122" s="31"/>
      <c r="P3122" s="50"/>
      <c r="Q3122" s="50"/>
      <c r="R3122" s="50"/>
      <c r="S3122" s="179"/>
      <c r="T3122" s="202" t="s">
        <v>1017</v>
      </c>
      <c r="U3122" s="50"/>
      <c r="V3122" s="31"/>
      <c r="W3122" s="22"/>
      <c r="X3122" s="38"/>
      <c r="AH3122" s="202" t="s">
        <v>1779</v>
      </c>
      <c r="AK3122" t="str">
        <f t="shared" si="1111"/>
        <v/>
      </c>
      <c r="AL3122" t="str">
        <f t="shared" si="1112"/>
        <v/>
      </c>
      <c r="AM3122" t="str">
        <f t="shared" si="1113"/>
        <v/>
      </c>
      <c r="AN3122" t="str">
        <f t="shared" si="1114"/>
        <v/>
      </c>
      <c r="AO3122" t="str">
        <f t="shared" si="1115"/>
        <v/>
      </c>
      <c r="AP3122" t="str">
        <f t="shared" si="1116"/>
        <v>E2b</v>
      </c>
      <c r="AQ3122" t="str">
        <f t="shared" si="1117"/>
        <v/>
      </c>
      <c r="AR3122" t="str">
        <f t="shared" si="1118"/>
        <v/>
      </c>
      <c r="AS3122" t="str">
        <f t="shared" si="1119"/>
        <v/>
      </c>
      <c r="AT3122" t="str">
        <f t="shared" si="1120"/>
        <v/>
      </c>
      <c r="AU3122" t="str">
        <f t="shared" si="1121"/>
        <v>E2b</v>
      </c>
      <c r="AV3122" s="203" t="str">
        <f t="shared" si="1128"/>
        <v>BiK271E2b---12</v>
      </c>
      <c r="AW3122">
        <f t="shared" si="1123"/>
        <v>14</v>
      </c>
      <c r="AX3122" t="str">
        <f t="shared" si="1124"/>
        <v>0,15-0,5 MW, Bonusregel E2b</v>
      </c>
      <c r="AY3122" t="str">
        <f t="shared" si="1125"/>
        <v/>
      </c>
    </row>
    <row r="3123" spans="1:51" x14ac:dyDescent="0.35">
      <c r="A3123" s="500" t="str">
        <f t="shared" si="1127"/>
        <v>BiK271G1----12</v>
      </c>
      <c r="B3123" s="225" t="s">
        <v>5547</v>
      </c>
      <c r="C3123" s="225" t="str">
        <f t="shared" si="1105"/>
        <v>Inbetriebnahme 2012</v>
      </c>
      <c r="D3123" s="225" t="str">
        <f t="shared" si="1106"/>
        <v>0,15-0,5 MW, Bonusregel G1</v>
      </c>
      <c r="E3123" s="225"/>
      <c r="F3123" s="382">
        <f t="shared" si="1107"/>
        <v>15.3</v>
      </c>
      <c r="G3123" s="438">
        <v>15.3</v>
      </c>
      <c r="H3123" s="405">
        <f t="shared" si="1108"/>
        <v>12.24</v>
      </c>
      <c r="I3123" s="584"/>
      <c r="J3123" s="549" t="s">
        <v>5804</v>
      </c>
      <c r="K3123" s="11"/>
      <c r="L3123" s="55" t="str">
        <f t="shared" si="1109"/>
        <v/>
      </c>
      <c r="M3123" s="37">
        <f t="shared" si="1110"/>
        <v>15.3</v>
      </c>
      <c r="N3123" s="29">
        <f t="shared" si="1129"/>
        <v>12.3</v>
      </c>
      <c r="O3123" s="31"/>
      <c r="P3123" s="50"/>
      <c r="Q3123" s="50"/>
      <c r="R3123" s="50"/>
      <c r="S3123" s="31"/>
      <c r="T3123" s="22"/>
      <c r="U3123" s="50"/>
      <c r="V3123" s="179" t="s">
        <v>1017</v>
      </c>
      <c r="W3123" s="22"/>
      <c r="X3123" s="38"/>
      <c r="AH3123" s="202" t="s">
        <v>1779</v>
      </c>
      <c r="AK3123" t="str">
        <f t="shared" si="1111"/>
        <v/>
      </c>
      <c r="AL3123" t="str">
        <f t="shared" si="1112"/>
        <v/>
      </c>
      <c r="AM3123" t="str">
        <f t="shared" si="1113"/>
        <v/>
      </c>
      <c r="AN3123" t="str">
        <f t="shared" si="1114"/>
        <v/>
      </c>
      <c r="AO3123" t="str">
        <f t="shared" si="1115"/>
        <v/>
      </c>
      <c r="AP3123" t="str">
        <f t="shared" si="1116"/>
        <v/>
      </c>
      <c r="AQ3123" t="str">
        <f t="shared" si="1117"/>
        <v/>
      </c>
      <c r="AR3123" t="str">
        <f t="shared" si="1118"/>
        <v>G1</v>
      </c>
      <c r="AS3123" t="str">
        <f t="shared" si="1119"/>
        <v/>
      </c>
      <c r="AT3123" t="str">
        <f t="shared" si="1120"/>
        <v/>
      </c>
      <c r="AU3123" t="str">
        <f t="shared" si="1121"/>
        <v>G1</v>
      </c>
      <c r="AV3123" s="203" t="str">
        <f t="shared" si="1128"/>
        <v>BiK271G1----12</v>
      </c>
      <c r="AW3123">
        <f t="shared" si="1123"/>
        <v>14</v>
      </c>
      <c r="AX3123" t="str">
        <f t="shared" si="1124"/>
        <v>0,15-0,5 MW, Bonusregel G1</v>
      </c>
      <c r="AY3123" t="str">
        <f t="shared" si="1125"/>
        <v/>
      </c>
    </row>
    <row r="3124" spans="1:51" x14ac:dyDescent="0.35">
      <c r="A3124" s="500" t="str">
        <f t="shared" si="1127"/>
        <v>BiK271E1aG1-12</v>
      </c>
      <c r="B3124" s="225" t="s">
        <v>5547</v>
      </c>
      <c r="C3124" s="225" t="str">
        <f t="shared" si="1105"/>
        <v>Inbetriebnahme 2012</v>
      </c>
      <c r="D3124" s="225" t="str">
        <f t="shared" si="1106"/>
        <v>0,15-0,5 MW, Bonusregeln E1a, G1</v>
      </c>
      <c r="E3124" s="225"/>
      <c r="F3124" s="382">
        <f t="shared" si="1107"/>
        <v>21.3</v>
      </c>
      <c r="G3124" s="438">
        <v>21.3</v>
      </c>
      <c r="H3124" s="405">
        <f t="shared" si="1108"/>
        <v>17.04</v>
      </c>
      <c r="I3124" s="584"/>
      <c r="J3124" s="549" t="s">
        <v>5804</v>
      </c>
      <c r="K3124" s="11"/>
      <c r="L3124" s="55" t="str">
        <f t="shared" si="1109"/>
        <v/>
      </c>
      <c r="M3124" s="37">
        <f t="shared" si="1110"/>
        <v>21.3</v>
      </c>
      <c r="N3124" s="29">
        <f t="shared" si="1129"/>
        <v>12.3</v>
      </c>
      <c r="O3124" s="31" t="s">
        <v>1017</v>
      </c>
      <c r="P3124" s="50"/>
      <c r="Q3124" s="50"/>
      <c r="R3124" s="50"/>
      <c r="S3124" s="179"/>
      <c r="T3124" s="22"/>
      <c r="U3124" s="50"/>
      <c r="V3124" s="179" t="s">
        <v>1017</v>
      </c>
      <c r="W3124" s="22"/>
      <c r="X3124" s="38"/>
      <c r="AH3124" s="202" t="s">
        <v>1779</v>
      </c>
      <c r="AK3124" t="str">
        <f t="shared" si="1111"/>
        <v>E1a</v>
      </c>
      <c r="AL3124" t="str">
        <f t="shared" si="1112"/>
        <v/>
      </c>
      <c r="AM3124" t="str">
        <f t="shared" si="1113"/>
        <v/>
      </c>
      <c r="AN3124" t="str">
        <f t="shared" si="1114"/>
        <v/>
      </c>
      <c r="AO3124" t="str">
        <f t="shared" si="1115"/>
        <v/>
      </c>
      <c r="AP3124" t="str">
        <f t="shared" si="1116"/>
        <v/>
      </c>
      <c r="AQ3124" t="str">
        <f t="shared" si="1117"/>
        <v/>
      </c>
      <c r="AR3124" t="str">
        <f t="shared" si="1118"/>
        <v>G1</v>
      </c>
      <c r="AS3124" t="str">
        <f t="shared" si="1119"/>
        <v/>
      </c>
      <c r="AT3124" t="str">
        <f t="shared" si="1120"/>
        <v/>
      </c>
      <c r="AU3124" t="str">
        <f t="shared" si="1121"/>
        <v>E1aG1</v>
      </c>
      <c r="AV3124" s="203" t="str">
        <f t="shared" si="1128"/>
        <v>BiK271E1aG1-12</v>
      </c>
      <c r="AW3124">
        <f t="shared" si="1123"/>
        <v>14</v>
      </c>
      <c r="AX3124" t="str">
        <f t="shared" si="1124"/>
        <v>0,15-0,5 MW, Bonusregeln E1a, G1</v>
      </c>
      <c r="AY3124" t="str">
        <f t="shared" si="1125"/>
        <v/>
      </c>
    </row>
    <row r="3125" spans="1:51" x14ac:dyDescent="0.35">
      <c r="A3125" s="500" t="str">
        <f t="shared" si="1127"/>
        <v>BiK271E2aG1-12</v>
      </c>
      <c r="B3125" s="225" t="s">
        <v>5547</v>
      </c>
      <c r="C3125" s="225" t="str">
        <f t="shared" si="1105"/>
        <v>Inbetriebnahme 2012</v>
      </c>
      <c r="D3125" s="225" t="str">
        <f t="shared" si="1106"/>
        <v>0,15-0,5 MW, Bonusregeln E2a, G1</v>
      </c>
      <c r="E3125" s="225"/>
      <c r="F3125" s="382">
        <f t="shared" si="1107"/>
        <v>23.3</v>
      </c>
      <c r="G3125" s="438">
        <v>23.3</v>
      </c>
      <c r="H3125" s="405">
        <f t="shared" si="1108"/>
        <v>18.64</v>
      </c>
      <c r="I3125" s="584"/>
      <c r="J3125" s="549" t="s">
        <v>5804</v>
      </c>
      <c r="K3125" s="11"/>
      <c r="L3125" s="55" t="str">
        <f t="shared" si="1109"/>
        <v/>
      </c>
      <c r="M3125" s="37">
        <f t="shared" si="1110"/>
        <v>23.3</v>
      </c>
      <c r="N3125" s="29">
        <f t="shared" si="1129"/>
        <v>12.3</v>
      </c>
      <c r="O3125" s="31"/>
      <c r="P3125" s="50"/>
      <c r="Q3125" s="50"/>
      <c r="R3125" s="50"/>
      <c r="S3125" s="179" t="s">
        <v>1017</v>
      </c>
      <c r="T3125" s="22"/>
      <c r="U3125" s="50"/>
      <c r="V3125" s="179" t="s">
        <v>1017</v>
      </c>
      <c r="W3125" s="22"/>
      <c r="X3125" s="38"/>
      <c r="AH3125" s="202" t="s">
        <v>1779</v>
      </c>
      <c r="AK3125" t="str">
        <f t="shared" si="1111"/>
        <v/>
      </c>
      <c r="AL3125" t="str">
        <f t="shared" si="1112"/>
        <v/>
      </c>
      <c r="AM3125" t="str">
        <f t="shared" si="1113"/>
        <v/>
      </c>
      <c r="AN3125" t="str">
        <f t="shared" si="1114"/>
        <v/>
      </c>
      <c r="AO3125" t="str">
        <f t="shared" si="1115"/>
        <v>E2a</v>
      </c>
      <c r="AP3125" t="str">
        <f t="shared" si="1116"/>
        <v/>
      </c>
      <c r="AQ3125" t="str">
        <f t="shared" si="1117"/>
        <v/>
      </c>
      <c r="AR3125" t="str">
        <f t="shared" si="1118"/>
        <v>G1</v>
      </c>
      <c r="AS3125" t="str">
        <f t="shared" si="1119"/>
        <v/>
      </c>
      <c r="AT3125" t="str">
        <f t="shared" si="1120"/>
        <v/>
      </c>
      <c r="AU3125" t="str">
        <f t="shared" si="1121"/>
        <v>E2aG1</v>
      </c>
      <c r="AV3125" s="203" t="str">
        <f t="shared" si="1128"/>
        <v>BiK271E2aG1-12</v>
      </c>
      <c r="AW3125">
        <f t="shared" si="1123"/>
        <v>14</v>
      </c>
      <c r="AX3125" t="str">
        <f t="shared" si="1124"/>
        <v>0,15-0,5 MW, Bonusregeln E2a, G1</v>
      </c>
      <c r="AY3125" t="str">
        <f t="shared" si="1125"/>
        <v/>
      </c>
    </row>
    <row r="3126" spans="1:51" x14ac:dyDescent="0.35">
      <c r="A3126" s="500" t="str">
        <f t="shared" si="1127"/>
        <v>BiK271E2bG1-12</v>
      </c>
      <c r="B3126" s="225" t="s">
        <v>5547</v>
      </c>
      <c r="C3126" s="225" t="str">
        <f t="shared" si="1105"/>
        <v>Inbetriebnahme 2012</v>
      </c>
      <c r="D3126" s="225" t="str">
        <f t="shared" si="1106"/>
        <v>0,15-0,5 MW, Bonusregeln E2b, G1</v>
      </c>
      <c r="E3126" s="225"/>
      <c r="F3126" s="382">
        <f t="shared" si="1107"/>
        <v>23.3</v>
      </c>
      <c r="G3126" s="438">
        <v>23.3</v>
      </c>
      <c r="H3126" s="405">
        <f t="shared" si="1108"/>
        <v>18.64</v>
      </c>
      <c r="I3126" s="584"/>
      <c r="J3126" s="549" t="s">
        <v>5804</v>
      </c>
      <c r="K3126" s="11"/>
      <c r="L3126" s="55" t="str">
        <f t="shared" si="1109"/>
        <v/>
      </c>
      <c r="M3126" s="37">
        <f t="shared" si="1110"/>
        <v>23.3</v>
      </c>
      <c r="N3126" s="29">
        <f t="shared" si="1129"/>
        <v>12.3</v>
      </c>
      <c r="O3126" s="31"/>
      <c r="P3126" s="50"/>
      <c r="Q3126" s="50"/>
      <c r="R3126" s="50"/>
      <c r="S3126" s="179"/>
      <c r="T3126" s="22" t="s">
        <v>1017</v>
      </c>
      <c r="U3126" s="50"/>
      <c r="V3126" s="179" t="s">
        <v>1017</v>
      </c>
      <c r="W3126" s="22"/>
      <c r="X3126" s="38"/>
      <c r="AH3126" s="202" t="s">
        <v>1779</v>
      </c>
      <c r="AK3126" t="str">
        <f t="shared" si="1111"/>
        <v/>
      </c>
      <c r="AL3126" t="str">
        <f t="shared" si="1112"/>
        <v/>
      </c>
      <c r="AM3126" t="str">
        <f t="shared" si="1113"/>
        <v/>
      </c>
      <c r="AN3126" t="str">
        <f t="shared" si="1114"/>
        <v/>
      </c>
      <c r="AO3126" t="str">
        <f t="shared" si="1115"/>
        <v/>
      </c>
      <c r="AP3126" t="str">
        <f t="shared" si="1116"/>
        <v>E2b</v>
      </c>
      <c r="AQ3126" t="str">
        <f t="shared" si="1117"/>
        <v/>
      </c>
      <c r="AR3126" t="str">
        <f t="shared" si="1118"/>
        <v>G1</v>
      </c>
      <c r="AS3126" t="str">
        <f t="shared" si="1119"/>
        <v/>
      </c>
      <c r="AT3126" t="str">
        <f t="shared" si="1120"/>
        <v/>
      </c>
      <c r="AU3126" t="str">
        <f t="shared" si="1121"/>
        <v>E2bG1</v>
      </c>
      <c r="AV3126" s="203" t="str">
        <f t="shared" si="1128"/>
        <v>BiK271E2bG1-12</v>
      </c>
      <c r="AW3126">
        <f t="shared" si="1123"/>
        <v>14</v>
      </c>
      <c r="AX3126" t="str">
        <f t="shared" si="1124"/>
        <v>0,15-0,5 MW, Bonusregeln E2b, G1</v>
      </c>
      <c r="AY3126" t="str">
        <f t="shared" si="1125"/>
        <v/>
      </c>
    </row>
    <row r="3127" spans="1:51" x14ac:dyDescent="0.35">
      <c r="A3127" s="500" t="str">
        <f t="shared" si="1127"/>
        <v>BiK271G2----12</v>
      </c>
      <c r="B3127" s="225" t="s">
        <v>5547</v>
      </c>
      <c r="C3127" s="225" t="str">
        <f t="shared" si="1105"/>
        <v>Inbetriebnahme 2012</v>
      </c>
      <c r="D3127" s="225" t="str">
        <f t="shared" si="1106"/>
        <v>0,15-0,5 MW, Bonusregel G2</v>
      </c>
      <c r="E3127" s="225"/>
      <c r="F3127" s="382">
        <f t="shared" si="1107"/>
        <v>14.3</v>
      </c>
      <c r="G3127" s="438">
        <v>14.3</v>
      </c>
      <c r="H3127" s="405">
        <f t="shared" si="1108"/>
        <v>11.44</v>
      </c>
      <c r="I3127" s="584"/>
      <c r="J3127" s="549" t="s">
        <v>5804</v>
      </c>
      <c r="K3127" s="11"/>
      <c r="L3127" s="55" t="str">
        <f t="shared" si="1109"/>
        <v/>
      </c>
      <c r="M3127" s="37">
        <f t="shared" si="1110"/>
        <v>14.3</v>
      </c>
      <c r="N3127" s="29">
        <f t="shared" si="1129"/>
        <v>12.3</v>
      </c>
      <c r="O3127" s="31"/>
      <c r="P3127" s="50"/>
      <c r="Q3127" s="50"/>
      <c r="R3127" s="50"/>
      <c r="S3127" s="31"/>
      <c r="T3127" s="22"/>
      <c r="U3127" s="50"/>
      <c r="V3127" s="179"/>
      <c r="W3127" s="202" t="s">
        <v>1017</v>
      </c>
      <c r="X3127" s="38"/>
      <c r="AH3127" s="202" t="s">
        <v>1779</v>
      </c>
      <c r="AK3127" t="str">
        <f t="shared" si="1111"/>
        <v/>
      </c>
      <c r="AL3127" t="str">
        <f t="shared" si="1112"/>
        <v/>
      </c>
      <c r="AM3127" t="str">
        <f t="shared" si="1113"/>
        <v/>
      </c>
      <c r="AN3127" t="str">
        <f t="shared" si="1114"/>
        <v/>
      </c>
      <c r="AO3127" t="str">
        <f t="shared" si="1115"/>
        <v/>
      </c>
      <c r="AP3127" t="str">
        <f t="shared" si="1116"/>
        <v/>
      </c>
      <c r="AQ3127" t="str">
        <f t="shared" si="1117"/>
        <v/>
      </c>
      <c r="AR3127" t="str">
        <f t="shared" si="1118"/>
        <v/>
      </c>
      <c r="AS3127" t="str">
        <f t="shared" si="1119"/>
        <v>G2</v>
      </c>
      <c r="AT3127" t="str">
        <f t="shared" si="1120"/>
        <v/>
      </c>
      <c r="AU3127" t="str">
        <f t="shared" si="1121"/>
        <v>G2</v>
      </c>
      <c r="AV3127" s="203" t="str">
        <f t="shared" si="1128"/>
        <v>BiK271G2----12</v>
      </c>
      <c r="AW3127">
        <f t="shared" si="1123"/>
        <v>14</v>
      </c>
      <c r="AX3127" t="str">
        <f t="shared" si="1124"/>
        <v>0,15-0,5 MW, Bonusregel G2</v>
      </c>
      <c r="AY3127" t="str">
        <f t="shared" si="1125"/>
        <v/>
      </c>
    </row>
    <row r="3128" spans="1:51" x14ac:dyDescent="0.35">
      <c r="A3128" s="500" t="str">
        <f t="shared" si="1127"/>
        <v>BiK271E1aG2-12</v>
      </c>
      <c r="B3128" s="225" t="s">
        <v>5547</v>
      </c>
      <c r="C3128" s="225" t="str">
        <f t="shared" si="1105"/>
        <v>Inbetriebnahme 2012</v>
      </c>
      <c r="D3128" s="225" t="str">
        <f t="shared" si="1106"/>
        <v>0,15-0,5 MW, Bonusregeln E1a, G2</v>
      </c>
      <c r="E3128" s="225"/>
      <c r="F3128" s="382">
        <f t="shared" si="1107"/>
        <v>20.3</v>
      </c>
      <c r="G3128" s="438">
        <v>20.3</v>
      </c>
      <c r="H3128" s="405">
        <f t="shared" si="1108"/>
        <v>16.239999999999998</v>
      </c>
      <c r="I3128" s="584"/>
      <c r="J3128" s="549" t="s">
        <v>5804</v>
      </c>
      <c r="K3128" s="11"/>
      <c r="L3128" s="55" t="str">
        <f t="shared" si="1109"/>
        <v/>
      </c>
      <c r="M3128" s="37">
        <f t="shared" si="1110"/>
        <v>20.3</v>
      </c>
      <c r="N3128" s="29">
        <f t="shared" si="1129"/>
        <v>12.3</v>
      </c>
      <c r="O3128" s="31" t="s">
        <v>1017</v>
      </c>
      <c r="P3128" s="50"/>
      <c r="Q3128" s="50"/>
      <c r="R3128" s="50"/>
      <c r="S3128" s="179"/>
      <c r="T3128" s="22"/>
      <c r="U3128" s="50"/>
      <c r="V3128" s="179"/>
      <c r="W3128" s="202" t="s">
        <v>1017</v>
      </c>
      <c r="X3128" s="38"/>
      <c r="AH3128" s="202" t="s">
        <v>1779</v>
      </c>
      <c r="AK3128" t="str">
        <f t="shared" si="1111"/>
        <v>E1a</v>
      </c>
      <c r="AL3128" t="str">
        <f t="shared" si="1112"/>
        <v/>
      </c>
      <c r="AM3128" t="str">
        <f t="shared" si="1113"/>
        <v/>
      </c>
      <c r="AN3128" t="str">
        <f t="shared" si="1114"/>
        <v/>
      </c>
      <c r="AO3128" t="str">
        <f t="shared" si="1115"/>
        <v/>
      </c>
      <c r="AP3128" t="str">
        <f t="shared" si="1116"/>
        <v/>
      </c>
      <c r="AQ3128" t="str">
        <f t="shared" si="1117"/>
        <v/>
      </c>
      <c r="AR3128" t="str">
        <f t="shared" si="1118"/>
        <v/>
      </c>
      <c r="AS3128" t="str">
        <f t="shared" si="1119"/>
        <v>G2</v>
      </c>
      <c r="AT3128" t="str">
        <f t="shared" si="1120"/>
        <v/>
      </c>
      <c r="AU3128" t="str">
        <f t="shared" si="1121"/>
        <v>E1aG2</v>
      </c>
      <c r="AV3128" s="203" t="str">
        <f t="shared" si="1128"/>
        <v>BiK271E1aG2-12</v>
      </c>
      <c r="AW3128">
        <f t="shared" si="1123"/>
        <v>14</v>
      </c>
      <c r="AX3128" t="str">
        <f t="shared" si="1124"/>
        <v>0,15-0,5 MW, Bonusregeln E1a, G2</v>
      </c>
      <c r="AY3128" t="str">
        <f t="shared" si="1125"/>
        <v/>
      </c>
    </row>
    <row r="3129" spans="1:51" x14ac:dyDescent="0.35">
      <c r="A3129" s="500" t="str">
        <f t="shared" si="1127"/>
        <v>BiK271E2aG2-12</v>
      </c>
      <c r="B3129" s="225" t="s">
        <v>5547</v>
      </c>
      <c r="C3129" s="225" t="str">
        <f t="shared" si="1105"/>
        <v>Inbetriebnahme 2012</v>
      </c>
      <c r="D3129" s="225" t="str">
        <f t="shared" si="1106"/>
        <v>0,15-0,5 MW, Bonusregeln E2a, G2</v>
      </c>
      <c r="E3129" s="225"/>
      <c r="F3129" s="382">
        <f t="shared" si="1107"/>
        <v>22.3</v>
      </c>
      <c r="G3129" s="438">
        <v>22.3</v>
      </c>
      <c r="H3129" s="405">
        <f t="shared" si="1108"/>
        <v>17.84</v>
      </c>
      <c r="I3129" s="584"/>
      <c r="J3129" s="549" t="s">
        <v>5804</v>
      </c>
      <c r="K3129" s="11"/>
      <c r="L3129" s="55" t="str">
        <f t="shared" si="1109"/>
        <v/>
      </c>
      <c r="M3129" s="37">
        <f t="shared" si="1110"/>
        <v>22.3</v>
      </c>
      <c r="N3129" s="29">
        <f t="shared" si="1129"/>
        <v>12.3</v>
      </c>
      <c r="O3129" s="31"/>
      <c r="P3129" s="50"/>
      <c r="Q3129" s="50"/>
      <c r="R3129" s="50"/>
      <c r="S3129" s="179" t="s">
        <v>1017</v>
      </c>
      <c r="T3129" s="22"/>
      <c r="U3129" s="50"/>
      <c r="V3129" s="179"/>
      <c r="W3129" s="202" t="s">
        <v>1017</v>
      </c>
      <c r="X3129" s="38"/>
      <c r="AH3129" s="202" t="s">
        <v>1779</v>
      </c>
      <c r="AK3129" t="str">
        <f t="shared" si="1111"/>
        <v/>
      </c>
      <c r="AL3129" t="str">
        <f t="shared" si="1112"/>
        <v/>
      </c>
      <c r="AM3129" t="str">
        <f t="shared" si="1113"/>
        <v/>
      </c>
      <c r="AN3129" t="str">
        <f t="shared" si="1114"/>
        <v/>
      </c>
      <c r="AO3129" t="str">
        <f t="shared" si="1115"/>
        <v>E2a</v>
      </c>
      <c r="AP3129" t="str">
        <f t="shared" si="1116"/>
        <v/>
      </c>
      <c r="AQ3129" t="str">
        <f t="shared" si="1117"/>
        <v/>
      </c>
      <c r="AR3129" t="str">
        <f t="shared" si="1118"/>
        <v/>
      </c>
      <c r="AS3129" t="str">
        <f t="shared" si="1119"/>
        <v>G2</v>
      </c>
      <c r="AT3129" t="str">
        <f t="shared" si="1120"/>
        <v/>
      </c>
      <c r="AU3129" t="str">
        <f t="shared" si="1121"/>
        <v>E2aG2</v>
      </c>
      <c r="AV3129" s="203" t="str">
        <f t="shared" si="1128"/>
        <v>BiK271E2aG2-12</v>
      </c>
      <c r="AW3129">
        <f t="shared" si="1123"/>
        <v>14</v>
      </c>
      <c r="AX3129" t="str">
        <f t="shared" si="1124"/>
        <v>0,15-0,5 MW, Bonusregeln E2a, G2</v>
      </c>
      <c r="AY3129" t="str">
        <f t="shared" si="1125"/>
        <v/>
      </c>
    </row>
    <row r="3130" spans="1:51" x14ac:dyDescent="0.35">
      <c r="A3130" s="500" t="str">
        <f t="shared" si="1127"/>
        <v>BiK271E2bG2-12</v>
      </c>
      <c r="B3130" s="225" t="s">
        <v>5547</v>
      </c>
      <c r="C3130" s="225" t="str">
        <f t="shared" si="1105"/>
        <v>Inbetriebnahme 2012</v>
      </c>
      <c r="D3130" s="225" t="str">
        <f t="shared" si="1106"/>
        <v>0,15-0,5 MW, Bonusregeln E2b, G2</v>
      </c>
      <c r="E3130" s="225"/>
      <c r="F3130" s="382">
        <f t="shared" si="1107"/>
        <v>22.3</v>
      </c>
      <c r="G3130" s="438">
        <v>22.3</v>
      </c>
      <c r="H3130" s="405">
        <f t="shared" si="1108"/>
        <v>17.84</v>
      </c>
      <c r="I3130" s="584"/>
      <c r="J3130" s="549" t="s">
        <v>5804</v>
      </c>
      <c r="K3130" s="11"/>
      <c r="L3130" s="55" t="str">
        <f t="shared" si="1109"/>
        <v/>
      </c>
      <c r="M3130" s="37">
        <f t="shared" si="1110"/>
        <v>22.3</v>
      </c>
      <c r="N3130" s="29">
        <f t="shared" si="1129"/>
        <v>12.3</v>
      </c>
      <c r="O3130" s="31"/>
      <c r="P3130" s="50"/>
      <c r="Q3130" s="50"/>
      <c r="R3130" s="50"/>
      <c r="S3130" s="179"/>
      <c r="T3130" s="22" t="s">
        <v>1017</v>
      </c>
      <c r="U3130" s="50"/>
      <c r="V3130" s="179"/>
      <c r="W3130" s="202" t="s">
        <v>1017</v>
      </c>
      <c r="X3130" s="38"/>
      <c r="AH3130" s="202" t="s">
        <v>1779</v>
      </c>
      <c r="AK3130" t="str">
        <f t="shared" si="1111"/>
        <v/>
      </c>
      <c r="AL3130" t="str">
        <f t="shared" si="1112"/>
        <v/>
      </c>
      <c r="AM3130" t="str">
        <f t="shared" si="1113"/>
        <v/>
      </c>
      <c r="AN3130" t="str">
        <f t="shared" si="1114"/>
        <v/>
      </c>
      <c r="AO3130" t="str">
        <f t="shared" si="1115"/>
        <v/>
      </c>
      <c r="AP3130" t="str">
        <f t="shared" si="1116"/>
        <v>E2b</v>
      </c>
      <c r="AQ3130" t="str">
        <f t="shared" si="1117"/>
        <v/>
      </c>
      <c r="AR3130" t="str">
        <f t="shared" si="1118"/>
        <v/>
      </c>
      <c r="AS3130" t="str">
        <f t="shared" si="1119"/>
        <v>G2</v>
      </c>
      <c r="AT3130" t="str">
        <f t="shared" si="1120"/>
        <v/>
      </c>
      <c r="AU3130" t="str">
        <f t="shared" si="1121"/>
        <v>E2bG2</v>
      </c>
      <c r="AV3130" s="203" t="str">
        <f t="shared" si="1128"/>
        <v>BiK271E2bG2-12</v>
      </c>
      <c r="AW3130">
        <f t="shared" si="1123"/>
        <v>14</v>
      </c>
      <c r="AX3130" t="str">
        <f t="shared" si="1124"/>
        <v>0,15-0,5 MW, Bonusregeln E2b, G2</v>
      </c>
      <c r="AY3130" t="str">
        <f t="shared" si="1125"/>
        <v/>
      </c>
    </row>
    <row r="3131" spans="1:51" x14ac:dyDescent="0.35">
      <c r="A3131" s="500" t="str">
        <f t="shared" si="1127"/>
        <v>BiK271G3----12</v>
      </c>
      <c r="B3131" s="225" t="s">
        <v>5547</v>
      </c>
      <c r="C3131" s="225" t="str">
        <f t="shared" si="1105"/>
        <v>Inbetriebnahme 2012</v>
      </c>
      <c r="D3131" s="225" t="str">
        <f t="shared" si="1106"/>
        <v>0,15-0,5 MW, Bonusregel G3</v>
      </c>
      <c r="E3131" s="225"/>
      <c r="F3131" s="382">
        <f t="shared" si="1107"/>
        <v>13.3</v>
      </c>
      <c r="G3131" s="438">
        <v>13.3</v>
      </c>
      <c r="H3131" s="405">
        <f t="shared" si="1108"/>
        <v>10.64</v>
      </c>
      <c r="I3131" s="584"/>
      <c r="J3131" s="549" t="s">
        <v>5804</v>
      </c>
      <c r="K3131" s="11"/>
      <c r="L3131" s="55" t="str">
        <f t="shared" si="1109"/>
        <v/>
      </c>
      <c r="M3131" s="37">
        <f t="shared" si="1110"/>
        <v>13.3</v>
      </c>
      <c r="N3131" s="29">
        <f t="shared" si="1129"/>
        <v>12.3</v>
      </c>
      <c r="O3131" s="31"/>
      <c r="P3131" s="50"/>
      <c r="Q3131" s="50"/>
      <c r="R3131" s="50"/>
      <c r="S3131" s="31"/>
      <c r="T3131" s="22"/>
      <c r="U3131" s="50"/>
      <c r="V3131" s="179"/>
      <c r="W3131" s="22"/>
      <c r="X3131" s="38" t="s">
        <v>1017</v>
      </c>
      <c r="AH3131" s="202" t="s">
        <v>1779</v>
      </c>
      <c r="AK3131" t="str">
        <f t="shared" si="1111"/>
        <v/>
      </c>
      <c r="AL3131" t="str">
        <f t="shared" si="1112"/>
        <v/>
      </c>
      <c r="AM3131" t="str">
        <f t="shared" si="1113"/>
        <v/>
      </c>
      <c r="AN3131" t="str">
        <f t="shared" si="1114"/>
        <v/>
      </c>
      <c r="AO3131" t="str">
        <f t="shared" si="1115"/>
        <v/>
      </c>
      <c r="AP3131" t="str">
        <f t="shared" si="1116"/>
        <v/>
      </c>
      <c r="AQ3131" t="str">
        <f t="shared" si="1117"/>
        <v/>
      </c>
      <c r="AR3131" t="str">
        <f t="shared" si="1118"/>
        <v/>
      </c>
      <c r="AS3131" t="str">
        <f t="shared" si="1119"/>
        <v/>
      </c>
      <c r="AT3131" t="str">
        <f t="shared" si="1120"/>
        <v>G3</v>
      </c>
      <c r="AU3131" t="str">
        <f t="shared" si="1121"/>
        <v>G3</v>
      </c>
      <c r="AV3131" s="203" t="str">
        <f t="shared" si="1128"/>
        <v>BiK271G3----12</v>
      </c>
      <c r="AW3131">
        <f t="shared" si="1123"/>
        <v>14</v>
      </c>
      <c r="AX3131" t="str">
        <f t="shared" si="1124"/>
        <v>0,15-0,5 MW, Bonusregel G3</v>
      </c>
      <c r="AY3131" t="str">
        <f t="shared" si="1125"/>
        <v/>
      </c>
    </row>
    <row r="3132" spans="1:51" x14ac:dyDescent="0.35">
      <c r="A3132" s="500" t="str">
        <f t="shared" si="1127"/>
        <v>BiK271E1aG3-12</v>
      </c>
      <c r="B3132" s="225" t="s">
        <v>5547</v>
      </c>
      <c r="C3132" s="225" t="str">
        <f t="shared" si="1105"/>
        <v>Inbetriebnahme 2012</v>
      </c>
      <c r="D3132" s="225" t="str">
        <f t="shared" si="1106"/>
        <v>0,15-0,5 MW, Bonusregeln E1a, G3</v>
      </c>
      <c r="E3132" s="225"/>
      <c r="F3132" s="382">
        <f t="shared" si="1107"/>
        <v>19.3</v>
      </c>
      <c r="G3132" s="438">
        <v>19.3</v>
      </c>
      <c r="H3132" s="405">
        <f t="shared" si="1108"/>
        <v>15.44</v>
      </c>
      <c r="I3132" s="584"/>
      <c r="J3132" s="549" t="s">
        <v>5804</v>
      </c>
      <c r="K3132" s="11"/>
      <c r="L3132" s="55" t="str">
        <f t="shared" si="1109"/>
        <v/>
      </c>
      <c r="M3132" s="37">
        <f t="shared" si="1110"/>
        <v>19.3</v>
      </c>
      <c r="N3132" s="29">
        <f t="shared" si="1129"/>
        <v>12.3</v>
      </c>
      <c r="O3132" s="31" t="s">
        <v>1017</v>
      </c>
      <c r="P3132" s="50"/>
      <c r="Q3132" s="50"/>
      <c r="R3132" s="50"/>
      <c r="S3132" s="179"/>
      <c r="T3132" s="22"/>
      <c r="U3132" s="50"/>
      <c r="V3132" s="179"/>
      <c r="W3132" s="22"/>
      <c r="X3132" s="38" t="s">
        <v>1017</v>
      </c>
      <c r="AH3132" s="202" t="s">
        <v>1779</v>
      </c>
      <c r="AK3132" t="str">
        <f t="shared" si="1111"/>
        <v>E1a</v>
      </c>
      <c r="AL3132" t="str">
        <f t="shared" si="1112"/>
        <v/>
      </c>
      <c r="AM3132" t="str">
        <f t="shared" si="1113"/>
        <v/>
      </c>
      <c r="AN3132" t="str">
        <f t="shared" si="1114"/>
        <v/>
      </c>
      <c r="AO3132" t="str">
        <f t="shared" si="1115"/>
        <v/>
      </c>
      <c r="AP3132" t="str">
        <f t="shared" si="1116"/>
        <v/>
      </c>
      <c r="AQ3132" t="str">
        <f t="shared" si="1117"/>
        <v/>
      </c>
      <c r="AR3132" t="str">
        <f t="shared" si="1118"/>
        <v/>
      </c>
      <c r="AS3132" t="str">
        <f t="shared" si="1119"/>
        <v/>
      </c>
      <c r="AT3132" t="str">
        <f t="shared" si="1120"/>
        <v>G3</v>
      </c>
      <c r="AU3132" t="str">
        <f t="shared" si="1121"/>
        <v>E1aG3</v>
      </c>
      <c r="AV3132" s="203" t="str">
        <f t="shared" si="1128"/>
        <v>BiK271E1aG3-12</v>
      </c>
      <c r="AW3132">
        <f t="shared" si="1123"/>
        <v>14</v>
      </c>
      <c r="AX3132" t="str">
        <f t="shared" si="1124"/>
        <v>0,15-0,5 MW, Bonusregeln E1a, G3</v>
      </c>
      <c r="AY3132" t="str">
        <f t="shared" si="1125"/>
        <v/>
      </c>
    </row>
    <row r="3133" spans="1:51" x14ac:dyDescent="0.35">
      <c r="A3133" s="500" t="str">
        <f t="shared" si="1127"/>
        <v>BiK271E2aG3-12</v>
      </c>
      <c r="B3133" s="225" t="s">
        <v>5547</v>
      </c>
      <c r="C3133" s="225" t="str">
        <f t="shared" si="1105"/>
        <v>Inbetriebnahme 2012</v>
      </c>
      <c r="D3133" s="225" t="str">
        <f t="shared" si="1106"/>
        <v>0,15-0,5 MW, Bonusregeln E2a, G3</v>
      </c>
      <c r="E3133" s="225"/>
      <c r="F3133" s="382">
        <f t="shared" si="1107"/>
        <v>21.3</v>
      </c>
      <c r="G3133" s="438">
        <v>21.3</v>
      </c>
      <c r="H3133" s="405">
        <f t="shared" si="1108"/>
        <v>17.04</v>
      </c>
      <c r="I3133" s="584"/>
      <c r="J3133" s="549" t="s">
        <v>5804</v>
      </c>
      <c r="K3133" s="11"/>
      <c r="L3133" s="55" t="str">
        <f t="shared" si="1109"/>
        <v/>
      </c>
      <c r="M3133" s="37">
        <f t="shared" si="1110"/>
        <v>21.3</v>
      </c>
      <c r="N3133" s="29">
        <f t="shared" si="1129"/>
        <v>12.3</v>
      </c>
      <c r="O3133" s="31"/>
      <c r="P3133" s="50"/>
      <c r="Q3133" s="50"/>
      <c r="R3133" s="50"/>
      <c r="S3133" s="179" t="s">
        <v>1017</v>
      </c>
      <c r="T3133" s="22"/>
      <c r="U3133" s="50"/>
      <c r="V3133" s="179"/>
      <c r="W3133" s="22"/>
      <c r="X3133" s="38" t="s">
        <v>1017</v>
      </c>
      <c r="AH3133" s="202" t="s">
        <v>1779</v>
      </c>
      <c r="AK3133" t="str">
        <f t="shared" si="1111"/>
        <v/>
      </c>
      <c r="AL3133" t="str">
        <f t="shared" si="1112"/>
        <v/>
      </c>
      <c r="AM3133" t="str">
        <f t="shared" si="1113"/>
        <v/>
      </c>
      <c r="AN3133" t="str">
        <f t="shared" si="1114"/>
        <v/>
      </c>
      <c r="AO3133" t="str">
        <f t="shared" si="1115"/>
        <v>E2a</v>
      </c>
      <c r="AP3133" t="str">
        <f t="shared" si="1116"/>
        <v/>
      </c>
      <c r="AQ3133" t="str">
        <f t="shared" si="1117"/>
        <v/>
      </c>
      <c r="AR3133" t="str">
        <f t="shared" si="1118"/>
        <v/>
      </c>
      <c r="AS3133" t="str">
        <f t="shared" si="1119"/>
        <v/>
      </c>
      <c r="AT3133" t="str">
        <f t="shared" si="1120"/>
        <v>G3</v>
      </c>
      <c r="AU3133" t="str">
        <f t="shared" si="1121"/>
        <v>E2aG3</v>
      </c>
      <c r="AV3133" s="203" t="str">
        <f t="shared" si="1128"/>
        <v>BiK271E2aG3-12</v>
      </c>
      <c r="AW3133">
        <f t="shared" si="1123"/>
        <v>14</v>
      </c>
      <c r="AX3133" t="str">
        <f t="shared" si="1124"/>
        <v>0,15-0,5 MW, Bonusregeln E2a, G3</v>
      </c>
      <c r="AY3133" t="str">
        <f t="shared" si="1125"/>
        <v/>
      </c>
    </row>
    <row r="3134" spans="1:51" x14ac:dyDescent="0.35">
      <c r="A3134" s="500" t="str">
        <f t="shared" si="1127"/>
        <v>BiK271E2bG3-12</v>
      </c>
      <c r="B3134" s="225" t="s">
        <v>5547</v>
      </c>
      <c r="C3134" s="225" t="str">
        <f t="shared" si="1105"/>
        <v>Inbetriebnahme 2012</v>
      </c>
      <c r="D3134" s="225" t="str">
        <f t="shared" si="1106"/>
        <v>0,15-0,5 MW, Bonusregeln E2b, G3</v>
      </c>
      <c r="E3134" s="225"/>
      <c r="F3134" s="382">
        <f t="shared" si="1107"/>
        <v>21.3</v>
      </c>
      <c r="G3134" s="438">
        <v>21.3</v>
      </c>
      <c r="H3134" s="405">
        <f t="shared" si="1108"/>
        <v>17.04</v>
      </c>
      <c r="I3134" s="584"/>
      <c r="J3134" s="549" t="s">
        <v>5804</v>
      </c>
      <c r="K3134" s="11"/>
      <c r="L3134" s="55" t="str">
        <f t="shared" si="1109"/>
        <v/>
      </c>
      <c r="M3134" s="37">
        <f t="shared" si="1110"/>
        <v>21.3</v>
      </c>
      <c r="N3134" s="29">
        <f t="shared" si="1129"/>
        <v>12.3</v>
      </c>
      <c r="O3134" s="31"/>
      <c r="P3134" s="50"/>
      <c r="Q3134" s="50"/>
      <c r="R3134" s="50"/>
      <c r="S3134" s="179"/>
      <c r="T3134" s="22" t="s">
        <v>1017</v>
      </c>
      <c r="U3134" s="50"/>
      <c r="V3134" s="179"/>
      <c r="W3134" s="22"/>
      <c r="X3134" s="38" t="s">
        <v>1017</v>
      </c>
      <c r="AH3134" s="202" t="s">
        <v>1779</v>
      </c>
      <c r="AK3134" t="str">
        <f t="shared" si="1111"/>
        <v/>
      </c>
      <c r="AL3134" t="str">
        <f t="shared" si="1112"/>
        <v/>
      </c>
      <c r="AM3134" t="str">
        <f t="shared" si="1113"/>
        <v/>
      </c>
      <c r="AN3134" t="str">
        <f t="shared" si="1114"/>
        <v/>
      </c>
      <c r="AO3134" t="str">
        <f t="shared" si="1115"/>
        <v/>
      </c>
      <c r="AP3134" t="str">
        <f t="shared" si="1116"/>
        <v>E2b</v>
      </c>
      <c r="AQ3134" t="str">
        <f t="shared" si="1117"/>
        <v/>
      </c>
      <c r="AR3134" t="str">
        <f t="shared" si="1118"/>
        <v/>
      </c>
      <c r="AS3134" t="str">
        <f t="shared" si="1119"/>
        <v/>
      </c>
      <c r="AT3134" t="str">
        <f t="shared" si="1120"/>
        <v>G3</v>
      </c>
      <c r="AU3134" t="str">
        <f t="shared" si="1121"/>
        <v>E2bG3</v>
      </c>
      <c r="AV3134" s="203" t="str">
        <f t="shared" si="1128"/>
        <v>BiK271E2bG3-12</v>
      </c>
      <c r="AW3134">
        <f t="shared" si="1123"/>
        <v>14</v>
      </c>
      <c r="AX3134" t="str">
        <f t="shared" si="1124"/>
        <v>0,15-0,5 MW, Bonusregeln E2b, G3</v>
      </c>
      <c r="AY3134" t="str">
        <f t="shared" si="1125"/>
        <v/>
      </c>
    </row>
    <row r="3135" spans="1:51" x14ac:dyDescent="0.35">
      <c r="A3135" s="500" t="str">
        <f t="shared" ref="A3135:A3154" si="1130">"BiK272"&amp;AU3135&amp;RIGHT("------",6-LEN(AU3135))&amp;RIGHT($M$3099,2)</f>
        <v>BiK272------12</v>
      </c>
      <c r="B3135" s="225" t="s">
        <v>5547</v>
      </c>
      <c r="C3135" s="225" t="str">
        <f t="shared" ref="C3135:C3166" si="1131">"Inbetriebnahme "&amp;$M$3099</f>
        <v>Inbetriebnahme 2012</v>
      </c>
      <c r="D3135" s="225" t="str">
        <f t="shared" ref="D3135:D3166" si="1132">IF(COUNTA(O3135:X3135)=0,AH3135,AH3135&amp;", Bonusregel"&amp;IF(AND(COUNTA(O3135:U3135)&gt;0,COUNTA(V3135:X3135)&gt;0),"n "&amp;AK3135&amp;AL3135&amp;AM3135&amp;AN3135&amp;AO3135&amp;AP3135&amp;AQ3135&amp;", "&amp;AR3135&amp;AS3135&amp;AT3135," "&amp;AK3135&amp;AL3135&amp;AM3135&amp;AN3135&amp;AO3135&amp;AP3135&amp;AQ3135&amp;AR3135&amp;AS3135&amp;AT3135))</f>
        <v>0,5-0,75 MW</v>
      </c>
      <c r="E3135" s="225"/>
      <c r="F3135" s="382">
        <f t="shared" ref="F3135:F3166" si="1133">M3135</f>
        <v>11</v>
      </c>
      <c r="G3135" s="438">
        <v>11</v>
      </c>
      <c r="H3135" s="405">
        <f t="shared" ref="H3135:H3166" si="1134">IF(ISNUMBER(G3135),ROUND(0.8*G3135,2),"")</f>
        <v>8.8000000000000007</v>
      </c>
      <c r="I3135" s="584"/>
      <c r="J3135" s="549" t="s">
        <v>5804</v>
      </c>
      <c r="K3135" s="11"/>
      <c r="L3135" s="55" t="str">
        <f t="shared" ref="L3135:L3166" si="1135">IF(F3135=M3135,"",FALSE)</f>
        <v/>
      </c>
      <c r="M3135" s="37">
        <f t="shared" ref="M3135:M3166" si="1136">N3135+SUMIF(O3135:X3135,"x",$O$3102:$X$3102)</f>
        <v>11</v>
      </c>
      <c r="N3135" s="29">
        <v>11</v>
      </c>
      <c r="O3135" s="154"/>
      <c r="P3135" s="22"/>
      <c r="Q3135" s="50"/>
      <c r="R3135" s="22"/>
      <c r="S3135" s="179"/>
      <c r="T3135" s="50"/>
      <c r="U3135" s="22"/>
      <c r="V3135" s="179"/>
      <c r="W3135" s="22"/>
      <c r="X3135" s="38"/>
      <c r="AH3135" s="202" t="s">
        <v>1778</v>
      </c>
      <c r="AK3135" t="str">
        <f t="shared" ref="AK3135:AK3166" si="1137">IF(O3135="x",O$3101,"")</f>
        <v/>
      </c>
      <c r="AL3135" t="str">
        <f t="shared" ref="AL3135:AL3166" si="1138">IF(P3135="x",P$3101,"")</f>
        <v/>
      </c>
      <c r="AM3135" t="str">
        <f t="shared" ref="AM3135:AM3166" si="1139">IF(Q3135="x",Q$3101,"")</f>
        <v/>
      </c>
      <c r="AN3135" t="str">
        <f t="shared" ref="AN3135:AN3166" si="1140">IF(R3135="x",R$3101,"")</f>
        <v/>
      </c>
      <c r="AO3135" t="str">
        <f t="shared" ref="AO3135:AO3166" si="1141">IF(S3135="x",S$3101,"")</f>
        <v/>
      </c>
      <c r="AP3135" t="str">
        <f t="shared" ref="AP3135:AP3166" si="1142">IF(T3135="x",T$3101,"")</f>
        <v/>
      </c>
      <c r="AQ3135" t="str">
        <f t="shared" ref="AQ3135:AQ3166" si="1143">IF(U3135="x",U$3101,"")</f>
        <v/>
      </c>
      <c r="AR3135" t="str">
        <f t="shared" ref="AR3135:AR3166" si="1144">IF(V3135="x",V$3101,"")</f>
        <v/>
      </c>
      <c r="AS3135" t="str">
        <f t="shared" ref="AS3135:AS3166" si="1145">IF(W3135="x",W$3101,"")</f>
        <v/>
      </c>
      <c r="AT3135" t="str">
        <f t="shared" ref="AT3135:AT3166" si="1146">IF(X3135="x",X$3101,"")</f>
        <v/>
      </c>
      <c r="AU3135" t="str">
        <f t="shared" ref="AU3135:AU3166" si="1147">AK3135&amp;AL3135&amp;AM3135&amp;AN3135&amp;AO3135&amp;AP3135&amp;AQ3135&amp;AR3135&amp;AS3135&amp;AT3135</f>
        <v/>
      </c>
      <c r="AV3135" s="203" t="str">
        <f t="shared" ref="AV3135:AV3154" si="1148">"BiK272"&amp;AU3135&amp;RIGHT("------",6-LEN(AU3135))&amp;RIGHT($M$3099,2)</f>
        <v>BiK272------12</v>
      </c>
      <c r="AW3135">
        <f t="shared" ref="AW3135:AW3166" si="1149">LEN(AV3135)</f>
        <v>14</v>
      </c>
      <c r="AX3135" t="str">
        <f t="shared" ref="AX3135:AX3166" si="1150">IF(COUNTA(O3135:X3135)=0,AH3135,AH3135&amp;", Bonusregel"&amp;IF(AND(COUNTA(O3135:U3135)&gt;0,COUNTA(V3135:X3135)&gt;0),"n "&amp;AK3135&amp;AL3135&amp;AM3135&amp;AN3135&amp;AO3135&amp;AP3135&amp;AQ3135&amp;", "&amp;AR3135&amp;AS3135&amp;AT3135," "&amp;AK3135&amp;AL3135&amp;AM3135&amp;AN3135&amp;AO3135&amp;AP3135&amp;AQ3135&amp;AR3135&amp;AS3135&amp;AT3135))</f>
        <v>0,5-0,75 MW</v>
      </c>
      <c r="AY3135" t="str">
        <f t="shared" ref="AY3135:AY3166" si="1151">IF(COUNTA(O3135:U3135)&gt;1,"Fehler ESVK",IF(COUNTA(V3135:X3135)&gt;1,"Fehler GAB",IF(AW3135&lt;&gt;14,"Fehler Kategorie","")))</f>
        <v/>
      </c>
    </row>
    <row r="3136" spans="1:51" x14ac:dyDescent="0.35">
      <c r="A3136" s="500" t="str">
        <f t="shared" si="1130"/>
        <v>BiK272E1b---12</v>
      </c>
      <c r="B3136" s="225" t="s">
        <v>5547</v>
      </c>
      <c r="C3136" s="225" t="str">
        <f t="shared" si="1131"/>
        <v>Inbetriebnahme 2012</v>
      </c>
      <c r="D3136" s="225" t="str">
        <f t="shared" si="1132"/>
        <v>0,5-0,75 MW, Bonusregel E1b</v>
      </c>
      <c r="E3136" s="225"/>
      <c r="F3136" s="382">
        <f t="shared" si="1133"/>
        <v>16</v>
      </c>
      <c r="G3136" s="438">
        <v>16</v>
      </c>
      <c r="H3136" s="405">
        <f t="shared" si="1134"/>
        <v>12.8</v>
      </c>
      <c r="I3136" s="584"/>
      <c r="J3136" s="549" t="s">
        <v>5804</v>
      </c>
      <c r="K3136" s="11"/>
      <c r="L3136" s="55" t="str">
        <f t="shared" si="1135"/>
        <v/>
      </c>
      <c r="M3136" s="37">
        <f t="shared" si="1136"/>
        <v>16</v>
      </c>
      <c r="N3136" s="29">
        <f t="shared" ref="N3136:N3174" si="1152">N3135</f>
        <v>11</v>
      </c>
      <c r="O3136" s="154"/>
      <c r="P3136" s="202" t="s">
        <v>1017</v>
      </c>
      <c r="Q3136" s="50"/>
      <c r="R3136" s="22"/>
      <c r="S3136" s="179"/>
      <c r="T3136" s="50"/>
      <c r="U3136" s="22"/>
      <c r="V3136" s="179"/>
      <c r="W3136" s="22"/>
      <c r="X3136" s="38"/>
      <c r="AH3136" s="202" t="s">
        <v>1778</v>
      </c>
      <c r="AK3136" t="str">
        <f t="shared" si="1137"/>
        <v/>
      </c>
      <c r="AL3136" t="str">
        <f t="shared" si="1138"/>
        <v>E1b</v>
      </c>
      <c r="AM3136" t="str">
        <f t="shared" si="1139"/>
        <v/>
      </c>
      <c r="AN3136" t="str">
        <f t="shared" si="1140"/>
        <v/>
      </c>
      <c r="AO3136" t="str">
        <f t="shared" si="1141"/>
        <v/>
      </c>
      <c r="AP3136" t="str">
        <f t="shared" si="1142"/>
        <v/>
      </c>
      <c r="AQ3136" t="str">
        <f t="shared" si="1143"/>
        <v/>
      </c>
      <c r="AR3136" t="str">
        <f t="shared" si="1144"/>
        <v/>
      </c>
      <c r="AS3136" t="str">
        <f t="shared" si="1145"/>
        <v/>
      </c>
      <c r="AT3136" t="str">
        <f t="shared" si="1146"/>
        <v/>
      </c>
      <c r="AU3136" t="str">
        <f t="shared" si="1147"/>
        <v>E1b</v>
      </c>
      <c r="AV3136" s="203" t="str">
        <f t="shared" si="1148"/>
        <v>BiK272E1b---12</v>
      </c>
      <c r="AW3136">
        <f t="shared" si="1149"/>
        <v>14</v>
      </c>
      <c r="AX3136" t="str">
        <f t="shared" si="1150"/>
        <v>0,5-0,75 MW, Bonusregel E1b</v>
      </c>
      <c r="AY3136" t="str">
        <f t="shared" si="1151"/>
        <v/>
      </c>
    </row>
    <row r="3137" spans="1:51" x14ac:dyDescent="0.35">
      <c r="A3137" s="500" t="str">
        <f t="shared" si="1130"/>
        <v>BiK272E1d---12</v>
      </c>
      <c r="B3137" s="225" t="s">
        <v>5547</v>
      </c>
      <c r="C3137" s="225" t="str">
        <f t="shared" si="1131"/>
        <v>Inbetriebnahme 2012</v>
      </c>
      <c r="D3137" s="225" t="str">
        <f t="shared" si="1132"/>
        <v>0,5-0,75 MW, Bonusregel E1d</v>
      </c>
      <c r="E3137" s="225"/>
      <c r="F3137" s="382">
        <f t="shared" si="1133"/>
        <v>13.5</v>
      </c>
      <c r="G3137" s="438">
        <v>13.5</v>
      </c>
      <c r="H3137" s="405">
        <f t="shared" si="1134"/>
        <v>10.8</v>
      </c>
      <c r="I3137" s="584"/>
      <c r="J3137" s="549" t="s">
        <v>5804</v>
      </c>
      <c r="K3137" s="11"/>
      <c r="L3137" s="55" t="str">
        <f t="shared" si="1135"/>
        <v/>
      </c>
      <c r="M3137" s="37">
        <f t="shared" si="1136"/>
        <v>13.5</v>
      </c>
      <c r="N3137" s="29">
        <f t="shared" si="1152"/>
        <v>11</v>
      </c>
      <c r="O3137" s="154"/>
      <c r="P3137" s="22"/>
      <c r="Q3137" s="50"/>
      <c r="R3137" s="202" t="s">
        <v>1017</v>
      </c>
      <c r="S3137" s="179"/>
      <c r="T3137" s="50"/>
      <c r="U3137" s="22"/>
      <c r="V3137" s="179"/>
      <c r="W3137" s="22"/>
      <c r="X3137" s="38"/>
      <c r="AH3137" s="202" t="s">
        <v>1778</v>
      </c>
      <c r="AK3137" t="str">
        <f t="shared" si="1137"/>
        <v/>
      </c>
      <c r="AL3137" t="str">
        <f t="shared" si="1138"/>
        <v/>
      </c>
      <c r="AM3137" t="str">
        <f t="shared" si="1139"/>
        <v/>
      </c>
      <c r="AN3137" t="str">
        <f t="shared" si="1140"/>
        <v>E1d</v>
      </c>
      <c r="AO3137" t="str">
        <f t="shared" si="1141"/>
        <v/>
      </c>
      <c r="AP3137" t="str">
        <f t="shared" si="1142"/>
        <v/>
      </c>
      <c r="AQ3137" t="str">
        <f t="shared" si="1143"/>
        <v/>
      </c>
      <c r="AR3137" t="str">
        <f t="shared" si="1144"/>
        <v/>
      </c>
      <c r="AS3137" t="str">
        <f t="shared" si="1145"/>
        <v/>
      </c>
      <c r="AT3137" t="str">
        <f t="shared" si="1146"/>
        <v/>
      </c>
      <c r="AU3137" t="str">
        <f t="shared" si="1147"/>
        <v>E1d</v>
      </c>
      <c r="AV3137" s="203" t="str">
        <f t="shared" si="1148"/>
        <v>BiK272E1d---12</v>
      </c>
      <c r="AW3137">
        <f t="shared" si="1149"/>
        <v>14</v>
      </c>
      <c r="AX3137" t="str">
        <f t="shared" si="1150"/>
        <v>0,5-0,75 MW, Bonusregel E1d</v>
      </c>
      <c r="AY3137" t="str">
        <f t="shared" si="1151"/>
        <v/>
      </c>
    </row>
    <row r="3138" spans="1:51" x14ac:dyDescent="0.35">
      <c r="A3138" s="500" t="str">
        <f t="shared" si="1130"/>
        <v>BiK272E2a---12</v>
      </c>
      <c r="B3138" s="225" t="s">
        <v>5547</v>
      </c>
      <c r="C3138" s="225" t="str">
        <f t="shared" si="1131"/>
        <v>Inbetriebnahme 2012</v>
      </c>
      <c r="D3138" s="225" t="str">
        <f t="shared" si="1132"/>
        <v>0,5-0,75 MW, Bonusregel E2a</v>
      </c>
      <c r="E3138" s="225"/>
      <c r="F3138" s="382">
        <f t="shared" si="1133"/>
        <v>19</v>
      </c>
      <c r="G3138" s="438">
        <v>19</v>
      </c>
      <c r="H3138" s="405">
        <f t="shared" si="1134"/>
        <v>15.2</v>
      </c>
      <c r="I3138" s="584"/>
      <c r="J3138" s="549" t="s">
        <v>5804</v>
      </c>
      <c r="K3138" s="11"/>
      <c r="L3138" s="55" t="str">
        <f t="shared" si="1135"/>
        <v/>
      </c>
      <c r="M3138" s="37">
        <f t="shared" si="1136"/>
        <v>19</v>
      </c>
      <c r="N3138" s="29">
        <f t="shared" si="1152"/>
        <v>11</v>
      </c>
      <c r="O3138" s="154"/>
      <c r="P3138" s="22"/>
      <c r="Q3138" s="50"/>
      <c r="R3138" s="22"/>
      <c r="S3138" s="179" t="s">
        <v>1017</v>
      </c>
      <c r="T3138" s="50"/>
      <c r="U3138" s="22"/>
      <c r="V3138" s="179"/>
      <c r="W3138" s="22"/>
      <c r="X3138" s="38"/>
      <c r="AH3138" s="202" t="s">
        <v>1778</v>
      </c>
      <c r="AK3138" t="str">
        <f t="shared" si="1137"/>
        <v/>
      </c>
      <c r="AL3138" t="str">
        <f t="shared" si="1138"/>
        <v/>
      </c>
      <c r="AM3138" t="str">
        <f t="shared" si="1139"/>
        <v/>
      </c>
      <c r="AN3138" t="str">
        <f t="shared" si="1140"/>
        <v/>
      </c>
      <c r="AO3138" t="str">
        <f t="shared" si="1141"/>
        <v>E2a</v>
      </c>
      <c r="AP3138" t="str">
        <f t="shared" si="1142"/>
        <v/>
      </c>
      <c r="AQ3138" t="str">
        <f t="shared" si="1143"/>
        <v/>
      </c>
      <c r="AR3138" t="str">
        <f t="shared" si="1144"/>
        <v/>
      </c>
      <c r="AS3138" t="str">
        <f t="shared" si="1145"/>
        <v/>
      </c>
      <c r="AT3138" t="str">
        <f t="shared" si="1146"/>
        <v/>
      </c>
      <c r="AU3138" t="str">
        <f t="shared" si="1147"/>
        <v>E2a</v>
      </c>
      <c r="AV3138" s="203" t="str">
        <f t="shared" si="1148"/>
        <v>BiK272E2a---12</v>
      </c>
      <c r="AW3138">
        <f t="shared" si="1149"/>
        <v>14</v>
      </c>
      <c r="AX3138" t="str">
        <f t="shared" si="1150"/>
        <v>0,5-0,75 MW, Bonusregel E2a</v>
      </c>
      <c r="AY3138" t="str">
        <f t="shared" si="1151"/>
        <v/>
      </c>
    </row>
    <row r="3139" spans="1:51" x14ac:dyDescent="0.35">
      <c r="A3139" s="500" t="str">
        <f t="shared" si="1130"/>
        <v>BiK272E2c---12</v>
      </c>
      <c r="B3139" s="225" t="s">
        <v>5547</v>
      </c>
      <c r="C3139" s="225" t="str">
        <f t="shared" si="1131"/>
        <v>Inbetriebnahme 2012</v>
      </c>
      <c r="D3139" s="225" t="str">
        <f t="shared" si="1132"/>
        <v>0,5-0,75 MW, Bonusregel E2c</v>
      </c>
      <c r="E3139" s="225"/>
      <c r="F3139" s="382">
        <f t="shared" si="1133"/>
        <v>17</v>
      </c>
      <c r="G3139" s="438">
        <v>17</v>
      </c>
      <c r="H3139" s="405">
        <f t="shared" si="1134"/>
        <v>13.6</v>
      </c>
      <c r="I3139" s="584"/>
      <c r="J3139" s="549" t="s">
        <v>5804</v>
      </c>
      <c r="K3139" s="11"/>
      <c r="L3139" s="55" t="str">
        <f t="shared" si="1135"/>
        <v/>
      </c>
      <c r="M3139" s="37">
        <f t="shared" si="1136"/>
        <v>17</v>
      </c>
      <c r="N3139" s="29">
        <f t="shared" si="1152"/>
        <v>11</v>
      </c>
      <c r="O3139" s="154"/>
      <c r="P3139" s="22"/>
      <c r="Q3139" s="50"/>
      <c r="R3139" s="22"/>
      <c r="S3139" s="179"/>
      <c r="T3139" s="50"/>
      <c r="U3139" s="202" t="s">
        <v>1017</v>
      </c>
      <c r="V3139" s="179"/>
      <c r="W3139" s="22"/>
      <c r="X3139" s="38"/>
      <c r="AH3139" s="202" t="s">
        <v>1778</v>
      </c>
      <c r="AK3139" t="str">
        <f t="shared" si="1137"/>
        <v/>
      </c>
      <c r="AL3139" t="str">
        <f t="shared" si="1138"/>
        <v/>
      </c>
      <c r="AM3139" t="str">
        <f t="shared" si="1139"/>
        <v/>
      </c>
      <c r="AN3139" t="str">
        <f t="shared" si="1140"/>
        <v/>
      </c>
      <c r="AO3139" t="str">
        <f t="shared" si="1141"/>
        <v/>
      </c>
      <c r="AP3139" t="str">
        <f t="shared" si="1142"/>
        <v/>
      </c>
      <c r="AQ3139" t="str">
        <f t="shared" si="1143"/>
        <v>E2c</v>
      </c>
      <c r="AR3139" t="str">
        <f t="shared" si="1144"/>
        <v/>
      </c>
      <c r="AS3139" t="str">
        <f t="shared" si="1145"/>
        <v/>
      </c>
      <c r="AT3139" t="str">
        <f t="shared" si="1146"/>
        <v/>
      </c>
      <c r="AU3139" t="str">
        <f t="shared" si="1147"/>
        <v>E2c</v>
      </c>
      <c r="AV3139" s="203" t="str">
        <f t="shared" si="1148"/>
        <v>BiK272E2c---12</v>
      </c>
      <c r="AW3139">
        <f t="shared" si="1149"/>
        <v>14</v>
      </c>
      <c r="AX3139" t="str">
        <f t="shared" si="1150"/>
        <v>0,5-0,75 MW, Bonusregel E2c</v>
      </c>
      <c r="AY3139" t="str">
        <f t="shared" si="1151"/>
        <v/>
      </c>
    </row>
    <row r="3140" spans="1:51" x14ac:dyDescent="0.35">
      <c r="A3140" s="500" t="str">
        <f t="shared" si="1130"/>
        <v>BiK272G1----12</v>
      </c>
      <c r="B3140" s="225" t="s">
        <v>5547</v>
      </c>
      <c r="C3140" s="225" t="str">
        <f t="shared" si="1131"/>
        <v>Inbetriebnahme 2012</v>
      </c>
      <c r="D3140" s="225" t="str">
        <f t="shared" si="1132"/>
        <v>0,5-0,75 MW, Bonusregel G1</v>
      </c>
      <c r="E3140" s="225"/>
      <c r="F3140" s="382">
        <f t="shared" si="1133"/>
        <v>14</v>
      </c>
      <c r="G3140" s="438">
        <v>14</v>
      </c>
      <c r="H3140" s="405">
        <f t="shared" si="1134"/>
        <v>11.2</v>
      </c>
      <c r="I3140" s="584"/>
      <c r="J3140" s="549" t="s">
        <v>5804</v>
      </c>
      <c r="K3140" s="11"/>
      <c r="L3140" s="55" t="str">
        <f t="shared" si="1135"/>
        <v/>
      </c>
      <c r="M3140" s="37">
        <f t="shared" si="1136"/>
        <v>14</v>
      </c>
      <c r="N3140" s="29">
        <f t="shared" si="1152"/>
        <v>11</v>
      </c>
      <c r="O3140" s="154"/>
      <c r="P3140" s="22"/>
      <c r="Q3140" s="50"/>
      <c r="R3140" s="22"/>
      <c r="S3140" s="179"/>
      <c r="T3140" s="50"/>
      <c r="U3140" s="22"/>
      <c r="V3140" s="179" t="s">
        <v>1017</v>
      </c>
      <c r="W3140" s="22"/>
      <c r="X3140" s="38"/>
      <c r="AH3140" s="202" t="s">
        <v>1778</v>
      </c>
      <c r="AK3140" t="str">
        <f t="shared" si="1137"/>
        <v/>
      </c>
      <c r="AL3140" t="str">
        <f t="shared" si="1138"/>
        <v/>
      </c>
      <c r="AM3140" t="str">
        <f t="shared" si="1139"/>
        <v/>
      </c>
      <c r="AN3140" t="str">
        <f t="shared" si="1140"/>
        <v/>
      </c>
      <c r="AO3140" t="str">
        <f t="shared" si="1141"/>
        <v/>
      </c>
      <c r="AP3140" t="str">
        <f t="shared" si="1142"/>
        <v/>
      </c>
      <c r="AQ3140" t="str">
        <f t="shared" si="1143"/>
        <v/>
      </c>
      <c r="AR3140" t="str">
        <f t="shared" si="1144"/>
        <v>G1</v>
      </c>
      <c r="AS3140" t="str">
        <f t="shared" si="1145"/>
        <v/>
      </c>
      <c r="AT3140" t="str">
        <f t="shared" si="1146"/>
        <v/>
      </c>
      <c r="AU3140" t="str">
        <f t="shared" si="1147"/>
        <v>G1</v>
      </c>
      <c r="AV3140" s="203" t="str">
        <f t="shared" si="1148"/>
        <v>BiK272G1----12</v>
      </c>
      <c r="AW3140">
        <f t="shared" si="1149"/>
        <v>14</v>
      </c>
      <c r="AX3140" t="str">
        <f t="shared" si="1150"/>
        <v>0,5-0,75 MW, Bonusregel G1</v>
      </c>
      <c r="AY3140" t="str">
        <f t="shared" si="1151"/>
        <v/>
      </c>
    </row>
    <row r="3141" spans="1:51" x14ac:dyDescent="0.35">
      <c r="A3141" s="500" t="str">
        <f t="shared" si="1130"/>
        <v>BiK272E1bG1-12</v>
      </c>
      <c r="B3141" s="225" t="s">
        <v>5547</v>
      </c>
      <c r="C3141" s="225" t="str">
        <f t="shared" si="1131"/>
        <v>Inbetriebnahme 2012</v>
      </c>
      <c r="D3141" s="225" t="str">
        <f t="shared" si="1132"/>
        <v>0,5-0,75 MW, Bonusregeln E1b, G1</v>
      </c>
      <c r="E3141" s="225"/>
      <c r="F3141" s="382">
        <f t="shared" si="1133"/>
        <v>19</v>
      </c>
      <c r="G3141" s="438">
        <v>19</v>
      </c>
      <c r="H3141" s="405">
        <f t="shared" si="1134"/>
        <v>15.2</v>
      </c>
      <c r="I3141" s="584"/>
      <c r="J3141" s="549" t="s">
        <v>5804</v>
      </c>
      <c r="K3141" s="11"/>
      <c r="L3141" s="55" t="str">
        <f t="shared" si="1135"/>
        <v/>
      </c>
      <c r="M3141" s="37">
        <f t="shared" si="1136"/>
        <v>19</v>
      </c>
      <c r="N3141" s="29">
        <f t="shared" si="1152"/>
        <v>11</v>
      </c>
      <c r="O3141" s="154"/>
      <c r="P3141" s="202" t="s">
        <v>1017</v>
      </c>
      <c r="Q3141" s="50"/>
      <c r="R3141" s="22"/>
      <c r="S3141" s="179"/>
      <c r="T3141" s="50"/>
      <c r="U3141" s="22"/>
      <c r="V3141" s="179" t="s">
        <v>1017</v>
      </c>
      <c r="W3141" s="22"/>
      <c r="X3141" s="38"/>
      <c r="AH3141" s="202" t="s">
        <v>1778</v>
      </c>
      <c r="AK3141" t="str">
        <f t="shared" si="1137"/>
        <v/>
      </c>
      <c r="AL3141" t="str">
        <f t="shared" si="1138"/>
        <v>E1b</v>
      </c>
      <c r="AM3141" t="str">
        <f t="shared" si="1139"/>
        <v/>
      </c>
      <c r="AN3141" t="str">
        <f t="shared" si="1140"/>
        <v/>
      </c>
      <c r="AO3141" t="str">
        <f t="shared" si="1141"/>
        <v/>
      </c>
      <c r="AP3141" t="str">
        <f t="shared" si="1142"/>
        <v/>
      </c>
      <c r="AQ3141" t="str">
        <f t="shared" si="1143"/>
        <v/>
      </c>
      <c r="AR3141" t="str">
        <f t="shared" si="1144"/>
        <v>G1</v>
      </c>
      <c r="AS3141" t="str">
        <f t="shared" si="1145"/>
        <v/>
      </c>
      <c r="AT3141" t="str">
        <f t="shared" si="1146"/>
        <v/>
      </c>
      <c r="AU3141" t="str">
        <f t="shared" si="1147"/>
        <v>E1bG1</v>
      </c>
      <c r="AV3141" s="203" t="str">
        <f t="shared" si="1148"/>
        <v>BiK272E1bG1-12</v>
      </c>
      <c r="AW3141">
        <f t="shared" si="1149"/>
        <v>14</v>
      </c>
      <c r="AX3141" t="str">
        <f t="shared" si="1150"/>
        <v>0,5-0,75 MW, Bonusregeln E1b, G1</v>
      </c>
      <c r="AY3141" t="str">
        <f t="shared" si="1151"/>
        <v/>
      </c>
    </row>
    <row r="3142" spans="1:51" x14ac:dyDescent="0.35">
      <c r="A3142" s="500" t="str">
        <f t="shared" si="1130"/>
        <v>BiK272E1dG1-12</v>
      </c>
      <c r="B3142" s="225" t="s">
        <v>5547</v>
      </c>
      <c r="C3142" s="225" t="str">
        <f t="shared" si="1131"/>
        <v>Inbetriebnahme 2012</v>
      </c>
      <c r="D3142" s="225" t="str">
        <f t="shared" si="1132"/>
        <v>0,5-0,75 MW, Bonusregeln E1d, G1</v>
      </c>
      <c r="E3142" s="225"/>
      <c r="F3142" s="382">
        <f t="shared" si="1133"/>
        <v>16.5</v>
      </c>
      <c r="G3142" s="438">
        <v>16.5</v>
      </c>
      <c r="H3142" s="405">
        <f t="shared" si="1134"/>
        <v>13.2</v>
      </c>
      <c r="I3142" s="584"/>
      <c r="J3142" s="549" t="s">
        <v>5804</v>
      </c>
      <c r="K3142" s="11"/>
      <c r="L3142" s="55" t="str">
        <f t="shared" si="1135"/>
        <v/>
      </c>
      <c r="M3142" s="37">
        <f t="shared" si="1136"/>
        <v>16.5</v>
      </c>
      <c r="N3142" s="29">
        <f t="shared" si="1152"/>
        <v>11</v>
      </c>
      <c r="O3142" s="154"/>
      <c r="P3142" s="22"/>
      <c r="Q3142" s="50"/>
      <c r="R3142" s="202" t="s">
        <v>1017</v>
      </c>
      <c r="S3142" s="179"/>
      <c r="T3142" s="50"/>
      <c r="U3142" s="22"/>
      <c r="V3142" s="179" t="s">
        <v>1017</v>
      </c>
      <c r="W3142" s="22"/>
      <c r="X3142" s="38"/>
      <c r="AH3142" s="202" t="s">
        <v>1778</v>
      </c>
      <c r="AK3142" t="str">
        <f t="shared" si="1137"/>
        <v/>
      </c>
      <c r="AL3142" t="str">
        <f t="shared" si="1138"/>
        <v/>
      </c>
      <c r="AM3142" t="str">
        <f t="shared" si="1139"/>
        <v/>
      </c>
      <c r="AN3142" t="str">
        <f t="shared" si="1140"/>
        <v>E1d</v>
      </c>
      <c r="AO3142" t="str">
        <f t="shared" si="1141"/>
        <v/>
      </c>
      <c r="AP3142" t="str">
        <f t="shared" si="1142"/>
        <v/>
      </c>
      <c r="AQ3142" t="str">
        <f t="shared" si="1143"/>
        <v/>
      </c>
      <c r="AR3142" t="str">
        <f t="shared" si="1144"/>
        <v>G1</v>
      </c>
      <c r="AS3142" t="str">
        <f t="shared" si="1145"/>
        <v/>
      </c>
      <c r="AT3142" t="str">
        <f t="shared" si="1146"/>
        <v/>
      </c>
      <c r="AU3142" t="str">
        <f t="shared" si="1147"/>
        <v>E1dG1</v>
      </c>
      <c r="AV3142" s="203" t="str">
        <f t="shared" si="1148"/>
        <v>BiK272E1dG1-12</v>
      </c>
      <c r="AW3142">
        <f t="shared" si="1149"/>
        <v>14</v>
      </c>
      <c r="AX3142" t="str">
        <f t="shared" si="1150"/>
        <v>0,5-0,75 MW, Bonusregeln E1d, G1</v>
      </c>
      <c r="AY3142" t="str">
        <f t="shared" si="1151"/>
        <v/>
      </c>
    </row>
    <row r="3143" spans="1:51" x14ac:dyDescent="0.35">
      <c r="A3143" s="500" t="str">
        <f t="shared" si="1130"/>
        <v>BiK272E2aG1-12</v>
      </c>
      <c r="B3143" s="225" t="s">
        <v>5547</v>
      </c>
      <c r="C3143" s="225" t="str">
        <f t="shared" si="1131"/>
        <v>Inbetriebnahme 2012</v>
      </c>
      <c r="D3143" s="225" t="str">
        <f t="shared" si="1132"/>
        <v>0,5-0,75 MW, Bonusregeln E2a, G1</v>
      </c>
      <c r="E3143" s="225"/>
      <c r="F3143" s="382">
        <f t="shared" si="1133"/>
        <v>22</v>
      </c>
      <c r="G3143" s="438">
        <v>22</v>
      </c>
      <c r="H3143" s="405">
        <f t="shared" si="1134"/>
        <v>17.600000000000001</v>
      </c>
      <c r="I3143" s="584"/>
      <c r="J3143" s="549" t="s">
        <v>5804</v>
      </c>
      <c r="K3143" s="11"/>
      <c r="L3143" s="55" t="str">
        <f t="shared" si="1135"/>
        <v/>
      </c>
      <c r="M3143" s="37">
        <f t="shared" si="1136"/>
        <v>22</v>
      </c>
      <c r="N3143" s="29">
        <f t="shared" si="1152"/>
        <v>11</v>
      </c>
      <c r="O3143" s="154"/>
      <c r="P3143" s="22"/>
      <c r="Q3143" s="50"/>
      <c r="R3143" s="22"/>
      <c r="S3143" s="179" t="s">
        <v>1017</v>
      </c>
      <c r="T3143" s="50"/>
      <c r="U3143" s="22"/>
      <c r="V3143" s="179" t="s">
        <v>1017</v>
      </c>
      <c r="W3143" s="22"/>
      <c r="X3143" s="38"/>
      <c r="AH3143" s="202" t="s">
        <v>1778</v>
      </c>
      <c r="AK3143" t="str">
        <f t="shared" si="1137"/>
        <v/>
      </c>
      <c r="AL3143" t="str">
        <f t="shared" si="1138"/>
        <v/>
      </c>
      <c r="AM3143" t="str">
        <f t="shared" si="1139"/>
        <v/>
      </c>
      <c r="AN3143" t="str">
        <f t="shared" si="1140"/>
        <v/>
      </c>
      <c r="AO3143" t="str">
        <f t="shared" si="1141"/>
        <v>E2a</v>
      </c>
      <c r="AP3143" t="str">
        <f t="shared" si="1142"/>
        <v/>
      </c>
      <c r="AQ3143" t="str">
        <f t="shared" si="1143"/>
        <v/>
      </c>
      <c r="AR3143" t="str">
        <f t="shared" si="1144"/>
        <v>G1</v>
      </c>
      <c r="AS3143" t="str">
        <f t="shared" si="1145"/>
        <v/>
      </c>
      <c r="AT3143" t="str">
        <f t="shared" si="1146"/>
        <v/>
      </c>
      <c r="AU3143" t="str">
        <f t="shared" si="1147"/>
        <v>E2aG1</v>
      </c>
      <c r="AV3143" s="203" t="str">
        <f t="shared" si="1148"/>
        <v>BiK272E2aG1-12</v>
      </c>
      <c r="AW3143">
        <f t="shared" si="1149"/>
        <v>14</v>
      </c>
      <c r="AX3143" t="str">
        <f t="shared" si="1150"/>
        <v>0,5-0,75 MW, Bonusregeln E2a, G1</v>
      </c>
      <c r="AY3143" t="str">
        <f t="shared" si="1151"/>
        <v/>
      </c>
    </row>
    <row r="3144" spans="1:51" x14ac:dyDescent="0.35">
      <c r="A3144" s="500" t="str">
        <f t="shared" si="1130"/>
        <v>BiK272E2cG1-12</v>
      </c>
      <c r="B3144" s="225" t="s">
        <v>5547</v>
      </c>
      <c r="C3144" s="225" t="str">
        <f t="shared" si="1131"/>
        <v>Inbetriebnahme 2012</v>
      </c>
      <c r="D3144" s="225" t="str">
        <f t="shared" si="1132"/>
        <v>0,5-0,75 MW, Bonusregeln E2c, G1</v>
      </c>
      <c r="E3144" s="225"/>
      <c r="F3144" s="382">
        <f t="shared" si="1133"/>
        <v>20</v>
      </c>
      <c r="G3144" s="438">
        <v>20</v>
      </c>
      <c r="H3144" s="405">
        <f t="shared" si="1134"/>
        <v>16</v>
      </c>
      <c r="I3144" s="584"/>
      <c r="J3144" s="549" t="s">
        <v>5804</v>
      </c>
      <c r="K3144" s="11"/>
      <c r="L3144" s="55" t="str">
        <f t="shared" si="1135"/>
        <v/>
      </c>
      <c r="M3144" s="37">
        <f t="shared" si="1136"/>
        <v>20</v>
      </c>
      <c r="N3144" s="29">
        <f t="shared" si="1152"/>
        <v>11</v>
      </c>
      <c r="O3144" s="154"/>
      <c r="P3144" s="22"/>
      <c r="Q3144" s="50"/>
      <c r="R3144" s="22"/>
      <c r="S3144" s="179"/>
      <c r="T3144" s="50"/>
      <c r="U3144" s="202" t="s">
        <v>1017</v>
      </c>
      <c r="V3144" s="179" t="s">
        <v>1017</v>
      </c>
      <c r="W3144" s="202"/>
      <c r="X3144" s="38"/>
      <c r="AH3144" s="202" t="s">
        <v>1778</v>
      </c>
      <c r="AK3144" t="str">
        <f t="shared" si="1137"/>
        <v/>
      </c>
      <c r="AL3144" t="str">
        <f t="shared" si="1138"/>
        <v/>
      </c>
      <c r="AM3144" t="str">
        <f t="shared" si="1139"/>
        <v/>
      </c>
      <c r="AN3144" t="str">
        <f t="shared" si="1140"/>
        <v/>
      </c>
      <c r="AO3144" t="str">
        <f t="shared" si="1141"/>
        <v/>
      </c>
      <c r="AP3144" t="str">
        <f t="shared" si="1142"/>
        <v/>
      </c>
      <c r="AQ3144" t="str">
        <f t="shared" si="1143"/>
        <v>E2c</v>
      </c>
      <c r="AR3144" t="str">
        <f t="shared" si="1144"/>
        <v>G1</v>
      </c>
      <c r="AS3144" t="str">
        <f t="shared" si="1145"/>
        <v/>
      </c>
      <c r="AT3144" t="str">
        <f t="shared" si="1146"/>
        <v/>
      </c>
      <c r="AU3144" t="str">
        <f t="shared" si="1147"/>
        <v>E2cG1</v>
      </c>
      <c r="AV3144" s="203" t="str">
        <f t="shared" si="1148"/>
        <v>BiK272E2cG1-12</v>
      </c>
      <c r="AW3144">
        <f t="shared" si="1149"/>
        <v>14</v>
      </c>
      <c r="AX3144" t="str">
        <f t="shared" si="1150"/>
        <v>0,5-0,75 MW, Bonusregeln E2c, G1</v>
      </c>
      <c r="AY3144" t="str">
        <f t="shared" si="1151"/>
        <v/>
      </c>
    </row>
    <row r="3145" spans="1:51" x14ac:dyDescent="0.35">
      <c r="A3145" s="500" t="str">
        <f t="shared" si="1130"/>
        <v>BiK272G2----12</v>
      </c>
      <c r="B3145" s="225" t="s">
        <v>5547</v>
      </c>
      <c r="C3145" s="225" t="str">
        <f t="shared" si="1131"/>
        <v>Inbetriebnahme 2012</v>
      </c>
      <c r="D3145" s="225" t="str">
        <f t="shared" si="1132"/>
        <v>0,5-0,75 MW, Bonusregel G2</v>
      </c>
      <c r="E3145" s="225"/>
      <c r="F3145" s="382">
        <f t="shared" si="1133"/>
        <v>13</v>
      </c>
      <c r="G3145" s="438">
        <v>13</v>
      </c>
      <c r="H3145" s="405">
        <f t="shared" si="1134"/>
        <v>10.4</v>
      </c>
      <c r="I3145" s="584"/>
      <c r="J3145" s="549" t="s">
        <v>5804</v>
      </c>
      <c r="K3145" s="11"/>
      <c r="L3145" s="55" t="str">
        <f t="shared" si="1135"/>
        <v/>
      </c>
      <c r="M3145" s="37">
        <f t="shared" si="1136"/>
        <v>13</v>
      </c>
      <c r="N3145" s="29">
        <f t="shared" si="1152"/>
        <v>11</v>
      </c>
      <c r="O3145" s="154"/>
      <c r="P3145" s="22"/>
      <c r="Q3145" s="50"/>
      <c r="R3145" s="22"/>
      <c r="S3145" s="179"/>
      <c r="T3145" s="50"/>
      <c r="U3145" s="22"/>
      <c r="V3145" s="179"/>
      <c r="W3145" s="202" t="s">
        <v>1017</v>
      </c>
      <c r="X3145" s="38"/>
      <c r="AH3145" s="202" t="s">
        <v>1778</v>
      </c>
      <c r="AK3145" t="str">
        <f t="shared" si="1137"/>
        <v/>
      </c>
      <c r="AL3145" t="str">
        <f t="shared" si="1138"/>
        <v/>
      </c>
      <c r="AM3145" t="str">
        <f t="shared" si="1139"/>
        <v/>
      </c>
      <c r="AN3145" t="str">
        <f t="shared" si="1140"/>
        <v/>
      </c>
      <c r="AO3145" t="str">
        <f t="shared" si="1141"/>
        <v/>
      </c>
      <c r="AP3145" t="str">
        <f t="shared" si="1142"/>
        <v/>
      </c>
      <c r="AQ3145" t="str">
        <f t="shared" si="1143"/>
        <v/>
      </c>
      <c r="AR3145" t="str">
        <f t="shared" si="1144"/>
        <v/>
      </c>
      <c r="AS3145" t="str">
        <f t="shared" si="1145"/>
        <v>G2</v>
      </c>
      <c r="AT3145" t="str">
        <f t="shared" si="1146"/>
        <v/>
      </c>
      <c r="AU3145" t="str">
        <f t="shared" si="1147"/>
        <v>G2</v>
      </c>
      <c r="AV3145" s="203" t="str">
        <f t="shared" si="1148"/>
        <v>BiK272G2----12</v>
      </c>
      <c r="AW3145">
        <f t="shared" si="1149"/>
        <v>14</v>
      </c>
      <c r="AX3145" t="str">
        <f t="shared" si="1150"/>
        <v>0,5-0,75 MW, Bonusregel G2</v>
      </c>
      <c r="AY3145" t="str">
        <f t="shared" si="1151"/>
        <v/>
      </c>
    </row>
    <row r="3146" spans="1:51" x14ac:dyDescent="0.35">
      <c r="A3146" s="500" t="str">
        <f t="shared" si="1130"/>
        <v>BiK272E1bG2-12</v>
      </c>
      <c r="B3146" s="225" t="s">
        <v>5547</v>
      </c>
      <c r="C3146" s="225" t="str">
        <f t="shared" si="1131"/>
        <v>Inbetriebnahme 2012</v>
      </c>
      <c r="D3146" s="225" t="str">
        <f t="shared" si="1132"/>
        <v>0,5-0,75 MW, Bonusregeln E1b, G2</v>
      </c>
      <c r="E3146" s="225"/>
      <c r="F3146" s="382">
        <f t="shared" si="1133"/>
        <v>18</v>
      </c>
      <c r="G3146" s="438">
        <v>18</v>
      </c>
      <c r="H3146" s="405">
        <f t="shared" si="1134"/>
        <v>14.4</v>
      </c>
      <c r="I3146" s="584"/>
      <c r="J3146" s="549" t="s">
        <v>5804</v>
      </c>
      <c r="K3146" s="11"/>
      <c r="L3146" s="55" t="str">
        <f t="shared" si="1135"/>
        <v/>
      </c>
      <c r="M3146" s="37">
        <f t="shared" si="1136"/>
        <v>18</v>
      </c>
      <c r="N3146" s="29">
        <f t="shared" si="1152"/>
        <v>11</v>
      </c>
      <c r="O3146" s="154"/>
      <c r="P3146" s="202" t="s">
        <v>1017</v>
      </c>
      <c r="Q3146" s="50"/>
      <c r="R3146" s="22"/>
      <c r="S3146" s="179"/>
      <c r="T3146" s="50"/>
      <c r="U3146" s="22"/>
      <c r="V3146" s="179"/>
      <c r="W3146" s="202" t="s">
        <v>1017</v>
      </c>
      <c r="X3146" s="38"/>
      <c r="AH3146" s="202" t="s">
        <v>1778</v>
      </c>
      <c r="AK3146" t="str">
        <f t="shared" si="1137"/>
        <v/>
      </c>
      <c r="AL3146" t="str">
        <f t="shared" si="1138"/>
        <v>E1b</v>
      </c>
      <c r="AM3146" t="str">
        <f t="shared" si="1139"/>
        <v/>
      </c>
      <c r="AN3146" t="str">
        <f t="shared" si="1140"/>
        <v/>
      </c>
      <c r="AO3146" t="str">
        <f t="shared" si="1141"/>
        <v/>
      </c>
      <c r="AP3146" t="str">
        <f t="shared" si="1142"/>
        <v/>
      </c>
      <c r="AQ3146" t="str">
        <f t="shared" si="1143"/>
        <v/>
      </c>
      <c r="AR3146" t="str">
        <f t="shared" si="1144"/>
        <v/>
      </c>
      <c r="AS3146" t="str">
        <f t="shared" si="1145"/>
        <v>G2</v>
      </c>
      <c r="AT3146" t="str">
        <f t="shared" si="1146"/>
        <v/>
      </c>
      <c r="AU3146" t="str">
        <f t="shared" si="1147"/>
        <v>E1bG2</v>
      </c>
      <c r="AV3146" s="203" t="str">
        <f t="shared" si="1148"/>
        <v>BiK272E1bG2-12</v>
      </c>
      <c r="AW3146">
        <f t="shared" si="1149"/>
        <v>14</v>
      </c>
      <c r="AX3146" t="str">
        <f t="shared" si="1150"/>
        <v>0,5-0,75 MW, Bonusregeln E1b, G2</v>
      </c>
      <c r="AY3146" t="str">
        <f t="shared" si="1151"/>
        <v/>
      </c>
    </row>
    <row r="3147" spans="1:51" x14ac:dyDescent="0.35">
      <c r="A3147" s="500" t="str">
        <f t="shared" si="1130"/>
        <v>BiK272E1dG2-12</v>
      </c>
      <c r="B3147" s="225" t="s">
        <v>5547</v>
      </c>
      <c r="C3147" s="225" t="str">
        <f t="shared" si="1131"/>
        <v>Inbetriebnahme 2012</v>
      </c>
      <c r="D3147" s="225" t="str">
        <f t="shared" si="1132"/>
        <v>0,5-0,75 MW, Bonusregeln E1d, G2</v>
      </c>
      <c r="E3147" s="225"/>
      <c r="F3147" s="382">
        <f t="shared" si="1133"/>
        <v>15.5</v>
      </c>
      <c r="G3147" s="438">
        <v>15.5</v>
      </c>
      <c r="H3147" s="405">
        <f t="shared" si="1134"/>
        <v>12.4</v>
      </c>
      <c r="I3147" s="584"/>
      <c r="J3147" s="549" t="s">
        <v>5804</v>
      </c>
      <c r="K3147" s="11"/>
      <c r="L3147" s="55" t="str">
        <f t="shared" si="1135"/>
        <v/>
      </c>
      <c r="M3147" s="37">
        <f t="shared" si="1136"/>
        <v>15.5</v>
      </c>
      <c r="N3147" s="29">
        <f t="shared" si="1152"/>
        <v>11</v>
      </c>
      <c r="O3147" s="154"/>
      <c r="P3147" s="22"/>
      <c r="Q3147" s="50"/>
      <c r="R3147" s="202" t="s">
        <v>1017</v>
      </c>
      <c r="S3147" s="179"/>
      <c r="T3147" s="50"/>
      <c r="U3147" s="22"/>
      <c r="V3147" s="179"/>
      <c r="W3147" s="202" t="s">
        <v>1017</v>
      </c>
      <c r="X3147" s="38"/>
      <c r="AH3147" s="202" t="s">
        <v>1778</v>
      </c>
      <c r="AK3147" t="str">
        <f t="shared" si="1137"/>
        <v/>
      </c>
      <c r="AL3147" t="str">
        <f t="shared" si="1138"/>
        <v/>
      </c>
      <c r="AM3147" t="str">
        <f t="shared" si="1139"/>
        <v/>
      </c>
      <c r="AN3147" t="str">
        <f t="shared" si="1140"/>
        <v>E1d</v>
      </c>
      <c r="AO3147" t="str">
        <f t="shared" si="1141"/>
        <v/>
      </c>
      <c r="AP3147" t="str">
        <f t="shared" si="1142"/>
        <v/>
      </c>
      <c r="AQ3147" t="str">
        <f t="shared" si="1143"/>
        <v/>
      </c>
      <c r="AR3147" t="str">
        <f t="shared" si="1144"/>
        <v/>
      </c>
      <c r="AS3147" t="str">
        <f t="shared" si="1145"/>
        <v>G2</v>
      </c>
      <c r="AT3147" t="str">
        <f t="shared" si="1146"/>
        <v/>
      </c>
      <c r="AU3147" t="str">
        <f t="shared" si="1147"/>
        <v>E1dG2</v>
      </c>
      <c r="AV3147" s="203" t="str">
        <f t="shared" si="1148"/>
        <v>BiK272E1dG2-12</v>
      </c>
      <c r="AW3147">
        <f t="shared" si="1149"/>
        <v>14</v>
      </c>
      <c r="AX3147" t="str">
        <f t="shared" si="1150"/>
        <v>0,5-0,75 MW, Bonusregeln E1d, G2</v>
      </c>
      <c r="AY3147" t="str">
        <f t="shared" si="1151"/>
        <v/>
      </c>
    </row>
    <row r="3148" spans="1:51" x14ac:dyDescent="0.35">
      <c r="A3148" s="500" t="str">
        <f t="shared" si="1130"/>
        <v>BiK272E2aG2-12</v>
      </c>
      <c r="B3148" s="225" t="s">
        <v>5547</v>
      </c>
      <c r="C3148" s="225" t="str">
        <f t="shared" si="1131"/>
        <v>Inbetriebnahme 2012</v>
      </c>
      <c r="D3148" s="225" t="str">
        <f t="shared" si="1132"/>
        <v>0,5-0,75 MW, Bonusregeln E2a, G2</v>
      </c>
      <c r="E3148" s="225"/>
      <c r="F3148" s="382">
        <f t="shared" si="1133"/>
        <v>21</v>
      </c>
      <c r="G3148" s="438">
        <v>21</v>
      </c>
      <c r="H3148" s="405">
        <f t="shared" si="1134"/>
        <v>16.8</v>
      </c>
      <c r="I3148" s="584"/>
      <c r="J3148" s="549" t="s">
        <v>5804</v>
      </c>
      <c r="K3148" s="11"/>
      <c r="L3148" s="55" t="str">
        <f t="shared" si="1135"/>
        <v/>
      </c>
      <c r="M3148" s="37">
        <f t="shared" si="1136"/>
        <v>21</v>
      </c>
      <c r="N3148" s="29">
        <f t="shared" si="1152"/>
        <v>11</v>
      </c>
      <c r="O3148" s="154"/>
      <c r="P3148" s="22"/>
      <c r="Q3148" s="50"/>
      <c r="R3148" s="22"/>
      <c r="S3148" s="179" t="s">
        <v>1017</v>
      </c>
      <c r="T3148" s="50"/>
      <c r="U3148" s="22"/>
      <c r="V3148" s="179"/>
      <c r="W3148" s="202" t="s">
        <v>1017</v>
      </c>
      <c r="X3148" s="38"/>
      <c r="AH3148" s="202" t="s">
        <v>1778</v>
      </c>
      <c r="AK3148" t="str">
        <f t="shared" si="1137"/>
        <v/>
      </c>
      <c r="AL3148" t="str">
        <f t="shared" si="1138"/>
        <v/>
      </c>
      <c r="AM3148" t="str">
        <f t="shared" si="1139"/>
        <v/>
      </c>
      <c r="AN3148" t="str">
        <f t="shared" si="1140"/>
        <v/>
      </c>
      <c r="AO3148" t="str">
        <f t="shared" si="1141"/>
        <v>E2a</v>
      </c>
      <c r="AP3148" t="str">
        <f t="shared" si="1142"/>
        <v/>
      </c>
      <c r="AQ3148" t="str">
        <f t="shared" si="1143"/>
        <v/>
      </c>
      <c r="AR3148" t="str">
        <f t="shared" si="1144"/>
        <v/>
      </c>
      <c r="AS3148" t="str">
        <f t="shared" si="1145"/>
        <v>G2</v>
      </c>
      <c r="AT3148" t="str">
        <f t="shared" si="1146"/>
        <v/>
      </c>
      <c r="AU3148" t="str">
        <f t="shared" si="1147"/>
        <v>E2aG2</v>
      </c>
      <c r="AV3148" s="203" t="str">
        <f t="shared" si="1148"/>
        <v>BiK272E2aG2-12</v>
      </c>
      <c r="AW3148">
        <f t="shared" si="1149"/>
        <v>14</v>
      </c>
      <c r="AX3148" t="str">
        <f t="shared" si="1150"/>
        <v>0,5-0,75 MW, Bonusregeln E2a, G2</v>
      </c>
      <c r="AY3148" t="str">
        <f t="shared" si="1151"/>
        <v/>
      </c>
    </row>
    <row r="3149" spans="1:51" x14ac:dyDescent="0.35">
      <c r="A3149" s="500" t="str">
        <f t="shared" si="1130"/>
        <v>BiK272E2cG2-12</v>
      </c>
      <c r="B3149" s="225" t="s">
        <v>5547</v>
      </c>
      <c r="C3149" s="225" t="str">
        <f t="shared" si="1131"/>
        <v>Inbetriebnahme 2012</v>
      </c>
      <c r="D3149" s="225" t="str">
        <f t="shared" si="1132"/>
        <v>0,5-0,75 MW, Bonusregeln E2c, G2</v>
      </c>
      <c r="E3149" s="225"/>
      <c r="F3149" s="382">
        <f t="shared" si="1133"/>
        <v>19</v>
      </c>
      <c r="G3149" s="438">
        <v>19</v>
      </c>
      <c r="H3149" s="405">
        <f t="shared" si="1134"/>
        <v>15.2</v>
      </c>
      <c r="I3149" s="584"/>
      <c r="J3149" s="549" t="s">
        <v>5804</v>
      </c>
      <c r="K3149" s="11"/>
      <c r="L3149" s="55" t="str">
        <f t="shared" si="1135"/>
        <v/>
      </c>
      <c r="M3149" s="37">
        <f t="shared" si="1136"/>
        <v>19</v>
      </c>
      <c r="N3149" s="29">
        <f t="shared" si="1152"/>
        <v>11</v>
      </c>
      <c r="O3149" s="154"/>
      <c r="P3149" s="22"/>
      <c r="Q3149" s="50"/>
      <c r="R3149" s="22"/>
      <c r="S3149" s="179"/>
      <c r="T3149" s="50"/>
      <c r="U3149" s="202" t="s">
        <v>1017</v>
      </c>
      <c r="V3149" s="179"/>
      <c r="W3149" s="202" t="s">
        <v>1017</v>
      </c>
      <c r="X3149" s="38"/>
      <c r="AH3149" s="202" t="s">
        <v>1778</v>
      </c>
      <c r="AK3149" t="str">
        <f t="shared" si="1137"/>
        <v/>
      </c>
      <c r="AL3149" t="str">
        <f t="shared" si="1138"/>
        <v/>
      </c>
      <c r="AM3149" t="str">
        <f t="shared" si="1139"/>
        <v/>
      </c>
      <c r="AN3149" t="str">
        <f t="shared" si="1140"/>
        <v/>
      </c>
      <c r="AO3149" t="str">
        <f t="shared" si="1141"/>
        <v/>
      </c>
      <c r="AP3149" t="str">
        <f t="shared" si="1142"/>
        <v/>
      </c>
      <c r="AQ3149" t="str">
        <f t="shared" si="1143"/>
        <v>E2c</v>
      </c>
      <c r="AR3149" t="str">
        <f t="shared" si="1144"/>
        <v/>
      </c>
      <c r="AS3149" t="str">
        <f t="shared" si="1145"/>
        <v>G2</v>
      </c>
      <c r="AT3149" t="str">
        <f t="shared" si="1146"/>
        <v/>
      </c>
      <c r="AU3149" t="str">
        <f t="shared" si="1147"/>
        <v>E2cG2</v>
      </c>
      <c r="AV3149" s="203" t="str">
        <f t="shared" si="1148"/>
        <v>BiK272E2cG2-12</v>
      </c>
      <c r="AW3149">
        <f t="shared" si="1149"/>
        <v>14</v>
      </c>
      <c r="AX3149" t="str">
        <f t="shared" si="1150"/>
        <v>0,5-0,75 MW, Bonusregeln E2c, G2</v>
      </c>
      <c r="AY3149" t="str">
        <f t="shared" si="1151"/>
        <v/>
      </c>
    </row>
    <row r="3150" spans="1:51" x14ac:dyDescent="0.35">
      <c r="A3150" s="500" t="str">
        <f t="shared" si="1130"/>
        <v>BiK272G3----12</v>
      </c>
      <c r="B3150" s="225" t="s">
        <v>5547</v>
      </c>
      <c r="C3150" s="225" t="str">
        <f t="shared" si="1131"/>
        <v>Inbetriebnahme 2012</v>
      </c>
      <c r="D3150" s="225" t="str">
        <f t="shared" si="1132"/>
        <v>0,5-0,75 MW, Bonusregel G3</v>
      </c>
      <c r="E3150" s="225"/>
      <c r="F3150" s="382">
        <f t="shared" si="1133"/>
        <v>12</v>
      </c>
      <c r="G3150" s="438">
        <v>12</v>
      </c>
      <c r="H3150" s="405">
        <f t="shared" si="1134"/>
        <v>9.6</v>
      </c>
      <c r="I3150" s="584"/>
      <c r="J3150" s="549" t="s">
        <v>5804</v>
      </c>
      <c r="K3150" s="11"/>
      <c r="L3150" s="55" t="str">
        <f t="shared" si="1135"/>
        <v/>
      </c>
      <c r="M3150" s="37">
        <f t="shared" si="1136"/>
        <v>12</v>
      </c>
      <c r="N3150" s="29">
        <f t="shared" si="1152"/>
        <v>11</v>
      </c>
      <c r="O3150" s="154"/>
      <c r="P3150" s="22"/>
      <c r="Q3150" s="50"/>
      <c r="R3150" s="22"/>
      <c r="S3150" s="179"/>
      <c r="T3150" s="50"/>
      <c r="U3150" s="22"/>
      <c r="V3150" s="179"/>
      <c r="W3150" s="22"/>
      <c r="X3150" s="38" t="s">
        <v>1017</v>
      </c>
      <c r="AH3150" s="202" t="s">
        <v>1778</v>
      </c>
      <c r="AK3150" t="str">
        <f t="shared" si="1137"/>
        <v/>
      </c>
      <c r="AL3150" t="str">
        <f t="shared" si="1138"/>
        <v/>
      </c>
      <c r="AM3150" t="str">
        <f t="shared" si="1139"/>
        <v/>
      </c>
      <c r="AN3150" t="str">
        <f t="shared" si="1140"/>
        <v/>
      </c>
      <c r="AO3150" t="str">
        <f t="shared" si="1141"/>
        <v/>
      </c>
      <c r="AP3150" t="str">
        <f t="shared" si="1142"/>
        <v/>
      </c>
      <c r="AQ3150" t="str">
        <f t="shared" si="1143"/>
        <v/>
      </c>
      <c r="AR3150" t="str">
        <f t="shared" si="1144"/>
        <v/>
      </c>
      <c r="AS3150" t="str">
        <f t="shared" si="1145"/>
        <v/>
      </c>
      <c r="AT3150" t="str">
        <f t="shared" si="1146"/>
        <v>G3</v>
      </c>
      <c r="AU3150" t="str">
        <f t="shared" si="1147"/>
        <v>G3</v>
      </c>
      <c r="AV3150" s="203" t="str">
        <f t="shared" si="1148"/>
        <v>BiK272G3----12</v>
      </c>
      <c r="AW3150">
        <f t="shared" si="1149"/>
        <v>14</v>
      </c>
      <c r="AX3150" t="str">
        <f t="shared" si="1150"/>
        <v>0,5-0,75 MW, Bonusregel G3</v>
      </c>
      <c r="AY3150" t="str">
        <f t="shared" si="1151"/>
        <v/>
      </c>
    </row>
    <row r="3151" spans="1:51" x14ac:dyDescent="0.35">
      <c r="A3151" s="500" t="str">
        <f t="shared" si="1130"/>
        <v>BiK272E1bG3-12</v>
      </c>
      <c r="B3151" s="225" t="s">
        <v>5547</v>
      </c>
      <c r="C3151" s="225" t="str">
        <f t="shared" si="1131"/>
        <v>Inbetriebnahme 2012</v>
      </c>
      <c r="D3151" s="225" t="str">
        <f t="shared" si="1132"/>
        <v>0,5-0,75 MW, Bonusregeln E1b, G3</v>
      </c>
      <c r="E3151" s="225"/>
      <c r="F3151" s="382">
        <f t="shared" si="1133"/>
        <v>17</v>
      </c>
      <c r="G3151" s="438">
        <v>17</v>
      </c>
      <c r="H3151" s="405">
        <f t="shared" si="1134"/>
        <v>13.6</v>
      </c>
      <c r="I3151" s="584"/>
      <c r="J3151" s="549" t="s">
        <v>5804</v>
      </c>
      <c r="K3151" s="11"/>
      <c r="L3151" s="55" t="str">
        <f t="shared" si="1135"/>
        <v/>
      </c>
      <c r="M3151" s="37">
        <f t="shared" si="1136"/>
        <v>17</v>
      </c>
      <c r="N3151" s="29">
        <f t="shared" si="1152"/>
        <v>11</v>
      </c>
      <c r="O3151" s="154"/>
      <c r="P3151" s="202" t="s">
        <v>1017</v>
      </c>
      <c r="Q3151" s="50"/>
      <c r="R3151" s="22"/>
      <c r="S3151" s="179"/>
      <c r="T3151" s="50"/>
      <c r="U3151" s="22"/>
      <c r="V3151" s="179"/>
      <c r="W3151" s="22"/>
      <c r="X3151" s="38" t="s">
        <v>1017</v>
      </c>
      <c r="AH3151" s="202" t="s">
        <v>1778</v>
      </c>
      <c r="AK3151" t="str">
        <f t="shared" si="1137"/>
        <v/>
      </c>
      <c r="AL3151" t="str">
        <f t="shared" si="1138"/>
        <v>E1b</v>
      </c>
      <c r="AM3151" t="str">
        <f t="shared" si="1139"/>
        <v/>
      </c>
      <c r="AN3151" t="str">
        <f t="shared" si="1140"/>
        <v/>
      </c>
      <c r="AO3151" t="str">
        <f t="shared" si="1141"/>
        <v/>
      </c>
      <c r="AP3151" t="str">
        <f t="shared" si="1142"/>
        <v/>
      </c>
      <c r="AQ3151" t="str">
        <f t="shared" si="1143"/>
        <v/>
      </c>
      <c r="AR3151" t="str">
        <f t="shared" si="1144"/>
        <v/>
      </c>
      <c r="AS3151" t="str">
        <f t="shared" si="1145"/>
        <v/>
      </c>
      <c r="AT3151" t="str">
        <f t="shared" si="1146"/>
        <v>G3</v>
      </c>
      <c r="AU3151" t="str">
        <f t="shared" si="1147"/>
        <v>E1bG3</v>
      </c>
      <c r="AV3151" s="203" t="str">
        <f t="shared" si="1148"/>
        <v>BiK272E1bG3-12</v>
      </c>
      <c r="AW3151">
        <f t="shared" si="1149"/>
        <v>14</v>
      </c>
      <c r="AX3151" t="str">
        <f t="shared" si="1150"/>
        <v>0,5-0,75 MW, Bonusregeln E1b, G3</v>
      </c>
      <c r="AY3151" t="str">
        <f t="shared" si="1151"/>
        <v/>
      </c>
    </row>
    <row r="3152" spans="1:51" x14ac:dyDescent="0.35">
      <c r="A3152" s="500" t="str">
        <f t="shared" si="1130"/>
        <v>BiK272E1dG3-12</v>
      </c>
      <c r="B3152" s="225" t="s">
        <v>5547</v>
      </c>
      <c r="C3152" s="225" t="str">
        <f t="shared" si="1131"/>
        <v>Inbetriebnahme 2012</v>
      </c>
      <c r="D3152" s="225" t="str">
        <f t="shared" si="1132"/>
        <v>0,5-0,75 MW, Bonusregeln E1d, G3</v>
      </c>
      <c r="E3152" s="225"/>
      <c r="F3152" s="382">
        <f t="shared" si="1133"/>
        <v>14.5</v>
      </c>
      <c r="G3152" s="438">
        <v>14.5</v>
      </c>
      <c r="H3152" s="405">
        <f t="shared" si="1134"/>
        <v>11.6</v>
      </c>
      <c r="I3152" s="584"/>
      <c r="J3152" s="549" t="s">
        <v>5804</v>
      </c>
      <c r="K3152" s="11"/>
      <c r="L3152" s="55" t="str">
        <f t="shared" si="1135"/>
        <v/>
      </c>
      <c r="M3152" s="37">
        <f t="shared" si="1136"/>
        <v>14.5</v>
      </c>
      <c r="N3152" s="29">
        <f t="shared" si="1152"/>
        <v>11</v>
      </c>
      <c r="O3152" s="154"/>
      <c r="P3152" s="22"/>
      <c r="Q3152" s="50"/>
      <c r="R3152" s="202" t="s">
        <v>1017</v>
      </c>
      <c r="S3152" s="179"/>
      <c r="T3152" s="50"/>
      <c r="U3152" s="22"/>
      <c r="V3152" s="179"/>
      <c r="W3152" s="22"/>
      <c r="X3152" s="38" t="s">
        <v>1017</v>
      </c>
      <c r="AH3152" s="202" t="s">
        <v>1778</v>
      </c>
      <c r="AK3152" t="str">
        <f t="shared" si="1137"/>
        <v/>
      </c>
      <c r="AL3152" t="str">
        <f t="shared" si="1138"/>
        <v/>
      </c>
      <c r="AM3152" t="str">
        <f t="shared" si="1139"/>
        <v/>
      </c>
      <c r="AN3152" t="str">
        <f t="shared" si="1140"/>
        <v>E1d</v>
      </c>
      <c r="AO3152" t="str">
        <f t="shared" si="1141"/>
        <v/>
      </c>
      <c r="AP3152" t="str">
        <f t="shared" si="1142"/>
        <v/>
      </c>
      <c r="AQ3152" t="str">
        <f t="shared" si="1143"/>
        <v/>
      </c>
      <c r="AR3152" t="str">
        <f t="shared" si="1144"/>
        <v/>
      </c>
      <c r="AS3152" t="str">
        <f t="shared" si="1145"/>
        <v/>
      </c>
      <c r="AT3152" t="str">
        <f t="shared" si="1146"/>
        <v>G3</v>
      </c>
      <c r="AU3152" t="str">
        <f t="shared" si="1147"/>
        <v>E1dG3</v>
      </c>
      <c r="AV3152" s="203" t="str">
        <f t="shared" si="1148"/>
        <v>BiK272E1dG3-12</v>
      </c>
      <c r="AW3152">
        <f t="shared" si="1149"/>
        <v>14</v>
      </c>
      <c r="AX3152" t="str">
        <f t="shared" si="1150"/>
        <v>0,5-0,75 MW, Bonusregeln E1d, G3</v>
      </c>
      <c r="AY3152" t="str">
        <f t="shared" si="1151"/>
        <v/>
      </c>
    </row>
    <row r="3153" spans="1:51" x14ac:dyDescent="0.35">
      <c r="A3153" s="500" t="str">
        <f t="shared" si="1130"/>
        <v>BiK272E2aG3-12</v>
      </c>
      <c r="B3153" s="225" t="s">
        <v>5547</v>
      </c>
      <c r="C3153" s="225" t="str">
        <f t="shared" si="1131"/>
        <v>Inbetriebnahme 2012</v>
      </c>
      <c r="D3153" s="225" t="str">
        <f t="shared" si="1132"/>
        <v>0,5-0,75 MW, Bonusregeln E2a, G3</v>
      </c>
      <c r="E3153" s="225"/>
      <c r="F3153" s="382">
        <f t="shared" si="1133"/>
        <v>20</v>
      </c>
      <c r="G3153" s="438">
        <v>20</v>
      </c>
      <c r="H3153" s="405">
        <f t="shared" si="1134"/>
        <v>16</v>
      </c>
      <c r="I3153" s="584"/>
      <c r="J3153" s="549" t="s">
        <v>5804</v>
      </c>
      <c r="K3153" s="11"/>
      <c r="L3153" s="55" t="str">
        <f t="shared" si="1135"/>
        <v/>
      </c>
      <c r="M3153" s="37">
        <f t="shared" si="1136"/>
        <v>20</v>
      </c>
      <c r="N3153" s="29">
        <f t="shared" si="1152"/>
        <v>11</v>
      </c>
      <c r="O3153" s="154"/>
      <c r="P3153" s="22"/>
      <c r="Q3153" s="50"/>
      <c r="R3153" s="22"/>
      <c r="S3153" s="179" t="s">
        <v>1017</v>
      </c>
      <c r="T3153" s="50"/>
      <c r="U3153" s="22"/>
      <c r="V3153" s="179"/>
      <c r="W3153" s="22"/>
      <c r="X3153" s="38" t="s">
        <v>1017</v>
      </c>
      <c r="AH3153" s="202" t="s">
        <v>1778</v>
      </c>
      <c r="AK3153" t="str">
        <f t="shared" si="1137"/>
        <v/>
      </c>
      <c r="AL3153" t="str">
        <f t="shared" si="1138"/>
        <v/>
      </c>
      <c r="AM3153" t="str">
        <f t="shared" si="1139"/>
        <v/>
      </c>
      <c r="AN3153" t="str">
        <f t="shared" si="1140"/>
        <v/>
      </c>
      <c r="AO3153" t="str">
        <f t="shared" si="1141"/>
        <v>E2a</v>
      </c>
      <c r="AP3153" t="str">
        <f t="shared" si="1142"/>
        <v/>
      </c>
      <c r="AQ3153" t="str">
        <f t="shared" si="1143"/>
        <v/>
      </c>
      <c r="AR3153" t="str">
        <f t="shared" si="1144"/>
        <v/>
      </c>
      <c r="AS3153" t="str">
        <f t="shared" si="1145"/>
        <v/>
      </c>
      <c r="AT3153" t="str">
        <f t="shared" si="1146"/>
        <v>G3</v>
      </c>
      <c r="AU3153" t="str">
        <f t="shared" si="1147"/>
        <v>E2aG3</v>
      </c>
      <c r="AV3153" s="203" t="str">
        <f t="shared" si="1148"/>
        <v>BiK272E2aG3-12</v>
      </c>
      <c r="AW3153">
        <f t="shared" si="1149"/>
        <v>14</v>
      </c>
      <c r="AX3153" t="str">
        <f t="shared" si="1150"/>
        <v>0,5-0,75 MW, Bonusregeln E2a, G3</v>
      </c>
      <c r="AY3153" t="str">
        <f t="shared" si="1151"/>
        <v/>
      </c>
    </row>
    <row r="3154" spans="1:51" x14ac:dyDescent="0.35">
      <c r="A3154" s="500" t="str">
        <f t="shared" si="1130"/>
        <v>BiK272E2cG3-12</v>
      </c>
      <c r="B3154" s="225" t="s">
        <v>5547</v>
      </c>
      <c r="C3154" s="225" t="str">
        <f t="shared" si="1131"/>
        <v>Inbetriebnahme 2012</v>
      </c>
      <c r="D3154" s="225" t="str">
        <f t="shared" si="1132"/>
        <v>0,5-0,75 MW, Bonusregeln E2c, G3</v>
      </c>
      <c r="E3154" s="225"/>
      <c r="F3154" s="382">
        <f t="shared" si="1133"/>
        <v>18</v>
      </c>
      <c r="G3154" s="438">
        <v>18</v>
      </c>
      <c r="H3154" s="405">
        <f t="shared" si="1134"/>
        <v>14.4</v>
      </c>
      <c r="I3154" s="584"/>
      <c r="J3154" s="549" t="s">
        <v>5804</v>
      </c>
      <c r="K3154" s="11"/>
      <c r="L3154" s="55" t="str">
        <f t="shared" si="1135"/>
        <v/>
      </c>
      <c r="M3154" s="37">
        <f t="shared" si="1136"/>
        <v>18</v>
      </c>
      <c r="N3154" s="29">
        <f t="shared" si="1152"/>
        <v>11</v>
      </c>
      <c r="O3154" s="154"/>
      <c r="P3154" s="22"/>
      <c r="Q3154" s="50"/>
      <c r="R3154" s="22"/>
      <c r="S3154" s="179"/>
      <c r="T3154" s="50"/>
      <c r="U3154" s="202" t="s">
        <v>1017</v>
      </c>
      <c r="V3154" s="179"/>
      <c r="W3154" s="22"/>
      <c r="X3154" s="38" t="s">
        <v>1017</v>
      </c>
      <c r="AH3154" s="202" t="s">
        <v>1778</v>
      </c>
      <c r="AK3154" t="str">
        <f t="shared" si="1137"/>
        <v/>
      </c>
      <c r="AL3154" t="str">
        <f t="shared" si="1138"/>
        <v/>
      </c>
      <c r="AM3154" t="str">
        <f t="shared" si="1139"/>
        <v/>
      </c>
      <c r="AN3154" t="str">
        <f t="shared" si="1140"/>
        <v/>
      </c>
      <c r="AO3154" t="str">
        <f t="shared" si="1141"/>
        <v/>
      </c>
      <c r="AP3154" t="str">
        <f t="shared" si="1142"/>
        <v/>
      </c>
      <c r="AQ3154" t="str">
        <f t="shared" si="1143"/>
        <v>E2c</v>
      </c>
      <c r="AR3154" t="str">
        <f t="shared" si="1144"/>
        <v/>
      </c>
      <c r="AS3154" t="str">
        <f t="shared" si="1145"/>
        <v/>
      </c>
      <c r="AT3154" t="str">
        <f t="shared" si="1146"/>
        <v>G3</v>
      </c>
      <c r="AU3154" t="str">
        <f t="shared" si="1147"/>
        <v>E2cG3</v>
      </c>
      <c r="AV3154" s="203" t="str">
        <f t="shared" si="1148"/>
        <v>BiK272E2cG3-12</v>
      </c>
      <c r="AW3154">
        <f t="shared" si="1149"/>
        <v>14</v>
      </c>
      <c r="AX3154" t="str">
        <f t="shared" si="1150"/>
        <v>0,5-0,75 MW, Bonusregeln E2c, G3</v>
      </c>
      <c r="AY3154" t="str">
        <f t="shared" si="1151"/>
        <v/>
      </c>
    </row>
    <row r="3155" spans="1:51" x14ac:dyDescent="0.35">
      <c r="A3155" s="500" t="str">
        <f t="shared" ref="A3155:A3174" si="1153">"BiK273"&amp;AU3155&amp;RIGHT("------",6-LEN(AU3155))&amp;RIGHT($M$3099,2)</f>
        <v>BiK273------12</v>
      </c>
      <c r="B3155" s="225" t="s">
        <v>5547</v>
      </c>
      <c r="C3155" s="225" t="str">
        <f t="shared" si="1131"/>
        <v>Inbetriebnahme 2012</v>
      </c>
      <c r="D3155" s="225" t="str">
        <f t="shared" si="1132"/>
        <v>0,75-5 MW</v>
      </c>
      <c r="E3155" s="225"/>
      <c r="F3155" s="382">
        <f t="shared" si="1133"/>
        <v>11</v>
      </c>
      <c r="G3155" s="438">
        <v>11</v>
      </c>
      <c r="H3155" s="405">
        <f t="shared" si="1134"/>
        <v>8.8000000000000007</v>
      </c>
      <c r="I3155" s="584"/>
      <c r="J3155" s="549" t="s">
        <v>5804</v>
      </c>
      <c r="K3155" s="11"/>
      <c r="L3155" s="55" t="str">
        <f t="shared" si="1135"/>
        <v/>
      </c>
      <c r="M3155" s="37">
        <f t="shared" si="1136"/>
        <v>11</v>
      </c>
      <c r="N3155" s="29">
        <f t="shared" si="1152"/>
        <v>11</v>
      </c>
      <c r="O3155" s="154"/>
      <c r="P3155" s="50"/>
      <c r="Q3155" s="22"/>
      <c r="R3155" s="22"/>
      <c r="S3155" s="179"/>
      <c r="T3155" s="50"/>
      <c r="U3155" s="22"/>
      <c r="V3155" s="179"/>
      <c r="W3155" s="22"/>
      <c r="X3155" s="38"/>
      <c r="AH3155" s="202" t="s">
        <v>1777</v>
      </c>
      <c r="AK3155" t="str">
        <f t="shared" si="1137"/>
        <v/>
      </c>
      <c r="AL3155" t="str">
        <f t="shared" si="1138"/>
        <v/>
      </c>
      <c r="AM3155" t="str">
        <f t="shared" si="1139"/>
        <v/>
      </c>
      <c r="AN3155" t="str">
        <f t="shared" si="1140"/>
        <v/>
      </c>
      <c r="AO3155" t="str">
        <f t="shared" si="1141"/>
        <v/>
      </c>
      <c r="AP3155" t="str">
        <f t="shared" si="1142"/>
        <v/>
      </c>
      <c r="AQ3155" t="str">
        <f t="shared" si="1143"/>
        <v/>
      </c>
      <c r="AR3155" t="str">
        <f t="shared" si="1144"/>
        <v/>
      </c>
      <c r="AS3155" t="str">
        <f t="shared" si="1145"/>
        <v/>
      </c>
      <c r="AT3155" t="str">
        <f t="shared" si="1146"/>
        <v/>
      </c>
      <c r="AU3155" t="str">
        <f t="shared" si="1147"/>
        <v/>
      </c>
      <c r="AV3155" s="203" t="str">
        <f t="shared" ref="AV3155:AV3174" si="1154">"BiK273"&amp;AU3155&amp;RIGHT("------",6-LEN(AU3155))&amp;RIGHT($M$3099,2)</f>
        <v>BiK273------12</v>
      </c>
      <c r="AW3155">
        <f t="shared" si="1149"/>
        <v>14</v>
      </c>
      <c r="AX3155" t="str">
        <f t="shared" si="1150"/>
        <v>0,75-5 MW</v>
      </c>
      <c r="AY3155" t="str">
        <f t="shared" si="1151"/>
        <v/>
      </c>
    </row>
    <row r="3156" spans="1:51" x14ac:dyDescent="0.35">
      <c r="A3156" s="500" t="str">
        <f t="shared" si="1153"/>
        <v>BiK273E1c---12</v>
      </c>
      <c r="B3156" s="225" t="s">
        <v>5547</v>
      </c>
      <c r="C3156" s="225" t="str">
        <f t="shared" si="1131"/>
        <v>Inbetriebnahme 2012</v>
      </c>
      <c r="D3156" s="225" t="str">
        <f t="shared" si="1132"/>
        <v>0,75-5 MW, Bonusregel E1c</v>
      </c>
      <c r="E3156" s="225"/>
      <c r="F3156" s="382">
        <f t="shared" si="1133"/>
        <v>15</v>
      </c>
      <c r="G3156" s="438">
        <v>15</v>
      </c>
      <c r="H3156" s="405">
        <f t="shared" si="1134"/>
        <v>12</v>
      </c>
      <c r="I3156" s="584"/>
      <c r="J3156" s="549" t="s">
        <v>5804</v>
      </c>
      <c r="K3156" s="11"/>
      <c r="L3156" s="55" t="str">
        <f t="shared" si="1135"/>
        <v/>
      </c>
      <c r="M3156" s="37">
        <f t="shared" si="1136"/>
        <v>15</v>
      </c>
      <c r="N3156" s="29">
        <f t="shared" si="1152"/>
        <v>11</v>
      </c>
      <c r="O3156" s="154"/>
      <c r="P3156" s="50"/>
      <c r="Q3156" s="202" t="s">
        <v>1017</v>
      </c>
      <c r="R3156" s="22"/>
      <c r="S3156" s="179"/>
      <c r="T3156" s="50"/>
      <c r="U3156" s="22"/>
      <c r="V3156" s="179"/>
      <c r="W3156" s="22"/>
      <c r="X3156" s="38"/>
      <c r="AH3156" s="202" t="s">
        <v>1777</v>
      </c>
      <c r="AK3156" t="str">
        <f t="shared" si="1137"/>
        <v/>
      </c>
      <c r="AL3156" t="str">
        <f t="shared" si="1138"/>
        <v/>
      </c>
      <c r="AM3156" t="str">
        <f t="shared" si="1139"/>
        <v>E1c</v>
      </c>
      <c r="AN3156" t="str">
        <f t="shared" si="1140"/>
        <v/>
      </c>
      <c r="AO3156" t="str">
        <f t="shared" si="1141"/>
        <v/>
      </c>
      <c r="AP3156" t="str">
        <f t="shared" si="1142"/>
        <v/>
      </c>
      <c r="AQ3156" t="str">
        <f t="shared" si="1143"/>
        <v/>
      </c>
      <c r="AR3156" t="str">
        <f t="shared" si="1144"/>
        <v/>
      </c>
      <c r="AS3156" t="str">
        <f t="shared" si="1145"/>
        <v/>
      </c>
      <c r="AT3156" t="str">
        <f t="shared" si="1146"/>
        <v/>
      </c>
      <c r="AU3156" t="str">
        <f t="shared" si="1147"/>
        <v>E1c</v>
      </c>
      <c r="AV3156" s="203" t="str">
        <f t="shared" si="1154"/>
        <v>BiK273E1c---12</v>
      </c>
      <c r="AW3156">
        <f t="shared" si="1149"/>
        <v>14</v>
      </c>
      <c r="AX3156" t="str">
        <f t="shared" si="1150"/>
        <v>0,75-5 MW, Bonusregel E1c</v>
      </c>
      <c r="AY3156" t="str">
        <f t="shared" si="1151"/>
        <v/>
      </c>
    </row>
    <row r="3157" spans="1:51" x14ac:dyDescent="0.35">
      <c r="A3157" s="500" t="str">
        <f t="shared" si="1153"/>
        <v>BiK273E1d---12</v>
      </c>
      <c r="B3157" s="225" t="s">
        <v>5547</v>
      </c>
      <c r="C3157" s="225" t="str">
        <f t="shared" si="1131"/>
        <v>Inbetriebnahme 2012</v>
      </c>
      <c r="D3157" s="225" t="str">
        <f t="shared" si="1132"/>
        <v>0,75-5 MW, Bonusregel E1d</v>
      </c>
      <c r="E3157" s="225"/>
      <c r="F3157" s="382">
        <f t="shared" si="1133"/>
        <v>13.5</v>
      </c>
      <c r="G3157" s="438">
        <v>13.5</v>
      </c>
      <c r="H3157" s="405">
        <f t="shared" si="1134"/>
        <v>10.8</v>
      </c>
      <c r="I3157" s="584"/>
      <c r="J3157" s="549" t="s">
        <v>5804</v>
      </c>
      <c r="K3157" s="11"/>
      <c r="L3157" s="55" t="str">
        <f t="shared" si="1135"/>
        <v/>
      </c>
      <c r="M3157" s="37">
        <f t="shared" si="1136"/>
        <v>13.5</v>
      </c>
      <c r="N3157" s="29">
        <f t="shared" si="1152"/>
        <v>11</v>
      </c>
      <c r="O3157" s="154"/>
      <c r="P3157" s="50"/>
      <c r="Q3157" s="22"/>
      <c r="R3157" s="202" t="s">
        <v>1017</v>
      </c>
      <c r="S3157" s="179"/>
      <c r="T3157" s="50"/>
      <c r="U3157" s="22"/>
      <c r="V3157" s="179"/>
      <c r="W3157" s="22"/>
      <c r="X3157" s="38"/>
      <c r="AH3157" s="202" t="s">
        <v>1777</v>
      </c>
      <c r="AK3157" t="str">
        <f t="shared" si="1137"/>
        <v/>
      </c>
      <c r="AL3157" t="str">
        <f t="shared" si="1138"/>
        <v/>
      </c>
      <c r="AM3157" t="str">
        <f t="shared" si="1139"/>
        <v/>
      </c>
      <c r="AN3157" t="str">
        <f t="shared" si="1140"/>
        <v>E1d</v>
      </c>
      <c r="AO3157" t="str">
        <f t="shared" si="1141"/>
        <v/>
      </c>
      <c r="AP3157" t="str">
        <f t="shared" si="1142"/>
        <v/>
      </c>
      <c r="AQ3157" t="str">
        <f t="shared" si="1143"/>
        <v/>
      </c>
      <c r="AR3157" t="str">
        <f t="shared" si="1144"/>
        <v/>
      </c>
      <c r="AS3157" t="str">
        <f t="shared" si="1145"/>
        <v/>
      </c>
      <c r="AT3157" t="str">
        <f t="shared" si="1146"/>
        <v/>
      </c>
      <c r="AU3157" t="str">
        <f t="shared" si="1147"/>
        <v>E1d</v>
      </c>
      <c r="AV3157" s="203" t="str">
        <f t="shared" si="1154"/>
        <v>BiK273E1d---12</v>
      </c>
      <c r="AW3157">
        <f t="shared" si="1149"/>
        <v>14</v>
      </c>
      <c r="AX3157" t="str">
        <f t="shared" si="1150"/>
        <v>0,75-5 MW, Bonusregel E1d</v>
      </c>
      <c r="AY3157" t="str">
        <f t="shared" si="1151"/>
        <v/>
      </c>
    </row>
    <row r="3158" spans="1:51" x14ac:dyDescent="0.35">
      <c r="A3158" s="500" t="str">
        <f t="shared" si="1153"/>
        <v>BiK273E2a---12</v>
      </c>
      <c r="B3158" s="225" t="s">
        <v>5547</v>
      </c>
      <c r="C3158" s="225" t="str">
        <f t="shared" si="1131"/>
        <v>Inbetriebnahme 2012</v>
      </c>
      <c r="D3158" s="225" t="str">
        <f t="shared" si="1132"/>
        <v>0,75-5 MW, Bonusregel E2a</v>
      </c>
      <c r="E3158" s="225"/>
      <c r="F3158" s="382">
        <f t="shared" si="1133"/>
        <v>19</v>
      </c>
      <c r="G3158" s="438">
        <v>19</v>
      </c>
      <c r="H3158" s="405">
        <f t="shared" si="1134"/>
        <v>15.2</v>
      </c>
      <c r="I3158" s="584"/>
      <c r="J3158" s="549" t="s">
        <v>5804</v>
      </c>
      <c r="K3158" s="11"/>
      <c r="L3158" s="55" t="str">
        <f t="shared" si="1135"/>
        <v/>
      </c>
      <c r="M3158" s="37">
        <f t="shared" si="1136"/>
        <v>19</v>
      </c>
      <c r="N3158" s="29">
        <f t="shared" si="1152"/>
        <v>11</v>
      </c>
      <c r="O3158" s="154"/>
      <c r="P3158" s="50"/>
      <c r="Q3158" s="22"/>
      <c r="R3158" s="22"/>
      <c r="S3158" s="179" t="s">
        <v>1017</v>
      </c>
      <c r="T3158" s="50"/>
      <c r="U3158" s="22"/>
      <c r="V3158" s="179"/>
      <c r="W3158" s="22"/>
      <c r="X3158" s="38"/>
      <c r="AH3158" s="202" t="s">
        <v>1777</v>
      </c>
      <c r="AK3158" t="str">
        <f t="shared" si="1137"/>
        <v/>
      </c>
      <c r="AL3158" t="str">
        <f t="shared" si="1138"/>
        <v/>
      </c>
      <c r="AM3158" t="str">
        <f t="shared" si="1139"/>
        <v/>
      </c>
      <c r="AN3158" t="str">
        <f t="shared" si="1140"/>
        <v/>
      </c>
      <c r="AO3158" t="str">
        <f t="shared" si="1141"/>
        <v>E2a</v>
      </c>
      <c r="AP3158" t="str">
        <f t="shared" si="1142"/>
        <v/>
      </c>
      <c r="AQ3158" t="str">
        <f t="shared" si="1143"/>
        <v/>
      </c>
      <c r="AR3158" t="str">
        <f t="shared" si="1144"/>
        <v/>
      </c>
      <c r="AS3158" t="str">
        <f t="shared" si="1145"/>
        <v/>
      </c>
      <c r="AT3158" t="str">
        <f t="shared" si="1146"/>
        <v/>
      </c>
      <c r="AU3158" t="str">
        <f t="shared" si="1147"/>
        <v>E2a</v>
      </c>
      <c r="AV3158" s="203" t="str">
        <f t="shared" si="1154"/>
        <v>BiK273E2a---12</v>
      </c>
      <c r="AW3158">
        <f t="shared" si="1149"/>
        <v>14</v>
      </c>
      <c r="AX3158" t="str">
        <f t="shared" si="1150"/>
        <v>0,75-5 MW, Bonusregel E2a</v>
      </c>
      <c r="AY3158" t="str">
        <f t="shared" si="1151"/>
        <v/>
      </c>
    </row>
    <row r="3159" spans="1:51" x14ac:dyDescent="0.35">
      <c r="A3159" s="500" t="str">
        <f t="shared" si="1153"/>
        <v>BiK273E2c---12</v>
      </c>
      <c r="B3159" s="225" t="s">
        <v>5547</v>
      </c>
      <c r="C3159" s="225" t="str">
        <f t="shared" si="1131"/>
        <v>Inbetriebnahme 2012</v>
      </c>
      <c r="D3159" s="225" t="str">
        <f t="shared" si="1132"/>
        <v>0,75-5 MW, Bonusregel E2c</v>
      </c>
      <c r="E3159" s="225"/>
      <c r="F3159" s="382">
        <f t="shared" si="1133"/>
        <v>17</v>
      </c>
      <c r="G3159" s="438">
        <v>17</v>
      </c>
      <c r="H3159" s="405">
        <f t="shared" si="1134"/>
        <v>13.6</v>
      </c>
      <c r="I3159" s="584"/>
      <c r="J3159" s="549" t="s">
        <v>5804</v>
      </c>
      <c r="K3159" s="11"/>
      <c r="L3159" s="55" t="str">
        <f t="shared" si="1135"/>
        <v/>
      </c>
      <c r="M3159" s="37">
        <f t="shared" si="1136"/>
        <v>17</v>
      </c>
      <c r="N3159" s="29">
        <f t="shared" si="1152"/>
        <v>11</v>
      </c>
      <c r="O3159" s="154"/>
      <c r="P3159" s="50"/>
      <c r="Q3159" s="22"/>
      <c r="R3159" s="22"/>
      <c r="S3159" s="179"/>
      <c r="T3159" s="50"/>
      <c r="U3159" s="202" t="s">
        <v>1017</v>
      </c>
      <c r="V3159" s="179"/>
      <c r="W3159" s="22"/>
      <c r="X3159" s="38"/>
      <c r="AH3159" s="202" t="s">
        <v>1777</v>
      </c>
      <c r="AK3159" t="str">
        <f t="shared" si="1137"/>
        <v/>
      </c>
      <c r="AL3159" t="str">
        <f t="shared" si="1138"/>
        <v/>
      </c>
      <c r="AM3159" t="str">
        <f t="shared" si="1139"/>
        <v/>
      </c>
      <c r="AN3159" t="str">
        <f t="shared" si="1140"/>
        <v/>
      </c>
      <c r="AO3159" t="str">
        <f t="shared" si="1141"/>
        <v/>
      </c>
      <c r="AP3159" t="str">
        <f t="shared" si="1142"/>
        <v/>
      </c>
      <c r="AQ3159" t="str">
        <f t="shared" si="1143"/>
        <v>E2c</v>
      </c>
      <c r="AR3159" t="str">
        <f t="shared" si="1144"/>
        <v/>
      </c>
      <c r="AS3159" t="str">
        <f t="shared" si="1145"/>
        <v/>
      </c>
      <c r="AT3159" t="str">
        <f t="shared" si="1146"/>
        <v/>
      </c>
      <c r="AU3159" t="str">
        <f t="shared" si="1147"/>
        <v>E2c</v>
      </c>
      <c r="AV3159" s="203" t="str">
        <f t="shared" si="1154"/>
        <v>BiK273E2c---12</v>
      </c>
      <c r="AW3159">
        <f t="shared" si="1149"/>
        <v>14</v>
      </c>
      <c r="AX3159" t="str">
        <f t="shared" si="1150"/>
        <v>0,75-5 MW, Bonusregel E2c</v>
      </c>
      <c r="AY3159" t="str">
        <f t="shared" si="1151"/>
        <v/>
      </c>
    </row>
    <row r="3160" spans="1:51" x14ac:dyDescent="0.35">
      <c r="A3160" s="500" t="str">
        <f t="shared" si="1153"/>
        <v>BiK273G1----12</v>
      </c>
      <c r="B3160" s="225" t="s">
        <v>5547</v>
      </c>
      <c r="C3160" s="225" t="str">
        <f t="shared" si="1131"/>
        <v>Inbetriebnahme 2012</v>
      </c>
      <c r="D3160" s="225" t="str">
        <f t="shared" si="1132"/>
        <v>0,75-5 MW, Bonusregel G1</v>
      </c>
      <c r="E3160" s="225"/>
      <c r="F3160" s="382">
        <f t="shared" si="1133"/>
        <v>14</v>
      </c>
      <c r="G3160" s="438">
        <v>14</v>
      </c>
      <c r="H3160" s="405">
        <f t="shared" si="1134"/>
        <v>11.2</v>
      </c>
      <c r="I3160" s="584"/>
      <c r="J3160" s="549" t="s">
        <v>5804</v>
      </c>
      <c r="K3160" s="11"/>
      <c r="L3160" s="55" t="str">
        <f t="shared" si="1135"/>
        <v/>
      </c>
      <c r="M3160" s="37">
        <f t="shared" si="1136"/>
        <v>14</v>
      </c>
      <c r="N3160" s="29">
        <f t="shared" si="1152"/>
        <v>11</v>
      </c>
      <c r="O3160" s="154"/>
      <c r="P3160" s="50"/>
      <c r="Q3160" s="22"/>
      <c r="R3160" s="22"/>
      <c r="S3160" s="179"/>
      <c r="T3160" s="50"/>
      <c r="U3160" s="22"/>
      <c r="V3160" s="179" t="s">
        <v>1017</v>
      </c>
      <c r="W3160" s="22"/>
      <c r="X3160" s="38"/>
      <c r="AH3160" s="202" t="s">
        <v>1777</v>
      </c>
      <c r="AK3160" t="str">
        <f t="shared" si="1137"/>
        <v/>
      </c>
      <c r="AL3160" t="str">
        <f t="shared" si="1138"/>
        <v/>
      </c>
      <c r="AM3160" t="str">
        <f t="shared" si="1139"/>
        <v/>
      </c>
      <c r="AN3160" t="str">
        <f t="shared" si="1140"/>
        <v/>
      </c>
      <c r="AO3160" t="str">
        <f t="shared" si="1141"/>
        <v/>
      </c>
      <c r="AP3160" t="str">
        <f t="shared" si="1142"/>
        <v/>
      </c>
      <c r="AQ3160" t="str">
        <f t="shared" si="1143"/>
        <v/>
      </c>
      <c r="AR3160" t="str">
        <f t="shared" si="1144"/>
        <v>G1</v>
      </c>
      <c r="AS3160" t="str">
        <f t="shared" si="1145"/>
        <v/>
      </c>
      <c r="AT3160" t="str">
        <f t="shared" si="1146"/>
        <v/>
      </c>
      <c r="AU3160" t="str">
        <f t="shared" si="1147"/>
        <v>G1</v>
      </c>
      <c r="AV3160" s="203" t="str">
        <f t="shared" si="1154"/>
        <v>BiK273G1----12</v>
      </c>
      <c r="AW3160">
        <f t="shared" si="1149"/>
        <v>14</v>
      </c>
      <c r="AX3160" t="str">
        <f t="shared" si="1150"/>
        <v>0,75-5 MW, Bonusregel G1</v>
      </c>
      <c r="AY3160" t="str">
        <f t="shared" si="1151"/>
        <v/>
      </c>
    </row>
    <row r="3161" spans="1:51" x14ac:dyDescent="0.35">
      <c r="A3161" s="500" t="str">
        <f t="shared" si="1153"/>
        <v>BiK273E1cG1-12</v>
      </c>
      <c r="B3161" s="225" t="s">
        <v>5547</v>
      </c>
      <c r="C3161" s="225" t="str">
        <f t="shared" si="1131"/>
        <v>Inbetriebnahme 2012</v>
      </c>
      <c r="D3161" s="225" t="str">
        <f t="shared" si="1132"/>
        <v>0,75-5 MW, Bonusregeln E1c, G1</v>
      </c>
      <c r="E3161" s="225"/>
      <c r="F3161" s="382">
        <f t="shared" si="1133"/>
        <v>18</v>
      </c>
      <c r="G3161" s="438">
        <v>18</v>
      </c>
      <c r="H3161" s="405">
        <f t="shared" si="1134"/>
        <v>14.4</v>
      </c>
      <c r="I3161" s="584"/>
      <c r="J3161" s="549" t="s">
        <v>5804</v>
      </c>
      <c r="K3161" s="11"/>
      <c r="L3161" s="55" t="str">
        <f t="shared" si="1135"/>
        <v/>
      </c>
      <c r="M3161" s="37">
        <f t="shared" si="1136"/>
        <v>18</v>
      </c>
      <c r="N3161" s="29">
        <f t="shared" si="1152"/>
        <v>11</v>
      </c>
      <c r="O3161" s="154"/>
      <c r="P3161" s="50"/>
      <c r="Q3161" s="202" t="s">
        <v>1017</v>
      </c>
      <c r="R3161" s="22"/>
      <c r="S3161" s="179"/>
      <c r="T3161" s="50"/>
      <c r="U3161" s="22"/>
      <c r="V3161" s="179" t="s">
        <v>1017</v>
      </c>
      <c r="W3161" s="22"/>
      <c r="X3161" s="38"/>
      <c r="AH3161" s="202" t="s">
        <v>1777</v>
      </c>
      <c r="AK3161" t="str">
        <f t="shared" si="1137"/>
        <v/>
      </c>
      <c r="AL3161" t="str">
        <f t="shared" si="1138"/>
        <v/>
      </c>
      <c r="AM3161" t="str">
        <f t="shared" si="1139"/>
        <v>E1c</v>
      </c>
      <c r="AN3161" t="str">
        <f t="shared" si="1140"/>
        <v/>
      </c>
      <c r="AO3161" t="str">
        <f t="shared" si="1141"/>
        <v/>
      </c>
      <c r="AP3161" t="str">
        <f t="shared" si="1142"/>
        <v/>
      </c>
      <c r="AQ3161" t="str">
        <f t="shared" si="1143"/>
        <v/>
      </c>
      <c r="AR3161" t="str">
        <f t="shared" si="1144"/>
        <v>G1</v>
      </c>
      <c r="AS3161" t="str">
        <f t="shared" si="1145"/>
        <v/>
      </c>
      <c r="AT3161" t="str">
        <f t="shared" si="1146"/>
        <v/>
      </c>
      <c r="AU3161" t="str">
        <f t="shared" si="1147"/>
        <v>E1cG1</v>
      </c>
      <c r="AV3161" s="203" t="str">
        <f t="shared" si="1154"/>
        <v>BiK273E1cG1-12</v>
      </c>
      <c r="AW3161">
        <f t="shared" si="1149"/>
        <v>14</v>
      </c>
      <c r="AX3161" t="str">
        <f t="shared" si="1150"/>
        <v>0,75-5 MW, Bonusregeln E1c, G1</v>
      </c>
      <c r="AY3161" t="str">
        <f t="shared" si="1151"/>
        <v/>
      </c>
    </row>
    <row r="3162" spans="1:51" x14ac:dyDescent="0.35">
      <c r="A3162" s="500" t="str">
        <f t="shared" si="1153"/>
        <v>BiK273E1dG1-12</v>
      </c>
      <c r="B3162" s="225" t="s">
        <v>5547</v>
      </c>
      <c r="C3162" s="225" t="str">
        <f t="shared" si="1131"/>
        <v>Inbetriebnahme 2012</v>
      </c>
      <c r="D3162" s="225" t="str">
        <f t="shared" si="1132"/>
        <v>0,75-5 MW, Bonusregeln E1d, G1</v>
      </c>
      <c r="E3162" s="225"/>
      <c r="F3162" s="382">
        <f t="shared" si="1133"/>
        <v>16.5</v>
      </c>
      <c r="G3162" s="438">
        <v>16.5</v>
      </c>
      <c r="H3162" s="405">
        <f t="shared" si="1134"/>
        <v>13.2</v>
      </c>
      <c r="I3162" s="584"/>
      <c r="J3162" s="549" t="s">
        <v>5804</v>
      </c>
      <c r="K3162" s="11"/>
      <c r="L3162" s="55" t="str">
        <f t="shared" si="1135"/>
        <v/>
      </c>
      <c r="M3162" s="37">
        <f t="shared" si="1136"/>
        <v>16.5</v>
      </c>
      <c r="N3162" s="29">
        <f t="shared" si="1152"/>
        <v>11</v>
      </c>
      <c r="O3162" s="154"/>
      <c r="P3162" s="50"/>
      <c r="Q3162" s="22"/>
      <c r="R3162" s="202" t="s">
        <v>1017</v>
      </c>
      <c r="S3162" s="179"/>
      <c r="T3162" s="50"/>
      <c r="U3162" s="22"/>
      <c r="V3162" s="179" t="s">
        <v>1017</v>
      </c>
      <c r="W3162" s="22"/>
      <c r="X3162" s="38"/>
      <c r="AH3162" s="202" t="s">
        <v>1777</v>
      </c>
      <c r="AK3162" t="str">
        <f t="shared" si="1137"/>
        <v/>
      </c>
      <c r="AL3162" t="str">
        <f t="shared" si="1138"/>
        <v/>
      </c>
      <c r="AM3162" t="str">
        <f t="shared" si="1139"/>
        <v/>
      </c>
      <c r="AN3162" t="str">
        <f t="shared" si="1140"/>
        <v>E1d</v>
      </c>
      <c r="AO3162" t="str">
        <f t="shared" si="1141"/>
        <v/>
      </c>
      <c r="AP3162" t="str">
        <f t="shared" si="1142"/>
        <v/>
      </c>
      <c r="AQ3162" t="str">
        <f t="shared" si="1143"/>
        <v/>
      </c>
      <c r="AR3162" t="str">
        <f t="shared" si="1144"/>
        <v>G1</v>
      </c>
      <c r="AS3162" t="str">
        <f t="shared" si="1145"/>
        <v/>
      </c>
      <c r="AT3162" t="str">
        <f t="shared" si="1146"/>
        <v/>
      </c>
      <c r="AU3162" t="str">
        <f t="shared" si="1147"/>
        <v>E1dG1</v>
      </c>
      <c r="AV3162" s="203" t="str">
        <f t="shared" si="1154"/>
        <v>BiK273E1dG1-12</v>
      </c>
      <c r="AW3162">
        <f t="shared" si="1149"/>
        <v>14</v>
      </c>
      <c r="AX3162" t="str">
        <f t="shared" si="1150"/>
        <v>0,75-5 MW, Bonusregeln E1d, G1</v>
      </c>
      <c r="AY3162" t="str">
        <f t="shared" si="1151"/>
        <v/>
      </c>
    </row>
    <row r="3163" spans="1:51" x14ac:dyDescent="0.35">
      <c r="A3163" s="500" t="str">
        <f t="shared" si="1153"/>
        <v>BiK273E2aG1-12</v>
      </c>
      <c r="B3163" s="225" t="s">
        <v>5547</v>
      </c>
      <c r="C3163" s="225" t="str">
        <f t="shared" si="1131"/>
        <v>Inbetriebnahme 2012</v>
      </c>
      <c r="D3163" s="225" t="str">
        <f t="shared" si="1132"/>
        <v>0,75-5 MW, Bonusregeln E2a, G1</v>
      </c>
      <c r="E3163" s="225"/>
      <c r="F3163" s="382">
        <f t="shared" si="1133"/>
        <v>22</v>
      </c>
      <c r="G3163" s="438">
        <v>22</v>
      </c>
      <c r="H3163" s="405">
        <f t="shared" si="1134"/>
        <v>17.600000000000001</v>
      </c>
      <c r="I3163" s="584"/>
      <c r="J3163" s="549" t="s">
        <v>5804</v>
      </c>
      <c r="K3163" s="11"/>
      <c r="L3163" s="55" t="str">
        <f t="shared" si="1135"/>
        <v/>
      </c>
      <c r="M3163" s="37">
        <f t="shared" si="1136"/>
        <v>22</v>
      </c>
      <c r="N3163" s="29">
        <f t="shared" si="1152"/>
        <v>11</v>
      </c>
      <c r="O3163" s="154"/>
      <c r="P3163" s="50"/>
      <c r="Q3163" s="22"/>
      <c r="R3163" s="22"/>
      <c r="S3163" s="179" t="s">
        <v>1017</v>
      </c>
      <c r="T3163" s="50"/>
      <c r="U3163" s="22"/>
      <c r="V3163" s="179" t="s">
        <v>1017</v>
      </c>
      <c r="W3163" s="22"/>
      <c r="X3163" s="38"/>
      <c r="AH3163" s="202" t="s">
        <v>1777</v>
      </c>
      <c r="AK3163" t="str">
        <f t="shared" si="1137"/>
        <v/>
      </c>
      <c r="AL3163" t="str">
        <f t="shared" si="1138"/>
        <v/>
      </c>
      <c r="AM3163" t="str">
        <f t="shared" si="1139"/>
        <v/>
      </c>
      <c r="AN3163" t="str">
        <f t="shared" si="1140"/>
        <v/>
      </c>
      <c r="AO3163" t="str">
        <f t="shared" si="1141"/>
        <v>E2a</v>
      </c>
      <c r="AP3163" t="str">
        <f t="shared" si="1142"/>
        <v/>
      </c>
      <c r="AQ3163" t="str">
        <f t="shared" si="1143"/>
        <v/>
      </c>
      <c r="AR3163" t="str">
        <f t="shared" si="1144"/>
        <v>G1</v>
      </c>
      <c r="AS3163" t="str">
        <f t="shared" si="1145"/>
        <v/>
      </c>
      <c r="AT3163" t="str">
        <f t="shared" si="1146"/>
        <v/>
      </c>
      <c r="AU3163" t="str">
        <f t="shared" si="1147"/>
        <v>E2aG1</v>
      </c>
      <c r="AV3163" s="203" t="str">
        <f t="shared" si="1154"/>
        <v>BiK273E2aG1-12</v>
      </c>
      <c r="AW3163">
        <f t="shared" si="1149"/>
        <v>14</v>
      </c>
      <c r="AX3163" t="str">
        <f t="shared" si="1150"/>
        <v>0,75-5 MW, Bonusregeln E2a, G1</v>
      </c>
      <c r="AY3163" t="str">
        <f t="shared" si="1151"/>
        <v/>
      </c>
    </row>
    <row r="3164" spans="1:51" x14ac:dyDescent="0.35">
      <c r="A3164" s="500" t="str">
        <f t="shared" si="1153"/>
        <v>BiK273E2cG1-12</v>
      </c>
      <c r="B3164" s="225" t="s">
        <v>5547</v>
      </c>
      <c r="C3164" s="225" t="str">
        <f t="shared" si="1131"/>
        <v>Inbetriebnahme 2012</v>
      </c>
      <c r="D3164" s="225" t="str">
        <f t="shared" si="1132"/>
        <v>0,75-5 MW, Bonusregeln E2c, G1</v>
      </c>
      <c r="E3164" s="225"/>
      <c r="F3164" s="382">
        <f t="shared" si="1133"/>
        <v>20</v>
      </c>
      <c r="G3164" s="438">
        <v>20</v>
      </c>
      <c r="H3164" s="405">
        <f t="shared" si="1134"/>
        <v>16</v>
      </c>
      <c r="I3164" s="584"/>
      <c r="J3164" s="549" t="s">
        <v>5804</v>
      </c>
      <c r="K3164" s="11"/>
      <c r="L3164" s="55" t="str">
        <f t="shared" si="1135"/>
        <v/>
      </c>
      <c r="M3164" s="37">
        <f t="shared" si="1136"/>
        <v>20</v>
      </c>
      <c r="N3164" s="29">
        <f t="shared" si="1152"/>
        <v>11</v>
      </c>
      <c r="O3164" s="154"/>
      <c r="P3164" s="50"/>
      <c r="Q3164" s="22"/>
      <c r="R3164" s="22"/>
      <c r="S3164" s="179"/>
      <c r="T3164" s="50"/>
      <c r="U3164" s="202" t="s">
        <v>1017</v>
      </c>
      <c r="V3164" s="179" t="s">
        <v>1017</v>
      </c>
      <c r="W3164" s="22"/>
      <c r="X3164" s="38"/>
      <c r="AH3164" s="202" t="s">
        <v>1777</v>
      </c>
      <c r="AK3164" t="str">
        <f t="shared" si="1137"/>
        <v/>
      </c>
      <c r="AL3164" t="str">
        <f t="shared" si="1138"/>
        <v/>
      </c>
      <c r="AM3164" t="str">
        <f t="shared" si="1139"/>
        <v/>
      </c>
      <c r="AN3164" t="str">
        <f t="shared" si="1140"/>
        <v/>
      </c>
      <c r="AO3164" t="str">
        <f t="shared" si="1141"/>
        <v/>
      </c>
      <c r="AP3164" t="str">
        <f t="shared" si="1142"/>
        <v/>
      </c>
      <c r="AQ3164" t="str">
        <f t="shared" si="1143"/>
        <v>E2c</v>
      </c>
      <c r="AR3164" t="str">
        <f t="shared" si="1144"/>
        <v>G1</v>
      </c>
      <c r="AS3164" t="str">
        <f t="shared" si="1145"/>
        <v/>
      </c>
      <c r="AT3164" t="str">
        <f t="shared" si="1146"/>
        <v/>
      </c>
      <c r="AU3164" t="str">
        <f t="shared" si="1147"/>
        <v>E2cG1</v>
      </c>
      <c r="AV3164" s="203" t="str">
        <f t="shared" si="1154"/>
        <v>BiK273E2cG1-12</v>
      </c>
      <c r="AW3164">
        <f t="shared" si="1149"/>
        <v>14</v>
      </c>
      <c r="AX3164" t="str">
        <f t="shared" si="1150"/>
        <v>0,75-5 MW, Bonusregeln E2c, G1</v>
      </c>
      <c r="AY3164" t="str">
        <f t="shared" si="1151"/>
        <v/>
      </c>
    </row>
    <row r="3165" spans="1:51" x14ac:dyDescent="0.35">
      <c r="A3165" s="500" t="str">
        <f t="shared" si="1153"/>
        <v>BiK273G2----12</v>
      </c>
      <c r="B3165" s="225" t="s">
        <v>5547</v>
      </c>
      <c r="C3165" s="225" t="str">
        <f t="shared" si="1131"/>
        <v>Inbetriebnahme 2012</v>
      </c>
      <c r="D3165" s="225" t="str">
        <f t="shared" si="1132"/>
        <v>0,75-5 MW, Bonusregel G2</v>
      </c>
      <c r="E3165" s="225"/>
      <c r="F3165" s="382">
        <f t="shared" si="1133"/>
        <v>13</v>
      </c>
      <c r="G3165" s="438">
        <v>13</v>
      </c>
      <c r="H3165" s="405">
        <f t="shared" si="1134"/>
        <v>10.4</v>
      </c>
      <c r="I3165" s="584"/>
      <c r="J3165" s="549" t="s">
        <v>5804</v>
      </c>
      <c r="K3165" s="11"/>
      <c r="L3165" s="55" t="str">
        <f t="shared" si="1135"/>
        <v/>
      </c>
      <c r="M3165" s="37">
        <f t="shared" si="1136"/>
        <v>13</v>
      </c>
      <c r="N3165" s="29">
        <f t="shared" si="1152"/>
        <v>11</v>
      </c>
      <c r="O3165" s="154"/>
      <c r="P3165" s="50"/>
      <c r="Q3165" s="22"/>
      <c r="R3165" s="22"/>
      <c r="S3165" s="179"/>
      <c r="T3165" s="50"/>
      <c r="U3165" s="22"/>
      <c r="V3165" s="179"/>
      <c r="W3165" s="202" t="s">
        <v>1017</v>
      </c>
      <c r="X3165" s="38"/>
      <c r="AH3165" s="202" t="s">
        <v>1777</v>
      </c>
      <c r="AK3165" t="str">
        <f t="shared" si="1137"/>
        <v/>
      </c>
      <c r="AL3165" t="str">
        <f t="shared" si="1138"/>
        <v/>
      </c>
      <c r="AM3165" t="str">
        <f t="shared" si="1139"/>
        <v/>
      </c>
      <c r="AN3165" t="str">
        <f t="shared" si="1140"/>
        <v/>
      </c>
      <c r="AO3165" t="str">
        <f t="shared" si="1141"/>
        <v/>
      </c>
      <c r="AP3165" t="str">
        <f t="shared" si="1142"/>
        <v/>
      </c>
      <c r="AQ3165" t="str">
        <f t="shared" si="1143"/>
        <v/>
      </c>
      <c r="AR3165" t="str">
        <f t="shared" si="1144"/>
        <v/>
      </c>
      <c r="AS3165" t="str">
        <f t="shared" si="1145"/>
        <v>G2</v>
      </c>
      <c r="AT3165" t="str">
        <f t="shared" si="1146"/>
        <v/>
      </c>
      <c r="AU3165" t="str">
        <f t="shared" si="1147"/>
        <v>G2</v>
      </c>
      <c r="AV3165" s="203" t="str">
        <f t="shared" si="1154"/>
        <v>BiK273G2----12</v>
      </c>
      <c r="AW3165">
        <f t="shared" si="1149"/>
        <v>14</v>
      </c>
      <c r="AX3165" t="str">
        <f t="shared" si="1150"/>
        <v>0,75-5 MW, Bonusregel G2</v>
      </c>
      <c r="AY3165" t="str">
        <f t="shared" si="1151"/>
        <v/>
      </c>
    </row>
    <row r="3166" spans="1:51" x14ac:dyDescent="0.35">
      <c r="A3166" s="500" t="str">
        <f t="shared" si="1153"/>
        <v>BiK273E1cG2-12</v>
      </c>
      <c r="B3166" s="225" t="s">
        <v>5547</v>
      </c>
      <c r="C3166" s="225" t="str">
        <f t="shared" si="1131"/>
        <v>Inbetriebnahme 2012</v>
      </c>
      <c r="D3166" s="225" t="str">
        <f t="shared" si="1132"/>
        <v>0,75-5 MW, Bonusregeln E1c, G2</v>
      </c>
      <c r="E3166" s="225"/>
      <c r="F3166" s="382">
        <f t="shared" si="1133"/>
        <v>17</v>
      </c>
      <c r="G3166" s="438">
        <v>17</v>
      </c>
      <c r="H3166" s="405">
        <f t="shared" si="1134"/>
        <v>13.6</v>
      </c>
      <c r="I3166" s="584"/>
      <c r="J3166" s="549" t="s">
        <v>5804</v>
      </c>
      <c r="K3166" s="11"/>
      <c r="L3166" s="55" t="str">
        <f t="shared" si="1135"/>
        <v/>
      </c>
      <c r="M3166" s="37">
        <f t="shared" si="1136"/>
        <v>17</v>
      </c>
      <c r="N3166" s="29">
        <f t="shared" si="1152"/>
        <v>11</v>
      </c>
      <c r="O3166" s="154"/>
      <c r="P3166" s="50"/>
      <c r="Q3166" s="202" t="s">
        <v>1017</v>
      </c>
      <c r="R3166" s="22"/>
      <c r="S3166" s="179"/>
      <c r="T3166" s="50"/>
      <c r="U3166" s="22"/>
      <c r="V3166" s="179"/>
      <c r="W3166" s="202" t="s">
        <v>1017</v>
      </c>
      <c r="X3166" s="38"/>
      <c r="AH3166" s="202" t="s">
        <v>1777</v>
      </c>
      <c r="AK3166" t="str">
        <f t="shared" si="1137"/>
        <v/>
      </c>
      <c r="AL3166" t="str">
        <f t="shared" si="1138"/>
        <v/>
      </c>
      <c r="AM3166" t="str">
        <f t="shared" si="1139"/>
        <v>E1c</v>
      </c>
      <c r="AN3166" t="str">
        <f t="shared" si="1140"/>
        <v/>
      </c>
      <c r="AO3166" t="str">
        <f t="shared" si="1141"/>
        <v/>
      </c>
      <c r="AP3166" t="str">
        <f t="shared" si="1142"/>
        <v/>
      </c>
      <c r="AQ3166" t="str">
        <f t="shared" si="1143"/>
        <v/>
      </c>
      <c r="AR3166" t="str">
        <f t="shared" si="1144"/>
        <v/>
      </c>
      <c r="AS3166" t="str">
        <f t="shared" si="1145"/>
        <v>G2</v>
      </c>
      <c r="AT3166" t="str">
        <f t="shared" si="1146"/>
        <v/>
      </c>
      <c r="AU3166" t="str">
        <f t="shared" si="1147"/>
        <v>E1cG2</v>
      </c>
      <c r="AV3166" s="203" t="str">
        <f t="shared" si="1154"/>
        <v>BiK273E1cG2-12</v>
      </c>
      <c r="AW3166">
        <f t="shared" si="1149"/>
        <v>14</v>
      </c>
      <c r="AX3166" t="str">
        <f t="shared" si="1150"/>
        <v>0,75-5 MW, Bonusregeln E1c, G2</v>
      </c>
      <c r="AY3166" t="str">
        <f t="shared" si="1151"/>
        <v/>
      </c>
    </row>
    <row r="3167" spans="1:51" x14ac:dyDescent="0.35">
      <c r="A3167" s="500" t="str">
        <f t="shared" si="1153"/>
        <v>BiK273E1dG2-12</v>
      </c>
      <c r="B3167" s="225" t="s">
        <v>5547</v>
      </c>
      <c r="C3167" s="225" t="str">
        <f t="shared" ref="C3167:C3175" si="1155">"Inbetriebnahme "&amp;$M$3099</f>
        <v>Inbetriebnahme 2012</v>
      </c>
      <c r="D3167" s="225" t="str">
        <f t="shared" ref="D3167:D3175" si="1156">IF(COUNTA(O3167:X3167)=0,AH3167,AH3167&amp;", Bonusregel"&amp;IF(AND(COUNTA(O3167:U3167)&gt;0,COUNTA(V3167:X3167)&gt;0),"n "&amp;AK3167&amp;AL3167&amp;AM3167&amp;AN3167&amp;AO3167&amp;AP3167&amp;AQ3167&amp;", "&amp;AR3167&amp;AS3167&amp;AT3167," "&amp;AK3167&amp;AL3167&amp;AM3167&amp;AN3167&amp;AO3167&amp;AP3167&amp;AQ3167&amp;AR3167&amp;AS3167&amp;AT3167))</f>
        <v>0,75-5 MW, Bonusregeln E1d, G2</v>
      </c>
      <c r="E3167" s="225"/>
      <c r="F3167" s="382">
        <f t="shared" ref="F3167:F3175" si="1157">M3167</f>
        <v>15.5</v>
      </c>
      <c r="G3167" s="438">
        <v>15.5</v>
      </c>
      <c r="H3167" s="405">
        <f t="shared" ref="H3167:H3175" si="1158">IF(ISNUMBER(G3167),ROUND(0.8*G3167,2),"")</f>
        <v>12.4</v>
      </c>
      <c r="I3167" s="584"/>
      <c r="J3167" s="549" t="s">
        <v>5804</v>
      </c>
      <c r="K3167" s="11"/>
      <c r="L3167" s="55" t="str">
        <f t="shared" ref="L3167:L3175" si="1159">IF(F3167=M3167,"",FALSE)</f>
        <v/>
      </c>
      <c r="M3167" s="37">
        <f t="shared" ref="M3167:M3175" si="1160">N3167+SUMIF(O3167:X3167,"x",$O$3102:$X$3102)</f>
        <v>15.5</v>
      </c>
      <c r="N3167" s="29">
        <f t="shared" si="1152"/>
        <v>11</v>
      </c>
      <c r="O3167" s="154"/>
      <c r="P3167" s="50"/>
      <c r="Q3167" s="22"/>
      <c r="R3167" s="202" t="s">
        <v>1017</v>
      </c>
      <c r="S3167" s="179"/>
      <c r="T3167" s="50"/>
      <c r="U3167" s="22"/>
      <c r="V3167" s="179"/>
      <c r="W3167" s="202" t="s">
        <v>1017</v>
      </c>
      <c r="X3167" s="38"/>
      <c r="AH3167" s="202" t="s">
        <v>1777</v>
      </c>
      <c r="AK3167" t="str">
        <f t="shared" ref="AK3167:AK3175" si="1161">IF(O3167="x",O$3101,"")</f>
        <v/>
      </c>
      <c r="AL3167" t="str">
        <f t="shared" ref="AL3167:AL3175" si="1162">IF(P3167="x",P$3101,"")</f>
        <v/>
      </c>
      <c r="AM3167" t="str">
        <f t="shared" ref="AM3167:AM3175" si="1163">IF(Q3167="x",Q$3101,"")</f>
        <v/>
      </c>
      <c r="AN3167" t="str">
        <f t="shared" ref="AN3167:AN3175" si="1164">IF(R3167="x",R$3101,"")</f>
        <v>E1d</v>
      </c>
      <c r="AO3167" t="str">
        <f t="shared" ref="AO3167:AO3175" si="1165">IF(S3167="x",S$3101,"")</f>
        <v/>
      </c>
      <c r="AP3167" t="str">
        <f t="shared" ref="AP3167:AP3175" si="1166">IF(T3167="x",T$3101,"")</f>
        <v/>
      </c>
      <c r="AQ3167" t="str">
        <f t="shared" ref="AQ3167:AQ3175" si="1167">IF(U3167="x",U$3101,"")</f>
        <v/>
      </c>
      <c r="AR3167" t="str">
        <f t="shared" ref="AR3167:AR3175" si="1168">IF(V3167="x",V$3101,"")</f>
        <v/>
      </c>
      <c r="AS3167" t="str">
        <f t="shared" ref="AS3167:AS3175" si="1169">IF(W3167="x",W$3101,"")</f>
        <v>G2</v>
      </c>
      <c r="AT3167" t="str">
        <f t="shared" ref="AT3167:AT3175" si="1170">IF(X3167="x",X$3101,"")</f>
        <v/>
      </c>
      <c r="AU3167" t="str">
        <f t="shared" ref="AU3167:AU3175" si="1171">AK3167&amp;AL3167&amp;AM3167&amp;AN3167&amp;AO3167&amp;AP3167&amp;AQ3167&amp;AR3167&amp;AS3167&amp;AT3167</f>
        <v>E1dG2</v>
      </c>
      <c r="AV3167" s="203" t="str">
        <f t="shared" si="1154"/>
        <v>BiK273E1dG2-12</v>
      </c>
      <c r="AW3167">
        <f t="shared" ref="AW3167:AW3175" si="1172">LEN(AV3167)</f>
        <v>14</v>
      </c>
      <c r="AX3167" t="str">
        <f t="shared" ref="AX3167:AX3175" si="1173">IF(COUNTA(O3167:X3167)=0,AH3167,AH3167&amp;", Bonusregel"&amp;IF(AND(COUNTA(O3167:U3167)&gt;0,COUNTA(V3167:X3167)&gt;0),"n "&amp;AK3167&amp;AL3167&amp;AM3167&amp;AN3167&amp;AO3167&amp;AP3167&amp;AQ3167&amp;", "&amp;AR3167&amp;AS3167&amp;AT3167," "&amp;AK3167&amp;AL3167&amp;AM3167&amp;AN3167&amp;AO3167&amp;AP3167&amp;AQ3167&amp;AR3167&amp;AS3167&amp;AT3167))</f>
        <v>0,75-5 MW, Bonusregeln E1d, G2</v>
      </c>
      <c r="AY3167" t="str">
        <f t="shared" ref="AY3167:AY3175" si="1174">IF(COUNTA(O3167:U3167)&gt;1,"Fehler ESVK",IF(COUNTA(V3167:X3167)&gt;1,"Fehler GAB",IF(AW3167&lt;&gt;14,"Fehler Kategorie","")))</f>
        <v/>
      </c>
    </row>
    <row r="3168" spans="1:51" x14ac:dyDescent="0.35">
      <c r="A3168" s="500" t="str">
        <f t="shared" si="1153"/>
        <v>BiK273E2aG2-12</v>
      </c>
      <c r="B3168" s="225" t="s">
        <v>5547</v>
      </c>
      <c r="C3168" s="225" t="str">
        <f t="shared" si="1155"/>
        <v>Inbetriebnahme 2012</v>
      </c>
      <c r="D3168" s="225" t="str">
        <f t="shared" si="1156"/>
        <v>0,75-5 MW, Bonusregeln E2a, G2</v>
      </c>
      <c r="E3168" s="225"/>
      <c r="F3168" s="382">
        <f t="shared" si="1157"/>
        <v>21</v>
      </c>
      <c r="G3168" s="438">
        <v>21</v>
      </c>
      <c r="H3168" s="405">
        <f t="shared" si="1158"/>
        <v>16.8</v>
      </c>
      <c r="I3168" s="584"/>
      <c r="J3168" s="549" t="s">
        <v>5804</v>
      </c>
      <c r="K3168" s="11"/>
      <c r="L3168" s="55" t="str">
        <f t="shared" si="1159"/>
        <v/>
      </c>
      <c r="M3168" s="37">
        <f t="shared" si="1160"/>
        <v>21</v>
      </c>
      <c r="N3168" s="29">
        <f t="shared" si="1152"/>
        <v>11</v>
      </c>
      <c r="O3168" s="154"/>
      <c r="P3168" s="50"/>
      <c r="Q3168" s="22"/>
      <c r="R3168" s="22"/>
      <c r="S3168" s="179" t="s">
        <v>1017</v>
      </c>
      <c r="T3168" s="50"/>
      <c r="U3168" s="22"/>
      <c r="V3168" s="179"/>
      <c r="W3168" s="202" t="s">
        <v>1017</v>
      </c>
      <c r="X3168" s="38"/>
      <c r="AH3168" s="202" t="s">
        <v>1777</v>
      </c>
      <c r="AK3168" t="str">
        <f t="shared" si="1161"/>
        <v/>
      </c>
      <c r="AL3168" t="str">
        <f t="shared" si="1162"/>
        <v/>
      </c>
      <c r="AM3168" t="str">
        <f t="shared" si="1163"/>
        <v/>
      </c>
      <c r="AN3168" t="str">
        <f t="shared" si="1164"/>
        <v/>
      </c>
      <c r="AO3168" t="str">
        <f t="shared" si="1165"/>
        <v>E2a</v>
      </c>
      <c r="AP3168" t="str">
        <f t="shared" si="1166"/>
        <v/>
      </c>
      <c r="AQ3168" t="str">
        <f t="shared" si="1167"/>
        <v/>
      </c>
      <c r="AR3168" t="str">
        <f t="shared" si="1168"/>
        <v/>
      </c>
      <c r="AS3168" t="str">
        <f t="shared" si="1169"/>
        <v>G2</v>
      </c>
      <c r="AT3168" t="str">
        <f t="shared" si="1170"/>
        <v/>
      </c>
      <c r="AU3168" t="str">
        <f t="shared" si="1171"/>
        <v>E2aG2</v>
      </c>
      <c r="AV3168" s="203" t="str">
        <f t="shared" si="1154"/>
        <v>BiK273E2aG2-12</v>
      </c>
      <c r="AW3168">
        <f t="shared" si="1172"/>
        <v>14</v>
      </c>
      <c r="AX3168" t="str">
        <f t="shared" si="1173"/>
        <v>0,75-5 MW, Bonusregeln E2a, G2</v>
      </c>
      <c r="AY3168" t="str">
        <f t="shared" si="1174"/>
        <v/>
      </c>
    </row>
    <row r="3169" spans="1:52" x14ac:dyDescent="0.35">
      <c r="A3169" s="500" t="str">
        <f t="shared" si="1153"/>
        <v>BiK273E2cG2-12</v>
      </c>
      <c r="B3169" s="225" t="s">
        <v>5547</v>
      </c>
      <c r="C3169" s="225" t="str">
        <f t="shared" si="1155"/>
        <v>Inbetriebnahme 2012</v>
      </c>
      <c r="D3169" s="225" t="str">
        <f t="shared" si="1156"/>
        <v>0,75-5 MW, Bonusregeln E2c, G2</v>
      </c>
      <c r="E3169" s="225"/>
      <c r="F3169" s="382">
        <f t="shared" si="1157"/>
        <v>19</v>
      </c>
      <c r="G3169" s="438">
        <v>19</v>
      </c>
      <c r="H3169" s="405">
        <f t="shared" si="1158"/>
        <v>15.2</v>
      </c>
      <c r="I3169" s="584"/>
      <c r="J3169" s="549" t="s">
        <v>5804</v>
      </c>
      <c r="K3169" s="11"/>
      <c r="L3169" s="55" t="str">
        <f t="shared" si="1159"/>
        <v/>
      </c>
      <c r="M3169" s="37">
        <f t="shared" si="1160"/>
        <v>19</v>
      </c>
      <c r="N3169" s="29">
        <f t="shared" si="1152"/>
        <v>11</v>
      </c>
      <c r="O3169" s="154"/>
      <c r="P3169" s="50"/>
      <c r="Q3169" s="22"/>
      <c r="R3169" s="22"/>
      <c r="S3169" s="179"/>
      <c r="T3169" s="50"/>
      <c r="U3169" s="202" t="s">
        <v>1017</v>
      </c>
      <c r="V3169" s="179"/>
      <c r="W3169" s="202" t="s">
        <v>1017</v>
      </c>
      <c r="X3169" s="38"/>
      <c r="AH3169" s="202" t="s">
        <v>1777</v>
      </c>
      <c r="AK3169" t="str">
        <f t="shared" si="1161"/>
        <v/>
      </c>
      <c r="AL3169" t="str">
        <f t="shared" si="1162"/>
        <v/>
      </c>
      <c r="AM3169" t="str">
        <f t="shared" si="1163"/>
        <v/>
      </c>
      <c r="AN3169" t="str">
        <f t="shared" si="1164"/>
        <v/>
      </c>
      <c r="AO3169" t="str">
        <f t="shared" si="1165"/>
        <v/>
      </c>
      <c r="AP3169" t="str">
        <f t="shared" si="1166"/>
        <v/>
      </c>
      <c r="AQ3169" t="str">
        <f t="shared" si="1167"/>
        <v>E2c</v>
      </c>
      <c r="AR3169" t="str">
        <f t="shared" si="1168"/>
        <v/>
      </c>
      <c r="AS3169" t="str">
        <f t="shared" si="1169"/>
        <v>G2</v>
      </c>
      <c r="AT3169" t="str">
        <f t="shared" si="1170"/>
        <v/>
      </c>
      <c r="AU3169" t="str">
        <f t="shared" si="1171"/>
        <v>E2cG2</v>
      </c>
      <c r="AV3169" s="203" t="str">
        <f t="shared" si="1154"/>
        <v>BiK273E2cG2-12</v>
      </c>
      <c r="AW3169">
        <f t="shared" si="1172"/>
        <v>14</v>
      </c>
      <c r="AX3169" t="str">
        <f t="shared" si="1173"/>
        <v>0,75-5 MW, Bonusregeln E2c, G2</v>
      </c>
      <c r="AY3169" t="str">
        <f t="shared" si="1174"/>
        <v/>
      </c>
    </row>
    <row r="3170" spans="1:52" x14ac:dyDescent="0.35">
      <c r="A3170" s="500" t="str">
        <f t="shared" si="1153"/>
        <v>BiK273G3----12</v>
      </c>
      <c r="B3170" s="225" t="s">
        <v>5547</v>
      </c>
      <c r="C3170" s="225" t="str">
        <f t="shared" si="1155"/>
        <v>Inbetriebnahme 2012</v>
      </c>
      <c r="D3170" s="225" t="str">
        <f t="shared" si="1156"/>
        <v>0,75-5 MW, Bonusregel G3</v>
      </c>
      <c r="E3170" s="225"/>
      <c r="F3170" s="382">
        <f t="shared" si="1157"/>
        <v>12</v>
      </c>
      <c r="G3170" s="438">
        <v>12</v>
      </c>
      <c r="H3170" s="405">
        <f t="shared" si="1158"/>
        <v>9.6</v>
      </c>
      <c r="I3170" s="584"/>
      <c r="J3170" s="549" t="s">
        <v>5804</v>
      </c>
      <c r="K3170" s="11"/>
      <c r="L3170" s="55" t="str">
        <f t="shared" si="1159"/>
        <v/>
      </c>
      <c r="M3170" s="37">
        <f t="shared" si="1160"/>
        <v>12</v>
      </c>
      <c r="N3170" s="29">
        <f t="shared" si="1152"/>
        <v>11</v>
      </c>
      <c r="O3170" s="154"/>
      <c r="P3170" s="50"/>
      <c r="Q3170" s="22"/>
      <c r="R3170" s="22"/>
      <c r="S3170" s="179"/>
      <c r="T3170" s="50"/>
      <c r="U3170" s="22"/>
      <c r="V3170" s="179"/>
      <c r="W3170" s="22"/>
      <c r="X3170" s="38" t="s">
        <v>1017</v>
      </c>
      <c r="AH3170" s="202" t="s">
        <v>1777</v>
      </c>
      <c r="AK3170" t="str">
        <f t="shared" si="1161"/>
        <v/>
      </c>
      <c r="AL3170" t="str">
        <f t="shared" si="1162"/>
        <v/>
      </c>
      <c r="AM3170" t="str">
        <f t="shared" si="1163"/>
        <v/>
      </c>
      <c r="AN3170" t="str">
        <f t="shared" si="1164"/>
        <v/>
      </c>
      <c r="AO3170" t="str">
        <f t="shared" si="1165"/>
        <v/>
      </c>
      <c r="AP3170" t="str">
        <f t="shared" si="1166"/>
        <v/>
      </c>
      <c r="AQ3170" t="str">
        <f t="shared" si="1167"/>
        <v/>
      </c>
      <c r="AR3170" t="str">
        <f t="shared" si="1168"/>
        <v/>
      </c>
      <c r="AS3170" t="str">
        <f t="shared" si="1169"/>
        <v/>
      </c>
      <c r="AT3170" t="str">
        <f t="shared" si="1170"/>
        <v>G3</v>
      </c>
      <c r="AU3170" t="str">
        <f t="shared" si="1171"/>
        <v>G3</v>
      </c>
      <c r="AV3170" s="203" t="str">
        <f t="shared" si="1154"/>
        <v>BiK273G3----12</v>
      </c>
      <c r="AW3170">
        <f t="shared" si="1172"/>
        <v>14</v>
      </c>
      <c r="AX3170" t="str">
        <f t="shared" si="1173"/>
        <v>0,75-5 MW, Bonusregel G3</v>
      </c>
      <c r="AY3170" t="str">
        <f t="shared" si="1174"/>
        <v/>
      </c>
    </row>
    <row r="3171" spans="1:52" x14ac:dyDescent="0.35">
      <c r="A3171" s="500" t="str">
        <f t="shared" si="1153"/>
        <v>BiK273E1cG3-12</v>
      </c>
      <c r="B3171" s="225" t="s">
        <v>5547</v>
      </c>
      <c r="C3171" s="225" t="str">
        <f t="shared" si="1155"/>
        <v>Inbetriebnahme 2012</v>
      </c>
      <c r="D3171" s="225" t="str">
        <f t="shared" si="1156"/>
        <v>0,75-5 MW, Bonusregeln E1c, G3</v>
      </c>
      <c r="E3171" s="225"/>
      <c r="F3171" s="382">
        <f t="shared" si="1157"/>
        <v>16</v>
      </c>
      <c r="G3171" s="438">
        <v>16</v>
      </c>
      <c r="H3171" s="405">
        <f t="shared" si="1158"/>
        <v>12.8</v>
      </c>
      <c r="I3171" s="584"/>
      <c r="J3171" s="549" t="s">
        <v>5804</v>
      </c>
      <c r="K3171" s="11"/>
      <c r="L3171" s="55" t="str">
        <f t="shared" si="1159"/>
        <v/>
      </c>
      <c r="M3171" s="37">
        <f t="shared" si="1160"/>
        <v>16</v>
      </c>
      <c r="N3171" s="29">
        <f t="shared" si="1152"/>
        <v>11</v>
      </c>
      <c r="O3171" s="154"/>
      <c r="P3171" s="50"/>
      <c r="Q3171" s="202" t="s">
        <v>1017</v>
      </c>
      <c r="R3171" s="22"/>
      <c r="S3171" s="179"/>
      <c r="T3171" s="50"/>
      <c r="U3171" s="22"/>
      <c r="V3171" s="179"/>
      <c r="W3171" s="22"/>
      <c r="X3171" s="38" t="s">
        <v>1017</v>
      </c>
      <c r="AH3171" s="202" t="s">
        <v>1777</v>
      </c>
      <c r="AK3171" t="str">
        <f t="shared" si="1161"/>
        <v/>
      </c>
      <c r="AL3171" t="str">
        <f t="shared" si="1162"/>
        <v/>
      </c>
      <c r="AM3171" t="str">
        <f t="shared" si="1163"/>
        <v>E1c</v>
      </c>
      <c r="AN3171" t="str">
        <f t="shared" si="1164"/>
        <v/>
      </c>
      <c r="AO3171" t="str">
        <f t="shared" si="1165"/>
        <v/>
      </c>
      <c r="AP3171" t="str">
        <f t="shared" si="1166"/>
        <v/>
      </c>
      <c r="AQ3171" t="str">
        <f t="shared" si="1167"/>
        <v/>
      </c>
      <c r="AR3171" t="str">
        <f t="shared" si="1168"/>
        <v/>
      </c>
      <c r="AS3171" t="str">
        <f t="shared" si="1169"/>
        <v/>
      </c>
      <c r="AT3171" t="str">
        <f t="shared" si="1170"/>
        <v>G3</v>
      </c>
      <c r="AU3171" t="str">
        <f t="shared" si="1171"/>
        <v>E1cG3</v>
      </c>
      <c r="AV3171" s="203" t="str">
        <f t="shared" si="1154"/>
        <v>BiK273E1cG3-12</v>
      </c>
      <c r="AW3171">
        <f t="shared" si="1172"/>
        <v>14</v>
      </c>
      <c r="AX3171" t="str">
        <f t="shared" si="1173"/>
        <v>0,75-5 MW, Bonusregeln E1c, G3</v>
      </c>
      <c r="AY3171" t="str">
        <f t="shared" si="1174"/>
        <v/>
      </c>
    </row>
    <row r="3172" spans="1:52" x14ac:dyDescent="0.35">
      <c r="A3172" s="500" t="str">
        <f t="shared" si="1153"/>
        <v>BiK273E1dG3-12</v>
      </c>
      <c r="B3172" s="225" t="s">
        <v>5547</v>
      </c>
      <c r="C3172" s="225" t="str">
        <f t="shared" si="1155"/>
        <v>Inbetriebnahme 2012</v>
      </c>
      <c r="D3172" s="225" t="str">
        <f t="shared" si="1156"/>
        <v>0,75-5 MW, Bonusregeln E1d, G3</v>
      </c>
      <c r="E3172" s="225"/>
      <c r="F3172" s="382">
        <f t="shared" si="1157"/>
        <v>14.5</v>
      </c>
      <c r="G3172" s="438">
        <v>14.5</v>
      </c>
      <c r="H3172" s="405">
        <f t="shared" si="1158"/>
        <v>11.6</v>
      </c>
      <c r="I3172" s="584"/>
      <c r="J3172" s="549" t="s">
        <v>5804</v>
      </c>
      <c r="K3172" s="11"/>
      <c r="L3172" s="55" t="str">
        <f t="shared" si="1159"/>
        <v/>
      </c>
      <c r="M3172" s="37">
        <f t="shared" si="1160"/>
        <v>14.5</v>
      </c>
      <c r="N3172" s="29">
        <f t="shared" si="1152"/>
        <v>11</v>
      </c>
      <c r="O3172" s="154"/>
      <c r="P3172" s="50"/>
      <c r="Q3172" s="22"/>
      <c r="R3172" s="202" t="s">
        <v>1017</v>
      </c>
      <c r="S3172" s="179"/>
      <c r="T3172" s="50"/>
      <c r="U3172" s="22"/>
      <c r="V3172" s="179"/>
      <c r="W3172" s="22"/>
      <c r="X3172" s="38" t="s">
        <v>1017</v>
      </c>
      <c r="AH3172" s="202" t="s">
        <v>1777</v>
      </c>
      <c r="AK3172" t="str">
        <f t="shared" si="1161"/>
        <v/>
      </c>
      <c r="AL3172" t="str">
        <f t="shared" si="1162"/>
        <v/>
      </c>
      <c r="AM3172" t="str">
        <f t="shared" si="1163"/>
        <v/>
      </c>
      <c r="AN3172" t="str">
        <f t="shared" si="1164"/>
        <v>E1d</v>
      </c>
      <c r="AO3172" t="str">
        <f t="shared" si="1165"/>
        <v/>
      </c>
      <c r="AP3172" t="str">
        <f t="shared" si="1166"/>
        <v/>
      </c>
      <c r="AQ3172" t="str">
        <f t="shared" si="1167"/>
        <v/>
      </c>
      <c r="AR3172" t="str">
        <f t="shared" si="1168"/>
        <v/>
      </c>
      <c r="AS3172" t="str">
        <f t="shared" si="1169"/>
        <v/>
      </c>
      <c r="AT3172" t="str">
        <f t="shared" si="1170"/>
        <v>G3</v>
      </c>
      <c r="AU3172" t="str">
        <f t="shared" si="1171"/>
        <v>E1dG3</v>
      </c>
      <c r="AV3172" s="203" t="str">
        <f t="shared" si="1154"/>
        <v>BiK273E1dG3-12</v>
      </c>
      <c r="AW3172">
        <f t="shared" si="1172"/>
        <v>14</v>
      </c>
      <c r="AX3172" t="str">
        <f t="shared" si="1173"/>
        <v>0,75-5 MW, Bonusregeln E1d, G3</v>
      </c>
      <c r="AY3172" t="str">
        <f t="shared" si="1174"/>
        <v/>
      </c>
    </row>
    <row r="3173" spans="1:52" x14ac:dyDescent="0.35">
      <c r="A3173" s="500" t="str">
        <f t="shared" si="1153"/>
        <v>BiK273E2aG3-12</v>
      </c>
      <c r="B3173" s="225" t="s">
        <v>5547</v>
      </c>
      <c r="C3173" s="225" t="str">
        <f t="shared" si="1155"/>
        <v>Inbetriebnahme 2012</v>
      </c>
      <c r="D3173" s="225" t="str">
        <f t="shared" si="1156"/>
        <v>0,75-5 MW, Bonusregeln E2a, G3</v>
      </c>
      <c r="E3173" s="225"/>
      <c r="F3173" s="382">
        <f t="shared" si="1157"/>
        <v>20</v>
      </c>
      <c r="G3173" s="438">
        <v>20</v>
      </c>
      <c r="H3173" s="405">
        <f t="shared" si="1158"/>
        <v>16</v>
      </c>
      <c r="I3173" s="584"/>
      <c r="J3173" s="549" t="s">
        <v>5804</v>
      </c>
      <c r="K3173" s="11"/>
      <c r="L3173" s="55" t="str">
        <f t="shared" si="1159"/>
        <v/>
      </c>
      <c r="M3173" s="37">
        <f t="shared" si="1160"/>
        <v>20</v>
      </c>
      <c r="N3173" s="29">
        <f t="shared" si="1152"/>
        <v>11</v>
      </c>
      <c r="O3173" s="154"/>
      <c r="P3173" s="50"/>
      <c r="Q3173" s="22"/>
      <c r="R3173" s="22"/>
      <c r="S3173" s="179" t="s">
        <v>1017</v>
      </c>
      <c r="T3173" s="50"/>
      <c r="U3173" s="22"/>
      <c r="V3173" s="179"/>
      <c r="W3173" s="22"/>
      <c r="X3173" s="38" t="s">
        <v>1017</v>
      </c>
      <c r="AH3173" s="202" t="s">
        <v>1777</v>
      </c>
      <c r="AK3173" t="str">
        <f t="shared" si="1161"/>
        <v/>
      </c>
      <c r="AL3173" t="str">
        <f t="shared" si="1162"/>
        <v/>
      </c>
      <c r="AM3173" t="str">
        <f t="shared" si="1163"/>
        <v/>
      </c>
      <c r="AN3173" t="str">
        <f t="shared" si="1164"/>
        <v/>
      </c>
      <c r="AO3173" t="str">
        <f t="shared" si="1165"/>
        <v>E2a</v>
      </c>
      <c r="AP3173" t="str">
        <f t="shared" si="1166"/>
        <v/>
      </c>
      <c r="AQ3173" t="str">
        <f t="shared" si="1167"/>
        <v/>
      </c>
      <c r="AR3173" t="str">
        <f t="shared" si="1168"/>
        <v/>
      </c>
      <c r="AS3173" t="str">
        <f t="shared" si="1169"/>
        <v/>
      </c>
      <c r="AT3173" t="str">
        <f t="shared" si="1170"/>
        <v>G3</v>
      </c>
      <c r="AU3173" t="str">
        <f t="shared" si="1171"/>
        <v>E2aG3</v>
      </c>
      <c r="AV3173" s="203" t="str">
        <f t="shared" si="1154"/>
        <v>BiK273E2aG3-12</v>
      </c>
      <c r="AW3173">
        <f t="shared" si="1172"/>
        <v>14</v>
      </c>
      <c r="AX3173" t="str">
        <f t="shared" si="1173"/>
        <v>0,75-5 MW, Bonusregeln E2a, G3</v>
      </c>
      <c r="AY3173" t="str">
        <f t="shared" si="1174"/>
        <v/>
      </c>
    </row>
    <row r="3174" spans="1:52" x14ac:dyDescent="0.35">
      <c r="A3174" s="500" t="str">
        <f t="shared" si="1153"/>
        <v>BiK273E2cG3-12</v>
      </c>
      <c r="B3174" s="225" t="s">
        <v>5547</v>
      </c>
      <c r="C3174" s="225" t="str">
        <f t="shared" si="1155"/>
        <v>Inbetriebnahme 2012</v>
      </c>
      <c r="D3174" s="225" t="str">
        <f t="shared" si="1156"/>
        <v>0,75-5 MW, Bonusregeln E2c, G3</v>
      </c>
      <c r="E3174" s="225"/>
      <c r="F3174" s="382">
        <f t="shared" si="1157"/>
        <v>18</v>
      </c>
      <c r="G3174" s="438">
        <v>18</v>
      </c>
      <c r="H3174" s="405">
        <f t="shared" si="1158"/>
        <v>14.4</v>
      </c>
      <c r="I3174" s="584"/>
      <c r="J3174" s="549" t="s">
        <v>5804</v>
      </c>
      <c r="K3174" s="11"/>
      <c r="L3174" s="55" t="str">
        <f t="shared" si="1159"/>
        <v/>
      </c>
      <c r="M3174" s="37">
        <f t="shared" si="1160"/>
        <v>18</v>
      </c>
      <c r="N3174" s="29">
        <f t="shared" si="1152"/>
        <v>11</v>
      </c>
      <c r="O3174" s="154"/>
      <c r="P3174" s="50"/>
      <c r="Q3174" s="22"/>
      <c r="R3174" s="22"/>
      <c r="S3174" s="179"/>
      <c r="T3174" s="50"/>
      <c r="U3174" s="202" t="s">
        <v>1017</v>
      </c>
      <c r="V3174" s="179"/>
      <c r="W3174" s="22"/>
      <c r="X3174" s="38" t="s">
        <v>1017</v>
      </c>
      <c r="AH3174" s="202" t="s">
        <v>1777</v>
      </c>
      <c r="AK3174" t="str">
        <f t="shared" si="1161"/>
        <v/>
      </c>
      <c r="AL3174" t="str">
        <f t="shared" si="1162"/>
        <v/>
      </c>
      <c r="AM3174" t="str">
        <f t="shared" si="1163"/>
        <v/>
      </c>
      <c r="AN3174" t="str">
        <f t="shared" si="1164"/>
        <v/>
      </c>
      <c r="AO3174" t="str">
        <f t="shared" si="1165"/>
        <v/>
      </c>
      <c r="AP3174" t="str">
        <f t="shared" si="1166"/>
        <v/>
      </c>
      <c r="AQ3174" t="str">
        <f t="shared" si="1167"/>
        <v>E2c</v>
      </c>
      <c r="AR3174" t="str">
        <f t="shared" si="1168"/>
        <v/>
      </c>
      <c r="AS3174" t="str">
        <f t="shared" si="1169"/>
        <v/>
      </c>
      <c r="AT3174" t="str">
        <f t="shared" si="1170"/>
        <v>G3</v>
      </c>
      <c r="AU3174" t="str">
        <f t="shared" si="1171"/>
        <v>E2cG3</v>
      </c>
      <c r="AV3174" s="203" t="str">
        <f t="shared" si="1154"/>
        <v>BiK273E2cG3-12</v>
      </c>
      <c r="AW3174">
        <f t="shared" si="1172"/>
        <v>14</v>
      </c>
      <c r="AX3174" t="str">
        <f t="shared" si="1173"/>
        <v>0,75-5 MW, Bonusregeln E2c, G3</v>
      </c>
      <c r="AY3174" t="str">
        <f t="shared" si="1174"/>
        <v/>
      </c>
    </row>
    <row r="3175" spans="1:52" x14ac:dyDescent="0.35">
      <c r="A3175" s="500" t="str">
        <f>"BiK274"&amp;AU3175&amp;RIGHT("------",6-LEN(AU3175))&amp;RIGHT($M$3099,2)</f>
        <v>BiK274------12</v>
      </c>
      <c r="B3175" s="225" t="s">
        <v>5547</v>
      </c>
      <c r="C3175" s="225" t="str">
        <f t="shared" si="1155"/>
        <v>Inbetriebnahme 2012</v>
      </c>
      <c r="D3175" s="225" t="str">
        <f t="shared" si="1156"/>
        <v>5-20 MW</v>
      </c>
      <c r="E3175" s="225"/>
      <c r="F3175" s="382">
        <f t="shared" si="1157"/>
        <v>6</v>
      </c>
      <c r="G3175" s="438">
        <v>6</v>
      </c>
      <c r="H3175" s="405">
        <f t="shared" si="1158"/>
        <v>4.8</v>
      </c>
      <c r="I3175" s="584"/>
      <c r="J3175" s="549" t="s">
        <v>5804</v>
      </c>
      <c r="K3175" s="11"/>
      <c r="L3175" s="55" t="str">
        <f t="shared" si="1159"/>
        <v/>
      </c>
      <c r="M3175" s="37">
        <f t="shared" si="1160"/>
        <v>6</v>
      </c>
      <c r="N3175" s="29">
        <v>6</v>
      </c>
      <c r="O3175" s="154"/>
      <c r="P3175" s="50"/>
      <c r="Q3175" s="50"/>
      <c r="R3175" s="52"/>
      <c r="S3175" s="50"/>
      <c r="T3175" s="50"/>
      <c r="U3175" s="52"/>
      <c r="V3175" s="50"/>
      <c r="W3175" s="50"/>
      <c r="X3175" s="52"/>
      <c r="AH3175" s="202" t="s">
        <v>1776</v>
      </c>
      <c r="AK3175" t="str">
        <f t="shared" si="1161"/>
        <v/>
      </c>
      <c r="AL3175" t="str">
        <f t="shared" si="1162"/>
        <v/>
      </c>
      <c r="AM3175" t="str">
        <f t="shared" si="1163"/>
        <v/>
      </c>
      <c r="AN3175" t="str">
        <f t="shared" si="1164"/>
        <v/>
      </c>
      <c r="AO3175" t="str">
        <f t="shared" si="1165"/>
        <v/>
      </c>
      <c r="AP3175" t="str">
        <f t="shared" si="1166"/>
        <v/>
      </c>
      <c r="AQ3175" t="str">
        <f t="shared" si="1167"/>
        <v/>
      </c>
      <c r="AR3175" t="str">
        <f t="shared" si="1168"/>
        <v/>
      </c>
      <c r="AS3175" t="str">
        <f t="shared" si="1169"/>
        <v/>
      </c>
      <c r="AT3175" t="str">
        <f t="shared" si="1170"/>
        <v/>
      </c>
      <c r="AU3175" t="str">
        <f t="shared" si="1171"/>
        <v/>
      </c>
      <c r="AV3175" s="203" t="str">
        <f>"BiK274"&amp;AU3175&amp;RIGHT("------",6-LEN(AU3175))&amp;RIGHT($M$3099,2)</f>
        <v>BiK274------12</v>
      </c>
      <c r="AW3175">
        <f t="shared" si="1172"/>
        <v>14</v>
      </c>
      <c r="AX3175" t="str">
        <f t="shared" si="1173"/>
        <v>5-20 MW</v>
      </c>
      <c r="AY3175" t="str">
        <f t="shared" si="1174"/>
        <v/>
      </c>
    </row>
    <row r="3176" spans="1:52" x14ac:dyDescent="0.35">
      <c r="A3176" s="496"/>
      <c r="B3176" s="1"/>
      <c r="C3176" s="1"/>
      <c r="D3176" s="1"/>
      <c r="E3176" s="1"/>
      <c r="F3176" s="362"/>
      <c r="G3176" s="425"/>
      <c r="H3176" s="10"/>
      <c r="I3176" s="566"/>
      <c r="J3176" s="549" t="s">
        <v>4179</v>
      </c>
      <c r="L3176" s="77"/>
      <c r="M3176" s="11"/>
    </row>
    <row r="3177" spans="1:52" ht="17.25" customHeight="1" x14ac:dyDescent="0.35">
      <c r="A3177" s="496"/>
      <c r="B3177" s="1"/>
      <c r="C3177" s="1"/>
      <c r="D3177" s="1"/>
      <c r="E3177" s="1"/>
      <c r="F3177" s="375"/>
      <c r="G3177" s="432"/>
      <c r="H3177" s="401"/>
      <c r="I3177" s="578"/>
      <c r="J3177" s="549" t="s">
        <v>4179</v>
      </c>
      <c r="K3177" s="22"/>
      <c r="M3177" s="53" t="str">
        <f>"Vergütungsberechnung für Anlagen mit Inbetriebnahmejahr "&amp;M3181</f>
        <v>Vergütungsberechnung für Anlagen mit Inbetriebnahmejahr 2013</v>
      </c>
      <c r="N3177" s="27"/>
      <c r="O3177" s="22"/>
      <c r="P3177" s="22"/>
    </row>
    <row r="3178" spans="1:52" s="187" customFormat="1" ht="39.75" customHeight="1" x14ac:dyDescent="0.35">
      <c r="A3178" s="508"/>
      <c r="B3178" s="181"/>
      <c r="C3178" s="182"/>
      <c r="D3178" s="182"/>
      <c r="E3178" s="181"/>
      <c r="F3178" s="380"/>
      <c r="G3178" s="436"/>
      <c r="H3178" s="404"/>
      <c r="I3178" s="582"/>
      <c r="J3178" s="549" t="s">
        <v>4179</v>
      </c>
      <c r="K3178" s="184"/>
      <c r="L3178" s="184"/>
      <c r="M3178" s="185"/>
      <c r="N3178" s="184"/>
      <c r="O3178" s="922" t="s">
        <v>1743</v>
      </c>
      <c r="P3178" s="923"/>
      <c r="Q3178" s="923"/>
      <c r="R3178" s="924"/>
      <c r="S3178" s="922" t="s">
        <v>1744</v>
      </c>
      <c r="T3178" s="923"/>
      <c r="U3178" s="924"/>
      <c r="V3178" s="919" t="s">
        <v>1745</v>
      </c>
      <c r="W3178" s="920"/>
      <c r="X3178" s="921"/>
      <c r="Y3178" s="186"/>
    </row>
    <row r="3179" spans="1:52" s="187" customFormat="1" ht="57.75" customHeight="1" x14ac:dyDescent="0.2">
      <c r="A3179" s="508"/>
      <c r="B3179" s="181"/>
      <c r="C3179" s="182"/>
      <c r="D3179" s="182"/>
      <c r="E3179" s="181"/>
      <c r="F3179" s="380"/>
      <c r="G3179" s="436"/>
      <c r="H3179" s="404"/>
      <c r="I3179" s="582"/>
      <c r="J3179" s="549" t="s">
        <v>4179</v>
      </c>
      <c r="K3179" s="184"/>
      <c r="L3179" s="184"/>
      <c r="M3179" s="191" t="s">
        <v>2913</v>
      </c>
      <c r="N3179" s="192" t="s">
        <v>511</v>
      </c>
      <c r="O3179" s="195" t="s">
        <v>1762</v>
      </c>
      <c r="P3179" s="193" t="s">
        <v>1759</v>
      </c>
      <c r="Q3179" s="193" t="s">
        <v>1760</v>
      </c>
      <c r="R3179" s="194" t="s">
        <v>1761</v>
      </c>
      <c r="S3179" s="195" t="s">
        <v>1756</v>
      </c>
      <c r="T3179" s="193" t="s">
        <v>1757</v>
      </c>
      <c r="U3179" s="194" t="s">
        <v>1758</v>
      </c>
      <c r="V3179" s="196" t="s">
        <v>1746</v>
      </c>
      <c r="W3179" s="197" t="s">
        <v>1747</v>
      </c>
      <c r="X3179" s="198" t="s">
        <v>1748</v>
      </c>
      <c r="Y3179" s="95" t="s">
        <v>505</v>
      </c>
    </row>
    <row r="3180" spans="1:52" x14ac:dyDescent="0.35">
      <c r="A3180" s="496"/>
      <c r="B3180" s="1"/>
      <c r="C3180" s="18"/>
      <c r="D3180" s="18"/>
      <c r="E3180" s="1"/>
      <c r="F3180" s="375"/>
      <c r="G3180" s="432"/>
      <c r="H3180" s="401"/>
      <c r="I3180" s="578"/>
      <c r="J3180" s="549" t="s">
        <v>4179</v>
      </c>
      <c r="K3180" s="22"/>
      <c r="L3180" s="22"/>
      <c r="M3180" s="34"/>
      <c r="N3180" s="30"/>
      <c r="O3180" s="199" t="s">
        <v>1749</v>
      </c>
      <c r="P3180" s="200" t="s">
        <v>1750</v>
      </c>
      <c r="Q3180" s="200" t="s">
        <v>1751</v>
      </c>
      <c r="R3180" s="200" t="s">
        <v>1752</v>
      </c>
      <c r="S3180" s="199" t="s">
        <v>1753</v>
      </c>
      <c r="T3180" s="200" t="s">
        <v>1754</v>
      </c>
      <c r="U3180" s="201" t="s">
        <v>1755</v>
      </c>
      <c r="V3180" s="199" t="s">
        <v>1740</v>
      </c>
      <c r="W3180" s="200" t="s">
        <v>1741</v>
      </c>
      <c r="X3180" s="201" t="s">
        <v>1742</v>
      </c>
      <c r="Z3180" s="200" t="s">
        <v>1740</v>
      </c>
      <c r="AA3180" s="200" t="s">
        <v>1741</v>
      </c>
      <c r="AB3180" s="200" t="s">
        <v>1742</v>
      </c>
    </row>
    <row r="3181" spans="1:52" x14ac:dyDescent="0.35">
      <c r="A3181" s="496"/>
      <c r="B3181" s="1"/>
      <c r="C3181" s="1"/>
      <c r="D3181" s="1"/>
      <c r="E3181" s="1"/>
      <c r="F3181" s="375"/>
      <c r="G3181" s="432"/>
      <c r="H3181" s="401"/>
      <c r="I3181" s="578"/>
      <c r="J3181" s="549" t="s">
        <v>4179</v>
      </c>
      <c r="L3181" s="56"/>
      <c r="M3181" s="287">
        <v>2013</v>
      </c>
      <c r="N3181" s="28"/>
      <c r="O3181" s="178">
        <v>6</v>
      </c>
      <c r="P3181" s="189">
        <v>5</v>
      </c>
      <c r="Q3181" s="189">
        <v>4</v>
      </c>
      <c r="R3181" s="190">
        <v>2.5</v>
      </c>
      <c r="S3181" s="178">
        <v>8</v>
      </c>
      <c r="T3181" s="189">
        <v>8</v>
      </c>
      <c r="U3181" s="190">
        <v>6</v>
      </c>
      <c r="V3181" s="33">
        <f>ROUND(Z3181,2)</f>
        <v>2.94</v>
      </c>
      <c r="W3181" s="28">
        <f>ROUND(AA3181,2)</f>
        <v>1.96</v>
      </c>
      <c r="X3181" s="40">
        <f>ROUND(AB3181,2)</f>
        <v>0.98</v>
      </c>
      <c r="Y3181" s="278">
        <v>0.02</v>
      </c>
      <c r="Z3181" s="29">
        <f>V3102*(1-$Y$3181)</f>
        <v>2.94</v>
      </c>
      <c r="AA3181" s="29">
        <f>W3102*(1-$Y$3181)</f>
        <v>1.96</v>
      </c>
      <c r="AB3181" s="29">
        <f>X3102*(1-$Y$3181)</f>
        <v>0.98</v>
      </c>
      <c r="AC3181" s="159" t="str">
        <f xml:space="preserve"> "Bonushöhe bei Inbetriebnahme in " &amp; M3181</f>
        <v>Bonushöhe bei Inbetriebnahme in 2013</v>
      </c>
      <c r="AH3181" t="s">
        <v>1749</v>
      </c>
      <c r="AI3181" t="s">
        <v>1750</v>
      </c>
      <c r="AJ3181" t="s">
        <v>1751</v>
      </c>
      <c r="AK3181" t="s">
        <v>1752</v>
      </c>
      <c r="AL3181" t="s">
        <v>1753</v>
      </c>
      <c r="AM3181" t="s">
        <v>1754</v>
      </c>
      <c r="AN3181" t="s">
        <v>1755</v>
      </c>
      <c r="AO3181" t="s">
        <v>1740</v>
      </c>
      <c r="AP3181" t="s">
        <v>1741</v>
      </c>
      <c r="AQ3181" t="s">
        <v>1742</v>
      </c>
      <c r="AR3181" t="s">
        <v>1764</v>
      </c>
      <c r="AS3181" t="s">
        <v>1765</v>
      </c>
      <c r="AT3181" t="s">
        <v>1766</v>
      </c>
      <c r="AU3181" t="s">
        <v>669</v>
      </c>
      <c r="AV3181" t="s">
        <v>1763</v>
      </c>
    </row>
    <row r="3182" spans="1:52" x14ac:dyDescent="0.35">
      <c r="A3182" s="502" t="str">
        <f t="shared" ref="A3182:A3197" si="1175">"BiK270"&amp;AU3182&amp;RIGHT("------",6-LEN(AU3182))&amp;RIGHT($M$3181,2)</f>
        <v>BiK270------13</v>
      </c>
      <c r="B3182" s="301" t="s">
        <v>5547</v>
      </c>
      <c r="C3182" s="301" t="str">
        <f t="shared" ref="C3182:C3213" si="1176">"Inbetriebnahme "&amp;$M$3181</f>
        <v>Inbetriebnahme 2013</v>
      </c>
      <c r="D3182" s="301" t="str">
        <f t="shared" ref="D3182:D3213" si="1177">IF(COUNTA(O3182:X3182)=0,AH3182,AH3182&amp;", Bonusregel"&amp;IF(AND(COUNTA(O3182:U3182)&gt;0,COUNTA(V3182:X3182)&gt;0),"n "&amp;AK3182&amp;AL3182&amp;AM3182&amp;AN3182&amp;AO3182&amp;AP3182&amp;AQ3182&amp;", "&amp;AR3182&amp;AS3182&amp;AT3182," "&amp;AK3182&amp;AL3182&amp;AM3182&amp;AN3182&amp;AO3182&amp;AP3182&amp;AQ3182&amp;AR3182&amp;AS3182&amp;AT3182))</f>
        <v>0-0,15 MW</v>
      </c>
      <c r="E3182" s="301"/>
      <c r="F3182" s="377">
        <f t="shared" ref="F3182:F3213" si="1178">M3182</f>
        <v>14.01</v>
      </c>
      <c r="G3182" s="433">
        <v>14.01</v>
      </c>
      <c r="H3182" s="402">
        <f t="shared" ref="H3182:H3213" si="1179">IF(ISNUMBER(G3182),ROUND(0.8*G3182,2),"")</f>
        <v>11.21</v>
      </c>
      <c r="I3182" s="579"/>
      <c r="J3182" s="549" t="s">
        <v>5804</v>
      </c>
      <c r="K3182" s="11"/>
      <c r="L3182" s="55" t="str">
        <f t="shared" ref="L3182:L3213" si="1180">IF(F3182=M3182,"",FALSE)</f>
        <v/>
      </c>
      <c r="M3182" s="37">
        <f t="shared" ref="M3182:M3213" si="1181">ROUND(N3182,2)+SUMIF(O3182:X3182,"x",$O$3181:$X$3181)</f>
        <v>14.01</v>
      </c>
      <c r="N3182" s="29">
        <f t="shared" ref="N3182:N3213" si="1182">N3103*(1-$Y$3181)</f>
        <v>14.014000000000001</v>
      </c>
      <c r="O3182" s="46"/>
      <c r="P3182" s="50"/>
      <c r="Q3182" s="50"/>
      <c r="R3182" s="50"/>
      <c r="S3182" s="46"/>
      <c r="T3182" s="188"/>
      <c r="U3182" s="50"/>
      <c r="V3182" s="46"/>
      <c r="W3182" s="22"/>
      <c r="X3182" s="47"/>
      <c r="AH3182" s="202" t="s">
        <v>1780</v>
      </c>
      <c r="AK3182" t="str">
        <f t="shared" ref="AK3182:AK3213" si="1183">IF(O3182="x",O$3101,"")</f>
        <v/>
      </c>
      <c r="AL3182" t="str">
        <f t="shared" ref="AL3182:AL3213" si="1184">IF(P3182="x",P$3101,"")</f>
        <v/>
      </c>
      <c r="AM3182" t="str">
        <f t="shared" ref="AM3182:AM3213" si="1185">IF(Q3182="x",Q$3101,"")</f>
        <v/>
      </c>
      <c r="AN3182" t="str">
        <f t="shared" ref="AN3182:AN3213" si="1186">IF(R3182="x",R$3101,"")</f>
        <v/>
      </c>
      <c r="AO3182" t="str">
        <f t="shared" ref="AO3182:AO3213" si="1187">IF(S3182="x",S$3101,"")</f>
        <v/>
      </c>
      <c r="AP3182" t="str">
        <f t="shared" ref="AP3182:AP3213" si="1188">IF(T3182="x",T$3101,"")</f>
        <v/>
      </c>
      <c r="AQ3182" t="str">
        <f t="shared" ref="AQ3182:AQ3213" si="1189">IF(U3182="x",U$3101,"")</f>
        <v/>
      </c>
      <c r="AR3182" t="str">
        <f t="shared" ref="AR3182:AR3213" si="1190">IF(V3182="x",V$3101,"")</f>
        <v/>
      </c>
      <c r="AS3182" t="str">
        <f t="shared" ref="AS3182:AS3213" si="1191">IF(W3182="x",W$3101,"")</f>
        <v/>
      </c>
      <c r="AT3182" t="str">
        <f t="shared" ref="AT3182:AT3213" si="1192">IF(X3182="x",X$3101,"")</f>
        <v/>
      </c>
      <c r="AU3182" t="str">
        <f t="shared" ref="AU3182:AU3213" si="1193">AK3182&amp;AL3182&amp;AM3182&amp;AN3182&amp;AO3182&amp;AP3182&amp;AQ3182&amp;AR3182&amp;AS3182&amp;AT3182</f>
        <v/>
      </c>
      <c r="AV3182" s="203" t="str">
        <f t="shared" ref="AV3182:AV3197" si="1194">"BiK270"&amp;AU3182&amp;RIGHT("------",6-LEN(AU3182))&amp;RIGHT($M$3099,2)</f>
        <v>BiK270------12</v>
      </c>
      <c r="AW3182">
        <f t="shared" ref="AW3182:AW3213" si="1195">LEN(AV3182)</f>
        <v>14</v>
      </c>
      <c r="AX3182" t="str">
        <f t="shared" ref="AX3182:AX3213" si="1196">IF(COUNTA(O3182:X3182)=0,AH3182,AH3182&amp;", Bonusregel"&amp;IF(AND(COUNTA(O3182:U3182)&gt;0,COUNTA(V3182:X3182)&gt;0),"n "&amp;AK3182&amp;AL3182&amp;AM3182&amp;AN3182&amp;AO3182&amp;AP3182&amp;AQ3182&amp;", "&amp;AR3182&amp;AS3182&amp;AT3182," "&amp;AK3182&amp;AL3182&amp;AM3182&amp;AN3182&amp;AO3182&amp;AP3182&amp;AQ3182&amp;AR3182&amp;AS3182&amp;AT3182))</f>
        <v>0-0,15 MW</v>
      </c>
      <c r="AY3182" t="str">
        <f t="shared" ref="AY3182:AY3213" si="1197">IF(COUNTA(O3182:U3182)&gt;1,"Fehler ESVK",IF(COUNTA(V3182:X3182)&gt;1,"Fehler GAB",IF(AW3182&lt;&gt;14,"Fehler Kategorie","")))</f>
        <v/>
      </c>
      <c r="AZ3182" t="str">
        <f>SUBSTITUTE(AU3182,", ","")</f>
        <v/>
      </c>
    </row>
    <row r="3183" spans="1:52" x14ac:dyDescent="0.35">
      <c r="A3183" s="502" t="str">
        <f t="shared" si="1175"/>
        <v>BiK270E1a---13</v>
      </c>
      <c r="B3183" s="301" t="s">
        <v>5547</v>
      </c>
      <c r="C3183" s="301" t="str">
        <f t="shared" si="1176"/>
        <v>Inbetriebnahme 2013</v>
      </c>
      <c r="D3183" s="301" t="str">
        <f t="shared" si="1177"/>
        <v>0-0,15 MW, Bonusregel E1a</v>
      </c>
      <c r="E3183" s="301"/>
      <c r="F3183" s="377">
        <f t="shared" si="1178"/>
        <v>20.009999999999998</v>
      </c>
      <c r="G3183" s="433">
        <v>20.009999999999998</v>
      </c>
      <c r="H3183" s="402">
        <f t="shared" si="1179"/>
        <v>16.010000000000002</v>
      </c>
      <c r="I3183" s="579"/>
      <c r="J3183" s="549" t="s">
        <v>5804</v>
      </c>
      <c r="K3183" s="11"/>
      <c r="L3183" s="55" t="str">
        <f t="shared" si="1180"/>
        <v/>
      </c>
      <c r="M3183" s="37">
        <f t="shared" si="1181"/>
        <v>20.009999999999998</v>
      </c>
      <c r="N3183" s="29">
        <f t="shared" si="1182"/>
        <v>14.014000000000001</v>
      </c>
      <c r="O3183" s="179" t="s">
        <v>1017</v>
      </c>
      <c r="P3183" s="50"/>
      <c r="Q3183" s="50"/>
      <c r="R3183" s="50"/>
      <c r="S3183" s="31"/>
      <c r="T3183" s="22"/>
      <c r="U3183" s="50"/>
      <c r="V3183" s="31"/>
      <c r="W3183" s="22"/>
      <c r="X3183" s="38"/>
      <c r="AH3183" s="202" t="s">
        <v>1780</v>
      </c>
      <c r="AK3183" t="str">
        <f t="shared" si="1183"/>
        <v>E1a</v>
      </c>
      <c r="AL3183" t="str">
        <f t="shared" si="1184"/>
        <v/>
      </c>
      <c r="AM3183" t="str">
        <f t="shared" si="1185"/>
        <v/>
      </c>
      <c r="AN3183" t="str">
        <f t="shared" si="1186"/>
        <v/>
      </c>
      <c r="AO3183" t="str">
        <f t="shared" si="1187"/>
        <v/>
      </c>
      <c r="AP3183" t="str">
        <f t="shared" si="1188"/>
        <v/>
      </c>
      <c r="AQ3183" t="str">
        <f t="shared" si="1189"/>
        <v/>
      </c>
      <c r="AR3183" t="str">
        <f t="shared" si="1190"/>
        <v/>
      </c>
      <c r="AS3183" t="str">
        <f t="shared" si="1191"/>
        <v/>
      </c>
      <c r="AT3183" t="str">
        <f t="shared" si="1192"/>
        <v/>
      </c>
      <c r="AU3183" t="str">
        <f t="shared" si="1193"/>
        <v>E1a</v>
      </c>
      <c r="AV3183" s="203" t="str">
        <f t="shared" si="1194"/>
        <v>BiK270E1a---12</v>
      </c>
      <c r="AW3183">
        <f t="shared" si="1195"/>
        <v>14</v>
      </c>
      <c r="AX3183" t="str">
        <f t="shared" si="1196"/>
        <v>0-0,15 MW, Bonusregel E1a</v>
      </c>
      <c r="AY3183" t="str">
        <f t="shared" si="1197"/>
        <v/>
      </c>
    </row>
    <row r="3184" spans="1:52" x14ac:dyDescent="0.35">
      <c r="A3184" s="502" t="str">
        <f t="shared" si="1175"/>
        <v>BiK270E2a---13</v>
      </c>
      <c r="B3184" s="301" t="s">
        <v>5547</v>
      </c>
      <c r="C3184" s="301" t="str">
        <f t="shared" si="1176"/>
        <v>Inbetriebnahme 2013</v>
      </c>
      <c r="D3184" s="301" t="str">
        <f t="shared" si="1177"/>
        <v>0-0,15 MW, Bonusregel E2a</v>
      </c>
      <c r="E3184" s="301"/>
      <c r="F3184" s="377">
        <f t="shared" si="1178"/>
        <v>22.009999999999998</v>
      </c>
      <c r="G3184" s="433">
        <v>22.009999999999998</v>
      </c>
      <c r="H3184" s="402">
        <f t="shared" si="1179"/>
        <v>17.61</v>
      </c>
      <c r="I3184" s="579"/>
      <c r="J3184" s="549" t="s">
        <v>5804</v>
      </c>
      <c r="K3184" s="11"/>
      <c r="L3184" s="55" t="str">
        <f t="shared" si="1180"/>
        <v/>
      </c>
      <c r="M3184" s="37">
        <f t="shared" si="1181"/>
        <v>22.009999999999998</v>
      </c>
      <c r="N3184" s="29">
        <f t="shared" si="1182"/>
        <v>14.014000000000001</v>
      </c>
      <c r="O3184" s="31"/>
      <c r="P3184" s="50"/>
      <c r="Q3184" s="50"/>
      <c r="R3184" s="50"/>
      <c r="S3184" s="179" t="s">
        <v>1017</v>
      </c>
      <c r="T3184" s="22"/>
      <c r="U3184" s="50"/>
      <c r="V3184" s="31"/>
      <c r="W3184" s="22"/>
      <c r="X3184" s="38"/>
      <c r="AH3184" s="202" t="s">
        <v>1780</v>
      </c>
      <c r="AK3184" t="str">
        <f t="shared" si="1183"/>
        <v/>
      </c>
      <c r="AL3184" t="str">
        <f t="shared" si="1184"/>
        <v/>
      </c>
      <c r="AM3184" t="str">
        <f t="shared" si="1185"/>
        <v/>
      </c>
      <c r="AN3184" t="str">
        <f t="shared" si="1186"/>
        <v/>
      </c>
      <c r="AO3184" t="str">
        <f t="shared" si="1187"/>
        <v>E2a</v>
      </c>
      <c r="AP3184" t="str">
        <f t="shared" si="1188"/>
        <v/>
      </c>
      <c r="AQ3184" t="str">
        <f t="shared" si="1189"/>
        <v/>
      </c>
      <c r="AR3184" t="str">
        <f t="shared" si="1190"/>
        <v/>
      </c>
      <c r="AS3184" t="str">
        <f t="shared" si="1191"/>
        <v/>
      </c>
      <c r="AT3184" t="str">
        <f t="shared" si="1192"/>
        <v/>
      </c>
      <c r="AU3184" t="str">
        <f t="shared" si="1193"/>
        <v>E2a</v>
      </c>
      <c r="AV3184" s="203" t="str">
        <f t="shared" si="1194"/>
        <v>BiK270E2a---12</v>
      </c>
      <c r="AW3184">
        <f t="shared" si="1195"/>
        <v>14</v>
      </c>
      <c r="AX3184" t="str">
        <f t="shared" si="1196"/>
        <v>0-0,15 MW, Bonusregel E2a</v>
      </c>
      <c r="AY3184" t="str">
        <f t="shared" si="1197"/>
        <v/>
      </c>
    </row>
    <row r="3185" spans="1:51" x14ac:dyDescent="0.35">
      <c r="A3185" s="502" t="str">
        <f t="shared" si="1175"/>
        <v>BiK270E2b---13</v>
      </c>
      <c r="B3185" s="301" t="s">
        <v>5547</v>
      </c>
      <c r="C3185" s="301" t="str">
        <f t="shared" si="1176"/>
        <v>Inbetriebnahme 2013</v>
      </c>
      <c r="D3185" s="301" t="str">
        <f t="shared" si="1177"/>
        <v>0-0,15 MW, Bonusregel E2b</v>
      </c>
      <c r="E3185" s="301"/>
      <c r="F3185" s="377">
        <f t="shared" si="1178"/>
        <v>22.009999999999998</v>
      </c>
      <c r="G3185" s="433">
        <v>22.009999999999998</v>
      </c>
      <c r="H3185" s="402">
        <f t="shared" si="1179"/>
        <v>17.61</v>
      </c>
      <c r="I3185" s="579"/>
      <c r="J3185" s="549" t="s">
        <v>5804</v>
      </c>
      <c r="K3185" s="11"/>
      <c r="L3185" s="55" t="str">
        <f t="shared" si="1180"/>
        <v/>
      </c>
      <c r="M3185" s="37">
        <f t="shared" si="1181"/>
        <v>22.009999999999998</v>
      </c>
      <c r="N3185" s="29">
        <f t="shared" si="1182"/>
        <v>14.014000000000001</v>
      </c>
      <c r="O3185" s="31"/>
      <c r="P3185" s="50"/>
      <c r="Q3185" s="50"/>
      <c r="R3185" s="50"/>
      <c r="S3185" s="179"/>
      <c r="T3185" s="202" t="s">
        <v>1017</v>
      </c>
      <c r="U3185" s="50"/>
      <c r="V3185" s="31"/>
      <c r="W3185" s="22"/>
      <c r="X3185" s="38"/>
      <c r="AH3185" s="202" t="s">
        <v>1780</v>
      </c>
      <c r="AK3185" t="str">
        <f t="shared" si="1183"/>
        <v/>
      </c>
      <c r="AL3185" t="str">
        <f t="shared" si="1184"/>
        <v/>
      </c>
      <c r="AM3185" t="str">
        <f t="shared" si="1185"/>
        <v/>
      </c>
      <c r="AN3185" t="str">
        <f t="shared" si="1186"/>
        <v/>
      </c>
      <c r="AO3185" t="str">
        <f t="shared" si="1187"/>
        <v/>
      </c>
      <c r="AP3185" t="str">
        <f t="shared" si="1188"/>
        <v>E2b</v>
      </c>
      <c r="AQ3185" t="str">
        <f t="shared" si="1189"/>
        <v/>
      </c>
      <c r="AR3185" t="str">
        <f t="shared" si="1190"/>
        <v/>
      </c>
      <c r="AS3185" t="str">
        <f t="shared" si="1191"/>
        <v/>
      </c>
      <c r="AT3185" t="str">
        <f t="shared" si="1192"/>
        <v/>
      </c>
      <c r="AU3185" t="str">
        <f t="shared" si="1193"/>
        <v>E2b</v>
      </c>
      <c r="AV3185" s="203" t="str">
        <f t="shared" si="1194"/>
        <v>BiK270E2b---12</v>
      </c>
      <c r="AW3185">
        <f t="shared" si="1195"/>
        <v>14</v>
      </c>
      <c r="AX3185" t="str">
        <f t="shared" si="1196"/>
        <v>0-0,15 MW, Bonusregel E2b</v>
      </c>
      <c r="AY3185" t="str">
        <f t="shared" si="1197"/>
        <v/>
      </c>
    </row>
    <row r="3186" spans="1:51" x14ac:dyDescent="0.35">
      <c r="A3186" s="502" t="str">
        <f t="shared" si="1175"/>
        <v>BiK270G1----13</v>
      </c>
      <c r="B3186" s="301" t="s">
        <v>5547</v>
      </c>
      <c r="C3186" s="301" t="str">
        <f t="shared" si="1176"/>
        <v>Inbetriebnahme 2013</v>
      </c>
      <c r="D3186" s="301" t="str">
        <f t="shared" si="1177"/>
        <v>0-0,15 MW, Bonusregel G1</v>
      </c>
      <c r="E3186" s="301"/>
      <c r="F3186" s="377">
        <f t="shared" si="1178"/>
        <v>16.95</v>
      </c>
      <c r="G3186" s="433">
        <v>16.95</v>
      </c>
      <c r="H3186" s="402">
        <f t="shared" si="1179"/>
        <v>13.56</v>
      </c>
      <c r="I3186" s="579"/>
      <c r="J3186" s="549" t="s">
        <v>5804</v>
      </c>
      <c r="K3186" s="11"/>
      <c r="L3186" s="55" t="str">
        <f t="shared" si="1180"/>
        <v/>
      </c>
      <c r="M3186" s="37">
        <f t="shared" si="1181"/>
        <v>16.95</v>
      </c>
      <c r="N3186" s="29">
        <f t="shared" si="1182"/>
        <v>14.014000000000001</v>
      </c>
      <c r="O3186" s="31"/>
      <c r="P3186" s="50"/>
      <c r="Q3186" s="50"/>
      <c r="R3186" s="50"/>
      <c r="S3186" s="31"/>
      <c r="T3186" s="22"/>
      <c r="U3186" s="50"/>
      <c r="V3186" s="179" t="s">
        <v>1017</v>
      </c>
      <c r="W3186" s="22"/>
      <c r="X3186" s="38"/>
      <c r="AH3186" s="202" t="s">
        <v>1780</v>
      </c>
      <c r="AK3186" t="str">
        <f t="shared" si="1183"/>
        <v/>
      </c>
      <c r="AL3186" t="str">
        <f t="shared" si="1184"/>
        <v/>
      </c>
      <c r="AM3186" t="str">
        <f t="shared" si="1185"/>
        <v/>
      </c>
      <c r="AN3186" t="str">
        <f t="shared" si="1186"/>
        <v/>
      </c>
      <c r="AO3186" t="str">
        <f t="shared" si="1187"/>
        <v/>
      </c>
      <c r="AP3186" t="str">
        <f t="shared" si="1188"/>
        <v/>
      </c>
      <c r="AQ3186" t="str">
        <f t="shared" si="1189"/>
        <v/>
      </c>
      <c r="AR3186" t="str">
        <f t="shared" si="1190"/>
        <v>G1</v>
      </c>
      <c r="AS3186" t="str">
        <f t="shared" si="1191"/>
        <v/>
      </c>
      <c r="AT3186" t="str">
        <f t="shared" si="1192"/>
        <v/>
      </c>
      <c r="AU3186" t="str">
        <f t="shared" si="1193"/>
        <v>G1</v>
      </c>
      <c r="AV3186" s="203" t="str">
        <f t="shared" si="1194"/>
        <v>BiK270G1----12</v>
      </c>
      <c r="AW3186">
        <f t="shared" si="1195"/>
        <v>14</v>
      </c>
      <c r="AX3186" t="str">
        <f t="shared" si="1196"/>
        <v>0-0,15 MW, Bonusregel G1</v>
      </c>
      <c r="AY3186" t="str">
        <f t="shared" si="1197"/>
        <v/>
      </c>
    </row>
    <row r="3187" spans="1:51" x14ac:dyDescent="0.35">
      <c r="A3187" s="502" t="str">
        <f t="shared" si="1175"/>
        <v>BiK270E1aG1-13</v>
      </c>
      <c r="B3187" s="301" t="s">
        <v>5547</v>
      </c>
      <c r="C3187" s="301" t="str">
        <f t="shared" si="1176"/>
        <v>Inbetriebnahme 2013</v>
      </c>
      <c r="D3187" s="301" t="str">
        <f t="shared" si="1177"/>
        <v>0-0,15 MW, Bonusregeln E1a, G1</v>
      </c>
      <c r="E3187" s="301"/>
      <c r="F3187" s="377">
        <f t="shared" si="1178"/>
        <v>22.95</v>
      </c>
      <c r="G3187" s="433">
        <v>22.95</v>
      </c>
      <c r="H3187" s="402">
        <f t="shared" si="1179"/>
        <v>18.36</v>
      </c>
      <c r="I3187" s="579"/>
      <c r="J3187" s="549" t="s">
        <v>5804</v>
      </c>
      <c r="K3187" s="11"/>
      <c r="L3187" s="55" t="str">
        <f t="shared" si="1180"/>
        <v/>
      </c>
      <c r="M3187" s="37">
        <f t="shared" si="1181"/>
        <v>22.95</v>
      </c>
      <c r="N3187" s="29">
        <f t="shared" si="1182"/>
        <v>14.014000000000001</v>
      </c>
      <c r="O3187" s="31" t="s">
        <v>1017</v>
      </c>
      <c r="P3187" s="50"/>
      <c r="Q3187" s="50"/>
      <c r="R3187" s="50"/>
      <c r="S3187" s="179"/>
      <c r="T3187" s="22"/>
      <c r="U3187" s="50"/>
      <c r="V3187" s="179" t="s">
        <v>1017</v>
      </c>
      <c r="W3187" s="22"/>
      <c r="X3187" s="38"/>
      <c r="AH3187" s="202" t="s">
        <v>1780</v>
      </c>
      <c r="AK3187" t="str">
        <f t="shared" si="1183"/>
        <v>E1a</v>
      </c>
      <c r="AL3187" t="str">
        <f t="shared" si="1184"/>
        <v/>
      </c>
      <c r="AM3187" t="str">
        <f t="shared" si="1185"/>
        <v/>
      </c>
      <c r="AN3187" t="str">
        <f t="shared" si="1186"/>
        <v/>
      </c>
      <c r="AO3187" t="str">
        <f t="shared" si="1187"/>
        <v/>
      </c>
      <c r="AP3187" t="str">
        <f t="shared" si="1188"/>
        <v/>
      </c>
      <c r="AQ3187" t="str">
        <f t="shared" si="1189"/>
        <v/>
      </c>
      <c r="AR3187" t="str">
        <f t="shared" si="1190"/>
        <v>G1</v>
      </c>
      <c r="AS3187" t="str">
        <f t="shared" si="1191"/>
        <v/>
      </c>
      <c r="AT3187" t="str">
        <f t="shared" si="1192"/>
        <v/>
      </c>
      <c r="AU3187" t="str">
        <f t="shared" si="1193"/>
        <v>E1aG1</v>
      </c>
      <c r="AV3187" s="203" t="str">
        <f t="shared" si="1194"/>
        <v>BiK270E1aG1-12</v>
      </c>
      <c r="AW3187">
        <f t="shared" si="1195"/>
        <v>14</v>
      </c>
      <c r="AX3187" t="str">
        <f t="shared" si="1196"/>
        <v>0-0,15 MW, Bonusregeln E1a, G1</v>
      </c>
      <c r="AY3187" t="str">
        <f t="shared" si="1197"/>
        <v/>
      </c>
    </row>
    <row r="3188" spans="1:51" x14ac:dyDescent="0.35">
      <c r="A3188" s="502" t="str">
        <f t="shared" si="1175"/>
        <v>BiK270E2aG1-13</v>
      </c>
      <c r="B3188" s="301" t="s">
        <v>5547</v>
      </c>
      <c r="C3188" s="301" t="str">
        <f t="shared" si="1176"/>
        <v>Inbetriebnahme 2013</v>
      </c>
      <c r="D3188" s="301" t="str">
        <f t="shared" si="1177"/>
        <v>0-0,15 MW, Bonusregeln E2a, G1</v>
      </c>
      <c r="E3188" s="301"/>
      <c r="F3188" s="377">
        <f t="shared" si="1178"/>
        <v>24.95</v>
      </c>
      <c r="G3188" s="433">
        <v>24.95</v>
      </c>
      <c r="H3188" s="402">
        <f t="shared" si="1179"/>
        <v>19.96</v>
      </c>
      <c r="I3188" s="579"/>
      <c r="J3188" s="549" t="s">
        <v>5804</v>
      </c>
      <c r="K3188" s="11"/>
      <c r="L3188" s="55" t="str">
        <f t="shared" si="1180"/>
        <v/>
      </c>
      <c r="M3188" s="37">
        <f t="shared" si="1181"/>
        <v>24.95</v>
      </c>
      <c r="N3188" s="29">
        <f t="shared" si="1182"/>
        <v>14.014000000000001</v>
      </c>
      <c r="O3188" s="31"/>
      <c r="P3188" s="50"/>
      <c r="Q3188" s="50"/>
      <c r="R3188" s="50"/>
      <c r="S3188" s="179" t="s">
        <v>1017</v>
      </c>
      <c r="T3188" s="22"/>
      <c r="U3188" s="50"/>
      <c r="V3188" s="179" t="s">
        <v>1017</v>
      </c>
      <c r="W3188" s="22"/>
      <c r="X3188" s="38"/>
      <c r="AH3188" s="202" t="s">
        <v>1780</v>
      </c>
      <c r="AK3188" t="str">
        <f t="shared" si="1183"/>
        <v/>
      </c>
      <c r="AL3188" t="str">
        <f t="shared" si="1184"/>
        <v/>
      </c>
      <c r="AM3188" t="str">
        <f t="shared" si="1185"/>
        <v/>
      </c>
      <c r="AN3188" t="str">
        <f t="shared" si="1186"/>
        <v/>
      </c>
      <c r="AO3188" t="str">
        <f t="shared" si="1187"/>
        <v>E2a</v>
      </c>
      <c r="AP3188" t="str">
        <f t="shared" si="1188"/>
        <v/>
      </c>
      <c r="AQ3188" t="str">
        <f t="shared" si="1189"/>
        <v/>
      </c>
      <c r="AR3188" t="str">
        <f t="shared" si="1190"/>
        <v>G1</v>
      </c>
      <c r="AS3188" t="str">
        <f t="shared" si="1191"/>
        <v/>
      </c>
      <c r="AT3188" t="str">
        <f t="shared" si="1192"/>
        <v/>
      </c>
      <c r="AU3188" t="str">
        <f t="shared" si="1193"/>
        <v>E2aG1</v>
      </c>
      <c r="AV3188" s="203" t="str">
        <f t="shared" si="1194"/>
        <v>BiK270E2aG1-12</v>
      </c>
      <c r="AW3188">
        <f t="shared" si="1195"/>
        <v>14</v>
      </c>
      <c r="AX3188" t="str">
        <f t="shared" si="1196"/>
        <v>0-0,15 MW, Bonusregeln E2a, G1</v>
      </c>
      <c r="AY3188" t="str">
        <f t="shared" si="1197"/>
        <v/>
      </c>
    </row>
    <row r="3189" spans="1:51" x14ac:dyDescent="0.35">
      <c r="A3189" s="502" t="str">
        <f t="shared" si="1175"/>
        <v>BiK270E2bG1-13</v>
      </c>
      <c r="B3189" s="301" t="s">
        <v>5547</v>
      </c>
      <c r="C3189" s="301" t="str">
        <f t="shared" si="1176"/>
        <v>Inbetriebnahme 2013</v>
      </c>
      <c r="D3189" s="301" t="str">
        <f t="shared" si="1177"/>
        <v>0-0,15 MW, Bonusregeln E2b, G1</v>
      </c>
      <c r="E3189" s="301"/>
      <c r="F3189" s="377">
        <f t="shared" si="1178"/>
        <v>24.95</v>
      </c>
      <c r="G3189" s="433">
        <v>24.95</v>
      </c>
      <c r="H3189" s="402">
        <f t="shared" si="1179"/>
        <v>19.96</v>
      </c>
      <c r="I3189" s="579"/>
      <c r="J3189" s="549" t="s">
        <v>5804</v>
      </c>
      <c r="K3189" s="11"/>
      <c r="L3189" s="55" t="str">
        <f t="shared" si="1180"/>
        <v/>
      </c>
      <c r="M3189" s="37">
        <f t="shared" si="1181"/>
        <v>24.95</v>
      </c>
      <c r="N3189" s="29">
        <f t="shared" si="1182"/>
        <v>14.014000000000001</v>
      </c>
      <c r="O3189" s="31"/>
      <c r="P3189" s="50"/>
      <c r="Q3189" s="50"/>
      <c r="R3189" s="50"/>
      <c r="S3189" s="179"/>
      <c r="T3189" s="22" t="s">
        <v>1017</v>
      </c>
      <c r="U3189" s="50"/>
      <c r="V3189" s="179" t="s">
        <v>1017</v>
      </c>
      <c r="W3189" s="22"/>
      <c r="X3189" s="38"/>
      <c r="AH3189" s="202" t="s">
        <v>1780</v>
      </c>
      <c r="AK3189" t="str">
        <f t="shared" si="1183"/>
        <v/>
      </c>
      <c r="AL3189" t="str">
        <f t="shared" si="1184"/>
        <v/>
      </c>
      <c r="AM3189" t="str">
        <f t="shared" si="1185"/>
        <v/>
      </c>
      <c r="AN3189" t="str">
        <f t="shared" si="1186"/>
        <v/>
      </c>
      <c r="AO3189" t="str">
        <f t="shared" si="1187"/>
        <v/>
      </c>
      <c r="AP3189" t="str">
        <f t="shared" si="1188"/>
        <v>E2b</v>
      </c>
      <c r="AQ3189" t="str">
        <f t="shared" si="1189"/>
        <v/>
      </c>
      <c r="AR3189" t="str">
        <f t="shared" si="1190"/>
        <v>G1</v>
      </c>
      <c r="AS3189" t="str">
        <f t="shared" si="1191"/>
        <v/>
      </c>
      <c r="AT3189" t="str">
        <f t="shared" si="1192"/>
        <v/>
      </c>
      <c r="AU3189" t="str">
        <f t="shared" si="1193"/>
        <v>E2bG1</v>
      </c>
      <c r="AV3189" s="203" t="str">
        <f t="shared" si="1194"/>
        <v>BiK270E2bG1-12</v>
      </c>
      <c r="AW3189">
        <f t="shared" si="1195"/>
        <v>14</v>
      </c>
      <c r="AX3189" t="str">
        <f t="shared" si="1196"/>
        <v>0-0,15 MW, Bonusregeln E2b, G1</v>
      </c>
      <c r="AY3189" t="str">
        <f t="shared" si="1197"/>
        <v/>
      </c>
    </row>
    <row r="3190" spans="1:51" x14ac:dyDescent="0.35">
      <c r="A3190" s="502" t="str">
        <f t="shared" si="1175"/>
        <v>BiK270G2----13</v>
      </c>
      <c r="B3190" s="301" t="s">
        <v>5547</v>
      </c>
      <c r="C3190" s="301" t="str">
        <f t="shared" si="1176"/>
        <v>Inbetriebnahme 2013</v>
      </c>
      <c r="D3190" s="301" t="str">
        <f t="shared" si="1177"/>
        <v>0-0,15 MW, Bonusregel G2</v>
      </c>
      <c r="E3190" s="301"/>
      <c r="F3190" s="377">
        <f t="shared" si="1178"/>
        <v>15.969999999999999</v>
      </c>
      <c r="G3190" s="433">
        <v>15.969999999999999</v>
      </c>
      <c r="H3190" s="402">
        <f t="shared" si="1179"/>
        <v>12.78</v>
      </c>
      <c r="I3190" s="579"/>
      <c r="J3190" s="549" t="s">
        <v>5804</v>
      </c>
      <c r="K3190" s="11"/>
      <c r="L3190" s="55" t="str">
        <f t="shared" si="1180"/>
        <v/>
      </c>
      <c r="M3190" s="37">
        <f t="shared" si="1181"/>
        <v>15.969999999999999</v>
      </c>
      <c r="N3190" s="29">
        <f t="shared" si="1182"/>
        <v>14.014000000000001</v>
      </c>
      <c r="O3190" s="31"/>
      <c r="P3190" s="50"/>
      <c r="Q3190" s="50"/>
      <c r="R3190" s="50"/>
      <c r="S3190" s="31"/>
      <c r="T3190" s="22"/>
      <c r="U3190" s="50"/>
      <c r="V3190" s="179"/>
      <c r="W3190" s="202" t="s">
        <v>1017</v>
      </c>
      <c r="X3190" s="38"/>
      <c r="AH3190" s="202" t="s">
        <v>1780</v>
      </c>
      <c r="AK3190" t="str">
        <f t="shared" si="1183"/>
        <v/>
      </c>
      <c r="AL3190" t="str">
        <f t="shared" si="1184"/>
        <v/>
      </c>
      <c r="AM3190" t="str">
        <f t="shared" si="1185"/>
        <v/>
      </c>
      <c r="AN3190" t="str">
        <f t="shared" si="1186"/>
        <v/>
      </c>
      <c r="AO3190" t="str">
        <f t="shared" si="1187"/>
        <v/>
      </c>
      <c r="AP3190" t="str">
        <f t="shared" si="1188"/>
        <v/>
      </c>
      <c r="AQ3190" t="str">
        <f t="shared" si="1189"/>
        <v/>
      </c>
      <c r="AR3190" t="str">
        <f t="shared" si="1190"/>
        <v/>
      </c>
      <c r="AS3190" t="str">
        <f t="shared" si="1191"/>
        <v>G2</v>
      </c>
      <c r="AT3190" t="str">
        <f t="shared" si="1192"/>
        <v/>
      </c>
      <c r="AU3190" t="str">
        <f t="shared" si="1193"/>
        <v>G2</v>
      </c>
      <c r="AV3190" s="203" t="str">
        <f t="shared" si="1194"/>
        <v>BiK270G2----12</v>
      </c>
      <c r="AW3190">
        <f t="shared" si="1195"/>
        <v>14</v>
      </c>
      <c r="AX3190" t="str">
        <f t="shared" si="1196"/>
        <v>0-0,15 MW, Bonusregel G2</v>
      </c>
      <c r="AY3190" t="str">
        <f t="shared" si="1197"/>
        <v/>
      </c>
    </row>
    <row r="3191" spans="1:51" x14ac:dyDescent="0.35">
      <c r="A3191" s="502" t="str">
        <f t="shared" si="1175"/>
        <v>BiK270E1aG2-13</v>
      </c>
      <c r="B3191" s="301" t="s">
        <v>5547</v>
      </c>
      <c r="C3191" s="301" t="str">
        <f t="shared" si="1176"/>
        <v>Inbetriebnahme 2013</v>
      </c>
      <c r="D3191" s="301" t="str">
        <f t="shared" si="1177"/>
        <v>0-0,15 MW, Bonusregeln E1a, G2</v>
      </c>
      <c r="E3191" s="301"/>
      <c r="F3191" s="377">
        <f t="shared" si="1178"/>
        <v>21.97</v>
      </c>
      <c r="G3191" s="433">
        <v>21.97</v>
      </c>
      <c r="H3191" s="402">
        <f t="shared" si="1179"/>
        <v>17.579999999999998</v>
      </c>
      <c r="I3191" s="579"/>
      <c r="J3191" s="549" t="s">
        <v>5804</v>
      </c>
      <c r="K3191" s="11"/>
      <c r="L3191" s="55" t="str">
        <f t="shared" si="1180"/>
        <v/>
      </c>
      <c r="M3191" s="37">
        <f t="shared" si="1181"/>
        <v>21.97</v>
      </c>
      <c r="N3191" s="29">
        <f t="shared" si="1182"/>
        <v>14.014000000000001</v>
      </c>
      <c r="O3191" s="31" t="s">
        <v>1017</v>
      </c>
      <c r="P3191" s="50"/>
      <c r="Q3191" s="50"/>
      <c r="R3191" s="50"/>
      <c r="S3191" s="179"/>
      <c r="T3191" s="22"/>
      <c r="U3191" s="50"/>
      <c r="V3191" s="179"/>
      <c r="W3191" s="202" t="s">
        <v>1017</v>
      </c>
      <c r="X3191" s="38"/>
      <c r="AH3191" s="202" t="s">
        <v>1780</v>
      </c>
      <c r="AK3191" t="str">
        <f t="shared" si="1183"/>
        <v>E1a</v>
      </c>
      <c r="AL3191" t="str">
        <f t="shared" si="1184"/>
        <v/>
      </c>
      <c r="AM3191" t="str">
        <f t="shared" si="1185"/>
        <v/>
      </c>
      <c r="AN3191" t="str">
        <f t="shared" si="1186"/>
        <v/>
      </c>
      <c r="AO3191" t="str">
        <f t="shared" si="1187"/>
        <v/>
      </c>
      <c r="AP3191" t="str">
        <f t="shared" si="1188"/>
        <v/>
      </c>
      <c r="AQ3191" t="str">
        <f t="shared" si="1189"/>
        <v/>
      </c>
      <c r="AR3191" t="str">
        <f t="shared" si="1190"/>
        <v/>
      </c>
      <c r="AS3191" t="str">
        <f t="shared" si="1191"/>
        <v>G2</v>
      </c>
      <c r="AT3191" t="str">
        <f t="shared" si="1192"/>
        <v/>
      </c>
      <c r="AU3191" t="str">
        <f t="shared" si="1193"/>
        <v>E1aG2</v>
      </c>
      <c r="AV3191" s="203" t="str">
        <f t="shared" si="1194"/>
        <v>BiK270E1aG2-12</v>
      </c>
      <c r="AW3191">
        <f t="shared" si="1195"/>
        <v>14</v>
      </c>
      <c r="AX3191" t="str">
        <f t="shared" si="1196"/>
        <v>0-0,15 MW, Bonusregeln E1a, G2</v>
      </c>
      <c r="AY3191" t="str">
        <f t="shared" si="1197"/>
        <v/>
      </c>
    </row>
    <row r="3192" spans="1:51" x14ac:dyDescent="0.35">
      <c r="A3192" s="502" t="str">
        <f t="shared" si="1175"/>
        <v>BiK270E2aG2-13</v>
      </c>
      <c r="B3192" s="301" t="s">
        <v>5547</v>
      </c>
      <c r="C3192" s="301" t="str">
        <f t="shared" si="1176"/>
        <v>Inbetriebnahme 2013</v>
      </c>
      <c r="D3192" s="301" t="str">
        <f t="shared" si="1177"/>
        <v>0-0,15 MW, Bonusregeln E2a, G2</v>
      </c>
      <c r="E3192" s="301"/>
      <c r="F3192" s="377">
        <f t="shared" si="1178"/>
        <v>23.97</v>
      </c>
      <c r="G3192" s="433">
        <v>23.97</v>
      </c>
      <c r="H3192" s="402">
        <f t="shared" si="1179"/>
        <v>19.18</v>
      </c>
      <c r="I3192" s="579"/>
      <c r="J3192" s="549" t="s">
        <v>5804</v>
      </c>
      <c r="K3192" s="11"/>
      <c r="L3192" s="55" t="str">
        <f t="shared" si="1180"/>
        <v/>
      </c>
      <c r="M3192" s="37">
        <f t="shared" si="1181"/>
        <v>23.97</v>
      </c>
      <c r="N3192" s="29">
        <f t="shared" si="1182"/>
        <v>14.014000000000001</v>
      </c>
      <c r="O3192" s="31"/>
      <c r="P3192" s="50"/>
      <c r="Q3192" s="50"/>
      <c r="R3192" s="50"/>
      <c r="S3192" s="179" t="s">
        <v>1017</v>
      </c>
      <c r="T3192" s="22"/>
      <c r="U3192" s="50"/>
      <c r="V3192" s="179"/>
      <c r="W3192" s="202" t="s">
        <v>1017</v>
      </c>
      <c r="X3192" s="38"/>
      <c r="AH3192" s="202" t="s">
        <v>1780</v>
      </c>
      <c r="AK3192" t="str">
        <f t="shared" si="1183"/>
        <v/>
      </c>
      <c r="AL3192" t="str">
        <f t="shared" si="1184"/>
        <v/>
      </c>
      <c r="AM3192" t="str">
        <f t="shared" si="1185"/>
        <v/>
      </c>
      <c r="AN3192" t="str">
        <f t="shared" si="1186"/>
        <v/>
      </c>
      <c r="AO3192" t="str">
        <f t="shared" si="1187"/>
        <v>E2a</v>
      </c>
      <c r="AP3192" t="str">
        <f t="shared" si="1188"/>
        <v/>
      </c>
      <c r="AQ3192" t="str">
        <f t="shared" si="1189"/>
        <v/>
      </c>
      <c r="AR3192" t="str">
        <f t="shared" si="1190"/>
        <v/>
      </c>
      <c r="AS3192" t="str">
        <f t="shared" si="1191"/>
        <v>G2</v>
      </c>
      <c r="AT3192" t="str">
        <f t="shared" si="1192"/>
        <v/>
      </c>
      <c r="AU3192" t="str">
        <f t="shared" si="1193"/>
        <v>E2aG2</v>
      </c>
      <c r="AV3192" s="203" t="str">
        <f t="shared" si="1194"/>
        <v>BiK270E2aG2-12</v>
      </c>
      <c r="AW3192">
        <f t="shared" si="1195"/>
        <v>14</v>
      </c>
      <c r="AX3192" t="str">
        <f t="shared" si="1196"/>
        <v>0-0,15 MW, Bonusregeln E2a, G2</v>
      </c>
      <c r="AY3192" t="str">
        <f t="shared" si="1197"/>
        <v/>
      </c>
    </row>
    <row r="3193" spans="1:51" x14ac:dyDescent="0.35">
      <c r="A3193" s="502" t="str">
        <f t="shared" si="1175"/>
        <v>BiK270E2bG2-13</v>
      </c>
      <c r="B3193" s="301" t="s">
        <v>5547</v>
      </c>
      <c r="C3193" s="301" t="str">
        <f t="shared" si="1176"/>
        <v>Inbetriebnahme 2013</v>
      </c>
      <c r="D3193" s="301" t="str">
        <f t="shared" si="1177"/>
        <v>0-0,15 MW, Bonusregeln E2b, G2</v>
      </c>
      <c r="E3193" s="301"/>
      <c r="F3193" s="377">
        <f t="shared" si="1178"/>
        <v>23.97</v>
      </c>
      <c r="G3193" s="433">
        <v>23.97</v>
      </c>
      <c r="H3193" s="402">
        <f t="shared" si="1179"/>
        <v>19.18</v>
      </c>
      <c r="I3193" s="579"/>
      <c r="J3193" s="549" t="s">
        <v>5804</v>
      </c>
      <c r="K3193" s="11"/>
      <c r="L3193" s="55" t="str">
        <f t="shared" si="1180"/>
        <v/>
      </c>
      <c r="M3193" s="37">
        <f t="shared" si="1181"/>
        <v>23.97</v>
      </c>
      <c r="N3193" s="29">
        <f t="shared" si="1182"/>
        <v>14.014000000000001</v>
      </c>
      <c r="O3193" s="31"/>
      <c r="P3193" s="50"/>
      <c r="Q3193" s="50"/>
      <c r="R3193" s="50"/>
      <c r="S3193" s="179"/>
      <c r="T3193" s="22" t="s">
        <v>1017</v>
      </c>
      <c r="U3193" s="50"/>
      <c r="V3193" s="179"/>
      <c r="W3193" s="202" t="s">
        <v>1017</v>
      </c>
      <c r="X3193" s="38"/>
      <c r="AH3193" s="202" t="s">
        <v>1780</v>
      </c>
      <c r="AK3193" t="str">
        <f t="shared" si="1183"/>
        <v/>
      </c>
      <c r="AL3193" t="str">
        <f t="shared" si="1184"/>
        <v/>
      </c>
      <c r="AM3193" t="str">
        <f t="shared" si="1185"/>
        <v/>
      </c>
      <c r="AN3193" t="str">
        <f t="shared" si="1186"/>
        <v/>
      </c>
      <c r="AO3193" t="str">
        <f t="shared" si="1187"/>
        <v/>
      </c>
      <c r="AP3193" t="str">
        <f t="shared" si="1188"/>
        <v>E2b</v>
      </c>
      <c r="AQ3193" t="str">
        <f t="shared" si="1189"/>
        <v/>
      </c>
      <c r="AR3193" t="str">
        <f t="shared" si="1190"/>
        <v/>
      </c>
      <c r="AS3193" t="str">
        <f t="shared" si="1191"/>
        <v>G2</v>
      </c>
      <c r="AT3193" t="str">
        <f t="shared" si="1192"/>
        <v/>
      </c>
      <c r="AU3193" t="str">
        <f t="shared" si="1193"/>
        <v>E2bG2</v>
      </c>
      <c r="AV3193" s="203" t="str">
        <f t="shared" si="1194"/>
        <v>BiK270E2bG2-12</v>
      </c>
      <c r="AW3193">
        <f t="shared" si="1195"/>
        <v>14</v>
      </c>
      <c r="AX3193" t="str">
        <f t="shared" si="1196"/>
        <v>0-0,15 MW, Bonusregeln E2b, G2</v>
      </c>
      <c r="AY3193" t="str">
        <f t="shared" si="1197"/>
        <v/>
      </c>
    </row>
    <row r="3194" spans="1:51" x14ac:dyDescent="0.35">
      <c r="A3194" s="502" t="str">
        <f t="shared" si="1175"/>
        <v>BiK270G3----13</v>
      </c>
      <c r="B3194" s="301" t="s">
        <v>5547</v>
      </c>
      <c r="C3194" s="301" t="str">
        <f t="shared" si="1176"/>
        <v>Inbetriebnahme 2013</v>
      </c>
      <c r="D3194" s="301" t="str">
        <f t="shared" si="1177"/>
        <v>0-0,15 MW, Bonusregel G3</v>
      </c>
      <c r="E3194" s="301"/>
      <c r="F3194" s="377">
        <f t="shared" si="1178"/>
        <v>14.99</v>
      </c>
      <c r="G3194" s="433">
        <v>14.99</v>
      </c>
      <c r="H3194" s="402">
        <f t="shared" si="1179"/>
        <v>11.99</v>
      </c>
      <c r="I3194" s="579"/>
      <c r="J3194" s="549" t="s">
        <v>5804</v>
      </c>
      <c r="K3194" s="11"/>
      <c r="L3194" s="55" t="str">
        <f t="shared" si="1180"/>
        <v/>
      </c>
      <c r="M3194" s="37">
        <f t="shared" si="1181"/>
        <v>14.99</v>
      </c>
      <c r="N3194" s="29">
        <f t="shared" si="1182"/>
        <v>14.014000000000001</v>
      </c>
      <c r="O3194" s="31"/>
      <c r="P3194" s="50"/>
      <c r="Q3194" s="50"/>
      <c r="R3194" s="50"/>
      <c r="S3194" s="31"/>
      <c r="T3194" s="22"/>
      <c r="U3194" s="50"/>
      <c r="V3194" s="179"/>
      <c r="W3194" s="22"/>
      <c r="X3194" s="38" t="s">
        <v>1017</v>
      </c>
      <c r="AH3194" s="202" t="s">
        <v>1780</v>
      </c>
      <c r="AK3194" t="str">
        <f t="shared" si="1183"/>
        <v/>
      </c>
      <c r="AL3194" t="str">
        <f t="shared" si="1184"/>
        <v/>
      </c>
      <c r="AM3194" t="str">
        <f t="shared" si="1185"/>
        <v/>
      </c>
      <c r="AN3194" t="str">
        <f t="shared" si="1186"/>
        <v/>
      </c>
      <c r="AO3194" t="str">
        <f t="shared" si="1187"/>
        <v/>
      </c>
      <c r="AP3194" t="str">
        <f t="shared" si="1188"/>
        <v/>
      </c>
      <c r="AQ3194" t="str">
        <f t="shared" si="1189"/>
        <v/>
      </c>
      <c r="AR3194" t="str">
        <f t="shared" si="1190"/>
        <v/>
      </c>
      <c r="AS3194" t="str">
        <f t="shared" si="1191"/>
        <v/>
      </c>
      <c r="AT3194" t="str">
        <f t="shared" si="1192"/>
        <v>G3</v>
      </c>
      <c r="AU3194" t="str">
        <f t="shared" si="1193"/>
        <v>G3</v>
      </c>
      <c r="AV3194" s="203" t="str">
        <f t="shared" si="1194"/>
        <v>BiK270G3----12</v>
      </c>
      <c r="AW3194">
        <f t="shared" si="1195"/>
        <v>14</v>
      </c>
      <c r="AX3194" t="str">
        <f t="shared" si="1196"/>
        <v>0-0,15 MW, Bonusregel G3</v>
      </c>
      <c r="AY3194" t="str">
        <f t="shared" si="1197"/>
        <v/>
      </c>
    </row>
    <row r="3195" spans="1:51" x14ac:dyDescent="0.35">
      <c r="A3195" s="502" t="str">
        <f t="shared" si="1175"/>
        <v>BiK270E1aG3-13</v>
      </c>
      <c r="B3195" s="301" t="s">
        <v>5547</v>
      </c>
      <c r="C3195" s="301" t="str">
        <f t="shared" si="1176"/>
        <v>Inbetriebnahme 2013</v>
      </c>
      <c r="D3195" s="301" t="str">
        <f t="shared" si="1177"/>
        <v>0-0,15 MW, Bonusregeln E1a, G3</v>
      </c>
      <c r="E3195" s="301"/>
      <c r="F3195" s="377">
        <f t="shared" si="1178"/>
        <v>20.990000000000002</v>
      </c>
      <c r="G3195" s="433">
        <v>20.990000000000002</v>
      </c>
      <c r="H3195" s="402">
        <f t="shared" si="1179"/>
        <v>16.79</v>
      </c>
      <c r="I3195" s="579"/>
      <c r="J3195" s="549" t="s">
        <v>5804</v>
      </c>
      <c r="K3195" s="11"/>
      <c r="L3195" s="55" t="str">
        <f t="shared" si="1180"/>
        <v/>
      </c>
      <c r="M3195" s="37">
        <f t="shared" si="1181"/>
        <v>20.990000000000002</v>
      </c>
      <c r="N3195" s="29">
        <f t="shared" si="1182"/>
        <v>14.014000000000001</v>
      </c>
      <c r="O3195" s="31" t="s">
        <v>1017</v>
      </c>
      <c r="P3195" s="50"/>
      <c r="Q3195" s="50"/>
      <c r="R3195" s="50"/>
      <c r="S3195" s="179"/>
      <c r="T3195" s="22"/>
      <c r="U3195" s="50"/>
      <c r="V3195" s="179"/>
      <c r="W3195" s="22"/>
      <c r="X3195" s="38" t="s">
        <v>1017</v>
      </c>
      <c r="AH3195" s="202" t="s">
        <v>1780</v>
      </c>
      <c r="AK3195" t="str">
        <f t="shared" si="1183"/>
        <v>E1a</v>
      </c>
      <c r="AL3195" t="str">
        <f t="shared" si="1184"/>
        <v/>
      </c>
      <c r="AM3195" t="str">
        <f t="shared" si="1185"/>
        <v/>
      </c>
      <c r="AN3195" t="str">
        <f t="shared" si="1186"/>
        <v/>
      </c>
      <c r="AO3195" t="str">
        <f t="shared" si="1187"/>
        <v/>
      </c>
      <c r="AP3195" t="str">
        <f t="shared" si="1188"/>
        <v/>
      </c>
      <c r="AQ3195" t="str">
        <f t="shared" si="1189"/>
        <v/>
      </c>
      <c r="AR3195" t="str">
        <f t="shared" si="1190"/>
        <v/>
      </c>
      <c r="AS3195" t="str">
        <f t="shared" si="1191"/>
        <v/>
      </c>
      <c r="AT3195" t="str">
        <f t="shared" si="1192"/>
        <v>G3</v>
      </c>
      <c r="AU3195" t="str">
        <f t="shared" si="1193"/>
        <v>E1aG3</v>
      </c>
      <c r="AV3195" s="203" t="str">
        <f t="shared" si="1194"/>
        <v>BiK270E1aG3-12</v>
      </c>
      <c r="AW3195">
        <f t="shared" si="1195"/>
        <v>14</v>
      </c>
      <c r="AX3195" t="str">
        <f t="shared" si="1196"/>
        <v>0-0,15 MW, Bonusregeln E1a, G3</v>
      </c>
      <c r="AY3195" t="str">
        <f t="shared" si="1197"/>
        <v/>
      </c>
    </row>
    <row r="3196" spans="1:51" x14ac:dyDescent="0.35">
      <c r="A3196" s="502" t="str">
        <f t="shared" si="1175"/>
        <v>BiK270E2aG3-13</v>
      </c>
      <c r="B3196" s="301" t="s">
        <v>5547</v>
      </c>
      <c r="C3196" s="301" t="str">
        <f t="shared" si="1176"/>
        <v>Inbetriebnahme 2013</v>
      </c>
      <c r="D3196" s="301" t="str">
        <f t="shared" si="1177"/>
        <v>0-0,15 MW, Bonusregeln E2a, G3</v>
      </c>
      <c r="E3196" s="301"/>
      <c r="F3196" s="377">
        <f t="shared" si="1178"/>
        <v>22.990000000000002</v>
      </c>
      <c r="G3196" s="433">
        <v>22.990000000000002</v>
      </c>
      <c r="H3196" s="402">
        <f t="shared" si="1179"/>
        <v>18.39</v>
      </c>
      <c r="I3196" s="579"/>
      <c r="J3196" s="549" t="s">
        <v>5804</v>
      </c>
      <c r="K3196" s="11"/>
      <c r="L3196" s="55" t="str">
        <f t="shared" si="1180"/>
        <v/>
      </c>
      <c r="M3196" s="37">
        <f t="shared" si="1181"/>
        <v>22.990000000000002</v>
      </c>
      <c r="N3196" s="29">
        <f t="shared" si="1182"/>
        <v>14.014000000000001</v>
      </c>
      <c r="O3196" s="31"/>
      <c r="P3196" s="50"/>
      <c r="Q3196" s="50"/>
      <c r="R3196" s="50"/>
      <c r="S3196" s="179" t="s">
        <v>1017</v>
      </c>
      <c r="T3196" s="22"/>
      <c r="U3196" s="50"/>
      <c r="V3196" s="179"/>
      <c r="W3196" s="22"/>
      <c r="X3196" s="38" t="s">
        <v>1017</v>
      </c>
      <c r="AH3196" s="202" t="s">
        <v>1780</v>
      </c>
      <c r="AK3196" t="str">
        <f t="shared" si="1183"/>
        <v/>
      </c>
      <c r="AL3196" t="str">
        <f t="shared" si="1184"/>
        <v/>
      </c>
      <c r="AM3196" t="str">
        <f t="shared" si="1185"/>
        <v/>
      </c>
      <c r="AN3196" t="str">
        <f t="shared" si="1186"/>
        <v/>
      </c>
      <c r="AO3196" t="str">
        <f t="shared" si="1187"/>
        <v>E2a</v>
      </c>
      <c r="AP3196" t="str">
        <f t="shared" si="1188"/>
        <v/>
      </c>
      <c r="AQ3196" t="str">
        <f t="shared" si="1189"/>
        <v/>
      </c>
      <c r="AR3196" t="str">
        <f t="shared" si="1190"/>
        <v/>
      </c>
      <c r="AS3196" t="str">
        <f t="shared" si="1191"/>
        <v/>
      </c>
      <c r="AT3196" t="str">
        <f t="shared" si="1192"/>
        <v>G3</v>
      </c>
      <c r="AU3196" t="str">
        <f t="shared" si="1193"/>
        <v>E2aG3</v>
      </c>
      <c r="AV3196" s="203" t="str">
        <f t="shared" si="1194"/>
        <v>BiK270E2aG3-12</v>
      </c>
      <c r="AW3196">
        <f t="shared" si="1195"/>
        <v>14</v>
      </c>
      <c r="AX3196" t="str">
        <f t="shared" si="1196"/>
        <v>0-0,15 MW, Bonusregeln E2a, G3</v>
      </c>
      <c r="AY3196" t="str">
        <f t="shared" si="1197"/>
        <v/>
      </c>
    </row>
    <row r="3197" spans="1:51" x14ac:dyDescent="0.35">
      <c r="A3197" s="502" t="str">
        <f t="shared" si="1175"/>
        <v>BiK270E2bG3-13</v>
      </c>
      <c r="B3197" s="301" t="s">
        <v>5547</v>
      </c>
      <c r="C3197" s="301" t="str">
        <f t="shared" si="1176"/>
        <v>Inbetriebnahme 2013</v>
      </c>
      <c r="D3197" s="301" t="str">
        <f t="shared" si="1177"/>
        <v>0-0,15 MW, Bonusregeln E2b, G3</v>
      </c>
      <c r="E3197" s="301"/>
      <c r="F3197" s="377">
        <f t="shared" si="1178"/>
        <v>22.990000000000002</v>
      </c>
      <c r="G3197" s="433">
        <v>22.990000000000002</v>
      </c>
      <c r="H3197" s="402">
        <f t="shared" si="1179"/>
        <v>18.39</v>
      </c>
      <c r="I3197" s="579"/>
      <c r="J3197" s="549" t="s">
        <v>5804</v>
      </c>
      <c r="K3197" s="11"/>
      <c r="L3197" s="55" t="str">
        <f t="shared" si="1180"/>
        <v/>
      </c>
      <c r="M3197" s="37">
        <f t="shared" si="1181"/>
        <v>22.990000000000002</v>
      </c>
      <c r="N3197" s="29">
        <f t="shared" si="1182"/>
        <v>14.014000000000001</v>
      </c>
      <c r="O3197" s="22"/>
      <c r="P3197" s="50"/>
      <c r="Q3197" s="50"/>
      <c r="R3197" s="50"/>
      <c r="S3197" s="202"/>
      <c r="T3197" s="22" t="s">
        <v>1017</v>
      </c>
      <c r="U3197" s="50"/>
      <c r="V3197" s="179"/>
      <c r="W3197" s="22"/>
      <c r="X3197" s="38" t="s">
        <v>1017</v>
      </c>
      <c r="AH3197" s="202" t="s">
        <v>1780</v>
      </c>
      <c r="AK3197" t="str">
        <f t="shared" si="1183"/>
        <v/>
      </c>
      <c r="AL3197" t="str">
        <f t="shared" si="1184"/>
        <v/>
      </c>
      <c r="AM3197" t="str">
        <f t="shared" si="1185"/>
        <v/>
      </c>
      <c r="AN3197" t="str">
        <f t="shared" si="1186"/>
        <v/>
      </c>
      <c r="AO3197" t="str">
        <f t="shared" si="1187"/>
        <v/>
      </c>
      <c r="AP3197" t="str">
        <f t="shared" si="1188"/>
        <v>E2b</v>
      </c>
      <c r="AQ3197" t="str">
        <f t="shared" si="1189"/>
        <v/>
      </c>
      <c r="AR3197" t="str">
        <f t="shared" si="1190"/>
        <v/>
      </c>
      <c r="AS3197" t="str">
        <f t="shared" si="1191"/>
        <v/>
      </c>
      <c r="AT3197" t="str">
        <f t="shared" si="1192"/>
        <v>G3</v>
      </c>
      <c r="AU3197" t="str">
        <f t="shared" si="1193"/>
        <v>E2bG3</v>
      </c>
      <c r="AV3197" s="203" t="str">
        <f t="shared" si="1194"/>
        <v>BiK270E2bG3-12</v>
      </c>
      <c r="AW3197">
        <f t="shared" si="1195"/>
        <v>14</v>
      </c>
      <c r="AX3197" t="str">
        <f t="shared" si="1196"/>
        <v>0-0,15 MW, Bonusregeln E2b, G3</v>
      </c>
      <c r="AY3197" t="str">
        <f t="shared" si="1197"/>
        <v/>
      </c>
    </row>
    <row r="3198" spans="1:51" x14ac:dyDescent="0.35">
      <c r="A3198" s="502" t="str">
        <f t="shared" ref="A3198:A3213" si="1198">"BiK271"&amp;AU3198&amp;RIGHT("------",6-LEN(AU3198))&amp;RIGHT($M$3181,2)</f>
        <v>BiK271------13</v>
      </c>
      <c r="B3198" s="301" t="s">
        <v>5547</v>
      </c>
      <c r="C3198" s="301" t="str">
        <f t="shared" si="1176"/>
        <v>Inbetriebnahme 2013</v>
      </c>
      <c r="D3198" s="301" t="str">
        <f t="shared" si="1177"/>
        <v>0,15-0,5 MW</v>
      </c>
      <c r="E3198" s="301"/>
      <c r="F3198" s="377">
        <f t="shared" si="1178"/>
        <v>12.05</v>
      </c>
      <c r="G3198" s="433">
        <v>12.05</v>
      </c>
      <c r="H3198" s="402">
        <f t="shared" si="1179"/>
        <v>9.64</v>
      </c>
      <c r="I3198" s="579"/>
      <c r="J3198" s="549" t="s">
        <v>5804</v>
      </c>
      <c r="K3198" s="11"/>
      <c r="L3198" s="55" t="str">
        <f t="shared" si="1180"/>
        <v/>
      </c>
      <c r="M3198" s="37">
        <f t="shared" si="1181"/>
        <v>12.05</v>
      </c>
      <c r="N3198" s="29">
        <f t="shared" si="1182"/>
        <v>12.054</v>
      </c>
      <c r="O3198" s="31"/>
      <c r="P3198" s="50"/>
      <c r="Q3198" s="50"/>
      <c r="R3198" s="50"/>
      <c r="S3198" s="31"/>
      <c r="T3198" s="22"/>
      <c r="U3198" s="50"/>
      <c r="V3198" s="31"/>
      <c r="W3198" s="22"/>
      <c r="X3198" s="38"/>
      <c r="AH3198" s="202" t="s">
        <v>1779</v>
      </c>
      <c r="AK3198" t="str">
        <f t="shared" si="1183"/>
        <v/>
      </c>
      <c r="AL3198" t="str">
        <f t="shared" si="1184"/>
        <v/>
      </c>
      <c r="AM3198" t="str">
        <f t="shared" si="1185"/>
        <v/>
      </c>
      <c r="AN3198" t="str">
        <f t="shared" si="1186"/>
        <v/>
      </c>
      <c r="AO3198" t="str">
        <f t="shared" si="1187"/>
        <v/>
      </c>
      <c r="AP3198" t="str">
        <f t="shared" si="1188"/>
        <v/>
      </c>
      <c r="AQ3198" t="str">
        <f t="shared" si="1189"/>
        <v/>
      </c>
      <c r="AR3198" t="str">
        <f t="shared" si="1190"/>
        <v/>
      </c>
      <c r="AS3198" t="str">
        <f t="shared" si="1191"/>
        <v/>
      </c>
      <c r="AT3198" t="str">
        <f t="shared" si="1192"/>
        <v/>
      </c>
      <c r="AU3198" t="str">
        <f t="shared" si="1193"/>
        <v/>
      </c>
      <c r="AV3198" s="203" t="str">
        <f t="shared" ref="AV3198:AV3213" si="1199">"BiK271"&amp;AU3198&amp;RIGHT("------",6-LEN(AU3198))&amp;RIGHT($M$3099,2)</f>
        <v>BiK271------12</v>
      </c>
      <c r="AW3198">
        <f t="shared" si="1195"/>
        <v>14</v>
      </c>
      <c r="AX3198" t="str">
        <f t="shared" si="1196"/>
        <v>0,15-0,5 MW</v>
      </c>
      <c r="AY3198" t="str">
        <f t="shared" si="1197"/>
        <v/>
      </c>
    </row>
    <row r="3199" spans="1:51" x14ac:dyDescent="0.35">
      <c r="A3199" s="502" t="str">
        <f t="shared" si="1198"/>
        <v>BiK271E1a---13</v>
      </c>
      <c r="B3199" s="301" t="s">
        <v>5547</v>
      </c>
      <c r="C3199" s="301" t="str">
        <f t="shared" si="1176"/>
        <v>Inbetriebnahme 2013</v>
      </c>
      <c r="D3199" s="301" t="str">
        <f t="shared" si="1177"/>
        <v>0,15-0,5 MW, Bonusregel E1a</v>
      </c>
      <c r="E3199" s="301"/>
      <c r="F3199" s="377">
        <f t="shared" si="1178"/>
        <v>18.05</v>
      </c>
      <c r="G3199" s="433">
        <v>18.05</v>
      </c>
      <c r="H3199" s="402">
        <f t="shared" si="1179"/>
        <v>14.44</v>
      </c>
      <c r="I3199" s="579"/>
      <c r="J3199" s="549" t="s">
        <v>5804</v>
      </c>
      <c r="K3199" s="11"/>
      <c r="L3199" s="55" t="str">
        <f t="shared" si="1180"/>
        <v/>
      </c>
      <c r="M3199" s="37">
        <f t="shared" si="1181"/>
        <v>18.05</v>
      </c>
      <c r="N3199" s="29">
        <f t="shared" si="1182"/>
        <v>12.054</v>
      </c>
      <c r="O3199" s="179" t="s">
        <v>1017</v>
      </c>
      <c r="P3199" s="50"/>
      <c r="Q3199" s="50"/>
      <c r="R3199" s="50"/>
      <c r="S3199" s="31"/>
      <c r="T3199" s="22"/>
      <c r="U3199" s="50"/>
      <c r="V3199" s="31"/>
      <c r="W3199" s="22"/>
      <c r="X3199" s="38"/>
      <c r="AH3199" s="202" t="s">
        <v>1779</v>
      </c>
      <c r="AK3199" t="str">
        <f t="shared" si="1183"/>
        <v>E1a</v>
      </c>
      <c r="AL3199" t="str">
        <f t="shared" si="1184"/>
        <v/>
      </c>
      <c r="AM3199" t="str">
        <f t="shared" si="1185"/>
        <v/>
      </c>
      <c r="AN3199" t="str">
        <f t="shared" si="1186"/>
        <v/>
      </c>
      <c r="AO3199" t="str">
        <f t="shared" si="1187"/>
        <v/>
      </c>
      <c r="AP3199" t="str">
        <f t="shared" si="1188"/>
        <v/>
      </c>
      <c r="AQ3199" t="str">
        <f t="shared" si="1189"/>
        <v/>
      </c>
      <c r="AR3199" t="str">
        <f t="shared" si="1190"/>
        <v/>
      </c>
      <c r="AS3199" t="str">
        <f t="shared" si="1191"/>
        <v/>
      </c>
      <c r="AT3199" t="str">
        <f t="shared" si="1192"/>
        <v/>
      </c>
      <c r="AU3199" t="str">
        <f t="shared" si="1193"/>
        <v>E1a</v>
      </c>
      <c r="AV3199" s="203" t="str">
        <f t="shared" si="1199"/>
        <v>BiK271E1a---12</v>
      </c>
      <c r="AW3199">
        <f t="shared" si="1195"/>
        <v>14</v>
      </c>
      <c r="AX3199" t="str">
        <f t="shared" si="1196"/>
        <v>0,15-0,5 MW, Bonusregel E1a</v>
      </c>
      <c r="AY3199" t="str">
        <f t="shared" si="1197"/>
        <v/>
      </c>
    </row>
    <row r="3200" spans="1:51" x14ac:dyDescent="0.35">
      <c r="A3200" s="502" t="str">
        <f t="shared" si="1198"/>
        <v>BiK271E2a---13</v>
      </c>
      <c r="B3200" s="301" t="s">
        <v>5547</v>
      </c>
      <c r="C3200" s="301" t="str">
        <f t="shared" si="1176"/>
        <v>Inbetriebnahme 2013</v>
      </c>
      <c r="D3200" s="301" t="str">
        <f t="shared" si="1177"/>
        <v>0,15-0,5 MW, Bonusregel E2a</v>
      </c>
      <c r="E3200" s="301"/>
      <c r="F3200" s="377">
        <f t="shared" si="1178"/>
        <v>20.05</v>
      </c>
      <c r="G3200" s="433">
        <v>20.05</v>
      </c>
      <c r="H3200" s="402">
        <f t="shared" si="1179"/>
        <v>16.04</v>
      </c>
      <c r="I3200" s="579"/>
      <c r="J3200" s="549" t="s">
        <v>5804</v>
      </c>
      <c r="K3200" s="11"/>
      <c r="L3200" s="55" t="str">
        <f t="shared" si="1180"/>
        <v/>
      </c>
      <c r="M3200" s="37">
        <f t="shared" si="1181"/>
        <v>20.05</v>
      </c>
      <c r="N3200" s="29">
        <f t="shared" si="1182"/>
        <v>12.054</v>
      </c>
      <c r="O3200" s="31"/>
      <c r="P3200" s="50"/>
      <c r="Q3200" s="50"/>
      <c r="R3200" s="50"/>
      <c r="S3200" s="179" t="s">
        <v>1017</v>
      </c>
      <c r="T3200" s="22"/>
      <c r="U3200" s="50"/>
      <c r="V3200" s="31"/>
      <c r="W3200" s="22"/>
      <c r="X3200" s="38"/>
      <c r="AH3200" s="202" t="s">
        <v>1779</v>
      </c>
      <c r="AK3200" t="str">
        <f t="shared" si="1183"/>
        <v/>
      </c>
      <c r="AL3200" t="str">
        <f t="shared" si="1184"/>
        <v/>
      </c>
      <c r="AM3200" t="str">
        <f t="shared" si="1185"/>
        <v/>
      </c>
      <c r="AN3200" t="str">
        <f t="shared" si="1186"/>
        <v/>
      </c>
      <c r="AO3200" t="str">
        <f t="shared" si="1187"/>
        <v>E2a</v>
      </c>
      <c r="AP3200" t="str">
        <f t="shared" si="1188"/>
        <v/>
      </c>
      <c r="AQ3200" t="str">
        <f t="shared" si="1189"/>
        <v/>
      </c>
      <c r="AR3200" t="str">
        <f t="shared" si="1190"/>
        <v/>
      </c>
      <c r="AS3200" t="str">
        <f t="shared" si="1191"/>
        <v/>
      </c>
      <c r="AT3200" t="str">
        <f t="shared" si="1192"/>
        <v/>
      </c>
      <c r="AU3200" t="str">
        <f t="shared" si="1193"/>
        <v>E2a</v>
      </c>
      <c r="AV3200" s="203" t="str">
        <f t="shared" si="1199"/>
        <v>BiK271E2a---12</v>
      </c>
      <c r="AW3200">
        <f t="shared" si="1195"/>
        <v>14</v>
      </c>
      <c r="AX3200" t="str">
        <f t="shared" si="1196"/>
        <v>0,15-0,5 MW, Bonusregel E2a</v>
      </c>
      <c r="AY3200" t="str">
        <f t="shared" si="1197"/>
        <v/>
      </c>
    </row>
    <row r="3201" spans="1:51" x14ac:dyDescent="0.35">
      <c r="A3201" s="502" t="str">
        <f t="shared" si="1198"/>
        <v>BiK271E2b---13</v>
      </c>
      <c r="B3201" s="301" t="s">
        <v>5547</v>
      </c>
      <c r="C3201" s="301" t="str">
        <f t="shared" si="1176"/>
        <v>Inbetriebnahme 2013</v>
      </c>
      <c r="D3201" s="301" t="str">
        <f t="shared" si="1177"/>
        <v>0,15-0,5 MW, Bonusregel E2b</v>
      </c>
      <c r="E3201" s="301"/>
      <c r="F3201" s="377">
        <f t="shared" si="1178"/>
        <v>20.05</v>
      </c>
      <c r="G3201" s="433">
        <v>20.05</v>
      </c>
      <c r="H3201" s="402">
        <f t="shared" si="1179"/>
        <v>16.04</v>
      </c>
      <c r="I3201" s="579"/>
      <c r="J3201" s="549" t="s">
        <v>5804</v>
      </c>
      <c r="K3201" s="11"/>
      <c r="L3201" s="55" t="str">
        <f t="shared" si="1180"/>
        <v/>
      </c>
      <c r="M3201" s="37">
        <f t="shared" si="1181"/>
        <v>20.05</v>
      </c>
      <c r="N3201" s="29">
        <f t="shared" si="1182"/>
        <v>12.054</v>
      </c>
      <c r="O3201" s="31"/>
      <c r="P3201" s="50"/>
      <c r="Q3201" s="50"/>
      <c r="R3201" s="50"/>
      <c r="S3201" s="179"/>
      <c r="T3201" s="202" t="s">
        <v>1017</v>
      </c>
      <c r="U3201" s="50"/>
      <c r="V3201" s="31"/>
      <c r="W3201" s="22"/>
      <c r="X3201" s="38"/>
      <c r="AH3201" s="202" t="s">
        <v>1779</v>
      </c>
      <c r="AK3201" t="str">
        <f t="shared" si="1183"/>
        <v/>
      </c>
      <c r="AL3201" t="str">
        <f t="shared" si="1184"/>
        <v/>
      </c>
      <c r="AM3201" t="str">
        <f t="shared" si="1185"/>
        <v/>
      </c>
      <c r="AN3201" t="str">
        <f t="shared" si="1186"/>
        <v/>
      </c>
      <c r="AO3201" t="str">
        <f t="shared" si="1187"/>
        <v/>
      </c>
      <c r="AP3201" t="str">
        <f t="shared" si="1188"/>
        <v>E2b</v>
      </c>
      <c r="AQ3201" t="str">
        <f t="shared" si="1189"/>
        <v/>
      </c>
      <c r="AR3201" t="str">
        <f t="shared" si="1190"/>
        <v/>
      </c>
      <c r="AS3201" t="str">
        <f t="shared" si="1191"/>
        <v/>
      </c>
      <c r="AT3201" t="str">
        <f t="shared" si="1192"/>
        <v/>
      </c>
      <c r="AU3201" t="str">
        <f t="shared" si="1193"/>
        <v>E2b</v>
      </c>
      <c r="AV3201" s="203" t="str">
        <f t="shared" si="1199"/>
        <v>BiK271E2b---12</v>
      </c>
      <c r="AW3201">
        <f t="shared" si="1195"/>
        <v>14</v>
      </c>
      <c r="AX3201" t="str">
        <f t="shared" si="1196"/>
        <v>0,15-0,5 MW, Bonusregel E2b</v>
      </c>
      <c r="AY3201" t="str">
        <f t="shared" si="1197"/>
        <v/>
      </c>
    </row>
    <row r="3202" spans="1:51" x14ac:dyDescent="0.35">
      <c r="A3202" s="502" t="str">
        <f t="shared" si="1198"/>
        <v>BiK271G1----13</v>
      </c>
      <c r="B3202" s="301" t="s">
        <v>5547</v>
      </c>
      <c r="C3202" s="301" t="str">
        <f t="shared" si="1176"/>
        <v>Inbetriebnahme 2013</v>
      </c>
      <c r="D3202" s="301" t="str">
        <f t="shared" si="1177"/>
        <v>0,15-0,5 MW, Bonusregel G1</v>
      </c>
      <c r="E3202" s="301"/>
      <c r="F3202" s="377">
        <f t="shared" si="1178"/>
        <v>14.99</v>
      </c>
      <c r="G3202" s="433">
        <v>14.99</v>
      </c>
      <c r="H3202" s="402">
        <f t="shared" si="1179"/>
        <v>11.99</v>
      </c>
      <c r="I3202" s="579"/>
      <c r="J3202" s="549" t="s">
        <v>5804</v>
      </c>
      <c r="K3202" s="11"/>
      <c r="L3202" s="55" t="str">
        <f t="shared" si="1180"/>
        <v/>
      </c>
      <c r="M3202" s="37">
        <f t="shared" si="1181"/>
        <v>14.99</v>
      </c>
      <c r="N3202" s="29">
        <f t="shared" si="1182"/>
        <v>12.054</v>
      </c>
      <c r="O3202" s="31"/>
      <c r="P3202" s="50"/>
      <c r="Q3202" s="50"/>
      <c r="R3202" s="50"/>
      <c r="S3202" s="31"/>
      <c r="T3202" s="22"/>
      <c r="U3202" s="50"/>
      <c r="V3202" s="179" t="s">
        <v>1017</v>
      </c>
      <c r="W3202" s="22"/>
      <c r="X3202" s="38"/>
      <c r="AH3202" s="202" t="s">
        <v>1779</v>
      </c>
      <c r="AK3202" t="str">
        <f t="shared" si="1183"/>
        <v/>
      </c>
      <c r="AL3202" t="str">
        <f t="shared" si="1184"/>
        <v/>
      </c>
      <c r="AM3202" t="str">
        <f t="shared" si="1185"/>
        <v/>
      </c>
      <c r="AN3202" t="str">
        <f t="shared" si="1186"/>
        <v/>
      </c>
      <c r="AO3202" t="str">
        <f t="shared" si="1187"/>
        <v/>
      </c>
      <c r="AP3202" t="str">
        <f t="shared" si="1188"/>
        <v/>
      </c>
      <c r="AQ3202" t="str">
        <f t="shared" si="1189"/>
        <v/>
      </c>
      <c r="AR3202" t="str">
        <f t="shared" si="1190"/>
        <v>G1</v>
      </c>
      <c r="AS3202" t="str">
        <f t="shared" si="1191"/>
        <v/>
      </c>
      <c r="AT3202" t="str">
        <f t="shared" si="1192"/>
        <v/>
      </c>
      <c r="AU3202" t="str">
        <f t="shared" si="1193"/>
        <v>G1</v>
      </c>
      <c r="AV3202" s="203" t="str">
        <f t="shared" si="1199"/>
        <v>BiK271G1----12</v>
      </c>
      <c r="AW3202">
        <f t="shared" si="1195"/>
        <v>14</v>
      </c>
      <c r="AX3202" t="str">
        <f t="shared" si="1196"/>
        <v>0,15-0,5 MW, Bonusregel G1</v>
      </c>
      <c r="AY3202" t="str">
        <f t="shared" si="1197"/>
        <v/>
      </c>
    </row>
    <row r="3203" spans="1:51" x14ac:dyDescent="0.35">
      <c r="A3203" s="502" t="str">
        <f t="shared" si="1198"/>
        <v>BiK271E1aG1-13</v>
      </c>
      <c r="B3203" s="301" t="s">
        <v>5547</v>
      </c>
      <c r="C3203" s="301" t="str">
        <f t="shared" si="1176"/>
        <v>Inbetriebnahme 2013</v>
      </c>
      <c r="D3203" s="301" t="str">
        <f t="shared" si="1177"/>
        <v>0,15-0,5 MW, Bonusregeln E1a, G1</v>
      </c>
      <c r="E3203" s="301"/>
      <c r="F3203" s="377">
        <f t="shared" si="1178"/>
        <v>20.990000000000002</v>
      </c>
      <c r="G3203" s="433">
        <v>20.990000000000002</v>
      </c>
      <c r="H3203" s="402">
        <f t="shared" si="1179"/>
        <v>16.79</v>
      </c>
      <c r="I3203" s="579"/>
      <c r="J3203" s="549" t="s">
        <v>5804</v>
      </c>
      <c r="K3203" s="11"/>
      <c r="L3203" s="55" t="str">
        <f t="shared" si="1180"/>
        <v/>
      </c>
      <c r="M3203" s="37">
        <f t="shared" si="1181"/>
        <v>20.990000000000002</v>
      </c>
      <c r="N3203" s="29">
        <f t="shared" si="1182"/>
        <v>12.054</v>
      </c>
      <c r="O3203" s="31" t="s">
        <v>1017</v>
      </c>
      <c r="P3203" s="50"/>
      <c r="Q3203" s="50"/>
      <c r="R3203" s="50"/>
      <c r="S3203" s="179"/>
      <c r="T3203" s="22"/>
      <c r="U3203" s="50"/>
      <c r="V3203" s="179" t="s">
        <v>1017</v>
      </c>
      <c r="W3203" s="22"/>
      <c r="X3203" s="38"/>
      <c r="AH3203" s="202" t="s">
        <v>1779</v>
      </c>
      <c r="AK3203" t="str">
        <f t="shared" si="1183"/>
        <v>E1a</v>
      </c>
      <c r="AL3203" t="str">
        <f t="shared" si="1184"/>
        <v/>
      </c>
      <c r="AM3203" t="str">
        <f t="shared" si="1185"/>
        <v/>
      </c>
      <c r="AN3203" t="str">
        <f t="shared" si="1186"/>
        <v/>
      </c>
      <c r="AO3203" t="str">
        <f t="shared" si="1187"/>
        <v/>
      </c>
      <c r="AP3203" t="str">
        <f t="shared" si="1188"/>
        <v/>
      </c>
      <c r="AQ3203" t="str">
        <f t="shared" si="1189"/>
        <v/>
      </c>
      <c r="AR3203" t="str">
        <f t="shared" si="1190"/>
        <v>G1</v>
      </c>
      <c r="AS3203" t="str">
        <f t="shared" si="1191"/>
        <v/>
      </c>
      <c r="AT3203" t="str">
        <f t="shared" si="1192"/>
        <v/>
      </c>
      <c r="AU3203" t="str">
        <f t="shared" si="1193"/>
        <v>E1aG1</v>
      </c>
      <c r="AV3203" s="203" t="str">
        <f t="shared" si="1199"/>
        <v>BiK271E1aG1-12</v>
      </c>
      <c r="AW3203">
        <f t="shared" si="1195"/>
        <v>14</v>
      </c>
      <c r="AX3203" t="str">
        <f t="shared" si="1196"/>
        <v>0,15-0,5 MW, Bonusregeln E1a, G1</v>
      </c>
      <c r="AY3203" t="str">
        <f t="shared" si="1197"/>
        <v/>
      </c>
    </row>
    <row r="3204" spans="1:51" x14ac:dyDescent="0.35">
      <c r="A3204" s="502" t="str">
        <f t="shared" si="1198"/>
        <v>BiK271E2aG1-13</v>
      </c>
      <c r="B3204" s="301" t="s">
        <v>5547</v>
      </c>
      <c r="C3204" s="301" t="str">
        <f t="shared" si="1176"/>
        <v>Inbetriebnahme 2013</v>
      </c>
      <c r="D3204" s="301" t="str">
        <f t="shared" si="1177"/>
        <v>0,15-0,5 MW, Bonusregeln E2a, G1</v>
      </c>
      <c r="E3204" s="301"/>
      <c r="F3204" s="377">
        <f t="shared" si="1178"/>
        <v>22.990000000000002</v>
      </c>
      <c r="G3204" s="433">
        <v>22.990000000000002</v>
      </c>
      <c r="H3204" s="402">
        <f t="shared" si="1179"/>
        <v>18.39</v>
      </c>
      <c r="I3204" s="579"/>
      <c r="J3204" s="549" t="s">
        <v>5804</v>
      </c>
      <c r="K3204" s="11"/>
      <c r="L3204" s="55" t="str">
        <f t="shared" si="1180"/>
        <v/>
      </c>
      <c r="M3204" s="37">
        <f t="shared" si="1181"/>
        <v>22.990000000000002</v>
      </c>
      <c r="N3204" s="29">
        <f t="shared" si="1182"/>
        <v>12.054</v>
      </c>
      <c r="O3204" s="31"/>
      <c r="P3204" s="50"/>
      <c r="Q3204" s="50"/>
      <c r="R3204" s="50"/>
      <c r="S3204" s="179" t="s">
        <v>1017</v>
      </c>
      <c r="T3204" s="22"/>
      <c r="U3204" s="50"/>
      <c r="V3204" s="179" t="s">
        <v>1017</v>
      </c>
      <c r="W3204" s="22"/>
      <c r="X3204" s="38"/>
      <c r="AH3204" s="202" t="s">
        <v>1779</v>
      </c>
      <c r="AK3204" t="str">
        <f t="shared" si="1183"/>
        <v/>
      </c>
      <c r="AL3204" t="str">
        <f t="shared" si="1184"/>
        <v/>
      </c>
      <c r="AM3204" t="str">
        <f t="shared" si="1185"/>
        <v/>
      </c>
      <c r="AN3204" t="str">
        <f t="shared" si="1186"/>
        <v/>
      </c>
      <c r="AO3204" t="str">
        <f t="shared" si="1187"/>
        <v>E2a</v>
      </c>
      <c r="AP3204" t="str">
        <f t="shared" si="1188"/>
        <v/>
      </c>
      <c r="AQ3204" t="str">
        <f t="shared" si="1189"/>
        <v/>
      </c>
      <c r="AR3204" t="str">
        <f t="shared" si="1190"/>
        <v>G1</v>
      </c>
      <c r="AS3204" t="str">
        <f t="shared" si="1191"/>
        <v/>
      </c>
      <c r="AT3204" t="str">
        <f t="shared" si="1192"/>
        <v/>
      </c>
      <c r="AU3204" t="str">
        <f t="shared" si="1193"/>
        <v>E2aG1</v>
      </c>
      <c r="AV3204" s="203" t="str">
        <f t="shared" si="1199"/>
        <v>BiK271E2aG1-12</v>
      </c>
      <c r="AW3204">
        <f t="shared" si="1195"/>
        <v>14</v>
      </c>
      <c r="AX3204" t="str">
        <f t="shared" si="1196"/>
        <v>0,15-0,5 MW, Bonusregeln E2a, G1</v>
      </c>
      <c r="AY3204" t="str">
        <f t="shared" si="1197"/>
        <v/>
      </c>
    </row>
    <row r="3205" spans="1:51" x14ac:dyDescent="0.35">
      <c r="A3205" s="502" t="str">
        <f t="shared" si="1198"/>
        <v>BiK271E2bG1-13</v>
      </c>
      <c r="B3205" s="301" t="s">
        <v>5547</v>
      </c>
      <c r="C3205" s="301" t="str">
        <f t="shared" si="1176"/>
        <v>Inbetriebnahme 2013</v>
      </c>
      <c r="D3205" s="301" t="str">
        <f t="shared" si="1177"/>
        <v>0,15-0,5 MW, Bonusregeln E2b, G1</v>
      </c>
      <c r="E3205" s="301"/>
      <c r="F3205" s="377">
        <f t="shared" si="1178"/>
        <v>22.990000000000002</v>
      </c>
      <c r="G3205" s="433">
        <v>22.990000000000002</v>
      </c>
      <c r="H3205" s="402">
        <f t="shared" si="1179"/>
        <v>18.39</v>
      </c>
      <c r="I3205" s="579"/>
      <c r="J3205" s="549" t="s">
        <v>5804</v>
      </c>
      <c r="K3205" s="11"/>
      <c r="L3205" s="55" t="str">
        <f t="shared" si="1180"/>
        <v/>
      </c>
      <c r="M3205" s="37">
        <f t="shared" si="1181"/>
        <v>22.990000000000002</v>
      </c>
      <c r="N3205" s="29">
        <f t="shared" si="1182"/>
        <v>12.054</v>
      </c>
      <c r="O3205" s="31"/>
      <c r="P3205" s="50"/>
      <c r="Q3205" s="50"/>
      <c r="R3205" s="50"/>
      <c r="S3205" s="179"/>
      <c r="T3205" s="22" t="s">
        <v>1017</v>
      </c>
      <c r="U3205" s="50"/>
      <c r="V3205" s="179" t="s">
        <v>1017</v>
      </c>
      <c r="W3205" s="22"/>
      <c r="X3205" s="38"/>
      <c r="AH3205" s="202" t="s">
        <v>1779</v>
      </c>
      <c r="AK3205" t="str">
        <f t="shared" si="1183"/>
        <v/>
      </c>
      <c r="AL3205" t="str">
        <f t="shared" si="1184"/>
        <v/>
      </c>
      <c r="AM3205" t="str">
        <f t="shared" si="1185"/>
        <v/>
      </c>
      <c r="AN3205" t="str">
        <f t="shared" si="1186"/>
        <v/>
      </c>
      <c r="AO3205" t="str">
        <f t="shared" si="1187"/>
        <v/>
      </c>
      <c r="AP3205" t="str">
        <f t="shared" si="1188"/>
        <v>E2b</v>
      </c>
      <c r="AQ3205" t="str">
        <f t="shared" si="1189"/>
        <v/>
      </c>
      <c r="AR3205" t="str">
        <f t="shared" si="1190"/>
        <v>G1</v>
      </c>
      <c r="AS3205" t="str">
        <f t="shared" si="1191"/>
        <v/>
      </c>
      <c r="AT3205" t="str">
        <f t="shared" si="1192"/>
        <v/>
      </c>
      <c r="AU3205" t="str">
        <f t="shared" si="1193"/>
        <v>E2bG1</v>
      </c>
      <c r="AV3205" s="203" t="str">
        <f t="shared" si="1199"/>
        <v>BiK271E2bG1-12</v>
      </c>
      <c r="AW3205">
        <f t="shared" si="1195"/>
        <v>14</v>
      </c>
      <c r="AX3205" t="str">
        <f t="shared" si="1196"/>
        <v>0,15-0,5 MW, Bonusregeln E2b, G1</v>
      </c>
      <c r="AY3205" t="str">
        <f t="shared" si="1197"/>
        <v/>
      </c>
    </row>
    <row r="3206" spans="1:51" x14ac:dyDescent="0.35">
      <c r="A3206" s="502" t="str">
        <f t="shared" si="1198"/>
        <v>BiK271G2----13</v>
      </c>
      <c r="B3206" s="301" t="s">
        <v>5547</v>
      </c>
      <c r="C3206" s="301" t="str">
        <f t="shared" si="1176"/>
        <v>Inbetriebnahme 2013</v>
      </c>
      <c r="D3206" s="301" t="str">
        <f t="shared" si="1177"/>
        <v>0,15-0,5 MW, Bonusregel G2</v>
      </c>
      <c r="E3206" s="301"/>
      <c r="F3206" s="377">
        <f t="shared" si="1178"/>
        <v>14.010000000000002</v>
      </c>
      <c r="G3206" s="433">
        <v>14.010000000000002</v>
      </c>
      <c r="H3206" s="402">
        <f t="shared" si="1179"/>
        <v>11.21</v>
      </c>
      <c r="I3206" s="579"/>
      <c r="J3206" s="549" t="s">
        <v>5804</v>
      </c>
      <c r="K3206" s="11"/>
      <c r="L3206" s="55" t="str">
        <f t="shared" si="1180"/>
        <v/>
      </c>
      <c r="M3206" s="37">
        <f t="shared" si="1181"/>
        <v>14.010000000000002</v>
      </c>
      <c r="N3206" s="29">
        <f t="shared" si="1182"/>
        <v>12.054</v>
      </c>
      <c r="O3206" s="31"/>
      <c r="P3206" s="50"/>
      <c r="Q3206" s="50"/>
      <c r="R3206" s="50"/>
      <c r="S3206" s="31"/>
      <c r="T3206" s="22"/>
      <c r="U3206" s="50"/>
      <c r="V3206" s="179"/>
      <c r="W3206" s="202" t="s">
        <v>1017</v>
      </c>
      <c r="X3206" s="38"/>
      <c r="AH3206" s="202" t="s">
        <v>1779</v>
      </c>
      <c r="AK3206" t="str">
        <f t="shared" si="1183"/>
        <v/>
      </c>
      <c r="AL3206" t="str">
        <f t="shared" si="1184"/>
        <v/>
      </c>
      <c r="AM3206" t="str">
        <f t="shared" si="1185"/>
        <v/>
      </c>
      <c r="AN3206" t="str">
        <f t="shared" si="1186"/>
        <v/>
      </c>
      <c r="AO3206" t="str">
        <f t="shared" si="1187"/>
        <v/>
      </c>
      <c r="AP3206" t="str">
        <f t="shared" si="1188"/>
        <v/>
      </c>
      <c r="AQ3206" t="str">
        <f t="shared" si="1189"/>
        <v/>
      </c>
      <c r="AR3206" t="str">
        <f t="shared" si="1190"/>
        <v/>
      </c>
      <c r="AS3206" t="str">
        <f t="shared" si="1191"/>
        <v>G2</v>
      </c>
      <c r="AT3206" t="str">
        <f t="shared" si="1192"/>
        <v/>
      </c>
      <c r="AU3206" t="str">
        <f t="shared" si="1193"/>
        <v>G2</v>
      </c>
      <c r="AV3206" s="203" t="str">
        <f t="shared" si="1199"/>
        <v>BiK271G2----12</v>
      </c>
      <c r="AW3206">
        <f t="shared" si="1195"/>
        <v>14</v>
      </c>
      <c r="AX3206" t="str">
        <f t="shared" si="1196"/>
        <v>0,15-0,5 MW, Bonusregel G2</v>
      </c>
      <c r="AY3206" t="str">
        <f t="shared" si="1197"/>
        <v/>
      </c>
    </row>
    <row r="3207" spans="1:51" x14ac:dyDescent="0.35">
      <c r="A3207" s="502" t="str">
        <f t="shared" si="1198"/>
        <v>BiK271E1aG2-13</v>
      </c>
      <c r="B3207" s="301" t="s">
        <v>5547</v>
      </c>
      <c r="C3207" s="301" t="str">
        <f t="shared" si="1176"/>
        <v>Inbetriebnahme 2013</v>
      </c>
      <c r="D3207" s="301" t="str">
        <f t="shared" si="1177"/>
        <v>0,15-0,5 MW, Bonusregeln E1a, G2</v>
      </c>
      <c r="E3207" s="301"/>
      <c r="F3207" s="377">
        <f t="shared" si="1178"/>
        <v>20.010000000000002</v>
      </c>
      <c r="G3207" s="433">
        <v>20.010000000000002</v>
      </c>
      <c r="H3207" s="402">
        <f t="shared" si="1179"/>
        <v>16.010000000000002</v>
      </c>
      <c r="I3207" s="579"/>
      <c r="J3207" s="549" t="s">
        <v>5804</v>
      </c>
      <c r="K3207" s="11"/>
      <c r="L3207" s="55" t="str">
        <f t="shared" si="1180"/>
        <v/>
      </c>
      <c r="M3207" s="37">
        <f t="shared" si="1181"/>
        <v>20.010000000000002</v>
      </c>
      <c r="N3207" s="29">
        <f t="shared" si="1182"/>
        <v>12.054</v>
      </c>
      <c r="O3207" s="31" t="s">
        <v>1017</v>
      </c>
      <c r="P3207" s="50"/>
      <c r="Q3207" s="50"/>
      <c r="R3207" s="50"/>
      <c r="S3207" s="179"/>
      <c r="T3207" s="22"/>
      <c r="U3207" s="50"/>
      <c r="V3207" s="179"/>
      <c r="W3207" s="202" t="s">
        <v>1017</v>
      </c>
      <c r="X3207" s="38"/>
      <c r="AH3207" s="202" t="s">
        <v>1779</v>
      </c>
      <c r="AK3207" t="str">
        <f t="shared" si="1183"/>
        <v>E1a</v>
      </c>
      <c r="AL3207" t="str">
        <f t="shared" si="1184"/>
        <v/>
      </c>
      <c r="AM3207" t="str">
        <f t="shared" si="1185"/>
        <v/>
      </c>
      <c r="AN3207" t="str">
        <f t="shared" si="1186"/>
        <v/>
      </c>
      <c r="AO3207" t="str">
        <f t="shared" si="1187"/>
        <v/>
      </c>
      <c r="AP3207" t="str">
        <f t="shared" si="1188"/>
        <v/>
      </c>
      <c r="AQ3207" t="str">
        <f t="shared" si="1189"/>
        <v/>
      </c>
      <c r="AR3207" t="str">
        <f t="shared" si="1190"/>
        <v/>
      </c>
      <c r="AS3207" t="str">
        <f t="shared" si="1191"/>
        <v>G2</v>
      </c>
      <c r="AT3207" t="str">
        <f t="shared" si="1192"/>
        <v/>
      </c>
      <c r="AU3207" t="str">
        <f t="shared" si="1193"/>
        <v>E1aG2</v>
      </c>
      <c r="AV3207" s="203" t="str">
        <f t="shared" si="1199"/>
        <v>BiK271E1aG2-12</v>
      </c>
      <c r="AW3207">
        <f t="shared" si="1195"/>
        <v>14</v>
      </c>
      <c r="AX3207" t="str">
        <f t="shared" si="1196"/>
        <v>0,15-0,5 MW, Bonusregeln E1a, G2</v>
      </c>
      <c r="AY3207" t="str">
        <f t="shared" si="1197"/>
        <v/>
      </c>
    </row>
    <row r="3208" spans="1:51" x14ac:dyDescent="0.35">
      <c r="A3208" s="502" t="str">
        <f t="shared" si="1198"/>
        <v>BiK271E2aG2-13</v>
      </c>
      <c r="B3208" s="301" t="s">
        <v>5547</v>
      </c>
      <c r="C3208" s="301" t="str">
        <f t="shared" si="1176"/>
        <v>Inbetriebnahme 2013</v>
      </c>
      <c r="D3208" s="301" t="str">
        <f t="shared" si="1177"/>
        <v>0,15-0,5 MW, Bonusregeln E2a, G2</v>
      </c>
      <c r="E3208" s="301"/>
      <c r="F3208" s="377">
        <f t="shared" si="1178"/>
        <v>22.01</v>
      </c>
      <c r="G3208" s="433">
        <v>22.01</v>
      </c>
      <c r="H3208" s="402">
        <f t="shared" si="1179"/>
        <v>17.61</v>
      </c>
      <c r="I3208" s="579"/>
      <c r="J3208" s="549" t="s">
        <v>5804</v>
      </c>
      <c r="K3208" s="11"/>
      <c r="L3208" s="55" t="str">
        <f t="shared" si="1180"/>
        <v/>
      </c>
      <c r="M3208" s="37">
        <f t="shared" si="1181"/>
        <v>22.01</v>
      </c>
      <c r="N3208" s="29">
        <f t="shared" si="1182"/>
        <v>12.054</v>
      </c>
      <c r="O3208" s="31"/>
      <c r="P3208" s="50"/>
      <c r="Q3208" s="50"/>
      <c r="R3208" s="50"/>
      <c r="S3208" s="179" t="s">
        <v>1017</v>
      </c>
      <c r="T3208" s="22"/>
      <c r="U3208" s="50"/>
      <c r="V3208" s="179"/>
      <c r="W3208" s="202" t="s">
        <v>1017</v>
      </c>
      <c r="X3208" s="38"/>
      <c r="AH3208" s="202" t="s">
        <v>1779</v>
      </c>
      <c r="AK3208" t="str">
        <f t="shared" si="1183"/>
        <v/>
      </c>
      <c r="AL3208" t="str">
        <f t="shared" si="1184"/>
        <v/>
      </c>
      <c r="AM3208" t="str">
        <f t="shared" si="1185"/>
        <v/>
      </c>
      <c r="AN3208" t="str">
        <f t="shared" si="1186"/>
        <v/>
      </c>
      <c r="AO3208" t="str">
        <f t="shared" si="1187"/>
        <v>E2a</v>
      </c>
      <c r="AP3208" t="str">
        <f t="shared" si="1188"/>
        <v/>
      </c>
      <c r="AQ3208" t="str">
        <f t="shared" si="1189"/>
        <v/>
      </c>
      <c r="AR3208" t="str">
        <f t="shared" si="1190"/>
        <v/>
      </c>
      <c r="AS3208" t="str">
        <f t="shared" si="1191"/>
        <v>G2</v>
      </c>
      <c r="AT3208" t="str">
        <f t="shared" si="1192"/>
        <v/>
      </c>
      <c r="AU3208" t="str">
        <f t="shared" si="1193"/>
        <v>E2aG2</v>
      </c>
      <c r="AV3208" s="203" t="str">
        <f t="shared" si="1199"/>
        <v>BiK271E2aG2-12</v>
      </c>
      <c r="AW3208">
        <f t="shared" si="1195"/>
        <v>14</v>
      </c>
      <c r="AX3208" t="str">
        <f t="shared" si="1196"/>
        <v>0,15-0,5 MW, Bonusregeln E2a, G2</v>
      </c>
      <c r="AY3208" t="str">
        <f t="shared" si="1197"/>
        <v/>
      </c>
    </row>
    <row r="3209" spans="1:51" x14ac:dyDescent="0.35">
      <c r="A3209" s="502" t="str">
        <f t="shared" si="1198"/>
        <v>BiK271E2bG2-13</v>
      </c>
      <c r="B3209" s="301" t="s">
        <v>5547</v>
      </c>
      <c r="C3209" s="301" t="str">
        <f t="shared" si="1176"/>
        <v>Inbetriebnahme 2013</v>
      </c>
      <c r="D3209" s="301" t="str">
        <f t="shared" si="1177"/>
        <v>0,15-0,5 MW, Bonusregeln E2b, G2</v>
      </c>
      <c r="E3209" s="301"/>
      <c r="F3209" s="377">
        <f t="shared" si="1178"/>
        <v>22.01</v>
      </c>
      <c r="G3209" s="433">
        <v>22.01</v>
      </c>
      <c r="H3209" s="402">
        <f t="shared" si="1179"/>
        <v>17.61</v>
      </c>
      <c r="I3209" s="579"/>
      <c r="J3209" s="549" t="s">
        <v>5804</v>
      </c>
      <c r="K3209" s="11"/>
      <c r="L3209" s="55" t="str">
        <f t="shared" si="1180"/>
        <v/>
      </c>
      <c r="M3209" s="37">
        <f t="shared" si="1181"/>
        <v>22.01</v>
      </c>
      <c r="N3209" s="29">
        <f t="shared" si="1182"/>
        <v>12.054</v>
      </c>
      <c r="O3209" s="31"/>
      <c r="P3209" s="50"/>
      <c r="Q3209" s="50"/>
      <c r="R3209" s="50"/>
      <c r="S3209" s="179"/>
      <c r="T3209" s="22" t="s">
        <v>1017</v>
      </c>
      <c r="U3209" s="50"/>
      <c r="V3209" s="179"/>
      <c r="W3209" s="202" t="s">
        <v>1017</v>
      </c>
      <c r="X3209" s="38"/>
      <c r="AH3209" s="202" t="s">
        <v>1779</v>
      </c>
      <c r="AK3209" t="str">
        <f t="shared" si="1183"/>
        <v/>
      </c>
      <c r="AL3209" t="str">
        <f t="shared" si="1184"/>
        <v/>
      </c>
      <c r="AM3209" t="str">
        <f t="shared" si="1185"/>
        <v/>
      </c>
      <c r="AN3209" t="str">
        <f t="shared" si="1186"/>
        <v/>
      </c>
      <c r="AO3209" t="str">
        <f t="shared" si="1187"/>
        <v/>
      </c>
      <c r="AP3209" t="str">
        <f t="shared" si="1188"/>
        <v>E2b</v>
      </c>
      <c r="AQ3209" t="str">
        <f t="shared" si="1189"/>
        <v/>
      </c>
      <c r="AR3209" t="str">
        <f t="shared" si="1190"/>
        <v/>
      </c>
      <c r="AS3209" t="str">
        <f t="shared" si="1191"/>
        <v>G2</v>
      </c>
      <c r="AT3209" t="str">
        <f t="shared" si="1192"/>
        <v/>
      </c>
      <c r="AU3209" t="str">
        <f t="shared" si="1193"/>
        <v>E2bG2</v>
      </c>
      <c r="AV3209" s="203" t="str">
        <f t="shared" si="1199"/>
        <v>BiK271E2bG2-12</v>
      </c>
      <c r="AW3209">
        <f t="shared" si="1195"/>
        <v>14</v>
      </c>
      <c r="AX3209" t="str">
        <f t="shared" si="1196"/>
        <v>0,15-0,5 MW, Bonusregeln E2b, G2</v>
      </c>
      <c r="AY3209" t="str">
        <f t="shared" si="1197"/>
        <v/>
      </c>
    </row>
    <row r="3210" spans="1:51" x14ac:dyDescent="0.35">
      <c r="A3210" s="502" t="str">
        <f t="shared" si="1198"/>
        <v>BiK271G3----13</v>
      </c>
      <c r="B3210" s="301" t="s">
        <v>5547</v>
      </c>
      <c r="C3210" s="301" t="str">
        <f t="shared" si="1176"/>
        <v>Inbetriebnahme 2013</v>
      </c>
      <c r="D3210" s="301" t="str">
        <f t="shared" si="1177"/>
        <v>0,15-0,5 MW, Bonusregel G3</v>
      </c>
      <c r="E3210" s="301"/>
      <c r="F3210" s="377">
        <f t="shared" si="1178"/>
        <v>13.030000000000001</v>
      </c>
      <c r="G3210" s="433">
        <v>13.030000000000001</v>
      </c>
      <c r="H3210" s="402">
        <f t="shared" si="1179"/>
        <v>10.42</v>
      </c>
      <c r="I3210" s="579"/>
      <c r="J3210" s="549" t="s">
        <v>5804</v>
      </c>
      <c r="K3210" s="11"/>
      <c r="L3210" s="55" t="str">
        <f t="shared" si="1180"/>
        <v/>
      </c>
      <c r="M3210" s="37">
        <f t="shared" si="1181"/>
        <v>13.030000000000001</v>
      </c>
      <c r="N3210" s="29">
        <f t="shared" si="1182"/>
        <v>12.054</v>
      </c>
      <c r="O3210" s="31"/>
      <c r="P3210" s="50"/>
      <c r="Q3210" s="50"/>
      <c r="R3210" s="50"/>
      <c r="S3210" s="31"/>
      <c r="T3210" s="22"/>
      <c r="U3210" s="50"/>
      <c r="V3210" s="179"/>
      <c r="W3210" s="22"/>
      <c r="X3210" s="38" t="s">
        <v>1017</v>
      </c>
      <c r="AH3210" s="202" t="s">
        <v>1779</v>
      </c>
      <c r="AK3210" t="str">
        <f t="shared" si="1183"/>
        <v/>
      </c>
      <c r="AL3210" t="str">
        <f t="shared" si="1184"/>
        <v/>
      </c>
      <c r="AM3210" t="str">
        <f t="shared" si="1185"/>
        <v/>
      </c>
      <c r="AN3210" t="str">
        <f t="shared" si="1186"/>
        <v/>
      </c>
      <c r="AO3210" t="str">
        <f t="shared" si="1187"/>
        <v/>
      </c>
      <c r="AP3210" t="str">
        <f t="shared" si="1188"/>
        <v/>
      </c>
      <c r="AQ3210" t="str">
        <f t="shared" si="1189"/>
        <v/>
      </c>
      <c r="AR3210" t="str">
        <f t="shared" si="1190"/>
        <v/>
      </c>
      <c r="AS3210" t="str">
        <f t="shared" si="1191"/>
        <v/>
      </c>
      <c r="AT3210" t="str">
        <f t="shared" si="1192"/>
        <v>G3</v>
      </c>
      <c r="AU3210" t="str">
        <f t="shared" si="1193"/>
        <v>G3</v>
      </c>
      <c r="AV3210" s="203" t="str">
        <f t="shared" si="1199"/>
        <v>BiK271G3----12</v>
      </c>
      <c r="AW3210">
        <f t="shared" si="1195"/>
        <v>14</v>
      </c>
      <c r="AX3210" t="str">
        <f t="shared" si="1196"/>
        <v>0,15-0,5 MW, Bonusregel G3</v>
      </c>
      <c r="AY3210" t="str">
        <f t="shared" si="1197"/>
        <v/>
      </c>
    </row>
    <row r="3211" spans="1:51" x14ac:dyDescent="0.35">
      <c r="A3211" s="502" t="str">
        <f t="shared" si="1198"/>
        <v>BiK271E1aG3-13</v>
      </c>
      <c r="B3211" s="301" t="s">
        <v>5547</v>
      </c>
      <c r="C3211" s="301" t="str">
        <f t="shared" si="1176"/>
        <v>Inbetriebnahme 2013</v>
      </c>
      <c r="D3211" s="301" t="str">
        <f t="shared" si="1177"/>
        <v>0,15-0,5 MW, Bonusregeln E1a, G3</v>
      </c>
      <c r="E3211" s="301"/>
      <c r="F3211" s="377">
        <f t="shared" si="1178"/>
        <v>19.03</v>
      </c>
      <c r="G3211" s="433">
        <v>19.03</v>
      </c>
      <c r="H3211" s="402">
        <f t="shared" si="1179"/>
        <v>15.22</v>
      </c>
      <c r="I3211" s="579"/>
      <c r="J3211" s="549" t="s">
        <v>5804</v>
      </c>
      <c r="K3211" s="11"/>
      <c r="L3211" s="55" t="str">
        <f t="shared" si="1180"/>
        <v/>
      </c>
      <c r="M3211" s="37">
        <f t="shared" si="1181"/>
        <v>19.03</v>
      </c>
      <c r="N3211" s="29">
        <f t="shared" si="1182"/>
        <v>12.054</v>
      </c>
      <c r="O3211" s="31" t="s">
        <v>1017</v>
      </c>
      <c r="P3211" s="50"/>
      <c r="Q3211" s="50"/>
      <c r="R3211" s="50"/>
      <c r="S3211" s="179"/>
      <c r="T3211" s="22"/>
      <c r="U3211" s="50"/>
      <c r="V3211" s="179"/>
      <c r="W3211" s="22"/>
      <c r="X3211" s="38" t="s">
        <v>1017</v>
      </c>
      <c r="AH3211" s="202" t="s">
        <v>1779</v>
      </c>
      <c r="AK3211" t="str">
        <f t="shared" si="1183"/>
        <v>E1a</v>
      </c>
      <c r="AL3211" t="str">
        <f t="shared" si="1184"/>
        <v/>
      </c>
      <c r="AM3211" t="str">
        <f t="shared" si="1185"/>
        <v/>
      </c>
      <c r="AN3211" t="str">
        <f t="shared" si="1186"/>
        <v/>
      </c>
      <c r="AO3211" t="str">
        <f t="shared" si="1187"/>
        <v/>
      </c>
      <c r="AP3211" t="str">
        <f t="shared" si="1188"/>
        <v/>
      </c>
      <c r="AQ3211" t="str">
        <f t="shared" si="1189"/>
        <v/>
      </c>
      <c r="AR3211" t="str">
        <f t="shared" si="1190"/>
        <v/>
      </c>
      <c r="AS3211" t="str">
        <f t="shared" si="1191"/>
        <v/>
      </c>
      <c r="AT3211" t="str">
        <f t="shared" si="1192"/>
        <v>G3</v>
      </c>
      <c r="AU3211" t="str">
        <f t="shared" si="1193"/>
        <v>E1aG3</v>
      </c>
      <c r="AV3211" s="203" t="str">
        <f t="shared" si="1199"/>
        <v>BiK271E1aG3-12</v>
      </c>
      <c r="AW3211">
        <f t="shared" si="1195"/>
        <v>14</v>
      </c>
      <c r="AX3211" t="str">
        <f t="shared" si="1196"/>
        <v>0,15-0,5 MW, Bonusregeln E1a, G3</v>
      </c>
      <c r="AY3211" t="str">
        <f t="shared" si="1197"/>
        <v/>
      </c>
    </row>
    <row r="3212" spans="1:51" x14ac:dyDescent="0.35">
      <c r="A3212" s="502" t="str">
        <f t="shared" si="1198"/>
        <v>BiK271E2aG3-13</v>
      </c>
      <c r="B3212" s="301" t="s">
        <v>5547</v>
      </c>
      <c r="C3212" s="301" t="str">
        <f t="shared" si="1176"/>
        <v>Inbetriebnahme 2013</v>
      </c>
      <c r="D3212" s="301" t="str">
        <f t="shared" si="1177"/>
        <v>0,15-0,5 MW, Bonusregeln E2a, G3</v>
      </c>
      <c r="E3212" s="301"/>
      <c r="F3212" s="377">
        <f t="shared" si="1178"/>
        <v>21.03</v>
      </c>
      <c r="G3212" s="433">
        <v>21.03</v>
      </c>
      <c r="H3212" s="402">
        <f t="shared" si="1179"/>
        <v>16.82</v>
      </c>
      <c r="I3212" s="579"/>
      <c r="J3212" s="549" t="s">
        <v>5804</v>
      </c>
      <c r="K3212" s="11"/>
      <c r="L3212" s="55" t="str">
        <f t="shared" si="1180"/>
        <v/>
      </c>
      <c r="M3212" s="37">
        <f t="shared" si="1181"/>
        <v>21.03</v>
      </c>
      <c r="N3212" s="29">
        <f t="shared" si="1182"/>
        <v>12.054</v>
      </c>
      <c r="O3212" s="31"/>
      <c r="P3212" s="50"/>
      <c r="Q3212" s="50"/>
      <c r="R3212" s="50"/>
      <c r="S3212" s="179" t="s">
        <v>1017</v>
      </c>
      <c r="T3212" s="22"/>
      <c r="U3212" s="50"/>
      <c r="V3212" s="179"/>
      <c r="W3212" s="22"/>
      <c r="X3212" s="38" t="s">
        <v>1017</v>
      </c>
      <c r="AH3212" s="202" t="s">
        <v>1779</v>
      </c>
      <c r="AK3212" t="str">
        <f t="shared" si="1183"/>
        <v/>
      </c>
      <c r="AL3212" t="str">
        <f t="shared" si="1184"/>
        <v/>
      </c>
      <c r="AM3212" t="str">
        <f t="shared" si="1185"/>
        <v/>
      </c>
      <c r="AN3212" t="str">
        <f t="shared" si="1186"/>
        <v/>
      </c>
      <c r="AO3212" t="str">
        <f t="shared" si="1187"/>
        <v>E2a</v>
      </c>
      <c r="AP3212" t="str">
        <f t="shared" si="1188"/>
        <v/>
      </c>
      <c r="AQ3212" t="str">
        <f t="shared" si="1189"/>
        <v/>
      </c>
      <c r="AR3212" t="str">
        <f t="shared" si="1190"/>
        <v/>
      </c>
      <c r="AS3212" t="str">
        <f t="shared" si="1191"/>
        <v/>
      </c>
      <c r="AT3212" t="str">
        <f t="shared" si="1192"/>
        <v>G3</v>
      </c>
      <c r="AU3212" t="str">
        <f t="shared" si="1193"/>
        <v>E2aG3</v>
      </c>
      <c r="AV3212" s="203" t="str">
        <f t="shared" si="1199"/>
        <v>BiK271E2aG3-12</v>
      </c>
      <c r="AW3212">
        <f t="shared" si="1195"/>
        <v>14</v>
      </c>
      <c r="AX3212" t="str">
        <f t="shared" si="1196"/>
        <v>0,15-0,5 MW, Bonusregeln E2a, G3</v>
      </c>
      <c r="AY3212" t="str">
        <f t="shared" si="1197"/>
        <v/>
      </c>
    </row>
    <row r="3213" spans="1:51" x14ac:dyDescent="0.35">
      <c r="A3213" s="502" t="str">
        <f t="shared" si="1198"/>
        <v>BiK271E2bG3-13</v>
      </c>
      <c r="B3213" s="301" t="s">
        <v>5547</v>
      </c>
      <c r="C3213" s="301" t="str">
        <f t="shared" si="1176"/>
        <v>Inbetriebnahme 2013</v>
      </c>
      <c r="D3213" s="301" t="str">
        <f t="shared" si="1177"/>
        <v>0,15-0,5 MW, Bonusregeln E2b, G3</v>
      </c>
      <c r="E3213" s="301"/>
      <c r="F3213" s="377">
        <f t="shared" si="1178"/>
        <v>21.03</v>
      </c>
      <c r="G3213" s="433">
        <v>21.03</v>
      </c>
      <c r="H3213" s="402">
        <f t="shared" si="1179"/>
        <v>16.82</v>
      </c>
      <c r="I3213" s="579"/>
      <c r="J3213" s="549" t="s">
        <v>5804</v>
      </c>
      <c r="K3213" s="11"/>
      <c r="L3213" s="55" t="str">
        <f t="shared" si="1180"/>
        <v/>
      </c>
      <c r="M3213" s="37">
        <f t="shared" si="1181"/>
        <v>21.03</v>
      </c>
      <c r="N3213" s="29">
        <f t="shared" si="1182"/>
        <v>12.054</v>
      </c>
      <c r="O3213" s="31"/>
      <c r="P3213" s="50"/>
      <c r="Q3213" s="50"/>
      <c r="R3213" s="50"/>
      <c r="S3213" s="179"/>
      <c r="T3213" s="22" t="s">
        <v>1017</v>
      </c>
      <c r="U3213" s="50"/>
      <c r="V3213" s="179"/>
      <c r="W3213" s="22"/>
      <c r="X3213" s="38" t="s">
        <v>1017</v>
      </c>
      <c r="AH3213" s="202" t="s">
        <v>1779</v>
      </c>
      <c r="AK3213" t="str">
        <f t="shared" si="1183"/>
        <v/>
      </c>
      <c r="AL3213" t="str">
        <f t="shared" si="1184"/>
        <v/>
      </c>
      <c r="AM3213" t="str">
        <f t="shared" si="1185"/>
        <v/>
      </c>
      <c r="AN3213" t="str">
        <f t="shared" si="1186"/>
        <v/>
      </c>
      <c r="AO3213" t="str">
        <f t="shared" si="1187"/>
        <v/>
      </c>
      <c r="AP3213" t="str">
        <f t="shared" si="1188"/>
        <v>E2b</v>
      </c>
      <c r="AQ3213" t="str">
        <f t="shared" si="1189"/>
        <v/>
      </c>
      <c r="AR3213" t="str">
        <f t="shared" si="1190"/>
        <v/>
      </c>
      <c r="AS3213" t="str">
        <f t="shared" si="1191"/>
        <v/>
      </c>
      <c r="AT3213" t="str">
        <f t="shared" si="1192"/>
        <v>G3</v>
      </c>
      <c r="AU3213" t="str">
        <f t="shared" si="1193"/>
        <v>E2bG3</v>
      </c>
      <c r="AV3213" s="203" t="str">
        <f t="shared" si="1199"/>
        <v>BiK271E2bG3-12</v>
      </c>
      <c r="AW3213">
        <f t="shared" si="1195"/>
        <v>14</v>
      </c>
      <c r="AX3213" t="str">
        <f t="shared" si="1196"/>
        <v>0,15-0,5 MW, Bonusregeln E2b, G3</v>
      </c>
      <c r="AY3213" t="str">
        <f t="shared" si="1197"/>
        <v/>
      </c>
    </row>
    <row r="3214" spans="1:51" x14ac:dyDescent="0.35">
      <c r="A3214" s="502" t="str">
        <f t="shared" ref="A3214:A3233" si="1200">"BiK272"&amp;AU3214&amp;RIGHT("------",6-LEN(AU3214))&amp;RIGHT($M$3181,2)</f>
        <v>BiK272------13</v>
      </c>
      <c r="B3214" s="301" t="s">
        <v>5547</v>
      </c>
      <c r="C3214" s="301" t="str">
        <f t="shared" ref="C3214:C3245" si="1201">"Inbetriebnahme "&amp;$M$3181</f>
        <v>Inbetriebnahme 2013</v>
      </c>
      <c r="D3214" s="301" t="str">
        <f t="shared" ref="D3214:D3245" si="1202">IF(COUNTA(O3214:X3214)=0,AH3214,AH3214&amp;", Bonusregel"&amp;IF(AND(COUNTA(O3214:U3214)&gt;0,COUNTA(V3214:X3214)&gt;0),"n "&amp;AK3214&amp;AL3214&amp;AM3214&amp;AN3214&amp;AO3214&amp;AP3214&amp;AQ3214&amp;", "&amp;AR3214&amp;AS3214&amp;AT3214," "&amp;AK3214&amp;AL3214&amp;AM3214&amp;AN3214&amp;AO3214&amp;AP3214&amp;AQ3214&amp;AR3214&amp;AS3214&amp;AT3214))</f>
        <v>0,5-0,75 MW</v>
      </c>
      <c r="E3214" s="301"/>
      <c r="F3214" s="377">
        <f t="shared" ref="F3214:F3245" si="1203">M3214</f>
        <v>10.78</v>
      </c>
      <c r="G3214" s="433">
        <v>10.78</v>
      </c>
      <c r="H3214" s="402">
        <f t="shared" ref="H3214:H3245" si="1204">IF(ISNUMBER(G3214),ROUND(0.8*G3214,2),"")</f>
        <v>8.6199999999999992</v>
      </c>
      <c r="I3214" s="579"/>
      <c r="J3214" s="549" t="s">
        <v>5804</v>
      </c>
      <c r="K3214" s="11"/>
      <c r="L3214" s="55" t="str">
        <f t="shared" ref="L3214:L3245" si="1205">IF(F3214=M3214,"",FALSE)</f>
        <v/>
      </c>
      <c r="M3214" s="37">
        <f t="shared" ref="M3214:M3245" si="1206">ROUND(N3214,2)+SUMIF(O3214:X3214,"x",$O$3181:$X$3181)</f>
        <v>10.78</v>
      </c>
      <c r="N3214" s="29">
        <f t="shared" ref="N3214:N3245" si="1207">N3135*(1-$Y$3181)</f>
        <v>10.78</v>
      </c>
      <c r="O3214" s="154"/>
      <c r="P3214" s="22"/>
      <c r="Q3214" s="50"/>
      <c r="R3214" s="22"/>
      <c r="S3214" s="179"/>
      <c r="T3214" s="50"/>
      <c r="U3214" s="22"/>
      <c r="V3214" s="179"/>
      <c r="W3214" s="22"/>
      <c r="X3214" s="38"/>
      <c r="AH3214" s="202" t="s">
        <v>1778</v>
      </c>
      <c r="AK3214" t="str">
        <f t="shared" ref="AK3214:AK3245" si="1208">IF(O3214="x",O$3101,"")</f>
        <v/>
      </c>
      <c r="AL3214" t="str">
        <f t="shared" ref="AL3214:AL3245" si="1209">IF(P3214="x",P$3101,"")</f>
        <v/>
      </c>
      <c r="AM3214" t="str">
        <f t="shared" ref="AM3214:AM3245" si="1210">IF(Q3214="x",Q$3101,"")</f>
        <v/>
      </c>
      <c r="AN3214" t="str">
        <f t="shared" ref="AN3214:AN3245" si="1211">IF(R3214="x",R$3101,"")</f>
        <v/>
      </c>
      <c r="AO3214" t="str">
        <f t="shared" ref="AO3214:AO3245" si="1212">IF(S3214="x",S$3101,"")</f>
        <v/>
      </c>
      <c r="AP3214" t="str">
        <f t="shared" ref="AP3214:AP3245" si="1213">IF(T3214="x",T$3101,"")</f>
        <v/>
      </c>
      <c r="AQ3214" t="str">
        <f t="shared" ref="AQ3214:AQ3245" si="1214">IF(U3214="x",U$3101,"")</f>
        <v/>
      </c>
      <c r="AR3214" t="str">
        <f t="shared" ref="AR3214:AR3245" si="1215">IF(V3214="x",V$3101,"")</f>
        <v/>
      </c>
      <c r="AS3214" t="str">
        <f t="shared" ref="AS3214:AS3245" si="1216">IF(W3214="x",W$3101,"")</f>
        <v/>
      </c>
      <c r="AT3214" t="str">
        <f t="shared" ref="AT3214:AT3245" si="1217">IF(X3214="x",X$3101,"")</f>
        <v/>
      </c>
      <c r="AU3214" t="str">
        <f t="shared" ref="AU3214:AU3245" si="1218">AK3214&amp;AL3214&amp;AM3214&amp;AN3214&amp;AO3214&amp;AP3214&amp;AQ3214&amp;AR3214&amp;AS3214&amp;AT3214</f>
        <v/>
      </c>
      <c r="AV3214" s="203" t="str">
        <f t="shared" ref="AV3214:AV3233" si="1219">"BiK272"&amp;AU3214&amp;RIGHT("------",6-LEN(AU3214))&amp;RIGHT($M$3099,2)</f>
        <v>BiK272------12</v>
      </c>
      <c r="AW3214">
        <f t="shared" ref="AW3214:AW3245" si="1220">LEN(AV3214)</f>
        <v>14</v>
      </c>
      <c r="AX3214" t="str">
        <f t="shared" ref="AX3214:AX3245" si="1221">IF(COUNTA(O3214:X3214)=0,AH3214,AH3214&amp;", Bonusregel"&amp;IF(AND(COUNTA(O3214:U3214)&gt;0,COUNTA(V3214:X3214)&gt;0),"n "&amp;AK3214&amp;AL3214&amp;AM3214&amp;AN3214&amp;AO3214&amp;AP3214&amp;AQ3214&amp;", "&amp;AR3214&amp;AS3214&amp;AT3214," "&amp;AK3214&amp;AL3214&amp;AM3214&amp;AN3214&amp;AO3214&amp;AP3214&amp;AQ3214&amp;AR3214&amp;AS3214&amp;AT3214))</f>
        <v>0,5-0,75 MW</v>
      </c>
      <c r="AY3214" t="str">
        <f t="shared" ref="AY3214:AY3245" si="1222">IF(COUNTA(O3214:U3214)&gt;1,"Fehler ESVK",IF(COUNTA(V3214:X3214)&gt;1,"Fehler GAB",IF(AW3214&lt;&gt;14,"Fehler Kategorie","")))</f>
        <v/>
      </c>
    </row>
    <row r="3215" spans="1:51" x14ac:dyDescent="0.35">
      <c r="A3215" s="502" t="str">
        <f t="shared" si="1200"/>
        <v>BiK272E1b---13</v>
      </c>
      <c r="B3215" s="301" t="s">
        <v>5547</v>
      </c>
      <c r="C3215" s="301" t="str">
        <f t="shared" si="1201"/>
        <v>Inbetriebnahme 2013</v>
      </c>
      <c r="D3215" s="301" t="str">
        <f t="shared" si="1202"/>
        <v>0,5-0,75 MW, Bonusregel E1b</v>
      </c>
      <c r="E3215" s="301"/>
      <c r="F3215" s="377">
        <f t="shared" si="1203"/>
        <v>15.78</v>
      </c>
      <c r="G3215" s="433">
        <v>15.78</v>
      </c>
      <c r="H3215" s="402">
        <f t="shared" si="1204"/>
        <v>12.62</v>
      </c>
      <c r="I3215" s="579"/>
      <c r="J3215" s="549" t="s">
        <v>5804</v>
      </c>
      <c r="K3215" s="11"/>
      <c r="L3215" s="55" t="str">
        <f t="shared" si="1205"/>
        <v/>
      </c>
      <c r="M3215" s="37">
        <f t="shared" si="1206"/>
        <v>15.78</v>
      </c>
      <c r="N3215" s="29">
        <f t="shared" si="1207"/>
        <v>10.78</v>
      </c>
      <c r="O3215" s="154"/>
      <c r="P3215" s="202" t="s">
        <v>1017</v>
      </c>
      <c r="Q3215" s="50"/>
      <c r="R3215" s="22"/>
      <c r="S3215" s="179"/>
      <c r="T3215" s="50"/>
      <c r="U3215" s="22"/>
      <c r="V3215" s="179"/>
      <c r="W3215" s="22"/>
      <c r="X3215" s="38"/>
      <c r="AH3215" s="202" t="s">
        <v>1778</v>
      </c>
      <c r="AK3215" t="str">
        <f t="shared" si="1208"/>
        <v/>
      </c>
      <c r="AL3215" t="str">
        <f t="shared" si="1209"/>
        <v>E1b</v>
      </c>
      <c r="AM3215" t="str">
        <f t="shared" si="1210"/>
        <v/>
      </c>
      <c r="AN3215" t="str">
        <f t="shared" si="1211"/>
        <v/>
      </c>
      <c r="AO3215" t="str">
        <f t="shared" si="1212"/>
        <v/>
      </c>
      <c r="AP3215" t="str">
        <f t="shared" si="1213"/>
        <v/>
      </c>
      <c r="AQ3215" t="str">
        <f t="shared" si="1214"/>
        <v/>
      </c>
      <c r="AR3215" t="str">
        <f t="shared" si="1215"/>
        <v/>
      </c>
      <c r="AS3215" t="str">
        <f t="shared" si="1216"/>
        <v/>
      </c>
      <c r="AT3215" t="str">
        <f t="shared" si="1217"/>
        <v/>
      </c>
      <c r="AU3215" t="str">
        <f t="shared" si="1218"/>
        <v>E1b</v>
      </c>
      <c r="AV3215" s="203" t="str">
        <f t="shared" si="1219"/>
        <v>BiK272E1b---12</v>
      </c>
      <c r="AW3215">
        <f t="shared" si="1220"/>
        <v>14</v>
      </c>
      <c r="AX3215" t="str">
        <f t="shared" si="1221"/>
        <v>0,5-0,75 MW, Bonusregel E1b</v>
      </c>
      <c r="AY3215" t="str">
        <f t="shared" si="1222"/>
        <v/>
      </c>
    </row>
    <row r="3216" spans="1:51" x14ac:dyDescent="0.35">
      <c r="A3216" s="502" t="str">
        <f t="shared" si="1200"/>
        <v>BiK272E1d---13</v>
      </c>
      <c r="B3216" s="301" t="s">
        <v>5547</v>
      </c>
      <c r="C3216" s="301" t="str">
        <f t="shared" si="1201"/>
        <v>Inbetriebnahme 2013</v>
      </c>
      <c r="D3216" s="301" t="str">
        <f t="shared" si="1202"/>
        <v>0,5-0,75 MW, Bonusregel E1d</v>
      </c>
      <c r="E3216" s="301"/>
      <c r="F3216" s="377">
        <f t="shared" si="1203"/>
        <v>13.28</v>
      </c>
      <c r="G3216" s="433">
        <v>13.28</v>
      </c>
      <c r="H3216" s="402">
        <f t="shared" si="1204"/>
        <v>10.62</v>
      </c>
      <c r="I3216" s="579"/>
      <c r="J3216" s="549" t="s">
        <v>5804</v>
      </c>
      <c r="K3216" s="11"/>
      <c r="L3216" s="55" t="str">
        <f t="shared" si="1205"/>
        <v/>
      </c>
      <c r="M3216" s="37">
        <f t="shared" si="1206"/>
        <v>13.28</v>
      </c>
      <c r="N3216" s="29">
        <f t="shared" si="1207"/>
        <v>10.78</v>
      </c>
      <c r="O3216" s="154"/>
      <c r="P3216" s="22"/>
      <c r="Q3216" s="50"/>
      <c r="R3216" s="202" t="s">
        <v>1017</v>
      </c>
      <c r="S3216" s="179"/>
      <c r="T3216" s="50"/>
      <c r="U3216" s="22"/>
      <c r="V3216" s="179"/>
      <c r="W3216" s="22"/>
      <c r="X3216" s="38"/>
      <c r="AH3216" s="202" t="s">
        <v>1778</v>
      </c>
      <c r="AK3216" t="str">
        <f t="shared" si="1208"/>
        <v/>
      </c>
      <c r="AL3216" t="str">
        <f t="shared" si="1209"/>
        <v/>
      </c>
      <c r="AM3216" t="str">
        <f t="shared" si="1210"/>
        <v/>
      </c>
      <c r="AN3216" t="str">
        <f t="shared" si="1211"/>
        <v>E1d</v>
      </c>
      <c r="AO3216" t="str">
        <f t="shared" si="1212"/>
        <v/>
      </c>
      <c r="AP3216" t="str">
        <f t="shared" si="1213"/>
        <v/>
      </c>
      <c r="AQ3216" t="str">
        <f t="shared" si="1214"/>
        <v/>
      </c>
      <c r="AR3216" t="str">
        <f t="shared" si="1215"/>
        <v/>
      </c>
      <c r="AS3216" t="str">
        <f t="shared" si="1216"/>
        <v/>
      </c>
      <c r="AT3216" t="str">
        <f t="shared" si="1217"/>
        <v/>
      </c>
      <c r="AU3216" t="str">
        <f t="shared" si="1218"/>
        <v>E1d</v>
      </c>
      <c r="AV3216" s="203" t="str">
        <f t="shared" si="1219"/>
        <v>BiK272E1d---12</v>
      </c>
      <c r="AW3216">
        <f t="shared" si="1220"/>
        <v>14</v>
      </c>
      <c r="AX3216" t="str">
        <f t="shared" si="1221"/>
        <v>0,5-0,75 MW, Bonusregel E1d</v>
      </c>
      <c r="AY3216" t="str">
        <f t="shared" si="1222"/>
        <v/>
      </c>
    </row>
    <row r="3217" spans="1:51" x14ac:dyDescent="0.35">
      <c r="A3217" s="502" t="str">
        <f t="shared" si="1200"/>
        <v>BiK272E2a---13</v>
      </c>
      <c r="B3217" s="301" t="s">
        <v>5547</v>
      </c>
      <c r="C3217" s="301" t="str">
        <f t="shared" si="1201"/>
        <v>Inbetriebnahme 2013</v>
      </c>
      <c r="D3217" s="301" t="str">
        <f t="shared" si="1202"/>
        <v>0,5-0,75 MW, Bonusregel E2a</v>
      </c>
      <c r="E3217" s="301"/>
      <c r="F3217" s="377">
        <f t="shared" si="1203"/>
        <v>18.78</v>
      </c>
      <c r="G3217" s="433">
        <v>18.78</v>
      </c>
      <c r="H3217" s="402">
        <f t="shared" si="1204"/>
        <v>15.02</v>
      </c>
      <c r="I3217" s="579"/>
      <c r="J3217" s="549" t="s">
        <v>5804</v>
      </c>
      <c r="K3217" s="11"/>
      <c r="L3217" s="55" t="str">
        <f t="shared" si="1205"/>
        <v/>
      </c>
      <c r="M3217" s="37">
        <f t="shared" si="1206"/>
        <v>18.78</v>
      </c>
      <c r="N3217" s="29">
        <f t="shared" si="1207"/>
        <v>10.78</v>
      </c>
      <c r="O3217" s="154"/>
      <c r="P3217" s="22"/>
      <c r="Q3217" s="50"/>
      <c r="R3217" s="22"/>
      <c r="S3217" s="179" t="s">
        <v>1017</v>
      </c>
      <c r="T3217" s="50"/>
      <c r="U3217" s="22"/>
      <c r="V3217" s="179"/>
      <c r="W3217" s="22"/>
      <c r="X3217" s="38"/>
      <c r="AH3217" s="202" t="s">
        <v>1778</v>
      </c>
      <c r="AK3217" t="str">
        <f t="shared" si="1208"/>
        <v/>
      </c>
      <c r="AL3217" t="str">
        <f t="shared" si="1209"/>
        <v/>
      </c>
      <c r="AM3217" t="str">
        <f t="shared" si="1210"/>
        <v/>
      </c>
      <c r="AN3217" t="str">
        <f t="shared" si="1211"/>
        <v/>
      </c>
      <c r="AO3217" t="str">
        <f t="shared" si="1212"/>
        <v>E2a</v>
      </c>
      <c r="AP3217" t="str">
        <f t="shared" si="1213"/>
        <v/>
      </c>
      <c r="AQ3217" t="str">
        <f t="shared" si="1214"/>
        <v/>
      </c>
      <c r="AR3217" t="str">
        <f t="shared" si="1215"/>
        <v/>
      </c>
      <c r="AS3217" t="str">
        <f t="shared" si="1216"/>
        <v/>
      </c>
      <c r="AT3217" t="str">
        <f t="shared" si="1217"/>
        <v/>
      </c>
      <c r="AU3217" t="str">
        <f t="shared" si="1218"/>
        <v>E2a</v>
      </c>
      <c r="AV3217" s="203" t="str">
        <f t="shared" si="1219"/>
        <v>BiK272E2a---12</v>
      </c>
      <c r="AW3217">
        <f t="shared" si="1220"/>
        <v>14</v>
      </c>
      <c r="AX3217" t="str">
        <f t="shared" si="1221"/>
        <v>0,5-0,75 MW, Bonusregel E2a</v>
      </c>
      <c r="AY3217" t="str">
        <f t="shared" si="1222"/>
        <v/>
      </c>
    </row>
    <row r="3218" spans="1:51" x14ac:dyDescent="0.35">
      <c r="A3218" s="502" t="str">
        <f t="shared" si="1200"/>
        <v>BiK272E2c---13</v>
      </c>
      <c r="B3218" s="301" t="s">
        <v>5547</v>
      </c>
      <c r="C3218" s="301" t="str">
        <f t="shared" si="1201"/>
        <v>Inbetriebnahme 2013</v>
      </c>
      <c r="D3218" s="301" t="str">
        <f t="shared" si="1202"/>
        <v>0,5-0,75 MW, Bonusregel E2c</v>
      </c>
      <c r="E3218" s="301"/>
      <c r="F3218" s="377">
        <f t="shared" si="1203"/>
        <v>16.78</v>
      </c>
      <c r="G3218" s="433">
        <v>16.78</v>
      </c>
      <c r="H3218" s="402">
        <f t="shared" si="1204"/>
        <v>13.42</v>
      </c>
      <c r="I3218" s="579"/>
      <c r="J3218" s="549" t="s">
        <v>5804</v>
      </c>
      <c r="K3218" s="11"/>
      <c r="L3218" s="55" t="str">
        <f t="shared" si="1205"/>
        <v/>
      </c>
      <c r="M3218" s="37">
        <f t="shared" si="1206"/>
        <v>16.78</v>
      </c>
      <c r="N3218" s="29">
        <f t="shared" si="1207"/>
        <v>10.78</v>
      </c>
      <c r="O3218" s="154"/>
      <c r="P3218" s="22"/>
      <c r="Q3218" s="50"/>
      <c r="R3218" s="22"/>
      <c r="S3218" s="179"/>
      <c r="T3218" s="50"/>
      <c r="U3218" s="202" t="s">
        <v>1017</v>
      </c>
      <c r="V3218" s="179"/>
      <c r="W3218" s="22"/>
      <c r="X3218" s="38"/>
      <c r="AH3218" s="202" t="s">
        <v>1778</v>
      </c>
      <c r="AK3218" t="str">
        <f t="shared" si="1208"/>
        <v/>
      </c>
      <c r="AL3218" t="str">
        <f t="shared" si="1209"/>
        <v/>
      </c>
      <c r="AM3218" t="str">
        <f t="shared" si="1210"/>
        <v/>
      </c>
      <c r="AN3218" t="str">
        <f t="shared" si="1211"/>
        <v/>
      </c>
      <c r="AO3218" t="str">
        <f t="shared" si="1212"/>
        <v/>
      </c>
      <c r="AP3218" t="str">
        <f t="shared" si="1213"/>
        <v/>
      </c>
      <c r="AQ3218" t="str">
        <f t="shared" si="1214"/>
        <v>E2c</v>
      </c>
      <c r="AR3218" t="str">
        <f t="shared" si="1215"/>
        <v/>
      </c>
      <c r="AS3218" t="str">
        <f t="shared" si="1216"/>
        <v/>
      </c>
      <c r="AT3218" t="str">
        <f t="shared" si="1217"/>
        <v/>
      </c>
      <c r="AU3218" t="str">
        <f t="shared" si="1218"/>
        <v>E2c</v>
      </c>
      <c r="AV3218" s="203" t="str">
        <f t="shared" si="1219"/>
        <v>BiK272E2c---12</v>
      </c>
      <c r="AW3218">
        <f t="shared" si="1220"/>
        <v>14</v>
      </c>
      <c r="AX3218" t="str">
        <f t="shared" si="1221"/>
        <v>0,5-0,75 MW, Bonusregel E2c</v>
      </c>
      <c r="AY3218" t="str">
        <f t="shared" si="1222"/>
        <v/>
      </c>
    </row>
    <row r="3219" spans="1:51" x14ac:dyDescent="0.35">
      <c r="A3219" s="502" t="str">
        <f t="shared" si="1200"/>
        <v>BiK272G1----13</v>
      </c>
      <c r="B3219" s="301" t="s">
        <v>5547</v>
      </c>
      <c r="C3219" s="301" t="str">
        <f t="shared" si="1201"/>
        <v>Inbetriebnahme 2013</v>
      </c>
      <c r="D3219" s="301" t="str">
        <f t="shared" si="1202"/>
        <v>0,5-0,75 MW, Bonusregel G1</v>
      </c>
      <c r="E3219" s="301"/>
      <c r="F3219" s="377">
        <f t="shared" si="1203"/>
        <v>13.719999999999999</v>
      </c>
      <c r="G3219" s="433">
        <v>13.719999999999999</v>
      </c>
      <c r="H3219" s="402">
        <f t="shared" si="1204"/>
        <v>10.98</v>
      </c>
      <c r="I3219" s="579"/>
      <c r="J3219" s="549" t="s">
        <v>5804</v>
      </c>
      <c r="K3219" s="11"/>
      <c r="L3219" s="55" t="str">
        <f t="shared" si="1205"/>
        <v/>
      </c>
      <c r="M3219" s="37">
        <f t="shared" si="1206"/>
        <v>13.719999999999999</v>
      </c>
      <c r="N3219" s="29">
        <f t="shared" si="1207"/>
        <v>10.78</v>
      </c>
      <c r="O3219" s="154"/>
      <c r="P3219" s="22"/>
      <c r="Q3219" s="50"/>
      <c r="R3219" s="22"/>
      <c r="S3219" s="179"/>
      <c r="T3219" s="50"/>
      <c r="U3219" s="22"/>
      <c r="V3219" s="179" t="s">
        <v>1017</v>
      </c>
      <c r="W3219" s="22"/>
      <c r="X3219" s="38"/>
      <c r="AH3219" s="202" t="s">
        <v>1778</v>
      </c>
      <c r="AK3219" t="str">
        <f t="shared" si="1208"/>
        <v/>
      </c>
      <c r="AL3219" t="str">
        <f t="shared" si="1209"/>
        <v/>
      </c>
      <c r="AM3219" t="str">
        <f t="shared" si="1210"/>
        <v/>
      </c>
      <c r="AN3219" t="str">
        <f t="shared" si="1211"/>
        <v/>
      </c>
      <c r="AO3219" t="str">
        <f t="shared" si="1212"/>
        <v/>
      </c>
      <c r="AP3219" t="str">
        <f t="shared" si="1213"/>
        <v/>
      </c>
      <c r="AQ3219" t="str">
        <f t="shared" si="1214"/>
        <v/>
      </c>
      <c r="AR3219" t="str">
        <f t="shared" si="1215"/>
        <v>G1</v>
      </c>
      <c r="AS3219" t="str">
        <f t="shared" si="1216"/>
        <v/>
      </c>
      <c r="AT3219" t="str">
        <f t="shared" si="1217"/>
        <v/>
      </c>
      <c r="AU3219" t="str">
        <f t="shared" si="1218"/>
        <v>G1</v>
      </c>
      <c r="AV3219" s="203" t="str">
        <f t="shared" si="1219"/>
        <v>BiK272G1----12</v>
      </c>
      <c r="AW3219">
        <f t="shared" si="1220"/>
        <v>14</v>
      </c>
      <c r="AX3219" t="str">
        <f t="shared" si="1221"/>
        <v>0,5-0,75 MW, Bonusregel G1</v>
      </c>
      <c r="AY3219" t="str">
        <f t="shared" si="1222"/>
        <v/>
      </c>
    </row>
    <row r="3220" spans="1:51" x14ac:dyDescent="0.35">
      <c r="A3220" s="502" t="str">
        <f t="shared" si="1200"/>
        <v>BiK272E1bG1-13</v>
      </c>
      <c r="B3220" s="301" t="s">
        <v>5547</v>
      </c>
      <c r="C3220" s="301" t="str">
        <f t="shared" si="1201"/>
        <v>Inbetriebnahme 2013</v>
      </c>
      <c r="D3220" s="301" t="str">
        <f t="shared" si="1202"/>
        <v>0,5-0,75 MW, Bonusregeln E1b, G1</v>
      </c>
      <c r="E3220" s="301"/>
      <c r="F3220" s="377">
        <f t="shared" si="1203"/>
        <v>18.72</v>
      </c>
      <c r="G3220" s="433">
        <v>18.72</v>
      </c>
      <c r="H3220" s="402">
        <f t="shared" si="1204"/>
        <v>14.98</v>
      </c>
      <c r="I3220" s="579"/>
      <c r="J3220" s="549" t="s">
        <v>5804</v>
      </c>
      <c r="K3220" s="11"/>
      <c r="L3220" s="55" t="str">
        <f t="shared" si="1205"/>
        <v/>
      </c>
      <c r="M3220" s="37">
        <f t="shared" si="1206"/>
        <v>18.72</v>
      </c>
      <c r="N3220" s="29">
        <f t="shared" si="1207"/>
        <v>10.78</v>
      </c>
      <c r="O3220" s="154"/>
      <c r="P3220" s="202" t="s">
        <v>1017</v>
      </c>
      <c r="Q3220" s="50"/>
      <c r="R3220" s="22"/>
      <c r="S3220" s="179"/>
      <c r="T3220" s="50"/>
      <c r="U3220" s="22"/>
      <c r="V3220" s="179" t="s">
        <v>1017</v>
      </c>
      <c r="W3220" s="22"/>
      <c r="X3220" s="38"/>
      <c r="AH3220" s="202" t="s">
        <v>1778</v>
      </c>
      <c r="AK3220" t="str">
        <f t="shared" si="1208"/>
        <v/>
      </c>
      <c r="AL3220" t="str">
        <f t="shared" si="1209"/>
        <v>E1b</v>
      </c>
      <c r="AM3220" t="str">
        <f t="shared" si="1210"/>
        <v/>
      </c>
      <c r="AN3220" t="str">
        <f t="shared" si="1211"/>
        <v/>
      </c>
      <c r="AO3220" t="str">
        <f t="shared" si="1212"/>
        <v/>
      </c>
      <c r="AP3220" t="str">
        <f t="shared" si="1213"/>
        <v/>
      </c>
      <c r="AQ3220" t="str">
        <f t="shared" si="1214"/>
        <v/>
      </c>
      <c r="AR3220" t="str">
        <f t="shared" si="1215"/>
        <v>G1</v>
      </c>
      <c r="AS3220" t="str">
        <f t="shared" si="1216"/>
        <v/>
      </c>
      <c r="AT3220" t="str">
        <f t="shared" si="1217"/>
        <v/>
      </c>
      <c r="AU3220" t="str">
        <f t="shared" si="1218"/>
        <v>E1bG1</v>
      </c>
      <c r="AV3220" s="203" t="str">
        <f t="shared" si="1219"/>
        <v>BiK272E1bG1-12</v>
      </c>
      <c r="AW3220">
        <f t="shared" si="1220"/>
        <v>14</v>
      </c>
      <c r="AX3220" t="str">
        <f t="shared" si="1221"/>
        <v>0,5-0,75 MW, Bonusregeln E1b, G1</v>
      </c>
      <c r="AY3220" t="str">
        <f t="shared" si="1222"/>
        <v/>
      </c>
    </row>
    <row r="3221" spans="1:51" x14ac:dyDescent="0.35">
      <c r="A3221" s="502" t="str">
        <f t="shared" si="1200"/>
        <v>BiK272E1dG1-13</v>
      </c>
      <c r="B3221" s="301" t="s">
        <v>5547</v>
      </c>
      <c r="C3221" s="301" t="str">
        <f t="shared" si="1201"/>
        <v>Inbetriebnahme 2013</v>
      </c>
      <c r="D3221" s="301" t="str">
        <f t="shared" si="1202"/>
        <v>0,5-0,75 MW, Bonusregeln E1d, G1</v>
      </c>
      <c r="E3221" s="301"/>
      <c r="F3221" s="377">
        <f t="shared" si="1203"/>
        <v>16.22</v>
      </c>
      <c r="G3221" s="433">
        <v>16.22</v>
      </c>
      <c r="H3221" s="402">
        <f t="shared" si="1204"/>
        <v>12.98</v>
      </c>
      <c r="I3221" s="579"/>
      <c r="J3221" s="549" t="s">
        <v>5804</v>
      </c>
      <c r="K3221" s="11"/>
      <c r="L3221" s="55" t="str">
        <f t="shared" si="1205"/>
        <v/>
      </c>
      <c r="M3221" s="37">
        <f t="shared" si="1206"/>
        <v>16.22</v>
      </c>
      <c r="N3221" s="29">
        <f t="shared" si="1207"/>
        <v>10.78</v>
      </c>
      <c r="O3221" s="154"/>
      <c r="P3221" s="22"/>
      <c r="Q3221" s="50"/>
      <c r="R3221" s="202" t="s">
        <v>1017</v>
      </c>
      <c r="S3221" s="179"/>
      <c r="T3221" s="50"/>
      <c r="U3221" s="22"/>
      <c r="V3221" s="179" t="s">
        <v>1017</v>
      </c>
      <c r="W3221" s="22"/>
      <c r="X3221" s="38"/>
      <c r="AH3221" s="202" t="s">
        <v>1778</v>
      </c>
      <c r="AK3221" t="str">
        <f t="shared" si="1208"/>
        <v/>
      </c>
      <c r="AL3221" t="str">
        <f t="shared" si="1209"/>
        <v/>
      </c>
      <c r="AM3221" t="str">
        <f t="shared" si="1210"/>
        <v/>
      </c>
      <c r="AN3221" t="str">
        <f t="shared" si="1211"/>
        <v>E1d</v>
      </c>
      <c r="AO3221" t="str">
        <f t="shared" si="1212"/>
        <v/>
      </c>
      <c r="AP3221" t="str">
        <f t="shared" si="1213"/>
        <v/>
      </c>
      <c r="AQ3221" t="str">
        <f t="shared" si="1214"/>
        <v/>
      </c>
      <c r="AR3221" t="str">
        <f t="shared" si="1215"/>
        <v>G1</v>
      </c>
      <c r="AS3221" t="str">
        <f t="shared" si="1216"/>
        <v/>
      </c>
      <c r="AT3221" t="str">
        <f t="shared" si="1217"/>
        <v/>
      </c>
      <c r="AU3221" t="str">
        <f t="shared" si="1218"/>
        <v>E1dG1</v>
      </c>
      <c r="AV3221" s="203" t="str">
        <f t="shared" si="1219"/>
        <v>BiK272E1dG1-12</v>
      </c>
      <c r="AW3221">
        <f t="shared" si="1220"/>
        <v>14</v>
      </c>
      <c r="AX3221" t="str">
        <f t="shared" si="1221"/>
        <v>0,5-0,75 MW, Bonusregeln E1d, G1</v>
      </c>
      <c r="AY3221" t="str">
        <f t="shared" si="1222"/>
        <v/>
      </c>
    </row>
    <row r="3222" spans="1:51" x14ac:dyDescent="0.35">
      <c r="A3222" s="502" t="str">
        <f t="shared" si="1200"/>
        <v>BiK272E2aG1-13</v>
      </c>
      <c r="B3222" s="301" t="s">
        <v>5547</v>
      </c>
      <c r="C3222" s="301" t="str">
        <f t="shared" si="1201"/>
        <v>Inbetriebnahme 2013</v>
      </c>
      <c r="D3222" s="301" t="str">
        <f t="shared" si="1202"/>
        <v>0,5-0,75 MW, Bonusregeln E2a, G1</v>
      </c>
      <c r="E3222" s="301"/>
      <c r="F3222" s="377">
        <f t="shared" si="1203"/>
        <v>21.72</v>
      </c>
      <c r="G3222" s="433">
        <v>21.72</v>
      </c>
      <c r="H3222" s="402">
        <f t="shared" si="1204"/>
        <v>17.38</v>
      </c>
      <c r="I3222" s="579"/>
      <c r="J3222" s="549" t="s">
        <v>5804</v>
      </c>
      <c r="K3222" s="11"/>
      <c r="L3222" s="55" t="str">
        <f t="shared" si="1205"/>
        <v/>
      </c>
      <c r="M3222" s="37">
        <f t="shared" si="1206"/>
        <v>21.72</v>
      </c>
      <c r="N3222" s="29">
        <f t="shared" si="1207"/>
        <v>10.78</v>
      </c>
      <c r="O3222" s="154"/>
      <c r="P3222" s="22"/>
      <c r="Q3222" s="50"/>
      <c r="R3222" s="22"/>
      <c r="S3222" s="179" t="s">
        <v>1017</v>
      </c>
      <c r="T3222" s="50"/>
      <c r="U3222" s="22"/>
      <c r="V3222" s="179" t="s">
        <v>1017</v>
      </c>
      <c r="W3222" s="22"/>
      <c r="X3222" s="38"/>
      <c r="AH3222" s="202" t="s">
        <v>1778</v>
      </c>
      <c r="AK3222" t="str">
        <f t="shared" si="1208"/>
        <v/>
      </c>
      <c r="AL3222" t="str">
        <f t="shared" si="1209"/>
        <v/>
      </c>
      <c r="AM3222" t="str">
        <f t="shared" si="1210"/>
        <v/>
      </c>
      <c r="AN3222" t="str">
        <f t="shared" si="1211"/>
        <v/>
      </c>
      <c r="AO3222" t="str">
        <f t="shared" si="1212"/>
        <v>E2a</v>
      </c>
      <c r="AP3222" t="str">
        <f t="shared" si="1213"/>
        <v/>
      </c>
      <c r="AQ3222" t="str">
        <f t="shared" si="1214"/>
        <v/>
      </c>
      <c r="AR3222" t="str">
        <f t="shared" si="1215"/>
        <v>G1</v>
      </c>
      <c r="AS3222" t="str">
        <f t="shared" si="1216"/>
        <v/>
      </c>
      <c r="AT3222" t="str">
        <f t="shared" si="1217"/>
        <v/>
      </c>
      <c r="AU3222" t="str">
        <f t="shared" si="1218"/>
        <v>E2aG1</v>
      </c>
      <c r="AV3222" s="203" t="str">
        <f t="shared" si="1219"/>
        <v>BiK272E2aG1-12</v>
      </c>
      <c r="AW3222">
        <f t="shared" si="1220"/>
        <v>14</v>
      </c>
      <c r="AX3222" t="str">
        <f t="shared" si="1221"/>
        <v>0,5-0,75 MW, Bonusregeln E2a, G1</v>
      </c>
      <c r="AY3222" t="str">
        <f t="shared" si="1222"/>
        <v/>
      </c>
    </row>
    <row r="3223" spans="1:51" x14ac:dyDescent="0.35">
      <c r="A3223" s="502" t="str">
        <f t="shared" si="1200"/>
        <v>BiK272E2cG1-13</v>
      </c>
      <c r="B3223" s="301" t="s">
        <v>5547</v>
      </c>
      <c r="C3223" s="301" t="str">
        <f t="shared" si="1201"/>
        <v>Inbetriebnahme 2013</v>
      </c>
      <c r="D3223" s="301" t="str">
        <f t="shared" si="1202"/>
        <v>0,5-0,75 MW, Bonusregeln E2c, G1</v>
      </c>
      <c r="E3223" s="301"/>
      <c r="F3223" s="377">
        <f t="shared" si="1203"/>
        <v>19.72</v>
      </c>
      <c r="G3223" s="433">
        <v>19.72</v>
      </c>
      <c r="H3223" s="402">
        <f t="shared" si="1204"/>
        <v>15.78</v>
      </c>
      <c r="I3223" s="579"/>
      <c r="J3223" s="549" t="s">
        <v>5804</v>
      </c>
      <c r="K3223" s="11"/>
      <c r="L3223" s="55" t="str">
        <f t="shared" si="1205"/>
        <v/>
      </c>
      <c r="M3223" s="37">
        <f t="shared" si="1206"/>
        <v>19.72</v>
      </c>
      <c r="N3223" s="29">
        <f t="shared" si="1207"/>
        <v>10.78</v>
      </c>
      <c r="O3223" s="154"/>
      <c r="P3223" s="22"/>
      <c r="Q3223" s="50"/>
      <c r="R3223" s="22"/>
      <c r="S3223" s="179"/>
      <c r="T3223" s="50"/>
      <c r="U3223" s="202" t="s">
        <v>1017</v>
      </c>
      <c r="V3223" s="179" t="s">
        <v>1017</v>
      </c>
      <c r="W3223" s="202"/>
      <c r="X3223" s="38"/>
      <c r="AH3223" s="202" t="s">
        <v>1778</v>
      </c>
      <c r="AK3223" t="str">
        <f t="shared" si="1208"/>
        <v/>
      </c>
      <c r="AL3223" t="str">
        <f t="shared" si="1209"/>
        <v/>
      </c>
      <c r="AM3223" t="str">
        <f t="shared" si="1210"/>
        <v/>
      </c>
      <c r="AN3223" t="str">
        <f t="shared" si="1211"/>
        <v/>
      </c>
      <c r="AO3223" t="str">
        <f t="shared" si="1212"/>
        <v/>
      </c>
      <c r="AP3223" t="str">
        <f t="shared" si="1213"/>
        <v/>
      </c>
      <c r="AQ3223" t="str">
        <f t="shared" si="1214"/>
        <v>E2c</v>
      </c>
      <c r="AR3223" t="str">
        <f t="shared" si="1215"/>
        <v>G1</v>
      </c>
      <c r="AS3223" t="str">
        <f t="shared" si="1216"/>
        <v/>
      </c>
      <c r="AT3223" t="str">
        <f t="shared" si="1217"/>
        <v/>
      </c>
      <c r="AU3223" t="str">
        <f t="shared" si="1218"/>
        <v>E2cG1</v>
      </c>
      <c r="AV3223" s="203" t="str">
        <f t="shared" si="1219"/>
        <v>BiK272E2cG1-12</v>
      </c>
      <c r="AW3223">
        <f t="shared" si="1220"/>
        <v>14</v>
      </c>
      <c r="AX3223" t="str">
        <f t="shared" si="1221"/>
        <v>0,5-0,75 MW, Bonusregeln E2c, G1</v>
      </c>
      <c r="AY3223" t="str">
        <f t="shared" si="1222"/>
        <v/>
      </c>
    </row>
    <row r="3224" spans="1:51" x14ac:dyDescent="0.35">
      <c r="A3224" s="502" t="str">
        <f t="shared" si="1200"/>
        <v>BiK272G2----13</v>
      </c>
      <c r="B3224" s="301" t="s">
        <v>5547</v>
      </c>
      <c r="C3224" s="301" t="str">
        <f t="shared" si="1201"/>
        <v>Inbetriebnahme 2013</v>
      </c>
      <c r="D3224" s="301" t="str">
        <f t="shared" si="1202"/>
        <v>0,5-0,75 MW, Bonusregel G2</v>
      </c>
      <c r="E3224" s="301"/>
      <c r="F3224" s="377">
        <f t="shared" si="1203"/>
        <v>12.739999999999998</v>
      </c>
      <c r="G3224" s="433">
        <v>12.739999999999998</v>
      </c>
      <c r="H3224" s="402">
        <f t="shared" si="1204"/>
        <v>10.19</v>
      </c>
      <c r="I3224" s="579"/>
      <c r="J3224" s="549" t="s">
        <v>5804</v>
      </c>
      <c r="K3224" s="11"/>
      <c r="L3224" s="55" t="str">
        <f t="shared" si="1205"/>
        <v/>
      </c>
      <c r="M3224" s="37">
        <f t="shared" si="1206"/>
        <v>12.739999999999998</v>
      </c>
      <c r="N3224" s="29">
        <f t="shared" si="1207"/>
        <v>10.78</v>
      </c>
      <c r="O3224" s="154"/>
      <c r="P3224" s="22"/>
      <c r="Q3224" s="50"/>
      <c r="R3224" s="22"/>
      <c r="S3224" s="179"/>
      <c r="T3224" s="50"/>
      <c r="U3224" s="22"/>
      <c r="V3224" s="179"/>
      <c r="W3224" s="202" t="s">
        <v>1017</v>
      </c>
      <c r="X3224" s="38"/>
      <c r="AH3224" s="202" t="s">
        <v>1778</v>
      </c>
      <c r="AK3224" t="str">
        <f t="shared" si="1208"/>
        <v/>
      </c>
      <c r="AL3224" t="str">
        <f t="shared" si="1209"/>
        <v/>
      </c>
      <c r="AM3224" t="str">
        <f t="shared" si="1210"/>
        <v/>
      </c>
      <c r="AN3224" t="str">
        <f t="shared" si="1211"/>
        <v/>
      </c>
      <c r="AO3224" t="str">
        <f t="shared" si="1212"/>
        <v/>
      </c>
      <c r="AP3224" t="str">
        <f t="shared" si="1213"/>
        <v/>
      </c>
      <c r="AQ3224" t="str">
        <f t="shared" si="1214"/>
        <v/>
      </c>
      <c r="AR3224" t="str">
        <f t="shared" si="1215"/>
        <v/>
      </c>
      <c r="AS3224" t="str">
        <f t="shared" si="1216"/>
        <v>G2</v>
      </c>
      <c r="AT3224" t="str">
        <f t="shared" si="1217"/>
        <v/>
      </c>
      <c r="AU3224" t="str">
        <f t="shared" si="1218"/>
        <v>G2</v>
      </c>
      <c r="AV3224" s="203" t="str">
        <f t="shared" si="1219"/>
        <v>BiK272G2----12</v>
      </c>
      <c r="AW3224">
        <f t="shared" si="1220"/>
        <v>14</v>
      </c>
      <c r="AX3224" t="str">
        <f t="shared" si="1221"/>
        <v>0,5-0,75 MW, Bonusregel G2</v>
      </c>
      <c r="AY3224" t="str">
        <f t="shared" si="1222"/>
        <v/>
      </c>
    </row>
    <row r="3225" spans="1:51" x14ac:dyDescent="0.35">
      <c r="A3225" s="502" t="str">
        <f t="shared" si="1200"/>
        <v>BiK272E1bG2-13</v>
      </c>
      <c r="B3225" s="301" t="s">
        <v>5547</v>
      </c>
      <c r="C3225" s="301" t="str">
        <f t="shared" si="1201"/>
        <v>Inbetriebnahme 2013</v>
      </c>
      <c r="D3225" s="301" t="str">
        <f t="shared" si="1202"/>
        <v>0,5-0,75 MW, Bonusregeln E1b, G2</v>
      </c>
      <c r="E3225" s="301"/>
      <c r="F3225" s="377">
        <f t="shared" si="1203"/>
        <v>17.739999999999998</v>
      </c>
      <c r="G3225" s="433">
        <v>17.739999999999998</v>
      </c>
      <c r="H3225" s="402">
        <f t="shared" si="1204"/>
        <v>14.19</v>
      </c>
      <c r="I3225" s="579"/>
      <c r="J3225" s="549" t="s">
        <v>5804</v>
      </c>
      <c r="K3225" s="11"/>
      <c r="L3225" s="55" t="str">
        <f t="shared" si="1205"/>
        <v/>
      </c>
      <c r="M3225" s="37">
        <f t="shared" si="1206"/>
        <v>17.739999999999998</v>
      </c>
      <c r="N3225" s="29">
        <f t="shared" si="1207"/>
        <v>10.78</v>
      </c>
      <c r="O3225" s="154"/>
      <c r="P3225" s="202" t="s">
        <v>1017</v>
      </c>
      <c r="Q3225" s="50"/>
      <c r="R3225" s="22"/>
      <c r="S3225" s="179"/>
      <c r="T3225" s="50"/>
      <c r="U3225" s="22"/>
      <c r="V3225" s="179"/>
      <c r="W3225" s="202" t="s">
        <v>1017</v>
      </c>
      <c r="X3225" s="38"/>
      <c r="AH3225" s="202" t="s">
        <v>1778</v>
      </c>
      <c r="AK3225" t="str">
        <f t="shared" si="1208"/>
        <v/>
      </c>
      <c r="AL3225" t="str">
        <f t="shared" si="1209"/>
        <v>E1b</v>
      </c>
      <c r="AM3225" t="str">
        <f t="shared" si="1210"/>
        <v/>
      </c>
      <c r="AN3225" t="str">
        <f t="shared" si="1211"/>
        <v/>
      </c>
      <c r="AO3225" t="str">
        <f t="shared" si="1212"/>
        <v/>
      </c>
      <c r="AP3225" t="str">
        <f t="shared" si="1213"/>
        <v/>
      </c>
      <c r="AQ3225" t="str">
        <f t="shared" si="1214"/>
        <v/>
      </c>
      <c r="AR3225" t="str">
        <f t="shared" si="1215"/>
        <v/>
      </c>
      <c r="AS3225" t="str">
        <f t="shared" si="1216"/>
        <v>G2</v>
      </c>
      <c r="AT3225" t="str">
        <f t="shared" si="1217"/>
        <v/>
      </c>
      <c r="AU3225" t="str">
        <f t="shared" si="1218"/>
        <v>E1bG2</v>
      </c>
      <c r="AV3225" s="203" t="str">
        <f t="shared" si="1219"/>
        <v>BiK272E1bG2-12</v>
      </c>
      <c r="AW3225">
        <f t="shared" si="1220"/>
        <v>14</v>
      </c>
      <c r="AX3225" t="str">
        <f t="shared" si="1221"/>
        <v>0,5-0,75 MW, Bonusregeln E1b, G2</v>
      </c>
      <c r="AY3225" t="str">
        <f t="shared" si="1222"/>
        <v/>
      </c>
    </row>
    <row r="3226" spans="1:51" x14ac:dyDescent="0.35">
      <c r="A3226" s="502" t="str">
        <f t="shared" si="1200"/>
        <v>BiK272E1dG2-13</v>
      </c>
      <c r="B3226" s="301" t="s">
        <v>5547</v>
      </c>
      <c r="C3226" s="301" t="str">
        <f t="shared" si="1201"/>
        <v>Inbetriebnahme 2013</v>
      </c>
      <c r="D3226" s="301" t="str">
        <f t="shared" si="1202"/>
        <v>0,5-0,75 MW, Bonusregeln E1d, G2</v>
      </c>
      <c r="E3226" s="301"/>
      <c r="F3226" s="377">
        <f t="shared" si="1203"/>
        <v>15.239999999999998</v>
      </c>
      <c r="G3226" s="433">
        <v>15.239999999999998</v>
      </c>
      <c r="H3226" s="402">
        <f t="shared" si="1204"/>
        <v>12.19</v>
      </c>
      <c r="I3226" s="579"/>
      <c r="J3226" s="549" t="s">
        <v>5804</v>
      </c>
      <c r="K3226" s="11"/>
      <c r="L3226" s="55" t="str">
        <f t="shared" si="1205"/>
        <v/>
      </c>
      <c r="M3226" s="37">
        <f t="shared" si="1206"/>
        <v>15.239999999999998</v>
      </c>
      <c r="N3226" s="29">
        <f t="shared" si="1207"/>
        <v>10.78</v>
      </c>
      <c r="O3226" s="154"/>
      <c r="P3226" s="22"/>
      <c r="Q3226" s="50"/>
      <c r="R3226" s="202" t="s">
        <v>1017</v>
      </c>
      <c r="S3226" s="179"/>
      <c r="T3226" s="50"/>
      <c r="U3226" s="22"/>
      <c r="V3226" s="179"/>
      <c r="W3226" s="202" t="s">
        <v>1017</v>
      </c>
      <c r="X3226" s="38"/>
      <c r="AH3226" s="202" t="s">
        <v>1778</v>
      </c>
      <c r="AK3226" t="str">
        <f t="shared" si="1208"/>
        <v/>
      </c>
      <c r="AL3226" t="str">
        <f t="shared" si="1209"/>
        <v/>
      </c>
      <c r="AM3226" t="str">
        <f t="shared" si="1210"/>
        <v/>
      </c>
      <c r="AN3226" t="str">
        <f t="shared" si="1211"/>
        <v>E1d</v>
      </c>
      <c r="AO3226" t="str">
        <f t="shared" si="1212"/>
        <v/>
      </c>
      <c r="AP3226" t="str">
        <f t="shared" si="1213"/>
        <v/>
      </c>
      <c r="AQ3226" t="str">
        <f t="shared" si="1214"/>
        <v/>
      </c>
      <c r="AR3226" t="str">
        <f t="shared" si="1215"/>
        <v/>
      </c>
      <c r="AS3226" t="str">
        <f t="shared" si="1216"/>
        <v>G2</v>
      </c>
      <c r="AT3226" t="str">
        <f t="shared" si="1217"/>
        <v/>
      </c>
      <c r="AU3226" t="str">
        <f t="shared" si="1218"/>
        <v>E1dG2</v>
      </c>
      <c r="AV3226" s="203" t="str">
        <f t="shared" si="1219"/>
        <v>BiK272E1dG2-12</v>
      </c>
      <c r="AW3226">
        <f t="shared" si="1220"/>
        <v>14</v>
      </c>
      <c r="AX3226" t="str">
        <f t="shared" si="1221"/>
        <v>0,5-0,75 MW, Bonusregeln E1d, G2</v>
      </c>
      <c r="AY3226" t="str">
        <f t="shared" si="1222"/>
        <v/>
      </c>
    </row>
    <row r="3227" spans="1:51" x14ac:dyDescent="0.35">
      <c r="A3227" s="502" t="str">
        <f t="shared" si="1200"/>
        <v>BiK272E2aG2-13</v>
      </c>
      <c r="B3227" s="301" t="s">
        <v>5547</v>
      </c>
      <c r="C3227" s="301" t="str">
        <f t="shared" si="1201"/>
        <v>Inbetriebnahme 2013</v>
      </c>
      <c r="D3227" s="301" t="str">
        <f t="shared" si="1202"/>
        <v>0,5-0,75 MW, Bonusregeln E2a, G2</v>
      </c>
      <c r="E3227" s="301"/>
      <c r="F3227" s="377">
        <f t="shared" si="1203"/>
        <v>20.740000000000002</v>
      </c>
      <c r="G3227" s="433">
        <v>20.740000000000002</v>
      </c>
      <c r="H3227" s="402">
        <f t="shared" si="1204"/>
        <v>16.59</v>
      </c>
      <c r="I3227" s="579"/>
      <c r="J3227" s="549" t="s">
        <v>5804</v>
      </c>
      <c r="K3227" s="11"/>
      <c r="L3227" s="55" t="str">
        <f t="shared" si="1205"/>
        <v/>
      </c>
      <c r="M3227" s="37">
        <f t="shared" si="1206"/>
        <v>20.740000000000002</v>
      </c>
      <c r="N3227" s="29">
        <f t="shared" si="1207"/>
        <v>10.78</v>
      </c>
      <c r="O3227" s="154"/>
      <c r="P3227" s="22"/>
      <c r="Q3227" s="50"/>
      <c r="R3227" s="22"/>
      <c r="S3227" s="179" t="s">
        <v>1017</v>
      </c>
      <c r="T3227" s="50"/>
      <c r="U3227" s="22"/>
      <c r="V3227" s="179"/>
      <c r="W3227" s="202" t="s">
        <v>1017</v>
      </c>
      <c r="X3227" s="38"/>
      <c r="AH3227" s="202" t="s">
        <v>1778</v>
      </c>
      <c r="AK3227" t="str">
        <f t="shared" si="1208"/>
        <v/>
      </c>
      <c r="AL3227" t="str">
        <f t="shared" si="1209"/>
        <v/>
      </c>
      <c r="AM3227" t="str">
        <f t="shared" si="1210"/>
        <v/>
      </c>
      <c r="AN3227" t="str">
        <f t="shared" si="1211"/>
        <v/>
      </c>
      <c r="AO3227" t="str">
        <f t="shared" si="1212"/>
        <v>E2a</v>
      </c>
      <c r="AP3227" t="str">
        <f t="shared" si="1213"/>
        <v/>
      </c>
      <c r="AQ3227" t="str">
        <f t="shared" si="1214"/>
        <v/>
      </c>
      <c r="AR3227" t="str">
        <f t="shared" si="1215"/>
        <v/>
      </c>
      <c r="AS3227" t="str">
        <f t="shared" si="1216"/>
        <v>G2</v>
      </c>
      <c r="AT3227" t="str">
        <f t="shared" si="1217"/>
        <v/>
      </c>
      <c r="AU3227" t="str">
        <f t="shared" si="1218"/>
        <v>E2aG2</v>
      </c>
      <c r="AV3227" s="203" t="str">
        <f t="shared" si="1219"/>
        <v>BiK272E2aG2-12</v>
      </c>
      <c r="AW3227">
        <f t="shared" si="1220"/>
        <v>14</v>
      </c>
      <c r="AX3227" t="str">
        <f t="shared" si="1221"/>
        <v>0,5-0,75 MW, Bonusregeln E2a, G2</v>
      </c>
      <c r="AY3227" t="str">
        <f t="shared" si="1222"/>
        <v/>
      </c>
    </row>
    <row r="3228" spans="1:51" x14ac:dyDescent="0.35">
      <c r="A3228" s="502" t="str">
        <f t="shared" si="1200"/>
        <v>BiK272E2cG2-13</v>
      </c>
      <c r="B3228" s="301" t="s">
        <v>5547</v>
      </c>
      <c r="C3228" s="301" t="str">
        <f t="shared" si="1201"/>
        <v>Inbetriebnahme 2013</v>
      </c>
      <c r="D3228" s="301" t="str">
        <f t="shared" si="1202"/>
        <v>0,5-0,75 MW, Bonusregeln E2c, G2</v>
      </c>
      <c r="E3228" s="301"/>
      <c r="F3228" s="377">
        <f t="shared" si="1203"/>
        <v>18.739999999999998</v>
      </c>
      <c r="G3228" s="433">
        <v>18.739999999999998</v>
      </c>
      <c r="H3228" s="402">
        <f t="shared" si="1204"/>
        <v>14.99</v>
      </c>
      <c r="I3228" s="579"/>
      <c r="J3228" s="549" t="s">
        <v>5804</v>
      </c>
      <c r="K3228" s="11"/>
      <c r="L3228" s="55" t="str">
        <f t="shared" si="1205"/>
        <v/>
      </c>
      <c r="M3228" s="37">
        <f t="shared" si="1206"/>
        <v>18.739999999999998</v>
      </c>
      <c r="N3228" s="29">
        <f t="shared" si="1207"/>
        <v>10.78</v>
      </c>
      <c r="O3228" s="154"/>
      <c r="P3228" s="22"/>
      <c r="Q3228" s="50"/>
      <c r="R3228" s="22"/>
      <c r="S3228" s="179"/>
      <c r="T3228" s="50"/>
      <c r="U3228" s="202" t="s">
        <v>1017</v>
      </c>
      <c r="V3228" s="179"/>
      <c r="W3228" s="202" t="s">
        <v>1017</v>
      </c>
      <c r="X3228" s="38"/>
      <c r="AH3228" s="202" t="s">
        <v>1778</v>
      </c>
      <c r="AK3228" t="str">
        <f t="shared" si="1208"/>
        <v/>
      </c>
      <c r="AL3228" t="str">
        <f t="shared" si="1209"/>
        <v/>
      </c>
      <c r="AM3228" t="str">
        <f t="shared" si="1210"/>
        <v/>
      </c>
      <c r="AN3228" t="str">
        <f t="shared" si="1211"/>
        <v/>
      </c>
      <c r="AO3228" t="str">
        <f t="shared" si="1212"/>
        <v/>
      </c>
      <c r="AP3228" t="str">
        <f t="shared" si="1213"/>
        <v/>
      </c>
      <c r="AQ3228" t="str">
        <f t="shared" si="1214"/>
        <v>E2c</v>
      </c>
      <c r="AR3228" t="str">
        <f t="shared" si="1215"/>
        <v/>
      </c>
      <c r="AS3228" t="str">
        <f t="shared" si="1216"/>
        <v>G2</v>
      </c>
      <c r="AT3228" t="str">
        <f t="shared" si="1217"/>
        <v/>
      </c>
      <c r="AU3228" t="str">
        <f t="shared" si="1218"/>
        <v>E2cG2</v>
      </c>
      <c r="AV3228" s="203" t="str">
        <f t="shared" si="1219"/>
        <v>BiK272E2cG2-12</v>
      </c>
      <c r="AW3228">
        <f t="shared" si="1220"/>
        <v>14</v>
      </c>
      <c r="AX3228" t="str">
        <f t="shared" si="1221"/>
        <v>0,5-0,75 MW, Bonusregeln E2c, G2</v>
      </c>
      <c r="AY3228" t="str">
        <f t="shared" si="1222"/>
        <v/>
      </c>
    </row>
    <row r="3229" spans="1:51" x14ac:dyDescent="0.35">
      <c r="A3229" s="502" t="str">
        <f t="shared" si="1200"/>
        <v>BiK272G3----13</v>
      </c>
      <c r="B3229" s="301" t="s">
        <v>5547</v>
      </c>
      <c r="C3229" s="301" t="str">
        <f t="shared" si="1201"/>
        <v>Inbetriebnahme 2013</v>
      </c>
      <c r="D3229" s="301" t="str">
        <f t="shared" si="1202"/>
        <v>0,5-0,75 MW, Bonusregel G3</v>
      </c>
      <c r="E3229" s="301"/>
      <c r="F3229" s="377">
        <f t="shared" si="1203"/>
        <v>11.76</v>
      </c>
      <c r="G3229" s="433">
        <v>11.76</v>
      </c>
      <c r="H3229" s="402">
        <f t="shared" si="1204"/>
        <v>9.41</v>
      </c>
      <c r="I3229" s="579"/>
      <c r="J3229" s="549" t="s">
        <v>5804</v>
      </c>
      <c r="K3229" s="11"/>
      <c r="L3229" s="55" t="str">
        <f t="shared" si="1205"/>
        <v/>
      </c>
      <c r="M3229" s="37">
        <f t="shared" si="1206"/>
        <v>11.76</v>
      </c>
      <c r="N3229" s="29">
        <f t="shared" si="1207"/>
        <v>10.78</v>
      </c>
      <c r="O3229" s="154"/>
      <c r="P3229" s="22"/>
      <c r="Q3229" s="50"/>
      <c r="R3229" s="22"/>
      <c r="S3229" s="179"/>
      <c r="T3229" s="50"/>
      <c r="U3229" s="22"/>
      <c r="V3229" s="179"/>
      <c r="W3229" s="22"/>
      <c r="X3229" s="38" t="s">
        <v>1017</v>
      </c>
      <c r="AH3229" s="202" t="s">
        <v>1778</v>
      </c>
      <c r="AK3229" t="str">
        <f t="shared" si="1208"/>
        <v/>
      </c>
      <c r="AL3229" t="str">
        <f t="shared" si="1209"/>
        <v/>
      </c>
      <c r="AM3229" t="str">
        <f t="shared" si="1210"/>
        <v/>
      </c>
      <c r="AN3229" t="str">
        <f t="shared" si="1211"/>
        <v/>
      </c>
      <c r="AO3229" t="str">
        <f t="shared" si="1212"/>
        <v/>
      </c>
      <c r="AP3229" t="str">
        <f t="shared" si="1213"/>
        <v/>
      </c>
      <c r="AQ3229" t="str">
        <f t="shared" si="1214"/>
        <v/>
      </c>
      <c r="AR3229" t="str">
        <f t="shared" si="1215"/>
        <v/>
      </c>
      <c r="AS3229" t="str">
        <f t="shared" si="1216"/>
        <v/>
      </c>
      <c r="AT3229" t="str">
        <f t="shared" si="1217"/>
        <v>G3</v>
      </c>
      <c r="AU3229" t="str">
        <f t="shared" si="1218"/>
        <v>G3</v>
      </c>
      <c r="AV3229" s="203" t="str">
        <f t="shared" si="1219"/>
        <v>BiK272G3----12</v>
      </c>
      <c r="AW3229">
        <f t="shared" si="1220"/>
        <v>14</v>
      </c>
      <c r="AX3229" t="str">
        <f t="shared" si="1221"/>
        <v>0,5-0,75 MW, Bonusregel G3</v>
      </c>
      <c r="AY3229" t="str">
        <f t="shared" si="1222"/>
        <v/>
      </c>
    </row>
    <row r="3230" spans="1:51" x14ac:dyDescent="0.35">
      <c r="A3230" s="502" t="str">
        <f t="shared" si="1200"/>
        <v>BiK272E1bG3-13</v>
      </c>
      <c r="B3230" s="301" t="s">
        <v>5547</v>
      </c>
      <c r="C3230" s="301" t="str">
        <f t="shared" si="1201"/>
        <v>Inbetriebnahme 2013</v>
      </c>
      <c r="D3230" s="301" t="str">
        <f t="shared" si="1202"/>
        <v>0,5-0,75 MW, Bonusregeln E1b, G3</v>
      </c>
      <c r="E3230" s="301"/>
      <c r="F3230" s="377">
        <f t="shared" si="1203"/>
        <v>16.759999999999998</v>
      </c>
      <c r="G3230" s="433">
        <v>16.759999999999998</v>
      </c>
      <c r="H3230" s="402">
        <f t="shared" si="1204"/>
        <v>13.41</v>
      </c>
      <c r="I3230" s="579"/>
      <c r="J3230" s="549" t="s">
        <v>5804</v>
      </c>
      <c r="K3230" s="11"/>
      <c r="L3230" s="55" t="str">
        <f t="shared" si="1205"/>
        <v/>
      </c>
      <c r="M3230" s="37">
        <f t="shared" si="1206"/>
        <v>16.759999999999998</v>
      </c>
      <c r="N3230" s="29">
        <f t="shared" si="1207"/>
        <v>10.78</v>
      </c>
      <c r="O3230" s="154"/>
      <c r="P3230" s="202" t="s">
        <v>1017</v>
      </c>
      <c r="Q3230" s="50"/>
      <c r="R3230" s="22"/>
      <c r="S3230" s="179"/>
      <c r="T3230" s="50"/>
      <c r="U3230" s="22"/>
      <c r="V3230" s="179"/>
      <c r="W3230" s="22"/>
      <c r="X3230" s="38" t="s">
        <v>1017</v>
      </c>
      <c r="AH3230" s="202" t="s">
        <v>1778</v>
      </c>
      <c r="AK3230" t="str">
        <f t="shared" si="1208"/>
        <v/>
      </c>
      <c r="AL3230" t="str">
        <f t="shared" si="1209"/>
        <v>E1b</v>
      </c>
      <c r="AM3230" t="str">
        <f t="shared" si="1210"/>
        <v/>
      </c>
      <c r="AN3230" t="str">
        <f t="shared" si="1211"/>
        <v/>
      </c>
      <c r="AO3230" t="str">
        <f t="shared" si="1212"/>
        <v/>
      </c>
      <c r="AP3230" t="str">
        <f t="shared" si="1213"/>
        <v/>
      </c>
      <c r="AQ3230" t="str">
        <f t="shared" si="1214"/>
        <v/>
      </c>
      <c r="AR3230" t="str">
        <f t="shared" si="1215"/>
        <v/>
      </c>
      <c r="AS3230" t="str">
        <f t="shared" si="1216"/>
        <v/>
      </c>
      <c r="AT3230" t="str">
        <f t="shared" si="1217"/>
        <v>G3</v>
      </c>
      <c r="AU3230" t="str">
        <f t="shared" si="1218"/>
        <v>E1bG3</v>
      </c>
      <c r="AV3230" s="203" t="str">
        <f t="shared" si="1219"/>
        <v>BiK272E1bG3-12</v>
      </c>
      <c r="AW3230">
        <f t="shared" si="1220"/>
        <v>14</v>
      </c>
      <c r="AX3230" t="str">
        <f t="shared" si="1221"/>
        <v>0,5-0,75 MW, Bonusregeln E1b, G3</v>
      </c>
      <c r="AY3230" t="str">
        <f t="shared" si="1222"/>
        <v/>
      </c>
    </row>
    <row r="3231" spans="1:51" x14ac:dyDescent="0.35">
      <c r="A3231" s="502" t="str">
        <f t="shared" si="1200"/>
        <v>BiK272E1dG3-13</v>
      </c>
      <c r="B3231" s="301" t="s">
        <v>5547</v>
      </c>
      <c r="C3231" s="301" t="str">
        <f t="shared" si="1201"/>
        <v>Inbetriebnahme 2013</v>
      </c>
      <c r="D3231" s="301" t="str">
        <f t="shared" si="1202"/>
        <v>0,5-0,75 MW, Bonusregeln E1d, G3</v>
      </c>
      <c r="E3231" s="301"/>
      <c r="F3231" s="377">
        <f t="shared" si="1203"/>
        <v>14.26</v>
      </c>
      <c r="G3231" s="433">
        <v>14.26</v>
      </c>
      <c r="H3231" s="402">
        <f t="shared" si="1204"/>
        <v>11.41</v>
      </c>
      <c r="I3231" s="579"/>
      <c r="J3231" s="549" t="s">
        <v>5804</v>
      </c>
      <c r="K3231" s="11"/>
      <c r="L3231" s="55" t="str">
        <f t="shared" si="1205"/>
        <v/>
      </c>
      <c r="M3231" s="37">
        <f t="shared" si="1206"/>
        <v>14.26</v>
      </c>
      <c r="N3231" s="29">
        <f t="shared" si="1207"/>
        <v>10.78</v>
      </c>
      <c r="O3231" s="154"/>
      <c r="P3231" s="22"/>
      <c r="Q3231" s="50"/>
      <c r="R3231" s="202" t="s">
        <v>1017</v>
      </c>
      <c r="S3231" s="179"/>
      <c r="T3231" s="50"/>
      <c r="U3231" s="22"/>
      <c r="V3231" s="179"/>
      <c r="W3231" s="22"/>
      <c r="X3231" s="38" t="s">
        <v>1017</v>
      </c>
      <c r="AH3231" s="202" t="s">
        <v>1778</v>
      </c>
      <c r="AK3231" t="str">
        <f t="shared" si="1208"/>
        <v/>
      </c>
      <c r="AL3231" t="str">
        <f t="shared" si="1209"/>
        <v/>
      </c>
      <c r="AM3231" t="str">
        <f t="shared" si="1210"/>
        <v/>
      </c>
      <c r="AN3231" t="str">
        <f t="shared" si="1211"/>
        <v>E1d</v>
      </c>
      <c r="AO3231" t="str">
        <f t="shared" si="1212"/>
        <v/>
      </c>
      <c r="AP3231" t="str">
        <f t="shared" si="1213"/>
        <v/>
      </c>
      <c r="AQ3231" t="str">
        <f t="shared" si="1214"/>
        <v/>
      </c>
      <c r="AR3231" t="str">
        <f t="shared" si="1215"/>
        <v/>
      </c>
      <c r="AS3231" t="str">
        <f t="shared" si="1216"/>
        <v/>
      </c>
      <c r="AT3231" t="str">
        <f t="shared" si="1217"/>
        <v>G3</v>
      </c>
      <c r="AU3231" t="str">
        <f t="shared" si="1218"/>
        <v>E1dG3</v>
      </c>
      <c r="AV3231" s="203" t="str">
        <f t="shared" si="1219"/>
        <v>BiK272E1dG3-12</v>
      </c>
      <c r="AW3231">
        <f t="shared" si="1220"/>
        <v>14</v>
      </c>
      <c r="AX3231" t="str">
        <f t="shared" si="1221"/>
        <v>0,5-0,75 MW, Bonusregeln E1d, G3</v>
      </c>
      <c r="AY3231" t="str">
        <f t="shared" si="1222"/>
        <v/>
      </c>
    </row>
    <row r="3232" spans="1:51" x14ac:dyDescent="0.35">
      <c r="A3232" s="502" t="str">
        <f t="shared" si="1200"/>
        <v>BiK272E2aG3-13</v>
      </c>
      <c r="B3232" s="301" t="s">
        <v>5547</v>
      </c>
      <c r="C3232" s="301" t="str">
        <f t="shared" si="1201"/>
        <v>Inbetriebnahme 2013</v>
      </c>
      <c r="D3232" s="301" t="str">
        <f t="shared" si="1202"/>
        <v>0,5-0,75 MW, Bonusregeln E2a, G3</v>
      </c>
      <c r="E3232" s="301"/>
      <c r="F3232" s="377">
        <f t="shared" si="1203"/>
        <v>19.759999999999998</v>
      </c>
      <c r="G3232" s="433">
        <v>19.759999999999998</v>
      </c>
      <c r="H3232" s="402">
        <f t="shared" si="1204"/>
        <v>15.81</v>
      </c>
      <c r="I3232" s="579"/>
      <c r="J3232" s="549" t="s">
        <v>5804</v>
      </c>
      <c r="K3232" s="11"/>
      <c r="L3232" s="55" t="str">
        <f t="shared" si="1205"/>
        <v/>
      </c>
      <c r="M3232" s="37">
        <f t="shared" si="1206"/>
        <v>19.759999999999998</v>
      </c>
      <c r="N3232" s="29">
        <f t="shared" si="1207"/>
        <v>10.78</v>
      </c>
      <c r="O3232" s="154"/>
      <c r="P3232" s="22"/>
      <c r="Q3232" s="50"/>
      <c r="R3232" s="22"/>
      <c r="S3232" s="179" t="s">
        <v>1017</v>
      </c>
      <c r="T3232" s="50"/>
      <c r="U3232" s="22"/>
      <c r="V3232" s="179"/>
      <c r="W3232" s="22"/>
      <c r="X3232" s="38" t="s">
        <v>1017</v>
      </c>
      <c r="AH3232" s="202" t="s">
        <v>1778</v>
      </c>
      <c r="AK3232" t="str">
        <f t="shared" si="1208"/>
        <v/>
      </c>
      <c r="AL3232" t="str">
        <f t="shared" si="1209"/>
        <v/>
      </c>
      <c r="AM3232" t="str">
        <f t="shared" si="1210"/>
        <v/>
      </c>
      <c r="AN3232" t="str">
        <f t="shared" si="1211"/>
        <v/>
      </c>
      <c r="AO3232" t="str">
        <f t="shared" si="1212"/>
        <v>E2a</v>
      </c>
      <c r="AP3232" t="str">
        <f t="shared" si="1213"/>
        <v/>
      </c>
      <c r="AQ3232" t="str">
        <f t="shared" si="1214"/>
        <v/>
      </c>
      <c r="AR3232" t="str">
        <f t="shared" si="1215"/>
        <v/>
      </c>
      <c r="AS3232" t="str">
        <f t="shared" si="1216"/>
        <v/>
      </c>
      <c r="AT3232" t="str">
        <f t="shared" si="1217"/>
        <v>G3</v>
      </c>
      <c r="AU3232" t="str">
        <f t="shared" si="1218"/>
        <v>E2aG3</v>
      </c>
      <c r="AV3232" s="203" t="str">
        <f t="shared" si="1219"/>
        <v>BiK272E2aG3-12</v>
      </c>
      <c r="AW3232">
        <f t="shared" si="1220"/>
        <v>14</v>
      </c>
      <c r="AX3232" t="str">
        <f t="shared" si="1221"/>
        <v>0,5-0,75 MW, Bonusregeln E2a, G3</v>
      </c>
      <c r="AY3232" t="str">
        <f t="shared" si="1222"/>
        <v/>
      </c>
    </row>
    <row r="3233" spans="1:51" x14ac:dyDescent="0.35">
      <c r="A3233" s="502" t="str">
        <f t="shared" si="1200"/>
        <v>BiK272E2cG3-13</v>
      </c>
      <c r="B3233" s="301" t="s">
        <v>5547</v>
      </c>
      <c r="C3233" s="301" t="str">
        <f t="shared" si="1201"/>
        <v>Inbetriebnahme 2013</v>
      </c>
      <c r="D3233" s="301" t="str">
        <f t="shared" si="1202"/>
        <v>0,5-0,75 MW, Bonusregeln E2c, G3</v>
      </c>
      <c r="E3233" s="301"/>
      <c r="F3233" s="377">
        <f t="shared" si="1203"/>
        <v>17.759999999999998</v>
      </c>
      <c r="G3233" s="433">
        <v>17.759999999999998</v>
      </c>
      <c r="H3233" s="402">
        <f t="shared" si="1204"/>
        <v>14.21</v>
      </c>
      <c r="I3233" s="579"/>
      <c r="J3233" s="549" t="s">
        <v>5804</v>
      </c>
      <c r="K3233" s="11"/>
      <c r="L3233" s="55" t="str">
        <f t="shared" si="1205"/>
        <v/>
      </c>
      <c r="M3233" s="37">
        <f t="shared" si="1206"/>
        <v>17.759999999999998</v>
      </c>
      <c r="N3233" s="29">
        <f t="shared" si="1207"/>
        <v>10.78</v>
      </c>
      <c r="O3233" s="154"/>
      <c r="P3233" s="22"/>
      <c r="Q3233" s="50"/>
      <c r="R3233" s="22"/>
      <c r="S3233" s="179"/>
      <c r="T3233" s="50"/>
      <c r="U3233" s="202" t="s">
        <v>1017</v>
      </c>
      <c r="V3233" s="179"/>
      <c r="W3233" s="22"/>
      <c r="X3233" s="38" t="s">
        <v>1017</v>
      </c>
      <c r="AH3233" s="202" t="s">
        <v>1778</v>
      </c>
      <c r="AK3233" t="str">
        <f t="shared" si="1208"/>
        <v/>
      </c>
      <c r="AL3233" t="str">
        <f t="shared" si="1209"/>
        <v/>
      </c>
      <c r="AM3233" t="str">
        <f t="shared" si="1210"/>
        <v/>
      </c>
      <c r="AN3233" t="str">
        <f t="shared" si="1211"/>
        <v/>
      </c>
      <c r="AO3233" t="str">
        <f t="shared" si="1212"/>
        <v/>
      </c>
      <c r="AP3233" t="str">
        <f t="shared" si="1213"/>
        <v/>
      </c>
      <c r="AQ3233" t="str">
        <f t="shared" si="1214"/>
        <v>E2c</v>
      </c>
      <c r="AR3233" t="str">
        <f t="shared" si="1215"/>
        <v/>
      </c>
      <c r="AS3233" t="str">
        <f t="shared" si="1216"/>
        <v/>
      </c>
      <c r="AT3233" t="str">
        <f t="shared" si="1217"/>
        <v>G3</v>
      </c>
      <c r="AU3233" t="str">
        <f t="shared" si="1218"/>
        <v>E2cG3</v>
      </c>
      <c r="AV3233" s="203" t="str">
        <f t="shared" si="1219"/>
        <v>BiK272E2cG3-12</v>
      </c>
      <c r="AW3233">
        <f t="shared" si="1220"/>
        <v>14</v>
      </c>
      <c r="AX3233" t="str">
        <f t="shared" si="1221"/>
        <v>0,5-0,75 MW, Bonusregeln E2c, G3</v>
      </c>
      <c r="AY3233" t="str">
        <f t="shared" si="1222"/>
        <v/>
      </c>
    </row>
    <row r="3234" spans="1:51" x14ac:dyDescent="0.35">
      <c r="A3234" s="502" t="str">
        <f t="shared" ref="A3234:A3253" si="1223">"BiK273"&amp;AU3234&amp;RIGHT("------",6-LEN(AU3234))&amp;RIGHT($M$3181,2)</f>
        <v>BiK273------13</v>
      </c>
      <c r="B3234" s="301" t="s">
        <v>5547</v>
      </c>
      <c r="C3234" s="301" t="str">
        <f t="shared" si="1201"/>
        <v>Inbetriebnahme 2013</v>
      </c>
      <c r="D3234" s="301" t="str">
        <f t="shared" si="1202"/>
        <v>0,75-5 MW</v>
      </c>
      <c r="E3234" s="301"/>
      <c r="F3234" s="377">
        <f t="shared" si="1203"/>
        <v>10.78</v>
      </c>
      <c r="G3234" s="433">
        <v>10.78</v>
      </c>
      <c r="H3234" s="402">
        <f t="shared" si="1204"/>
        <v>8.6199999999999992</v>
      </c>
      <c r="I3234" s="579"/>
      <c r="J3234" s="549" t="s">
        <v>5804</v>
      </c>
      <c r="K3234" s="11"/>
      <c r="L3234" s="55" t="str">
        <f t="shared" si="1205"/>
        <v/>
      </c>
      <c r="M3234" s="37">
        <f t="shared" si="1206"/>
        <v>10.78</v>
      </c>
      <c r="N3234" s="29">
        <f t="shared" si="1207"/>
        <v>10.78</v>
      </c>
      <c r="O3234" s="154"/>
      <c r="P3234" s="50"/>
      <c r="Q3234" s="22"/>
      <c r="R3234" s="22"/>
      <c r="S3234" s="179"/>
      <c r="T3234" s="50"/>
      <c r="U3234" s="22"/>
      <c r="V3234" s="179"/>
      <c r="W3234" s="22"/>
      <c r="X3234" s="38"/>
      <c r="AH3234" s="202" t="s">
        <v>1777</v>
      </c>
      <c r="AK3234" t="str">
        <f t="shared" si="1208"/>
        <v/>
      </c>
      <c r="AL3234" t="str">
        <f t="shared" si="1209"/>
        <v/>
      </c>
      <c r="AM3234" t="str">
        <f t="shared" si="1210"/>
        <v/>
      </c>
      <c r="AN3234" t="str">
        <f t="shared" si="1211"/>
        <v/>
      </c>
      <c r="AO3234" t="str">
        <f t="shared" si="1212"/>
        <v/>
      </c>
      <c r="AP3234" t="str">
        <f t="shared" si="1213"/>
        <v/>
      </c>
      <c r="AQ3234" t="str">
        <f t="shared" si="1214"/>
        <v/>
      </c>
      <c r="AR3234" t="str">
        <f t="shared" si="1215"/>
        <v/>
      </c>
      <c r="AS3234" t="str">
        <f t="shared" si="1216"/>
        <v/>
      </c>
      <c r="AT3234" t="str">
        <f t="shared" si="1217"/>
        <v/>
      </c>
      <c r="AU3234" t="str">
        <f t="shared" si="1218"/>
        <v/>
      </c>
      <c r="AV3234" s="203" t="str">
        <f t="shared" ref="AV3234:AV3253" si="1224">"BiK273"&amp;AU3234&amp;RIGHT("------",6-LEN(AU3234))&amp;RIGHT($M$3099,2)</f>
        <v>BiK273------12</v>
      </c>
      <c r="AW3234">
        <f t="shared" si="1220"/>
        <v>14</v>
      </c>
      <c r="AX3234" t="str">
        <f t="shared" si="1221"/>
        <v>0,75-5 MW</v>
      </c>
      <c r="AY3234" t="str">
        <f t="shared" si="1222"/>
        <v/>
      </c>
    </row>
    <row r="3235" spans="1:51" x14ac:dyDescent="0.35">
      <c r="A3235" s="502" t="str">
        <f t="shared" si="1223"/>
        <v>BiK273E1c---13</v>
      </c>
      <c r="B3235" s="301" t="s">
        <v>5547</v>
      </c>
      <c r="C3235" s="301" t="str">
        <f t="shared" si="1201"/>
        <v>Inbetriebnahme 2013</v>
      </c>
      <c r="D3235" s="301" t="str">
        <f t="shared" si="1202"/>
        <v>0,75-5 MW, Bonusregel E1c</v>
      </c>
      <c r="E3235" s="301"/>
      <c r="F3235" s="377">
        <f t="shared" si="1203"/>
        <v>14.78</v>
      </c>
      <c r="G3235" s="433">
        <v>14.78</v>
      </c>
      <c r="H3235" s="402">
        <f t="shared" si="1204"/>
        <v>11.82</v>
      </c>
      <c r="I3235" s="579"/>
      <c r="J3235" s="549" t="s">
        <v>5804</v>
      </c>
      <c r="K3235" s="11"/>
      <c r="L3235" s="55" t="str">
        <f t="shared" si="1205"/>
        <v/>
      </c>
      <c r="M3235" s="37">
        <f t="shared" si="1206"/>
        <v>14.78</v>
      </c>
      <c r="N3235" s="29">
        <f t="shared" si="1207"/>
        <v>10.78</v>
      </c>
      <c r="O3235" s="154"/>
      <c r="P3235" s="50"/>
      <c r="Q3235" s="202" t="s">
        <v>1017</v>
      </c>
      <c r="R3235" s="22"/>
      <c r="S3235" s="179"/>
      <c r="T3235" s="50"/>
      <c r="U3235" s="22"/>
      <c r="V3235" s="179"/>
      <c r="W3235" s="22"/>
      <c r="X3235" s="38"/>
      <c r="AH3235" s="202" t="s">
        <v>1777</v>
      </c>
      <c r="AK3235" t="str">
        <f t="shared" si="1208"/>
        <v/>
      </c>
      <c r="AL3235" t="str">
        <f t="shared" si="1209"/>
        <v/>
      </c>
      <c r="AM3235" t="str">
        <f t="shared" si="1210"/>
        <v>E1c</v>
      </c>
      <c r="AN3235" t="str">
        <f t="shared" si="1211"/>
        <v/>
      </c>
      <c r="AO3235" t="str">
        <f t="shared" si="1212"/>
        <v/>
      </c>
      <c r="AP3235" t="str">
        <f t="shared" si="1213"/>
        <v/>
      </c>
      <c r="AQ3235" t="str">
        <f t="shared" si="1214"/>
        <v/>
      </c>
      <c r="AR3235" t="str">
        <f t="shared" si="1215"/>
        <v/>
      </c>
      <c r="AS3235" t="str">
        <f t="shared" si="1216"/>
        <v/>
      </c>
      <c r="AT3235" t="str">
        <f t="shared" si="1217"/>
        <v/>
      </c>
      <c r="AU3235" t="str">
        <f t="shared" si="1218"/>
        <v>E1c</v>
      </c>
      <c r="AV3235" s="203" t="str">
        <f t="shared" si="1224"/>
        <v>BiK273E1c---12</v>
      </c>
      <c r="AW3235">
        <f t="shared" si="1220"/>
        <v>14</v>
      </c>
      <c r="AX3235" t="str">
        <f t="shared" si="1221"/>
        <v>0,75-5 MW, Bonusregel E1c</v>
      </c>
      <c r="AY3235" t="str">
        <f t="shared" si="1222"/>
        <v/>
      </c>
    </row>
    <row r="3236" spans="1:51" x14ac:dyDescent="0.35">
      <c r="A3236" s="502" t="str">
        <f t="shared" si="1223"/>
        <v>BiK273E1d---13</v>
      </c>
      <c r="B3236" s="301" t="s">
        <v>5547</v>
      </c>
      <c r="C3236" s="301" t="str">
        <f t="shared" si="1201"/>
        <v>Inbetriebnahme 2013</v>
      </c>
      <c r="D3236" s="301" t="str">
        <f t="shared" si="1202"/>
        <v>0,75-5 MW, Bonusregel E1d</v>
      </c>
      <c r="E3236" s="301"/>
      <c r="F3236" s="377">
        <f t="shared" si="1203"/>
        <v>13.28</v>
      </c>
      <c r="G3236" s="433">
        <v>13.28</v>
      </c>
      <c r="H3236" s="402">
        <f t="shared" si="1204"/>
        <v>10.62</v>
      </c>
      <c r="I3236" s="579"/>
      <c r="J3236" s="549" t="s">
        <v>5804</v>
      </c>
      <c r="K3236" s="11"/>
      <c r="L3236" s="55" t="str">
        <f t="shared" si="1205"/>
        <v/>
      </c>
      <c r="M3236" s="37">
        <f t="shared" si="1206"/>
        <v>13.28</v>
      </c>
      <c r="N3236" s="29">
        <f t="shared" si="1207"/>
        <v>10.78</v>
      </c>
      <c r="O3236" s="154"/>
      <c r="P3236" s="50"/>
      <c r="Q3236" s="22"/>
      <c r="R3236" s="202" t="s">
        <v>1017</v>
      </c>
      <c r="S3236" s="179"/>
      <c r="T3236" s="50"/>
      <c r="U3236" s="22"/>
      <c r="V3236" s="179"/>
      <c r="W3236" s="22"/>
      <c r="X3236" s="38"/>
      <c r="AH3236" s="202" t="s">
        <v>1777</v>
      </c>
      <c r="AK3236" t="str">
        <f t="shared" si="1208"/>
        <v/>
      </c>
      <c r="AL3236" t="str">
        <f t="shared" si="1209"/>
        <v/>
      </c>
      <c r="AM3236" t="str">
        <f t="shared" si="1210"/>
        <v/>
      </c>
      <c r="AN3236" t="str">
        <f t="shared" si="1211"/>
        <v>E1d</v>
      </c>
      <c r="AO3236" t="str">
        <f t="shared" si="1212"/>
        <v/>
      </c>
      <c r="AP3236" t="str">
        <f t="shared" si="1213"/>
        <v/>
      </c>
      <c r="AQ3236" t="str">
        <f t="shared" si="1214"/>
        <v/>
      </c>
      <c r="AR3236" t="str">
        <f t="shared" si="1215"/>
        <v/>
      </c>
      <c r="AS3236" t="str">
        <f t="shared" si="1216"/>
        <v/>
      </c>
      <c r="AT3236" t="str">
        <f t="shared" si="1217"/>
        <v/>
      </c>
      <c r="AU3236" t="str">
        <f t="shared" si="1218"/>
        <v>E1d</v>
      </c>
      <c r="AV3236" s="203" t="str">
        <f t="shared" si="1224"/>
        <v>BiK273E1d---12</v>
      </c>
      <c r="AW3236">
        <f t="shared" si="1220"/>
        <v>14</v>
      </c>
      <c r="AX3236" t="str">
        <f t="shared" si="1221"/>
        <v>0,75-5 MW, Bonusregel E1d</v>
      </c>
      <c r="AY3236" t="str">
        <f t="shared" si="1222"/>
        <v/>
      </c>
    </row>
    <row r="3237" spans="1:51" x14ac:dyDescent="0.35">
      <c r="A3237" s="502" t="str">
        <f t="shared" si="1223"/>
        <v>BiK273E2a---13</v>
      </c>
      <c r="B3237" s="301" t="s">
        <v>5547</v>
      </c>
      <c r="C3237" s="301" t="str">
        <f t="shared" si="1201"/>
        <v>Inbetriebnahme 2013</v>
      </c>
      <c r="D3237" s="301" t="str">
        <f t="shared" si="1202"/>
        <v>0,75-5 MW, Bonusregel E2a</v>
      </c>
      <c r="E3237" s="301"/>
      <c r="F3237" s="377">
        <f t="shared" si="1203"/>
        <v>18.78</v>
      </c>
      <c r="G3237" s="433">
        <v>18.78</v>
      </c>
      <c r="H3237" s="402">
        <f t="shared" si="1204"/>
        <v>15.02</v>
      </c>
      <c r="I3237" s="579"/>
      <c r="J3237" s="549" t="s">
        <v>5804</v>
      </c>
      <c r="K3237" s="11"/>
      <c r="L3237" s="55" t="str">
        <f t="shared" si="1205"/>
        <v/>
      </c>
      <c r="M3237" s="37">
        <f t="shared" si="1206"/>
        <v>18.78</v>
      </c>
      <c r="N3237" s="29">
        <f t="shared" si="1207"/>
        <v>10.78</v>
      </c>
      <c r="O3237" s="154"/>
      <c r="P3237" s="50"/>
      <c r="Q3237" s="22"/>
      <c r="R3237" s="22"/>
      <c r="S3237" s="179" t="s">
        <v>1017</v>
      </c>
      <c r="T3237" s="50"/>
      <c r="U3237" s="22"/>
      <c r="V3237" s="179"/>
      <c r="W3237" s="22"/>
      <c r="X3237" s="38"/>
      <c r="AH3237" s="202" t="s">
        <v>1777</v>
      </c>
      <c r="AK3237" t="str">
        <f t="shared" si="1208"/>
        <v/>
      </c>
      <c r="AL3237" t="str">
        <f t="shared" si="1209"/>
        <v/>
      </c>
      <c r="AM3237" t="str">
        <f t="shared" si="1210"/>
        <v/>
      </c>
      <c r="AN3237" t="str">
        <f t="shared" si="1211"/>
        <v/>
      </c>
      <c r="AO3237" t="str">
        <f t="shared" si="1212"/>
        <v>E2a</v>
      </c>
      <c r="AP3237" t="str">
        <f t="shared" si="1213"/>
        <v/>
      </c>
      <c r="AQ3237" t="str">
        <f t="shared" si="1214"/>
        <v/>
      </c>
      <c r="AR3237" t="str">
        <f t="shared" si="1215"/>
        <v/>
      </c>
      <c r="AS3237" t="str">
        <f t="shared" si="1216"/>
        <v/>
      </c>
      <c r="AT3237" t="str">
        <f t="shared" si="1217"/>
        <v/>
      </c>
      <c r="AU3237" t="str">
        <f t="shared" si="1218"/>
        <v>E2a</v>
      </c>
      <c r="AV3237" s="203" t="str">
        <f t="shared" si="1224"/>
        <v>BiK273E2a---12</v>
      </c>
      <c r="AW3237">
        <f t="shared" si="1220"/>
        <v>14</v>
      </c>
      <c r="AX3237" t="str">
        <f t="shared" si="1221"/>
        <v>0,75-5 MW, Bonusregel E2a</v>
      </c>
      <c r="AY3237" t="str">
        <f t="shared" si="1222"/>
        <v/>
      </c>
    </row>
    <row r="3238" spans="1:51" x14ac:dyDescent="0.35">
      <c r="A3238" s="502" t="str">
        <f t="shared" si="1223"/>
        <v>BiK273E2c---13</v>
      </c>
      <c r="B3238" s="301" t="s">
        <v>5547</v>
      </c>
      <c r="C3238" s="301" t="str">
        <f t="shared" si="1201"/>
        <v>Inbetriebnahme 2013</v>
      </c>
      <c r="D3238" s="301" t="str">
        <f t="shared" si="1202"/>
        <v>0,75-5 MW, Bonusregel E2c</v>
      </c>
      <c r="E3238" s="301"/>
      <c r="F3238" s="377">
        <f t="shared" si="1203"/>
        <v>16.78</v>
      </c>
      <c r="G3238" s="433">
        <v>16.78</v>
      </c>
      <c r="H3238" s="402">
        <f t="shared" si="1204"/>
        <v>13.42</v>
      </c>
      <c r="I3238" s="579"/>
      <c r="J3238" s="549" t="s">
        <v>5804</v>
      </c>
      <c r="K3238" s="11"/>
      <c r="L3238" s="55" t="str">
        <f t="shared" si="1205"/>
        <v/>
      </c>
      <c r="M3238" s="37">
        <f t="shared" si="1206"/>
        <v>16.78</v>
      </c>
      <c r="N3238" s="29">
        <f t="shared" si="1207"/>
        <v>10.78</v>
      </c>
      <c r="O3238" s="154"/>
      <c r="P3238" s="50"/>
      <c r="Q3238" s="22"/>
      <c r="R3238" s="22"/>
      <c r="S3238" s="179"/>
      <c r="T3238" s="50"/>
      <c r="U3238" s="202" t="s">
        <v>1017</v>
      </c>
      <c r="V3238" s="179"/>
      <c r="W3238" s="22"/>
      <c r="X3238" s="38"/>
      <c r="AH3238" s="202" t="s">
        <v>1777</v>
      </c>
      <c r="AK3238" t="str">
        <f t="shared" si="1208"/>
        <v/>
      </c>
      <c r="AL3238" t="str">
        <f t="shared" si="1209"/>
        <v/>
      </c>
      <c r="AM3238" t="str">
        <f t="shared" si="1210"/>
        <v/>
      </c>
      <c r="AN3238" t="str">
        <f t="shared" si="1211"/>
        <v/>
      </c>
      <c r="AO3238" t="str">
        <f t="shared" si="1212"/>
        <v/>
      </c>
      <c r="AP3238" t="str">
        <f t="shared" si="1213"/>
        <v/>
      </c>
      <c r="AQ3238" t="str">
        <f t="shared" si="1214"/>
        <v>E2c</v>
      </c>
      <c r="AR3238" t="str">
        <f t="shared" si="1215"/>
        <v/>
      </c>
      <c r="AS3238" t="str">
        <f t="shared" si="1216"/>
        <v/>
      </c>
      <c r="AT3238" t="str">
        <f t="shared" si="1217"/>
        <v/>
      </c>
      <c r="AU3238" t="str">
        <f t="shared" si="1218"/>
        <v>E2c</v>
      </c>
      <c r="AV3238" s="203" t="str">
        <f t="shared" si="1224"/>
        <v>BiK273E2c---12</v>
      </c>
      <c r="AW3238">
        <f t="shared" si="1220"/>
        <v>14</v>
      </c>
      <c r="AX3238" t="str">
        <f t="shared" si="1221"/>
        <v>0,75-5 MW, Bonusregel E2c</v>
      </c>
      <c r="AY3238" t="str">
        <f t="shared" si="1222"/>
        <v/>
      </c>
    </row>
    <row r="3239" spans="1:51" x14ac:dyDescent="0.35">
      <c r="A3239" s="502" t="str">
        <f t="shared" si="1223"/>
        <v>BiK273G1----13</v>
      </c>
      <c r="B3239" s="301" t="s">
        <v>5547</v>
      </c>
      <c r="C3239" s="301" t="str">
        <f t="shared" si="1201"/>
        <v>Inbetriebnahme 2013</v>
      </c>
      <c r="D3239" s="301" t="str">
        <f t="shared" si="1202"/>
        <v>0,75-5 MW, Bonusregel G1</v>
      </c>
      <c r="E3239" s="301"/>
      <c r="F3239" s="377">
        <f t="shared" si="1203"/>
        <v>13.719999999999999</v>
      </c>
      <c r="G3239" s="433">
        <v>13.719999999999999</v>
      </c>
      <c r="H3239" s="402">
        <f t="shared" si="1204"/>
        <v>10.98</v>
      </c>
      <c r="I3239" s="579"/>
      <c r="J3239" s="549" t="s">
        <v>5804</v>
      </c>
      <c r="K3239" s="11"/>
      <c r="L3239" s="55" t="str">
        <f t="shared" si="1205"/>
        <v/>
      </c>
      <c r="M3239" s="37">
        <f t="shared" si="1206"/>
        <v>13.719999999999999</v>
      </c>
      <c r="N3239" s="29">
        <f t="shared" si="1207"/>
        <v>10.78</v>
      </c>
      <c r="O3239" s="154"/>
      <c r="P3239" s="50"/>
      <c r="Q3239" s="22"/>
      <c r="R3239" s="22"/>
      <c r="S3239" s="179"/>
      <c r="T3239" s="50"/>
      <c r="U3239" s="22"/>
      <c r="V3239" s="179" t="s">
        <v>1017</v>
      </c>
      <c r="W3239" s="22"/>
      <c r="X3239" s="38"/>
      <c r="AH3239" s="202" t="s">
        <v>1777</v>
      </c>
      <c r="AK3239" t="str">
        <f t="shared" si="1208"/>
        <v/>
      </c>
      <c r="AL3239" t="str">
        <f t="shared" si="1209"/>
        <v/>
      </c>
      <c r="AM3239" t="str">
        <f t="shared" si="1210"/>
        <v/>
      </c>
      <c r="AN3239" t="str">
        <f t="shared" si="1211"/>
        <v/>
      </c>
      <c r="AO3239" t="str">
        <f t="shared" si="1212"/>
        <v/>
      </c>
      <c r="AP3239" t="str">
        <f t="shared" si="1213"/>
        <v/>
      </c>
      <c r="AQ3239" t="str">
        <f t="shared" si="1214"/>
        <v/>
      </c>
      <c r="AR3239" t="str">
        <f t="shared" si="1215"/>
        <v>G1</v>
      </c>
      <c r="AS3239" t="str">
        <f t="shared" si="1216"/>
        <v/>
      </c>
      <c r="AT3239" t="str">
        <f t="shared" si="1217"/>
        <v/>
      </c>
      <c r="AU3239" t="str">
        <f t="shared" si="1218"/>
        <v>G1</v>
      </c>
      <c r="AV3239" s="203" t="str">
        <f t="shared" si="1224"/>
        <v>BiK273G1----12</v>
      </c>
      <c r="AW3239">
        <f t="shared" si="1220"/>
        <v>14</v>
      </c>
      <c r="AX3239" t="str">
        <f t="shared" si="1221"/>
        <v>0,75-5 MW, Bonusregel G1</v>
      </c>
      <c r="AY3239" t="str">
        <f t="shared" si="1222"/>
        <v/>
      </c>
    </row>
    <row r="3240" spans="1:51" x14ac:dyDescent="0.35">
      <c r="A3240" s="502" t="str">
        <f t="shared" si="1223"/>
        <v>BiK273E1cG1-13</v>
      </c>
      <c r="B3240" s="301" t="s">
        <v>5547</v>
      </c>
      <c r="C3240" s="301" t="str">
        <f t="shared" si="1201"/>
        <v>Inbetriebnahme 2013</v>
      </c>
      <c r="D3240" s="301" t="str">
        <f t="shared" si="1202"/>
        <v>0,75-5 MW, Bonusregeln E1c, G1</v>
      </c>
      <c r="E3240" s="301"/>
      <c r="F3240" s="377">
        <f t="shared" si="1203"/>
        <v>17.72</v>
      </c>
      <c r="G3240" s="433">
        <v>17.72</v>
      </c>
      <c r="H3240" s="402">
        <f t="shared" si="1204"/>
        <v>14.18</v>
      </c>
      <c r="I3240" s="579"/>
      <c r="J3240" s="549" t="s">
        <v>5804</v>
      </c>
      <c r="K3240" s="11"/>
      <c r="L3240" s="55" t="str">
        <f t="shared" si="1205"/>
        <v/>
      </c>
      <c r="M3240" s="37">
        <f t="shared" si="1206"/>
        <v>17.72</v>
      </c>
      <c r="N3240" s="29">
        <f t="shared" si="1207"/>
        <v>10.78</v>
      </c>
      <c r="O3240" s="154"/>
      <c r="P3240" s="50"/>
      <c r="Q3240" s="202" t="s">
        <v>1017</v>
      </c>
      <c r="R3240" s="22"/>
      <c r="S3240" s="179"/>
      <c r="T3240" s="50"/>
      <c r="U3240" s="22"/>
      <c r="V3240" s="179" t="s">
        <v>1017</v>
      </c>
      <c r="W3240" s="22"/>
      <c r="X3240" s="38"/>
      <c r="AH3240" s="202" t="s">
        <v>1777</v>
      </c>
      <c r="AK3240" t="str">
        <f t="shared" si="1208"/>
        <v/>
      </c>
      <c r="AL3240" t="str">
        <f t="shared" si="1209"/>
        <v/>
      </c>
      <c r="AM3240" t="str">
        <f t="shared" si="1210"/>
        <v>E1c</v>
      </c>
      <c r="AN3240" t="str">
        <f t="shared" si="1211"/>
        <v/>
      </c>
      <c r="AO3240" t="str">
        <f t="shared" si="1212"/>
        <v/>
      </c>
      <c r="AP3240" t="str">
        <f t="shared" si="1213"/>
        <v/>
      </c>
      <c r="AQ3240" t="str">
        <f t="shared" si="1214"/>
        <v/>
      </c>
      <c r="AR3240" t="str">
        <f t="shared" si="1215"/>
        <v>G1</v>
      </c>
      <c r="AS3240" t="str">
        <f t="shared" si="1216"/>
        <v/>
      </c>
      <c r="AT3240" t="str">
        <f t="shared" si="1217"/>
        <v/>
      </c>
      <c r="AU3240" t="str">
        <f t="shared" si="1218"/>
        <v>E1cG1</v>
      </c>
      <c r="AV3240" s="203" t="str">
        <f t="shared" si="1224"/>
        <v>BiK273E1cG1-12</v>
      </c>
      <c r="AW3240">
        <f t="shared" si="1220"/>
        <v>14</v>
      </c>
      <c r="AX3240" t="str">
        <f t="shared" si="1221"/>
        <v>0,75-5 MW, Bonusregeln E1c, G1</v>
      </c>
      <c r="AY3240" t="str">
        <f t="shared" si="1222"/>
        <v/>
      </c>
    </row>
    <row r="3241" spans="1:51" x14ac:dyDescent="0.35">
      <c r="A3241" s="502" t="str">
        <f t="shared" si="1223"/>
        <v>BiK273E1dG1-13</v>
      </c>
      <c r="B3241" s="301" t="s">
        <v>5547</v>
      </c>
      <c r="C3241" s="301" t="str">
        <f t="shared" si="1201"/>
        <v>Inbetriebnahme 2013</v>
      </c>
      <c r="D3241" s="301" t="str">
        <f t="shared" si="1202"/>
        <v>0,75-5 MW, Bonusregeln E1d, G1</v>
      </c>
      <c r="E3241" s="301"/>
      <c r="F3241" s="377">
        <f t="shared" si="1203"/>
        <v>16.22</v>
      </c>
      <c r="G3241" s="433">
        <v>16.22</v>
      </c>
      <c r="H3241" s="402">
        <f t="shared" si="1204"/>
        <v>12.98</v>
      </c>
      <c r="I3241" s="579"/>
      <c r="J3241" s="549" t="s">
        <v>5804</v>
      </c>
      <c r="K3241" s="11"/>
      <c r="L3241" s="55" t="str">
        <f t="shared" si="1205"/>
        <v/>
      </c>
      <c r="M3241" s="37">
        <f t="shared" si="1206"/>
        <v>16.22</v>
      </c>
      <c r="N3241" s="29">
        <f t="shared" si="1207"/>
        <v>10.78</v>
      </c>
      <c r="O3241" s="154"/>
      <c r="P3241" s="50"/>
      <c r="Q3241" s="22"/>
      <c r="R3241" s="202" t="s">
        <v>1017</v>
      </c>
      <c r="S3241" s="179"/>
      <c r="T3241" s="50"/>
      <c r="U3241" s="22"/>
      <c r="V3241" s="179" t="s">
        <v>1017</v>
      </c>
      <c r="W3241" s="22"/>
      <c r="X3241" s="38"/>
      <c r="AH3241" s="202" t="s">
        <v>1777</v>
      </c>
      <c r="AK3241" t="str">
        <f t="shared" si="1208"/>
        <v/>
      </c>
      <c r="AL3241" t="str">
        <f t="shared" si="1209"/>
        <v/>
      </c>
      <c r="AM3241" t="str">
        <f t="shared" si="1210"/>
        <v/>
      </c>
      <c r="AN3241" t="str">
        <f t="shared" si="1211"/>
        <v>E1d</v>
      </c>
      <c r="AO3241" t="str">
        <f t="shared" si="1212"/>
        <v/>
      </c>
      <c r="AP3241" t="str">
        <f t="shared" si="1213"/>
        <v/>
      </c>
      <c r="AQ3241" t="str">
        <f t="shared" si="1214"/>
        <v/>
      </c>
      <c r="AR3241" t="str">
        <f t="shared" si="1215"/>
        <v>G1</v>
      </c>
      <c r="AS3241" t="str">
        <f t="shared" si="1216"/>
        <v/>
      </c>
      <c r="AT3241" t="str">
        <f t="shared" si="1217"/>
        <v/>
      </c>
      <c r="AU3241" t="str">
        <f t="shared" si="1218"/>
        <v>E1dG1</v>
      </c>
      <c r="AV3241" s="203" t="str">
        <f t="shared" si="1224"/>
        <v>BiK273E1dG1-12</v>
      </c>
      <c r="AW3241">
        <f t="shared" si="1220"/>
        <v>14</v>
      </c>
      <c r="AX3241" t="str">
        <f t="shared" si="1221"/>
        <v>0,75-5 MW, Bonusregeln E1d, G1</v>
      </c>
      <c r="AY3241" t="str">
        <f t="shared" si="1222"/>
        <v/>
      </c>
    </row>
    <row r="3242" spans="1:51" x14ac:dyDescent="0.35">
      <c r="A3242" s="502" t="str">
        <f t="shared" si="1223"/>
        <v>BiK273E2aG1-13</v>
      </c>
      <c r="B3242" s="301" t="s">
        <v>5547</v>
      </c>
      <c r="C3242" s="301" t="str">
        <f t="shared" si="1201"/>
        <v>Inbetriebnahme 2013</v>
      </c>
      <c r="D3242" s="301" t="str">
        <f t="shared" si="1202"/>
        <v>0,75-5 MW, Bonusregeln E2a, G1</v>
      </c>
      <c r="E3242" s="301"/>
      <c r="F3242" s="377">
        <f t="shared" si="1203"/>
        <v>21.72</v>
      </c>
      <c r="G3242" s="433">
        <v>21.72</v>
      </c>
      <c r="H3242" s="402">
        <f t="shared" si="1204"/>
        <v>17.38</v>
      </c>
      <c r="I3242" s="579"/>
      <c r="J3242" s="549" t="s">
        <v>5804</v>
      </c>
      <c r="K3242" s="11"/>
      <c r="L3242" s="55" t="str">
        <f t="shared" si="1205"/>
        <v/>
      </c>
      <c r="M3242" s="37">
        <f t="shared" si="1206"/>
        <v>21.72</v>
      </c>
      <c r="N3242" s="29">
        <f t="shared" si="1207"/>
        <v>10.78</v>
      </c>
      <c r="O3242" s="154"/>
      <c r="P3242" s="50"/>
      <c r="Q3242" s="22"/>
      <c r="R3242" s="22"/>
      <c r="S3242" s="179" t="s">
        <v>1017</v>
      </c>
      <c r="T3242" s="50"/>
      <c r="U3242" s="22"/>
      <c r="V3242" s="179" t="s">
        <v>1017</v>
      </c>
      <c r="W3242" s="22"/>
      <c r="X3242" s="38"/>
      <c r="AH3242" s="202" t="s">
        <v>1777</v>
      </c>
      <c r="AK3242" t="str">
        <f t="shared" si="1208"/>
        <v/>
      </c>
      <c r="AL3242" t="str">
        <f t="shared" si="1209"/>
        <v/>
      </c>
      <c r="AM3242" t="str">
        <f t="shared" si="1210"/>
        <v/>
      </c>
      <c r="AN3242" t="str">
        <f t="shared" si="1211"/>
        <v/>
      </c>
      <c r="AO3242" t="str">
        <f t="shared" si="1212"/>
        <v>E2a</v>
      </c>
      <c r="AP3242" t="str">
        <f t="shared" si="1213"/>
        <v/>
      </c>
      <c r="AQ3242" t="str">
        <f t="shared" si="1214"/>
        <v/>
      </c>
      <c r="AR3242" t="str">
        <f t="shared" si="1215"/>
        <v>G1</v>
      </c>
      <c r="AS3242" t="str">
        <f t="shared" si="1216"/>
        <v/>
      </c>
      <c r="AT3242" t="str">
        <f t="shared" si="1217"/>
        <v/>
      </c>
      <c r="AU3242" t="str">
        <f t="shared" si="1218"/>
        <v>E2aG1</v>
      </c>
      <c r="AV3242" s="203" t="str">
        <f t="shared" si="1224"/>
        <v>BiK273E2aG1-12</v>
      </c>
      <c r="AW3242">
        <f t="shared" si="1220"/>
        <v>14</v>
      </c>
      <c r="AX3242" t="str">
        <f t="shared" si="1221"/>
        <v>0,75-5 MW, Bonusregeln E2a, G1</v>
      </c>
      <c r="AY3242" t="str">
        <f t="shared" si="1222"/>
        <v/>
      </c>
    </row>
    <row r="3243" spans="1:51" x14ac:dyDescent="0.35">
      <c r="A3243" s="502" t="str">
        <f t="shared" si="1223"/>
        <v>BiK273E2cG1-13</v>
      </c>
      <c r="B3243" s="301" t="s">
        <v>5547</v>
      </c>
      <c r="C3243" s="301" t="str">
        <f t="shared" si="1201"/>
        <v>Inbetriebnahme 2013</v>
      </c>
      <c r="D3243" s="301" t="str">
        <f t="shared" si="1202"/>
        <v>0,75-5 MW, Bonusregeln E2c, G1</v>
      </c>
      <c r="E3243" s="301"/>
      <c r="F3243" s="377">
        <f t="shared" si="1203"/>
        <v>19.72</v>
      </c>
      <c r="G3243" s="433">
        <v>19.72</v>
      </c>
      <c r="H3243" s="402">
        <f t="shared" si="1204"/>
        <v>15.78</v>
      </c>
      <c r="I3243" s="579"/>
      <c r="J3243" s="549" t="s">
        <v>5804</v>
      </c>
      <c r="K3243" s="11"/>
      <c r="L3243" s="55" t="str">
        <f t="shared" si="1205"/>
        <v/>
      </c>
      <c r="M3243" s="37">
        <f t="shared" si="1206"/>
        <v>19.72</v>
      </c>
      <c r="N3243" s="29">
        <f t="shared" si="1207"/>
        <v>10.78</v>
      </c>
      <c r="O3243" s="154"/>
      <c r="P3243" s="50"/>
      <c r="Q3243" s="22"/>
      <c r="R3243" s="22"/>
      <c r="S3243" s="179"/>
      <c r="T3243" s="50"/>
      <c r="U3243" s="202" t="s">
        <v>1017</v>
      </c>
      <c r="V3243" s="179" t="s">
        <v>1017</v>
      </c>
      <c r="W3243" s="22"/>
      <c r="X3243" s="38"/>
      <c r="AH3243" s="202" t="s">
        <v>1777</v>
      </c>
      <c r="AK3243" t="str">
        <f t="shared" si="1208"/>
        <v/>
      </c>
      <c r="AL3243" t="str">
        <f t="shared" si="1209"/>
        <v/>
      </c>
      <c r="AM3243" t="str">
        <f t="shared" si="1210"/>
        <v/>
      </c>
      <c r="AN3243" t="str">
        <f t="shared" si="1211"/>
        <v/>
      </c>
      <c r="AO3243" t="str">
        <f t="shared" si="1212"/>
        <v/>
      </c>
      <c r="AP3243" t="str">
        <f t="shared" si="1213"/>
        <v/>
      </c>
      <c r="AQ3243" t="str">
        <f t="shared" si="1214"/>
        <v>E2c</v>
      </c>
      <c r="AR3243" t="str">
        <f t="shared" si="1215"/>
        <v>G1</v>
      </c>
      <c r="AS3243" t="str">
        <f t="shared" si="1216"/>
        <v/>
      </c>
      <c r="AT3243" t="str">
        <f t="shared" si="1217"/>
        <v/>
      </c>
      <c r="AU3243" t="str">
        <f t="shared" si="1218"/>
        <v>E2cG1</v>
      </c>
      <c r="AV3243" s="203" t="str">
        <f t="shared" si="1224"/>
        <v>BiK273E2cG1-12</v>
      </c>
      <c r="AW3243">
        <f t="shared" si="1220"/>
        <v>14</v>
      </c>
      <c r="AX3243" t="str">
        <f t="shared" si="1221"/>
        <v>0,75-5 MW, Bonusregeln E2c, G1</v>
      </c>
      <c r="AY3243" t="str">
        <f t="shared" si="1222"/>
        <v/>
      </c>
    </row>
    <row r="3244" spans="1:51" x14ac:dyDescent="0.35">
      <c r="A3244" s="502" t="str">
        <f t="shared" si="1223"/>
        <v>BiK273G2----13</v>
      </c>
      <c r="B3244" s="301" t="s">
        <v>5547</v>
      </c>
      <c r="C3244" s="301" t="str">
        <f t="shared" si="1201"/>
        <v>Inbetriebnahme 2013</v>
      </c>
      <c r="D3244" s="301" t="str">
        <f t="shared" si="1202"/>
        <v>0,75-5 MW, Bonusregel G2</v>
      </c>
      <c r="E3244" s="301"/>
      <c r="F3244" s="377">
        <f t="shared" si="1203"/>
        <v>12.739999999999998</v>
      </c>
      <c r="G3244" s="433">
        <v>12.739999999999998</v>
      </c>
      <c r="H3244" s="402">
        <f t="shared" si="1204"/>
        <v>10.19</v>
      </c>
      <c r="I3244" s="579"/>
      <c r="J3244" s="549" t="s">
        <v>5804</v>
      </c>
      <c r="K3244" s="11"/>
      <c r="L3244" s="55" t="str">
        <f t="shared" si="1205"/>
        <v/>
      </c>
      <c r="M3244" s="37">
        <f t="shared" si="1206"/>
        <v>12.739999999999998</v>
      </c>
      <c r="N3244" s="29">
        <f t="shared" si="1207"/>
        <v>10.78</v>
      </c>
      <c r="O3244" s="154"/>
      <c r="P3244" s="50"/>
      <c r="Q3244" s="22"/>
      <c r="R3244" s="22"/>
      <c r="S3244" s="179"/>
      <c r="T3244" s="50"/>
      <c r="U3244" s="22"/>
      <c r="V3244" s="179"/>
      <c r="W3244" s="202" t="s">
        <v>1017</v>
      </c>
      <c r="X3244" s="38"/>
      <c r="AH3244" s="202" t="s">
        <v>1777</v>
      </c>
      <c r="AK3244" t="str">
        <f t="shared" si="1208"/>
        <v/>
      </c>
      <c r="AL3244" t="str">
        <f t="shared" si="1209"/>
        <v/>
      </c>
      <c r="AM3244" t="str">
        <f t="shared" si="1210"/>
        <v/>
      </c>
      <c r="AN3244" t="str">
        <f t="shared" si="1211"/>
        <v/>
      </c>
      <c r="AO3244" t="str">
        <f t="shared" si="1212"/>
        <v/>
      </c>
      <c r="AP3244" t="str">
        <f t="shared" si="1213"/>
        <v/>
      </c>
      <c r="AQ3244" t="str">
        <f t="shared" si="1214"/>
        <v/>
      </c>
      <c r="AR3244" t="str">
        <f t="shared" si="1215"/>
        <v/>
      </c>
      <c r="AS3244" t="str">
        <f t="shared" si="1216"/>
        <v>G2</v>
      </c>
      <c r="AT3244" t="str">
        <f t="shared" si="1217"/>
        <v/>
      </c>
      <c r="AU3244" t="str">
        <f t="shared" si="1218"/>
        <v>G2</v>
      </c>
      <c r="AV3244" s="203" t="str">
        <f t="shared" si="1224"/>
        <v>BiK273G2----12</v>
      </c>
      <c r="AW3244">
        <f t="shared" si="1220"/>
        <v>14</v>
      </c>
      <c r="AX3244" t="str">
        <f t="shared" si="1221"/>
        <v>0,75-5 MW, Bonusregel G2</v>
      </c>
      <c r="AY3244" t="str">
        <f t="shared" si="1222"/>
        <v/>
      </c>
    </row>
    <row r="3245" spans="1:51" x14ac:dyDescent="0.35">
      <c r="A3245" s="502" t="str">
        <f t="shared" si="1223"/>
        <v>BiK273E1cG2-13</v>
      </c>
      <c r="B3245" s="301" t="s">
        <v>5547</v>
      </c>
      <c r="C3245" s="301" t="str">
        <f t="shared" si="1201"/>
        <v>Inbetriebnahme 2013</v>
      </c>
      <c r="D3245" s="301" t="str">
        <f t="shared" si="1202"/>
        <v>0,75-5 MW, Bonusregeln E1c, G2</v>
      </c>
      <c r="E3245" s="301"/>
      <c r="F3245" s="377">
        <f t="shared" si="1203"/>
        <v>16.739999999999998</v>
      </c>
      <c r="G3245" s="433">
        <v>16.739999999999998</v>
      </c>
      <c r="H3245" s="402">
        <f t="shared" si="1204"/>
        <v>13.39</v>
      </c>
      <c r="I3245" s="579"/>
      <c r="J3245" s="549" t="s">
        <v>5804</v>
      </c>
      <c r="K3245" s="11"/>
      <c r="L3245" s="55" t="str">
        <f t="shared" si="1205"/>
        <v/>
      </c>
      <c r="M3245" s="37">
        <f t="shared" si="1206"/>
        <v>16.739999999999998</v>
      </c>
      <c r="N3245" s="29">
        <f t="shared" si="1207"/>
        <v>10.78</v>
      </c>
      <c r="O3245" s="154"/>
      <c r="P3245" s="50"/>
      <c r="Q3245" s="202" t="s">
        <v>1017</v>
      </c>
      <c r="R3245" s="22"/>
      <c r="S3245" s="179"/>
      <c r="T3245" s="50"/>
      <c r="U3245" s="22"/>
      <c r="V3245" s="179"/>
      <c r="W3245" s="202" t="s">
        <v>1017</v>
      </c>
      <c r="X3245" s="38"/>
      <c r="AH3245" s="202" t="s">
        <v>1777</v>
      </c>
      <c r="AK3245" t="str">
        <f t="shared" si="1208"/>
        <v/>
      </c>
      <c r="AL3245" t="str">
        <f t="shared" si="1209"/>
        <v/>
      </c>
      <c r="AM3245" t="str">
        <f t="shared" si="1210"/>
        <v>E1c</v>
      </c>
      <c r="AN3245" t="str">
        <f t="shared" si="1211"/>
        <v/>
      </c>
      <c r="AO3245" t="str">
        <f t="shared" si="1212"/>
        <v/>
      </c>
      <c r="AP3245" t="str">
        <f t="shared" si="1213"/>
        <v/>
      </c>
      <c r="AQ3245" t="str">
        <f t="shared" si="1214"/>
        <v/>
      </c>
      <c r="AR3245" t="str">
        <f t="shared" si="1215"/>
        <v/>
      </c>
      <c r="AS3245" t="str">
        <f t="shared" si="1216"/>
        <v>G2</v>
      </c>
      <c r="AT3245" t="str">
        <f t="shared" si="1217"/>
        <v/>
      </c>
      <c r="AU3245" t="str">
        <f t="shared" si="1218"/>
        <v>E1cG2</v>
      </c>
      <c r="AV3245" s="203" t="str">
        <f t="shared" si="1224"/>
        <v>BiK273E1cG2-12</v>
      </c>
      <c r="AW3245">
        <f t="shared" si="1220"/>
        <v>14</v>
      </c>
      <c r="AX3245" t="str">
        <f t="shared" si="1221"/>
        <v>0,75-5 MW, Bonusregeln E1c, G2</v>
      </c>
      <c r="AY3245" t="str">
        <f t="shared" si="1222"/>
        <v/>
      </c>
    </row>
    <row r="3246" spans="1:51" x14ac:dyDescent="0.35">
      <c r="A3246" s="502" t="str">
        <f t="shared" si="1223"/>
        <v>BiK273E1dG2-13</v>
      </c>
      <c r="B3246" s="301" t="s">
        <v>5547</v>
      </c>
      <c r="C3246" s="301" t="str">
        <f t="shared" ref="C3246:C3254" si="1225">"Inbetriebnahme "&amp;$M$3181</f>
        <v>Inbetriebnahme 2013</v>
      </c>
      <c r="D3246" s="301" t="str">
        <f t="shared" ref="D3246:D3254" si="1226">IF(COUNTA(O3246:X3246)=0,AH3246,AH3246&amp;", Bonusregel"&amp;IF(AND(COUNTA(O3246:U3246)&gt;0,COUNTA(V3246:X3246)&gt;0),"n "&amp;AK3246&amp;AL3246&amp;AM3246&amp;AN3246&amp;AO3246&amp;AP3246&amp;AQ3246&amp;", "&amp;AR3246&amp;AS3246&amp;AT3246," "&amp;AK3246&amp;AL3246&amp;AM3246&amp;AN3246&amp;AO3246&amp;AP3246&amp;AQ3246&amp;AR3246&amp;AS3246&amp;AT3246))</f>
        <v>0,75-5 MW, Bonusregeln E1d, G2</v>
      </c>
      <c r="E3246" s="301"/>
      <c r="F3246" s="377">
        <f t="shared" ref="F3246:F3254" si="1227">M3246</f>
        <v>15.239999999999998</v>
      </c>
      <c r="G3246" s="433">
        <v>15.239999999999998</v>
      </c>
      <c r="H3246" s="402">
        <f t="shared" ref="H3246:H3254" si="1228">IF(ISNUMBER(G3246),ROUND(0.8*G3246,2),"")</f>
        <v>12.19</v>
      </c>
      <c r="I3246" s="579"/>
      <c r="J3246" s="549" t="s">
        <v>5804</v>
      </c>
      <c r="K3246" s="11"/>
      <c r="L3246" s="55" t="str">
        <f t="shared" ref="L3246:L3254" si="1229">IF(F3246=M3246,"",FALSE)</f>
        <v/>
      </c>
      <c r="M3246" s="37">
        <f t="shared" ref="M3246:M3254" si="1230">ROUND(N3246,2)+SUMIF(O3246:X3246,"x",$O$3181:$X$3181)</f>
        <v>15.239999999999998</v>
      </c>
      <c r="N3246" s="29">
        <f t="shared" ref="N3246:N3254" si="1231">N3167*(1-$Y$3181)</f>
        <v>10.78</v>
      </c>
      <c r="O3246" s="154"/>
      <c r="P3246" s="50"/>
      <c r="Q3246" s="22"/>
      <c r="R3246" s="202" t="s">
        <v>1017</v>
      </c>
      <c r="S3246" s="179"/>
      <c r="T3246" s="50"/>
      <c r="U3246" s="22"/>
      <c r="V3246" s="179"/>
      <c r="W3246" s="202" t="s">
        <v>1017</v>
      </c>
      <c r="X3246" s="38"/>
      <c r="AH3246" s="202" t="s">
        <v>1777</v>
      </c>
      <c r="AK3246" t="str">
        <f t="shared" ref="AK3246:AK3254" si="1232">IF(O3246="x",O$3101,"")</f>
        <v/>
      </c>
      <c r="AL3246" t="str">
        <f t="shared" ref="AL3246:AL3254" si="1233">IF(P3246="x",P$3101,"")</f>
        <v/>
      </c>
      <c r="AM3246" t="str">
        <f t="shared" ref="AM3246:AM3254" si="1234">IF(Q3246="x",Q$3101,"")</f>
        <v/>
      </c>
      <c r="AN3246" t="str">
        <f t="shared" ref="AN3246:AN3254" si="1235">IF(R3246="x",R$3101,"")</f>
        <v>E1d</v>
      </c>
      <c r="AO3246" t="str">
        <f t="shared" ref="AO3246:AO3254" si="1236">IF(S3246="x",S$3101,"")</f>
        <v/>
      </c>
      <c r="AP3246" t="str">
        <f t="shared" ref="AP3246:AP3254" si="1237">IF(T3246="x",T$3101,"")</f>
        <v/>
      </c>
      <c r="AQ3246" t="str">
        <f t="shared" ref="AQ3246:AQ3254" si="1238">IF(U3246="x",U$3101,"")</f>
        <v/>
      </c>
      <c r="AR3246" t="str">
        <f t="shared" ref="AR3246:AR3254" si="1239">IF(V3246="x",V$3101,"")</f>
        <v/>
      </c>
      <c r="AS3246" t="str">
        <f t="shared" ref="AS3246:AS3254" si="1240">IF(W3246="x",W$3101,"")</f>
        <v>G2</v>
      </c>
      <c r="AT3246" t="str">
        <f t="shared" ref="AT3246:AT3254" si="1241">IF(X3246="x",X$3101,"")</f>
        <v/>
      </c>
      <c r="AU3246" t="str">
        <f t="shared" ref="AU3246:AU3254" si="1242">AK3246&amp;AL3246&amp;AM3246&amp;AN3246&amp;AO3246&amp;AP3246&amp;AQ3246&amp;AR3246&amp;AS3246&amp;AT3246</f>
        <v>E1dG2</v>
      </c>
      <c r="AV3246" s="203" t="str">
        <f t="shared" si="1224"/>
        <v>BiK273E1dG2-12</v>
      </c>
      <c r="AW3246">
        <f t="shared" ref="AW3246:AW3254" si="1243">LEN(AV3246)</f>
        <v>14</v>
      </c>
      <c r="AX3246" t="str">
        <f t="shared" ref="AX3246:AX3254" si="1244">IF(COUNTA(O3246:X3246)=0,AH3246,AH3246&amp;", Bonusregel"&amp;IF(AND(COUNTA(O3246:U3246)&gt;0,COUNTA(V3246:X3246)&gt;0),"n "&amp;AK3246&amp;AL3246&amp;AM3246&amp;AN3246&amp;AO3246&amp;AP3246&amp;AQ3246&amp;", "&amp;AR3246&amp;AS3246&amp;AT3246," "&amp;AK3246&amp;AL3246&amp;AM3246&amp;AN3246&amp;AO3246&amp;AP3246&amp;AQ3246&amp;AR3246&amp;AS3246&amp;AT3246))</f>
        <v>0,75-5 MW, Bonusregeln E1d, G2</v>
      </c>
      <c r="AY3246" t="str">
        <f t="shared" ref="AY3246:AY3254" si="1245">IF(COUNTA(O3246:U3246)&gt;1,"Fehler ESVK",IF(COUNTA(V3246:X3246)&gt;1,"Fehler GAB",IF(AW3246&lt;&gt;14,"Fehler Kategorie","")))</f>
        <v/>
      </c>
    </row>
    <row r="3247" spans="1:51" x14ac:dyDescent="0.35">
      <c r="A3247" s="502" t="str">
        <f t="shared" si="1223"/>
        <v>BiK273E2aG2-13</v>
      </c>
      <c r="B3247" s="301" t="s">
        <v>5547</v>
      </c>
      <c r="C3247" s="301" t="str">
        <f t="shared" si="1225"/>
        <v>Inbetriebnahme 2013</v>
      </c>
      <c r="D3247" s="301" t="str">
        <f t="shared" si="1226"/>
        <v>0,75-5 MW, Bonusregeln E2a, G2</v>
      </c>
      <c r="E3247" s="301"/>
      <c r="F3247" s="377">
        <f t="shared" si="1227"/>
        <v>20.740000000000002</v>
      </c>
      <c r="G3247" s="433">
        <v>20.740000000000002</v>
      </c>
      <c r="H3247" s="402">
        <f t="shared" si="1228"/>
        <v>16.59</v>
      </c>
      <c r="I3247" s="579"/>
      <c r="J3247" s="549" t="s">
        <v>5804</v>
      </c>
      <c r="K3247" s="11"/>
      <c r="L3247" s="55" t="str">
        <f t="shared" si="1229"/>
        <v/>
      </c>
      <c r="M3247" s="37">
        <f t="shared" si="1230"/>
        <v>20.740000000000002</v>
      </c>
      <c r="N3247" s="29">
        <f t="shared" si="1231"/>
        <v>10.78</v>
      </c>
      <c r="O3247" s="154"/>
      <c r="P3247" s="50"/>
      <c r="Q3247" s="22"/>
      <c r="R3247" s="22"/>
      <c r="S3247" s="179" t="s">
        <v>1017</v>
      </c>
      <c r="T3247" s="50"/>
      <c r="U3247" s="22"/>
      <c r="V3247" s="179"/>
      <c r="W3247" s="202" t="s">
        <v>1017</v>
      </c>
      <c r="X3247" s="38"/>
      <c r="AH3247" s="202" t="s">
        <v>1777</v>
      </c>
      <c r="AK3247" t="str">
        <f t="shared" si="1232"/>
        <v/>
      </c>
      <c r="AL3247" t="str">
        <f t="shared" si="1233"/>
        <v/>
      </c>
      <c r="AM3247" t="str">
        <f t="shared" si="1234"/>
        <v/>
      </c>
      <c r="AN3247" t="str">
        <f t="shared" si="1235"/>
        <v/>
      </c>
      <c r="AO3247" t="str">
        <f t="shared" si="1236"/>
        <v>E2a</v>
      </c>
      <c r="AP3247" t="str">
        <f t="shared" si="1237"/>
        <v/>
      </c>
      <c r="AQ3247" t="str">
        <f t="shared" si="1238"/>
        <v/>
      </c>
      <c r="AR3247" t="str">
        <f t="shared" si="1239"/>
        <v/>
      </c>
      <c r="AS3247" t="str">
        <f t="shared" si="1240"/>
        <v>G2</v>
      </c>
      <c r="AT3247" t="str">
        <f t="shared" si="1241"/>
        <v/>
      </c>
      <c r="AU3247" t="str">
        <f t="shared" si="1242"/>
        <v>E2aG2</v>
      </c>
      <c r="AV3247" s="203" t="str">
        <f t="shared" si="1224"/>
        <v>BiK273E2aG2-12</v>
      </c>
      <c r="AW3247">
        <f t="shared" si="1243"/>
        <v>14</v>
      </c>
      <c r="AX3247" t="str">
        <f t="shared" si="1244"/>
        <v>0,75-5 MW, Bonusregeln E2a, G2</v>
      </c>
      <c r="AY3247" t="str">
        <f t="shared" si="1245"/>
        <v/>
      </c>
    </row>
    <row r="3248" spans="1:51" x14ac:dyDescent="0.35">
      <c r="A3248" s="502" t="str">
        <f t="shared" si="1223"/>
        <v>BiK273E2cG2-13</v>
      </c>
      <c r="B3248" s="301" t="s">
        <v>5547</v>
      </c>
      <c r="C3248" s="301" t="str">
        <f t="shared" si="1225"/>
        <v>Inbetriebnahme 2013</v>
      </c>
      <c r="D3248" s="301" t="str">
        <f t="shared" si="1226"/>
        <v>0,75-5 MW, Bonusregeln E2c, G2</v>
      </c>
      <c r="E3248" s="301"/>
      <c r="F3248" s="377">
        <f t="shared" si="1227"/>
        <v>18.739999999999998</v>
      </c>
      <c r="G3248" s="433">
        <v>18.739999999999998</v>
      </c>
      <c r="H3248" s="402">
        <f t="shared" si="1228"/>
        <v>14.99</v>
      </c>
      <c r="I3248" s="579"/>
      <c r="J3248" s="549" t="s">
        <v>5804</v>
      </c>
      <c r="K3248" s="11"/>
      <c r="L3248" s="55" t="str">
        <f t="shared" si="1229"/>
        <v/>
      </c>
      <c r="M3248" s="37">
        <f t="shared" si="1230"/>
        <v>18.739999999999998</v>
      </c>
      <c r="N3248" s="29">
        <f t="shared" si="1231"/>
        <v>10.78</v>
      </c>
      <c r="O3248" s="154"/>
      <c r="P3248" s="50"/>
      <c r="Q3248" s="22"/>
      <c r="R3248" s="22"/>
      <c r="S3248" s="179"/>
      <c r="T3248" s="50"/>
      <c r="U3248" s="202" t="s">
        <v>1017</v>
      </c>
      <c r="V3248" s="179"/>
      <c r="W3248" s="202" t="s">
        <v>1017</v>
      </c>
      <c r="X3248" s="38"/>
      <c r="AH3248" s="202" t="s">
        <v>1777</v>
      </c>
      <c r="AK3248" t="str">
        <f t="shared" si="1232"/>
        <v/>
      </c>
      <c r="AL3248" t="str">
        <f t="shared" si="1233"/>
        <v/>
      </c>
      <c r="AM3248" t="str">
        <f t="shared" si="1234"/>
        <v/>
      </c>
      <c r="AN3248" t="str">
        <f t="shared" si="1235"/>
        <v/>
      </c>
      <c r="AO3248" t="str">
        <f t="shared" si="1236"/>
        <v/>
      </c>
      <c r="AP3248" t="str">
        <f t="shared" si="1237"/>
        <v/>
      </c>
      <c r="AQ3248" t="str">
        <f t="shared" si="1238"/>
        <v>E2c</v>
      </c>
      <c r="AR3248" t="str">
        <f t="shared" si="1239"/>
        <v/>
      </c>
      <c r="AS3248" t="str">
        <f t="shared" si="1240"/>
        <v>G2</v>
      </c>
      <c r="AT3248" t="str">
        <f t="shared" si="1241"/>
        <v/>
      </c>
      <c r="AU3248" t="str">
        <f t="shared" si="1242"/>
        <v>E2cG2</v>
      </c>
      <c r="AV3248" s="203" t="str">
        <f t="shared" si="1224"/>
        <v>BiK273E2cG2-12</v>
      </c>
      <c r="AW3248">
        <f t="shared" si="1243"/>
        <v>14</v>
      </c>
      <c r="AX3248" t="str">
        <f t="shared" si="1244"/>
        <v>0,75-5 MW, Bonusregeln E2c, G2</v>
      </c>
      <c r="AY3248" t="str">
        <f t="shared" si="1245"/>
        <v/>
      </c>
    </row>
    <row r="3249" spans="1:51" x14ac:dyDescent="0.35">
      <c r="A3249" s="502" t="str">
        <f t="shared" si="1223"/>
        <v>BiK273G3----13</v>
      </c>
      <c r="B3249" s="301" t="s">
        <v>5547</v>
      </c>
      <c r="C3249" s="301" t="str">
        <f t="shared" si="1225"/>
        <v>Inbetriebnahme 2013</v>
      </c>
      <c r="D3249" s="301" t="str">
        <f t="shared" si="1226"/>
        <v>0,75-5 MW, Bonusregel G3</v>
      </c>
      <c r="E3249" s="301"/>
      <c r="F3249" s="377">
        <f t="shared" si="1227"/>
        <v>11.76</v>
      </c>
      <c r="G3249" s="433">
        <v>11.76</v>
      </c>
      <c r="H3249" s="402">
        <f t="shared" si="1228"/>
        <v>9.41</v>
      </c>
      <c r="I3249" s="579"/>
      <c r="J3249" s="549" t="s">
        <v>5804</v>
      </c>
      <c r="K3249" s="11"/>
      <c r="L3249" s="55" t="str">
        <f t="shared" si="1229"/>
        <v/>
      </c>
      <c r="M3249" s="37">
        <f t="shared" si="1230"/>
        <v>11.76</v>
      </c>
      <c r="N3249" s="29">
        <f t="shared" si="1231"/>
        <v>10.78</v>
      </c>
      <c r="O3249" s="154"/>
      <c r="P3249" s="50"/>
      <c r="Q3249" s="22"/>
      <c r="R3249" s="22"/>
      <c r="S3249" s="179"/>
      <c r="T3249" s="50"/>
      <c r="U3249" s="22"/>
      <c r="V3249" s="179"/>
      <c r="W3249" s="22"/>
      <c r="X3249" s="38" t="s">
        <v>1017</v>
      </c>
      <c r="AH3249" s="202" t="s">
        <v>1777</v>
      </c>
      <c r="AK3249" t="str">
        <f t="shared" si="1232"/>
        <v/>
      </c>
      <c r="AL3249" t="str">
        <f t="shared" si="1233"/>
        <v/>
      </c>
      <c r="AM3249" t="str">
        <f t="shared" si="1234"/>
        <v/>
      </c>
      <c r="AN3249" t="str">
        <f t="shared" si="1235"/>
        <v/>
      </c>
      <c r="AO3249" t="str">
        <f t="shared" si="1236"/>
        <v/>
      </c>
      <c r="AP3249" t="str">
        <f t="shared" si="1237"/>
        <v/>
      </c>
      <c r="AQ3249" t="str">
        <f t="shared" si="1238"/>
        <v/>
      </c>
      <c r="AR3249" t="str">
        <f t="shared" si="1239"/>
        <v/>
      </c>
      <c r="AS3249" t="str">
        <f t="shared" si="1240"/>
        <v/>
      </c>
      <c r="AT3249" t="str">
        <f t="shared" si="1241"/>
        <v>G3</v>
      </c>
      <c r="AU3249" t="str">
        <f t="shared" si="1242"/>
        <v>G3</v>
      </c>
      <c r="AV3249" s="203" t="str">
        <f t="shared" si="1224"/>
        <v>BiK273G3----12</v>
      </c>
      <c r="AW3249">
        <f t="shared" si="1243"/>
        <v>14</v>
      </c>
      <c r="AX3249" t="str">
        <f t="shared" si="1244"/>
        <v>0,75-5 MW, Bonusregel G3</v>
      </c>
      <c r="AY3249" t="str">
        <f t="shared" si="1245"/>
        <v/>
      </c>
    </row>
    <row r="3250" spans="1:51" x14ac:dyDescent="0.35">
      <c r="A3250" s="502" t="str">
        <f t="shared" si="1223"/>
        <v>BiK273E1cG3-13</v>
      </c>
      <c r="B3250" s="301" t="s">
        <v>5547</v>
      </c>
      <c r="C3250" s="301" t="str">
        <f t="shared" si="1225"/>
        <v>Inbetriebnahme 2013</v>
      </c>
      <c r="D3250" s="301" t="str">
        <f t="shared" si="1226"/>
        <v>0,75-5 MW, Bonusregeln E1c, G3</v>
      </c>
      <c r="E3250" s="301"/>
      <c r="F3250" s="377">
        <f t="shared" si="1227"/>
        <v>15.76</v>
      </c>
      <c r="G3250" s="433">
        <v>15.76</v>
      </c>
      <c r="H3250" s="402">
        <f t="shared" si="1228"/>
        <v>12.61</v>
      </c>
      <c r="I3250" s="579"/>
      <c r="J3250" s="549" t="s">
        <v>5804</v>
      </c>
      <c r="K3250" s="11"/>
      <c r="L3250" s="55" t="str">
        <f t="shared" si="1229"/>
        <v/>
      </c>
      <c r="M3250" s="37">
        <f t="shared" si="1230"/>
        <v>15.76</v>
      </c>
      <c r="N3250" s="29">
        <f t="shared" si="1231"/>
        <v>10.78</v>
      </c>
      <c r="O3250" s="154"/>
      <c r="P3250" s="50"/>
      <c r="Q3250" s="202" t="s">
        <v>1017</v>
      </c>
      <c r="R3250" s="22"/>
      <c r="S3250" s="179"/>
      <c r="T3250" s="50"/>
      <c r="U3250" s="22"/>
      <c r="V3250" s="179"/>
      <c r="W3250" s="22"/>
      <c r="X3250" s="38" t="s">
        <v>1017</v>
      </c>
      <c r="AH3250" s="202" t="s">
        <v>1777</v>
      </c>
      <c r="AK3250" t="str">
        <f t="shared" si="1232"/>
        <v/>
      </c>
      <c r="AL3250" t="str">
        <f t="shared" si="1233"/>
        <v/>
      </c>
      <c r="AM3250" t="str">
        <f t="shared" si="1234"/>
        <v>E1c</v>
      </c>
      <c r="AN3250" t="str">
        <f t="shared" si="1235"/>
        <v/>
      </c>
      <c r="AO3250" t="str">
        <f t="shared" si="1236"/>
        <v/>
      </c>
      <c r="AP3250" t="str">
        <f t="shared" si="1237"/>
        <v/>
      </c>
      <c r="AQ3250" t="str">
        <f t="shared" si="1238"/>
        <v/>
      </c>
      <c r="AR3250" t="str">
        <f t="shared" si="1239"/>
        <v/>
      </c>
      <c r="AS3250" t="str">
        <f t="shared" si="1240"/>
        <v/>
      </c>
      <c r="AT3250" t="str">
        <f t="shared" si="1241"/>
        <v>G3</v>
      </c>
      <c r="AU3250" t="str">
        <f t="shared" si="1242"/>
        <v>E1cG3</v>
      </c>
      <c r="AV3250" s="203" t="str">
        <f t="shared" si="1224"/>
        <v>BiK273E1cG3-12</v>
      </c>
      <c r="AW3250">
        <f t="shared" si="1243"/>
        <v>14</v>
      </c>
      <c r="AX3250" t="str">
        <f t="shared" si="1244"/>
        <v>0,75-5 MW, Bonusregeln E1c, G3</v>
      </c>
      <c r="AY3250" t="str">
        <f t="shared" si="1245"/>
        <v/>
      </c>
    </row>
    <row r="3251" spans="1:51" x14ac:dyDescent="0.35">
      <c r="A3251" s="502" t="str">
        <f t="shared" si="1223"/>
        <v>BiK273E1dG3-13</v>
      </c>
      <c r="B3251" s="301" t="s">
        <v>5547</v>
      </c>
      <c r="C3251" s="301" t="str">
        <f t="shared" si="1225"/>
        <v>Inbetriebnahme 2013</v>
      </c>
      <c r="D3251" s="301" t="str">
        <f t="shared" si="1226"/>
        <v>0,75-5 MW, Bonusregeln E1d, G3</v>
      </c>
      <c r="E3251" s="301"/>
      <c r="F3251" s="377">
        <f t="shared" si="1227"/>
        <v>14.26</v>
      </c>
      <c r="G3251" s="433">
        <v>14.26</v>
      </c>
      <c r="H3251" s="402">
        <f t="shared" si="1228"/>
        <v>11.41</v>
      </c>
      <c r="I3251" s="579"/>
      <c r="J3251" s="549" t="s">
        <v>5804</v>
      </c>
      <c r="K3251" s="11"/>
      <c r="L3251" s="55" t="str">
        <f t="shared" si="1229"/>
        <v/>
      </c>
      <c r="M3251" s="37">
        <f t="shared" si="1230"/>
        <v>14.26</v>
      </c>
      <c r="N3251" s="29">
        <f t="shared" si="1231"/>
        <v>10.78</v>
      </c>
      <c r="O3251" s="154"/>
      <c r="P3251" s="50"/>
      <c r="Q3251" s="22"/>
      <c r="R3251" s="202" t="s">
        <v>1017</v>
      </c>
      <c r="S3251" s="179"/>
      <c r="T3251" s="50"/>
      <c r="U3251" s="22"/>
      <c r="V3251" s="179"/>
      <c r="W3251" s="22"/>
      <c r="X3251" s="38" t="s">
        <v>1017</v>
      </c>
      <c r="AH3251" s="202" t="s">
        <v>1777</v>
      </c>
      <c r="AK3251" t="str">
        <f t="shared" si="1232"/>
        <v/>
      </c>
      <c r="AL3251" t="str">
        <f t="shared" si="1233"/>
        <v/>
      </c>
      <c r="AM3251" t="str">
        <f t="shared" si="1234"/>
        <v/>
      </c>
      <c r="AN3251" t="str">
        <f t="shared" si="1235"/>
        <v>E1d</v>
      </c>
      <c r="AO3251" t="str">
        <f t="shared" si="1236"/>
        <v/>
      </c>
      <c r="AP3251" t="str">
        <f t="shared" si="1237"/>
        <v/>
      </c>
      <c r="AQ3251" t="str">
        <f t="shared" si="1238"/>
        <v/>
      </c>
      <c r="AR3251" t="str">
        <f t="shared" si="1239"/>
        <v/>
      </c>
      <c r="AS3251" t="str">
        <f t="shared" si="1240"/>
        <v/>
      </c>
      <c r="AT3251" t="str">
        <f t="shared" si="1241"/>
        <v>G3</v>
      </c>
      <c r="AU3251" t="str">
        <f t="shared" si="1242"/>
        <v>E1dG3</v>
      </c>
      <c r="AV3251" s="203" t="str">
        <f t="shared" si="1224"/>
        <v>BiK273E1dG3-12</v>
      </c>
      <c r="AW3251">
        <f t="shared" si="1243"/>
        <v>14</v>
      </c>
      <c r="AX3251" t="str">
        <f t="shared" si="1244"/>
        <v>0,75-5 MW, Bonusregeln E1d, G3</v>
      </c>
      <c r="AY3251" t="str">
        <f t="shared" si="1245"/>
        <v/>
      </c>
    </row>
    <row r="3252" spans="1:51" x14ac:dyDescent="0.35">
      <c r="A3252" s="502" t="str">
        <f t="shared" si="1223"/>
        <v>BiK273E2aG3-13</v>
      </c>
      <c r="B3252" s="301" t="s">
        <v>5547</v>
      </c>
      <c r="C3252" s="301" t="str">
        <f t="shared" si="1225"/>
        <v>Inbetriebnahme 2013</v>
      </c>
      <c r="D3252" s="301" t="str">
        <f t="shared" si="1226"/>
        <v>0,75-5 MW, Bonusregeln E2a, G3</v>
      </c>
      <c r="E3252" s="301"/>
      <c r="F3252" s="377">
        <f t="shared" si="1227"/>
        <v>19.759999999999998</v>
      </c>
      <c r="G3252" s="433">
        <v>19.759999999999998</v>
      </c>
      <c r="H3252" s="402">
        <f t="shared" si="1228"/>
        <v>15.81</v>
      </c>
      <c r="I3252" s="579"/>
      <c r="J3252" s="549" t="s">
        <v>5804</v>
      </c>
      <c r="K3252" s="11"/>
      <c r="L3252" s="55" t="str">
        <f t="shared" si="1229"/>
        <v/>
      </c>
      <c r="M3252" s="37">
        <f t="shared" si="1230"/>
        <v>19.759999999999998</v>
      </c>
      <c r="N3252" s="29">
        <f t="shared" si="1231"/>
        <v>10.78</v>
      </c>
      <c r="O3252" s="154"/>
      <c r="P3252" s="50"/>
      <c r="Q3252" s="22"/>
      <c r="R3252" s="22"/>
      <c r="S3252" s="179" t="s">
        <v>1017</v>
      </c>
      <c r="T3252" s="50"/>
      <c r="U3252" s="22"/>
      <c r="V3252" s="179"/>
      <c r="W3252" s="22"/>
      <c r="X3252" s="38" t="s">
        <v>1017</v>
      </c>
      <c r="AH3252" s="202" t="s">
        <v>1777</v>
      </c>
      <c r="AK3252" t="str">
        <f t="shared" si="1232"/>
        <v/>
      </c>
      <c r="AL3252" t="str">
        <f t="shared" si="1233"/>
        <v/>
      </c>
      <c r="AM3252" t="str">
        <f t="shared" si="1234"/>
        <v/>
      </c>
      <c r="AN3252" t="str">
        <f t="shared" si="1235"/>
        <v/>
      </c>
      <c r="AO3252" t="str">
        <f t="shared" si="1236"/>
        <v>E2a</v>
      </c>
      <c r="AP3252" t="str">
        <f t="shared" si="1237"/>
        <v/>
      </c>
      <c r="AQ3252" t="str">
        <f t="shared" si="1238"/>
        <v/>
      </c>
      <c r="AR3252" t="str">
        <f t="shared" si="1239"/>
        <v/>
      </c>
      <c r="AS3252" t="str">
        <f t="shared" si="1240"/>
        <v/>
      </c>
      <c r="AT3252" t="str">
        <f t="shared" si="1241"/>
        <v>G3</v>
      </c>
      <c r="AU3252" t="str">
        <f t="shared" si="1242"/>
        <v>E2aG3</v>
      </c>
      <c r="AV3252" s="203" t="str">
        <f t="shared" si="1224"/>
        <v>BiK273E2aG3-12</v>
      </c>
      <c r="AW3252">
        <f t="shared" si="1243"/>
        <v>14</v>
      </c>
      <c r="AX3252" t="str">
        <f t="shared" si="1244"/>
        <v>0,75-5 MW, Bonusregeln E2a, G3</v>
      </c>
      <c r="AY3252" t="str">
        <f t="shared" si="1245"/>
        <v/>
      </c>
    </row>
    <row r="3253" spans="1:51" x14ac:dyDescent="0.35">
      <c r="A3253" s="502" t="str">
        <f t="shared" si="1223"/>
        <v>BiK273E2cG3-13</v>
      </c>
      <c r="B3253" s="301" t="s">
        <v>5547</v>
      </c>
      <c r="C3253" s="301" t="str">
        <f t="shared" si="1225"/>
        <v>Inbetriebnahme 2013</v>
      </c>
      <c r="D3253" s="301" t="str">
        <f t="shared" si="1226"/>
        <v>0,75-5 MW, Bonusregeln E2c, G3</v>
      </c>
      <c r="E3253" s="301"/>
      <c r="F3253" s="377">
        <f t="shared" si="1227"/>
        <v>17.759999999999998</v>
      </c>
      <c r="G3253" s="433">
        <v>17.759999999999998</v>
      </c>
      <c r="H3253" s="402">
        <f t="shared" si="1228"/>
        <v>14.21</v>
      </c>
      <c r="I3253" s="579"/>
      <c r="J3253" s="549" t="s">
        <v>5804</v>
      </c>
      <c r="K3253" s="11"/>
      <c r="L3253" s="55" t="str">
        <f t="shared" si="1229"/>
        <v/>
      </c>
      <c r="M3253" s="37">
        <f t="shared" si="1230"/>
        <v>17.759999999999998</v>
      </c>
      <c r="N3253" s="29">
        <f t="shared" si="1231"/>
        <v>10.78</v>
      </c>
      <c r="O3253" s="154"/>
      <c r="P3253" s="50"/>
      <c r="Q3253" s="22"/>
      <c r="R3253" s="22"/>
      <c r="S3253" s="179"/>
      <c r="T3253" s="50"/>
      <c r="U3253" s="202" t="s">
        <v>1017</v>
      </c>
      <c r="V3253" s="179"/>
      <c r="W3253" s="22"/>
      <c r="X3253" s="38" t="s">
        <v>1017</v>
      </c>
      <c r="AH3253" s="202" t="s">
        <v>1777</v>
      </c>
      <c r="AK3253" t="str">
        <f t="shared" si="1232"/>
        <v/>
      </c>
      <c r="AL3253" t="str">
        <f t="shared" si="1233"/>
        <v/>
      </c>
      <c r="AM3253" t="str">
        <f t="shared" si="1234"/>
        <v/>
      </c>
      <c r="AN3253" t="str">
        <f t="shared" si="1235"/>
        <v/>
      </c>
      <c r="AO3253" t="str">
        <f t="shared" si="1236"/>
        <v/>
      </c>
      <c r="AP3253" t="str">
        <f t="shared" si="1237"/>
        <v/>
      </c>
      <c r="AQ3253" t="str">
        <f t="shared" si="1238"/>
        <v>E2c</v>
      </c>
      <c r="AR3253" t="str">
        <f t="shared" si="1239"/>
        <v/>
      </c>
      <c r="AS3253" t="str">
        <f t="shared" si="1240"/>
        <v/>
      </c>
      <c r="AT3253" t="str">
        <f t="shared" si="1241"/>
        <v>G3</v>
      </c>
      <c r="AU3253" t="str">
        <f t="shared" si="1242"/>
        <v>E2cG3</v>
      </c>
      <c r="AV3253" s="203" t="str">
        <f t="shared" si="1224"/>
        <v>BiK273E2cG3-12</v>
      </c>
      <c r="AW3253">
        <f t="shared" si="1243"/>
        <v>14</v>
      </c>
      <c r="AX3253" t="str">
        <f t="shared" si="1244"/>
        <v>0,75-5 MW, Bonusregeln E2c, G3</v>
      </c>
      <c r="AY3253" t="str">
        <f t="shared" si="1245"/>
        <v/>
      </c>
    </row>
    <row r="3254" spans="1:51" x14ac:dyDescent="0.35">
      <c r="A3254" s="502" t="str">
        <f>"BiK274"&amp;AU3254&amp;RIGHT("------",6-LEN(AU3254))&amp;RIGHT($M$3181,2)</f>
        <v>BiK274------13</v>
      </c>
      <c r="B3254" s="301" t="s">
        <v>5547</v>
      </c>
      <c r="C3254" s="301" t="str">
        <f t="shared" si="1225"/>
        <v>Inbetriebnahme 2013</v>
      </c>
      <c r="D3254" s="301" t="str">
        <f t="shared" si="1226"/>
        <v>5-20 MW</v>
      </c>
      <c r="E3254" s="301"/>
      <c r="F3254" s="377">
        <f t="shared" si="1227"/>
        <v>5.88</v>
      </c>
      <c r="G3254" s="433">
        <v>5.88</v>
      </c>
      <c r="H3254" s="402">
        <f t="shared" si="1228"/>
        <v>4.7</v>
      </c>
      <c r="I3254" s="579"/>
      <c r="J3254" s="549" t="s">
        <v>5804</v>
      </c>
      <c r="K3254" s="11"/>
      <c r="L3254" s="55" t="str">
        <f t="shared" si="1229"/>
        <v/>
      </c>
      <c r="M3254" s="37">
        <f t="shared" si="1230"/>
        <v>5.88</v>
      </c>
      <c r="N3254" s="29">
        <f t="shared" si="1231"/>
        <v>5.88</v>
      </c>
      <c r="O3254" s="154"/>
      <c r="P3254" s="50"/>
      <c r="Q3254" s="50"/>
      <c r="R3254" s="52"/>
      <c r="S3254" s="50"/>
      <c r="T3254" s="50"/>
      <c r="U3254" s="52"/>
      <c r="V3254" s="50"/>
      <c r="W3254" s="50"/>
      <c r="X3254" s="52"/>
      <c r="AH3254" s="202" t="s">
        <v>1776</v>
      </c>
      <c r="AK3254" t="str">
        <f t="shared" si="1232"/>
        <v/>
      </c>
      <c r="AL3254" t="str">
        <f t="shared" si="1233"/>
        <v/>
      </c>
      <c r="AM3254" t="str">
        <f t="shared" si="1234"/>
        <v/>
      </c>
      <c r="AN3254" t="str">
        <f t="shared" si="1235"/>
        <v/>
      </c>
      <c r="AO3254" t="str">
        <f t="shared" si="1236"/>
        <v/>
      </c>
      <c r="AP3254" t="str">
        <f t="shared" si="1237"/>
        <v/>
      </c>
      <c r="AQ3254" t="str">
        <f t="shared" si="1238"/>
        <v/>
      </c>
      <c r="AR3254" t="str">
        <f t="shared" si="1239"/>
        <v/>
      </c>
      <c r="AS3254" t="str">
        <f t="shared" si="1240"/>
        <v/>
      </c>
      <c r="AT3254" t="str">
        <f t="shared" si="1241"/>
        <v/>
      </c>
      <c r="AU3254" t="str">
        <f t="shared" si="1242"/>
        <v/>
      </c>
      <c r="AV3254" s="203" t="str">
        <f>"BiK274"&amp;AU3254&amp;RIGHT("------",6-LEN(AU3254))&amp;RIGHT($M$3099,2)</f>
        <v>BiK274------12</v>
      </c>
      <c r="AW3254">
        <f t="shared" si="1243"/>
        <v>14</v>
      </c>
      <c r="AX3254" t="str">
        <f t="shared" si="1244"/>
        <v>5-20 MW</v>
      </c>
      <c r="AY3254" t="str">
        <f t="shared" si="1245"/>
        <v/>
      </c>
    </row>
    <row r="3255" spans="1:51" x14ac:dyDescent="0.35">
      <c r="A3255" s="496"/>
      <c r="B3255" s="1"/>
      <c r="C3255" s="1"/>
      <c r="D3255" s="1"/>
      <c r="E3255" s="1"/>
      <c r="F3255" s="375"/>
      <c r="G3255" s="432"/>
      <c r="H3255" s="401"/>
      <c r="I3255" s="578"/>
      <c r="J3255" s="549" t="s">
        <v>4179</v>
      </c>
      <c r="K3255" s="11"/>
      <c r="L3255" s="55"/>
      <c r="M3255" s="37"/>
      <c r="N3255" s="29"/>
      <c r="AH3255" s="202"/>
      <c r="AV3255" s="203"/>
    </row>
    <row r="3256" spans="1:51" ht="15.5" x14ac:dyDescent="0.35">
      <c r="A3256" s="496"/>
      <c r="B3256" s="1"/>
      <c r="C3256" s="1"/>
      <c r="D3256" s="1"/>
      <c r="E3256" s="1"/>
      <c r="F3256" s="375"/>
      <c r="G3256" s="425"/>
      <c r="H3256" s="10"/>
      <c r="I3256" s="566"/>
      <c r="J3256" s="549" t="s">
        <v>4179</v>
      </c>
      <c r="K3256" s="22"/>
      <c r="M3256" s="53" t="str">
        <f>"Vergütungsberechnung für Anlagen mit Inbetriebnahmejahr "&amp;M3260</f>
        <v>Vergütungsberechnung für Anlagen mit Inbetriebnahmejahr 2014</v>
      </c>
      <c r="N3256" s="27"/>
      <c r="O3256" s="22"/>
      <c r="P3256" s="22"/>
    </row>
    <row r="3257" spans="1:51" x14ac:dyDescent="0.35">
      <c r="A3257" s="508"/>
      <c r="B3257" s="181"/>
      <c r="C3257" s="181"/>
      <c r="D3257" s="181"/>
      <c r="E3257" s="181"/>
      <c r="F3257" s="380"/>
      <c r="G3257" s="439"/>
      <c r="H3257" s="406"/>
      <c r="I3257" s="585"/>
      <c r="J3257" s="549" t="s">
        <v>4179</v>
      </c>
      <c r="K3257" s="184"/>
      <c r="L3257" s="184"/>
      <c r="M3257" s="323"/>
      <c r="N3257" s="184"/>
      <c r="O3257" s="928" t="s">
        <v>1743</v>
      </c>
      <c r="P3257" s="929"/>
      <c r="Q3257" s="929"/>
      <c r="R3257" s="930"/>
      <c r="S3257" s="928" t="s">
        <v>1744</v>
      </c>
      <c r="T3257" s="929"/>
      <c r="U3257" s="930"/>
      <c r="V3257" s="919" t="s">
        <v>1745</v>
      </c>
      <c r="W3257" s="920"/>
      <c r="X3257" s="921"/>
      <c r="Y3257" s="186"/>
      <c r="Z3257" s="187"/>
      <c r="AA3257" s="187"/>
      <c r="AB3257" s="187"/>
    </row>
    <row r="3258" spans="1:51" ht="50" x14ac:dyDescent="0.35">
      <c r="A3258" s="508"/>
      <c r="B3258" s="181"/>
      <c r="C3258" s="181"/>
      <c r="D3258" s="181"/>
      <c r="E3258" s="181"/>
      <c r="F3258" s="380"/>
      <c r="G3258" s="439"/>
      <c r="H3258" s="406"/>
      <c r="I3258" s="585"/>
      <c r="J3258" s="549" t="s">
        <v>4179</v>
      </c>
      <c r="K3258" s="184"/>
      <c r="L3258" s="184"/>
      <c r="M3258" s="191" t="s">
        <v>2913</v>
      </c>
      <c r="N3258" s="192" t="s">
        <v>511</v>
      </c>
      <c r="O3258" s="324" t="s">
        <v>1762</v>
      </c>
      <c r="P3258" s="325" t="s">
        <v>1759</v>
      </c>
      <c r="Q3258" s="325" t="s">
        <v>1760</v>
      </c>
      <c r="R3258" s="290" t="s">
        <v>1761</v>
      </c>
      <c r="S3258" s="324" t="s">
        <v>1756</v>
      </c>
      <c r="T3258" s="325" t="s">
        <v>1757</v>
      </c>
      <c r="U3258" s="290" t="s">
        <v>1758</v>
      </c>
      <c r="V3258" s="196" t="s">
        <v>1746</v>
      </c>
      <c r="W3258" s="197" t="s">
        <v>1747</v>
      </c>
      <c r="X3258" s="198" t="s">
        <v>1748</v>
      </c>
      <c r="Y3258" s="30" t="s">
        <v>505</v>
      </c>
      <c r="Z3258" s="187"/>
      <c r="AA3258" s="187"/>
      <c r="AB3258" s="187"/>
    </row>
    <row r="3259" spans="1:51" x14ac:dyDescent="0.35">
      <c r="A3259" s="496"/>
      <c r="B3259" s="1"/>
      <c r="C3259" s="1"/>
      <c r="D3259" s="1"/>
      <c r="E3259" s="1"/>
      <c r="F3259" s="375"/>
      <c r="G3259" s="425"/>
      <c r="H3259" s="10"/>
      <c r="I3259" s="566"/>
      <c r="J3259" s="549" t="s">
        <v>4179</v>
      </c>
      <c r="K3259" s="22"/>
      <c r="L3259" s="22"/>
      <c r="M3259" s="34"/>
      <c r="N3259" s="30"/>
      <c r="O3259" s="316" t="s">
        <v>1749</v>
      </c>
      <c r="P3259" s="317" t="s">
        <v>1750</v>
      </c>
      <c r="Q3259" s="317" t="s">
        <v>1751</v>
      </c>
      <c r="R3259" s="317" t="s">
        <v>1752</v>
      </c>
      <c r="S3259" s="316" t="s">
        <v>1753</v>
      </c>
      <c r="T3259" s="317" t="s">
        <v>1754</v>
      </c>
      <c r="U3259" s="318" t="s">
        <v>1755</v>
      </c>
      <c r="V3259" s="316" t="s">
        <v>1740</v>
      </c>
      <c r="W3259" s="317" t="s">
        <v>1741</v>
      </c>
      <c r="X3259" s="318" t="s">
        <v>1742</v>
      </c>
      <c r="Z3259" s="317" t="s">
        <v>1740</v>
      </c>
      <c r="AA3259" s="317" t="s">
        <v>1741</v>
      </c>
      <c r="AB3259" s="317" t="s">
        <v>1742</v>
      </c>
      <c r="AC3259" s="326" t="s">
        <v>4237</v>
      </c>
    </row>
    <row r="3260" spans="1:51" x14ac:dyDescent="0.35">
      <c r="A3260" s="496"/>
      <c r="B3260" s="1"/>
      <c r="C3260" s="1"/>
      <c r="D3260" s="1"/>
      <c r="E3260" s="1"/>
      <c r="F3260" s="375"/>
      <c r="G3260" s="425"/>
      <c r="H3260" s="10"/>
      <c r="I3260" s="566"/>
      <c r="J3260" s="549" t="s">
        <v>4179</v>
      </c>
      <c r="L3260" s="327"/>
      <c r="M3260" s="328">
        <v>2014</v>
      </c>
      <c r="N3260" s="28"/>
      <c r="O3260" s="178">
        <v>6</v>
      </c>
      <c r="P3260" s="189">
        <v>5</v>
      </c>
      <c r="Q3260" s="189">
        <v>4</v>
      </c>
      <c r="R3260" s="190">
        <v>2.5</v>
      </c>
      <c r="S3260" s="178">
        <v>8</v>
      </c>
      <c r="T3260" s="189">
        <v>8</v>
      </c>
      <c r="U3260" s="190">
        <v>6</v>
      </c>
      <c r="V3260" s="33">
        <f>ROUND(Z3260,2)</f>
        <v>2.88</v>
      </c>
      <c r="W3260" s="28">
        <f>ROUND(AA3260,2)</f>
        <v>1.92</v>
      </c>
      <c r="X3260" s="40">
        <f>ROUND(AB3260,2)</f>
        <v>0.96</v>
      </c>
      <c r="Y3260" s="329">
        <v>0.02</v>
      </c>
      <c r="Z3260" s="29">
        <f>Z3181*(1-$Y$3260)</f>
        <v>2.8811999999999998</v>
      </c>
      <c r="AA3260" s="29">
        <f>AA3181*(1-$Y$3260)</f>
        <v>1.9207999999999998</v>
      </c>
      <c r="AB3260" s="29">
        <f>AB3181*(1-$Y$3260)</f>
        <v>0.96039999999999992</v>
      </c>
      <c r="AC3260" s="159" t="str">
        <f xml:space="preserve"> "Bonushöhe bei Inbetriebnahme in " &amp; M3260</f>
        <v>Bonushöhe bei Inbetriebnahme in 2014</v>
      </c>
      <c r="AH3260" t="s">
        <v>1749</v>
      </c>
      <c r="AI3260" t="s">
        <v>1750</v>
      </c>
      <c r="AJ3260" t="s">
        <v>1751</v>
      </c>
      <c r="AK3260" t="s">
        <v>1752</v>
      </c>
      <c r="AL3260" t="s">
        <v>1753</v>
      </c>
      <c r="AM3260" t="s">
        <v>1754</v>
      </c>
      <c r="AN3260" t="s">
        <v>1755</v>
      </c>
      <c r="AO3260" t="s">
        <v>1740</v>
      </c>
      <c r="AP3260" t="s">
        <v>1741</v>
      </c>
      <c r="AQ3260" t="s">
        <v>1742</v>
      </c>
      <c r="AR3260" t="s">
        <v>1764</v>
      </c>
      <c r="AS3260" t="s">
        <v>1765</v>
      </c>
      <c r="AT3260" t="s">
        <v>1766</v>
      </c>
      <c r="AU3260" t="s">
        <v>669</v>
      </c>
      <c r="AV3260" t="s">
        <v>1763</v>
      </c>
    </row>
    <row r="3261" spans="1:51" x14ac:dyDescent="0.35">
      <c r="A3261" s="502" t="str">
        <f t="shared" ref="A3261:A3276" si="1246">"BiK270"&amp;AU3261&amp;RIGHT("------",6-LEN(AU3261))&amp;RIGHT($M$3260,2)</f>
        <v>BiK270------14</v>
      </c>
      <c r="B3261" s="301" t="s">
        <v>5547</v>
      </c>
      <c r="C3261" s="301" t="str">
        <f t="shared" ref="C3261:C3292" si="1247">"Inbetriebnahme "&amp;$M$3260</f>
        <v>Inbetriebnahme 2014</v>
      </c>
      <c r="D3261" s="301" t="str">
        <f t="shared" ref="D3261:D3292" si="1248">IF(COUNTA(O3261:X3261)=0,AH3261,AH3261&amp;", Bonusregel"&amp;IF(AND(COUNTA(O3261:U3261)&gt;0,COUNTA(V3261:X3261)&gt;0),"n "&amp;AK3261&amp;AL3261&amp;AM3261&amp;AN3261&amp;AO3261&amp;AP3261&amp;AQ3261&amp;", "&amp;AR3261&amp;AS3261&amp;AT3261," "&amp;AK3261&amp;AL3261&amp;AM3261&amp;AN3261&amp;AO3261&amp;AP3261&amp;AQ3261&amp;AR3261&amp;AS3261&amp;AT3261))</f>
        <v>0-0,15 MW</v>
      </c>
      <c r="E3261" s="301"/>
      <c r="F3261" s="377">
        <f t="shared" ref="F3261:F3292" si="1249">M3261</f>
        <v>13.73</v>
      </c>
      <c r="G3261" s="429">
        <v>13.73</v>
      </c>
      <c r="H3261" s="303">
        <f t="shared" ref="H3261:H3292" si="1250">IF(ISNUMBER(G3261),ROUND(0.8*G3261,2),"")</f>
        <v>10.98</v>
      </c>
      <c r="I3261" s="579"/>
      <c r="J3261" s="549" t="s">
        <v>5804</v>
      </c>
      <c r="K3261" s="11"/>
      <c r="L3261" s="55" t="str">
        <f t="shared" ref="L3261:L3292" si="1251">IF(F3261=M3261,"",FALSE)</f>
        <v/>
      </c>
      <c r="M3261" s="315">
        <f t="shared" ref="M3261:M3292" si="1252">ROUND(N3261,2)+SUMIF(O3261:X3261,"x",$O$3260:$X$3260)</f>
        <v>13.73</v>
      </c>
      <c r="N3261" s="29">
        <f t="shared" ref="N3261:N3292" si="1253">N3182*(1-$Y$3260)</f>
        <v>13.733720000000002</v>
      </c>
      <c r="O3261" s="46"/>
      <c r="P3261" s="50"/>
      <c r="Q3261" s="50"/>
      <c r="R3261" s="50"/>
      <c r="S3261" s="46"/>
      <c r="T3261" s="188"/>
      <c r="U3261" s="50"/>
      <c r="V3261" s="46"/>
      <c r="W3261" s="22"/>
      <c r="X3261" s="47"/>
      <c r="AH3261" s="22" t="s">
        <v>1780</v>
      </c>
      <c r="AK3261" t="str">
        <f t="shared" ref="AK3261:AK3292" si="1254">IF(O3261="x",O$3259,"")</f>
        <v/>
      </c>
      <c r="AL3261" t="str">
        <f t="shared" ref="AL3261:AL3292" si="1255">IF(P3261="x",P$3259,"")</f>
        <v/>
      </c>
      <c r="AM3261" t="str">
        <f t="shared" ref="AM3261:AM3292" si="1256">IF(Q3261="x",Q$3259,"")</f>
        <v/>
      </c>
      <c r="AN3261" t="str">
        <f t="shared" ref="AN3261:AN3292" si="1257">IF(R3261="x",R$3259,"")</f>
        <v/>
      </c>
      <c r="AO3261" t="str">
        <f t="shared" ref="AO3261:AO3292" si="1258">IF(S3261="x",S$3259,"")</f>
        <v/>
      </c>
      <c r="AP3261" t="str">
        <f t="shared" ref="AP3261:AP3292" si="1259">IF(T3261="x",T$3259,"")</f>
        <v/>
      </c>
      <c r="AQ3261" t="str">
        <f t="shared" ref="AQ3261:AQ3292" si="1260">IF(U3261="x",U$3259,"")</f>
        <v/>
      </c>
      <c r="AR3261" t="str">
        <f t="shared" ref="AR3261:AR3292" si="1261">IF(V3261="x",V$3259,"")</f>
        <v/>
      </c>
      <c r="AS3261" t="str">
        <f t="shared" ref="AS3261:AS3292" si="1262">IF(W3261="x",W$3259,"")</f>
        <v/>
      </c>
      <c r="AT3261" t="str">
        <f t="shared" ref="AT3261:AT3292" si="1263">IF(X3261="x",X$3259,"")</f>
        <v/>
      </c>
      <c r="AU3261" t="str">
        <f t="shared" ref="AU3261:AU3292" si="1264">AK3261&amp;AL3261&amp;AM3261&amp;AN3261&amp;AO3261&amp;AP3261&amp;AQ3261&amp;AR3261&amp;AS3261&amp;AT3261</f>
        <v/>
      </c>
      <c r="AV3261" s="203" t="str">
        <f t="shared" ref="AV3261:AV3276" si="1265">"BiK270"&amp;AU3261&amp;RIGHT("------",6-LEN(AU3261))&amp;RIGHT($M$3093,2)</f>
        <v>BiK270------73</v>
      </c>
      <c r="AW3261">
        <f t="shared" ref="AW3261:AW3292" si="1266">LEN(AV3261)</f>
        <v>14</v>
      </c>
      <c r="AX3261" t="str">
        <f t="shared" ref="AX3261:AX3292" si="1267">IF(COUNTA(O3261:X3261)=0,AH3261,AH3261&amp;", Bonusregel"&amp;IF(AND(COUNTA(O3261:U3261)&gt;0,COUNTA(V3261:X3261)&gt;0),"n "&amp;AK3261&amp;AL3261&amp;AM3261&amp;AN3261&amp;AO3261&amp;AP3261&amp;AQ3261&amp;", "&amp;AR3261&amp;AS3261&amp;AT3261," "&amp;AK3261&amp;AL3261&amp;AM3261&amp;AN3261&amp;AO3261&amp;AP3261&amp;AQ3261&amp;AR3261&amp;AS3261&amp;AT3261))</f>
        <v>0-0,15 MW</v>
      </c>
    </row>
    <row r="3262" spans="1:51" x14ac:dyDescent="0.35">
      <c r="A3262" s="502" t="str">
        <f t="shared" si="1246"/>
        <v>BiK270E1a---14</v>
      </c>
      <c r="B3262" s="301" t="s">
        <v>5547</v>
      </c>
      <c r="C3262" s="301" t="str">
        <f t="shared" si="1247"/>
        <v>Inbetriebnahme 2014</v>
      </c>
      <c r="D3262" s="301" t="str">
        <f t="shared" si="1248"/>
        <v>0-0,15 MW, Bonusregel E1a</v>
      </c>
      <c r="E3262" s="301"/>
      <c r="F3262" s="377">
        <f t="shared" si="1249"/>
        <v>19.73</v>
      </c>
      <c r="G3262" s="429">
        <v>19.73</v>
      </c>
      <c r="H3262" s="303">
        <f t="shared" si="1250"/>
        <v>15.78</v>
      </c>
      <c r="I3262" s="579"/>
      <c r="J3262" s="549" t="s">
        <v>5804</v>
      </c>
      <c r="K3262" s="11"/>
      <c r="L3262" s="55" t="str">
        <f t="shared" si="1251"/>
        <v/>
      </c>
      <c r="M3262" s="315">
        <f t="shared" si="1252"/>
        <v>19.73</v>
      </c>
      <c r="N3262" s="29">
        <f t="shared" si="1253"/>
        <v>13.733720000000002</v>
      </c>
      <c r="O3262" s="31" t="s">
        <v>1017</v>
      </c>
      <c r="P3262" s="50"/>
      <c r="Q3262" s="50"/>
      <c r="R3262" s="50"/>
      <c r="S3262" s="31"/>
      <c r="T3262" s="22"/>
      <c r="U3262" s="50"/>
      <c r="V3262" s="31"/>
      <c r="W3262" s="22"/>
      <c r="X3262" s="38"/>
      <c r="AH3262" s="22" t="s">
        <v>1780</v>
      </c>
      <c r="AK3262" t="str">
        <f t="shared" si="1254"/>
        <v>E1a</v>
      </c>
      <c r="AL3262" t="str">
        <f t="shared" si="1255"/>
        <v/>
      </c>
      <c r="AM3262" t="str">
        <f t="shared" si="1256"/>
        <v/>
      </c>
      <c r="AN3262" t="str">
        <f t="shared" si="1257"/>
        <v/>
      </c>
      <c r="AO3262" t="str">
        <f t="shared" si="1258"/>
        <v/>
      </c>
      <c r="AP3262" t="str">
        <f t="shared" si="1259"/>
        <v/>
      </c>
      <c r="AQ3262" t="str">
        <f t="shared" si="1260"/>
        <v/>
      </c>
      <c r="AR3262" t="str">
        <f t="shared" si="1261"/>
        <v/>
      </c>
      <c r="AS3262" t="str">
        <f t="shared" si="1262"/>
        <v/>
      </c>
      <c r="AT3262" t="str">
        <f t="shared" si="1263"/>
        <v/>
      </c>
      <c r="AU3262" t="str">
        <f t="shared" si="1264"/>
        <v>E1a</v>
      </c>
      <c r="AV3262" s="203" t="str">
        <f t="shared" si="1265"/>
        <v>BiK270E1a---73</v>
      </c>
      <c r="AW3262">
        <f t="shared" si="1266"/>
        <v>14</v>
      </c>
      <c r="AX3262" t="str">
        <f t="shared" si="1267"/>
        <v>0-0,15 MW, Bonusregel E1a</v>
      </c>
    </row>
    <row r="3263" spans="1:51" x14ac:dyDescent="0.35">
      <c r="A3263" s="502" t="str">
        <f t="shared" si="1246"/>
        <v>BiK270E2a---14</v>
      </c>
      <c r="B3263" s="301" t="s">
        <v>5547</v>
      </c>
      <c r="C3263" s="301" t="str">
        <f t="shared" si="1247"/>
        <v>Inbetriebnahme 2014</v>
      </c>
      <c r="D3263" s="301" t="str">
        <f t="shared" si="1248"/>
        <v>0-0,15 MW, Bonusregel E2a</v>
      </c>
      <c r="E3263" s="301"/>
      <c r="F3263" s="377">
        <f t="shared" si="1249"/>
        <v>21.73</v>
      </c>
      <c r="G3263" s="429">
        <v>21.73</v>
      </c>
      <c r="H3263" s="303">
        <f t="shared" si="1250"/>
        <v>17.38</v>
      </c>
      <c r="I3263" s="579"/>
      <c r="J3263" s="549" t="s">
        <v>5804</v>
      </c>
      <c r="K3263" s="11"/>
      <c r="L3263" s="55" t="str">
        <f t="shared" si="1251"/>
        <v/>
      </c>
      <c r="M3263" s="315">
        <f t="shared" si="1252"/>
        <v>21.73</v>
      </c>
      <c r="N3263" s="29">
        <f t="shared" si="1253"/>
        <v>13.733720000000002</v>
      </c>
      <c r="O3263" s="31"/>
      <c r="P3263" s="50"/>
      <c r="Q3263" s="50"/>
      <c r="R3263" s="50"/>
      <c r="S3263" s="31" t="s">
        <v>1017</v>
      </c>
      <c r="T3263" s="22"/>
      <c r="U3263" s="50"/>
      <c r="V3263" s="31"/>
      <c r="W3263" s="22"/>
      <c r="X3263" s="38"/>
      <c r="AH3263" s="22" t="s">
        <v>1780</v>
      </c>
      <c r="AK3263" t="str">
        <f t="shared" si="1254"/>
        <v/>
      </c>
      <c r="AL3263" t="str">
        <f t="shared" si="1255"/>
        <v/>
      </c>
      <c r="AM3263" t="str">
        <f t="shared" si="1256"/>
        <v/>
      </c>
      <c r="AN3263" t="str">
        <f t="shared" si="1257"/>
        <v/>
      </c>
      <c r="AO3263" t="str">
        <f t="shared" si="1258"/>
        <v>E2a</v>
      </c>
      <c r="AP3263" t="str">
        <f t="shared" si="1259"/>
        <v/>
      </c>
      <c r="AQ3263" t="str">
        <f t="shared" si="1260"/>
        <v/>
      </c>
      <c r="AR3263" t="str">
        <f t="shared" si="1261"/>
        <v/>
      </c>
      <c r="AS3263" t="str">
        <f t="shared" si="1262"/>
        <v/>
      </c>
      <c r="AT3263" t="str">
        <f t="shared" si="1263"/>
        <v/>
      </c>
      <c r="AU3263" t="str">
        <f t="shared" si="1264"/>
        <v>E2a</v>
      </c>
      <c r="AV3263" s="203" t="str">
        <f t="shared" si="1265"/>
        <v>BiK270E2a---73</v>
      </c>
      <c r="AW3263">
        <f t="shared" si="1266"/>
        <v>14</v>
      </c>
      <c r="AX3263" t="str">
        <f t="shared" si="1267"/>
        <v>0-0,15 MW, Bonusregel E2a</v>
      </c>
    </row>
    <row r="3264" spans="1:51" x14ac:dyDescent="0.35">
      <c r="A3264" s="502" t="str">
        <f t="shared" si="1246"/>
        <v>BiK270E2b---14</v>
      </c>
      <c r="B3264" s="301" t="s">
        <v>5547</v>
      </c>
      <c r="C3264" s="301" t="str">
        <f t="shared" si="1247"/>
        <v>Inbetriebnahme 2014</v>
      </c>
      <c r="D3264" s="301" t="str">
        <f t="shared" si="1248"/>
        <v>0-0,15 MW, Bonusregel E2b</v>
      </c>
      <c r="E3264" s="301"/>
      <c r="F3264" s="377">
        <f t="shared" si="1249"/>
        <v>21.73</v>
      </c>
      <c r="G3264" s="429">
        <v>21.73</v>
      </c>
      <c r="H3264" s="303">
        <f t="shared" si="1250"/>
        <v>17.38</v>
      </c>
      <c r="I3264" s="579"/>
      <c r="J3264" s="549" t="s">
        <v>5804</v>
      </c>
      <c r="K3264" s="11"/>
      <c r="L3264" s="55" t="str">
        <f t="shared" si="1251"/>
        <v/>
      </c>
      <c r="M3264" s="315">
        <f t="shared" si="1252"/>
        <v>21.73</v>
      </c>
      <c r="N3264" s="29">
        <f t="shared" si="1253"/>
        <v>13.733720000000002</v>
      </c>
      <c r="O3264" s="31"/>
      <c r="P3264" s="50"/>
      <c r="Q3264" s="50"/>
      <c r="R3264" s="50"/>
      <c r="S3264" s="31"/>
      <c r="T3264" s="22" t="s">
        <v>1017</v>
      </c>
      <c r="U3264" s="50"/>
      <c r="V3264" s="31"/>
      <c r="W3264" s="22"/>
      <c r="X3264" s="38"/>
      <c r="AH3264" s="22" t="s">
        <v>1780</v>
      </c>
      <c r="AK3264" t="str">
        <f t="shared" si="1254"/>
        <v/>
      </c>
      <c r="AL3264" t="str">
        <f t="shared" si="1255"/>
        <v/>
      </c>
      <c r="AM3264" t="str">
        <f t="shared" si="1256"/>
        <v/>
      </c>
      <c r="AN3264" t="str">
        <f t="shared" si="1257"/>
        <v/>
      </c>
      <c r="AO3264" t="str">
        <f t="shared" si="1258"/>
        <v/>
      </c>
      <c r="AP3264" t="str">
        <f t="shared" si="1259"/>
        <v>E2b</v>
      </c>
      <c r="AQ3264" t="str">
        <f t="shared" si="1260"/>
        <v/>
      </c>
      <c r="AR3264" t="str">
        <f t="shared" si="1261"/>
        <v/>
      </c>
      <c r="AS3264" t="str">
        <f t="shared" si="1262"/>
        <v/>
      </c>
      <c r="AT3264" t="str">
        <f t="shared" si="1263"/>
        <v/>
      </c>
      <c r="AU3264" t="str">
        <f t="shared" si="1264"/>
        <v>E2b</v>
      </c>
      <c r="AV3264" s="203" t="str">
        <f t="shared" si="1265"/>
        <v>BiK270E2b---73</v>
      </c>
      <c r="AW3264">
        <f t="shared" si="1266"/>
        <v>14</v>
      </c>
      <c r="AX3264" t="str">
        <f t="shared" si="1267"/>
        <v>0-0,15 MW, Bonusregel E2b</v>
      </c>
    </row>
    <row r="3265" spans="1:50" x14ac:dyDescent="0.35">
      <c r="A3265" s="502" t="str">
        <f t="shared" si="1246"/>
        <v>BiK270G1----14</v>
      </c>
      <c r="B3265" s="301" t="s">
        <v>5547</v>
      </c>
      <c r="C3265" s="301" t="str">
        <f t="shared" si="1247"/>
        <v>Inbetriebnahme 2014</v>
      </c>
      <c r="D3265" s="301" t="str">
        <f t="shared" si="1248"/>
        <v>0-0,15 MW, Bonusregel G1</v>
      </c>
      <c r="E3265" s="301"/>
      <c r="F3265" s="377">
        <f t="shared" si="1249"/>
        <v>16.61</v>
      </c>
      <c r="G3265" s="429">
        <v>16.61</v>
      </c>
      <c r="H3265" s="303">
        <f t="shared" si="1250"/>
        <v>13.29</v>
      </c>
      <c r="I3265" s="579"/>
      <c r="J3265" s="549" t="s">
        <v>5804</v>
      </c>
      <c r="K3265" s="11"/>
      <c r="L3265" s="55" t="str">
        <f t="shared" si="1251"/>
        <v/>
      </c>
      <c r="M3265" s="315">
        <f t="shared" si="1252"/>
        <v>16.61</v>
      </c>
      <c r="N3265" s="29">
        <f t="shared" si="1253"/>
        <v>13.733720000000002</v>
      </c>
      <c r="O3265" s="31"/>
      <c r="P3265" s="50"/>
      <c r="Q3265" s="50"/>
      <c r="R3265" s="50"/>
      <c r="S3265" s="31"/>
      <c r="T3265" s="22"/>
      <c r="U3265" s="50"/>
      <c r="V3265" s="31" t="s">
        <v>1017</v>
      </c>
      <c r="W3265" s="22"/>
      <c r="X3265" s="38"/>
      <c r="AH3265" s="22" t="s">
        <v>1780</v>
      </c>
      <c r="AK3265" t="str">
        <f t="shared" si="1254"/>
        <v/>
      </c>
      <c r="AL3265" t="str">
        <f t="shared" si="1255"/>
        <v/>
      </c>
      <c r="AM3265" t="str">
        <f t="shared" si="1256"/>
        <v/>
      </c>
      <c r="AN3265" t="str">
        <f t="shared" si="1257"/>
        <v/>
      </c>
      <c r="AO3265" t="str">
        <f t="shared" si="1258"/>
        <v/>
      </c>
      <c r="AP3265" t="str">
        <f t="shared" si="1259"/>
        <v/>
      </c>
      <c r="AQ3265" t="str">
        <f t="shared" si="1260"/>
        <v/>
      </c>
      <c r="AR3265" t="str">
        <f t="shared" si="1261"/>
        <v>G1</v>
      </c>
      <c r="AS3265" t="str">
        <f t="shared" si="1262"/>
        <v/>
      </c>
      <c r="AT3265" t="str">
        <f t="shared" si="1263"/>
        <v/>
      </c>
      <c r="AU3265" t="str">
        <f t="shared" si="1264"/>
        <v>G1</v>
      </c>
      <c r="AV3265" s="203" t="str">
        <f t="shared" si="1265"/>
        <v>BiK270G1----73</v>
      </c>
      <c r="AW3265">
        <f t="shared" si="1266"/>
        <v>14</v>
      </c>
      <c r="AX3265" t="str">
        <f t="shared" si="1267"/>
        <v>0-0,15 MW, Bonusregel G1</v>
      </c>
    </row>
    <row r="3266" spans="1:50" x14ac:dyDescent="0.35">
      <c r="A3266" s="502" t="str">
        <f t="shared" si="1246"/>
        <v>BiK270E1aG1-14</v>
      </c>
      <c r="B3266" s="301" t="s">
        <v>5547</v>
      </c>
      <c r="C3266" s="301" t="str">
        <f t="shared" si="1247"/>
        <v>Inbetriebnahme 2014</v>
      </c>
      <c r="D3266" s="301" t="str">
        <f t="shared" si="1248"/>
        <v>0-0,15 MW, Bonusregeln E1a, G1</v>
      </c>
      <c r="E3266" s="301"/>
      <c r="F3266" s="377">
        <f t="shared" si="1249"/>
        <v>22.61</v>
      </c>
      <c r="G3266" s="429">
        <v>22.61</v>
      </c>
      <c r="H3266" s="303">
        <f t="shared" si="1250"/>
        <v>18.09</v>
      </c>
      <c r="I3266" s="579"/>
      <c r="J3266" s="549" t="s">
        <v>5804</v>
      </c>
      <c r="K3266" s="11"/>
      <c r="L3266" s="55" t="str">
        <f t="shared" si="1251"/>
        <v/>
      </c>
      <c r="M3266" s="315">
        <f t="shared" si="1252"/>
        <v>22.61</v>
      </c>
      <c r="N3266" s="29">
        <f t="shared" si="1253"/>
        <v>13.733720000000002</v>
      </c>
      <c r="O3266" s="31" t="s">
        <v>1017</v>
      </c>
      <c r="P3266" s="50"/>
      <c r="Q3266" s="50"/>
      <c r="R3266" s="50"/>
      <c r="S3266" s="31"/>
      <c r="T3266" s="22"/>
      <c r="U3266" s="50"/>
      <c r="V3266" s="31" t="s">
        <v>1017</v>
      </c>
      <c r="W3266" s="22"/>
      <c r="X3266" s="38"/>
      <c r="AH3266" s="22" t="s">
        <v>1780</v>
      </c>
      <c r="AK3266" t="str">
        <f t="shared" si="1254"/>
        <v>E1a</v>
      </c>
      <c r="AL3266" t="str">
        <f t="shared" si="1255"/>
        <v/>
      </c>
      <c r="AM3266" t="str">
        <f t="shared" si="1256"/>
        <v/>
      </c>
      <c r="AN3266" t="str">
        <f t="shared" si="1257"/>
        <v/>
      </c>
      <c r="AO3266" t="str">
        <f t="shared" si="1258"/>
        <v/>
      </c>
      <c r="AP3266" t="str">
        <f t="shared" si="1259"/>
        <v/>
      </c>
      <c r="AQ3266" t="str">
        <f t="shared" si="1260"/>
        <v/>
      </c>
      <c r="AR3266" t="str">
        <f t="shared" si="1261"/>
        <v>G1</v>
      </c>
      <c r="AS3266" t="str">
        <f t="shared" si="1262"/>
        <v/>
      </c>
      <c r="AT3266" t="str">
        <f t="shared" si="1263"/>
        <v/>
      </c>
      <c r="AU3266" t="str">
        <f t="shared" si="1264"/>
        <v>E1aG1</v>
      </c>
      <c r="AV3266" s="203" t="str">
        <f t="shared" si="1265"/>
        <v>BiK270E1aG1-73</v>
      </c>
      <c r="AW3266">
        <f t="shared" si="1266"/>
        <v>14</v>
      </c>
      <c r="AX3266" t="str">
        <f t="shared" si="1267"/>
        <v>0-0,15 MW, Bonusregeln E1a, G1</v>
      </c>
    </row>
    <row r="3267" spans="1:50" x14ac:dyDescent="0.35">
      <c r="A3267" s="502" t="str">
        <f t="shared" si="1246"/>
        <v>BiK270E2aG1-14</v>
      </c>
      <c r="B3267" s="301" t="s">
        <v>5547</v>
      </c>
      <c r="C3267" s="301" t="str">
        <f t="shared" si="1247"/>
        <v>Inbetriebnahme 2014</v>
      </c>
      <c r="D3267" s="301" t="str">
        <f t="shared" si="1248"/>
        <v>0-0,15 MW, Bonusregeln E2a, G1</v>
      </c>
      <c r="E3267" s="301"/>
      <c r="F3267" s="377">
        <f t="shared" si="1249"/>
        <v>24.61</v>
      </c>
      <c r="G3267" s="429">
        <v>24.61</v>
      </c>
      <c r="H3267" s="303">
        <f t="shared" si="1250"/>
        <v>19.690000000000001</v>
      </c>
      <c r="I3267" s="579"/>
      <c r="J3267" s="549" t="s">
        <v>5804</v>
      </c>
      <c r="K3267" s="11"/>
      <c r="L3267" s="55" t="str">
        <f t="shared" si="1251"/>
        <v/>
      </c>
      <c r="M3267" s="315">
        <f t="shared" si="1252"/>
        <v>24.61</v>
      </c>
      <c r="N3267" s="29">
        <f t="shared" si="1253"/>
        <v>13.733720000000002</v>
      </c>
      <c r="O3267" s="31"/>
      <c r="P3267" s="50"/>
      <c r="Q3267" s="50"/>
      <c r="R3267" s="50"/>
      <c r="S3267" s="31" t="s">
        <v>1017</v>
      </c>
      <c r="T3267" s="22"/>
      <c r="U3267" s="50"/>
      <c r="V3267" s="31" t="s">
        <v>1017</v>
      </c>
      <c r="W3267" s="22"/>
      <c r="X3267" s="38"/>
      <c r="AH3267" s="22" t="s">
        <v>1780</v>
      </c>
      <c r="AK3267" t="str">
        <f t="shared" si="1254"/>
        <v/>
      </c>
      <c r="AL3267" t="str">
        <f t="shared" si="1255"/>
        <v/>
      </c>
      <c r="AM3267" t="str">
        <f t="shared" si="1256"/>
        <v/>
      </c>
      <c r="AN3267" t="str">
        <f t="shared" si="1257"/>
        <v/>
      </c>
      <c r="AO3267" t="str">
        <f t="shared" si="1258"/>
        <v>E2a</v>
      </c>
      <c r="AP3267" t="str">
        <f t="shared" si="1259"/>
        <v/>
      </c>
      <c r="AQ3267" t="str">
        <f t="shared" si="1260"/>
        <v/>
      </c>
      <c r="AR3267" t="str">
        <f t="shared" si="1261"/>
        <v>G1</v>
      </c>
      <c r="AS3267" t="str">
        <f t="shared" si="1262"/>
        <v/>
      </c>
      <c r="AT3267" t="str">
        <f t="shared" si="1263"/>
        <v/>
      </c>
      <c r="AU3267" t="str">
        <f t="shared" si="1264"/>
        <v>E2aG1</v>
      </c>
      <c r="AV3267" s="203" t="str">
        <f t="shared" si="1265"/>
        <v>BiK270E2aG1-73</v>
      </c>
      <c r="AW3267">
        <f t="shared" si="1266"/>
        <v>14</v>
      </c>
      <c r="AX3267" t="str">
        <f t="shared" si="1267"/>
        <v>0-0,15 MW, Bonusregeln E2a, G1</v>
      </c>
    </row>
    <row r="3268" spans="1:50" x14ac:dyDescent="0.35">
      <c r="A3268" s="502" t="str">
        <f t="shared" si="1246"/>
        <v>BiK270E2bG1-14</v>
      </c>
      <c r="B3268" s="301" t="s">
        <v>5547</v>
      </c>
      <c r="C3268" s="301" t="str">
        <f t="shared" si="1247"/>
        <v>Inbetriebnahme 2014</v>
      </c>
      <c r="D3268" s="301" t="str">
        <f t="shared" si="1248"/>
        <v>0-0,15 MW, Bonusregeln E2b, G1</v>
      </c>
      <c r="E3268" s="301"/>
      <c r="F3268" s="377">
        <f t="shared" si="1249"/>
        <v>24.61</v>
      </c>
      <c r="G3268" s="429">
        <v>24.61</v>
      </c>
      <c r="H3268" s="303">
        <f t="shared" si="1250"/>
        <v>19.690000000000001</v>
      </c>
      <c r="I3268" s="579"/>
      <c r="J3268" s="549" t="s">
        <v>5804</v>
      </c>
      <c r="K3268" s="11"/>
      <c r="L3268" s="55" t="str">
        <f t="shared" si="1251"/>
        <v/>
      </c>
      <c r="M3268" s="315">
        <f t="shared" si="1252"/>
        <v>24.61</v>
      </c>
      <c r="N3268" s="29">
        <f t="shared" si="1253"/>
        <v>13.733720000000002</v>
      </c>
      <c r="O3268" s="31"/>
      <c r="P3268" s="50"/>
      <c r="Q3268" s="50"/>
      <c r="R3268" s="50"/>
      <c r="S3268" s="31"/>
      <c r="T3268" s="22" t="s">
        <v>1017</v>
      </c>
      <c r="U3268" s="50"/>
      <c r="V3268" s="31" t="s">
        <v>1017</v>
      </c>
      <c r="W3268" s="22"/>
      <c r="X3268" s="38"/>
      <c r="AH3268" s="22" t="s">
        <v>1780</v>
      </c>
      <c r="AK3268" t="str">
        <f t="shared" si="1254"/>
        <v/>
      </c>
      <c r="AL3268" t="str">
        <f t="shared" si="1255"/>
        <v/>
      </c>
      <c r="AM3268" t="str">
        <f t="shared" si="1256"/>
        <v/>
      </c>
      <c r="AN3268" t="str">
        <f t="shared" si="1257"/>
        <v/>
      </c>
      <c r="AO3268" t="str">
        <f t="shared" si="1258"/>
        <v/>
      </c>
      <c r="AP3268" t="str">
        <f t="shared" si="1259"/>
        <v>E2b</v>
      </c>
      <c r="AQ3268" t="str">
        <f t="shared" si="1260"/>
        <v/>
      </c>
      <c r="AR3268" t="str">
        <f t="shared" si="1261"/>
        <v>G1</v>
      </c>
      <c r="AS3268" t="str">
        <f t="shared" si="1262"/>
        <v/>
      </c>
      <c r="AT3268" t="str">
        <f t="shared" si="1263"/>
        <v/>
      </c>
      <c r="AU3268" t="str">
        <f t="shared" si="1264"/>
        <v>E2bG1</v>
      </c>
      <c r="AV3268" s="203" t="str">
        <f t="shared" si="1265"/>
        <v>BiK270E2bG1-73</v>
      </c>
      <c r="AW3268">
        <f t="shared" si="1266"/>
        <v>14</v>
      </c>
      <c r="AX3268" t="str">
        <f t="shared" si="1267"/>
        <v>0-0,15 MW, Bonusregeln E2b, G1</v>
      </c>
    </row>
    <row r="3269" spans="1:50" x14ac:dyDescent="0.35">
      <c r="A3269" s="502" t="str">
        <f t="shared" si="1246"/>
        <v>BiK270G2----14</v>
      </c>
      <c r="B3269" s="301" t="s">
        <v>5547</v>
      </c>
      <c r="C3269" s="301" t="str">
        <f t="shared" si="1247"/>
        <v>Inbetriebnahme 2014</v>
      </c>
      <c r="D3269" s="301" t="str">
        <f t="shared" si="1248"/>
        <v>0-0,15 MW, Bonusregel G2</v>
      </c>
      <c r="E3269" s="301"/>
      <c r="F3269" s="377">
        <f t="shared" si="1249"/>
        <v>15.65</v>
      </c>
      <c r="G3269" s="429">
        <v>15.65</v>
      </c>
      <c r="H3269" s="303">
        <f t="shared" si="1250"/>
        <v>12.52</v>
      </c>
      <c r="I3269" s="579"/>
      <c r="J3269" s="549" t="s">
        <v>5804</v>
      </c>
      <c r="K3269" s="11"/>
      <c r="L3269" s="55" t="str">
        <f t="shared" si="1251"/>
        <v/>
      </c>
      <c r="M3269" s="315">
        <f t="shared" si="1252"/>
        <v>15.65</v>
      </c>
      <c r="N3269" s="29">
        <f t="shared" si="1253"/>
        <v>13.733720000000002</v>
      </c>
      <c r="O3269" s="31"/>
      <c r="P3269" s="50"/>
      <c r="Q3269" s="50"/>
      <c r="R3269" s="50"/>
      <c r="S3269" s="31"/>
      <c r="T3269" s="22"/>
      <c r="U3269" s="50"/>
      <c r="V3269" s="31"/>
      <c r="W3269" s="22" t="s">
        <v>1017</v>
      </c>
      <c r="X3269" s="38"/>
      <c r="AH3269" s="22" t="s">
        <v>1780</v>
      </c>
      <c r="AK3269" t="str">
        <f t="shared" si="1254"/>
        <v/>
      </c>
      <c r="AL3269" t="str">
        <f t="shared" si="1255"/>
        <v/>
      </c>
      <c r="AM3269" t="str">
        <f t="shared" si="1256"/>
        <v/>
      </c>
      <c r="AN3269" t="str">
        <f t="shared" si="1257"/>
        <v/>
      </c>
      <c r="AO3269" t="str">
        <f t="shared" si="1258"/>
        <v/>
      </c>
      <c r="AP3269" t="str">
        <f t="shared" si="1259"/>
        <v/>
      </c>
      <c r="AQ3269" t="str">
        <f t="shared" si="1260"/>
        <v/>
      </c>
      <c r="AR3269" t="str">
        <f t="shared" si="1261"/>
        <v/>
      </c>
      <c r="AS3269" t="str">
        <f t="shared" si="1262"/>
        <v>G2</v>
      </c>
      <c r="AT3269" t="str">
        <f t="shared" si="1263"/>
        <v/>
      </c>
      <c r="AU3269" t="str">
        <f t="shared" si="1264"/>
        <v>G2</v>
      </c>
      <c r="AV3269" s="203" t="str">
        <f t="shared" si="1265"/>
        <v>BiK270G2----73</v>
      </c>
      <c r="AW3269">
        <f t="shared" si="1266"/>
        <v>14</v>
      </c>
      <c r="AX3269" t="str">
        <f t="shared" si="1267"/>
        <v>0-0,15 MW, Bonusregel G2</v>
      </c>
    </row>
    <row r="3270" spans="1:50" x14ac:dyDescent="0.35">
      <c r="A3270" s="502" t="str">
        <f t="shared" si="1246"/>
        <v>BiK270E1aG2-14</v>
      </c>
      <c r="B3270" s="301" t="s">
        <v>5547</v>
      </c>
      <c r="C3270" s="301" t="str">
        <f t="shared" si="1247"/>
        <v>Inbetriebnahme 2014</v>
      </c>
      <c r="D3270" s="301" t="str">
        <f t="shared" si="1248"/>
        <v>0-0,15 MW, Bonusregeln E1a, G2</v>
      </c>
      <c r="E3270" s="301"/>
      <c r="F3270" s="377">
        <f t="shared" si="1249"/>
        <v>21.65</v>
      </c>
      <c r="G3270" s="429">
        <v>21.65</v>
      </c>
      <c r="H3270" s="303">
        <f t="shared" si="1250"/>
        <v>17.32</v>
      </c>
      <c r="I3270" s="579"/>
      <c r="J3270" s="549" t="s">
        <v>5804</v>
      </c>
      <c r="K3270" s="11"/>
      <c r="L3270" s="55" t="str">
        <f t="shared" si="1251"/>
        <v/>
      </c>
      <c r="M3270" s="315">
        <f t="shared" si="1252"/>
        <v>21.65</v>
      </c>
      <c r="N3270" s="29">
        <f t="shared" si="1253"/>
        <v>13.733720000000002</v>
      </c>
      <c r="O3270" s="31" t="s">
        <v>1017</v>
      </c>
      <c r="P3270" s="50"/>
      <c r="Q3270" s="50"/>
      <c r="R3270" s="50"/>
      <c r="S3270" s="31"/>
      <c r="T3270" s="22"/>
      <c r="U3270" s="50"/>
      <c r="V3270" s="31"/>
      <c r="W3270" s="22" t="s">
        <v>1017</v>
      </c>
      <c r="X3270" s="38"/>
      <c r="AH3270" s="22" t="s">
        <v>1780</v>
      </c>
      <c r="AK3270" t="str">
        <f t="shared" si="1254"/>
        <v>E1a</v>
      </c>
      <c r="AL3270" t="str">
        <f t="shared" si="1255"/>
        <v/>
      </c>
      <c r="AM3270" t="str">
        <f t="shared" si="1256"/>
        <v/>
      </c>
      <c r="AN3270" t="str">
        <f t="shared" si="1257"/>
        <v/>
      </c>
      <c r="AO3270" t="str">
        <f t="shared" si="1258"/>
        <v/>
      </c>
      <c r="AP3270" t="str">
        <f t="shared" si="1259"/>
        <v/>
      </c>
      <c r="AQ3270" t="str">
        <f t="shared" si="1260"/>
        <v/>
      </c>
      <c r="AR3270" t="str">
        <f t="shared" si="1261"/>
        <v/>
      </c>
      <c r="AS3270" t="str">
        <f t="shared" si="1262"/>
        <v>G2</v>
      </c>
      <c r="AT3270" t="str">
        <f t="shared" si="1263"/>
        <v/>
      </c>
      <c r="AU3270" t="str">
        <f t="shared" si="1264"/>
        <v>E1aG2</v>
      </c>
      <c r="AV3270" s="203" t="str">
        <f t="shared" si="1265"/>
        <v>BiK270E1aG2-73</v>
      </c>
      <c r="AW3270">
        <f t="shared" si="1266"/>
        <v>14</v>
      </c>
      <c r="AX3270" t="str">
        <f t="shared" si="1267"/>
        <v>0-0,15 MW, Bonusregeln E1a, G2</v>
      </c>
    </row>
    <row r="3271" spans="1:50" x14ac:dyDescent="0.35">
      <c r="A3271" s="502" t="str">
        <f t="shared" si="1246"/>
        <v>BiK270E2aG2-14</v>
      </c>
      <c r="B3271" s="301" t="s">
        <v>5547</v>
      </c>
      <c r="C3271" s="301" t="str">
        <f t="shared" si="1247"/>
        <v>Inbetriebnahme 2014</v>
      </c>
      <c r="D3271" s="301" t="str">
        <f t="shared" si="1248"/>
        <v>0-0,15 MW, Bonusregeln E2a, G2</v>
      </c>
      <c r="E3271" s="301"/>
      <c r="F3271" s="377">
        <f t="shared" si="1249"/>
        <v>23.65</v>
      </c>
      <c r="G3271" s="429">
        <v>23.65</v>
      </c>
      <c r="H3271" s="303">
        <f t="shared" si="1250"/>
        <v>18.920000000000002</v>
      </c>
      <c r="I3271" s="579"/>
      <c r="J3271" s="549" t="s">
        <v>5804</v>
      </c>
      <c r="K3271" s="11"/>
      <c r="L3271" s="55" t="str">
        <f t="shared" si="1251"/>
        <v/>
      </c>
      <c r="M3271" s="315">
        <f t="shared" si="1252"/>
        <v>23.65</v>
      </c>
      <c r="N3271" s="29">
        <f t="shared" si="1253"/>
        <v>13.733720000000002</v>
      </c>
      <c r="O3271" s="31"/>
      <c r="P3271" s="50"/>
      <c r="Q3271" s="50"/>
      <c r="R3271" s="50"/>
      <c r="S3271" s="31" t="s">
        <v>1017</v>
      </c>
      <c r="T3271" s="22"/>
      <c r="U3271" s="50"/>
      <c r="V3271" s="31"/>
      <c r="W3271" s="22" t="s">
        <v>1017</v>
      </c>
      <c r="X3271" s="38"/>
      <c r="AH3271" s="22" t="s">
        <v>1780</v>
      </c>
      <c r="AK3271" t="str">
        <f t="shared" si="1254"/>
        <v/>
      </c>
      <c r="AL3271" t="str">
        <f t="shared" si="1255"/>
        <v/>
      </c>
      <c r="AM3271" t="str">
        <f t="shared" si="1256"/>
        <v/>
      </c>
      <c r="AN3271" t="str">
        <f t="shared" si="1257"/>
        <v/>
      </c>
      <c r="AO3271" t="str">
        <f t="shared" si="1258"/>
        <v>E2a</v>
      </c>
      <c r="AP3271" t="str">
        <f t="shared" si="1259"/>
        <v/>
      </c>
      <c r="AQ3271" t="str">
        <f t="shared" si="1260"/>
        <v/>
      </c>
      <c r="AR3271" t="str">
        <f t="shared" si="1261"/>
        <v/>
      </c>
      <c r="AS3271" t="str">
        <f t="shared" si="1262"/>
        <v>G2</v>
      </c>
      <c r="AT3271" t="str">
        <f t="shared" si="1263"/>
        <v/>
      </c>
      <c r="AU3271" t="str">
        <f t="shared" si="1264"/>
        <v>E2aG2</v>
      </c>
      <c r="AV3271" s="203" t="str">
        <f t="shared" si="1265"/>
        <v>BiK270E2aG2-73</v>
      </c>
      <c r="AW3271">
        <f t="shared" si="1266"/>
        <v>14</v>
      </c>
      <c r="AX3271" t="str">
        <f t="shared" si="1267"/>
        <v>0-0,15 MW, Bonusregeln E2a, G2</v>
      </c>
    </row>
    <row r="3272" spans="1:50" x14ac:dyDescent="0.35">
      <c r="A3272" s="502" t="str">
        <f t="shared" si="1246"/>
        <v>BiK270E2bG2-14</v>
      </c>
      <c r="B3272" s="301" t="s">
        <v>5547</v>
      </c>
      <c r="C3272" s="301" t="str">
        <f t="shared" si="1247"/>
        <v>Inbetriebnahme 2014</v>
      </c>
      <c r="D3272" s="301" t="str">
        <f t="shared" si="1248"/>
        <v>0-0,15 MW, Bonusregeln E2b, G2</v>
      </c>
      <c r="E3272" s="301"/>
      <c r="F3272" s="377">
        <f t="shared" si="1249"/>
        <v>23.65</v>
      </c>
      <c r="G3272" s="429">
        <v>23.65</v>
      </c>
      <c r="H3272" s="303">
        <f t="shared" si="1250"/>
        <v>18.920000000000002</v>
      </c>
      <c r="I3272" s="579"/>
      <c r="J3272" s="549" t="s">
        <v>5804</v>
      </c>
      <c r="K3272" s="11"/>
      <c r="L3272" s="55" t="str">
        <f t="shared" si="1251"/>
        <v/>
      </c>
      <c r="M3272" s="315">
        <f t="shared" si="1252"/>
        <v>23.65</v>
      </c>
      <c r="N3272" s="29">
        <f t="shared" si="1253"/>
        <v>13.733720000000002</v>
      </c>
      <c r="O3272" s="31"/>
      <c r="P3272" s="50"/>
      <c r="Q3272" s="50"/>
      <c r="R3272" s="50"/>
      <c r="S3272" s="31"/>
      <c r="T3272" s="22" t="s">
        <v>1017</v>
      </c>
      <c r="U3272" s="50"/>
      <c r="V3272" s="31"/>
      <c r="W3272" s="22" t="s">
        <v>1017</v>
      </c>
      <c r="X3272" s="38"/>
      <c r="AH3272" s="22" t="s">
        <v>1780</v>
      </c>
      <c r="AK3272" t="str">
        <f t="shared" si="1254"/>
        <v/>
      </c>
      <c r="AL3272" t="str">
        <f t="shared" si="1255"/>
        <v/>
      </c>
      <c r="AM3272" t="str">
        <f t="shared" si="1256"/>
        <v/>
      </c>
      <c r="AN3272" t="str">
        <f t="shared" si="1257"/>
        <v/>
      </c>
      <c r="AO3272" t="str">
        <f t="shared" si="1258"/>
        <v/>
      </c>
      <c r="AP3272" t="str">
        <f t="shared" si="1259"/>
        <v>E2b</v>
      </c>
      <c r="AQ3272" t="str">
        <f t="shared" si="1260"/>
        <v/>
      </c>
      <c r="AR3272" t="str">
        <f t="shared" si="1261"/>
        <v/>
      </c>
      <c r="AS3272" t="str">
        <f t="shared" si="1262"/>
        <v>G2</v>
      </c>
      <c r="AT3272" t="str">
        <f t="shared" si="1263"/>
        <v/>
      </c>
      <c r="AU3272" t="str">
        <f t="shared" si="1264"/>
        <v>E2bG2</v>
      </c>
      <c r="AV3272" s="203" t="str">
        <f t="shared" si="1265"/>
        <v>BiK270E2bG2-73</v>
      </c>
      <c r="AW3272">
        <f t="shared" si="1266"/>
        <v>14</v>
      </c>
      <c r="AX3272" t="str">
        <f t="shared" si="1267"/>
        <v>0-0,15 MW, Bonusregeln E2b, G2</v>
      </c>
    </row>
    <row r="3273" spans="1:50" x14ac:dyDescent="0.35">
      <c r="A3273" s="502" t="str">
        <f t="shared" si="1246"/>
        <v>BiK270G3----14</v>
      </c>
      <c r="B3273" s="301" t="s">
        <v>5547</v>
      </c>
      <c r="C3273" s="301" t="str">
        <f t="shared" si="1247"/>
        <v>Inbetriebnahme 2014</v>
      </c>
      <c r="D3273" s="301" t="str">
        <f t="shared" si="1248"/>
        <v>0-0,15 MW, Bonusregel G3</v>
      </c>
      <c r="E3273" s="301"/>
      <c r="F3273" s="377">
        <f t="shared" si="1249"/>
        <v>14.690000000000001</v>
      </c>
      <c r="G3273" s="429">
        <v>14.690000000000001</v>
      </c>
      <c r="H3273" s="303">
        <f t="shared" si="1250"/>
        <v>11.75</v>
      </c>
      <c r="I3273" s="579"/>
      <c r="J3273" s="549" t="s">
        <v>5804</v>
      </c>
      <c r="K3273" s="11"/>
      <c r="L3273" s="55" t="str">
        <f t="shared" si="1251"/>
        <v/>
      </c>
      <c r="M3273" s="315">
        <f t="shared" si="1252"/>
        <v>14.690000000000001</v>
      </c>
      <c r="N3273" s="29">
        <f t="shared" si="1253"/>
        <v>13.733720000000002</v>
      </c>
      <c r="O3273" s="31"/>
      <c r="P3273" s="50"/>
      <c r="Q3273" s="50"/>
      <c r="R3273" s="50"/>
      <c r="S3273" s="31"/>
      <c r="T3273" s="22"/>
      <c r="U3273" s="50"/>
      <c r="V3273" s="31"/>
      <c r="W3273" s="22"/>
      <c r="X3273" s="38" t="s">
        <v>1017</v>
      </c>
      <c r="AH3273" s="22" t="s">
        <v>1780</v>
      </c>
      <c r="AK3273" t="str">
        <f t="shared" si="1254"/>
        <v/>
      </c>
      <c r="AL3273" t="str">
        <f t="shared" si="1255"/>
        <v/>
      </c>
      <c r="AM3273" t="str">
        <f t="shared" si="1256"/>
        <v/>
      </c>
      <c r="AN3273" t="str">
        <f t="shared" si="1257"/>
        <v/>
      </c>
      <c r="AO3273" t="str">
        <f t="shared" si="1258"/>
        <v/>
      </c>
      <c r="AP3273" t="str">
        <f t="shared" si="1259"/>
        <v/>
      </c>
      <c r="AQ3273" t="str">
        <f t="shared" si="1260"/>
        <v/>
      </c>
      <c r="AR3273" t="str">
        <f t="shared" si="1261"/>
        <v/>
      </c>
      <c r="AS3273" t="str">
        <f t="shared" si="1262"/>
        <v/>
      </c>
      <c r="AT3273" t="str">
        <f t="shared" si="1263"/>
        <v>G3</v>
      </c>
      <c r="AU3273" t="str">
        <f t="shared" si="1264"/>
        <v>G3</v>
      </c>
      <c r="AV3273" s="203" t="str">
        <f t="shared" si="1265"/>
        <v>BiK270G3----73</v>
      </c>
      <c r="AW3273">
        <f t="shared" si="1266"/>
        <v>14</v>
      </c>
      <c r="AX3273" t="str">
        <f t="shared" si="1267"/>
        <v>0-0,15 MW, Bonusregel G3</v>
      </c>
    </row>
    <row r="3274" spans="1:50" x14ac:dyDescent="0.35">
      <c r="A3274" s="502" t="str">
        <f t="shared" si="1246"/>
        <v>BiK270E1aG3-14</v>
      </c>
      <c r="B3274" s="301" t="s">
        <v>5547</v>
      </c>
      <c r="C3274" s="301" t="str">
        <f t="shared" si="1247"/>
        <v>Inbetriebnahme 2014</v>
      </c>
      <c r="D3274" s="301" t="str">
        <f t="shared" si="1248"/>
        <v>0-0,15 MW, Bonusregeln E1a, G3</v>
      </c>
      <c r="E3274" s="301"/>
      <c r="F3274" s="377">
        <f t="shared" si="1249"/>
        <v>20.69</v>
      </c>
      <c r="G3274" s="429">
        <v>20.69</v>
      </c>
      <c r="H3274" s="303">
        <f t="shared" si="1250"/>
        <v>16.55</v>
      </c>
      <c r="I3274" s="579"/>
      <c r="J3274" s="549" t="s">
        <v>5804</v>
      </c>
      <c r="K3274" s="11"/>
      <c r="L3274" s="55" t="str">
        <f t="shared" si="1251"/>
        <v/>
      </c>
      <c r="M3274" s="315">
        <f t="shared" si="1252"/>
        <v>20.69</v>
      </c>
      <c r="N3274" s="29">
        <f t="shared" si="1253"/>
        <v>13.733720000000002</v>
      </c>
      <c r="O3274" s="31" t="s">
        <v>1017</v>
      </c>
      <c r="P3274" s="50"/>
      <c r="Q3274" s="50"/>
      <c r="R3274" s="50"/>
      <c r="S3274" s="31"/>
      <c r="T3274" s="22"/>
      <c r="U3274" s="50"/>
      <c r="V3274" s="31"/>
      <c r="W3274" s="22"/>
      <c r="X3274" s="38" t="s">
        <v>1017</v>
      </c>
      <c r="AH3274" s="22" t="s">
        <v>1780</v>
      </c>
      <c r="AK3274" t="str">
        <f t="shared" si="1254"/>
        <v>E1a</v>
      </c>
      <c r="AL3274" t="str">
        <f t="shared" si="1255"/>
        <v/>
      </c>
      <c r="AM3274" t="str">
        <f t="shared" si="1256"/>
        <v/>
      </c>
      <c r="AN3274" t="str">
        <f t="shared" si="1257"/>
        <v/>
      </c>
      <c r="AO3274" t="str">
        <f t="shared" si="1258"/>
        <v/>
      </c>
      <c r="AP3274" t="str">
        <f t="shared" si="1259"/>
        <v/>
      </c>
      <c r="AQ3274" t="str">
        <f t="shared" si="1260"/>
        <v/>
      </c>
      <c r="AR3274" t="str">
        <f t="shared" si="1261"/>
        <v/>
      </c>
      <c r="AS3274" t="str">
        <f t="shared" si="1262"/>
        <v/>
      </c>
      <c r="AT3274" t="str">
        <f t="shared" si="1263"/>
        <v>G3</v>
      </c>
      <c r="AU3274" t="str">
        <f t="shared" si="1264"/>
        <v>E1aG3</v>
      </c>
      <c r="AV3274" s="203" t="str">
        <f t="shared" si="1265"/>
        <v>BiK270E1aG3-73</v>
      </c>
      <c r="AW3274">
        <f t="shared" si="1266"/>
        <v>14</v>
      </c>
      <c r="AX3274" t="str">
        <f t="shared" si="1267"/>
        <v>0-0,15 MW, Bonusregeln E1a, G3</v>
      </c>
    </row>
    <row r="3275" spans="1:50" x14ac:dyDescent="0.35">
      <c r="A3275" s="502" t="str">
        <f t="shared" si="1246"/>
        <v>BiK270E2aG3-14</v>
      </c>
      <c r="B3275" s="301" t="s">
        <v>5547</v>
      </c>
      <c r="C3275" s="301" t="str">
        <f t="shared" si="1247"/>
        <v>Inbetriebnahme 2014</v>
      </c>
      <c r="D3275" s="301" t="str">
        <f t="shared" si="1248"/>
        <v>0-0,15 MW, Bonusregeln E2a, G3</v>
      </c>
      <c r="E3275" s="301"/>
      <c r="F3275" s="377">
        <f t="shared" si="1249"/>
        <v>22.69</v>
      </c>
      <c r="G3275" s="429">
        <v>22.69</v>
      </c>
      <c r="H3275" s="303">
        <f t="shared" si="1250"/>
        <v>18.149999999999999</v>
      </c>
      <c r="I3275" s="579"/>
      <c r="J3275" s="549" t="s">
        <v>5804</v>
      </c>
      <c r="K3275" s="11"/>
      <c r="L3275" s="55" t="str">
        <f t="shared" si="1251"/>
        <v/>
      </c>
      <c r="M3275" s="315">
        <f t="shared" si="1252"/>
        <v>22.69</v>
      </c>
      <c r="N3275" s="29">
        <f t="shared" si="1253"/>
        <v>13.733720000000002</v>
      </c>
      <c r="O3275" s="31"/>
      <c r="P3275" s="50"/>
      <c r="Q3275" s="50"/>
      <c r="R3275" s="50"/>
      <c r="S3275" s="31" t="s">
        <v>1017</v>
      </c>
      <c r="T3275" s="22"/>
      <c r="U3275" s="50"/>
      <c r="V3275" s="31"/>
      <c r="W3275" s="22"/>
      <c r="X3275" s="38" t="s">
        <v>1017</v>
      </c>
      <c r="AH3275" s="22" t="s">
        <v>1780</v>
      </c>
      <c r="AK3275" t="str">
        <f t="shared" si="1254"/>
        <v/>
      </c>
      <c r="AL3275" t="str">
        <f t="shared" si="1255"/>
        <v/>
      </c>
      <c r="AM3275" t="str">
        <f t="shared" si="1256"/>
        <v/>
      </c>
      <c r="AN3275" t="str">
        <f t="shared" si="1257"/>
        <v/>
      </c>
      <c r="AO3275" t="str">
        <f t="shared" si="1258"/>
        <v>E2a</v>
      </c>
      <c r="AP3275" t="str">
        <f t="shared" si="1259"/>
        <v/>
      </c>
      <c r="AQ3275" t="str">
        <f t="shared" si="1260"/>
        <v/>
      </c>
      <c r="AR3275" t="str">
        <f t="shared" si="1261"/>
        <v/>
      </c>
      <c r="AS3275" t="str">
        <f t="shared" si="1262"/>
        <v/>
      </c>
      <c r="AT3275" t="str">
        <f t="shared" si="1263"/>
        <v>G3</v>
      </c>
      <c r="AU3275" t="str">
        <f t="shared" si="1264"/>
        <v>E2aG3</v>
      </c>
      <c r="AV3275" s="203" t="str">
        <f t="shared" si="1265"/>
        <v>BiK270E2aG3-73</v>
      </c>
      <c r="AW3275">
        <f t="shared" si="1266"/>
        <v>14</v>
      </c>
      <c r="AX3275" t="str">
        <f t="shared" si="1267"/>
        <v>0-0,15 MW, Bonusregeln E2a, G3</v>
      </c>
    </row>
    <row r="3276" spans="1:50" x14ac:dyDescent="0.35">
      <c r="A3276" s="502" t="str">
        <f t="shared" si="1246"/>
        <v>BiK270E2bG3-14</v>
      </c>
      <c r="B3276" s="301" t="s">
        <v>5547</v>
      </c>
      <c r="C3276" s="301" t="str">
        <f t="shared" si="1247"/>
        <v>Inbetriebnahme 2014</v>
      </c>
      <c r="D3276" s="301" t="str">
        <f t="shared" si="1248"/>
        <v>0-0,15 MW, Bonusregeln E2b, G3</v>
      </c>
      <c r="E3276" s="301"/>
      <c r="F3276" s="377">
        <f t="shared" si="1249"/>
        <v>22.69</v>
      </c>
      <c r="G3276" s="429">
        <v>22.69</v>
      </c>
      <c r="H3276" s="303">
        <f t="shared" si="1250"/>
        <v>18.149999999999999</v>
      </c>
      <c r="I3276" s="579"/>
      <c r="J3276" s="549" t="s">
        <v>5804</v>
      </c>
      <c r="K3276" s="11"/>
      <c r="L3276" s="55" t="str">
        <f t="shared" si="1251"/>
        <v/>
      </c>
      <c r="M3276" s="315">
        <f t="shared" si="1252"/>
        <v>22.69</v>
      </c>
      <c r="N3276" s="29">
        <f t="shared" si="1253"/>
        <v>13.733720000000002</v>
      </c>
      <c r="O3276" s="22"/>
      <c r="P3276" s="50"/>
      <c r="Q3276" s="50"/>
      <c r="R3276" s="50"/>
      <c r="S3276" s="22"/>
      <c r="T3276" s="22" t="s">
        <v>1017</v>
      </c>
      <c r="U3276" s="50"/>
      <c r="V3276" s="31"/>
      <c r="W3276" s="22"/>
      <c r="X3276" s="38" t="s">
        <v>1017</v>
      </c>
      <c r="AH3276" s="22" t="s">
        <v>1780</v>
      </c>
      <c r="AK3276" t="str">
        <f t="shared" si="1254"/>
        <v/>
      </c>
      <c r="AL3276" t="str">
        <f t="shared" si="1255"/>
        <v/>
      </c>
      <c r="AM3276" t="str">
        <f t="shared" si="1256"/>
        <v/>
      </c>
      <c r="AN3276" t="str">
        <f t="shared" si="1257"/>
        <v/>
      </c>
      <c r="AO3276" t="str">
        <f t="shared" si="1258"/>
        <v/>
      </c>
      <c r="AP3276" t="str">
        <f t="shared" si="1259"/>
        <v>E2b</v>
      </c>
      <c r="AQ3276" t="str">
        <f t="shared" si="1260"/>
        <v/>
      </c>
      <c r="AR3276" t="str">
        <f t="shared" si="1261"/>
        <v/>
      </c>
      <c r="AS3276" t="str">
        <f t="shared" si="1262"/>
        <v/>
      </c>
      <c r="AT3276" t="str">
        <f t="shared" si="1263"/>
        <v>G3</v>
      </c>
      <c r="AU3276" t="str">
        <f t="shared" si="1264"/>
        <v>E2bG3</v>
      </c>
      <c r="AV3276" s="203" t="str">
        <f t="shared" si="1265"/>
        <v>BiK270E2bG3-73</v>
      </c>
      <c r="AW3276">
        <f t="shared" si="1266"/>
        <v>14</v>
      </c>
      <c r="AX3276" t="str">
        <f t="shared" si="1267"/>
        <v>0-0,15 MW, Bonusregeln E2b, G3</v>
      </c>
    </row>
    <row r="3277" spans="1:50" x14ac:dyDescent="0.35">
      <c r="A3277" s="502" t="str">
        <f t="shared" ref="A3277:A3292" si="1268">"BiK271"&amp;AU3277&amp;RIGHT("------",6-LEN(AU3277))&amp;RIGHT($M$3260,2)</f>
        <v>BiK271------14</v>
      </c>
      <c r="B3277" s="301" t="s">
        <v>5547</v>
      </c>
      <c r="C3277" s="301" t="str">
        <f t="shared" si="1247"/>
        <v>Inbetriebnahme 2014</v>
      </c>
      <c r="D3277" s="301" t="str">
        <f t="shared" si="1248"/>
        <v>0,15-0,5 MW</v>
      </c>
      <c r="E3277" s="301"/>
      <c r="F3277" s="377">
        <f t="shared" si="1249"/>
        <v>11.81</v>
      </c>
      <c r="G3277" s="429">
        <v>11.81</v>
      </c>
      <c r="H3277" s="303">
        <f t="shared" si="1250"/>
        <v>9.4499999999999993</v>
      </c>
      <c r="I3277" s="579"/>
      <c r="J3277" s="549" t="s">
        <v>5804</v>
      </c>
      <c r="K3277" s="11"/>
      <c r="L3277" s="55" t="str">
        <f t="shared" si="1251"/>
        <v/>
      </c>
      <c r="M3277" s="315">
        <f t="shared" si="1252"/>
        <v>11.81</v>
      </c>
      <c r="N3277" s="29">
        <f t="shared" si="1253"/>
        <v>11.81292</v>
      </c>
      <c r="O3277" s="31"/>
      <c r="P3277" s="50"/>
      <c r="Q3277" s="50"/>
      <c r="R3277" s="50"/>
      <c r="S3277" s="31"/>
      <c r="T3277" s="22"/>
      <c r="U3277" s="50"/>
      <c r="V3277" s="31"/>
      <c r="W3277" s="22"/>
      <c r="X3277" s="38"/>
      <c r="AH3277" s="22" t="s">
        <v>1779</v>
      </c>
      <c r="AK3277" t="str">
        <f t="shared" si="1254"/>
        <v/>
      </c>
      <c r="AL3277" t="str">
        <f t="shared" si="1255"/>
        <v/>
      </c>
      <c r="AM3277" t="str">
        <f t="shared" si="1256"/>
        <v/>
      </c>
      <c r="AN3277" t="str">
        <f t="shared" si="1257"/>
        <v/>
      </c>
      <c r="AO3277" t="str">
        <f t="shared" si="1258"/>
        <v/>
      </c>
      <c r="AP3277" t="str">
        <f t="shared" si="1259"/>
        <v/>
      </c>
      <c r="AQ3277" t="str">
        <f t="shared" si="1260"/>
        <v/>
      </c>
      <c r="AR3277" t="str">
        <f t="shared" si="1261"/>
        <v/>
      </c>
      <c r="AS3277" t="str">
        <f t="shared" si="1262"/>
        <v/>
      </c>
      <c r="AT3277" t="str">
        <f t="shared" si="1263"/>
        <v/>
      </c>
      <c r="AU3277" t="str">
        <f t="shared" si="1264"/>
        <v/>
      </c>
      <c r="AV3277" s="203" t="str">
        <f t="shared" ref="AV3277:AV3292" si="1269">"BiK271"&amp;AU3277&amp;RIGHT("------",6-LEN(AU3277))&amp;RIGHT($M$3093,2)</f>
        <v>BiK271------73</v>
      </c>
      <c r="AW3277">
        <f t="shared" si="1266"/>
        <v>14</v>
      </c>
      <c r="AX3277" t="str">
        <f t="shared" si="1267"/>
        <v>0,15-0,5 MW</v>
      </c>
    </row>
    <row r="3278" spans="1:50" x14ac:dyDescent="0.35">
      <c r="A3278" s="502" t="str">
        <f t="shared" si="1268"/>
        <v>BiK271E1a---14</v>
      </c>
      <c r="B3278" s="301" t="s">
        <v>5547</v>
      </c>
      <c r="C3278" s="301" t="str">
        <f t="shared" si="1247"/>
        <v>Inbetriebnahme 2014</v>
      </c>
      <c r="D3278" s="301" t="str">
        <f t="shared" si="1248"/>
        <v>0,15-0,5 MW, Bonusregel E1a</v>
      </c>
      <c r="E3278" s="301"/>
      <c r="F3278" s="377">
        <f t="shared" si="1249"/>
        <v>17.810000000000002</v>
      </c>
      <c r="G3278" s="429">
        <v>17.810000000000002</v>
      </c>
      <c r="H3278" s="303">
        <f t="shared" si="1250"/>
        <v>14.25</v>
      </c>
      <c r="I3278" s="579"/>
      <c r="J3278" s="549" t="s">
        <v>5804</v>
      </c>
      <c r="K3278" s="11"/>
      <c r="L3278" s="55" t="str">
        <f t="shared" si="1251"/>
        <v/>
      </c>
      <c r="M3278" s="315">
        <f t="shared" si="1252"/>
        <v>17.810000000000002</v>
      </c>
      <c r="N3278" s="29">
        <f t="shared" si="1253"/>
        <v>11.81292</v>
      </c>
      <c r="O3278" s="31" t="s">
        <v>1017</v>
      </c>
      <c r="P3278" s="50"/>
      <c r="Q3278" s="50"/>
      <c r="R3278" s="50"/>
      <c r="S3278" s="31"/>
      <c r="T3278" s="22"/>
      <c r="U3278" s="50"/>
      <c r="V3278" s="31"/>
      <c r="W3278" s="22"/>
      <c r="X3278" s="38"/>
      <c r="AH3278" s="22" t="s">
        <v>1779</v>
      </c>
      <c r="AK3278" t="str">
        <f t="shared" si="1254"/>
        <v>E1a</v>
      </c>
      <c r="AL3278" t="str">
        <f t="shared" si="1255"/>
        <v/>
      </c>
      <c r="AM3278" t="str">
        <f t="shared" si="1256"/>
        <v/>
      </c>
      <c r="AN3278" t="str">
        <f t="shared" si="1257"/>
        <v/>
      </c>
      <c r="AO3278" t="str">
        <f t="shared" si="1258"/>
        <v/>
      </c>
      <c r="AP3278" t="str">
        <f t="shared" si="1259"/>
        <v/>
      </c>
      <c r="AQ3278" t="str">
        <f t="shared" si="1260"/>
        <v/>
      </c>
      <c r="AR3278" t="str">
        <f t="shared" si="1261"/>
        <v/>
      </c>
      <c r="AS3278" t="str">
        <f t="shared" si="1262"/>
        <v/>
      </c>
      <c r="AT3278" t="str">
        <f t="shared" si="1263"/>
        <v/>
      </c>
      <c r="AU3278" t="str">
        <f t="shared" si="1264"/>
        <v>E1a</v>
      </c>
      <c r="AV3278" s="203" t="str">
        <f t="shared" si="1269"/>
        <v>BiK271E1a---73</v>
      </c>
      <c r="AW3278">
        <f t="shared" si="1266"/>
        <v>14</v>
      </c>
      <c r="AX3278" t="str">
        <f t="shared" si="1267"/>
        <v>0,15-0,5 MW, Bonusregel E1a</v>
      </c>
    </row>
    <row r="3279" spans="1:50" x14ac:dyDescent="0.35">
      <c r="A3279" s="502" t="str">
        <f t="shared" si="1268"/>
        <v>BiK271E2a---14</v>
      </c>
      <c r="B3279" s="301" t="s">
        <v>5547</v>
      </c>
      <c r="C3279" s="301" t="str">
        <f t="shared" si="1247"/>
        <v>Inbetriebnahme 2014</v>
      </c>
      <c r="D3279" s="301" t="str">
        <f t="shared" si="1248"/>
        <v>0,15-0,5 MW, Bonusregel E2a</v>
      </c>
      <c r="E3279" s="301"/>
      <c r="F3279" s="377">
        <f t="shared" si="1249"/>
        <v>19.810000000000002</v>
      </c>
      <c r="G3279" s="429">
        <v>19.810000000000002</v>
      </c>
      <c r="H3279" s="303">
        <f t="shared" si="1250"/>
        <v>15.85</v>
      </c>
      <c r="I3279" s="579"/>
      <c r="J3279" s="549" t="s">
        <v>5804</v>
      </c>
      <c r="K3279" s="11"/>
      <c r="L3279" s="55" t="str">
        <f t="shared" si="1251"/>
        <v/>
      </c>
      <c r="M3279" s="315">
        <f t="shared" si="1252"/>
        <v>19.810000000000002</v>
      </c>
      <c r="N3279" s="29">
        <f t="shared" si="1253"/>
        <v>11.81292</v>
      </c>
      <c r="O3279" s="31"/>
      <c r="P3279" s="50"/>
      <c r="Q3279" s="50"/>
      <c r="R3279" s="50"/>
      <c r="S3279" s="31" t="s">
        <v>1017</v>
      </c>
      <c r="T3279" s="22"/>
      <c r="U3279" s="50"/>
      <c r="V3279" s="31"/>
      <c r="W3279" s="22"/>
      <c r="X3279" s="38"/>
      <c r="AH3279" s="22" t="s">
        <v>1779</v>
      </c>
      <c r="AK3279" t="str">
        <f t="shared" si="1254"/>
        <v/>
      </c>
      <c r="AL3279" t="str">
        <f t="shared" si="1255"/>
        <v/>
      </c>
      <c r="AM3279" t="str">
        <f t="shared" si="1256"/>
        <v/>
      </c>
      <c r="AN3279" t="str">
        <f t="shared" si="1257"/>
        <v/>
      </c>
      <c r="AO3279" t="str">
        <f t="shared" si="1258"/>
        <v>E2a</v>
      </c>
      <c r="AP3279" t="str">
        <f t="shared" si="1259"/>
        <v/>
      </c>
      <c r="AQ3279" t="str">
        <f t="shared" si="1260"/>
        <v/>
      </c>
      <c r="AR3279" t="str">
        <f t="shared" si="1261"/>
        <v/>
      </c>
      <c r="AS3279" t="str">
        <f t="shared" si="1262"/>
        <v/>
      </c>
      <c r="AT3279" t="str">
        <f t="shared" si="1263"/>
        <v/>
      </c>
      <c r="AU3279" t="str">
        <f t="shared" si="1264"/>
        <v>E2a</v>
      </c>
      <c r="AV3279" s="203" t="str">
        <f t="shared" si="1269"/>
        <v>BiK271E2a---73</v>
      </c>
      <c r="AW3279">
        <f t="shared" si="1266"/>
        <v>14</v>
      </c>
      <c r="AX3279" t="str">
        <f t="shared" si="1267"/>
        <v>0,15-0,5 MW, Bonusregel E2a</v>
      </c>
    </row>
    <row r="3280" spans="1:50" x14ac:dyDescent="0.35">
      <c r="A3280" s="502" t="str">
        <f t="shared" si="1268"/>
        <v>BiK271E2b---14</v>
      </c>
      <c r="B3280" s="301" t="s">
        <v>5547</v>
      </c>
      <c r="C3280" s="301" t="str">
        <f t="shared" si="1247"/>
        <v>Inbetriebnahme 2014</v>
      </c>
      <c r="D3280" s="301" t="str">
        <f t="shared" si="1248"/>
        <v>0,15-0,5 MW, Bonusregel E2b</v>
      </c>
      <c r="E3280" s="301"/>
      <c r="F3280" s="377">
        <f t="shared" si="1249"/>
        <v>19.810000000000002</v>
      </c>
      <c r="G3280" s="429">
        <v>19.810000000000002</v>
      </c>
      <c r="H3280" s="303">
        <f t="shared" si="1250"/>
        <v>15.85</v>
      </c>
      <c r="I3280" s="579"/>
      <c r="J3280" s="549" t="s">
        <v>5804</v>
      </c>
      <c r="K3280" s="11"/>
      <c r="L3280" s="55" t="str">
        <f t="shared" si="1251"/>
        <v/>
      </c>
      <c r="M3280" s="315">
        <f t="shared" si="1252"/>
        <v>19.810000000000002</v>
      </c>
      <c r="N3280" s="29">
        <f t="shared" si="1253"/>
        <v>11.81292</v>
      </c>
      <c r="O3280" s="31"/>
      <c r="P3280" s="50"/>
      <c r="Q3280" s="50"/>
      <c r="R3280" s="50"/>
      <c r="S3280" s="31"/>
      <c r="T3280" s="22" t="s">
        <v>1017</v>
      </c>
      <c r="U3280" s="50"/>
      <c r="V3280" s="31"/>
      <c r="W3280" s="22"/>
      <c r="X3280" s="38"/>
      <c r="AH3280" s="22" t="s">
        <v>1779</v>
      </c>
      <c r="AK3280" t="str">
        <f t="shared" si="1254"/>
        <v/>
      </c>
      <c r="AL3280" t="str">
        <f t="shared" si="1255"/>
        <v/>
      </c>
      <c r="AM3280" t="str">
        <f t="shared" si="1256"/>
        <v/>
      </c>
      <c r="AN3280" t="str">
        <f t="shared" si="1257"/>
        <v/>
      </c>
      <c r="AO3280" t="str">
        <f t="shared" si="1258"/>
        <v/>
      </c>
      <c r="AP3280" t="str">
        <f t="shared" si="1259"/>
        <v>E2b</v>
      </c>
      <c r="AQ3280" t="str">
        <f t="shared" si="1260"/>
        <v/>
      </c>
      <c r="AR3280" t="str">
        <f t="shared" si="1261"/>
        <v/>
      </c>
      <c r="AS3280" t="str">
        <f t="shared" si="1262"/>
        <v/>
      </c>
      <c r="AT3280" t="str">
        <f t="shared" si="1263"/>
        <v/>
      </c>
      <c r="AU3280" t="str">
        <f t="shared" si="1264"/>
        <v>E2b</v>
      </c>
      <c r="AV3280" s="203" t="str">
        <f t="shared" si="1269"/>
        <v>BiK271E2b---73</v>
      </c>
      <c r="AW3280">
        <f t="shared" si="1266"/>
        <v>14</v>
      </c>
      <c r="AX3280" t="str">
        <f t="shared" si="1267"/>
        <v>0,15-0,5 MW, Bonusregel E2b</v>
      </c>
    </row>
    <row r="3281" spans="1:50" x14ac:dyDescent="0.35">
      <c r="A3281" s="502" t="str">
        <f t="shared" si="1268"/>
        <v>BiK271G1----14</v>
      </c>
      <c r="B3281" s="301" t="s">
        <v>5547</v>
      </c>
      <c r="C3281" s="301" t="str">
        <f t="shared" si="1247"/>
        <v>Inbetriebnahme 2014</v>
      </c>
      <c r="D3281" s="301" t="str">
        <f t="shared" si="1248"/>
        <v>0,15-0,5 MW, Bonusregel G1</v>
      </c>
      <c r="E3281" s="301"/>
      <c r="F3281" s="377">
        <f t="shared" si="1249"/>
        <v>14.690000000000001</v>
      </c>
      <c r="G3281" s="429">
        <v>14.690000000000001</v>
      </c>
      <c r="H3281" s="303">
        <f t="shared" si="1250"/>
        <v>11.75</v>
      </c>
      <c r="I3281" s="579"/>
      <c r="J3281" s="549" t="s">
        <v>5804</v>
      </c>
      <c r="K3281" s="11"/>
      <c r="L3281" s="55" t="str">
        <f t="shared" si="1251"/>
        <v/>
      </c>
      <c r="M3281" s="315">
        <f t="shared" si="1252"/>
        <v>14.690000000000001</v>
      </c>
      <c r="N3281" s="29">
        <f t="shared" si="1253"/>
        <v>11.81292</v>
      </c>
      <c r="O3281" s="31"/>
      <c r="P3281" s="50"/>
      <c r="Q3281" s="50"/>
      <c r="R3281" s="50"/>
      <c r="S3281" s="31"/>
      <c r="T3281" s="22"/>
      <c r="U3281" s="50"/>
      <c r="V3281" s="31" t="s">
        <v>1017</v>
      </c>
      <c r="W3281" s="22"/>
      <c r="X3281" s="38"/>
      <c r="AH3281" s="22" t="s">
        <v>1779</v>
      </c>
      <c r="AK3281" t="str">
        <f t="shared" si="1254"/>
        <v/>
      </c>
      <c r="AL3281" t="str">
        <f t="shared" si="1255"/>
        <v/>
      </c>
      <c r="AM3281" t="str">
        <f t="shared" si="1256"/>
        <v/>
      </c>
      <c r="AN3281" t="str">
        <f t="shared" si="1257"/>
        <v/>
      </c>
      <c r="AO3281" t="str">
        <f t="shared" si="1258"/>
        <v/>
      </c>
      <c r="AP3281" t="str">
        <f t="shared" si="1259"/>
        <v/>
      </c>
      <c r="AQ3281" t="str">
        <f t="shared" si="1260"/>
        <v/>
      </c>
      <c r="AR3281" t="str">
        <f t="shared" si="1261"/>
        <v>G1</v>
      </c>
      <c r="AS3281" t="str">
        <f t="shared" si="1262"/>
        <v/>
      </c>
      <c r="AT3281" t="str">
        <f t="shared" si="1263"/>
        <v/>
      </c>
      <c r="AU3281" t="str">
        <f t="shared" si="1264"/>
        <v>G1</v>
      </c>
      <c r="AV3281" s="203" t="str">
        <f t="shared" si="1269"/>
        <v>BiK271G1----73</v>
      </c>
      <c r="AW3281">
        <f t="shared" si="1266"/>
        <v>14</v>
      </c>
      <c r="AX3281" t="str">
        <f t="shared" si="1267"/>
        <v>0,15-0,5 MW, Bonusregel G1</v>
      </c>
    </row>
    <row r="3282" spans="1:50" x14ac:dyDescent="0.35">
      <c r="A3282" s="502" t="str">
        <f t="shared" si="1268"/>
        <v>BiK271E1aG1-14</v>
      </c>
      <c r="B3282" s="301" t="s">
        <v>5547</v>
      </c>
      <c r="C3282" s="301" t="str">
        <f t="shared" si="1247"/>
        <v>Inbetriebnahme 2014</v>
      </c>
      <c r="D3282" s="301" t="str">
        <f t="shared" si="1248"/>
        <v>0,15-0,5 MW, Bonusregeln E1a, G1</v>
      </c>
      <c r="E3282" s="301"/>
      <c r="F3282" s="377">
        <f t="shared" si="1249"/>
        <v>20.689999999999998</v>
      </c>
      <c r="G3282" s="429">
        <v>20.689999999999998</v>
      </c>
      <c r="H3282" s="303">
        <f t="shared" si="1250"/>
        <v>16.55</v>
      </c>
      <c r="I3282" s="579"/>
      <c r="J3282" s="549" t="s">
        <v>5804</v>
      </c>
      <c r="K3282" s="11"/>
      <c r="L3282" s="55" t="str">
        <f t="shared" si="1251"/>
        <v/>
      </c>
      <c r="M3282" s="315">
        <f t="shared" si="1252"/>
        <v>20.689999999999998</v>
      </c>
      <c r="N3282" s="29">
        <f t="shared" si="1253"/>
        <v>11.81292</v>
      </c>
      <c r="O3282" s="31" t="s">
        <v>1017</v>
      </c>
      <c r="P3282" s="50"/>
      <c r="Q3282" s="50"/>
      <c r="R3282" s="50"/>
      <c r="S3282" s="31"/>
      <c r="T3282" s="22"/>
      <c r="U3282" s="50"/>
      <c r="V3282" s="31" t="s">
        <v>1017</v>
      </c>
      <c r="W3282" s="22"/>
      <c r="X3282" s="38"/>
      <c r="AH3282" s="22" t="s">
        <v>1779</v>
      </c>
      <c r="AK3282" t="str">
        <f t="shared" si="1254"/>
        <v>E1a</v>
      </c>
      <c r="AL3282" t="str">
        <f t="shared" si="1255"/>
        <v/>
      </c>
      <c r="AM3282" t="str">
        <f t="shared" si="1256"/>
        <v/>
      </c>
      <c r="AN3282" t="str">
        <f t="shared" si="1257"/>
        <v/>
      </c>
      <c r="AO3282" t="str">
        <f t="shared" si="1258"/>
        <v/>
      </c>
      <c r="AP3282" t="str">
        <f t="shared" si="1259"/>
        <v/>
      </c>
      <c r="AQ3282" t="str">
        <f t="shared" si="1260"/>
        <v/>
      </c>
      <c r="AR3282" t="str">
        <f t="shared" si="1261"/>
        <v>G1</v>
      </c>
      <c r="AS3282" t="str">
        <f t="shared" si="1262"/>
        <v/>
      </c>
      <c r="AT3282" t="str">
        <f t="shared" si="1263"/>
        <v/>
      </c>
      <c r="AU3282" t="str">
        <f t="shared" si="1264"/>
        <v>E1aG1</v>
      </c>
      <c r="AV3282" s="203" t="str">
        <f t="shared" si="1269"/>
        <v>BiK271E1aG1-73</v>
      </c>
      <c r="AW3282">
        <f t="shared" si="1266"/>
        <v>14</v>
      </c>
      <c r="AX3282" t="str">
        <f t="shared" si="1267"/>
        <v>0,15-0,5 MW, Bonusregeln E1a, G1</v>
      </c>
    </row>
    <row r="3283" spans="1:50" x14ac:dyDescent="0.35">
      <c r="A3283" s="502" t="str">
        <f t="shared" si="1268"/>
        <v>BiK271E2aG1-14</v>
      </c>
      <c r="B3283" s="301" t="s">
        <v>5547</v>
      </c>
      <c r="C3283" s="301" t="str">
        <f t="shared" si="1247"/>
        <v>Inbetriebnahme 2014</v>
      </c>
      <c r="D3283" s="301" t="str">
        <f t="shared" si="1248"/>
        <v>0,15-0,5 MW, Bonusregeln E2a, G1</v>
      </c>
      <c r="E3283" s="301"/>
      <c r="F3283" s="377">
        <f t="shared" si="1249"/>
        <v>22.689999999999998</v>
      </c>
      <c r="G3283" s="429">
        <v>22.689999999999998</v>
      </c>
      <c r="H3283" s="303">
        <f t="shared" si="1250"/>
        <v>18.149999999999999</v>
      </c>
      <c r="I3283" s="579"/>
      <c r="J3283" s="549" t="s">
        <v>5804</v>
      </c>
      <c r="K3283" s="11"/>
      <c r="L3283" s="55" t="str">
        <f t="shared" si="1251"/>
        <v/>
      </c>
      <c r="M3283" s="315">
        <f t="shared" si="1252"/>
        <v>22.689999999999998</v>
      </c>
      <c r="N3283" s="29">
        <f t="shared" si="1253"/>
        <v>11.81292</v>
      </c>
      <c r="O3283" s="31"/>
      <c r="P3283" s="50"/>
      <c r="Q3283" s="50"/>
      <c r="R3283" s="50"/>
      <c r="S3283" s="31" t="s">
        <v>1017</v>
      </c>
      <c r="T3283" s="22"/>
      <c r="U3283" s="50"/>
      <c r="V3283" s="31" t="s">
        <v>1017</v>
      </c>
      <c r="W3283" s="22"/>
      <c r="X3283" s="38"/>
      <c r="AH3283" s="22" t="s">
        <v>1779</v>
      </c>
      <c r="AK3283" t="str">
        <f t="shared" si="1254"/>
        <v/>
      </c>
      <c r="AL3283" t="str">
        <f t="shared" si="1255"/>
        <v/>
      </c>
      <c r="AM3283" t="str">
        <f t="shared" si="1256"/>
        <v/>
      </c>
      <c r="AN3283" t="str">
        <f t="shared" si="1257"/>
        <v/>
      </c>
      <c r="AO3283" t="str">
        <f t="shared" si="1258"/>
        <v>E2a</v>
      </c>
      <c r="AP3283" t="str">
        <f t="shared" si="1259"/>
        <v/>
      </c>
      <c r="AQ3283" t="str">
        <f t="shared" si="1260"/>
        <v/>
      </c>
      <c r="AR3283" t="str">
        <f t="shared" si="1261"/>
        <v>G1</v>
      </c>
      <c r="AS3283" t="str">
        <f t="shared" si="1262"/>
        <v/>
      </c>
      <c r="AT3283" t="str">
        <f t="shared" si="1263"/>
        <v/>
      </c>
      <c r="AU3283" t="str">
        <f t="shared" si="1264"/>
        <v>E2aG1</v>
      </c>
      <c r="AV3283" s="203" t="str">
        <f t="shared" si="1269"/>
        <v>BiK271E2aG1-73</v>
      </c>
      <c r="AW3283">
        <f t="shared" si="1266"/>
        <v>14</v>
      </c>
      <c r="AX3283" t="str">
        <f t="shared" si="1267"/>
        <v>0,15-0,5 MW, Bonusregeln E2a, G1</v>
      </c>
    </row>
    <row r="3284" spans="1:50" x14ac:dyDescent="0.35">
      <c r="A3284" s="502" t="str">
        <f t="shared" si="1268"/>
        <v>BiK271E2bG1-14</v>
      </c>
      <c r="B3284" s="301" t="s">
        <v>5547</v>
      </c>
      <c r="C3284" s="301" t="str">
        <f t="shared" si="1247"/>
        <v>Inbetriebnahme 2014</v>
      </c>
      <c r="D3284" s="301" t="str">
        <f t="shared" si="1248"/>
        <v>0,15-0,5 MW, Bonusregeln E2b, G1</v>
      </c>
      <c r="E3284" s="301"/>
      <c r="F3284" s="377">
        <f t="shared" si="1249"/>
        <v>22.689999999999998</v>
      </c>
      <c r="G3284" s="429">
        <v>22.689999999999998</v>
      </c>
      <c r="H3284" s="303">
        <f t="shared" si="1250"/>
        <v>18.149999999999999</v>
      </c>
      <c r="I3284" s="579"/>
      <c r="J3284" s="549" t="s">
        <v>5804</v>
      </c>
      <c r="K3284" s="11"/>
      <c r="L3284" s="55" t="str">
        <f t="shared" si="1251"/>
        <v/>
      </c>
      <c r="M3284" s="315">
        <f t="shared" si="1252"/>
        <v>22.689999999999998</v>
      </c>
      <c r="N3284" s="29">
        <f t="shared" si="1253"/>
        <v>11.81292</v>
      </c>
      <c r="O3284" s="31"/>
      <c r="P3284" s="50"/>
      <c r="Q3284" s="50"/>
      <c r="R3284" s="50"/>
      <c r="S3284" s="31"/>
      <c r="T3284" s="22" t="s">
        <v>1017</v>
      </c>
      <c r="U3284" s="50"/>
      <c r="V3284" s="31" t="s">
        <v>1017</v>
      </c>
      <c r="W3284" s="22"/>
      <c r="X3284" s="38"/>
      <c r="AH3284" s="22" t="s">
        <v>1779</v>
      </c>
      <c r="AK3284" t="str">
        <f t="shared" si="1254"/>
        <v/>
      </c>
      <c r="AL3284" t="str">
        <f t="shared" si="1255"/>
        <v/>
      </c>
      <c r="AM3284" t="str">
        <f t="shared" si="1256"/>
        <v/>
      </c>
      <c r="AN3284" t="str">
        <f t="shared" si="1257"/>
        <v/>
      </c>
      <c r="AO3284" t="str">
        <f t="shared" si="1258"/>
        <v/>
      </c>
      <c r="AP3284" t="str">
        <f t="shared" si="1259"/>
        <v>E2b</v>
      </c>
      <c r="AQ3284" t="str">
        <f t="shared" si="1260"/>
        <v/>
      </c>
      <c r="AR3284" t="str">
        <f t="shared" si="1261"/>
        <v>G1</v>
      </c>
      <c r="AS3284" t="str">
        <f t="shared" si="1262"/>
        <v/>
      </c>
      <c r="AT3284" t="str">
        <f t="shared" si="1263"/>
        <v/>
      </c>
      <c r="AU3284" t="str">
        <f t="shared" si="1264"/>
        <v>E2bG1</v>
      </c>
      <c r="AV3284" s="203" t="str">
        <f t="shared" si="1269"/>
        <v>BiK271E2bG1-73</v>
      </c>
      <c r="AW3284">
        <f t="shared" si="1266"/>
        <v>14</v>
      </c>
      <c r="AX3284" t="str">
        <f t="shared" si="1267"/>
        <v>0,15-0,5 MW, Bonusregeln E2b, G1</v>
      </c>
    </row>
    <row r="3285" spans="1:50" x14ac:dyDescent="0.35">
      <c r="A3285" s="502" t="str">
        <f t="shared" si="1268"/>
        <v>BiK271G2----14</v>
      </c>
      <c r="B3285" s="301" t="s">
        <v>5547</v>
      </c>
      <c r="C3285" s="301" t="str">
        <f t="shared" si="1247"/>
        <v>Inbetriebnahme 2014</v>
      </c>
      <c r="D3285" s="301" t="str">
        <f t="shared" si="1248"/>
        <v>0,15-0,5 MW, Bonusregel G2</v>
      </c>
      <c r="E3285" s="301"/>
      <c r="F3285" s="377">
        <f t="shared" si="1249"/>
        <v>13.73</v>
      </c>
      <c r="G3285" s="429">
        <v>13.73</v>
      </c>
      <c r="H3285" s="303">
        <f t="shared" si="1250"/>
        <v>10.98</v>
      </c>
      <c r="I3285" s="579"/>
      <c r="J3285" s="549" t="s">
        <v>5804</v>
      </c>
      <c r="K3285" s="11"/>
      <c r="L3285" s="55" t="str">
        <f t="shared" si="1251"/>
        <v/>
      </c>
      <c r="M3285" s="315">
        <f t="shared" si="1252"/>
        <v>13.73</v>
      </c>
      <c r="N3285" s="29">
        <f t="shared" si="1253"/>
        <v>11.81292</v>
      </c>
      <c r="O3285" s="31"/>
      <c r="P3285" s="50"/>
      <c r="Q3285" s="50"/>
      <c r="R3285" s="50"/>
      <c r="S3285" s="31"/>
      <c r="T3285" s="22"/>
      <c r="U3285" s="50"/>
      <c r="V3285" s="31"/>
      <c r="W3285" s="22" t="s">
        <v>1017</v>
      </c>
      <c r="X3285" s="38"/>
      <c r="AH3285" s="22" t="s">
        <v>1779</v>
      </c>
      <c r="AK3285" t="str">
        <f t="shared" si="1254"/>
        <v/>
      </c>
      <c r="AL3285" t="str">
        <f t="shared" si="1255"/>
        <v/>
      </c>
      <c r="AM3285" t="str">
        <f t="shared" si="1256"/>
        <v/>
      </c>
      <c r="AN3285" t="str">
        <f t="shared" si="1257"/>
        <v/>
      </c>
      <c r="AO3285" t="str">
        <f t="shared" si="1258"/>
        <v/>
      </c>
      <c r="AP3285" t="str">
        <f t="shared" si="1259"/>
        <v/>
      </c>
      <c r="AQ3285" t="str">
        <f t="shared" si="1260"/>
        <v/>
      </c>
      <c r="AR3285" t="str">
        <f t="shared" si="1261"/>
        <v/>
      </c>
      <c r="AS3285" t="str">
        <f t="shared" si="1262"/>
        <v>G2</v>
      </c>
      <c r="AT3285" t="str">
        <f t="shared" si="1263"/>
        <v/>
      </c>
      <c r="AU3285" t="str">
        <f t="shared" si="1264"/>
        <v>G2</v>
      </c>
      <c r="AV3285" s="203" t="str">
        <f t="shared" si="1269"/>
        <v>BiK271G2----73</v>
      </c>
      <c r="AW3285">
        <f t="shared" si="1266"/>
        <v>14</v>
      </c>
      <c r="AX3285" t="str">
        <f t="shared" si="1267"/>
        <v>0,15-0,5 MW, Bonusregel G2</v>
      </c>
    </row>
    <row r="3286" spans="1:50" x14ac:dyDescent="0.35">
      <c r="A3286" s="502" t="str">
        <f t="shared" si="1268"/>
        <v>BiK271E1aG2-14</v>
      </c>
      <c r="B3286" s="301" t="s">
        <v>5547</v>
      </c>
      <c r="C3286" s="301" t="str">
        <f t="shared" si="1247"/>
        <v>Inbetriebnahme 2014</v>
      </c>
      <c r="D3286" s="301" t="str">
        <f t="shared" si="1248"/>
        <v>0,15-0,5 MW, Bonusregeln E1a, G2</v>
      </c>
      <c r="E3286" s="301"/>
      <c r="F3286" s="377">
        <f t="shared" si="1249"/>
        <v>19.73</v>
      </c>
      <c r="G3286" s="429">
        <v>19.73</v>
      </c>
      <c r="H3286" s="303">
        <f t="shared" si="1250"/>
        <v>15.78</v>
      </c>
      <c r="I3286" s="579"/>
      <c r="J3286" s="549" t="s">
        <v>5804</v>
      </c>
      <c r="K3286" s="11"/>
      <c r="L3286" s="55" t="str">
        <f t="shared" si="1251"/>
        <v/>
      </c>
      <c r="M3286" s="315">
        <f t="shared" si="1252"/>
        <v>19.73</v>
      </c>
      <c r="N3286" s="29">
        <f t="shared" si="1253"/>
        <v>11.81292</v>
      </c>
      <c r="O3286" s="31" t="s">
        <v>1017</v>
      </c>
      <c r="P3286" s="50"/>
      <c r="Q3286" s="50"/>
      <c r="R3286" s="50"/>
      <c r="S3286" s="31"/>
      <c r="T3286" s="22"/>
      <c r="U3286" s="50"/>
      <c r="V3286" s="31"/>
      <c r="W3286" s="22" t="s">
        <v>1017</v>
      </c>
      <c r="X3286" s="38"/>
      <c r="AH3286" s="22" t="s">
        <v>1779</v>
      </c>
      <c r="AK3286" t="str">
        <f t="shared" si="1254"/>
        <v>E1a</v>
      </c>
      <c r="AL3286" t="str">
        <f t="shared" si="1255"/>
        <v/>
      </c>
      <c r="AM3286" t="str">
        <f t="shared" si="1256"/>
        <v/>
      </c>
      <c r="AN3286" t="str">
        <f t="shared" si="1257"/>
        <v/>
      </c>
      <c r="AO3286" t="str">
        <f t="shared" si="1258"/>
        <v/>
      </c>
      <c r="AP3286" t="str">
        <f t="shared" si="1259"/>
        <v/>
      </c>
      <c r="AQ3286" t="str">
        <f t="shared" si="1260"/>
        <v/>
      </c>
      <c r="AR3286" t="str">
        <f t="shared" si="1261"/>
        <v/>
      </c>
      <c r="AS3286" t="str">
        <f t="shared" si="1262"/>
        <v>G2</v>
      </c>
      <c r="AT3286" t="str">
        <f t="shared" si="1263"/>
        <v/>
      </c>
      <c r="AU3286" t="str">
        <f t="shared" si="1264"/>
        <v>E1aG2</v>
      </c>
      <c r="AV3286" s="203" t="str">
        <f t="shared" si="1269"/>
        <v>BiK271E1aG2-73</v>
      </c>
      <c r="AW3286">
        <f t="shared" si="1266"/>
        <v>14</v>
      </c>
      <c r="AX3286" t="str">
        <f t="shared" si="1267"/>
        <v>0,15-0,5 MW, Bonusregeln E1a, G2</v>
      </c>
    </row>
    <row r="3287" spans="1:50" x14ac:dyDescent="0.35">
      <c r="A3287" s="502" t="str">
        <f t="shared" si="1268"/>
        <v>BiK271E2aG2-14</v>
      </c>
      <c r="B3287" s="301" t="s">
        <v>5547</v>
      </c>
      <c r="C3287" s="301" t="str">
        <f t="shared" si="1247"/>
        <v>Inbetriebnahme 2014</v>
      </c>
      <c r="D3287" s="301" t="str">
        <f t="shared" si="1248"/>
        <v>0,15-0,5 MW, Bonusregeln E2a, G2</v>
      </c>
      <c r="E3287" s="301"/>
      <c r="F3287" s="377">
        <f t="shared" si="1249"/>
        <v>21.73</v>
      </c>
      <c r="G3287" s="429">
        <v>21.73</v>
      </c>
      <c r="H3287" s="303">
        <f t="shared" si="1250"/>
        <v>17.38</v>
      </c>
      <c r="I3287" s="579"/>
      <c r="J3287" s="549" t="s">
        <v>5804</v>
      </c>
      <c r="K3287" s="11"/>
      <c r="L3287" s="55" t="str">
        <f t="shared" si="1251"/>
        <v/>
      </c>
      <c r="M3287" s="315">
        <f t="shared" si="1252"/>
        <v>21.73</v>
      </c>
      <c r="N3287" s="29">
        <f t="shared" si="1253"/>
        <v>11.81292</v>
      </c>
      <c r="O3287" s="31"/>
      <c r="P3287" s="50"/>
      <c r="Q3287" s="50"/>
      <c r="R3287" s="50"/>
      <c r="S3287" s="31" t="s">
        <v>1017</v>
      </c>
      <c r="T3287" s="22"/>
      <c r="U3287" s="50"/>
      <c r="V3287" s="31"/>
      <c r="W3287" s="22" t="s">
        <v>1017</v>
      </c>
      <c r="X3287" s="38"/>
      <c r="AH3287" s="22" t="s">
        <v>1779</v>
      </c>
      <c r="AK3287" t="str">
        <f t="shared" si="1254"/>
        <v/>
      </c>
      <c r="AL3287" t="str">
        <f t="shared" si="1255"/>
        <v/>
      </c>
      <c r="AM3287" t="str">
        <f t="shared" si="1256"/>
        <v/>
      </c>
      <c r="AN3287" t="str">
        <f t="shared" si="1257"/>
        <v/>
      </c>
      <c r="AO3287" t="str">
        <f t="shared" si="1258"/>
        <v>E2a</v>
      </c>
      <c r="AP3287" t="str">
        <f t="shared" si="1259"/>
        <v/>
      </c>
      <c r="AQ3287" t="str">
        <f t="shared" si="1260"/>
        <v/>
      </c>
      <c r="AR3287" t="str">
        <f t="shared" si="1261"/>
        <v/>
      </c>
      <c r="AS3287" t="str">
        <f t="shared" si="1262"/>
        <v>G2</v>
      </c>
      <c r="AT3287" t="str">
        <f t="shared" si="1263"/>
        <v/>
      </c>
      <c r="AU3287" t="str">
        <f t="shared" si="1264"/>
        <v>E2aG2</v>
      </c>
      <c r="AV3287" s="203" t="str">
        <f t="shared" si="1269"/>
        <v>BiK271E2aG2-73</v>
      </c>
      <c r="AW3287">
        <f t="shared" si="1266"/>
        <v>14</v>
      </c>
      <c r="AX3287" t="str">
        <f t="shared" si="1267"/>
        <v>0,15-0,5 MW, Bonusregeln E2a, G2</v>
      </c>
    </row>
    <row r="3288" spans="1:50" x14ac:dyDescent="0.35">
      <c r="A3288" s="502" t="str">
        <f t="shared" si="1268"/>
        <v>BiK271E2bG2-14</v>
      </c>
      <c r="B3288" s="301" t="s">
        <v>5547</v>
      </c>
      <c r="C3288" s="301" t="str">
        <f t="shared" si="1247"/>
        <v>Inbetriebnahme 2014</v>
      </c>
      <c r="D3288" s="301" t="str">
        <f t="shared" si="1248"/>
        <v>0,15-0,5 MW, Bonusregeln E2b, G2</v>
      </c>
      <c r="E3288" s="301"/>
      <c r="F3288" s="377">
        <f t="shared" si="1249"/>
        <v>21.73</v>
      </c>
      <c r="G3288" s="429">
        <v>21.73</v>
      </c>
      <c r="H3288" s="303">
        <f t="shared" si="1250"/>
        <v>17.38</v>
      </c>
      <c r="I3288" s="579"/>
      <c r="J3288" s="549" t="s">
        <v>5804</v>
      </c>
      <c r="K3288" s="11"/>
      <c r="L3288" s="55" t="str">
        <f t="shared" si="1251"/>
        <v/>
      </c>
      <c r="M3288" s="315">
        <f t="shared" si="1252"/>
        <v>21.73</v>
      </c>
      <c r="N3288" s="29">
        <f t="shared" si="1253"/>
        <v>11.81292</v>
      </c>
      <c r="O3288" s="31"/>
      <c r="P3288" s="50"/>
      <c r="Q3288" s="50"/>
      <c r="R3288" s="50"/>
      <c r="S3288" s="31"/>
      <c r="T3288" s="22" t="s">
        <v>1017</v>
      </c>
      <c r="U3288" s="50"/>
      <c r="V3288" s="31"/>
      <c r="W3288" s="22" t="s">
        <v>1017</v>
      </c>
      <c r="X3288" s="38"/>
      <c r="AH3288" s="22" t="s">
        <v>1779</v>
      </c>
      <c r="AK3288" t="str">
        <f t="shared" si="1254"/>
        <v/>
      </c>
      <c r="AL3288" t="str">
        <f t="shared" si="1255"/>
        <v/>
      </c>
      <c r="AM3288" t="str">
        <f t="shared" si="1256"/>
        <v/>
      </c>
      <c r="AN3288" t="str">
        <f t="shared" si="1257"/>
        <v/>
      </c>
      <c r="AO3288" t="str">
        <f t="shared" si="1258"/>
        <v/>
      </c>
      <c r="AP3288" t="str">
        <f t="shared" si="1259"/>
        <v>E2b</v>
      </c>
      <c r="AQ3288" t="str">
        <f t="shared" si="1260"/>
        <v/>
      </c>
      <c r="AR3288" t="str">
        <f t="shared" si="1261"/>
        <v/>
      </c>
      <c r="AS3288" t="str">
        <f t="shared" si="1262"/>
        <v>G2</v>
      </c>
      <c r="AT3288" t="str">
        <f t="shared" si="1263"/>
        <v/>
      </c>
      <c r="AU3288" t="str">
        <f t="shared" si="1264"/>
        <v>E2bG2</v>
      </c>
      <c r="AV3288" s="203" t="str">
        <f t="shared" si="1269"/>
        <v>BiK271E2bG2-73</v>
      </c>
      <c r="AW3288">
        <f t="shared" si="1266"/>
        <v>14</v>
      </c>
      <c r="AX3288" t="str">
        <f t="shared" si="1267"/>
        <v>0,15-0,5 MW, Bonusregeln E2b, G2</v>
      </c>
    </row>
    <row r="3289" spans="1:50" x14ac:dyDescent="0.35">
      <c r="A3289" s="502" t="str">
        <f t="shared" si="1268"/>
        <v>BiK271G3----14</v>
      </c>
      <c r="B3289" s="301" t="s">
        <v>5547</v>
      </c>
      <c r="C3289" s="301" t="str">
        <f t="shared" si="1247"/>
        <v>Inbetriebnahme 2014</v>
      </c>
      <c r="D3289" s="301" t="str">
        <f t="shared" si="1248"/>
        <v>0,15-0,5 MW, Bonusregel G3</v>
      </c>
      <c r="E3289" s="301"/>
      <c r="F3289" s="377">
        <f t="shared" si="1249"/>
        <v>12.77</v>
      </c>
      <c r="G3289" s="429">
        <v>12.77</v>
      </c>
      <c r="H3289" s="303">
        <f t="shared" si="1250"/>
        <v>10.220000000000001</v>
      </c>
      <c r="I3289" s="579"/>
      <c r="J3289" s="549" t="s">
        <v>5804</v>
      </c>
      <c r="K3289" s="11"/>
      <c r="L3289" s="55" t="str">
        <f t="shared" si="1251"/>
        <v/>
      </c>
      <c r="M3289" s="315">
        <f t="shared" si="1252"/>
        <v>12.77</v>
      </c>
      <c r="N3289" s="29">
        <f t="shared" si="1253"/>
        <v>11.81292</v>
      </c>
      <c r="O3289" s="31"/>
      <c r="P3289" s="50"/>
      <c r="Q3289" s="50"/>
      <c r="R3289" s="50"/>
      <c r="S3289" s="31"/>
      <c r="T3289" s="22"/>
      <c r="U3289" s="50"/>
      <c r="V3289" s="31"/>
      <c r="W3289" s="22"/>
      <c r="X3289" s="38" t="s">
        <v>1017</v>
      </c>
      <c r="AH3289" s="22" t="s">
        <v>1779</v>
      </c>
      <c r="AK3289" t="str">
        <f t="shared" si="1254"/>
        <v/>
      </c>
      <c r="AL3289" t="str">
        <f t="shared" si="1255"/>
        <v/>
      </c>
      <c r="AM3289" t="str">
        <f t="shared" si="1256"/>
        <v/>
      </c>
      <c r="AN3289" t="str">
        <f t="shared" si="1257"/>
        <v/>
      </c>
      <c r="AO3289" t="str">
        <f t="shared" si="1258"/>
        <v/>
      </c>
      <c r="AP3289" t="str">
        <f t="shared" si="1259"/>
        <v/>
      </c>
      <c r="AQ3289" t="str">
        <f t="shared" si="1260"/>
        <v/>
      </c>
      <c r="AR3289" t="str">
        <f t="shared" si="1261"/>
        <v/>
      </c>
      <c r="AS3289" t="str">
        <f t="shared" si="1262"/>
        <v/>
      </c>
      <c r="AT3289" t="str">
        <f t="shared" si="1263"/>
        <v>G3</v>
      </c>
      <c r="AU3289" t="str">
        <f t="shared" si="1264"/>
        <v>G3</v>
      </c>
      <c r="AV3289" s="203" t="str">
        <f t="shared" si="1269"/>
        <v>BiK271G3----73</v>
      </c>
      <c r="AW3289">
        <f t="shared" si="1266"/>
        <v>14</v>
      </c>
      <c r="AX3289" t="str">
        <f t="shared" si="1267"/>
        <v>0,15-0,5 MW, Bonusregel G3</v>
      </c>
    </row>
    <row r="3290" spans="1:50" x14ac:dyDescent="0.35">
      <c r="A3290" s="502" t="str">
        <f t="shared" si="1268"/>
        <v>BiK271E1aG3-14</v>
      </c>
      <c r="B3290" s="301" t="s">
        <v>5547</v>
      </c>
      <c r="C3290" s="301" t="str">
        <f t="shared" si="1247"/>
        <v>Inbetriebnahme 2014</v>
      </c>
      <c r="D3290" s="301" t="str">
        <f t="shared" si="1248"/>
        <v>0,15-0,5 MW, Bonusregeln E1a, G3</v>
      </c>
      <c r="E3290" s="301"/>
      <c r="F3290" s="377">
        <f t="shared" si="1249"/>
        <v>18.77</v>
      </c>
      <c r="G3290" s="429">
        <v>18.77</v>
      </c>
      <c r="H3290" s="303">
        <f t="shared" si="1250"/>
        <v>15.02</v>
      </c>
      <c r="I3290" s="579"/>
      <c r="J3290" s="549" t="s">
        <v>5804</v>
      </c>
      <c r="K3290" s="11"/>
      <c r="L3290" s="55" t="str">
        <f t="shared" si="1251"/>
        <v/>
      </c>
      <c r="M3290" s="315">
        <f t="shared" si="1252"/>
        <v>18.77</v>
      </c>
      <c r="N3290" s="29">
        <f t="shared" si="1253"/>
        <v>11.81292</v>
      </c>
      <c r="O3290" s="31" t="s">
        <v>1017</v>
      </c>
      <c r="P3290" s="50"/>
      <c r="Q3290" s="50"/>
      <c r="R3290" s="50"/>
      <c r="S3290" s="31"/>
      <c r="T3290" s="22"/>
      <c r="U3290" s="50"/>
      <c r="V3290" s="31"/>
      <c r="W3290" s="22"/>
      <c r="X3290" s="38" t="s">
        <v>1017</v>
      </c>
      <c r="AH3290" s="22" t="s">
        <v>1779</v>
      </c>
      <c r="AK3290" t="str">
        <f t="shared" si="1254"/>
        <v>E1a</v>
      </c>
      <c r="AL3290" t="str">
        <f t="shared" si="1255"/>
        <v/>
      </c>
      <c r="AM3290" t="str">
        <f t="shared" si="1256"/>
        <v/>
      </c>
      <c r="AN3290" t="str">
        <f t="shared" si="1257"/>
        <v/>
      </c>
      <c r="AO3290" t="str">
        <f t="shared" si="1258"/>
        <v/>
      </c>
      <c r="AP3290" t="str">
        <f t="shared" si="1259"/>
        <v/>
      </c>
      <c r="AQ3290" t="str">
        <f t="shared" si="1260"/>
        <v/>
      </c>
      <c r="AR3290" t="str">
        <f t="shared" si="1261"/>
        <v/>
      </c>
      <c r="AS3290" t="str">
        <f t="shared" si="1262"/>
        <v/>
      </c>
      <c r="AT3290" t="str">
        <f t="shared" si="1263"/>
        <v>G3</v>
      </c>
      <c r="AU3290" t="str">
        <f t="shared" si="1264"/>
        <v>E1aG3</v>
      </c>
      <c r="AV3290" s="203" t="str">
        <f t="shared" si="1269"/>
        <v>BiK271E1aG3-73</v>
      </c>
      <c r="AW3290">
        <f t="shared" si="1266"/>
        <v>14</v>
      </c>
      <c r="AX3290" t="str">
        <f t="shared" si="1267"/>
        <v>0,15-0,5 MW, Bonusregeln E1a, G3</v>
      </c>
    </row>
    <row r="3291" spans="1:50" x14ac:dyDescent="0.35">
      <c r="A3291" s="502" t="str">
        <f t="shared" si="1268"/>
        <v>BiK271E2aG3-14</v>
      </c>
      <c r="B3291" s="301" t="s">
        <v>5547</v>
      </c>
      <c r="C3291" s="301" t="str">
        <f t="shared" si="1247"/>
        <v>Inbetriebnahme 2014</v>
      </c>
      <c r="D3291" s="301" t="str">
        <f t="shared" si="1248"/>
        <v>0,15-0,5 MW, Bonusregeln E2a, G3</v>
      </c>
      <c r="E3291" s="301"/>
      <c r="F3291" s="377">
        <f t="shared" si="1249"/>
        <v>20.770000000000003</v>
      </c>
      <c r="G3291" s="429">
        <v>20.770000000000003</v>
      </c>
      <c r="H3291" s="303">
        <f t="shared" si="1250"/>
        <v>16.62</v>
      </c>
      <c r="I3291" s="579"/>
      <c r="J3291" s="549" t="s">
        <v>5804</v>
      </c>
      <c r="K3291" s="11"/>
      <c r="L3291" s="55" t="str">
        <f t="shared" si="1251"/>
        <v/>
      </c>
      <c r="M3291" s="315">
        <f t="shared" si="1252"/>
        <v>20.770000000000003</v>
      </c>
      <c r="N3291" s="29">
        <f t="shared" si="1253"/>
        <v>11.81292</v>
      </c>
      <c r="O3291" s="31"/>
      <c r="P3291" s="50"/>
      <c r="Q3291" s="50"/>
      <c r="R3291" s="50"/>
      <c r="S3291" s="31" t="s">
        <v>1017</v>
      </c>
      <c r="T3291" s="22"/>
      <c r="U3291" s="50"/>
      <c r="V3291" s="31"/>
      <c r="W3291" s="22"/>
      <c r="X3291" s="38" t="s">
        <v>1017</v>
      </c>
      <c r="AH3291" s="22" t="s">
        <v>1779</v>
      </c>
      <c r="AK3291" t="str">
        <f t="shared" si="1254"/>
        <v/>
      </c>
      <c r="AL3291" t="str">
        <f t="shared" si="1255"/>
        <v/>
      </c>
      <c r="AM3291" t="str">
        <f t="shared" si="1256"/>
        <v/>
      </c>
      <c r="AN3291" t="str">
        <f t="shared" si="1257"/>
        <v/>
      </c>
      <c r="AO3291" t="str">
        <f t="shared" si="1258"/>
        <v>E2a</v>
      </c>
      <c r="AP3291" t="str">
        <f t="shared" si="1259"/>
        <v/>
      </c>
      <c r="AQ3291" t="str">
        <f t="shared" si="1260"/>
        <v/>
      </c>
      <c r="AR3291" t="str">
        <f t="shared" si="1261"/>
        <v/>
      </c>
      <c r="AS3291" t="str">
        <f t="shared" si="1262"/>
        <v/>
      </c>
      <c r="AT3291" t="str">
        <f t="shared" si="1263"/>
        <v>G3</v>
      </c>
      <c r="AU3291" t="str">
        <f t="shared" si="1264"/>
        <v>E2aG3</v>
      </c>
      <c r="AV3291" s="203" t="str">
        <f t="shared" si="1269"/>
        <v>BiK271E2aG3-73</v>
      </c>
      <c r="AW3291">
        <f t="shared" si="1266"/>
        <v>14</v>
      </c>
      <c r="AX3291" t="str">
        <f t="shared" si="1267"/>
        <v>0,15-0,5 MW, Bonusregeln E2a, G3</v>
      </c>
    </row>
    <row r="3292" spans="1:50" x14ac:dyDescent="0.35">
      <c r="A3292" s="502" t="str">
        <f t="shared" si="1268"/>
        <v>BiK271E2bG3-14</v>
      </c>
      <c r="B3292" s="301" t="s">
        <v>5547</v>
      </c>
      <c r="C3292" s="301" t="str">
        <f t="shared" si="1247"/>
        <v>Inbetriebnahme 2014</v>
      </c>
      <c r="D3292" s="301" t="str">
        <f t="shared" si="1248"/>
        <v>0,15-0,5 MW, Bonusregeln E2b, G3</v>
      </c>
      <c r="E3292" s="301"/>
      <c r="F3292" s="377">
        <f t="shared" si="1249"/>
        <v>20.770000000000003</v>
      </c>
      <c r="G3292" s="429">
        <v>20.770000000000003</v>
      </c>
      <c r="H3292" s="303">
        <f t="shared" si="1250"/>
        <v>16.62</v>
      </c>
      <c r="I3292" s="579"/>
      <c r="J3292" s="549" t="s">
        <v>5804</v>
      </c>
      <c r="K3292" s="11"/>
      <c r="L3292" s="55" t="str">
        <f t="shared" si="1251"/>
        <v/>
      </c>
      <c r="M3292" s="315">
        <f t="shared" si="1252"/>
        <v>20.770000000000003</v>
      </c>
      <c r="N3292" s="29">
        <f t="shared" si="1253"/>
        <v>11.81292</v>
      </c>
      <c r="O3292" s="31"/>
      <c r="P3292" s="50"/>
      <c r="Q3292" s="50"/>
      <c r="R3292" s="50"/>
      <c r="S3292" s="31"/>
      <c r="T3292" s="22" t="s">
        <v>1017</v>
      </c>
      <c r="U3292" s="50"/>
      <c r="V3292" s="31"/>
      <c r="W3292" s="22"/>
      <c r="X3292" s="38" t="s">
        <v>1017</v>
      </c>
      <c r="AH3292" s="22" t="s">
        <v>1779</v>
      </c>
      <c r="AK3292" t="str">
        <f t="shared" si="1254"/>
        <v/>
      </c>
      <c r="AL3292" t="str">
        <f t="shared" si="1255"/>
        <v/>
      </c>
      <c r="AM3292" t="str">
        <f t="shared" si="1256"/>
        <v/>
      </c>
      <c r="AN3292" t="str">
        <f t="shared" si="1257"/>
        <v/>
      </c>
      <c r="AO3292" t="str">
        <f t="shared" si="1258"/>
        <v/>
      </c>
      <c r="AP3292" t="str">
        <f t="shared" si="1259"/>
        <v>E2b</v>
      </c>
      <c r="AQ3292" t="str">
        <f t="shared" si="1260"/>
        <v/>
      </c>
      <c r="AR3292" t="str">
        <f t="shared" si="1261"/>
        <v/>
      </c>
      <c r="AS3292" t="str">
        <f t="shared" si="1262"/>
        <v/>
      </c>
      <c r="AT3292" t="str">
        <f t="shared" si="1263"/>
        <v>G3</v>
      </c>
      <c r="AU3292" t="str">
        <f t="shared" si="1264"/>
        <v>E2bG3</v>
      </c>
      <c r="AV3292" s="203" t="str">
        <f t="shared" si="1269"/>
        <v>BiK271E2bG3-73</v>
      </c>
      <c r="AW3292">
        <f t="shared" si="1266"/>
        <v>14</v>
      </c>
      <c r="AX3292" t="str">
        <f t="shared" si="1267"/>
        <v>0,15-0,5 MW, Bonusregeln E2b, G3</v>
      </c>
    </row>
    <row r="3293" spans="1:50" x14ac:dyDescent="0.35">
      <c r="A3293" s="502" t="str">
        <f t="shared" ref="A3293:A3312" si="1270">"BiK272"&amp;AU3293&amp;RIGHT("------",6-LEN(AU3293))&amp;RIGHT($M$3260,2)</f>
        <v>BiK272------14</v>
      </c>
      <c r="B3293" s="301" t="s">
        <v>5547</v>
      </c>
      <c r="C3293" s="301" t="str">
        <f t="shared" ref="C3293:C3324" si="1271">"Inbetriebnahme "&amp;$M$3260</f>
        <v>Inbetriebnahme 2014</v>
      </c>
      <c r="D3293" s="301" t="str">
        <f t="shared" ref="D3293:D3324" si="1272">IF(COUNTA(O3293:X3293)=0,AH3293,AH3293&amp;", Bonusregel"&amp;IF(AND(COUNTA(O3293:U3293)&gt;0,COUNTA(V3293:X3293)&gt;0),"n "&amp;AK3293&amp;AL3293&amp;AM3293&amp;AN3293&amp;AO3293&amp;AP3293&amp;AQ3293&amp;", "&amp;AR3293&amp;AS3293&amp;AT3293," "&amp;AK3293&amp;AL3293&amp;AM3293&amp;AN3293&amp;AO3293&amp;AP3293&amp;AQ3293&amp;AR3293&amp;AS3293&amp;AT3293))</f>
        <v>0,5-0,75 MW</v>
      </c>
      <c r="E3293" s="301"/>
      <c r="F3293" s="377">
        <f t="shared" ref="F3293:F3324" si="1273">M3293</f>
        <v>10.56</v>
      </c>
      <c r="G3293" s="429">
        <v>10.56</v>
      </c>
      <c r="H3293" s="303">
        <f t="shared" ref="H3293:H3324" si="1274">IF(ISNUMBER(G3293),ROUND(0.8*G3293,2),"")</f>
        <v>8.4499999999999993</v>
      </c>
      <c r="I3293" s="579"/>
      <c r="J3293" s="549" t="s">
        <v>5804</v>
      </c>
      <c r="K3293" s="11"/>
      <c r="L3293" s="55" t="str">
        <f t="shared" ref="L3293:L3324" si="1275">IF(F3293=M3293,"",FALSE)</f>
        <v/>
      </c>
      <c r="M3293" s="315">
        <f t="shared" ref="M3293:M3324" si="1276">ROUND(N3293,2)+SUMIF(O3293:X3293,"x",$O$3260:$X$3260)</f>
        <v>10.56</v>
      </c>
      <c r="N3293" s="29">
        <f t="shared" ref="N3293:N3324" si="1277">N3214*(1-$Y$3260)</f>
        <v>10.564399999999999</v>
      </c>
      <c r="O3293" s="154"/>
      <c r="P3293" s="22"/>
      <c r="Q3293" s="50"/>
      <c r="R3293" s="22"/>
      <c r="S3293" s="31"/>
      <c r="T3293" s="50"/>
      <c r="U3293" s="22"/>
      <c r="V3293" s="31"/>
      <c r="W3293" s="22"/>
      <c r="X3293" s="38"/>
      <c r="AH3293" s="22" t="s">
        <v>1778</v>
      </c>
      <c r="AK3293" t="str">
        <f t="shared" ref="AK3293:AK3324" si="1278">IF(O3293="x",O$3259,"")</f>
        <v/>
      </c>
      <c r="AL3293" t="str">
        <f t="shared" ref="AL3293:AL3324" si="1279">IF(P3293="x",P$3259,"")</f>
        <v/>
      </c>
      <c r="AM3293" t="str">
        <f t="shared" ref="AM3293:AM3324" si="1280">IF(Q3293="x",Q$3259,"")</f>
        <v/>
      </c>
      <c r="AN3293" t="str">
        <f t="shared" ref="AN3293:AN3324" si="1281">IF(R3293="x",R$3259,"")</f>
        <v/>
      </c>
      <c r="AO3293" t="str">
        <f t="shared" ref="AO3293:AO3324" si="1282">IF(S3293="x",S$3259,"")</f>
        <v/>
      </c>
      <c r="AP3293" t="str">
        <f t="shared" ref="AP3293:AP3324" si="1283">IF(T3293="x",T$3259,"")</f>
        <v/>
      </c>
      <c r="AQ3293" t="str">
        <f t="shared" ref="AQ3293:AQ3324" si="1284">IF(U3293="x",U$3259,"")</f>
        <v/>
      </c>
      <c r="AR3293" t="str">
        <f t="shared" ref="AR3293:AR3324" si="1285">IF(V3293="x",V$3259,"")</f>
        <v/>
      </c>
      <c r="AS3293" t="str">
        <f t="shared" ref="AS3293:AS3324" si="1286">IF(W3293="x",W$3259,"")</f>
        <v/>
      </c>
      <c r="AT3293" t="str">
        <f t="shared" ref="AT3293:AT3324" si="1287">IF(X3293="x",X$3259,"")</f>
        <v/>
      </c>
      <c r="AU3293" t="str">
        <f t="shared" ref="AU3293:AU3324" si="1288">AK3293&amp;AL3293&amp;AM3293&amp;AN3293&amp;AO3293&amp;AP3293&amp;AQ3293&amp;AR3293&amp;AS3293&amp;AT3293</f>
        <v/>
      </c>
      <c r="AV3293" s="203" t="str">
        <f t="shared" ref="AV3293:AV3312" si="1289">"BiK272"&amp;AU3293&amp;RIGHT("------",6-LEN(AU3293))&amp;RIGHT($M$3093,2)</f>
        <v>BiK272------73</v>
      </c>
      <c r="AW3293">
        <f t="shared" ref="AW3293:AW3324" si="1290">LEN(AV3293)</f>
        <v>14</v>
      </c>
      <c r="AX3293" t="str">
        <f t="shared" ref="AX3293:AX3324" si="1291">IF(COUNTA(O3293:X3293)=0,AH3293,AH3293&amp;", Bonusregel"&amp;IF(AND(COUNTA(O3293:U3293)&gt;0,COUNTA(V3293:X3293)&gt;0),"n "&amp;AK3293&amp;AL3293&amp;AM3293&amp;AN3293&amp;AO3293&amp;AP3293&amp;AQ3293&amp;", "&amp;AR3293&amp;AS3293&amp;AT3293," "&amp;AK3293&amp;AL3293&amp;AM3293&amp;AN3293&amp;AO3293&amp;AP3293&amp;AQ3293&amp;AR3293&amp;AS3293&amp;AT3293))</f>
        <v>0,5-0,75 MW</v>
      </c>
    </row>
    <row r="3294" spans="1:50" x14ac:dyDescent="0.35">
      <c r="A3294" s="502" t="str">
        <f t="shared" si="1270"/>
        <v>BiK272E1b---14</v>
      </c>
      <c r="B3294" s="301" t="s">
        <v>5547</v>
      </c>
      <c r="C3294" s="301" t="str">
        <f t="shared" si="1271"/>
        <v>Inbetriebnahme 2014</v>
      </c>
      <c r="D3294" s="301" t="str">
        <f t="shared" si="1272"/>
        <v>0,5-0,75 MW, Bonusregel E1b</v>
      </c>
      <c r="E3294" s="301"/>
      <c r="F3294" s="377">
        <f t="shared" si="1273"/>
        <v>15.56</v>
      </c>
      <c r="G3294" s="429">
        <v>15.56</v>
      </c>
      <c r="H3294" s="303">
        <f t="shared" si="1274"/>
        <v>12.45</v>
      </c>
      <c r="I3294" s="579"/>
      <c r="J3294" s="549" t="s">
        <v>5804</v>
      </c>
      <c r="K3294" s="11"/>
      <c r="L3294" s="55" t="str">
        <f t="shared" si="1275"/>
        <v/>
      </c>
      <c r="M3294" s="315">
        <f t="shared" si="1276"/>
        <v>15.56</v>
      </c>
      <c r="N3294" s="29">
        <f t="shared" si="1277"/>
        <v>10.564399999999999</v>
      </c>
      <c r="O3294" s="154"/>
      <c r="P3294" s="22" t="s">
        <v>1017</v>
      </c>
      <c r="Q3294" s="50"/>
      <c r="R3294" s="22"/>
      <c r="S3294" s="31"/>
      <c r="T3294" s="50"/>
      <c r="U3294" s="22"/>
      <c r="V3294" s="31"/>
      <c r="W3294" s="22"/>
      <c r="X3294" s="38"/>
      <c r="AH3294" s="22" t="s">
        <v>1778</v>
      </c>
      <c r="AK3294" t="str">
        <f t="shared" si="1278"/>
        <v/>
      </c>
      <c r="AL3294" t="str">
        <f t="shared" si="1279"/>
        <v>E1b</v>
      </c>
      <c r="AM3294" t="str">
        <f t="shared" si="1280"/>
        <v/>
      </c>
      <c r="AN3294" t="str">
        <f t="shared" si="1281"/>
        <v/>
      </c>
      <c r="AO3294" t="str">
        <f t="shared" si="1282"/>
        <v/>
      </c>
      <c r="AP3294" t="str">
        <f t="shared" si="1283"/>
        <v/>
      </c>
      <c r="AQ3294" t="str">
        <f t="shared" si="1284"/>
        <v/>
      </c>
      <c r="AR3294" t="str">
        <f t="shared" si="1285"/>
        <v/>
      </c>
      <c r="AS3294" t="str">
        <f t="shared" si="1286"/>
        <v/>
      </c>
      <c r="AT3294" t="str">
        <f t="shared" si="1287"/>
        <v/>
      </c>
      <c r="AU3294" t="str">
        <f t="shared" si="1288"/>
        <v>E1b</v>
      </c>
      <c r="AV3294" s="203" t="str">
        <f t="shared" si="1289"/>
        <v>BiK272E1b---73</v>
      </c>
      <c r="AW3294">
        <f t="shared" si="1290"/>
        <v>14</v>
      </c>
      <c r="AX3294" t="str">
        <f t="shared" si="1291"/>
        <v>0,5-0,75 MW, Bonusregel E1b</v>
      </c>
    </row>
    <row r="3295" spans="1:50" x14ac:dyDescent="0.35">
      <c r="A3295" s="502" t="str">
        <f t="shared" si="1270"/>
        <v>BiK272E1d---14</v>
      </c>
      <c r="B3295" s="301" t="s">
        <v>5547</v>
      </c>
      <c r="C3295" s="301" t="str">
        <f t="shared" si="1271"/>
        <v>Inbetriebnahme 2014</v>
      </c>
      <c r="D3295" s="301" t="str">
        <f t="shared" si="1272"/>
        <v>0,5-0,75 MW, Bonusregel E1d</v>
      </c>
      <c r="E3295" s="301"/>
      <c r="F3295" s="377">
        <f t="shared" si="1273"/>
        <v>13.06</v>
      </c>
      <c r="G3295" s="429">
        <v>13.06</v>
      </c>
      <c r="H3295" s="303">
        <f t="shared" si="1274"/>
        <v>10.45</v>
      </c>
      <c r="I3295" s="579"/>
      <c r="J3295" s="549" t="s">
        <v>5804</v>
      </c>
      <c r="K3295" s="11"/>
      <c r="L3295" s="55" t="str">
        <f t="shared" si="1275"/>
        <v/>
      </c>
      <c r="M3295" s="315">
        <f t="shared" si="1276"/>
        <v>13.06</v>
      </c>
      <c r="N3295" s="29">
        <f t="shared" si="1277"/>
        <v>10.564399999999999</v>
      </c>
      <c r="O3295" s="154"/>
      <c r="P3295" s="22"/>
      <c r="Q3295" s="50"/>
      <c r="R3295" s="22" t="s">
        <v>1017</v>
      </c>
      <c r="S3295" s="31"/>
      <c r="T3295" s="50"/>
      <c r="U3295" s="22"/>
      <c r="V3295" s="31"/>
      <c r="W3295" s="22"/>
      <c r="X3295" s="38"/>
      <c r="AH3295" s="22" t="s">
        <v>1778</v>
      </c>
      <c r="AK3295" t="str">
        <f t="shared" si="1278"/>
        <v/>
      </c>
      <c r="AL3295" t="str">
        <f t="shared" si="1279"/>
        <v/>
      </c>
      <c r="AM3295" t="str">
        <f t="shared" si="1280"/>
        <v/>
      </c>
      <c r="AN3295" t="str">
        <f t="shared" si="1281"/>
        <v>E1d</v>
      </c>
      <c r="AO3295" t="str">
        <f t="shared" si="1282"/>
        <v/>
      </c>
      <c r="AP3295" t="str">
        <f t="shared" si="1283"/>
        <v/>
      </c>
      <c r="AQ3295" t="str">
        <f t="shared" si="1284"/>
        <v/>
      </c>
      <c r="AR3295" t="str">
        <f t="shared" si="1285"/>
        <v/>
      </c>
      <c r="AS3295" t="str">
        <f t="shared" si="1286"/>
        <v/>
      </c>
      <c r="AT3295" t="str">
        <f t="shared" si="1287"/>
        <v/>
      </c>
      <c r="AU3295" t="str">
        <f t="shared" si="1288"/>
        <v>E1d</v>
      </c>
      <c r="AV3295" s="203" t="str">
        <f t="shared" si="1289"/>
        <v>BiK272E1d---73</v>
      </c>
      <c r="AW3295">
        <f t="shared" si="1290"/>
        <v>14</v>
      </c>
      <c r="AX3295" t="str">
        <f t="shared" si="1291"/>
        <v>0,5-0,75 MW, Bonusregel E1d</v>
      </c>
    </row>
    <row r="3296" spans="1:50" x14ac:dyDescent="0.35">
      <c r="A3296" s="502" t="str">
        <f t="shared" si="1270"/>
        <v>BiK272E2a---14</v>
      </c>
      <c r="B3296" s="301" t="s">
        <v>5547</v>
      </c>
      <c r="C3296" s="301" t="str">
        <f t="shared" si="1271"/>
        <v>Inbetriebnahme 2014</v>
      </c>
      <c r="D3296" s="301" t="str">
        <f t="shared" si="1272"/>
        <v>0,5-0,75 MW, Bonusregel E2a</v>
      </c>
      <c r="E3296" s="301"/>
      <c r="F3296" s="377">
        <f t="shared" si="1273"/>
        <v>18.560000000000002</v>
      </c>
      <c r="G3296" s="429">
        <v>18.560000000000002</v>
      </c>
      <c r="H3296" s="303">
        <f t="shared" si="1274"/>
        <v>14.85</v>
      </c>
      <c r="I3296" s="579"/>
      <c r="J3296" s="549" t="s">
        <v>5804</v>
      </c>
      <c r="K3296" s="11"/>
      <c r="L3296" s="55" t="str">
        <f t="shared" si="1275"/>
        <v/>
      </c>
      <c r="M3296" s="315">
        <f t="shared" si="1276"/>
        <v>18.560000000000002</v>
      </c>
      <c r="N3296" s="29">
        <f t="shared" si="1277"/>
        <v>10.564399999999999</v>
      </c>
      <c r="O3296" s="154"/>
      <c r="P3296" s="22"/>
      <c r="Q3296" s="50"/>
      <c r="R3296" s="22"/>
      <c r="S3296" s="31" t="s">
        <v>1017</v>
      </c>
      <c r="T3296" s="50"/>
      <c r="U3296" s="22"/>
      <c r="V3296" s="31"/>
      <c r="W3296" s="22"/>
      <c r="X3296" s="38"/>
      <c r="AH3296" s="22" t="s">
        <v>1778</v>
      </c>
      <c r="AK3296" t="str">
        <f t="shared" si="1278"/>
        <v/>
      </c>
      <c r="AL3296" t="str">
        <f t="shared" si="1279"/>
        <v/>
      </c>
      <c r="AM3296" t="str">
        <f t="shared" si="1280"/>
        <v/>
      </c>
      <c r="AN3296" t="str">
        <f t="shared" si="1281"/>
        <v/>
      </c>
      <c r="AO3296" t="str">
        <f t="shared" si="1282"/>
        <v>E2a</v>
      </c>
      <c r="AP3296" t="str">
        <f t="shared" si="1283"/>
        <v/>
      </c>
      <c r="AQ3296" t="str">
        <f t="shared" si="1284"/>
        <v/>
      </c>
      <c r="AR3296" t="str">
        <f t="shared" si="1285"/>
        <v/>
      </c>
      <c r="AS3296" t="str">
        <f t="shared" si="1286"/>
        <v/>
      </c>
      <c r="AT3296" t="str">
        <f t="shared" si="1287"/>
        <v/>
      </c>
      <c r="AU3296" t="str">
        <f t="shared" si="1288"/>
        <v>E2a</v>
      </c>
      <c r="AV3296" s="203" t="str">
        <f t="shared" si="1289"/>
        <v>BiK272E2a---73</v>
      </c>
      <c r="AW3296">
        <f t="shared" si="1290"/>
        <v>14</v>
      </c>
      <c r="AX3296" t="str">
        <f t="shared" si="1291"/>
        <v>0,5-0,75 MW, Bonusregel E2a</v>
      </c>
    </row>
    <row r="3297" spans="1:50" x14ac:dyDescent="0.35">
      <c r="A3297" s="502" t="str">
        <f t="shared" si="1270"/>
        <v>BiK272E2c---14</v>
      </c>
      <c r="B3297" s="301" t="s">
        <v>5547</v>
      </c>
      <c r="C3297" s="301" t="str">
        <f t="shared" si="1271"/>
        <v>Inbetriebnahme 2014</v>
      </c>
      <c r="D3297" s="301" t="str">
        <f t="shared" si="1272"/>
        <v>0,5-0,75 MW, Bonusregel E2c</v>
      </c>
      <c r="E3297" s="301"/>
      <c r="F3297" s="377">
        <f t="shared" si="1273"/>
        <v>16.560000000000002</v>
      </c>
      <c r="G3297" s="429">
        <v>16.560000000000002</v>
      </c>
      <c r="H3297" s="303">
        <f t="shared" si="1274"/>
        <v>13.25</v>
      </c>
      <c r="I3297" s="579"/>
      <c r="J3297" s="549" t="s">
        <v>5804</v>
      </c>
      <c r="K3297" s="11"/>
      <c r="L3297" s="55" t="str">
        <f t="shared" si="1275"/>
        <v/>
      </c>
      <c r="M3297" s="315">
        <f t="shared" si="1276"/>
        <v>16.560000000000002</v>
      </c>
      <c r="N3297" s="29">
        <f t="shared" si="1277"/>
        <v>10.564399999999999</v>
      </c>
      <c r="O3297" s="154"/>
      <c r="P3297" s="22"/>
      <c r="Q3297" s="50"/>
      <c r="R3297" s="22"/>
      <c r="S3297" s="31"/>
      <c r="T3297" s="50"/>
      <c r="U3297" s="22" t="s">
        <v>1017</v>
      </c>
      <c r="V3297" s="31"/>
      <c r="W3297" s="22"/>
      <c r="X3297" s="38"/>
      <c r="AH3297" s="22" t="s">
        <v>1778</v>
      </c>
      <c r="AK3297" t="str">
        <f t="shared" si="1278"/>
        <v/>
      </c>
      <c r="AL3297" t="str">
        <f t="shared" si="1279"/>
        <v/>
      </c>
      <c r="AM3297" t="str">
        <f t="shared" si="1280"/>
        <v/>
      </c>
      <c r="AN3297" t="str">
        <f t="shared" si="1281"/>
        <v/>
      </c>
      <c r="AO3297" t="str">
        <f t="shared" si="1282"/>
        <v/>
      </c>
      <c r="AP3297" t="str">
        <f t="shared" si="1283"/>
        <v/>
      </c>
      <c r="AQ3297" t="str">
        <f t="shared" si="1284"/>
        <v>E2c</v>
      </c>
      <c r="AR3297" t="str">
        <f t="shared" si="1285"/>
        <v/>
      </c>
      <c r="AS3297" t="str">
        <f t="shared" si="1286"/>
        <v/>
      </c>
      <c r="AT3297" t="str">
        <f t="shared" si="1287"/>
        <v/>
      </c>
      <c r="AU3297" t="str">
        <f t="shared" si="1288"/>
        <v>E2c</v>
      </c>
      <c r="AV3297" s="203" t="str">
        <f t="shared" si="1289"/>
        <v>BiK272E2c---73</v>
      </c>
      <c r="AW3297">
        <f t="shared" si="1290"/>
        <v>14</v>
      </c>
      <c r="AX3297" t="str">
        <f t="shared" si="1291"/>
        <v>0,5-0,75 MW, Bonusregel E2c</v>
      </c>
    </row>
    <row r="3298" spans="1:50" x14ac:dyDescent="0.35">
      <c r="A3298" s="502" t="str">
        <f t="shared" si="1270"/>
        <v>BiK272G1----14</v>
      </c>
      <c r="B3298" s="301" t="s">
        <v>5547</v>
      </c>
      <c r="C3298" s="301" t="str">
        <f t="shared" si="1271"/>
        <v>Inbetriebnahme 2014</v>
      </c>
      <c r="D3298" s="301" t="str">
        <f t="shared" si="1272"/>
        <v>0,5-0,75 MW, Bonusregel G1</v>
      </c>
      <c r="E3298" s="301"/>
      <c r="F3298" s="377">
        <f t="shared" si="1273"/>
        <v>13.440000000000001</v>
      </c>
      <c r="G3298" s="429">
        <v>13.440000000000001</v>
      </c>
      <c r="H3298" s="303">
        <f t="shared" si="1274"/>
        <v>10.75</v>
      </c>
      <c r="I3298" s="579"/>
      <c r="J3298" s="549" t="s">
        <v>5804</v>
      </c>
      <c r="K3298" s="11"/>
      <c r="L3298" s="55" t="str">
        <f t="shared" si="1275"/>
        <v/>
      </c>
      <c r="M3298" s="315">
        <f t="shared" si="1276"/>
        <v>13.440000000000001</v>
      </c>
      <c r="N3298" s="29">
        <f t="shared" si="1277"/>
        <v>10.564399999999999</v>
      </c>
      <c r="O3298" s="154"/>
      <c r="P3298" s="22"/>
      <c r="Q3298" s="50"/>
      <c r="R3298" s="22"/>
      <c r="S3298" s="31"/>
      <c r="T3298" s="50"/>
      <c r="U3298" s="22"/>
      <c r="V3298" s="31" t="s">
        <v>1017</v>
      </c>
      <c r="W3298" s="22"/>
      <c r="X3298" s="38"/>
      <c r="AH3298" s="22" t="s">
        <v>1778</v>
      </c>
      <c r="AK3298" t="str">
        <f t="shared" si="1278"/>
        <v/>
      </c>
      <c r="AL3298" t="str">
        <f t="shared" si="1279"/>
        <v/>
      </c>
      <c r="AM3298" t="str">
        <f t="shared" si="1280"/>
        <v/>
      </c>
      <c r="AN3298" t="str">
        <f t="shared" si="1281"/>
        <v/>
      </c>
      <c r="AO3298" t="str">
        <f t="shared" si="1282"/>
        <v/>
      </c>
      <c r="AP3298" t="str">
        <f t="shared" si="1283"/>
        <v/>
      </c>
      <c r="AQ3298" t="str">
        <f t="shared" si="1284"/>
        <v/>
      </c>
      <c r="AR3298" t="str">
        <f t="shared" si="1285"/>
        <v>G1</v>
      </c>
      <c r="AS3298" t="str">
        <f t="shared" si="1286"/>
        <v/>
      </c>
      <c r="AT3298" t="str">
        <f t="shared" si="1287"/>
        <v/>
      </c>
      <c r="AU3298" t="str">
        <f t="shared" si="1288"/>
        <v>G1</v>
      </c>
      <c r="AV3298" s="203" t="str">
        <f t="shared" si="1289"/>
        <v>BiK272G1----73</v>
      </c>
      <c r="AW3298">
        <f t="shared" si="1290"/>
        <v>14</v>
      </c>
      <c r="AX3298" t="str">
        <f t="shared" si="1291"/>
        <v>0,5-0,75 MW, Bonusregel G1</v>
      </c>
    </row>
    <row r="3299" spans="1:50" x14ac:dyDescent="0.35">
      <c r="A3299" s="502" t="str">
        <f t="shared" si="1270"/>
        <v>BiK272E1bG1-14</v>
      </c>
      <c r="B3299" s="301" t="s">
        <v>5547</v>
      </c>
      <c r="C3299" s="301" t="str">
        <f t="shared" si="1271"/>
        <v>Inbetriebnahme 2014</v>
      </c>
      <c r="D3299" s="301" t="str">
        <f t="shared" si="1272"/>
        <v>0,5-0,75 MW, Bonusregeln E1b, G1</v>
      </c>
      <c r="E3299" s="301"/>
      <c r="F3299" s="377">
        <f t="shared" si="1273"/>
        <v>18.440000000000001</v>
      </c>
      <c r="G3299" s="429">
        <v>18.440000000000001</v>
      </c>
      <c r="H3299" s="303">
        <f t="shared" si="1274"/>
        <v>14.75</v>
      </c>
      <c r="I3299" s="579"/>
      <c r="J3299" s="549" t="s">
        <v>5804</v>
      </c>
      <c r="K3299" s="11"/>
      <c r="L3299" s="55" t="str">
        <f t="shared" si="1275"/>
        <v/>
      </c>
      <c r="M3299" s="315">
        <f t="shared" si="1276"/>
        <v>18.440000000000001</v>
      </c>
      <c r="N3299" s="29">
        <f t="shared" si="1277"/>
        <v>10.564399999999999</v>
      </c>
      <c r="O3299" s="154"/>
      <c r="P3299" s="22" t="s">
        <v>1017</v>
      </c>
      <c r="Q3299" s="50"/>
      <c r="R3299" s="22"/>
      <c r="S3299" s="31"/>
      <c r="T3299" s="50"/>
      <c r="U3299" s="22"/>
      <c r="V3299" s="31" t="s">
        <v>1017</v>
      </c>
      <c r="W3299" s="22"/>
      <c r="X3299" s="38"/>
      <c r="AH3299" s="22" t="s">
        <v>1778</v>
      </c>
      <c r="AK3299" t="str">
        <f t="shared" si="1278"/>
        <v/>
      </c>
      <c r="AL3299" t="str">
        <f t="shared" si="1279"/>
        <v>E1b</v>
      </c>
      <c r="AM3299" t="str">
        <f t="shared" si="1280"/>
        <v/>
      </c>
      <c r="AN3299" t="str">
        <f t="shared" si="1281"/>
        <v/>
      </c>
      <c r="AO3299" t="str">
        <f t="shared" si="1282"/>
        <v/>
      </c>
      <c r="AP3299" t="str">
        <f t="shared" si="1283"/>
        <v/>
      </c>
      <c r="AQ3299" t="str">
        <f t="shared" si="1284"/>
        <v/>
      </c>
      <c r="AR3299" t="str">
        <f t="shared" si="1285"/>
        <v>G1</v>
      </c>
      <c r="AS3299" t="str">
        <f t="shared" si="1286"/>
        <v/>
      </c>
      <c r="AT3299" t="str">
        <f t="shared" si="1287"/>
        <v/>
      </c>
      <c r="AU3299" t="str">
        <f t="shared" si="1288"/>
        <v>E1bG1</v>
      </c>
      <c r="AV3299" s="203" t="str">
        <f t="shared" si="1289"/>
        <v>BiK272E1bG1-73</v>
      </c>
      <c r="AW3299">
        <f t="shared" si="1290"/>
        <v>14</v>
      </c>
      <c r="AX3299" t="str">
        <f t="shared" si="1291"/>
        <v>0,5-0,75 MW, Bonusregeln E1b, G1</v>
      </c>
    </row>
    <row r="3300" spans="1:50" x14ac:dyDescent="0.35">
      <c r="A3300" s="502" t="str">
        <f t="shared" si="1270"/>
        <v>BiK272E1dG1-14</v>
      </c>
      <c r="B3300" s="301" t="s">
        <v>5547</v>
      </c>
      <c r="C3300" s="301" t="str">
        <f t="shared" si="1271"/>
        <v>Inbetriebnahme 2014</v>
      </c>
      <c r="D3300" s="301" t="str">
        <f t="shared" si="1272"/>
        <v>0,5-0,75 MW, Bonusregeln E1d, G1</v>
      </c>
      <c r="E3300" s="330"/>
      <c r="F3300" s="377">
        <f t="shared" si="1273"/>
        <v>15.940000000000001</v>
      </c>
      <c r="G3300" s="429">
        <v>15.940000000000001</v>
      </c>
      <c r="H3300" s="303">
        <f t="shared" si="1274"/>
        <v>12.75</v>
      </c>
      <c r="I3300" s="579"/>
      <c r="J3300" s="549" t="s">
        <v>5804</v>
      </c>
      <c r="K3300" s="11"/>
      <c r="L3300" s="55" t="str">
        <f t="shared" si="1275"/>
        <v/>
      </c>
      <c r="M3300" s="315">
        <f t="shared" si="1276"/>
        <v>15.940000000000001</v>
      </c>
      <c r="N3300" s="29">
        <f t="shared" si="1277"/>
        <v>10.564399999999999</v>
      </c>
      <c r="O3300" s="154"/>
      <c r="P3300" s="22"/>
      <c r="Q3300" s="50"/>
      <c r="R3300" s="22" t="s">
        <v>1017</v>
      </c>
      <c r="S3300" s="31"/>
      <c r="T3300" s="50"/>
      <c r="U3300" s="22"/>
      <c r="V3300" s="31" t="s">
        <v>1017</v>
      </c>
      <c r="W3300" s="22"/>
      <c r="X3300" s="38"/>
      <c r="AH3300" s="22" t="s">
        <v>1778</v>
      </c>
      <c r="AK3300" t="str">
        <f t="shared" si="1278"/>
        <v/>
      </c>
      <c r="AL3300" t="str">
        <f t="shared" si="1279"/>
        <v/>
      </c>
      <c r="AM3300" t="str">
        <f t="shared" si="1280"/>
        <v/>
      </c>
      <c r="AN3300" t="str">
        <f t="shared" si="1281"/>
        <v>E1d</v>
      </c>
      <c r="AO3300" t="str">
        <f t="shared" si="1282"/>
        <v/>
      </c>
      <c r="AP3300" t="str">
        <f t="shared" si="1283"/>
        <v/>
      </c>
      <c r="AQ3300" t="str">
        <f t="shared" si="1284"/>
        <v/>
      </c>
      <c r="AR3300" t="str">
        <f t="shared" si="1285"/>
        <v>G1</v>
      </c>
      <c r="AS3300" t="str">
        <f t="shared" si="1286"/>
        <v/>
      </c>
      <c r="AT3300" t="str">
        <f t="shared" si="1287"/>
        <v/>
      </c>
      <c r="AU3300" t="str">
        <f t="shared" si="1288"/>
        <v>E1dG1</v>
      </c>
      <c r="AV3300" s="203" t="str">
        <f t="shared" si="1289"/>
        <v>BiK272E1dG1-73</v>
      </c>
      <c r="AW3300">
        <f t="shared" si="1290"/>
        <v>14</v>
      </c>
      <c r="AX3300" t="str">
        <f t="shared" si="1291"/>
        <v>0,5-0,75 MW, Bonusregeln E1d, G1</v>
      </c>
    </row>
    <row r="3301" spans="1:50" x14ac:dyDescent="0.35">
      <c r="A3301" s="502" t="str">
        <f t="shared" si="1270"/>
        <v>BiK272E2aG1-14</v>
      </c>
      <c r="B3301" s="301" t="s">
        <v>5547</v>
      </c>
      <c r="C3301" s="301" t="str">
        <f t="shared" si="1271"/>
        <v>Inbetriebnahme 2014</v>
      </c>
      <c r="D3301" s="301" t="str">
        <f t="shared" si="1272"/>
        <v>0,5-0,75 MW, Bonusregeln E2a, G1</v>
      </c>
      <c r="E3301" s="301"/>
      <c r="F3301" s="377">
        <f t="shared" si="1273"/>
        <v>21.439999999999998</v>
      </c>
      <c r="G3301" s="429">
        <v>21.439999999999998</v>
      </c>
      <c r="H3301" s="303">
        <f t="shared" si="1274"/>
        <v>17.149999999999999</v>
      </c>
      <c r="I3301" s="579"/>
      <c r="J3301" s="549" t="s">
        <v>5804</v>
      </c>
      <c r="K3301" s="11"/>
      <c r="L3301" s="55" t="str">
        <f t="shared" si="1275"/>
        <v/>
      </c>
      <c r="M3301" s="315">
        <f t="shared" si="1276"/>
        <v>21.439999999999998</v>
      </c>
      <c r="N3301" s="29">
        <f t="shared" si="1277"/>
        <v>10.564399999999999</v>
      </c>
      <c r="O3301" s="154"/>
      <c r="P3301" s="22"/>
      <c r="Q3301" s="50"/>
      <c r="R3301" s="22"/>
      <c r="S3301" s="31" t="s">
        <v>1017</v>
      </c>
      <c r="T3301" s="50"/>
      <c r="U3301" s="22"/>
      <c r="V3301" s="31" t="s">
        <v>1017</v>
      </c>
      <c r="W3301" s="22"/>
      <c r="X3301" s="38"/>
      <c r="AH3301" s="22" t="s">
        <v>1778</v>
      </c>
      <c r="AK3301" t="str">
        <f t="shared" si="1278"/>
        <v/>
      </c>
      <c r="AL3301" t="str">
        <f t="shared" si="1279"/>
        <v/>
      </c>
      <c r="AM3301" t="str">
        <f t="shared" si="1280"/>
        <v/>
      </c>
      <c r="AN3301" t="str">
        <f t="shared" si="1281"/>
        <v/>
      </c>
      <c r="AO3301" t="str">
        <f t="shared" si="1282"/>
        <v>E2a</v>
      </c>
      <c r="AP3301" t="str">
        <f t="shared" si="1283"/>
        <v/>
      </c>
      <c r="AQ3301" t="str">
        <f t="shared" si="1284"/>
        <v/>
      </c>
      <c r="AR3301" t="str">
        <f t="shared" si="1285"/>
        <v>G1</v>
      </c>
      <c r="AS3301" t="str">
        <f t="shared" si="1286"/>
        <v/>
      </c>
      <c r="AT3301" t="str">
        <f t="shared" si="1287"/>
        <v/>
      </c>
      <c r="AU3301" t="str">
        <f t="shared" si="1288"/>
        <v>E2aG1</v>
      </c>
      <c r="AV3301" s="203" t="str">
        <f t="shared" si="1289"/>
        <v>BiK272E2aG1-73</v>
      </c>
      <c r="AW3301">
        <f t="shared" si="1290"/>
        <v>14</v>
      </c>
      <c r="AX3301" t="str">
        <f t="shared" si="1291"/>
        <v>0,5-0,75 MW, Bonusregeln E2a, G1</v>
      </c>
    </row>
    <row r="3302" spans="1:50" x14ac:dyDescent="0.35">
      <c r="A3302" s="502" t="str">
        <f t="shared" si="1270"/>
        <v>BiK272E2cG1-14</v>
      </c>
      <c r="B3302" s="301" t="s">
        <v>5547</v>
      </c>
      <c r="C3302" s="301" t="str">
        <f t="shared" si="1271"/>
        <v>Inbetriebnahme 2014</v>
      </c>
      <c r="D3302" s="301" t="str">
        <f t="shared" si="1272"/>
        <v>0,5-0,75 MW, Bonusregeln E2c, G1</v>
      </c>
      <c r="E3302" s="301"/>
      <c r="F3302" s="377">
        <f t="shared" si="1273"/>
        <v>19.439999999999998</v>
      </c>
      <c r="G3302" s="429">
        <v>19.439999999999998</v>
      </c>
      <c r="H3302" s="303">
        <f t="shared" si="1274"/>
        <v>15.55</v>
      </c>
      <c r="I3302" s="579"/>
      <c r="J3302" s="549" t="s">
        <v>5804</v>
      </c>
      <c r="K3302" s="11"/>
      <c r="L3302" s="55" t="str">
        <f t="shared" si="1275"/>
        <v/>
      </c>
      <c r="M3302" s="315">
        <f t="shared" si="1276"/>
        <v>19.439999999999998</v>
      </c>
      <c r="N3302" s="29">
        <f t="shared" si="1277"/>
        <v>10.564399999999999</v>
      </c>
      <c r="O3302" s="154"/>
      <c r="P3302" s="22"/>
      <c r="Q3302" s="50"/>
      <c r="R3302" s="22"/>
      <c r="S3302" s="31"/>
      <c r="T3302" s="50"/>
      <c r="U3302" s="22" t="s">
        <v>1017</v>
      </c>
      <c r="V3302" s="31" t="s">
        <v>1017</v>
      </c>
      <c r="W3302" s="22"/>
      <c r="X3302" s="38"/>
      <c r="AH3302" s="22" t="s">
        <v>1778</v>
      </c>
      <c r="AK3302" t="str">
        <f t="shared" si="1278"/>
        <v/>
      </c>
      <c r="AL3302" t="str">
        <f t="shared" si="1279"/>
        <v/>
      </c>
      <c r="AM3302" t="str">
        <f t="shared" si="1280"/>
        <v/>
      </c>
      <c r="AN3302" t="str">
        <f t="shared" si="1281"/>
        <v/>
      </c>
      <c r="AO3302" t="str">
        <f t="shared" si="1282"/>
        <v/>
      </c>
      <c r="AP3302" t="str">
        <f t="shared" si="1283"/>
        <v/>
      </c>
      <c r="AQ3302" t="str">
        <f t="shared" si="1284"/>
        <v>E2c</v>
      </c>
      <c r="AR3302" t="str">
        <f t="shared" si="1285"/>
        <v>G1</v>
      </c>
      <c r="AS3302" t="str">
        <f t="shared" si="1286"/>
        <v/>
      </c>
      <c r="AT3302" t="str">
        <f t="shared" si="1287"/>
        <v/>
      </c>
      <c r="AU3302" t="str">
        <f t="shared" si="1288"/>
        <v>E2cG1</v>
      </c>
      <c r="AV3302" s="203" t="str">
        <f t="shared" si="1289"/>
        <v>BiK272E2cG1-73</v>
      </c>
      <c r="AW3302">
        <f t="shared" si="1290"/>
        <v>14</v>
      </c>
      <c r="AX3302" t="str">
        <f t="shared" si="1291"/>
        <v>0,5-0,75 MW, Bonusregeln E2c, G1</v>
      </c>
    </row>
    <row r="3303" spans="1:50" x14ac:dyDescent="0.35">
      <c r="A3303" s="502" t="str">
        <f t="shared" si="1270"/>
        <v>BiK272G2----14</v>
      </c>
      <c r="B3303" s="301" t="s">
        <v>5547</v>
      </c>
      <c r="C3303" s="301" t="str">
        <f t="shared" si="1271"/>
        <v>Inbetriebnahme 2014</v>
      </c>
      <c r="D3303" s="301" t="str">
        <f t="shared" si="1272"/>
        <v>0,5-0,75 MW, Bonusregel G2</v>
      </c>
      <c r="E3303" s="301"/>
      <c r="F3303" s="377">
        <f t="shared" si="1273"/>
        <v>12.48</v>
      </c>
      <c r="G3303" s="429">
        <v>12.48</v>
      </c>
      <c r="H3303" s="303">
        <f t="shared" si="1274"/>
        <v>9.98</v>
      </c>
      <c r="I3303" s="579"/>
      <c r="J3303" s="549" t="s">
        <v>5804</v>
      </c>
      <c r="K3303" s="11"/>
      <c r="L3303" s="55" t="str">
        <f t="shared" si="1275"/>
        <v/>
      </c>
      <c r="M3303" s="315">
        <f t="shared" si="1276"/>
        <v>12.48</v>
      </c>
      <c r="N3303" s="29">
        <f t="shared" si="1277"/>
        <v>10.564399999999999</v>
      </c>
      <c r="O3303" s="154"/>
      <c r="P3303" s="22"/>
      <c r="Q3303" s="50"/>
      <c r="R3303" s="22"/>
      <c r="S3303" s="31"/>
      <c r="T3303" s="50"/>
      <c r="U3303" s="22"/>
      <c r="V3303" s="31"/>
      <c r="W3303" s="22" t="s">
        <v>1017</v>
      </c>
      <c r="X3303" s="38"/>
      <c r="AH3303" s="22" t="s">
        <v>1778</v>
      </c>
      <c r="AK3303" t="str">
        <f t="shared" si="1278"/>
        <v/>
      </c>
      <c r="AL3303" t="str">
        <f t="shared" si="1279"/>
        <v/>
      </c>
      <c r="AM3303" t="str">
        <f t="shared" si="1280"/>
        <v/>
      </c>
      <c r="AN3303" t="str">
        <f t="shared" si="1281"/>
        <v/>
      </c>
      <c r="AO3303" t="str">
        <f t="shared" si="1282"/>
        <v/>
      </c>
      <c r="AP3303" t="str">
        <f t="shared" si="1283"/>
        <v/>
      </c>
      <c r="AQ3303" t="str">
        <f t="shared" si="1284"/>
        <v/>
      </c>
      <c r="AR3303" t="str">
        <f t="shared" si="1285"/>
        <v/>
      </c>
      <c r="AS3303" t="str">
        <f t="shared" si="1286"/>
        <v>G2</v>
      </c>
      <c r="AT3303" t="str">
        <f t="shared" si="1287"/>
        <v/>
      </c>
      <c r="AU3303" t="str">
        <f t="shared" si="1288"/>
        <v>G2</v>
      </c>
      <c r="AV3303" s="203" t="str">
        <f t="shared" si="1289"/>
        <v>BiK272G2----73</v>
      </c>
      <c r="AW3303">
        <f t="shared" si="1290"/>
        <v>14</v>
      </c>
      <c r="AX3303" t="str">
        <f t="shared" si="1291"/>
        <v>0,5-0,75 MW, Bonusregel G2</v>
      </c>
    </row>
    <row r="3304" spans="1:50" x14ac:dyDescent="0.35">
      <c r="A3304" s="502" t="str">
        <f t="shared" si="1270"/>
        <v>BiK272E1bG2-14</v>
      </c>
      <c r="B3304" s="301" t="s">
        <v>5547</v>
      </c>
      <c r="C3304" s="301" t="str">
        <f t="shared" si="1271"/>
        <v>Inbetriebnahme 2014</v>
      </c>
      <c r="D3304" s="301" t="str">
        <f t="shared" si="1272"/>
        <v>0,5-0,75 MW, Bonusregeln E1b, G2</v>
      </c>
      <c r="E3304" s="301"/>
      <c r="F3304" s="377">
        <f t="shared" si="1273"/>
        <v>17.48</v>
      </c>
      <c r="G3304" s="429">
        <v>17.48</v>
      </c>
      <c r="H3304" s="303">
        <f t="shared" si="1274"/>
        <v>13.98</v>
      </c>
      <c r="I3304" s="579"/>
      <c r="J3304" s="549" t="s">
        <v>5804</v>
      </c>
      <c r="K3304" s="11"/>
      <c r="L3304" s="55" t="str">
        <f t="shared" si="1275"/>
        <v/>
      </c>
      <c r="M3304" s="315">
        <f t="shared" si="1276"/>
        <v>17.48</v>
      </c>
      <c r="N3304" s="29">
        <f t="shared" si="1277"/>
        <v>10.564399999999999</v>
      </c>
      <c r="O3304" s="154"/>
      <c r="P3304" s="22" t="s">
        <v>1017</v>
      </c>
      <c r="Q3304" s="50"/>
      <c r="R3304" s="22"/>
      <c r="S3304" s="31"/>
      <c r="T3304" s="50"/>
      <c r="U3304" s="22"/>
      <c r="V3304" s="31"/>
      <c r="W3304" s="22" t="s">
        <v>1017</v>
      </c>
      <c r="X3304" s="38"/>
      <c r="AH3304" s="22" t="s">
        <v>1778</v>
      </c>
      <c r="AK3304" t="str">
        <f t="shared" si="1278"/>
        <v/>
      </c>
      <c r="AL3304" t="str">
        <f t="shared" si="1279"/>
        <v>E1b</v>
      </c>
      <c r="AM3304" t="str">
        <f t="shared" si="1280"/>
        <v/>
      </c>
      <c r="AN3304" t="str">
        <f t="shared" si="1281"/>
        <v/>
      </c>
      <c r="AO3304" t="str">
        <f t="shared" si="1282"/>
        <v/>
      </c>
      <c r="AP3304" t="str">
        <f t="shared" si="1283"/>
        <v/>
      </c>
      <c r="AQ3304" t="str">
        <f t="shared" si="1284"/>
        <v/>
      </c>
      <c r="AR3304" t="str">
        <f t="shared" si="1285"/>
        <v/>
      </c>
      <c r="AS3304" t="str">
        <f t="shared" si="1286"/>
        <v>G2</v>
      </c>
      <c r="AT3304" t="str">
        <f t="shared" si="1287"/>
        <v/>
      </c>
      <c r="AU3304" t="str">
        <f t="shared" si="1288"/>
        <v>E1bG2</v>
      </c>
      <c r="AV3304" s="203" t="str">
        <f t="shared" si="1289"/>
        <v>BiK272E1bG2-73</v>
      </c>
      <c r="AW3304">
        <f t="shared" si="1290"/>
        <v>14</v>
      </c>
      <c r="AX3304" t="str">
        <f t="shared" si="1291"/>
        <v>0,5-0,75 MW, Bonusregeln E1b, G2</v>
      </c>
    </row>
    <row r="3305" spans="1:50" x14ac:dyDescent="0.35">
      <c r="A3305" s="502" t="str">
        <f t="shared" si="1270"/>
        <v>BiK272E1dG2-14</v>
      </c>
      <c r="B3305" s="301" t="s">
        <v>5547</v>
      </c>
      <c r="C3305" s="301" t="str">
        <f t="shared" si="1271"/>
        <v>Inbetriebnahme 2014</v>
      </c>
      <c r="D3305" s="301" t="str">
        <f t="shared" si="1272"/>
        <v>0,5-0,75 MW, Bonusregeln E1d, G2</v>
      </c>
      <c r="E3305" s="301"/>
      <c r="F3305" s="377">
        <f t="shared" si="1273"/>
        <v>14.98</v>
      </c>
      <c r="G3305" s="429">
        <v>14.98</v>
      </c>
      <c r="H3305" s="303">
        <f t="shared" si="1274"/>
        <v>11.98</v>
      </c>
      <c r="I3305" s="579"/>
      <c r="J3305" s="549" t="s">
        <v>5804</v>
      </c>
      <c r="K3305" s="11"/>
      <c r="L3305" s="55" t="str">
        <f t="shared" si="1275"/>
        <v/>
      </c>
      <c r="M3305" s="315">
        <f t="shared" si="1276"/>
        <v>14.98</v>
      </c>
      <c r="N3305" s="29">
        <f t="shared" si="1277"/>
        <v>10.564399999999999</v>
      </c>
      <c r="O3305" s="154"/>
      <c r="P3305" s="22"/>
      <c r="Q3305" s="50"/>
      <c r="R3305" s="22" t="s">
        <v>1017</v>
      </c>
      <c r="S3305" s="31"/>
      <c r="T3305" s="50"/>
      <c r="U3305" s="22"/>
      <c r="V3305" s="31"/>
      <c r="W3305" s="22" t="s">
        <v>1017</v>
      </c>
      <c r="X3305" s="38"/>
      <c r="AH3305" s="22" t="s">
        <v>1778</v>
      </c>
      <c r="AK3305" t="str">
        <f t="shared" si="1278"/>
        <v/>
      </c>
      <c r="AL3305" t="str">
        <f t="shared" si="1279"/>
        <v/>
      </c>
      <c r="AM3305" t="str">
        <f t="shared" si="1280"/>
        <v/>
      </c>
      <c r="AN3305" t="str">
        <f t="shared" si="1281"/>
        <v>E1d</v>
      </c>
      <c r="AO3305" t="str">
        <f t="shared" si="1282"/>
        <v/>
      </c>
      <c r="AP3305" t="str">
        <f t="shared" si="1283"/>
        <v/>
      </c>
      <c r="AQ3305" t="str">
        <f t="shared" si="1284"/>
        <v/>
      </c>
      <c r="AR3305" t="str">
        <f t="shared" si="1285"/>
        <v/>
      </c>
      <c r="AS3305" t="str">
        <f t="shared" si="1286"/>
        <v>G2</v>
      </c>
      <c r="AT3305" t="str">
        <f t="shared" si="1287"/>
        <v/>
      </c>
      <c r="AU3305" t="str">
        <f t="shared" si="1288"/>
        <v>E1dG2</v>
      </c>
      <c r="AV3305" s="203" t="str">
        <f t="shared" si="1289"/>
        <v>BiK272E1dG2-73</v>
      </c>
      <c r="AW3305">
        <f t="shared" si="1290"/>
        <v>14</v>
      </c>
      <c r="AX3305" t="str">
        <f t="shared" si="1291"/>
        <v>0,5-0,75 MW, Bonusregeln E1d, G2</v>
      </c>
    </row>
    <row r="3306" spans="1:50" x14ac:dyDescent="0.35">
      <c r="A3306" s="502" t="str">
        <f t="shared" si="1270"/>
        <v>BiK272E2aG2-14</v>
      </c>
      <c r="B3306" s="301" t="s">
        <v>5547</v>
      </c>
      <c r="C3306" s="301" t="str">
        <f t="shared" si="1271"/>
        <v>Inbetriebnahme 2014</v>
      </c>
      <c r="D3306" s="301" t="str">
        <f t="shared" si="1272"/>
        <v>0,5-0,75 MW, Bonusregeln E2a, G2</v>
      </c>
      <c r="E3306" s="301"/>
      <c r="F3306" s="377">
        <f t="shared" si="1273"/>
        <v>20.48</v>
      </c>
      <c r="G3306" s="429">
        <v>20.48</v>
      </c>
      <c r="H3306" s="303">
        <f t="shared" si="1274"/>
        <v>16.38</v>
      </c>
      <c r="I3306" s="579"/>
      <c r="J3306" s="549" t="s">
        <v>5804</v>
      </c>
      <c r="K3306" s="11"/>
      <c r="L3306" s="55" t="str">
        <f t="shared" si="1275"/>
        <v/>
      </c>
      <c r="M3306" s="315">
        <f t="shared" si="1276"/>
        <v>20.48</v>
      </c>
      <c r="N3306" s="29">
        <f t="shared" si="1277"/>
        <v>10.564399999999999</v>
      </c>
      <c r="O3306" s="154"/>
      <c r="P3306" s="22"/>
      <c r="Q3306" s="50"/>
      <c r="R3306" s="22"/>
      <c r="S3306" s="31" t="s">
        <v>1017</v>
      </c>
      <c r="T3306" s="50"/>
      <c r="U3306" s="22"/>
      <c r="V3306" s="31"/>
      <c r="W3306" s="22" t="s">
        <v>1017</v>
      </c>
      <c r="X3306" s="38"/>
      <c r="AH3306" s="22" t="s">
        <v>1778</v>
      </c>
      <c r="AK3306" t="str">
        <f t="shared" si="1278"/>
        <v/>
      </c>
      <c r="AL3306" t="str">
        <f t="shared" si="1279"/>
        <v/>
      </c>
      <c r="AM3306" t="str">
        <f t="shared" si="1280"/>
        <v/>
      </c>
      <c r="AN3306" t="str">
        <f t="shared" si="1281"/>
        <v/>
      </c>
      <c r="AO3306" t="str">
        <f t="shared" si="1282"/>
        <v>E2a</v>
      </c>
      <c r="AP3306" t="str">
        <f t="shared" si="1283"/>
        <v/>
      </c>
      <c r="AQ3306" t="str">
        <f t="shared" si="1284"/>
        <v/>
      </c>
      <c r="AR3306" t="str">
        <f t="shared" si="1285"/>
        <v/>
      </c>
      <c r="AS3306" t="str">
        <f t="shared" si="1286"/>
        <v>G2</v>
      </c>
      <c r="AT3306" t="str">
        <f t="shared" si="1287"/>
        <v/>
      </c>
      <c r="AU3306" t="str">
        <f t="shared" si="1288"/>
        <v>E2aG2</v>
      </c>
      <c r="AV3306" s="203" t="str">
        <f t="shared" si="1289"/>
        <v>BiK272E2aG2-73</v>
      </c>
      <c r="AW3306">
        <f t="shared" si="1290"/>
        <v>14</v>
      </c>
      <c r="AX3306" t="str">
        <f t="shared" si="1291"/>
        <v>0,5-0,75 MW, Bonusregeln E2a, G2</v>
      </c>
    </row>
    <row r="3307" spans="1:50" x14ac:dyDescent="0.35">
      <c r="A3307" s="502" t="str">
        <f t="shared" si="1270"/>
        <v>BiK272E2cG2-14</v>
      </c>
      <c r="B3307" s="301" t="s">
        <v>5547</v>
      </c>
      <c r="C3307" s="301" t="str">
        <f t="shared" si="1271"/>
        <v>Inbetriebnahme 2014</v>
      </c>
      <c r="D3307" s="301" t="str">
        <f t="shared" si="1272"/>
        <v>0,5-0,75 MW, Bonusregeln E2c, G2</v>
      </c>
      <c r="E3307" s="301"/>
      <c r="F3307" s="377">
        <f t="shared" si="1273"/>
        <v>18.48</v>
      </c>
      <c r="G3307" s="429">
        <v>18.48</v>
      </c>
      <c r="H3307" s="303">
        <f t="shared" si="1274"/>
        <v>14.78</v>
      </c>
      <c r="I3307" s="579"/>
      <c r="J3307" s="549" t="s">
        <v>5804</v>
      </c>
      <c r="K3307" s="11"/>
      <c r="L3307" s="55" t="str">
        <f t="shared" si="1275"/>
        <v/>
      </c>
      <c r="M3307" s="315">
        <f t="shared" si="1276"/>
        <v>18.48</v>
      </c>
      <c r="N3307" s="29">
        <f t="shared" si="1277"/>
        <v>10.564399999999999</v>
      </c>
      <c r="O3307" s="154"/>
      <c r="P3307" s="22"/>
      <c r="Q3307" s="50"/>
      <c r="R3307" s="22"/>
      <c r="S3307" s="31"/>
      <c r="T3307" s="50"/>
      <c r="U3307" s="22" t="s">
        <v>1017</v>
      </c>
      <c r="V3307" s="31"/>
      <c r="W3307" s="22" t="s">
        <v>1017</v>
      </c>
      <c r="X3307" s="38"/>
      <c r="AH3307" s="22" t="s">
        <v>1778</v>
      </c>
      <c r="AK3307" t="str">
        <f t="shared" si="1278"/>
        <v/>
      </c>
      <c r="AL3307" t="str">
        <f t="shared" si="1279"/>
        <v/>
      </c>
      <c r="AM3307" t="str">
        <f t="shared" si="1280"/>
        <v/>
      </c>
      <c r="AN3307" t="str">
        <f t="shared" si="1281"/>
        <v/>
      </c>
      <c r="AO3307" t="str">
        <f t="shared" si="1282"/>
        <v/>
      </c>
      <c r="AP3307" t="str">
        <f t="shared" si="1283"/>
        <v/>
      </c>
      <c r="AQ3307" t="str">
        <f t="shared" si="1284"/>
        <v>E2c</v>
      </c>
      <c r="AR3307" t="str">
        <f t="shared" si="1285"/>
        <v/>
      </c>
      <c r="AS3307" t="str">
        <f t="shared" si="1286"/>
        <v>G2</v>
      </c>
      <c r="AT3307" t="str">
        <f t="shared" si="1287"/>
        <v/>
      </c>
      <c r="AU3307" t="str">
        <f t="shared" si="1288"/>
        <v>E2cG2</v>
      </c>
      <c r="AV3307" s="203" t="str">
        <f t="shared" si="1289"/>
        <v>BiK272E2cG2-73</v>
      </c>
      <c r="AW3307">
        <f t="shared" si="1290"/>
        <v>14</v>
      </c>
      <c r="AX3307" t="str">
        <f t="shared" si="1291"/>
        <v>0,5-0,75 MW, Bonusregeln E2c, G2</v>
      </c>
    </row>
    <row r="3308" spans="1:50" x14ac:dyDescent="0.35">
      <c r="A3308" s="502" t="str">
        <f t="shared" si="1270"/>
        <v>BiK272G3----14</v>
      </c>
      <c r="B3308" s="301" t="s">
        <v>5547</v>
      </c>
      <c r="C3308" s="301" t="str">
        <f t="shared" si="1271"/>
        <v>Inbetriebnahme 2014</v>
      </c>
      <c r="D3308" s="301" t="str">
        <f t="shared" si="1272"/>
        <v>0,5-0,75 MW, Bonusregel G3</v>
      </c>
      <c r="E3308" s="301"/>
      <c r="F3308" s="377">
        <f t="shared" si="1273"/>
        <v>11.52</v>
      </c>
      <c r="G3308" s="429">
        <v>11.52</v>
      </c>
      <c r="H3308" s="303">
        <f t="shared" si="1274"/>
        <v>9.2200000000000006</v>
      </c>
      <c r="I3308" s="579"/>
      <c r="J3308" s="549" t="s">
        <v>5804</v>
      </c>
      <c r="K3308" s="11"/>
      <c r="L3308" s="55" t="str">
        <f t="shared" si="1275"/>
        <v/>
      </c>
      <c r="M3308" s="315">
        <f t="shared" si="1276"/>
        <v>11.52</v>
      </c>
      <c r="N3308" s="29">
        <f t="shared" si="1277"/>
        <v>10.564399999999999</v>
      </c>
      <c r="O3308" s="154"/>
      <c r="P3308" s="22"/>
      <c r="Q3308" s="50"/>
      <c r="R3308" s="22"/>
      <c r="S3308" s="31"/>
      <c r="T3308" s="50"/>
      <c r="U3308" s="22"/>
      <c r="V3308" s="31"/>
      <c r="W3308" s="22"/>
      <c r="X3308" s="38" t="s">
        <v>1017</v>
      </c>
      <c r="AH3308" s="22" t="s">
        <v>1778</v>
      </c>
      <c r="AK3308" t="str">
        <f t="shared" si="1278"/>
        <v/>
      </c>
      <c r="AL3308" t="str">
        <f t="shared" si="1279"/>
        <v/>
      </c>
      <c r="AM3308" t="str">
        <f t="shared" si="1280"/>
        <v/>
      </c>
      <c r="AN3308" t="str">
        <f t="shared" si="1281"/>
        <v/>
      </c>
      <c r="AO3308" t="str">
        <f t="shared" si="1282"/>
        <v/>
      </c>
      <c r="AP3308" t="str">
        <f t="shared" si="1283"/>
        <v/>
      </c>
      <c r="AQ3308" t="str">
        <f t="shared" si="1284"/>
        <v/>
      </c>
      <c r="AR3308" t="str">
        <f t="shared" si="1285"/>
        <v/>
      </c>
      <c r="AS3308" t="str">
        <f t="shared" si="1286"/>
        <v/>
      </c>
      <c r="AT3308" t="str">
        <f t="shared" si="1287"/>
        <v>G3</v>
      </c>
      <c r="AU3308" t="str">
        <f t="shared" si="1288"/>
        <v>G3</v>
      </c>
      <c r="AV3308" s="203" t="str">
        <f t="shared" si="1289"/>
        <v>BiK272G3----73</v>
      </c>
      <c r="AW3308">
        <f t="shared" si="1290"/>
        <v>14</v>
      </c>
      <c r="AX3308" t="str">
        <f t="shared" si="1291"/>
        <v>0,5-0,75 MW, Bonusregel G3</v>
      </c>
    </row>
    <row r="3309" spans="1:50" x14ac:dyDescent="0.35">
      <c r="A3309" s="502" t="str">
        <f t="shared" si="1270"/>
        <v>BiK272E1bG3-14</v>
      </c>
      <c r="B3309" s="301" t="s">
        <v>5547</v>
      </c>
      <c r="C3309" s="301" t="str">
        <f t="shared" si="1271"/>
        <v>Inbetriebnahme 2014</v>
      </c>
      <c r="D3309" s="301" t="str">
        <f t="shared" si="1272"/>
        <v>0,5-0,75 MW, Bonusregeln E1b, G3</v>
      </c>
      <c r="E3309" s="301"/>
      <c r="F3309" s="377">
        <f t="shared" si="1273"/>
        <v>16.52</v>
      </c>
      <c r="G3309" s="429">
        <v>16.52</v>
      </c>
      <c r="H3309" s="303">
        <f t="shared" si="1274"/>
        <v>13.22</v>
      </c>
      <c r="I3309" s="579"/>
      <c r="J3309" s="549" t="s">
        <v>5804</v>
      </c>
      <c r="K3309" s="11"/>
      <c r="L3309" s="55" t="str">
        <f t="shared" si="1275"/>
        <v/>
      </c>
      <c r="M3309" s="315">
        <f t="shared" si="1276"/>
        <v>16.52</v>
      </c>
      <c r="N3309" s="29">
        <f t="shared" si="1277"/>
        <v>10.564399999999999</v>
      </c>
      <c r="O3309" s="154"/>
      <c r="P3309" s="22" t="s">
        <v>1017</v>
      </c>
      <c r="Q3309" s="50"/>
      <c r="R3309" s="22"/>
      <c r="S3309" s="31"/>
      <c r="T3309" s="50"/>
      <c r="U3309" s="22"/>
      <c r="V3309" s="31"/>
      <c r="W3309" s="22"/>
      <c r="X3309" s="38" t="s">
        <v>1017</v>
      </c>
      <c r="AH3309" s="22" t="s">
        <v>1778</v>
      </c>
      <c r="AK3309" t="str">
        <f t="shared" si="1278"/>
        <v/>
      </c>
      <c r="AL3309" t="str">
        <f t="shared" si="1279"/>
        <v>E1b</v>
      </c>
      <c r="AM3309" t="str">
        <f t="shared" si="1280"/>
        <v/>
      </c>
      <c r="AN3309" t="str">
        <f t="shared" si="1281"/>
        <v/>
      </c>
      <c r="AO3309" t="str">
        <f t="shared" si="1282"/>
        <v/>
      </c>
      <c r="AP3309" t="str">
        <f t="shared" si="1283"/>
        <v/>
      </c>
      <c r="AQ3309" t="str">
        <f t="shared" si="1284"/>
        <v/>
      </c>
      <c r="AR3309" t="str">
        <f t="shared" si="1285"/>
        <v/>
      </c>
      <c r="AS3309" t="str">
        <f t="shared" si="1286"/>
        <v/>
      </c>
      <c r="AT3309" t="str">
        <f t="shared" si="1287"/>
        <v>G3</v>
      </c>
      <c r="AU3309" t="str">
        <f t="shared" si="1288"/>
        <v>E1bG3</v>
      </c>
      <c r="AV3309" s="203" t="str">
        <f t="shared" si="1289"/>
        <v>BiK272E1bG3-73</v>
      </c>
      <c r="AW3309">
        <f t="shared" si="1290"/>
        <v>14</v>
      </c>
      <c r="AX3309" t="str">
        <f t="shared" si="1291"/>
        <v>0,5-0,75 MW, Bonusregeln E1b, G3</v>
      </c>
    </row>
    <row r="3310" spans="1:50" x14ac:dyDescent="0.35">
      <c r="A3310" s="502" t="str">
        <f t="shared" si="1270"/>
        <v>BiK272E1dG3-14</v>
      </c>
      <c r="B3310" s="301" t="s">
        <v>5547</v>
      </c>
      <c r="C3310" s="301" t="str">
        <f t="shared" si="1271"/>
        <v>Inbetriebnahme 2014</v>
      </c>
      <c r="D3310" s="301" t="str">
        <f t="shared" si="1272"/>
        <v>0,5-0,75 MW, Bonusregeln E1d, G3</v>
      </c>
      <c r="E3310" s="301"/>
      <c r="F3310" s="377">
        <f t="shared" si="1273"/>
        <v>14.02</v>
      </c>
      <c r="G3310" s="429">
        <v>14.02</v>
      </c>
      <c r="H3310" s="303">
        <f t="shared" si="1274"/>
        <v>11.22</v>
      </c>
      <c r="I3310" s="579"/>
      <c r="J3310" s="549" t="s">
        <v>5804</v>
      </c>
      <c r="K3310" s="11"/>
      <c r="L3310" s="55" t="str">
        <f t="shared" si="1275"/>
        <v/>
      </c>
      <c r="M3310" s="315">
        <f t="shared" si="1276"/>
        <v>14.02</v>
      </c>
      <c r="N3310" s="29">
        <f t="shared" si="1277"/>
        <v>10.564399999999999</v>
      </c>
      <c r="O3310" s="154"/>
      <c r="P3310" s="22"/>
      <c r="Q3310" s="50"/>
      <c r="R3310" s="22" t="s">
        <v>1017</v>
      </c>
      <c r="S3310" s="31"/>
      <c r="T3310" s="50"/>
      <c r="U3310" s="22"/>
      <c r="V3310" s="31"/>
      <c r="W3310" s="22"/>
      <c r="X3310" s="38" t="s">
        <v>1017</v>
      </c>
      <c r="AH3310" s="22" t="s">
        <v>1778</v>
      </c>
      <c r="AK3310" t="str">
        <f t="shared" si="1278"/>
        <v/>
      </c>
      <c r="AL3310" t="str">
        <f t="shared" si="1279"/>
        <v/>
      </c>
      <c r="AM3310" t="str">
        <f t="shared" si="1280"/>
        <v/>
      </c>
      <c r="AN3310" t="str">
        <f t="shared" si="1281"/>
        <v>E1d</v>
      </c>
      <c r="AO3310" t="str">
        <f t="shared" si="1282"/>
        <v/>
      </c>
      <c r="AP3310" t="str">
        <f t="shared" si="1283"/>
        <v/>
      </c>
      <c r="AQ3310" t="str">
        <f t="shared" si="1284"/>
        <v/>
      </c>
      <c r="AR3310" t="str">
        <f t="shared" si="1285"/>
        <v/>
      </c>
      <c r="AS3310" t="str">
        <f t="shared" si="1286"/>
        <v/>
      </c>
      <c r="AT3310" t="str">
        <f t="shared" si="1287"/>
        <v>G3</v>
      </c>
      <c r="AU3310" t="str">
        <f t="shared" si="1288"/>
        <v>E1dG3</v>
      </c>
      <c r="AV3310" s="203" t="str">
        <f t="shared" si="1289"/>
        <v>BiK272E1dG3-73</v>
      </c>
      <c r="AW3310">
        <f t="shared" si="1290"/>
        <v>14</v>
      </c>
      <c r="AX3310" t="str">
        <f t="shared" si="1291"/>
        <v>0,5-0,75 MW, Bonusregeln E1d, G3</v>
      </c>
    </row>
    <row r="3311" spans="1:50" x14ac:dyDescent="0.35">
      <c r="A3311" s="502" t="str">
        <f t="shared" si="1270"/>
        <v>BiK272E2aG3-14</v>
      </c>
      <c r="B3311" s="301" t="s">
        <v>5547</v>
      </c>
      <c r="C3311" s="301" t="str">
        <f t="shared" si="1271"/>
        <v>Inbetriebnahme 2014</v>
      </c>
      <c r="D3311" s="301" t="str">
        <f t="shared" si="1272"/>
        <v>0,5-0,75 MW, Bonusregeln E2a, G3</v>
      </c>
      <c r="E3311" s="301"/>
      <c r="F3311" s="377">
        <f t="shared" si="1273"/>
        <v>19.520000000000003</v>
      </c>
      <c r="G3311" s="429">
        <v>19.520000000000003</v>
      </c>
      <c r="H3311" s="303">
        <f t="shared" si="1274"/>
        <v>15.62</v>
      </c>
      <c r="I3311" s="579"/>
      <c r="J3311" s="549" t="s">
        <v>5804</v>
      </c>
      <c r="K3311" s="11"/>
      <c r="L3311" s="55" t="str">
        <f t="shared" si="1275"/>
        <v/>
      </c>
      <c r="M3311" s="315">
        <f t="shared" si="1276"/>
        <v>19.520000000000003</v>
      </c>
      <c r="N3311" s="29">
        <f t="shared" si="1277"/>
        <v>10.564399999999999</v>
      </c>
      <c r="O3311" s="154"/>
      <c r="P3311" s="22"/>
      <c r="Q3311" s="50"/>
      <c r="R3311" s="22"/>
      <c r="S3311" s="31" t="s">
        <v>1017</v>
      </c>
      <c r="T3311" s="50"/>
      <c r="U3311" s="22"/>
      <c r="V3311" s="31"/>
      <c r="W3311" s="22"/>
      <c r="X3311" s="38" t="s">
        <v>1017</v>
      </c>
      <c r="AH3311" s="22" t="s">
        <v>1778</v>
      </c>
      <c r="AK3311" t="str">
        <f t="shared" si="1278"/>
        <v/>
      </c>
      <c r="AL3311" t="str">
        <f t="shared" si="1279"/>
        <v/>
      </c>
      <c r="AM3311" t="str">
        <f t="shared" si="1280"/>
        <v/>
      </c>
      <c r="AN3311" t="str">
        <f t="shared" si="1281"/>
        <v/>
      </c>
      <c r="AO3311" t="str">
        <f t="shared" si="1282"/>
        <v>E2a</v>
      </c>
      <c r="AP3311" t="str">
        <f t="shared" si="1283"/>
        <v/>
      </c>
      <c r="AQ3311" t="str">
        <f t="shared" si="1284"/>
        <v/>
      </c>
      <c r="AR3311" t="str">
        <f t="shared" si="1285"/>
        <v/>
      </c>
      <c r="AS3311" t="str">
        <f t="shared" si="1286"/>
        <v/>
      </c>
      <c r="AT3311" t="str">
        <f t="shared" si="1287"/>
        <v>G3</v>
      </c>
      <c r="AU3311" t="str">
        <f t="shared" si="1288"/>
        <v>E2aG3</v>
      </c>
      <c r="AV3311" s="203" t="str">
        <f t="shared" si="1289"/>
        <v>BiK272E2aG3-73</v>
      </c>
      <c r="AW3311">
        <f t="shared" si="1290"/>
        <v>14</v>
      </c>
      <c r="AX3311" t="str">
        <f t="shared" si="1291"/>
        <v>0,5-0,75 MW, Bonusregeln E2a, G3</v>
      </c>
    </row>
    <row r="3312" spans="1:50" x14ac:dyDescent="0.35">
      <c r="A3312" s="502" t="str">
        <f t="shared" si="1270"/>
        <v>BiK272E2cG3-14</v>
      </c>
      <c r="B3312" s="301" t="s">
        <v>5547</v>
      </c>
      <c r="C3312" s="301" t="str">
        <f t="shared" si="1271"/>
        <v>Inbetriebnahme 2014</v>
      </c>
      <c r="D3312" s="301" t="str">
        <f t="shared" si="1272"/>
        <v>0,5-0,75 MW, Bonusregeln E2c, G3</v>
      </c>
      <c r="E3312" s="301"/>
      <c r="F3312" s="377">
        <f t="shared" si="1273"/>
        <v>17.52</v>
      </c>
      <c r="G3312" s="429">
        <v>17.52</v>
      </c>
      <c r="H3312" s="303">
        <f t="shared" si="1274"/>
        <v>14.02</v>
      </c>
      <c r="I3312" s="579"/>
      <c r="J3312" s="549" t="s">
        <v>5804</v>
      </c>
      <c r="K3312" s="11"/>
      <c r="L3312" s="55" t="str">
        <f t="shared" si="1275"/>
        <v/>
      </c>
      <c r="M3312" s="315">
        <f t="shared" si="1276"/>
        <v>17.52</v>
      </c>
      <c r="N3312" s="29">
        <f t="shared" si="1277"/>
        <v>10.564399999999999</v>
      </c>
      <c r="O3312" s="154"/>
      <c r="P3312" s="22"/>
      <c r="Q3312" s="50"/>
      <c r="R3312" s="22"/>
      <c r="S3312" s="31"/>
      <c r="T3312" s="50"/>
      <c r="U3312" s="22" t="s">
        <v>1017</v>
      </c>
      <c r="V3312" s="31"/>
      <c r="W3312" s="22"/>
      <c r="X3312" s="38" t="s">
        <v>1017</v>
      </c>
      <c r="AH3312" s="22" t="s">
        <v>1778</v>
      </c>
      <c r="AK3312" t="str">
        <f t="shared" si="1278"/>
        <v/>
      </c>
      <c r="AL3312" t="str">
        <f t="shared" si="1279"/>
        <v/>
      </c>
      <c r="AM3312" t="str">
        <f t="shared" si="1280"/>
        <v/>
      </c>
      <c r="AN3312" t="str">
        <f t="shared" si="1281"/>
        <v/>
      </c>
      <c r="AO3312" t="str">
        <f t="shared" si="1282"/>
        <v/>
      </c>
      <c r="AP3312" t="str">
        <f t="shared" si="1283"/>
        <v/>
      </c>
      <c r="AQ3312" t="str">
        <f t="shared" si="1284"/>
        <v>E2c</v>
      </c>
      <c r="AR3312" t="str">
        <f t="shared" si="1285"/>
        <v/>
      </c>
      <c r="AS3312" t="str">
        <f t="shared" si="1286"/>
        <v/>
      </c>
      <c r="AT3312" t="str">
        <f t="shared" si="1287"/>
        <v>G3</v>
      </c>
      <c r="AU3312" t="str">
        <f t="shared" si="1288"/>
        <v>E2cG3</v>
      </c>
      <c r="AV3312" s="203" t="str">
        <f t="shared" si="1289"/>
        <v>BiK272E2cG3-73</v>
      </c>
      <c r="AW3312">
        <f t="shared" si="1290"/>
        <v>14</v>
      </c>
      <c r="AX3312" t="str">
        <f t="shared" si="1291"/>
        <v>0,5-0,75 MW, Bonusregeln E2c, G3</v>
      </c>
    </row>
    <row r="3313" spans="1:50" x14ac:dyDescent="0.35">
      <c r="A3313" s="502" t="str">
        <f t="shared" ref="A3313:A3332" si="1292">"BiK273"&amp;AU3313&amp;RIGHT("------",6-LEN(AU3313))&amp;RIGHT($M$3260,2)</f>
        <v>BiK273------14</v>
      </c>
      <c r="B3313" s="301" t="s">
        <v>5547</v>
      </c>
      <c r="C3313" s="301" t="str">
        <f t="shared" si="1271"/>
        <v>Inbetriebnahme 2014</v>
      </c>
      <c r="D3313" s="301" t="str">
        <f t="shared" si="1272"/>
        <v>0,75-5 MW</v>
      </c>
      <c r="E3313" s="301"/>
      <c r="F3313" s="377">
        <f t="shared" si="1273"/>
        <v>10.56</v>
      </c>
      <c r="G3313" s="429">
        <v>10.56</v>
      </c>
      <c r="H3313" s="303">
        <f t="shared" si="1274"/>
        <v>8.4499999999999993</v>
      </c>
      <c r="I3313" s="579"/>
      <c r="J3313" s="549" t="s">
        <v>5804</v>
      </c>
      <c r="K3313" s="11"/>
      <c r="L3313" s="55" t="str">
        <f t="shared" si="1275"/>
        <v/>
      </c>
      <c r="M3313" s="315">
        <f t="shared" si="1276"/>
        <v>10.56</v>
      </c>
      <c r="N3313" s="29">
        <f t="shared" si="1277"/>
        <v>10.564399999999999</v>
      </c>
      <c r="O3313" s="154"/>
      <c r="P3313" s="50"/>
      <c r="Q3313" s="22"/>
      <c r="R3313" s="22"/>
      <c r="S3313" s="31"/>
      <c r="T3313" s="50"/>
      <c r="U3313" s="22"/>
      <c r="V3313" s="31"/>
      <c r="W3313" s="22"/>
      <c r="X3313" s="38"/>
      <c r="AH3313" s="22" t="s">
        <v>1777</v>
      </c>
      <c r="AK3313" t="str">
        <f t="shared" si="1278"/>
        <v/>
      </c>
      <c r="AL3313" t="str">
        <f t="shared" si="1279"/>
        <v/>
      </c>
      <c r="AM3313" t="str">
        <f t="shared" si="1280"/>
        <v/>
      </c>
      <c r="AN3313" t="str">
        <f t="shared" si="1281"/>
        <v/>
      </c>
      <c r="AO3313" t="str">
        <f t="shared" si="1282"/>
        <v/>
      </c>
      <c r="AP3313" t="str">
        <f t="shared" si="1283"/>
        <v/>
      </c>
      <c r="AQ3313" t="str">
        <f t="shared" si="1284"/>
        <v/>
      </c>
      <c r="AR3313" t="str">
        <f t="shared" si="1285"/>
        <v/>
      </c>
      <c r="AS3313" t="str">
        <f t="shared" si="1286"/>
        <v/>
      </c>
      <c r="AT3313" t="str">
        <f t="shared" si="1287"/>
        <v/>
      </c>
      <c r="AU3313" t="str">
        <f t="shared" si="1288"/>
        <v/>
      </c>
      <c r="AV3313" s="203" t="str">
        <f t="shared" ref="AV3313:AV3332" si="1293">"BiK273"&amp;AU3313&amp;RIGHT("------",6-LEN(AU3313))&amp;RIGHT($M$3093,2)</f>
        <v>BiK273------73</v>
      </c>
      <c r="AW3313">
        <f t="shared" si="1290"/>
        <v>14</v>
      </c>
      <c r="AX3313" t="str">
        <f t="shared" si="1291"/>
        <v>0,75-5 MW</v>
      </c>
    </row>
    <row r="3314" spans="1:50" x14ac:dyDescent="0.35">
      <c r="A3314" s="502" t="str">
        <f t="shared" si="1292"/>
        <v>BiK273E1c---14</v>
      </c>
      <c r="B3314" s="301" t="s">
        <v>5547</v>
      </c>
      <c r="C3314" s="301" t="str">
        <f t="shared" si="1271"/>
        <v>Inbetriebnahme 2014</v>
      </c>
      <c r="D3314" s="301" t="str">
        <f t="shared" si="1272"/>
        <v>0,75-5 MW, Bonusregel E1c</v>
      </c>
      <c r="E3314" s="301"/>
      <c r="F3314" s="377">
        <f t="shared" si="1273"/>
        <v>14.56</v>
      </c>
      <c r="G3314" s="429">
        <v>14.56</v>
      </c>
      <c r="H3314" s="303">
        <f t="shared" si="1274"/>
        <v>11.65</v>
      </c>
      <c r="I3314" s="579"/>
      <c r="J3314" s="549" t="s">
        <v>5804</v>
      </c>
      <c r="K3314" s="11"/>
      <c r="L3314" s="55" t="str">
        <f t="shared" si="1275"/>
        <v/>
      </c>
      <c r="M3314" s="315">
        <f t="shared" si="1276"/>
        <v>14.56</v>
      </c>
      <c r="N3314" s="29">
        <f t="shared" si="1277"/>
        <v>10.564399999999999</v>
      </c>
      <c r="O3314" s="154"/>
      <c r="P3314" s="50"/>
      <c r="Q3314" s="22" t="s">
        <v>1017</v>
      </c>
      <c r="R3314" s="22"/>
      <c r="S3314" s="31"/>
      <c r="T3314" s="50"/>
      <c r="U3314" s="22"/>
      <c r="V3314" s="31"/>
      <c r="W3314" s="22"/>
      <c r="X3314" s="38"/>
      <c r="AH3314" s="22" t="s">
        <v>1777</v>
      </c>
      <c r="AK3314" t="str">
        <f t="shared" si="1278"/>
        <v/>
      </c>
      <c r="AL3314" t="str">
        <f t="shared" si="1279"/>
        <v/>
      </c>
      <c r="AM3314" t="str">
        <f t="shared" si="1280"/>
        <v>E1c</v>
      </c>
      <c r="AN3314" t="str">
        <f t="shared" si="1281"/>
        <v/>
      </c>
      <c r="AO3314" t="str">
        <f t="shared" si="1282"/>
        <v/>
      </c>
      <c r="AP3314" t="str">
        <f t="shared" si="1283"/>
        <v/>
      </c>
      <c r="AQ3314" t="str">
        <f t="shared" si="1284"/>
        <v/>
      </c>
      <c r="AR3314" t="str">
        <f t="shared" si="1285"/>
        <v/>
      </c>
      <c r="AS3314" t="str">
        <f t="shared" si="1286"/>
        <v/>
      </c>
      <c r="AT3314" t="str">
        <f t="shared" si="1287"/>
        <v/>
      </c>
      <c r="AU3314" t="str">
        <f t="shared" si="1288"/>
        <v>E1c</v>
      </c>
      <c r="AV3314" s="203" t="str">
        <f t="shared" si="1293"/>
        <v>BiK273E1c---73</v>
      </c>
      <c r="AW3314">
        <f t="shared" si="1290"/>
        <v>14</v>
      </c>
      <c r="AX3314" t="str">
        <f t="shared" si="1291"/>
        <v>0,75-5 MW, Bonusregel E1c</v>
      </c>
    </row>
    <row r="3315" spans="1:50" x14ac:dyDescent="0.35">
      <c r="A3315" s="502" t="str">
        <f t="shared" si="1292"/>
        <v>BiK273E1d---14</v>
      </c>
      <c r="B3315" s="301" t="s">
        <v>5547</v>
      </c>
      <c r="C3315" s="301" t="str">
        <f t="shared" si="1271"/>
        <v>Inbetriebnahme 2014</v>
      </c>
      <c r="D3315" s="301" t="str">
        <f t="shared" si="1272"/>
        <v>0,75-5 MW, Bonusregel E1d</v>
      </c>
      <c r="E3315" s="301"/>
      <c r="F3315" s="377">
        <f t="shared" si="1273"/>
        <v>13.06</v>
      </c>
      <c r="G3315" s="429">
        <v>13.06</v>
      </c>
      <c r="H3315" s="303">
        <f t="shared" si="1274"/>
        <v>10.45</v>
      </c>
      <c r="I3315" s="579"/>
      <c r="J3315" s="549" t="s">
        <v>5804</v>
      </c>
      <c r="K3315" s="11"/>
      <c r="L3315" s="55" t="str">
        <f t="shared" si="1275"/>
        <v/>
      </c>
      <c r="M3315" s="315">
        <f t="shared" si="1276"/>
        <v>13.06</v>
      </c>
      <c r="N3315" s="29">
        <f t="shared" si="1277"/>
        <v>10.564399999999999</v>
      </c>
      <c r="O3315" s="154"/>
      <c r="P3315" s="50"/>
      <c r="Q3315" s="22"/>
      <c r="R3315" s="22" t="s">
        <v>1017</v>
      </c>
      <c r="S3315" s="31"/>
      <c r="T3315" s="50"/>
      <c r="U3315" s="22"/>
      <c r="V3315" s="31"/>
      <c r="W3315" s="22"/>
      <c r="X3315" s="38"/>
      <c r="AH3315" s="22" t="s">
        <v>1777</v>
      </c>
      <c r="AK3315" t="str">
        <f t="shared" si="1278"/>
        <v/>
      </c>
      <c r="AL3315" t="str">
        <f t="shared" si="1279"/>
        <v/>
      </c>
      <c r="AM3315" t="str">
        <f t="shared" si="1280"/>
        <v/>
      </c>
      <c r="AN3315" t="str">
        <f t="shared" si="1281"/>
        <v>E1d</v>
      </c>
      <c r="AO3315" t="str">
        <f t="shared" si="1282"/>
        <v/>
      </c>
      <c r="AP3315" t="str">
        <f t="shared" si="1283"/>
        <v/>
      </c>
      <c r="AQ3315" t="str">
        <f t="shared" si="1284"/>
        <v/>
      </c>
      <c r="AR3315" t="str">
        <f t="shared" si="1285"/>
        <v/>
      </c>
      <c r="AS3315" t="str">
        <f t="shared" si="1286"/>
        <v/>
      </c>
      <c r="AT3315" t="str">
        <f t="shared" si="1287"/>
        <v/>
      </c>
      <c r="AU3315" t="str">
        <f t="shared" si="1288"/>
        <v>E1d</v>
      </c>
      <c r="AV3315" s="203" t="str">
        <f t="shared" si="1293"/>
        <v>BiK273E1d---73</v>
      </c>
      <c r="AW3315">
        <f t="shared" si="1290"/>
        <v>14</v>
      </c>
      <c r="AX3315" t="str">
        <f t="shared" si="1291"/>
        <v>0,75-5 MW, Bonusregel E1d</v>
      </c>
    </row>
    <row r="3316" spans="1:50" x14ac:dyDescent="0.35">
      <c r="A3316" s="502" t="str">
        <f t="shared" si="1292"/>
        <v>BiK273E2a---14</v>
      </c>
      <c r="B3316" s="301" t="s">
        <v>5547</v>
      </c>
      <c r="C3316" s="301" t="str">
        <f t="shared" si="1271"/>
        <v>Inbetriebnahme 2014</v>
      </c>
      <c r="D3316" s="301" t="str">
        <f t="shared" si="1272"/>
        <v>0,75-5 MW, Bonusregel E2a</v>
      </c>
      <c r="E3316" s="301"/>
      <c r="F3316" s="377">
        <f t="shared" si="1273"/>
        <v>18.560000000000002</v>
      </c>
      <c r="G3316" s="429">
        <v>18.560000000000002</v>
      </c>
      <c r="H3316" s="303">
        <f t="shared" si="1274"/>
        <v>14.85</v>
      </c>
      <c r="I3316" s="579"/>
      <c r="J3316" s="549" t="s">
        <v>5804</v>
      </c>
      <c r="K3316" s="11"/>
      <c r="L3316" s="55" t="str">
        <f t="shared" si="1275"/>
        <v/>
      </c>
      <c r="M3316" s="315">
        <f t="shared" si="1276"/>
        <v>18.560000000000002</v>
      </c>
      <c r="N3316" s="29">
        <f t="shared" si="1277"/>
        <v>10.564399999999999</v>
      </c>
      <c r="O3316" s="154"/>
      <c r="P3316" s="50"/>
      <c r="Q3316" s="22"/>
      <c r="R3316" s="22"/>
      <c r="S3316" s="31" t="s">
        <v>1017</v>
      </c>
      <c r="T3316" s="50"/>
      <c r="U3316" s="22"/>
      <c r="V3316" s="31"/>
      <c r="W3316" s="22"/>
      <c r="X3316" s="38"/>
      <c r="AH3316" s="22" t="s">
        <v>1777</v>
      </c>
      <c r="AK3316" t="str">
        <f t="shared" si="1278"/>
        <v/>
      </c>
      <c r="AL3316" t="str">
        <f t="shared" si="1279"/>
        <v/>
      </c>
      <c r="AM3316" t="str">
        <f t="shared" si="1280"/>
        <v/>
      </c>
      <c r="AN3316" t="str">
        <f t="shared" si="1281"/>
        <v/>
      </c>
      <c r="AO3316" t="str">
        <f t="shared" si="1282"/>
        <v>E2a</v>
      </c>
      <c r="AP3316" t="str">
        <f t="shared" si="1283"/>
        <v/>
      </c>
      <c r="AQ3316" t="str">
        <f t="shared" si="1284"/>
        <v/>
      </c>
      <c r="AR3316" t="str">
        <f t="shared" si="1285"/>
        <v/>
      </c>
      <c r="AS3316" t="str">
        <f t="shared" si="1286"/>
        <v/>
      </c>
      <c r="AT3316" t="str">
        <f t="shared" si="1287"/>
        <v/>
      </c>
      <c r="AU3316" t="str">
        <f t="shared" si="1288"/>
        <v>E2a</v>
      </c>
      <c r="AV3316" s="203" t="str">
        <f t="shared" si="1293"/>
        <v>BiK273E2a---73</v>
      </c>
      <c r="AW3316">
        <f t="shared" si="1290"/>
        <v>14</v>
      </c>
      <c r="AX3316" t="str">
        <f t="shared" si="1291"/>
        <v>0,75-5 MW, Bonusregel E2a</v>
      </c>
    </row>
    <row r="3317" spans="1:50" x14ac:dyDescent="0.35">
      <c r="A3317" s="502" t="str">
        <f t="shared" si="1292"/>
        <v>BiK273E2c---14</v>
      </c>
      <c r="B3317" s="301" t="s">
        <v>5547</v>
      </c>
      <c r="C3317" s="301" t="str">
        <f t="shared" si="1271"/>
        <v>Inbetriebnahme 2014</v>
      </c>
      <c r="D3317" s="301" t="str">
        <f t="shared" si="1272"/>
        <v>0,75-5 MW, Bonusregel E2c</v>
      </c>
      <c r="E3317" s="301"/>
      <c r="F3317" s="377">
        <f t="shared" si="1273"/>
        <v>16.560000000000002</v>
      </c>
      <c r="G3317" s="429">
        <v>16.560000000000002</v>
      </c>
      <c r="H3317" s="303">
        <f t="shared" si="1274"/>
        <v>13.25</v>
      </c>
      <c r="I3317" s="579"/>
      <c r="J3317" s="549" t="s">
        <v>5804</v>
      </c>
      <c r="K3317" s="11"/>
      <c r="L3317" s="55" t="str">
        <f t="shared" si="1275"/>
        <v/>
      </c>
      <c r="M3317" s="315">
        <f t="shared" si="1276"/>
        <v>16.560000000000002</v>
      </c>
      <c r="N3317" s="29">
        <f t="shared" si="1277"/>
        <v>10.564399999999999</v>
      </c>
      <c r="O3317" s="154"/>
      <c r="P3317" s="50"/>
      <c r="Q3317" s="22"/>
      <c r="R3317" s="22"/>
      <c r="S3317" s="31"/>
      <c r="T3317" s="50"/>
      <c r="U3317" s="22" t="s">
        <v>1017</v>
      </c>
      <c r="V3317" s="31"/>
      <c r="W3317" s="22"/>
      <c r="X3317" s="38"/>
      <c r="AH3317" s="22" t="s">
        <v>1777</v>
      </c>
      <c r="AK3317" t="str">
        <f t="shared" si="1278"/>
        <v/>
      </c>
      <c r="AL3317" t="str">
        <f t="shared" si="1279"/>
        <v/>
      </c>
      <c r="AM3317" t="str">
        <f t="shared" si="1280"/>
        <v/>
      </c>
      <c r="AN3317" t="str">
        <f t="shared" si="1281"/>
        <v/>
      </c>
      <c r="AO3317" t="str">
        <f t="shared" si="1282"/>
        <v/>
      </c>
      <c r="AP3317" t="str">
        <f t="shared" si="1283"/>
        <v/>
      </c>
      <c r="AQ3317" t="str">
        <f t="shared" si="1284"/>
        <v>E2c</v>
      </c>
      <c r="AR3317" t="str">
        <f t="shared" si="1285"/>
        <v/>
      </c>
      <c r="AS3317" t="str">
        <f t="shared" si="1286"/>
        <v/>
      </c>
      <c r="AT3317" t="str">
        <f t="shared" si="1287"/>
        <v/>
      </c>
      <c r="AU3317" t="str">
        <f t="shared" si="1288"/>
        <v>E2c</v>
      </c>
      <c r="AV3317" s="203" t="str">
        <f t="shared" si="1293"/>
        <v>BiK273E2c---73</v>
      </c>
      <c r="AW3317">
        <f t="shared" si="1290"/>
        <v>14</v>
      </c>
      <c r="AX3317" t="str">
        <f t="shared" si="1291"/>
        <v>0,75-5 MW, Bonusregel E2c</v>
      </c>
    </row>
    <row r="3318" spans="1:50" x14ac:dyDescent="0.35">
      <c r="A3318" s="502" t="str">
        <f t="shared" si="1292"/>
        <v>BiK273G1----14</v>
      </c>
      <c r="B3318" s="301" t="s">
        <v>5547</v>
      </c>
      <c r="C3318" s="301" t="str">
        <f t="shared" si="1271"/>
        <v>Inbetriebnahme 2014</v>
      </c>
      <c r="D3318" s="301" t="str">
        <f t="shared" si="1272"/>
        <v>0,75-5 MW, Bonusregel G1</v>
      </c>
      <c r="E3318" s="301"/>
      <c r="F3318" s="377">
        <f t="shared" si="1273"/>
        <v>13.440000000000001</v>
      </c>
      <c r="G3318" s="429">
        <v>13.440000000000001</v>
      </c>
      <c r="H3318" s="303">
        <f t="shared" si="1274"/>
        <v>10.75</v>
      </c>
      <c r="I3318" s="579"/>
      <c r="J3318" s="549" t="s">
        <v>5804</v>
      </c>
      <c r="K3318" s="11"/>
      <c r="L3318" s="55" t="str">
        <f t="shared" si="1275"/>
        <v/>
      </c>
      <c r="M3318" s="315">
        <f t="shared" si="1276"/>
        <v>13.440000000000001</v>
      </c>
      <c r="N3318" s="29">
        <f t="shared" si="1277"/>
        <v>10.564399999999999</v>
      </c>
      <c r="O3318" s="154"/>
      <c r="P3318" s="50"/>
      <c r="Q3318" s="22"/>
      <c r="R3318" s="22"/>
      <c r="S3318" s="31"/>
      <c r="T3318" s="50"/>
      <c r="U3318" s="22"/>
      <c r="V3318" s="31" t="s">
        <v>1017</v>
      </c>
      <c r="W3318" s="22"/>
      <c r="X3318" s="38"/>
      <c r="AH3318" s="22" t="s">
        <v>1777</v>
      </c>
      <c r="AK3318" t="str">
        <f t="shared" si="1278"/>
        <v/>
      </c>
      <c r="AL3318" t="str">
        <f t="shared" si="1279"/>
        <v/>
      </c>
      <c r="AM3318" t="str">
        <f t="shared" si="1280"/>
        <v/>
      </c>
      <c r="AN3318" t="str">
        <f t="shared" si="1281"/>
        <v/>
      </c>
      <c r="AO3318" t="str">
        <f t="shared" si="1282"/>
        <v/>
      </c>
      <c r="AP3318" t="str">
        <f t="shared" si="1283"/>
        <v/>
      </c>
      <c r="AQ3318" t="str">
        <f t="shared" si="1284"/>
        <v/>
      </c>
      <c r="AR3318" t="str">
        <f t="shared" si="1285"/>
        <v>G1</v>
      </c>
      <c r="AS3318" t="str">
        <f t="shared" si="1286"/>
        <v/>
      </c>
      <c r="AT3318" t="str">
        <f t="shared" si="1287"/>
        <v/>
      </c>
      <c r="AU3318" t="str">
        <f t="shared" si="1288"/>
        <v>G1</v>
      </c>
      <c r="AV3318" s="203" t="str">
        <f t="shared" si="1293"/>
        <v>BiK273G1----73</v>
      </c>
      <c r="AW3318">
        <f t="shared" si="1290"/>
        <v>14</v>
      </c>
      <c r="AX3318" t="str">
        <f t="shared" si="1291"/>
        <v>0,75-5 MW, Bonusregel G1</v>
      </c>
    </row>
    <row r="3319" spans="1:50" x14ac:dyDescent="0.35">
      <c r="A3319" s="502" t="str">
        <f t="shared" si="1292"/>
        <v>BiK273E1cG1-14</v>
      </c>
      <c r="B3319" s="301" t="s">
        <v>5547</v>
      </c>
      <c r="C3319" s="301" t="str">
        <f t="shared" si="1271"/>
        <v>Inbetriebnahme 2014</v>
      </c>
      <c r="D3319" s="301" t="str">
        <f t="shared" si="1272"/>
        <v>0,75-5 MW, Bonusregeln E1c, G1</v>
      </c>
      <c r="E3319" s="301"/>
      <c r="F3319" s="377">
        <f t="shared" si="1273"/>
        <v>17.440000000000001</v>
      </c>
      <c r="G3319" s="429">
        <v>17.440000000000001</v>
      </c>
      <c r="H3319" s="303">
        <f t="shared" si="1274"/>
        <v>13.95</v>
      </c>
      <c r="I3319" s="579"/>
      <c r="J3319" s="549" t="s">
        <v>5804</v>
      </c>
      <c r="K3319" s="11"/>
      <c r="L3319" s="55" t="str">
        <f t="shared" si="1275"/>
        <v/>
      </c>
      <c r="M3319" s="315">
        <f t="shared" si="1276"/>
        <v>17.440000000000001</v>
      </c>
      <c r="N3319" s="29">
        <f t="shared" si="1277"/>
        <v>10.564399999999999</v>
      </c>
      <c r="O3319" s="154"/>
      <c r="P3319" s="50"/>
      <c r="Q3319" s="22" t="s">
        <v>1017</v>
      </c>
      <c r="R3319" s="22"/>
      <c r="S3319" s="31"/>
      <c r="T3319" s="50"/>
      <c r="U3319" s="22"/>
      <c r="V3319" s="31" t="s">
        <v>1017</v>
      </c>
      <c r="W3319" s="22"/>
      <c r="X3319" s="38"/>
      <c r="AH3319" s="22" t="s">
        <v>1777</v>
      </c>
      <c r="AK3319" t="str">
        <f t="shared" si="1278"/>
        <v/>
      </c>
      <c r="AL3319" t="str">
        <f t="shared" si="1279"/>
        <v/>
      </c>
      <c r="AM3319" t="str">
        <f t="shared" si="1280"/>
        <v>E1c</v>
      </c>
      <c r="AN3319" t="str">
        <f t="shared" si="1281"/>
        <v/>
      </c>
      <c r="AO3319" t="str">
        <f t="shared" si="1282"/>
        <v/>
      </c>
      <c r="AP3319" t="str">
        <f t="shared" si="1283"/>
        <v/>
      </c>
      <c r="AQ3319" t="str">
        <f t="shared" si="1284"/>
        <v/>
      </c>
      <c r="AR3319" t="str">
        <f t="shared" si="1285"/>
        <v>G1</v>
      </c>
      <c r="AS3319" t="str">
        <f t="shared" si="1286"/>
        <v/>
      </c>
      <c r="AT3319" t="str">
        <f t="shared" si="1287"/>
        <v/>
      </c>
      <c r="AU3319" t="str">
        <f t="shared" si="1288"/>
        <v>E1cG1</v>
      </c>
      <c r="AV3319" s="203" t="str">
        <f t="shared" si="1293"/>
        <v>BiK273E1cG1-73</v>
      </c>
      <c r="AW3319">
        <f t="shared" si="1290"/>
        <v>14</v>
      </c>
      <c r="AX3319" t="str">
        <f t="shared" si="1291"/>
        <v>0,75-5 MW, Bonusregeln E1c, G1</v>
      </c>
    </row>
    <row r="3320" spans="1:50" x14ac:dyDescent="0.35">
      <c r="A3320" s="502" t="str">
        <f t="shared" si="1292"/>
        <v>BiK273E1dG1-14</v>
      </c>
      <c r="B3320" s="301" t="s">
        <v>5547</v>
      </c>
      <c r="C3320" s="301" t="str">
        <f t="shared" si="1271"/>
        <v>Inbetriebnahme 2014</v>
      </c>
      <c r="D3320" s="301" t="str">
        <f t="shared" si="1272"/>
        <v>0,75-5 MW, Bonusregeln E1d, G1</v>
      </c>
      <c r="E3320" s="301"/>
      <c r="F3320" s="377">
        <f t="shared" si="1273"/>
        <v>15.940000000000001</v>
      </c>
      <c r="G3320" s="429">
        <v>15.940000000000001</v>
      </c>
      <c r="H3320" s="303">
        <f t="shared" si="1274"/>
        <v>12.75</v>
      </c>
      <c r="I3320" s="579"/>
      <c r="J3320" s="549" t="s">
        <v>5804</v>
      </c>
      <c r="K3320" s="11"/>
      <c r="L3320" s="55" t="str">
        <f t="shared" si="1275"/>
        <v/>
      </c>
      <c r="M3320" s="315">
        <f t="shared" si="1276"/>
        <v>15.940000000000001</v>
      </c>
      <c r="N3320" s="29">
        <f t="shared" si="1277"/>
        <v>10.564399999999999</v>
      </c>
      <c r="O3320" s="154"/>
      <c r="P3320" s="50"/>
      <c r="Q3320" s="22"/>
      <c r="R3320" s="22" t="s">
        <v>1017</v>
      </c>
      <c r="S3320" s="31"/>
      <c r="T3320" s="50"/>
      <c r="U3320" s="22"/>
      <c r="V3320" s="31" t="s">
        <v>1017</v>
      </c>
      <c r="W3320" s="22"/>
      <c r="X3320" s="38"/>
      <c r="AH3320" s="22" t="s">
        <v>1777</v>
      </c>
      <c r="AK3320" t="str">
        <f t="shared" si="1278"/>
        <v/>
      </c>
      <c r="AL3320" t="str">
        <f t="shared" si="1279"/>
        <v/>
      </c>
      <c r="AM3320" t="str">
        <f t="shared" si="1280"/>
        <v/>
      </c>
      <c r="AN3320" t="str">
        <f t="shared" si="1281"/>
        <v>E1d</v>
      </c>
      <c r="AO3320" t="str">
        <f t="shared" si="1282"/>
        <v/>
      </c>
      <c r="AP3320" t="str">
        <f t="shared" si="1283"/>
        <v/>
      </c>
      <c r="AQ3320" t="str">
        <f t="shared" si="1284"/>
        <v/>
      </c>
      <c r="AR3320" t="str">
        <f t="shared" si="1285"/>
        <v>G1</v>
      </c>
      <c r="AS3320" t="str">
        <f t="shared" si="1286"/>
        <v/>
      </c>
      <c r="AT3320" t="str">
        <f t="shared" si="1287"/>
        <v/>
      </c>
      <c r="AU3320" t="str">
        <f t="shared" si="1288"/>
        <v>E1dG1</v>
      </c>
      <c r="AV3320" s="203" t="str">
        <f t="shared" si="1293"/>
        <v>BiK273E1dG1-73</v>
      </c>
      <c r="AW3320">
        <f t="shared" si="1290"/>
        <v>14</v>
      </c>
      <c r="AX3320" t="str">
        <f t="shared" si="1291"/>
        <v>0,75-5 MW, Bonusregeln E1d, G1</v>
      </c>
    </row>
    <row r="3321" spans="1:50" x14ac:dyDescent="0.35">
      <c r="A3321" s="502" t="str">
        <f t="shared" si="1292"/>
        <v>BiK273E2aG1-14</v>
      </c>
      <c r="B3321" s="301" t="s">
        <v>5547</v>
      </c>
      <c r="C3321" s="301" t="str">
        <f t="shared" si="1271"/>
        <v>Inbetriebnahme 2014</v>
      </c>
      <c r="D3321" s="301" t="str">
        <f t="shared" si="1272"/>
        <v>0,75-5 MW, Bonusregeln E2a, G1</v>
      </c>
      <c r="E3321" s="301"/>
      <c r="F3321" s="377">
        <f t="shared" si="1273"/>
        <v>21.439999999999998</v>
      </c>
      <c r="G3321" s="429">
        <v>21.439999999999998</v>
      </c>
      <c r="H3321" s="303">
        <f t="shared" si="1274"/>
        <v>17.149999999999999</v>
      </c>
      <c r="I3321" s="579"/>
      <c r="J3321" s="549" t="s">
        <v>5804</v>
      </c>
      <c r="K3321" s="11"/>
      <c r="L3321" s="55" t="str">
        <f t="shared" si="1275"/>
        <v/>
      </c>
      <c r="M3321" s="315">
        <f t="shared" si="1276"/>
        <v>21.439999999999998</v>
      </c>
      <c r="N3321" s="29">
        <f t="shared" si="1277"/>
        <v>10.564399999999999</v>
      </c>
      <c r="O3321" s="154"/>
      <c r="P3321" s="50"/>
      <c r="Q3321" s="22"/>
      <c r="R3321" s="22"/>
      <c r="S3321" s="31" t="s">
        <v>1017</v>
      </c>
      <c r="T3321" s="50"/>
      <c r="U3321" s="22"/>
      <c r="V3321" s="31" t="s">
        <v>1017</v>
      </c>
      <c r="W3321" s="22"/>
      <c r="X3321" s="38"/>
      <c r="AH3321" s="22" t="s">
        <v>1777</v>
      </c>
      <c r="AK3321" t="str">
        <f t="shared" si="1278"/>
        <v/>
      </c>
      <c r="AL3321" t="str">
        <f t="shared" si="1279"/>
        <v/>
      </c>
      <c r="AM3321" t="str">
        <f t="shared" si="1280"/>
        <v/>
      </c>
      <c r="AN3321" t="str">
        <f t="shared" si="1281"/>
        <v/>
      </c>
      <c r="AO3321" t="str">
        <f t="shared" si="1282"/>
        <v>E2a</v>
      </c>
      <c r="AP3321" t="str">
        <f t="shared" si="1283"/>
        <v/>
      </c>
      <c r="AQ3321" t="str">
        <f t="shared" si="1284"/>
        <v/>
      </c>
      <c r="AR3321" t="str">
        <f t="shared" si="1285"/>
        <v>G1</v>
      </c>
      <c r="AS3321" t="str">
        <f t="shared" si="1286"/>
        <v/>
      </c>
      <c r="AT3321" t="str">
        <f t="shared" si="1287"/>
        <v/>
      </c>
      <c r="AU3321" t="str">
        <f t="shared" si="1288"/>
        <v>E2aG1</v>
      </c>
      <c r="AV3321" s="203" t="str">
        <f t="shared" si="1293"/>
        <v>BiK273E2aG1-73</v>
      </c>
      <c r="AW3321">
        <f t="shared" si="1290"/>
        <v>14</v>
      </c>
      <c r="AX3321" t="str">
        <f t="shared" si="1291"/>
        <v>0,75-5 MW, Bonusregeln E2a, G1</v>
      </c>
    </row>
    <row r="3322" spans="1:50" x14ac:dyDescent="0.35">
      <c r="A3322" s="502" t="str">
        <f t="shared" si="1292"/>
        <v>BiK273E2cG1-14</v>
      </c>
      <c r="B3322" s="301" t="s">
        <v>5547</v>
      </c>
      <c r="C3322" s="301" t="str">
        <f t="shared" si="1271"/>
        <v>Inbetriebnahme 2014</v>
      </c>
      <c r="D3322" s="301" t="str">
        <f t="shared" si="1272"/>
        <v>0,75-5 MW, Bonusregeln E2c, G1</v>
      </c>
      <c r="E3322" s="301"/>
      <c r="F3322" s="377">
        <f t="shared" si="1273"/>
        <v>19.439999999999998</v>
      </c>
      <c r="G3322" s="429">
        <v>19.439999999999998</v>
      </c>
      <c r="H3322" s="303">
        <f t="shared" si="1274"/>
        <v>15.55</v>
      </c>
      <c r="I3322" s="579"/>
      <c r="J3322" s="549" t="s">
        <v>5804</v>
      </c>
      <c r="K3322" s="11"/>
      <c r="L3322" s="55" t="str">
        <f t="shared" si="1275"/>
        <v/>
      </c>
      <c r="M3322" s="315">
        <f t="shared" si="1276"/>
        <v>19.439999999999998</v>
      </c>
      <c r="N3322" s="29">
        <f t="shared" si="1277"/>
        <v>10.564399999999999</v>
      </c>
      <c r="O3322" s="154"/>
      <c r="P3322" s="50"/>
      <c r="Q3322" s="22"/>
      <c r="R3322" s="22"/>
      <c r="S3322" s="31"/>
      <c r="T3322" s="50"/>
      <c r="U3322" s="22" t="s">
        <v>1017</v>
      </c>
      <c r="V3322" s="31" t="s">
        <v>1017</v>
      </c>
      <c r="W3322" s="22"/>
      <c r="X3322" s="38"/>
      <c r="AH3322" s="22" t="s">
        <v>1777</v>
      </c>
      <c r="AK3322" t="str">
        <f t="shared" si="1278"/>
        <v/>
      </c>
      <c r="AL3322" t="str">
        <f t="shared" si="1279"/>
        <v/>
      </c>
      <c r="AM3322" t="str">
        <f t="shared" si="1280"/>
        <v/>
      </c>
      <c r="AN3322" t="str">
        <f t="shared" si="1281"/>
        <v/>
      </c>
      <c r="AO3322" t="str">
        <f t="shared" si="1282"/>
        <v/>
      </c>
      <c r="AP3322" t="str">
        <f t="shared" si="1283"/>
        <v/>
      </c>
      <c r="AQ3322" t="str">
        <f t="shared" si="1284"/>
        <v>E2c</v>
      </c>
      <c r="AR3322" t="str">
        <f t="shared" si="1285"/>
        <v>G1</v>
      </c>
      <c r="AS3322" t="str">
        <f t="shared" si="1286"/>
        <v/>
      </c>
      <c r="AT3322" t="str">
        <f t="shared" si="1287"/>
        <v/>
      </c>
      <c r="AU3322" t="str">
        <f t="shared" si="1288"/>
        <v>E2cG1</v>
      </c>
      <c r="AV3322" s="203" t="str">
        <f t="shared" si="1293"/>
        <v>BiK273E2cG1-73</v>
      </c>
      <c r="AW3322">
        <f t="shared" si="1290"/>
        <v>14</v>
      </c>
      <c r="AX3322" t="str">
        <f t="shared" si="1291"/>
        <v>0,75-5 MW, Bonusregeln E2c, G1</v>
      </c>
    </row>
    <row r="3323" spans="1:50" x14ac:dyDescent="0.35">
      <c r="A3323" s="502" t="str">
        <f t="shared" si="1292"/>
        <v>BiK273G2----14</v>
      </c>
      <c r="B3323" s="301" t="s">
        <v>5547</v>
      </c>
      <c r="C3323" s="301" t="str">
        <f t="shared" si="1271"/>
        <v>Inbetriebnahme 2014</v>
      </c>
      <c r="D3323" s="301" t="str">
        <f t="shared" si="1272"/>
        <v>0,75-5 MW, Bonusregel G2</v>
      </c>
      <c r="E3323" s="301"/>
      <c r="F3323" s="377">
        <f t="shared" si="1273"/>
        <v>12.48</v>
      </c>
      <c r="G3323" s="429">
        <v>12.48</v>
      </c>
      <c r="H3323" s="303">
        <f t="shared" si="1274"/>
        <v>9.98</v>
      </c>
      <c r="I3323" s="579"/>
      <c r="J3323" s="549" t="s">
        <v>5804</v>
      </c>
      <c r="K3323" s="11"/>
      <c r="L3323" s="55" t="str">
        <f t="shared" si="1275"/>
        <v/>
      </c>
      <c r="M3323" s="315">
        <f t="shared" si="1276"/>
        <v>12.48</v>
      </c>
      <c r="N3323" s="29">
        <f t="shared" si="1277"/>
        <v>10.564399999999999</v>
      </c>
      <c r="O3323" s="154"/>
      <c r="P3323" s="50"/>
      <c r="Q3323" s="22"/>
      <c r="R3323" s="22"/>
      <c r="S3323" s="31"/>
      <c r="T3323" s="50"/>
      <c r="U3323" s="22"/>
      <c r="V3323" s="31"/>
      <c r="W3323" s="22" t="s">
        <v>1017</v>
      </c>
      <c r="X3323" s="38"/>
      <c r="AH3323" s="22" t="s">
        <v>1777</v>
      </c>
      <c r="AK3323" t="str">
        <f t="shared" si="1278"/>
        <v/>
      </c>
      <c r="AL3323" t="str">
        <f t="shared" si="1279"/>
        <v/>
      </c>
      <c r="AM3323" t="str">
        <f t="shared" si="1280"/>
        <v/>
      </c>
      <c r="AN3323" t="str">
        <f t="shared" si="1281"/>
        <v/>
      </c>
      <c r="AO3323" t="str">
        <f t="shared" si="1282"/>
        <v/>
      </c>
      <c r="AP3323" t="str">
        <f t="shared" si="1283"/>
        <v/>
      </c>
      <c r="AQ3323" t="str">
        <f t="shared" si="1284"/>
        <v/>
      </c>
      <c r="AR3323" t="str">
        <f t="shared" si="1285"/>
        <v/>
      </c>
      <c r="AS3323" t="str">
        <f t="shared" si="1286"/>
        <v>G2</v>
      </c>
      <c r="AT3323" t="str">
        <f t="shared" si="1287"/>
        <v/>
      </c>
      <c r="AU3323" t="str">
        <f t="shared" si="1288"/>
        <v>G2</v>
      </c>
      <c r="AV3323" s="203" t="str">
        <f t="shared" si="1293"/>
        <v>BiK273G2----73</v>
      </c>
      <c r="AW3323">
        <f t="shared" si="1290"/>
        <v>14</v>
      </c>
      <c r="AX3323" t="str">
        <f t="shared" si="1291"/>
        <v>0,75-5 MW, Bonusregel G2</v>
      </c>
    </row>
    <row r="3324" spans="1:50" x14ac:dyDescent="0.35">
      <c r="A3324" s="502" t="str">
        <f t="shared" si="1292"/>
        <v>BiK273E1cG2-14</v>
      </c>
      <c r="B3324" s="301" t="s">
        <v>5547</v>
      </c>
      <c r="C3324" s="301" t="str">
        <f t="shared" si="1271"/>
        <v>Inbetriebnahme 2014</v>
      </c>
      <c r="D3324" s="301" t="str">
        <f t="shared" si="1272"/>
        <v>0,75-5 MW, Bonusregeln E1c, G2</v>
      </c>
      <c r="E3324" s="301"/>
      <c r="F3324" s="377">
        <f t="shared" si="1273"/>
        <v>16.48</v>
      </c>
      <c r="G3324" s="429">
        <v>16.48</v>
      </c>
      <c r="H3324" s="303">
        <f t="shared" si="1274"/>
        <v>13.18</v>
      </c>
      <c r="I3324" s="579"/>
      <c r="J3324" s="549" t="s">
        <v>5804</v>
      </c>
      <c r="K3324" s="11"/>
      <c r="L3324" s="55" t="str">
        <f t="shared" si="1275"/>
        <v/>
      </c>
      <c r="M3324" s="315">
        <f t="shared" si="1276"/>
        <v>16.48</v>
      </c>
      <c r="N3324" s="29">
        <f t="shared" si="1277"/>
        <v>10.564399999999999</v>
      </c>
      <c r="O3324" s="154"/>
      <c r="P3324" s="50"/>
      <c r="Q3324" s="22" t="s">
        <v>1017</v>
      </c>
      <c r="R3324" s="22"/>
      <c r="S3324" s="31"/>
      <c r="T3324" s="50"/>
      <c r="U3324" s="22"/>
      <c r="V3324" s="31"/>
      <c r="W3324" s="22" t="s">
        <v>1017</v>
      </c>
      <c r="X3324" s="38"/>
      <c r="AH3324" s="22" t="s">
        <v>1777</v>
      </c>
      <c r="AK3324" t="str">
        <f t="shared" si="1278"/>
        <v/>
      </c>
      <c r="AL3324" t="str">
        <f t="shared" si="1279"/>
        <v/>
      </c>
      <c r="AM3324" t="str">
        <f t="shared" si="1280"/>
        <v>E1c</v>
      </c>
      <c r="AN3324" t="str">
        <f t="shared" si="1281"/>
        <v/>
      </c>
      <c r="AO3324" t="str">
        <f t="shared" si="1282"/>
        <v/>
      </c>
      <c r="AP3324" t="str">
        <f t="shared" si="1283"/>
        <v/>
      </c>
      <c r="AQ3324" t="str">
        <f t="shared" si="1284"/>
        <v/>
      </c>
      <c r="AR3324" t="str">
        <f t="shared" si="1285"/>
        <v/>
      </c>
      <c r="AS3324" t="str">
        <f t="shared" si="1286"/>
        <v>G2</v>
      </c>
      <c r="AT3324" t="str">
        <f t="shared" si="1287"/>
        <v/>
      </c>
      <c r="AU3324" t="str">
        <f t="shared" si="1288"/>
        <v>E1cG2</v>
      </c>
      <c r="AV3324" s="203" t="str">
        <f t="shared" si="1293"/>
        <v>BiK273E1cG2-73</v>
      </c>
      <c r="AW3324">
        <f t="shared" si="1290"/>
        <v>14</v>
      </c>
      <c r="AX3324" t="str">
        <f t="shared" si="1291"/>
        <v>0,75-5 MW, Bonusregeln E1c, G2</v>
      </c>
    </row>
    <row r="3325" spans="1:50" x14ac:dyDescent="0.35">
      <c r="A3325" s="502" t="str">
        <f t="shared" si="1292"/>
        <v>BiK273E1dG2-14</v>
      </c>
      <c r="B3325" s="301" t="s">
        <v>5547</v>
      </c>
      <c r="C3325" s="301" t="str">
        <f t="shared" ref="C3325:C3333" si="1294">"Inbetriebnahme "&amp;$M$3260</f>
        <v>Inbetriebnahme 2014</v>
      </c>
      <c r="D3325" s="301" t="str">
        <f t="shared" ref="D3325:D3333" si="1295">IF(COUNTA(O3325:X3325)=0,AH3325,AH3325&amp;", Bonusregel"&amp;IF(AND(COUNTA(O3325:U3325)&gt;0,COUNTA(V3325:X3325)&gt;0),"n "&amp;AK3325&amp;AL3325&amp;AM3325&amp;AN3325&amp;AO3325&amp;AP3325&amp;AQ3325&amp;", "&amp;AR3325&amp;AS3325&amp;AT3325," "&amp;AK3325&amp;AL3325&amp;AM3325&amp;AN3325&amp;AO3325&amp;AP3325&amp;AQ3325&amp;AR3325&amp;AS3325&amp;AT3325))</f>
        <v>0,75-5 MW, Bonusregeln E1d, G2</v>
      </c>
      <c r="E3325" s="301"/>
      <c r="F3325" s="377">
        <f t="shared" ref="F3325:F3333" si="1296">M3325</f>
        <v>14.98</v>
      </c>
      <c r="G3325" s="429">
        <v>14.98</v>
      </c>
      <c r="H3325" s="303">
        <f t="shared" ref="H3325:H3333" si="1297">IF(ISNUMBER(G3325),ROUND(0.8*G3325,2),"")</f>
        <v>11.98</v>
      </c>
      <c r="I3325" s="579"/>
      <c r="J3325" s="549" t="s">
        <v>5804</v>
      </c>
      <c r="K3325" s="11"/>
      <c r="L3325" s="55" t="str">
        <f t="shared" ref="L3325:L3333" si="1298">IF(F3325=M3325,"",FALSE)</f>
        <v/>
      </c>
      <c r="M3325" s="315">
        <f t="shared" ref="M3325:M3333" si="1299">ROUND(N3325,2)+SUMIF(O3325:X3325,"x",$O$3260:$X$3260)</f>
        <v>14.98</v>
      </c>
      <c r="N3325" s="29">
        <f t="shared" ref="N3325:N3333" si="1300">N3246*(1-$Y$3260)</f>
        <v>10.564399999999999</v>
      </c>
      <c r="O3325" s="154"/>
      <c r="P3325" s="50"/>
      <c r="Q3325" s="22"/>
      <c r="R3325" s="22" t="s">
        <v>1017</v>
      </c>
      <c r="S3325" s="31"/>
      <c r="T3325" s="50"/>
      <c r="U3325" s="22"/>
      <c r="V3325" s="31"/>
      <c r="W3325" s="22" t="s">
        <v>1017</v>
      </c>
      <c r="X3325" s="38"/>
      <c r="AH3325" s="22" t="s">
        <v>1777</v>
      </c>
      <c r="AK3325" t="str">
        <f t="shared" ref="AK3325:AK3333" si="1301">IF(O3325="x",O$3259,"")</f>
        <v/>
      </c>
      <c r="AL3325" t="str">
        <f t="shared" ref="AL3325:AL3333" si="1302">IF(P3325="x",P$3259,"")</f>
        <v/>
      </c>
      <c r="AM3325" t="str">
        <f t="shared" ref="AM3325:AM3333" si="1303">IF(Q3325="x",Q$3259,"")</f>
        <v/>
      </c>
      <c r="AN3325" t="str">
        <f t="shared" ref="AN3325:AN3333" si="1304">IF(R3325="x",R$3259,"")</f>
        <v>E1d</v>
      </c>
      <c r="AO3325" t="str">
        <f t="shared" ref="AO3325:AO3333" si="1305">IF(S3325="x",S$3259,"")</f>
        <v/>
      </c>
      <c r="AP3325" t="str">
        <f t="shared" ref="AP3325:AP3333" si="1306">IF(T3325="x",T$3259,"")</f>
        <v/>
      </c>
      <c r="AQ3325" t="str">
        <f t="shared" ref="AQ3325:AQ3333" si="1307">IF(U3325="x",U$3259,"")</f>
        <v/>
      </c>
      <c r="AR3325" t="str">
        <f t="shared" ref="AR3325:AR3333" si="1308">IF(V3325="x",V$3259,"")</f>
        <v/>
      </c>
      <c r="AS3325" t="str">
        <f t="shared" ref="AS3325:AS3333" si="1309">IF(W3325="x",W$3259,"")</f>
        <v>G2</v>
      </c>
      <c r="AT3325" t="str">
        <f t="shared" ref="AT3325:AT3333" si="1310">IF(X3325="x",X$3259,"")</f>
        <v/>
      </c>
      <c r="AU3325" t="str">
        <f t="shared" ref="AU3325:AU3333" si="1311">AK3325&amp;AL3325&amp;AM3325&amp;AN3325&amp;AO3325&amp;AP3325&amp;AQ3325&amp;AR3325&amp;AS3325&amp;AT3325</f>
        <v>E1dG2</v>
      </c>
      <c r="AV3325" s="203" t="str">
        <f t="shared" si="1293"/>
        <v>BiK273E1dG2-73</v>
      </c>
      <c r="AW3325">
        <f t="shared" ref="AW3325:AW3333" si="1312">LEN(AV3325)</f>
        <v>14</v>
      </c>
      <c r="AX3325" t="str">
        <f t="shared" ref="AX3325:AX3333" si="1313">IF(COUNTA(O3325:X3325)=0,AH3325,AH3325&amp;", Bonusregel"&amp;IF(AND(COUNTA(O3325:U3325)&gt;0,COUNTA(V3325:X3325)&gt;0),"n "&amp;AK3325&amp;AL3325&amp;AM3325&amp;AN3325&amp;AO3325&amp;AP3325&amp;AQ3325&amp;", "&amp;AR3325&amp;AS3325&amp;AT3325," "&amp;AK3325&amp;AL3325&amp;AM3325&amp;AN3325&amp;AO3325&amp;AP3325&amp;AQ3325&amp;AR3325&amp;AS3325&amp;AT3325))</f>
        <v>0,75-5 MW, Bonusregeln E1d, G2</v>
      </c>
    </row>
    <row r="3326" spans="1:50" x14ac:dyDescent="0.35">
      <c r="A3326" s="502" t="str">
        <f t="shared" si="1292"/>
        <v>BiK273E2aG2-14</v>
      </c>
      <c r="B3326" s="301" t="s">
        <v>5547</v>
      </c>
      <c r="C3326" s="301" t="str">
        <f t="shared" si="1294"/>
        <v>Inbetriebnahme 2014</v>
      </c>
      <c r="D3326" s="301" t="str">
        <f t="shared" si="1295"/>
        <v>0,75-5 MW, Bonusregeln E2a, G2</v>
      </c>
      <c r="E3326" s="301"/>
      <c r="F3326" s="377">
        <f t="shared" si="1296"/>
        <v>20.48</v>
      </c>
      <c r="G3326" s="429">
        <v>20.48</v>
      </c>
      <c r="H3326" s="303">
        <f t="shared" si="1297"/>
        <v>16.38</v>
      </c>
      <c r="I3326" s="579"/>
      <c r="J3326" s="549" t="s">
        <v>5804</v>
      </c>
      <c r="K3326" s="11"/>
      <c r="L3326" s="55" t="str">
        <f t="shared" si="1298"/>
        <v/>
      </c>
      <c r="M3326" s="315">
        <f t="shared" si="1299"/>
        <v>20.48</v>
      </c>
      <c r="N3326" s="29">
        <f t="shared" si="1300"/>
        <v>10.564399999999999</v>
      </c>
      <c r="O3326" s="154"/>
      <c r="P3326" s="50"/>
      <c r="Q3326" s="22"/>
      <c r="R3326" s="22"/>
      <c r="S3326" s="31" t="s">
        <v>1017</v>
      </c>
      <c r="T3326" s="50"/>
      <c r="U3326" s="22"/>
      <c r="V3326" s="31"/>
      <c r="W3326" s="22" t="s">
        <v>1017</v>
      </c>
      <c r="X3326" s="38"/>
      <c r="AH3326" s="22" t="s">
        <v>1777</v>
      </c>
      <c r="AK3326" t="str">
        <f t="shared" si="1301"/>
        <v/>
      </c>
      <c r="AL3326" t="str">
        <f t="shared" si="1302"/>
        <v/>
      </c>
      <c r="AM3326" t="str">
        <f t="shared" si="1303"/>
        <v/>
      </c>
      <c r="AN3326" t="str">
        <f t="shared" si="1304"/>
        <v/>
      </c>
      <c r="AO3326" t="str">
        <f t="shared" si="1305"/>
        <v>E2a</v>
      </c>
      <c r="AP3326" t="str">
        <f t="shared" si="1306"/>
        <v/>
      </c>
      <c r="AQ3326" t="str">
        <f t="shared" si="1307"/>
        <v/>
      </c>
      <c r="AR3326" t="str">
        <f t="shared" si="1308"/>
        <v/>
      </c>
      <c r="AS3326" t="str">
        <f t="shared" si="1309"/>
        <v>G2</v>
      </c>
      <c r="AT3326" t="str">
        <f t="shared" si="1310"/>
        <v/>
      </c>
      <c r="AU3326" t="str">
        <f t="shared" si="1311"/>
        <v>E2aG2</v>
      </c>
      <c r="AV3326" s="203" t="str">
        <f t="shared" si="1293"/>
        <v>BiK273E2aG2-73</v>
      </c>
      <c r="AW3326">
        <f t="shared" si="1312"/>
        <v>14</v>
      </c>
      <c r="AX3326" t="str">
        <f t="shared" si="1313"/>
        <v>0,75-5 MW, Bonusregeln E2a, G2</v>
      </c>
    </row>
    <row r="3327" spans="1:50" x14ac:dyDescent="0.35">
      <c r="A3327" s="502" t="str">
        <f t="shared" si="1292"/>
        <v>BiK273E2cG2-14</v>
      </c>
      <c r="B3327" s="301" t="s">
        <v>5547</v>
      </c>
      <c r="C3327" s="301" t="str">
        <f t="shared" si="1294"/>
        <v>Inbetriebnahme 2014</v>
      </c>
      <c r="D3327" s="301" t="str">
        <f t="shared" si="1295"/>
        <v>0,75-5 MW, Bonusregeln E2c, G2</v>
      </c>
      <c r="E3327" s="301"/>
      <c r="F3327" s="377">
        <f t="shared" si="1296"/>
        <v>18.48</v>
      </c>
      <c r="G3327" s="429">
        <v>18.48</v>
      </c>
      <c r="H3327" s="303">
        <f t="shared" si="1297"/>
        <v>14.78</v>
      </c>
      <c r="I3327" s="579"/>
      <c r="J3327" s="549" t="s">
        <v>5804</v>
      </c>
      <c r="K3327" s="11"/>
      <c r="L3327" s="55" t="str">
        <f t="shared" si="1298"/>
        <v/>
      </c>
      <c r="M3327" s="315">
        <f t="shared" si="1299"/>
        <v>18.48</v>
      </c>
      <c r="N3327" s="29">
        <f t="shared" si="1300"/>
        <v>10.564399999999999</v>
      </c>
      <c r="O3327" s="154"/>
      <c r="P3327" s="50"/>
      <c r="Q3327" s="22"/>
      <c r="R3327" s="22"/>
      <c r="S3327" s="31"/>
      <c r="T3327" s="50"/>
      <c r="U3327" s="22" t="s">
        <v>1017</v>
      </c>
      <c r="V3327" s="31"/>
      <c r="W3327" s="22" t="s">
        <v>1017</v>
      </c>
      <c r="X3327" s="38"/>
      <c r="AH3327" s="22" t="s">
        <v>1777</v>
      </c>
      <c r="AK3327" t="str">
        <f t="shared" si="1301"/>
        <v/>
      </c>
      <c r="AL3327" t="str">
        <f t="shared" si="1302"/>
        <v/>
      </c>
      <c r="AM3327" t="str">
        <f t="shared" si="1303"/>
        <v/>
      </c>
      <c r="AN3327" t="str">
        <f t="shared" si="1304"/>
        <v/>
      </c>
      <c r="AO3327" t="str">
        <f t="shared" si="1305"/>
        <v/>
      </c>
      <c r="AP3327" t="str">
        <f t="shared" si="1306"/>
        <v/>
      </c>
      <c r="AQ3327" t="str">
        <f t="shared" si="1307"/>
        <v>E2c</v>
      </c>
      <c r="AR3327" t="str">
        <f t="shared" si="1308"/>
        <v/>
      </c>
      <c r="AS3327" t="str">
        <f t="shared" si="1309"/>
        <v>G2</v>
      </c>
      <c r="AT3327" t="str">
        <f t="shared" si="1310"/>
        <v/>
      </c>
      <c r="AU3327" t="str">
        <f t="shared" si="1311"/>
        <v>E2cG2</v>
      </c>
      <c r="AV3327" s="203" t="str">
        <f t="shared" si="1293"/>
        <v>BiK273E2cG2-73</v>
      </c>
      <c r="AW3327">
        <f t="shared" si="1312"/>
        <v>14</v>
      </c>
      <c r="AX3327" t="str">
        <f t="shared" si="1313"/>
        <v>0,75-5 MW, Bonusregeln E2c, G2</v>
      </c>
    </row>
    <row r="3328" spans="1:50" x14ac:dyDescent="0.35">
      <c r="A3328" s="502" t="str">
        <f t="shared" si="1292"/>
        <v>BiK273G3----14</v>
      </c>
      <c r="B3328" s="301" t="s">
        <v>5547</v>
      </c>
      <c r="C3328" s="301" t="str">
        <f t="shared" si="1294"/>
        <v>Inbetriebnahme 2014</v>
      </c>
      <c r="D3328" s="301" t="str">
        <f t="shared" si="1295"/>
        <v>0,75-5 MW, Bonusregel G3</v>
      </c>
      <c r="E3328" s="301"/>
      <c r="F3328" s="377">
        <f t="shared" si="1296"/>
        <v>11.52</v>
      </c>
      <c r="G3328" s="429">
        <v>11.52</v>
      </c>
      <c r="H3328" s="303">
        <f t="shared" si="1297"/>
        <v>9.2200000000000006</v>
      </c>
      <c r="I3328" s="579"/>
      <c r="J3328" s="549" t="s">
        <v>5804</v>
      </c>
      <c r="K3328" s="11"/>
      <c r="L3328" s="55" t="str">
        <f t="shared" si="1298"/>
        <v/>
      </c>
      <c r="M3328" s="315">
        <f t="shared" si="1299"/>
        <v>11.52</v>
      </c>
      <c r="N3328" s="29">
        <f t="shared" si="1300"/>
        <v>10.564399999999999</v>
      </c>
      <c r="O3328" s="154"/>
      <c r="P3328" s="50"/>
      <c r="Q3328" s="22"/>
      <c r="R3328" s="22"/>
      <c r="S3328" s="31"/>
      <c r="T3328" s="50"/>
      <c r="U3328" s="22"/>
      <c r="V3328" s="31"/>
      <c r="W3328" s="22"/>
      <c r="X3328" s="38" t="s">
        <v>1017</v>
      </c>
      <c r="AH3328" s="22" t="s">
        <v>1777</v>
      </c>
      <c r="AK3328" t="str">
        <f t="shared" si="1301"/>
        <v/>
      </c>
      <c r="AL3328" t="str">
        <f t="shared" si="1302"/>
        <v/>
      </c>
      <c r="AM3328" t="str">
        <f t="shared" si="1303"/>
        <v/>
      </c>
      <c r="AN3328" t="str">
        <f t="shared" si="1304"/>
        <v/>
      </c>
      <c r="AO3328" t="str">
        <f t="shared" si="1305"/>
        <v/>
      </c>
      <c r="AP3328" t="str">
        <f t="shared" si="1306"/>
        <v/>
      </c>
      <c r="AQ3328" t="str">
        <f t="shared" si="1307"/>
        <v/>
      </c>
      <c r="AR3328" t="str">
        <f t="shared" si="1308"/>
        <v/>
      </c>
      <c r="AS3328" t="str">
        <f t="shared" si="1309"/>
        <v/>
      </c>
      <c r="AT3328" t="str">
        <f t="shared" si="1310"/>
        <v>G3</v>
      </c>
      <c r="AU3328" t="str">
        <f t="shared" si="1311"/>
        <v>G3</v>
      </c>
      <c r="AV3328" s="203" t="str">
        <f t="shared" si="1293"/>
        <v>BiK273G3----73</v>
      </c>
      <c r="AW3328">
        <f t="shared" si="1312"/>
        <v>14</v>
      </c>
      <c r="AX3328" t="str">
        <f t="shared" si="1313"/>
        <v>0,75-5 MW, Bonusregel G3</v>
      </c>
    </row>
    <row r="3329" spans="1:50" x14ac:dyDescent="0.35">
      <c r="A3329" s="502" t="str">
        <f t="shared" si="1292"/>
        <v>BiK273E1cG3-14</v>
      </c>
      <c r="B3329" s="301" t="s">
        <v>5547</v>
      </c>
      <c r="C3329" s="301" t="str">
        <f t="shared" si="1294"/>
        <v>Inbetriebnahme 2014</v>
      </c>
      <c r="D3329" s="301" t="str">
        <f t="shared" si="1295"/>
        <v>0,75-5 MW, Bonusregeln E1c, G3</v>
      </c>
      <c r="E3329" s="301"/>
      <c r="F3329" s="377">
        <f t="shared" si="1296"/>
        <v>15.52</v>
      </c>
      <c r="G3329" s="429">
        <v>15.52</v>
      </c>
      <c r="H3329" s="303">
        <f t="shared" si="1297"/>
        <v>12.42</v>
      </c>
      <c r="I3329" s="579"/>
      <c r="J3329" s="549" t="s">
        <v>5804</v>
      </c>
      <c r="K3329" s="11"/>
      <c r="L3329" s="55" t="str">
        <f t="shared" si="1298"/>
        <v/>
      </c>
      <c r="M3329" s="315">
        <f t="shared" si="1299"/>
        <v>15.52</v>
      </c>
      <c r="N3329" s="29">
        <f t="shared" si="1300"/>
        <v>10.564399999999999</v>
      </c>
      <c r="O3329" s="154"/>
      <c r="P3329" s="50"/>
      <c r="Q3329" s="22" t="s">
        <v>1017</v>
      </c>
      <c r="R3329" s="22"/>
      <c r="S3329" s="31"/>
      <c r="T3329" s="50"/>
      <c r="U3329" s="22"/>
      <c r="V3329" s="31"/>
      <c r="W3329" s="22"/>
      <c r="X3329" s="38" t="s">
        <v>1017</v>
      </c>
      <c r="AH3329" s="22" t="s">
        <v>1777</v>
      </c>
      <c r="AK3329" t="str">
        <f t="shared" si="1301"/>
        <v/>
      </c>
      <c r="AL3329" t="str">
        <f t="shared" si="1302"/>
        <v/>
      </c>
      <c r="AM3329" t="str">
        <f t="shared" si="1303"/>
        <v>E1c</v>
      </c>
      <c r="AN3329" t="str">
        <f t="shared" si="1304"/>
        <v/>
      </c>
      <c r="AO3329" t="str">
        <f t="shared" si="1305"/>
        <v/>
      </c>
      <c r="AP3329" t="str">
        <f t="shared" si="1306"/>
        <v/>
      </c>
      <c r="AQ3329" t="str">
        <f t="shared" si="1307"/>
        <v/>
      </c>
      <c r="AR3329" t="str">
        <f t="shared" si="1308"/>
        <v/>
      </c>
      <c r="AS3329" t="str">
        <f t="shared" si="1309"/>
        <v/>
      </c>
      <c r="AT3329" t="str">
        <f t="shared" si="1310"/>
        <v>G3</v>
      </c>
      <c r="AU3329" t="str">
        <f t="shared" si="1311"/>
        <v>E1cG3</v>
      </c>
      <c r="AV3329" s="203" t="str">
        <f t="shared" si="1293"/>
        <v>BiK273E1cG3-73</v>
      </c>
      <c r="AW3329">
        <f t="shared" si="1312"/>
        <v>14</v>
      </c>
      <c r="AX3329" t="str">
        <f t="shared" si="1313"/>
        <v>0,75-5 MW, Bonusregeln E1c, G3</v>
      </c>
    </row>
    <row r="3330" spans="1:50" x14ac:dyDescent="0.35">
      <c r="A3330" s="502" t="str">
        <f t="shared" si="1292"/>
        <v>BiK273E1dG3-14</v>
      </c>
      <c r="B3330" s="301" t="s">
        <v>5547</v>
      </c>
      <c r="C3330" s="301" t="str">
        <f t="shared" si="1294"/>
        <v>Inbetriebnahme 2014</v>
      </c>
      <c r="D3330" s="301" t="str">
        <f t="shared" si="1295"/>
        <v>0,75-5 MW, Bonusregeln E1d, G3</v>
      </c>
      <c r="E3330" s="301"/>
      <c r="F3330" s="377">
        <f t="shared" si="1296"/>
        <v>14.02</v>
      </c>
      <c r="G3330" s="429">
        <v>14.02</v>
      </c>
      <c r="H3330" s="303">
        <f t="shared" si="1297"/>
        <v>11.22</v>
      </c>
      <c r="I3330" s="579"/>
      <c r="J3330" s="549" t="s">
        <v>5804</v>
      </c>
      <c r="K3330" s="11"/>
      <c r="L3330" s="55" t="str">
        <f t="shared" si="1298"/>
        <v/>
      </c>
      <c r="M3330" s="315">
        <f t="shared" si="1299"/>
        <v>14.02</v>
      </c>
      <c r="N3330" s="29">
        <f t="shared" si="1300"/>
        <v>10.564399999999999</v>
      </c>
      <c r="O3330" s="154"/>
      <c r="P3330" s="50"/>
      <c r="Q3330" s="22"/>
      <c r="R3330" s="22" t="s">
        <v>1017</v>
      </c>
      <c r="S3330" s="31"/>
      <c r="T3330" s="50"/>
      <c r="U3330" s="22"/>
      <c r="V3330" s="31"/>
      <c r="W3330" s="22"/>
      <c r="X3330" s="38" t="s">
        <v>1017</v>
      </c>
      <c r="AH3330" s="22" t="s">
        <v>1777</v>
      </c>
      <c r="AK3330" t="str">
        <f t="shared" si="1301"/>
        <v/>
      </c>
      <c r="AL3330" t="str">
        <f t="shared" si="1302"/>
        <v/>
      </c>
      <c r="AM3330" t="str">
        <f t="shared" si="1303"/>
        <v/>
      </c>
      <c r="AN3330" t="str">
        <f t="shared" si="1304"/>
        <v>E1d</v>
      </c>
      <c r="AO3330" t="str">
        <f t="shared" si="1305"/>
        <v/>
      </c>
      <c r="AP3330" t="str">
        <f t="shared" si="1306"/>
        <v/>
      </c>
      <c r="AQ3330" t="str">
        <f t="shared" si="1307"/>
        <v/>
      </c>
      <c r="AR3330" t="str">
        <f t="shared" si="1308"/>
        <v/>
      </c>
      <c r="AS3330" t="str">
        <f t="shared" si="1309"/>
        <v/>
      </c>
      <c r="AT3330" t="str">
        <f t="shared" si="1310"/>
        <v>G3</v>
      </c>
      <c r="AU3330" t="str">
        <f t="shared" si="1311"/>
        <v>E1dG3</v>
      </c>
      <c r="AV3330" s="203" t="str">
        <f t="shared" si="1293"/>
        <v>BiK273E1dG3-73</v>
      </c>
      <c r="AW3330">
        <f t="shared" si="1312"/>
        <v>14</v>
      </c>
      <c r="AX3330" t="str">
        <f t="shared" si="1313"/>
        <v>0,75-5 MW, Bonusregeln E1d, G3</v>
      </c>
    </row>
    <row r="3331" spans="1:50" x14ac:dyDescent="0.35">
      <c r="A3331" s="502" t="str">
        <f t="shared" si="1292"/>
        <v>BiK273E2aG3-14</v>
      </c>
      <c r="B3331" s="301" t="s">
        <v>5547</v>
      </c>
      <c r="C3331" s="301" t="str">
        <f t="shared" si="1294"/>
        <v>Inbetriebnahme 2014</v>
      </c>
      <c r="D3331" s="301" t="str">
        <f t="shared" si="1295"/>
        <v>0,75-5 MW, Bonusregeln E2a, G3</v>
      </c>
      <c r="E3331" s="301"/>
      <c r="F3331" s="377">
        <f t="shared" si="1296"/>
        <v>19.520000000000003</v>
      </c>
      <c r="G3331" s="429">
        <v>19.520000000000003</v>
      </c>
      <c r="H3331" s="303">
        <f t="shared" si="1297"/>
        <v>15.62</v>
      </c>
      <c r="I3331" s="579"/>
      <c r="J3331" s="549" t="s">
        <v>5804</v>
      </c>
      <c r="K3331" s="11"/>
      <c r="L3331" s="55" t="str">
        <f t="shared" si="1298"/>
        <v/>
      </c>
      <c r="M3331" s="315">
        <f t="shared" si="1299"/>
        <v>19.520000000000003</v>
      </c>
      <c r="N3331" s="29">
        <f t="shared" si="1300"/>
        <v>10.564399999999999</v>
      </c>
      <c r="O3331" s="154"/>
      <c r="P3331" s="50"/>
      <c r="Q3331" s="22"/>
      <c r="R3331" s="22"/>
      <c r="S3331" s="31" t="s">
        <v>1017</v>
      </c>
      <c r="T3331" s="50"/>
      <c r="U3331" s="22"/>
      <c r="V3331" s="31"/>
      <c r="W3331" s="22"/>
      <c r="X3331" s="38" t="s">
        <v>1017</v>
      </c>
      <c r="AH3331" s="22" t="s">
        <v>1777</v>
      </c>
      <c r="AK3331" t="str">
        <f t="shared" si="1301"/>
        <v/>
      </c>
      <c r="AL3331" t="str">
        <f t="shared" si="1302"/>
        <v/>
      </c>
      <c r="AM3331" t="str">
        <f t="shared" si="1303"/>
        <v/>
      </c>
      <c r="AN3331" t="str">
        <f t="shared" si="1304"/>
        <v/>
      </c>
      <c r="AO3331" t="str">
        <f t="shared" si="1305"/>
        <v>E2a</v>
      </c>
      <c r="AP3331" t="str">
        <f t="shared" si="1306"/>
        <v/>
      </c>
      <c r="AQ3331" t="str">
        <f t="shared" si="1307"/>
        <v/>
      </c>
      <c r="AR3331" t="str">
        <f t="shared" si="1308"/>
        <v/>
      </c>
      <c r="AS3331" t="str">
        <f t="shared" si="1309"/>
        <v/>
      </c>
      <c r="AT3331" t="str">
        <f t="shared" si="1310"/>
        <v>G3</v>
      </c>
      <c r="AU3331" t="str">
        <f t="shared" si="1311"/>
        <v>E2aG3</v>
      </c>
      <c r="AV3331" s="203" t="str">
        <f t="shared" si="1293"/>
        <v>BiK273E2aG3-73</v>
      </c>
      <c r="AW3331">
        <f t="shared" si="1312"/>
        <v>14</v>
      </c>
      <c r="AX3331" t="str">
        <f t="shared" si="1313"/>
        <v>0,75-5 MW, Bonusregeln E2a, G3</v>
      </c>
    </row>
    <row r="3332" spans="1:50" x14ac:dyDescent="0.35">
      <c r="A3332" s="502" t="str">
        <f t="shared" si="1292"/>
        <v>BiK273E2cG3-14</v>
      </c>
      <c r="B3332" s="301" t="s">
        <v>5547</v>
      </c>
      <c r="C3332" s="301" t="str">
        <f t="shared" si="1294"/>
        <v>Inbetriebnahme 2014</v>
      </c>
      <c r="D3332" s="301" t="str">
        <f t="shared" si="1295"/>
        <v>0,75-5 MW, Bonusregeln E2c, G3</v>
      </c>
      <c r="E3332" s="301"/>
      <c r="F3332" s="377">
        <f t="shared" si="1296"/>
        <v>17.52</v>
      </c>
      <c r="G3332" s="429">
        <v>17.52</v>
      </c>
      <c r="H3332" s="303">
        <f t="shared" si="1297"/>
        <v>14.02</v>
      </c>
      <c r="I3332" s="579"/>
      <c r="J3332" s="549" t="s">
        <v>5804</v>
      </c>
      <c r="K3332" s="11"/>
      <c r="L3332" s="55" t="str">
        <f t="shared" si="1298"/>
        <v/>
      </c>
      <c r="M3332" s="315">
        <f t="shared" si="1299"/>
        <v>17.52</v>
      </c>
      <c r="N3332" s="29">
        <f t="shared" si="1300"/>
        <v>10.564399999999999</v>
      </c>
      <c r="O3332" s="154"/>
      <c r="P3332" s="50"/>
      <c r="Q3332" s="22"/>
      <c r="R3332" s="22"/>
      <c r="S3332" s="31"/>
      <c r="T3332" s="50"/>
      <c r="U3332" s="22" t="s">
        <v>1017</v>
      </c>
      <c r="V3332" s="31"/>
      <c r="W3332" s="22"/>
      <c r="X3332" s="38" t="s">
        <v>1017</v>
      </c>
      <c r="AH3332" s="22" t="s">
        <v>1777</v>
      </c>
      <c r="AK3332" t="str">
        <f t="shared" si="1301"/>
        <v/>
      </c>
      <c r="AL3332" t="str">
        <f t="shared" si="1302"/>
        <v/>
      </c>
      <c r="AM3332" t="str">
        <f t="shared" si="1303"/>
        <v/>
      </c>
      <c r="AN3332" t="str">
        <f t="shared" si="1304"/>
        <v/>
      </c>
      <c r="AO3332" t="str">
        <f t="shared" si="1305"/>
        <v/>
      </c>
      <c r="AP3332" t="str">
        <f t="shared" si="1306"/>
        <v/>
      </c>
      <c r="AQ3332" t="str">
        <f t="shared" si="1307"/>
        <v>E2c</v>
      </c>
      <c r="AR3332" t="str">
        <f t="shared" si="1308"/>
        <v/>
      </c>
      <c r="AS3332" t="str">
        <f t="shared" si="1309"/>
        <v/>
      </c>
      <c r="AT3332" t="str">
        <f t="shared" si="1310"/>
        <v>G3</v>
      </c>
      <c r="AU3332" t="str">
        <f t="shared" si="1311"/>
        <v>E2cG3</v>
      </c>
      <c r="AV3332" s="203" t="str">
        <f t="shared" si="1293"/>
        <v>BiK273E2cG3-73</v>
      </c>
      <c r="AW3332">
        <f t="shared" si="1312"/>
        <v>14</v>
      </c>
      <c r="AX3332" t="str">
        <f t="shared" si="1313"/>
        <v>0,75-5 MW, Bonusregeln E2c, G3</v>
      </c>
    </row>
    <row r="3333" spans="1:50" x14ac:dyDescent="0.35">
      <c r="A3333" s="502" t="str">
        <f>"BiK274"&amp;AU3333&amp;RIGHT("------",6-LEN(AU3333))&amp;RIGHT($M$3260,2)</f>
        <v>BiK274------14</v>
      </c>
      <c r="B3333" s="301" t="s">
        <v>5547</v>
      </c>
      <c r="C3333" s="301" t="str">
        <f t="shared" si="1294"/>
        <v>Inbetriebnahme 2014</v>
      </c>
      <c r="D3333" s="301" t="str">
        <f t="shared" si="1295"/>
        <v>5-20 MW</v>
      </c>
      <c r="E3333" s="301"/>
      <c r="F3333" s="377">
        <f t="shared" si="1296"/>
        <v>5.76</v>
      </c>
      <c r="G3333" s="429">
        <v>5.76</v>
      </c>
      <c r="H3333" s="303">
        <f t="shared" si="1297"/>
        <v>4.6100000000000003</v>
      </c>
      <c r="I3333" s="579"/>
      <c r="J3333" s="549" t="s">
        <v>5804</v>
      </c>
      <c r="K3333" s="11"/>
      <c r="L3333" s="55" t="str">
        <f t="shared" si="1298"/>
        <v/>
      </c>
      <c r="M3333" s="315">
        <f t="shared" si="1299"/>
        <v>5.76</v>
      </c>
      <c r="N3333" s="29">
        <f t="shared" si="1300"/>
        <v>5.7623999999999995</v>
      </c>
      <c r="O3333" s="154"/>
      <c r="P3333" s="50"/>
      <c r="Q3333" s="50"/>
      <c r="R3333" s="52"/>
      <c r="S3333" s="50"/>
      <c r="T3333" s="50"/>
      <c r="U3333" s="52"/>
      <c r="V3333" s="50"/>
      <c r="W3333" s="50"/>
      <c r="X3333" s="52"/>
      <c r="AH3333" s="22" t="s">
        <v>1776</v>
      </c>
      <c r="AK3333" t="str">
        <f t="shared" si="1301"/>
        <v/>
      </c>
      <c r="AL3333" t="str">
        <f t="shared" si="1302"/>
        <v/>
      </c>
      <c r="AM3333" t="str">
        <f t="shared" si="1303"/>
        <v/>
      </c>
      <c r="AN3333" t="str">
        <f t="shared" si="1304"/>
        <v/>
      </c>
      <c r="AO3333" t="str">
        <f t="shared" si="1305"/>
        <v/>
      </c>
      <c r="AP3333" t="str">
        <f t="shared" si="1306"/>
        <v/>
      </c>
      <c r="AQ3333" t="str">
        <f t="shared" si="1307"/>
        <v/>
      </c>
      <c r="AR3333" t="str">
        <f t="shared" si="1308"/>
        <v/>
      </c>
      <c r="AS3333" t="str">
        <f t="shared" si="1309"/>
        <v/>
      </c>
      <c r="AT3333" t="str">
        <f t="shared" si="1310"/>
        <v/>
      </c>
      <c r="AU3333" t="str">
        <f t="shared" si="1311"/>
        <v/>
      </c>
      <c r="AV3333" s="203" t="str">
        <f>"BiK274"&amp;AU3333&amp;RIGHT("------",6-LEN(AU3333))&amp;RIGHT($M$3093,2)</f>
        <v>BiK274------73</v>
      </c>
      <c r="AW3333">
        <f t="shared" si="1312"/>
        <v>14</v>
      </c>
      <c r="AX3333" t="str">
        <f t="shared" si="1313"/>
        <v>5-20 MW</v>
      </c>
    </row>
    <row r="3334" spans="1:50" x14ac:dyDescent="0.35">
      <c r="A3334" s="2"/>
      <c r="B3334" s="1"/>
      <c r="C3334" s="1"/>
      <c r="D3334" s="1"/>
      <c r="E3334" s="1"/>
      <c r="F3334" s="362"/>
      <c r="G3334" s="10"/>
      <c r="H3334" s="10"/>
      <c r="I3334" s="566"/>
      <c r="J3334" s="549" t="s">
        <v>4179</v>
      </c>
      <c r="K3334" s="9"/>
      <c r="M3334" s="22"/>
      <c r="N3334" s="11"/>
      <c r="O3334" s="11"/>
    </row>
    <row r="3335" spans="1:50" s="207" customFormat="1" ht="20.25" customHeight="1" x14ac:dyDescent="0.35">
      <c r="A3335" s="212" t="s">
        <v>77</v>
      </c>
      <c r="B3335" s="204"/>
      <c r="C3335" s="204"/>
      <c r="D3335" s="204"/>
      <c r="E3335" s="204"/>
      <c r="F3335" s="381"/>
      <c r="G3335" s="205"/>
      <c r="H3335" s="205"/>
      <c r="I3335" s="583"/>
      <c r="J3335" s="549" t="s">
        <v>5804</v>
      </c>
      <c r="K3335" s="206"/>
      <c r="M3335" s="208" t="s">
        <v>78</v>
      </c>
      <c r="N3335" s="209"/>
      <c r="O3335" s="209"/>
    </row>
    <row r="3336" spans="1:50" x14ac:dyDescent="0.35">
      <c r="A3336" s="2"/>
      <c r="B3336" s="1"/>
      <c r="C3336" s="1"/>
      <c r="D3336" s="1"/>
      <c r="E3336" s="1"/>
      <c r="F3336" s="362"/>
      <c r="G3336" s="10"/>
      <c r="H3336" s="10" t="str">
        <f t="shared" ref="H3336:H3362" si="1314">IF(ISNUMBER(G3336),ROUND(0.8*G3336,2),"")</f>
        <v/>
      </c>
      <c r="I3336" s="566"/>
      <c r="J3336" s="549" t="s">
        <v>4179</v>
      </c>
      <c r="N3336" s="29" t="s">
        <v>5489</v>
      </c>
      <c r="O3336" t="s">
        <v>1780</v>
      </c>
      <c r="P3336" t="s">
        <v>1779</v>
      </c>
      <c r="Q3336" t="s">
        <v>5407</v>
      </c>
      <c r="R3336" t="s">
        <v>1776</v>
      </c>
    </row>
    <row r="3337" spans="1:50" x14ac:dyDescent="0.35">
      <c r="A3337" s="495" t="s">
        <v>79</v>
      </c>
      <c r="B3337" s="356" t="s">
        <v>5547</v>
      </c>
      <c r="C3337" s="356" t="s">
        <v>39</v>
      </c>
      <c r="D3337" s="356" t="s">
        <v>1780</v>
      </c>
      <c r="E3337" s="356"/>
      <c r="F3337" s="369">
        <f>ROUND(HLOOKUP(D3337,O3336:R3338,3,FALSE),2)</f>
        <v>13.46</v>
      </c>
      <c r="G3337" s="357">
        <f>ROUND(HLOOKUP(D3337,O3336:R3338,2,FALSE),2)</f>
        <v>13.66</v>
      </c>
      <c r="H3337" s="357">
        <f t="shared" si="1314"/>
        <v>10.93</v>
      </c>
      <c r="I3337" s="573"/>
      <c r="J3337" s="549" t="s">
        <v>5804</v>
      </c>
      <c r="M3337" s="101">
        <v>2014</v>
      </c>
      <c r="N3337" s="322" t="s">
        <v>83</v>
      </c>
      <c r="O3337" s="261">
        <v>13.66</v>
      </c>
      <c r="P3337" s="261">
        <v>11.78</v>
      </c>
      <c r="Q3337" s="261">
        <v>10.55</v>
      </c>
      <c r="R3337" s="261">
        <v>5.85</v>
      </c>
      <c r="S3337" s="261"/>
      <c r="T3337" t="s">
        <v>49</v>
      </c>
    </row>
    <row r="3338" spans="1:50" x14ac:dyDescent="0.35">
      <c r="A3338" s="495" t="s">
        <v>80</v>
      </c>
      <c r="B3338" s="356" t="s">
        <v>5547</v>
      </c>
      <c r="C3338" s="356" t="s">
        <v>39</v>
      </c>
      <c r="D3338" s="356" t="s">
        <v>1779</v>
      </c>
      <c r="E3338" s="356"/>
      <c r="F3338" s="369">
        <f>ROUND(HLOOKUP(D3338,O3336:R3338,3,FALSE),2)</f>
        <v>11.58</v>
      </c>
      <c r="G3338" s="357">
        <f>ROUND(HLOOKUP(D3338,O3336:R3338,2,FALSE),2)</f>
        <v>11.78</v>
      </c>
      <c r="H3338" s="357">
        <f t="shared" si="1314"/>
        <v>9.42</v>
      </c>
      <c r="I3338" s="573"/>
      <c r="J3338" s="549" t="s">
        <v>5804</v>
      </c>
      <c r="N3338" s="322" t="s">
        <v>85</v>
      </c>
      <c r="O3338" s="261">
        <f>O3337-0.2</f>
        <v>13.46</v>
      </c>
      <c r="P3338" s="261">
        <f>P3337-0.2</f>
        <v>11.58</v>
      </c>
      <c r="Q3338" s="261">
        <f>Q3337-0.2</f>
        <v>10.350000000000001</v>
      </c>
      <c r="R3338" s="261">
        <f>R3337-0.2</f>
        <v>5.6499999999999995</v>
      </c>
      <c r="S3338" s="261"/>
      <c r="T3338" t="s">
        <v>50</v>
      </c>
    </row>
    <row r="3339" spans="1:50" x14ac:dyDescent="0.35">
      <c r="A3339" s="495" t="s">
        <v>81</v>
      </c>
      <c r="B3339" s="356" t="s">
        <v>5547</v>
      </c>
      <c r="C3339" s="356" t="s">
        <v>39</v>
      </c>
      <c r="D3339" s="356" t="s">
        <v>5407</v>
      </c>
      <c r="E3339" s="356"/>
      <c r="F3339" s="369">
        <f>ROUND(HLOOKUP(D3339,O3336:R3338,3,FALSE),2)</f>
        <v>10.35</v>
      </c>
      <c r="G3339" s="357">
        <f>ROUND(HLOOKUP(D3339,O3336:R3338,2,FALSE),2)</f>
        <v>10.55</v>
      </c>
      <c r="H3339" s="357">
        <f t="shared" si="1314"/>
        <v>8.44</v>
      </c>
      <c r="I3339" s="573"/>
      <c r="J3339" s="549" t="s">
        <v>5804</v>
      </c>
      <c r="N3339" s="322"/>
      <c r="O3339" s="261"/>
      <c r="P3339" s="261"/>
      <c r="Q3339" s="261"/>
    </row>
    <row r="3340" spans="1:50" x14ac:dyDescent="0.35">
      <c r="A3340" s="495" t="s">
        <v>82</v>
      </c>
      <c r="B3340" s="356" t="s">
        <v>5547</v>
      </c>
      <c r="C3340" s="356" t="s">
        <v>39</v>
      </c>
      <c r="D3340" s="356" t="s">
        <v>1776</v>
      </c>
      <c r="E3340" s="356"/>
      <c r="F3340" s="369">
        <f>ROUND(HLOOKUP(D3340,O3336:R3338,3,FALSE),2)</f>
        <v>5.65</v>
      </c>
      <c r="G3340" s="357">
        <f>ROUND(HLOOKUP(D3340,O3336:R3338,2,FALSE),2)</f>
        <v>5.85</v>
      </c>
      <c r="H3340" s="357">
        <f t="shared" si="1314"/>
        <v>4.68</v>
      </c>
      <c r="I3340" s="573"/>
      <c r="J3340" s="549" t="s">
        <v>5804</v>
      </c>
      <c r="N3340" s="322"/>
      <c r="O3340" s="261"/>
      <c r="P3340" s="261"/>
      <c r="Q3340" s="261"/>
    </row>
    <row r="3341" spans="1:50" x14ac:dyDescent="0.35">
      <c r="A3341" s="496"/>
      <c r="B3341" s="1"/>
      <c r="C3341" s="1"/>
      <c r="D3341" s="1"/>
      <c r="E3341" s="1"/>
      <c r="F3341" s="362"/>
      <c r="G3341" s="10"/>
      <c r="H3341" s="10" t="str">
        <f t="shared" si="1314"/>
        <v/>
      </c>
      <c r="I3341" s="566"/>
      <c r="J3341" s="549" t="s">
        <v>4179</v>
      </c>
      <c r="N3341" s="29" t="s">
        <v>5489</v>
      </c>
      <c r="O3341" t="s">
        <v>1780</v>
      </c>
      <c r="P3341" t="s">
        <v>1779</v>
      </c>
      <c r="Q3341" t="s">
        <v>5407</v>
      </c>
      <c r="R3341" t="s">
        <v>1776</v>
      </c>
    </row>
    <row r="3342" spans="1:50" x14ac:dyDescent="0.35">
      <c r="A3342" s="495" t="s">
        <v>398</v>
      </c>
      <c r="B3342" s="356" t="s">
        <v>5547</v>
      </c>
      <c r="C3342" s="356" t="s">
        <v>380</v>
      </c>
      <c r="D3342" s="356" t="s">
        <v>1780</v>
      </c>
      <c r="E3342" s="356"/>
      <c r="F3342" s="369">
        <f>ROUND(HLOOKUP(D3342,O3341:R3343,3,FALSE),2)</f>
        <v>13.46</v>
      </c>
      <c r="G3342" s="357">
        <f>ROUND(HLOOKUP(D3342,O3341:R3343,2,FALSE),2)</f>
        <v>13.66</v>
      </c>
      <c r="H3342" s="357">
        <f t="shared" si="1314"/>
        <v>10.93</v>
      </c>
      <c r="I3342" s="573"/>
      <c r="J3342" s="549" t="s">
        <v>5804</v>
      </c>
      <c r="M3342" s="101">
        <v>2015</v>
      </c>
      <c r="N3342" s="322" t="s">
        <v>83</v>
      </c>
      <c r="O3342" s="261">
        <v>13.66</v>
      </c>
      <c r="P3342" s="261">
        <v>11.78</v>
      </c>
      <c r="Q3342" s="261">
        <v>10.55</v>
      </c>
      <c r="R3342" s="261">
        <v>5.85</v>
      </c>
      <c r="S3342" s="261"/>
      <c r="T3342" t="s">
        <v>49</v>
      </c>
    </row>
    <row r="3343" spans="1:50" x14ac:dyDescent="0.35">
      <c r="A3343" s="495" t="s">
        <v>399</v>
      </c>
      <c r="B3343" s="356" t="s">
        <v>5547</v>
      </c>
      <c r="C3343" s="356" t="s">
        <v>380</v>
      </c>
      <c r="D3343" s="356" t="s">
        <v>1779</v>
      </c>
      <c r="E3343" s="356"/>
      <c r="F3343" s="369">
        <f>ROUND(HLOOKUP(D3343,O3341:R3343,3,FALSE),2)</f>
        <v>11.58</v>
      </c>
      <c r="G3343" s="357">
        <f>ROUND(HLOOKUP(D3343,O3341:R3343,2,FALSE),2)</f>
        <v>11.78</v>
      </c>
      <c r="H3343" s="357">
        <f t="shared" si="1314"/>
        <v>9.42</v>
      </c>
      <c r="I3343" s="573"/>
      <c r="J3343" s="549" t="s">
        <v>5804</v>
      </c>
      <c r="N3343" s="322" t="s">
        <v>85</v>
      </c>
      <c r="O3343" s="261">
        <f>O3342-0.2</f>
        <v>13.46</v>
      </c>
      <c r="P3343" s="261">
        <f>P3342-0.2</f>
        <v>11.58</v>
      </c>
      <c r="Q3343" s="261">
        <f>Q3342-0.2</f>
        <v>10.350000000000001</v>
      </c>
      <c r="R3343" s="261">
        <f>R3342-0.2</f>
        <v>5.6499999999999995</v>
      </c>
      <c r="S3343" s="261"/>
      <c r="T3343" t="s">
        <v>50</v>
      </c>
    </row>
    <row r="3344" spans="1:50" x14ac:dyDescent="0.35">
      <c r="A3344" s="495" t="s">
        <v>400</v>
      </c>
      <c r="B3344" s="356" t="s">
        <v>5547</v>
      </c>
      <c r="C3344" s="356" t="s">
        <v>380</v>
      </c>
      <c r="D3344" s="356" t="s">
        <v>5407</v>
      </c>
      <c r="E3344" s="356"/>
      <c r="F3344" s="369">
        <f>ROUND(HLOOKUP(D3344,O3341:R3343,3,FALSE),2)</f>
        <v>10.35</v>
      </c>
      <c r="G3344" s="357">
        <f>ROUND(HLOOKUP(D3344,O3341:R3343,2,FALSE),2)</f>
        <v>10.55</v>
      </c>
      <c r="H3344" s="357">
        <f t="shared" si="1314"/>
        <v>8.44</v>
      </c>
      <c r="I3344" s="573"/>
      <c r="J3344" s="549" t="s">
        <v>5804</v>
      </c>
      <c r="N3344" s="322"/>
      <c r="O3344" s="261"/>
      <c r="P3344" s="261"/>
      <c r="Q3344" s="261"/>
    </row>
    <row r="3345" spans="1:26" x14ac:dyDescent="0.35">
      <c r="A3345" s="495" t="s">
        <v>401</v>
      </c>
      <c r="B3345" s="356" t="s">
        <v>5547</v>
      </c>
      <c r="C3345" s="356" t="s">
        <v>380</v>
      </c>
      <c r="D3345" s="356" t="s">
        <v>1776</v>
      </c>
      <c r="E3345" s="356"/>
      <c r="F3345" s="369">
        <f>ROUND(HLOOKUP(D3345,O3341:R3343,3,FALSE),2)</f>
        <v>5.65</v>
      </c>
      <c r="G3345" s="357">
        <f>ROUND(HLOOKUP(D3345,O3341:R3343,2,FALSE),2)</f>
        <v>5.85</v>
      </c>
      <c r="H3345" s="357">
        <f t="shared" si="1314"/>
        <v>4.68</v>
      </c>
      <c r="I3345" s="573"/>
      <c r="J3345" s="549" t="s">
        <v>5804</v>
      </c>
      <c r="N3345" s="322"/>
      <c r="O3345" s="261"/>
      <c r="P3345" s="261"/>
      <c r="Q3345" s="261"/>
    </row>
    <row r="3346" spans="1:26" x14ac:dyDescent="0.35">
      <c r="A3346" s="496"/>
      <c r="B3346" s="1"/>
      <c r="C3346" s="1"/>
      <c r="D3346" s="1"/>
      <c r="E3346" s="1"/>
      <c r="F3346" s="362"/>
      <c r="G3346" s="10"/>
      <c r="H3346" s="10" t="str">
        <f t="shared" si="1314"/>
        <v/>
      </c>
      <c r="I3346" s="566"/>
      <c r="J3346" s="549" t="s">
        <v>4179</v>
      </c>
      <c r="M3346">
        <v>2016</v>
      </c>
      <c r="N3346" t="s">
        <v>5681</v>
      </c>
      <c r="O3346" s="29" t="s">
        <v>5489</v>
      </c>
      <c r="P3346" t="s">
        <v>1780</v>
      </c>
      <c r="Q3346" t="s">
        <v>1779</v>
      </c>
      <c r="R3346" t="s">
        <v>5407</v>
      </c>
      <c r="S3346" t="s">
        <v>1776</v>
      </c>
      <c r="T3346" t="s">
        <v>49</v>
      </c>
      <c r="U3346" s="101" t="s">
        <v>2883</v>
      </c>
      <c r="V3346" t="s">
        <v>1780</v>
      </c>
      <c r="W3346" t="s">
        <v>1779</v>
      </c>
      <c r="X3346" t="s">
        <v>5407</v>
      </c>
      <c r="Y3346" t="s">
        <v>1776</v>
      </c>
      <c r="Z3346" t="s">
        <v>50</v>
      </c>
    </row>
    <row r="3347" spans="1:26" x14ac:dyDescent="0.35">
      <c r="A3347" s="495" t="s">
        <v>5677</v>
      </c>
      <c r="B3347" s="356" t="s">
        <v>5547</v>
      </c>
      <c r="C3347" s="356" t="s">
        <v>5676</v>
      </c>
      <c r="D3347" s="356" t="s">
        <v>1780</v>
      </c>
      <c r="E3347" s="356"/>
      <c r="F3347" s="369">
        <f t="shared" ref="F3347:F3362" si="1315">IF(HLOOKUP($D3347,$V$3346:$Y$3350,MATCH(MID($A3347,11,2),$N$3346:$N$3350,0),FALSE)&lt;&gt;"",ROUND(HLOOKUP($D3347,$V$3346:$Y$3350,MATCH(MID($A3347,11,2),$N$3346:$N$3350,0),FALSE),2),"")</f>
        <v>13.39</v>
      </c>
      <c r="G3347" s="357">
        <f t="shared" ref="G3347:G3362" si="1316">IF(HLOOKUP($D3347,$O$3346:$S$3350,MATCH(MID($A3347,11,2),$N$3346:$N$3350,0),FALSE)&lt;&gt;"",ROUND(HLOOKUP($D3347,$O$3346:$S$3350,MATCH(MID($A3347,11,2),$N$3346:$N$3350,0),FALSE),2),"")</f>
        <v>13.59</v>
      </c>
      <c r="H3347" s="357">
        <f t="shared" si="1314"/>
        <v>10.87</v>
      </c>
      <c r="I3347" s="573"/>
      <c r="J3347" s="549" t="s">
        <v>5804</v>
      </c>
      <c r="N3347" s="520" t="s">
        <v>5758</v>
      </c>
      <c r="O3347" s="461">
        <v>5.0000000000000001E-3</v>
      </c>
      <c r="P3347" s="261">
        <f>IF($O3347&lt;&gt;"",(1-$O3347)*O3342,"")</f>
        <v>13.591699999999999</v>
      </c>
      <c r="Q3347" s="261">
        <f>IF($O3347&lt;&gt;"",(1-$O3347)*P3342,"")</f>
        <v>11.7211</v>
      </c>
      <c r="R3347" s="261">
        <f>IF($O3347&lt;&gt;"",(1-$O3347)*Q3342,"")</f>
        <v>10.497250000000001</v>
      </c>
      <c r="S3347" s="261">
        <f>IF($O3347&lt;&gt;"",(1-$O3347)*R3342,"")</f>
        <v>5.8207499999999994</v>
      </c>
      <c r="V3347" s="261">
        <f>IF($O3347&lt;&gt;"",(1-$O3347)*O3343,"")</f>
        <v>13.392700000000001</v>
      </c>
      <c r="W3347" s="261">
        <f>IF($O3347&lt;&gt;"",(1-$O3347)*P3343,"")</f>
        <v>11.5221</v>
      </c>
      <c r="X3347" s="261">
        <f>IF($O3347&lt;&gt;"",(1-$O3347)*Q3343,"")</f>
        <v>10.298250000000001</v>
      </c>
      <c r="Y3347" s="261">
        <f>IF($O3347&lt;&gt;"",(1-$O3347)*R3343,"")</f>
        <v>5.6217499999999996</v>
      </c>
    </row>
    <row r="3348" spans="1:26" x14ac:dyDescent="0.35">
      <c r="A3348" s="495" t="s">
        <v>5678</v>
      </c>
      <c r="B3348" s="356" t="s">
        <v>5547</v>
      </c>
      <c r="C3348" s="356" t="s">
        <v>5676</v>
      </c>
      <c r="D3348" s="356" t="s">
        <v>1779</v>
      </c>
      <c r="E3348" s="356"/>
      <c r="F3348" s="369">
        <f t="shared" si="1315"/>
        <v>11.52</v>
      </c>
      <c r="G3348" s="357">
        <f t="shared" si="1316"/>
        <v>11.72</v>
      </c>
      <c r="H3348" s="357">
        <f t="shared" si="1314"/>
        <v>9.3800000000000008</v>
      </c>
      <c r="I3348" s="573"/>
      <c r="J3348" s="549" t="s">
        <v>5804</v>
      </c>
      <c r="N3348" s="520" t="s">
        <v>5759</v>
      </c>
      <c r="O3348" s="461">
        <v>5.0000000000000001E-3</v>
      </c>
      <c r="P3348" s="261">
        <f t="shared" ref="P3348:S3350" si="1317">IF($O3348&lt;&gt;"",(1-$O3348)*P3347,"")</f>
        <v>13.5237415</v>
      </c>
      <c r="Q3348" s="261">
        <f t="shared" si="1317"/>
        <v>11.662494499999999</v>
      </c>
      <c r="R3348" s="261">
        <f t="shared" si="1317"/>
        <v>10.444763750000002</v>
      </c>
      <c r="S3348" s="261">
        <f t="shared" si="1317"/>
        <v>5.7916462499999994</v>
      </c>
      <c r="V3348" s="261">
        <f t="shared" ref="V3348:Y3350" si="1318">IF($O3348&lt;&gt;"",(1-$O3348)*V3347,"")</f>
        <v>13.325736500000001</v>
      </c>
      <c r="W3348" s="261">
        <f t="shared" si="1318"/>
        <v>11.464489499999999</v>
      </c>
      <c r="X3348" s="261">
        <f t="shared" si="1318"/>
        <v>10.246758750000001</v>
      </c>
      <c r="Y3348" s="261">
        <f t="shared" si="1318"/>
        <v>5.5936412499999992</v>
      </c>
    </row>
    <row r="3349" spans="1:26" x14ac:dyDescent="0.35">
      <c r="A3349" s="495" t="s">
        <v>5679</v>
      </c>
      <c r="B3349" s="356" t="s">
        <v>5547</v>
      </c>
      <c r="C3349" s="356" t="s">
        <v>5676</v>
      </c>
      <c r="D3349" s="356" t="s">
        <v>5407</v>
      </c>
      <c r="E3349" s="356"/>
      <c r="F3349" s="369">
        <f t="shared" si="1315"/>
        <v>10.3</v>
      </c>
      <c r="G3349" s="357">
        <f t="shared" si="1316"/>
        <v>10.5</v>
      </c>
      <c r="H3349" s="357">
        <f t="shared" si="1314"/>
        <v>8.4</v>
      </c>
      <c r="I3349" s="573"/>
      <c r="J3349" s="549" t="s">
        <v>5804</v>
      </c>
      <c r="N3349" s="520" t="s">
        <v>5760</v>
      </c>
      <c r="O3349" s="461">
        <v>5.0000000000000001E-3</v>
      </c>
      <c r="P3349" s="261">
        <f t="shared" si="1317"/>
        <v>13.4561227925</v>
      </c>
      <c r="Q3349" s="261">
        <f t="shared" si="1317"/>
        <v>11.604182027499998</v>
      </c>
      <c r="R3349" s="261">
        <f t="shared" si="1317"/>
        <v>10.392539931250001</v>
      </c>
      <c r="S3349" s="261">
        <f t="shared" si="1317"/>
        <v>5.7626880187499996</v>
      </c>
      <c r="V3349" s="261">
        <f t="shared" si="1318"/>
        <v>13.259107817500002</v>
      </c>
      <c r="W3349" s="261">
        <f t="shared" si="1318"/>
        <v>11.407167052499998</v>
      </c>
      <c r="X3349" s="261">
        <f t="shared" si="1318"/>
        <v>10.195524956250001</v>
      </c>
      <c r="Y3349" s="261">
        <f t="shared" si="1318"/>
        <v>5.5656730437499995</v>
      </c>
    </row>
    <row r="3350" spans="1:26" x14ac:dyDescent="0.35">
      <c r="A3350" s="495" t="s">
        <v>5680</v>
      </c>
      <c r="B3350" s="356" t="s">
        <v>5547</v>
      </c>
      <c r="C3350" s="356" t="s">
        <v>5676</v>
      </c>
      <c r="D3350" s="356" t="s">
        <v>1776</v>
      </c>
      <c r="E3350" s="356"/>
      <c r="F3350" s="369">
        <f t="shared" si="1315"/>
        <v>5.62</v>
      </c>
      <c r="G3350" s="357">
        <f t="shared" si="1316"/>
        <v>5.82</v>
      </c>
      <c r="H3350" s="357">
        <f t="shared" si="1314"/>
        <v>4.66</v>
      </c>
      <c r="I3350" s="573"/>
      <c r="J3350" s="549" t="s">
        <v>5804</v>
      </c>
      <c r="N3350" s="520" t="s">
        <v>5761</v>
      </c>
      <c r="O3350" s="461">
        <v>5.0000000000000001E-3</v>
      </c>
      <c r="P3350" s="261">
        <f t="shared" si="1317"/>
        <v>13.3888421785375</v>
      </c>
      <c r="Q3350" s="261">
        <f t="shared" si="1317"/>
        <v>11.546161117362498</v>
      </c>
      <c r="R3350" s="261">
        <f t="shared" si="1317"/>
        <v>10.34057723159375</v>
      </c>
      <c r="S3350" s="261">
        <f t="shared" si="1317"/>
        <v>5.7338745786562493</v>
      </c>
      <c r="V3350" s="261">
        <f t="shared" si="1318"/>
        <v>13.192812278412502</v>
      </c>
      <c r="W3350" s="261">
        <f t="shared" si="1318"/>
        <v>11.350131217237498</v>
      </c>
      <c r="X3350" s="261">
        <f t="shared" si="1318"/>
        <v>10.14454733146875</v>
      </c>
      <c r="Y3350" s="261">
        <f t="shared" si="1318"/>
        <v>5.5378446785312496</v>
      </c>
    </row>
    <row r="3351" spans="1:26" x14ac:dyDescent="0.35">
      <c r="A3351" s="495" t="s">
        <v>5682</v>
      </c>
      <c r="B3351" s="356" t="s">
        <v>5547</v>
      </c>
      <c r="C3351" s="356" t="s">
        <v>5694</v>
      </c>
      <c r="D3351" s="356" t="s">
        <v>1780</v>
      </c>
      <c r="E3351" s="356"/>
      <c r="F3351" s="369">
        <f t="shared" si="1315"/>
        <v>13.33</v>
      </c>
      <c r="G3351" s="357">
        <f t="shared" si="1316"/>
        <v>13.52</v>
      </c>
      <c r="H3351" s="357">
        <f t="shared" si="1314"/>
        <v>10.82</v>
      </c>
      <c r="I3351" s="573"/>
      <c r="J3351" s="549" t="s">
        <v>5804</v>
      </c>
      <c r="N3351" s="101"/>
      <c r="O3351" s="322"/>
      <c r="P3351" s="261"/>
      <c r="Q3351" s="261"/>
      <c r="R3351" s="261"/>
      <c r="S3351" s="261"/>
      <c r="U3351" s="261"/>
      <c r="V3351" s="261"/>
      <c r="W3351" s="261"/>
      <c r="X3351" s="261"/>
    </row>
    <row r="3352" spans="1:26" x14ac:dyDescent="0.35">
      <c r="A3352" s="495" t="s">
        <v>5683</v>
      </c>
      <c r="B3352" s="356" t="s">
        <v>5547</v>
      </c>
      <c r="C3352" s="356" t="s">
        <v>5694</v>
      </c>
      <c r="D3352" s="356" t="s">
        <v>1779</v>
      </c>
      <c r="E3352" s="356"/>
      <c r="F3352" s="369">
        <f t="shared" si="1315"/>
        <v>11.46</v>
      </c>
      <c r="G3352" s="357">
        <f t="shared" si="1316"/>
        <v>11.66</v>
      </c>
      <c r="H3352" s="357">
        <f t="shared" si="1314"/>
        <v>9.33</v>
      </c>
      <c r="I3352" s="573"/>
      <c r="J3352" s="549" t="s">
        <v>5804</v>
      </c>
      <c r="N3352" s="101"/>
      <c r="O3352" s="322"/>
      <c r="P3352" s="261"/>
      <c r="Q3352" s="261"/>
      <c r="R3352" s="261"/>
      <c r="S3352" s="261"/>
      <c r="U3352" s="261"/>
      <c r="V3352" s="261"/>
      <c r="W3352" s="261"/>
      <c r="X3352" s="261"/>
    </row>
    <row r="3353" spans="1:26" x14ac:dyDescent="0.35">
      <c r="A3353" s="495" t="s">
        <v>5684</v>
      </c>
      <c r="B3353" s="356" t="s">
        <v>5547</v>
      </c>
      <c r="C3353" s="356" t="s">
        <v>5694</v>
      </c>
      <c r="D3353" s="356" t="s">
        <v>5407</v>
      </c>
      <c r="E3353" s="356"/>
      <c r="F3353" s="369">
        <f t="shared" si="1315"/>
        <v>10.25</v>
      </c>
      <c r="G3353" s="357">
        <f t="shared" si="1316"/>
        <v>10.44</v>
      </c>
      <c r="H3353" s="357">
        <f t="shared" si="1314"/>
        <v>8.35</v>
      </c>
      <c r="I3353" s="573"/>
      <c r="J3353" s="549" t="s">
        <v>5804</v>
      </c>
      <c r="N3353" s="101"/>
      <c r="O3353" s="322"/>
      <c r="P3353" s="261"/>
      <c r="Q3353" s="261"/>
      <c r="R3353" s="261"/>
      <c r="S3353" s="261"/>
      <c r="U3353" s="261"/>
      <c r="V3353" s="261"/>
      <c r="W3353" s="261"/>
      <c r="X3353" s="261"/>
    </row>
    <row r="3354" spans="1:26" x14ac:dyDescent="0.35">
      <c r="A3354" s="495" t="s">
        <v>5685</v>
      </c>
      <c r="B3354" s="356" t="s">
        <v>5547</v>
      </c>
      <c r="C3354" s="356" t="s">
        <v>5694</v>
      </c>
      <c r="D3354" s="356" t="s">
        <v>1776</v>
      </c>
      <c r="E3354" s="356"/>
      <c r="F3354" s="369">
        <f t="shared" si="1315"/>
        <v>5.59</v>
      </c>
      <c r="G3354" s="357">
        <f t="shared" si="1316"/>
        <v>5.79</v>
      </c>
      <c r="H3354" s="357">
        <f t="shared" si="1314"/>
        <v>4.63</v>
      </c>
      <c r="I3354" s="573"/>
      <c r="J3354" s="549" t="s">
        <v>5804</v>
      </c>
      <c r="N3354" s="101"/>
      <c r="O3354" s="322"/>
      <c r="P3354" s="261"/>
      <c r="Q3354" s="261"/>
      <c r="R3354" s="261"/>
      <c r="S3354" s="261"/>
      <c r="U3354" s="261"/>
      <c r="V3354" s="261"/>
      <c r="W3354" s="261"/>
      <c r="X3354" s="261"/>
    </row>
    <row r="3355" spans="1:26" x14ac:dyDescent="0.35">
      <c r="A3355" s="495" t="s">
        <v>5686</v>
      </c>
      <c r="B3355" s="356" t="s">
        <v>5547</v>
      </c>
      <c r="C3355" s="356" t="s">
        <v>5695</v>
      </c>
      <c r="D3355" s="356" t="s">
        <v>1780</v>
      </c>
      <c r="E3355" s="356"/>
      <c r="F3355" s="369">
        <f t="shared" si="1315"/>
        <v>13.26</v>
      </c>
      <c r="G3355" s="357">
        <f t="shared" si="1316"/>
        <v>13.46</v>
      </c>
      <c r="H3355" s="357">
        <f t="shared" si="1314"/>
        <v>10.77</v>
      </c>
      <c r="I3355" s="573"/>
      <c r="J3355" s="549" t="s">
        <v>5804</v>
      </c>
      <c r="N3355" s="101"/>
      <c r="O3355" s="322"/>
      <c r="P3355" s="261"/>
      <c r="Q3355" s="261"/>
      <c r="R3355" s="261"/>
      <c r="S3355" s="261"/>
      <c r="U3355" s="261"/>
      <c r="V3355" s="261"/>
      <c r="W3355" s="261"/>
      <c r="X3355" s="261"/>
    </row>
    <row r="3356" spans="1:26" x14ac:dyDescent="0.35">
      <c r="A3356" s="495" t="s">
        <v>5687</v>
      </c>
      <c r="B3356" s="356" t="s">
        <v>5547</v>
      </c>
      <c r="C3356" s="356" t="s">
        <v>5695</v>
      </c>
      <c r="D3356" s="356" t="s">
        <v>1779</v>
      </c>
      <c r="E3356" s="356"/>
      <c r="F3356" s="369">
        <f t="shared" si="1315"/>
        <v>11.41</v>
      </c>
      <c r="G3356" s="357">
        <f t="shared" si="1316"/>
        <v>11.6</v>
      </c>
      <c r="H3356" s="357">
        <f t="shared" si="1314"/>
        <v>9.2799999999999994</v>
      </c>
      <c r="I3356" s="573"/>
      <c r="J3356" s="549" t="s">
        <v>5804</v>
      </c>
      <c r="N3356" s="101"/>
      <c r="O3356" s="322"/>
      <c r="P3356" s="261"/>
      <c r="Q3356" s="261"/>
      <c r="R3356" s="261"/>
      <c r="S3356" s="261"/>
      <c r="U3356" s="261"/>
      <c r="V3356" s="261"/>
      <c r="W3356" s="261"/>
      <c r="X3356" s="261"/>
    </row>
    <row r="3357" spans="1:26" x14ac:dyDescent="0.35">
      <c r="A3357" s="495" t="s">
        <v>5688</v>
      </c>
      <c r="B3357" s="356" t="s">
        <v>5547</v>
      </c>
      <c r="C3357" s="356" t="s">
        <v>5695</v>
      </c>
      <c r="D3357" s="356" t="s">
        <v>5407</v>
      </c>
      <c r="E3357" s="356"/>
      <c r="F3357" s="369">
        <f t="shared" si="1315"/>
        <v>10.199999999999999</v>
      </c>
      <c r="G3357" s="357">
        <f t="shared" si="1316"/>
        <v>10.39</v>
      </c>
      <c r="H3357" s="357">
        <f t="shared" si="1314"/>
        <v>8.31</v>
      </c>
      <c r="I3357" s="573"/>
      <c r="J3357" s="549" t="s">
        <v>5804</v>
      </c>
      <c r="N3357" s="101"/>
      <c r="O3357" s="322"/>
      <c r="P3357" s="261"/>
      <c r="Q3357" s="261"/>
      <c r="R3357" s="261"/>
      <c r="S3357" s="261"/>
      <c r="U3357" s="261"/>
      <c r="V3357" s="261"/>
      <c r="W3357" s="261"/>
      <c r="X3357" s="261"/>
    </row>
    <row r="3358" spans="1:26" x14ac:dyDescent="0.35">
      <c r="A3358" s="495" t="s">
        <v>5689</v>
      </c>
      <c r="B3358" s="356" t="s">
        <v>5547</v>
      </c>
      <c r="C3358" s="356" t="s">
        <v>5695</v>
      </c>
      <c r="D3358" s="356" t="s">
        <v>1776</v>
      </c>
      <c r="E3358" s="356"/>
      <c r="F3358" s="369">
        <f t="shared" si="1315"/>
        <v>5.57</v>
      </c>
      <c r="G3358" s="357">
        <f t="shared" si="1316"/>
        <v>5.76</v>
      </c>
      <c r="H3358" s="357">
        <f t="shared" si="1314"/>
        <v>4.6100000000000003</v>
      </c>
      <c r="I3358" s="573"/>
      <c r="J3358" s="549" t="s">
        <v>5804</v>
      </c>
      <c r="N3358" s="101"/>
      <c r="O3358" s="322"/>
      <c r="P3358" s="261"/>
      <c r="Q3358" s="261"/>
      <c r="R3358" s="261"/>
      <c r="S3358" s="261"/>
      <c r="U3358" s="261"/>
      <c r="V3358" s="261"/>
      <c r="W3358" s="261"/>
      <c r="X3358" s="261"/>
    </row>
    <row r="3359" spans="1:26" x14ac:dyDescent="0.35">
      <c r="A3359" s="495" t="s">
        <v>5690</v>
      </c>
      <c r="B3359" s="356" t="s">
        <v>5547</v>
      </c>
      <c r="C3359" s="356" t="s">
        <v>5696</v>
      </c>
      <c r="D3359" s="356" t="s">
        <v>1780</v>
      </c>
      <c r="E3359" s="356"/>
      <c r="F3359" s="369">
        <f t="shared" si="1315"/>
        <v>13.19</v>
      </c>
      <c r="G3359" s="357">
        <f t="shared" si="1316"/>
        <v>13.39</v>
      </c>
      <c r="H3359" s="357">
        <f t="shared" si="1314"/>
        <v>10.71</v>
      </c>
      <c r="I3359" s="573"/>
      <c r="J3359" s="549" t="s">
        <v>5804</v>
      </c>
      <c r="N3359" s="101"/>
      <c r="O3359" s="322"/>
      <c r="P3359" s="261"/>
      <c r="Q3359" s="261"/>
      <c r="R3359" s="261"/>
      <c r="S3359" s="261"/>
      <c r="U3359" s="261"/>
      <c r="V3359" s="261"/>
      <c r="W3359" s="261"/>
      <c r="X3359" s="261"/>
    </row>
    <row r="3360" spans="1:26" x14ac:dyDescent="0.35">
      <c r="A3360" s="495" t="s">
        <v>5691</v>
      </c>
      <c r="B3360" s="356" t="s">
        <v>5547</v>
      </c>
      <c r="C3360" s="356" t="s">
        <v>5696</v>
      </c>
      <c r="D3360" s="356" t="s">
        <v>1779</v>
      </c>
      <c r="E3360" s="356"/>
      <c r="F3360" s="369">
        <f t="shared" si="1315"/>
        <v>11.35</v>
      </c>
      <c r="G3360" s="357">
        <f t="shared" si="1316"/>
        <v>11.55</v>
      </c>
      <c r="H3360" s="357">
        <f t="shared" si="1314"/>
        <v>9.24</v>
      </c>
      <c r="I3360" s="573"/>
      <c r="J3360" s="549" t="s">
        <v>5804</v>
      </c>
      <c r="N3360" s="101"/>
      <c r="O3360" s="322"/>
      <c r="P3360" s="261"/>
      <c r="Q3360" s="261"/>
      <c r="R3360" s="261"/>
      <c r="S3360" s="261"/>
      <c r="U3360" s="261"/>
      <c r="V3360" s="261"/>
      <c r="W3360" s="261"/>
      <c r="X3360" s="261"/>
    </row>
    <row r="3361" spans="1:26" x14ac:dyDescent="0.35">
      <c r="A3361" s="495" t="s">
        <v>5692</v>
      </c>
      <c r="B3361" s="356" t="s">
        <v>5547</v>
      </c>
      <c r="C3361" s="356" t="s">
        <v>5696</v>
      </c>
      <c r="D3361" s="356" t="s">
        <v>5407</v>
      </c>
      <c r="E3361" s="356"/>
      <c r="F3361" s="369">
        <f t="shared" si="1315"/>
        <v>10.14</v>
      </c>
      <c r="G3361" s="357">
        <f t="shared" si="1316"/>
        <v>10.34</v>
      </c>
      <c r="H3361" s="357">
        <f t="shared" si="1314"/>
        <v>8.27</v>
      </c>
      <c r="I3361" s="573"/>
      <c r="J3361" s="549" t="s">
        <v>5804</v>
      </c>
      <c r="N3361" s="101"/>
      <c r="O3361" s="322"/>
      <c r="P3361" s="261"/>
      <c r="Q3361" s="261"/>
      <c r="R3361" s="261"/>
      <c r="S3361" s="261"/>
      <c r="U3361" s="261"/>
      <c r="V3361" s="261"/>
      <c r="W3361" s="261"/>
      <c r="X3361" s="261"/>
    </row>
    <row r="3362" spans="1:26" x14ac:dyDescent="0.35">
      <c r="A3362" s="495" t="s">
        <v>5693</v>
      </c>
      <c r="B3362" s="356" t="s">
        <v>5547</v>
      </c>
      <c r="C3362" s="356" t="s">
        <v>5696</v>
      </c>
      <c r="D3362" s="356" t="s">
        <v>1776</v>
      </c>
      <c r="E3362" s="356"/>
      <c r="F3362" s="369">
        <f t="shared" si="1315"/>
        <v>5.54</v>
      </c>
      <c r="G3362" s="357">
        <f t="shared" si="1316"/>
        <v>5.73</v>
      </c>
      <c r="H3362" s="357">
        <f t="shared" si="1314"/>
        <v>4.58</v>
      </c>
      <c r="I3362" s="573"/>
      <c r="J3362" s="549" t="s">
        <v>5804</v>
      </c>
      <c r="N3362" s="101"/>
      <c r="O3362" s="322"/>
      <c r="P3362" s="261"/>
      <c r="Q3362" s="261"/>
      <c r="R3362" s="261"/>
      <c r="S3362" s="261"/>
      <c r="U3362" s="261"/>
      <c r="V3362" s="261"/>
      <c r="W3362" s="261"/>
      <c r="X3362" s="261"/>
    </row>
    <row r="3363" spans="1:26" x14ac:dyDescent="0.35">
      <c r="A3363" s="2"/>
      <c r="B3363" s="1"/>
      <c r="C3363" s="1"/>
      <c r="D3363" s="1"/>
      <c r="E3363" s="1"/>
      <c r="F3363" s="362"/>
      <c r="G3363" s="10"/>
      <c r="H3363" s="10"/>
      <c r="I3363" s="566"/>
      <c r="J3363" s="549"/>
      <c r="N3363" s="101"/>
      <c r="O3363" s="322"/>
      <c r="P3363" s="261"/>
      <c r="Q3363" s="261"/>
      <c r="R3363" s="261"/>
      <c r="S3363" s="261"/>
      <c r="U3363" s="261"/>
      <c r="V3363" s="261"/>
      <c r="W3363" s="261"/>
      <c r="X3363" s="261"/>
    </row>
    <row r="3364" spans="1:26" ht="15.5" x14ac:dyDescent="0.35">
      <c r="A3364" s="212" t="s">
        <v>7892</v>
      </c>
      <c r="B3364" s="204"/>
      <c r="C3364" s="204"/>
      <c r="D3364" s="204"/>
      <c r="E3364" s="204"/>
      <c r="F3364" s="381"/>
      <c r="G3364" s="205"/>
      <c r="H3364" s="205"/>
      <c r="I3364" s="583"/>
      <c r="J3364" s="549">
        <v>42705</v>
      </c>
      <c r="N3364" s="101"/>
      <c r="O3364" s="322"/>
      <c r="P3364" s="261"/>
      <c r="Q3364" s="261"/>
      <c r="R3364" s="261"/>
      <c r="S3364" s="261"/>
      <c r="U3364" s="261"/>
      <c r="V3364" s="261"/>
      <c r="W3364" s="261"/>
      <c r="X3364" s="261"/>
    </row>
    <row r="3365" spans="1:26" x14ac:dyDescent="0.35">
      <c r="A3365" s="2"/>
      <c r="B3365" s="1"/>
      <c r="C3365" s="1"/>
      <c r="D3365" s="1"/>
      <c r="E3365" s="1"/>
      <c r="F3365" s="362"/>
      <c r="G3365" s="10"/>
      <c r="H3365" s="10" t="str">
        <f t="shared" ref="H3365:H3396" si="1319">IF(ISNUMBER(G3365),ROUND(0.8*G3365,2),"")</f>
        <v/>
      </c>
      <c r="I3365" s="566"/>
      <c r="J3365" s="549"/>
      <c r="N3365" s="101"/>
      <c r="O3365" s="322"/>
      <c r="P3365" s="261"/>
      <c r="Q3365" s="261"/>
      <c r="R3365" s="261"/>
      <c r="S3365" s="261"/>
      <c r="U3365" s="261"/>
      <c r="V3365" s="261"/>
      <c r="W3365" s="261"/>
      <c r="X3365" s="261"/>
    </row>
    <row r="3366" spans="1:26" x14ac:dyDescent="0.35">
      <c r="A3366" s="496"/>
      <c r="B3366" s="1"/>
      <c r="C3366" s="1"/>
      <c r="D3366" s="1"/>
      <c r="E3366" s="1"/>
      <c r="F3366" s="362"/>
      <c r="G3366" s="10"/>
      <c r="H3366" s="10" t="str">
        <f t="shared" si="1319"/>
        <v/>
      </c>
      <c r="I3366" s="566"/>
      <c r="J3366" s="549" t="s">
        <v>4179</v>
      </c>
      <c r="M3366">
        <v>2017</v>
      </c>
      <c r="N3366" t="s">
        <v>5681</v>
      </c>
      <c r="O3366" s="29" t="s">
        <v>5489</v>
      </c>
      <c r="P3366" t="s">
        <v>1780</v>
      </c>
      <c r="Q3366" t="s">
        <v>1779</v>
      </c>
      <c r="R3366" t="s">
        <v>5407</v>
      </c>
      <c r="S3366" t="s">
        <v>1776</v>
      </c>
      <c r="T3366" t="s">
        <v>49</v>
      </c>
      <c r="U3366" s="101" t="s">
        <v>2883</v>
      </c>
      <c r="V3366" t="s">
        <v>1780</v>
      </c>
      <c r="W3366" t="s">
        <v>1779</v>
      </c>
      <c r="X3366" t="s">
        <v>5407</v>
      </c>
      <c r="Y3366" t="s">
        <v>1776</v>
      </c>
      <c r="Z3366" t="s">
        <v>50</v>
      </c>
    </row>
    <row r="3367" spans="1:26" x14ac:dyDescent="0.35">
      <c r="A3367" s="527" t="s">
        <v>5896</v>
      </c>
      <c r="B3367" s="526" t="s">
        <v>5547</v>
      </c>
      <c r="C3367" s="526" t="s">
        <v>5892</v>
      </c>
      <c r="D3367" s="526" t="s">
        <v>1780</v>
      </c>
      <c r="E3367" s="526"/>
      <c r="F3367" s="538">
        <f t="shared" ref="F3367:F3382" si="1320">IF(HLOOKUP($D3367,$V$3366:$Y$3370,MATCH(MID($A3367,11,2),$N$3366:$N$3370,0),FALSE)&lt;&gt;"",ROUND(HLOOKUP($D3367,$V$3366:$Y$3370,MATCH(MID($A3367,11,2),$N$3366:$N$3370,0),FALSE),2),"")</f>
        <v>13.12</v>
      </c>
      <c r="G3367" s="537">
        <f t="shared" ref="G3367:G3382" si="1321">IF(HLOOKUP($D3367,$O$3366:$S$3370,MATCH(MID($A3367,11,2),$N$3366:$N$3370,0),FALSE)&lt;&gt;"",ROUND(HLOOKUP($D3367,$O$3366:$S$3370,MATCH(MID($A3367,11,2),$N$3366:$N$3370,0),FALSE),2),"")</f>
        <v>13.32</v>
      </c>
      <c r="H3367" s="537">
        <f t="shared" si="1319"/>
        <v>10.66</v>
      </c>
      <c r="I3367" s="574"/>
      <c r="J3367" s="549">
        <v>42705</v>
      </c>
      <c r="N3367" s="520" t="s">
        <v>5758</v>
      </c>
      <c r="O3367" s="461"/>
      <c r="P3367" s="261">
        <v>13.32</v>
      </c>
      <c r="Q3367" s="261">
        <v>11.49</v>
      </c>
      <c r="R3367" s="261">
        <v>10.29</v>
      </c>
      <c r="S3367" s="261">
        <v>5.71</v>
      </c>
      <c r="V3367" s="261">
        <f t="shared" ref="V3367:Y3370" si="1322">P3367-0.2</f>
        <v>13.120000000000001</v>
      </c>
      <c r="W3367" s="261">
        <f t="shared" si="1322"/>
        <v>11.290000000000001</v>
      </c>
      <c r="X3367" s="261">
        <f t="shared" si="1322"/>
        <v>10.09</v>
      </c>
      <c r="Y3367" s="261">
        <f t="shared" si="1322"/>
        <v>5.51</v>
      </c>
      <c r="Z3367" s="261"/>
    </row>
    <row r="3368" spans="1:26" x14ac:dyDescent="0.35">
      <c r="A3368" s="527" t="s">
        <v>5897</v>
      </c>
      <c r="B3368" s="526" t="s">
        <v>5547</v>
      </c>
      <c r="C3368" s="526" t="s">
        <v>5892</v>
      </c>
      <c r="D3368" s="526" t="s">
        <v>1779</v>
      </c>
      <c r="E3368" s="526"/>
      <c r="F3368" s="538">
        <f t="shared" si="1320"/>
        <v>11.29</v>
      </c>
      <c r="G3368" s="537">
        <f t="shared" si="1321"/>
        <v>11.49</v>
      </c>
      <c r="H3368" s="537">
        <f t="shared" si="1319"/>
        <v>9.19</v>
      </c>
      <c r="I3368" s="574"/>
      <c r="J3368" s="549">
        <v>42705</v>
      </c>
      <c r="N3368" s="520" t="s">
        <v>5759</v>
      </c>
      <c r="O3368" s="461">
        <v>5.0000000000000001E-3</v>
      </c>
      <c r="P3368" s="261">
        <f t="shared" ref="P3368:S3370" si="1323">IF($O3368&lt;&gt;"",(1-$O3368)*P3367,"")</f>
        <v>13.253400000000001</v>
      </c>
      <c r="Q3368" s="261">
        <f t="shared" si="1323"/>
        <v>11.432550000000001</v>
      </c>
      <c r="R3368" s="261">
        <f t="shared" si="1323"/>
        <v>10.238549999999998</v>
      </c>
      <c r="S3368" s="261">
        <f t="shared" si="1323"/>
        <v>5.6814499999999999</v>
      </c>
      <c r="V3368" s="261">
        <f t="shared" si="1322"/>
        <v>13.053400000000002</v>
      </c>
      <c r="W3368" s="261">
        <f t="shared" si="1322"/>
        <v>11.232550000000002</v>
      </c>
      <c r="X3368" s="261">
        <f t="shared" si="1322"/>
        <v>10.038549999999999</v>
      </c>
      <c r="Y3368" s="261">
        <f t="shared" si="1322"/>
        <v>5.4814499999999997</v>
      </c>
    </row>
    <row r="3369" spans="1:26" x14ac:dyDescent="0.35">
      <c r="A3369" s="527" t="s">
        <v>5898</v>
      </c>
      <c r="B3369" s="526" t="s">
        <v>5547</v>
      </c>
      <c r="C3369" s="526" t="s">
        <v>5892</v>
      </c>
      <c r="D3369" s="526" t="s">
        <v>5407</v>
      </c>
      <c r="E3369" s="526"/>
      <c r="F3369" s="538">
        <f t="shared" si="1320"/>
        <v>10.09</v>
      </c>
      <c r="G3369" s="537">
        <f t="shared" si="1321"/>
        <v>10.29</v>
      </c>
      <c r="H3369" s="537">
        <f t="shared" si="1319"/>
        <v>8.23</v>
      </c>
      <c r="I3369" s="574"/>
      <c r="J3369" s="549">
        <v>42705</v>
      </c>
      <c r="N3369" s="520" t="s">
        <v>5760</v>
      </c>
      <c r="O3369" s="461">
        <v>0</v>
      </c>
      <c r="P3369" s="261">
        <f t="shared" si="1323"/>
        <v>13.253400000000001</v>
      </c>
      <c r="Q3369" s="261">
        <f t="shared" si="1323"/>
        <v>11.432550000000001</v>
      </c>
      <c r="R3369" s="261">
        <f t="shared" si="1323"/>
        <v>10.238549999999998</v>
      </c>
      <c r="S3369" s="261">
        <f t="shared" si="1323"/>
        <v>5.6814499999999999</v>
      </c>
      <c r="V3369" s="261">
        <f t="shared" si="1322"/>
        <v>13.053400000000002</v>
      </c>
      <c r="W3369" s="261">
        <f t="shared" si="1322"/>
        <v>11.232550000000002</v>
      </c>
      <c r="X3369" s="261">
        <f t="shared" si="1322"/>
        <v>10.038549999999999</v>
      </c>
      <c r="Y3369" s="261">
        <f t="shared" si="1322"/>
        <v>5.4814499999999997</v>
      </c>
    </row>
    <row r="3370" spans="1:26" x14ac:dyDescent="0.35">
      <c r="A3370" s="527" t="s">
        <v>5899</v>
      </c>
      <c r="B3370" s="526" t="s">
        <v>5547</v>
      </c>
      <c r="C3370" s="526" t="s">
        <v>5892</v>
      </c>
      <c r="D3370" s="526" t="s">
        <v>1776</v>
      </c>
      <c r="E3370" s="526"/>
      <c r="F3370" s="538">
        <f t="shared" si="1320"/>
        <v>5.51</v>
      </c>
      <c r="G3370" s="537">
        <f t="shared" si="1321"/>
        <v>5.71</v>
      </c>
      <c r="H3370" s="537">
        <f t="shared" si="1319"/>
        <v>4.57</v>
      </c>
      <c r="I3370" s="574"/>
      <c r="J3370" s="549">
        <v>42705</v>
      </c>
      <c r="N3370" s="520" t="s">
        <v>5761</v>
      </c>
      <c r="O3370" s="461">
        <v>5.0000000000000001E-3</v>
      </c>
      <c r="P3370" s="261">
        <f t="shared" si="1323"/>
        <v>13.187133000000001</v>
      </c>
      <c r="Q3370" s="261">
        <f t="shared" si="1323"/>
        <v>11.375387250000001</v>
      </c>
      <c r="R3370" s="261">
        <f t="shared" si="1323"/>
        <v>10.187357249999998</v>
      </c>
      <c r="S3370" s="261">
        <f t="shared" si="1323"/>
        <v>5.65304275</v>
      </c>
      <c r="V3370" s="261">
        <f t="shared" si="1322"/>
        <v>12.987133000000002</v>
      </c>
      <c r="W3370" s="261">
        <f t="shared" si="1322"/>
        <v>11.175387250000002</v>
      </c>
      <c r="X3370" s="261">
        <f t="shared" si="1322"/>
        <v>9.9873572499999987</v>
      </c>
      <c r="Y3370" s="261">
        <f t="shared" si="1322"/>
        <v>5.4530427499999998</v>
      </c>
    </row>
    <row r="3371" spans="1:26" x14ac:dyDescent="0.35">
      <c r="A3371" s="527" t="s">
        <v>5900</v>
      </c>
      <c r="B3371" s="526" t="s">
        <v>5547</v>
      </c>
      <c r="C3371" s="526" t="s">
        <v>5893</v>
      </c>
      <c r="D3371" s="526" t="s">
        <v>1780</v>
      </c>
      <c r="E3371" s="526"/>
      <c r="F3371" s="538">
        <f t="shared" si="1320"/>
        <v>13.05</v>
      </c>
      <c r="G3371" s="537">
        <f t="shared" si="1321"/>
        <v>13.25</v>
      </c>
      <c r="H3371" s="537">
        <f t="shared" si="1319"/>
        <v>10.6</v>
      </c>
      <c r="I3371" s="574"/>
      <c r="J3371" s="549">
        <v>42705</v>
      </c>
      <c r="N3371" s="101"/>
      <c r="O3371" s="322"/>
      <c r="P3371" s="261"/>
      <c r="Q3371" s="261"/>
      <c r="R3371" s="261"/>
      <c r="S3371" s="261"/>
      <c r="U3371" s="261"/>
      <c r="V3371" s="261"/>
      <c r="W3371" s="261"/>
      <c r="X3371" s="261"/>
    </row>
    <row r="3372" spans="1:26" x14ac:dyDescent="0.35">
      <c r="A3372" s="527" t="s">
        <v>5901</v>
      </c>
      <c r="B3372" s="526" t="s">
        <v>5547</v>
      </c>
      <c r="C3372" s="526" t="s">
        <v>5893</v>
      </c>
      <c r="D3372" s="526" t="s">
        <v>1779</v>
      </c>
      <c r="E3372" s="526"/>
      <c r="F3372" s="538">
        <f t="shared" si="1320"/>
        <v>11.23</v>
      </c>
      <c r="G3372" s="537">
        <f t="shared" si="1321"/>
        <v>11.43</v>
      </c>
      <c r="H3372" s="537">
        <f t="shared" si="1319"/>
        <v>9.14</v>
      </c>
      <c r="I3372" s="574"/>
      <c r="J3372" s="549">
        <v>42705</v>
      </c>
      <c r="N3372" s="101"/>
      <c r="O3372" s="322"/>
      <c r="P3372" s="261"/>
      <c r="Q3372" s="261"/>
      <c r="R3372" s="261"/>
      <c r="S3372" s="261"/>
      <c r="U3372" s="261"/>
      <c r="V3372" s="261"/>
      <c r="W3372" s="261"/>
      <c r="X3372" s="261"/>
    </row>
    <row r="3373" spans="1:26" x14ac:dyDescent="0.35">
      <c r="A3373" s="527" t="s">
        <v>5904</v>
      </c>
      <c r="B3373" s="526" t="s">
        <v>5547</v>
      </c>
      <c r="C3373" s="526" t="s">
        <v>5893</v>
      </c>
      <c r="D3373" s="526" t="s">
        <v>5407</v>
      </c>
      <c r="E3373" s="526"/>
      <c r="F3373" s="538">
        <f t="shared" si="1320"/>
        <v>10.039999999999999</v>
      </c>
      <c r="G3373" s="537">
        <f t="shared" si="1321"/>
        <v>10.24</v>
      </c>
      <c r="H3373" s="537">
        <f t="shared" si="1319"/>
        <v>8.19</v>
      </c>
      <c r="I3373" s="574"/>
      <c r="J3373" s="549">
        <v>42705</v>
      </c>
      <c r="N3373" s="101"/>
      <c r="O3373" s="322"/>
      <c r="P3373" s="261"/>
      <c r="Q3373" s="261"/>
      <c r="R3373" s="261"/>
      <c r="S3373" s="261"/>
      <c r="U3373" s="261"/>
      <c r="V3373" s="261"/>
      <c r="W3373" s="261"/>
      <c r="X3373" s="261"/>
    </row>
    <row r="3374" spans="1:26" x14ac:dyDescent="0.35">
      <c r="A3374" s="527" t="s">
        <v>5905</v>
      </c>
      <c r="B3374" s="526" t="s">
        <v>5547</v>
      </c>
      <c r="C3374" s="526" t="s">
        <v>5893</v>
      </c>
      <c r="D3374" s="526" t="s">
        <v>1776</v>
      </c>
      <c r="E3374" s="526"/>
      <c r="F3374" s="538">
        <f t="shared" si="1320"/>
        <v>5.48</v>
      </c>
      <c r="G3374" s="537">
        <f t="shared" si="1321"/>
        <v>5.68</v>
      </c>
      <c r="H3374" s="537">
        <f t="shared" si="1319"/>
        <v>4.54</v>
      </c>
      <c r="I3374" s="574"/>
      <c r="J3374" s="549">
        <v>42705</v>
      </c>
      <c r="N3374" s="101"/>
      <c r="O3374" s="322"/>
      <c r="P3374" s="261"/>
      <c r="Q3374" s="261"/>
      <c r="R3374" s="261"/>
      <c r="S3374" s="261"/>
      <c r="U3374" s="261"/>
      <c r="V3374" s="261"/>
      <c r="W3374" s="261"/>
      <c r="X3374" s="261"/>
    </row>
    <row r="3375" spans="1:26" x14ac:dyDescent="0.35">
      <c r="A3375" s="527" t="s">
        <v>5906</v>
      </c>
      <c r="B3375" s="526" t="s">
        <v>5547</v>
      </c>
      <c r="C3375" s="526" t="s">
        <v>5894</v>
      </c>
      <c r="D3375" s="526" t="s">
        <v>1780</v>
      </c>
      <c r="E3375" s="526"/>
      <c r="F3375" s="538">
        <f t="shared" si="1320"/>
        <v>13.05</v>
      </c>
      <c r="G3375" s="537">
        <f t="shared" si="1321"/>
        <v>13.25</v>
      </c>
      <c r="H3375" s="537">
        <f t="shared" si="1319"/>
        <v>10.6</v>
      </c>
      <c r="I3375" s="574"/>
      <c r="J3375" s="549">
        <v>42705</v>
      </c>
      <c r="N3375" s="101"/>
      <c r="O3375" s="322"/>
      <c r="P3375" s="261"/>
      <c r="Q3375" s="261"/>
      <c r="R3375" s="261"/>
      <c r="S3375" s="261"/>
      <c r="U3375" s="261"/>
      <c r="V3375" s="261"/>
      <c r="W3375" s="261"/>
      <c r="X3375" s="261"/>
    </row>
    <row r="3376" spans="1:26" x14ac:dyDescent="0.35">
      <c r="A3376" s="527" t="s">
        <v>5907</v>
      </c>
      <c r="B3376" s="526" t="s">
        <v>5547</v>
      </c>
      <c r="C3376" s="526" t="s">
        <v>5894</v>
      </c>
      <c r="D3376" s="526" t="s">
        <v>1779</v>
      </c>
      <c r="E3376" s="526"/>
      <c r="F3376" s="538">
        <f t="shared" si="1320"/>
        <v>11.23</v>
      </c>
      <c r="G3376" s="537">
        <f t="shared" si="1321"/>
        <v>11.43</v>
      </c>
      <c r="H3376" s="537">
        <f t="shared" si="1319"/>
        <v>9.14</v>
      </c>
      <c r="I3376" s="574"/>
      <c r="J3376" s="549">
        <v>42705</v>
      </c>
      <c r="N3376" s="101"/>
      <c r="O3376" s="322"/>
      <c r="P3376" s="261"/>
      <c r="Q3376" s="261"/>
      <c r="R3376" s="261"/>
      <c r="S3376" s="261"/>
      <c r="U3376" s="261"/>
      <c r="V3376" s="261"/>
      <c r="W3376" s="261"/>
      <c r="X3376" s="261"/>
    </row>
    <row r="3377" spans="1:26" x14ac:dyDescent="0.35">
      <c r="A3377" s="527" t="s">
        <v>5908</v>
      </c>
      <c r="B3377" s="526" t="s">
        <v>5547</v>
      </c>
      <c r="C3377" s="526" t="s">
        <v>5894</v>
      </c>
      <c r="D3377" s="526" t="s">
        <v>5407</v>
      </c>
      <c r="E3377" s="526"/>
      <c r="F3377" s="538">
        <f t="shared" si="1320"/>
        <v>10.039999999999999</v>
      </c>
      <c r="G3377" s="537">
        <f t="shared" si="1321"/>
        <v>10.24</v>
      </c>
      <c r="H3377" s="537">
        <f t="shared" si="1319"/>
        <v>8.19</v>
      </c>
      <c r="I3377" s="574"/>
      <c r="J3377" s="549">
        <v>42705</v>
      </c>
      <c r="N3377" s="101"/>
      <c r="O3377" s="322"/>
      <c r="P3377" s="261"/>
      <c r="Q3377" s="261"/>
      <c r="R3377" s="261"/>
      <c r="S3377" s="261"/>
      <c r="U3377" s="261"/>
      <c r="V3377" s="261"/>
      <c r="W3377" s="261"/>
      <c r="X3377" s="261"/>
    </row>
    <row r="3378" spans="1:26" x14ac:dyDescent="0.35">
      <c r="A3378" s="527" t="s">
        <v>5909</v>
      </c>
      <c r="B3378" s="526" t="s">
        <v>5547</v>
      </c>
      <c r="C3378" s="526" t="s">
        <v>5894</v>
      </c>
      <c r="D3378" s="526" t="s">
        <v>1776</v>
      </c>
      <c r="E3378" s="526"/>
      <c r="F3378" s="538">
        <f t="shared" si="1320"/>
        <v>5.48</v>
      </c>
      <c r="G3378" s="537">
        <f t="shared" si="1321"/>
        <v>5.68</v>
      </c>
      <c r="H3378" s="537">
        <f t="shared" si="1319"/>
        <v>4.54</v>
      </c>
      <c r="I3378" s="574"/>
      <c r="J3378" s="549">
        <v>42705</v>
      </c>
      <c r="N3378" s="101"/>
      <c r="O3378" s="322"/>
      <c r="P3378" s="261"/>
      <c r="Q3378" s="261"/>
      <c r="R3378" s="261"/>
      <c r="S3378" s="261"/>
      <c r="U3378" s="261"/>
      <c r="V3378" s="261"/>
      <c r="W3378" s="261"/>
      <c r="X3378" s="261"/>
    </row>
    <row r="3379" spans="1:26" x14ac:dyDescent="0.35">
      <c r="A3379" s="527" t="s">
        <v>5910</v>
      </c>
      <c r="B3379" s="526" t="s">
        <v>5547</v>
      </c>
      <c r="C3379" s="526" t="s">
        <v>5895</v>
      </c>
      <c r="D3379" s="526" t="s">
        <v>1780</v>
      </c>
      <c r="E3379" s="526"/>
      <c r="F3379" s="538">
        <f t="shared" si="1320"/>
        <v>12.99</v>
      </c>
      <c r="G3379" s="537">
        <f t="shared" si="1321"/>
        <v>13.19</v>
      </c>
      <c r="H3379" s="537">
        <f t="shared" si="1319"/>
        <v>10.55</v>
      </c>
      <c r="I3379" s="574"/>
      <c r="J3379" s="549">
        <v>42705</v>
      </c>
      <c r="N3379" s="101"/>
      <c r="O3379" s="322"/>
      <c r="P3379" s="261"/>
      <c r="Q3379" s="261"/>
      <c r="R3379" s="261"/>
      <c r="S3379" s="261"/>
      <c r="U3379" s="261"/>
      <c r="V3379" s="261"/>
      <c r="W3379" s="261"/>
      <c r="X3379" s="261"/>
    </row>
    <row r="3380" spans="1:26" x14ac:dyDescent="0.35">
      <c r="A3380" s="527" t="s">
        <v>5911</v>
      </c>
      <c r="B3380" s="526" t="s">
        <v>5547</v>
      </c>
      <c r="C3380" s="526" t="s">
        <v>5895</v>
      </c>
      <c r="D3380" s="526" t="s">
        <v>1779</v>
      </c>
      <c r="E3380" s="526"/>
      <c r="F3380" s="538">
        <f t="shared" si="1320"/>
        <v>11.18</v>
      </c>
      <c r="G3380" s="537">
        <f t="shared" si="1321"/>
        <v>11.38</v>
      </c>
      <c r="H3380" s="537">
        <f t="shared" si="1319"/>
        <v>9.1</v>
      </c>
      <c r="I3380" s="574"/>
      <c r="J3380" s="549">
        <v>42705</v>
      </c>
      <c r="N3380" s="101"/>
      <c r="O3380" s="322"/>
      <c r="P3380" s="261"/>
      <c r="Q3380" s="261"/>
      <c r="R3380" s="261"/>
      <c r="S3380" s="261"/>
      <c r="U3380" s="261"/>
      <c r="V3380" s="261"/>
      <c r="W3380" s="261"/>
      <c r="X3380" s="261"/>
    </row>
    <row r="3381" spans="1:26" x14ac:dyDescent="0.35">
      <c r="A3381" s="527" t="s">
        <v>5912</v>
      </c>
      <c r="B3381" s="526" t="s">
        <v>5547</v>
      </c>
      <c r="C3381" s="526" t="s">
        <v>5895</v>
      </c>
      <c r="D3381" s="526" t="s">
        <v>5407</v>
      </c>
      <c r="E3381" s="526"/>
      <c r="F3381" s="538">
        <f t="shared" si="1320"/>
        <v>9.99</v>
      </c>
      <c r="G3381" s="537">
        <f t="shared" si="1321"/>
        <v>10.19</v>
      </c>
      <c r="H3381" s="537">
        <f t="shared" si="1319"/>
        <v>8.15</v>
      </c>
      <c r="I3381" s="574"/>
      <c r="J3381" s="549">
        <v>42705</v>
      </c>
      <c r="N3381" s="101"/>
      <c r="O3381" s="322"/>
      <c r="P3381" s="261"/>
      <c r="Q3381" s="261"/>
      <c r="R3381" s="261"/>
      <c r="S3381" s="261"/>
      <c r="U3381" s="261"/>
      <c r="V3381" s="261"/>
      <c r="W3381" s="261"/>
      <c r="X3381" s="261"/>
    </row>
    <row r="3382" spans="1:26" x14ac:dyDescent="0.35">
      <c r="A3382" s="527" t="s">
        <v>5913</v>
      </c>
      <c r="B3382" s="526" t="s">
        <v>5547</v>
      </c>
      <c r="C3382" s="526" t="s">
        <v>5895</v>
      </c>
      <c r="D3382" s="526" t="s">
        <v>1776</v>
      </c>
      <c r="E3382" s="526"/>
      <c r="F3382" s="538">
        <f t="shared" si="1320"/>
        <v>5.45</v>
      </c>
      <c r="G3382" s="537">
        <f t="shared" si="1321"/>
        <v>5.65</v>
      </c>
      <c r="H3382" s="537">
        <f t="shared" si="1319"/>
        <v>4.5199999999999996</v>
      </c>
      <c r="I3382" s="574"/>
      <c r="J3382" s="549">
        <v>42705</v>
      </c>
      <c r="N3382" s="101"/>
      <c r="O3382" s="322"/>
      <c r="P3382" s="261"/>
      <c r="Q3382" s="261"/>
      <c r="R3382" s="261"/>
      <c r="S3382" s="261"/>
      <c r="U3382" s="261"/>
      <c r="V3382" s="261"/>
      <c r="W3382" s="261"/>
      <c r="X3382" s="261"/>
    </row>
    <row r="3383" spans="1:26" x14ac:dyDescent="0.35">
      <c r="A3383" s="496"/>
      <c r="B3383" s="1"/>
      <c r="C3383" s="1"/>
      <c r="D3383" s="1"/>
      <c r="E3383" s="1"/>
      <c r="F3383" s="362"/>
      <c r="G3383" s="10"/>
      <c r="H3383" s="10" t="str">
        <f t="shared" si="1319"/>
        <v/>
      </c>
      <c r="I3383" s="566"/>
      <c r="J3383" s="549" t="s">
        <v>4179</v>
      </c>
      <c r="M3383">
        <v>2018</v>
      </c>
      <c r="N3383" t="s">
        <v>5681</v>
      </c>
      <c r="O3383" s="29" t="s">
        <v>5489</v>
      </c>
      <c r="P3383" t="s">
        <v>1780</v>
      </c>
      <c r="Q3383" t="s">
        <v>1779</v>
      </c>
      <c r="R3383" t="s">
        <v>5407</v>
      </c>
      <c r="S3383" t="s">
        <v>1776</v>
      </c>
      <c r="T3383" t="s">
        <v>49</v>
      </c>
      <c r="U3383" s="101" t="s">
        <v>2883</v>
      </c>
      <c r="V3383" t="s">
        <v>1780</v>
      </c>
      <c r="W3383" t="s">
        <v>1779</v>
      </c>
      <c r="X3383" t="s">
        <v>5407</v>
      </c>
      <c r="Y3383" t="s">
        <v>1776</v>
      </c>
      <c r="Z3383" t="s">
        <v>50</v>
      </c>
    </row>
    <row r="3384" spans="1:26" x14ac:dyDescent="0.35">
      <c r="A3384" s="527" t="s">
        <v>6199</v>
      </c>
      <c r="B3384" s="526" t="s">
        <v>5547</v>
      </c>
      <c r="C3384" s="526" t="s">
        <v>6195</v>
      </c>
      <c r="D3384" s="526" t="s">
        <v>1780</v>
      </c>
      <c r="E3384" s="526"/>
      <c r="F3384" s="538">
        <f t="shared" ref="F3384:F3399" si="1324">IF(HLOOKUP($D3384,$V$3383:$Y$3387,MATCH(MID($A3384,11,2),$N$3383:$N$3387,0),FALSE)&lt;&gt;"",ROUND(HLOOKUP($D3384,$V$3383:$Y$3387,MATCH(MID($A3384,11,2),$N$3383:$N$3387,0),FALSE),2),"")</f>
        <v>12.99</v>
      </c>
      <c r="G3384" s="537">
        <f t="shared" ref="G3384:G3399" si="1325">IF(HLOOKUP($D3384,$O$3383:$S$3387,MATCH(MID($A3384,11,2),$N$3383:$N$3387,0),FALSE)&lt;&gt;"",ROUND(HLOOKUP($D3384,$O$3383:$S$3387,MATCH(MID($A3384,11,2),$N$3383:$N$3387,0),FALSE),2),"")</f>
        <v>13.19</v>
      </c>
      <c r="H3384" s="537">
        <f t="shared" si="1319"/>
        <v>10.55</v>
      </c>
      <c r="I3384" s="574"/>
      <c r="J3384" s="549">
        <v>43077</v>
      </c>
      <c r="N3384" s="520" t="s">
        <v>5758</v>
      </c>
      <c r="O3384" s="461">
        <v>0</v>
      </c>
      <c r="P3384" s="261">
        <f>IF($O3384&lt;&gt;"",(1-$O3384)*P3370,"")</f>
        <v>13.187133000000001</v>
      </c>
      <c r="Q3384" s="261">
        <f>IF($O3384&lt;&gt;"",(1-$O3384)*Q3370,"")</f>
        <v>11.375387250000001</v>
      </c>
      <c r="R3384" s="261">
        <f>IF($O3384&lt;&gt;"",(1-$O3384)*R3370,"")</f>
        <v>10.187357249999998</v>
      </c>
      <c r="S3384" s="261">
        <f>IF($O3384&lt;&gt;"",(1-$O3384)*S3370,"")</f>
        <v>5.65304275</v>
      </c>
      <c r="V3384" s="261">
        <f t="shared" ref="V3384:Y3387" si="1326">P3384-0.2</f>
        <v>12.987133000000002</v>
      </c>
      <c r="W3384" s="261">
        <f t="shared" si="1326"/>
        <v>11.175387250000002</v>
      </c>
      <c r="X3384" s="261">
        <f t="shared" si="1326"/>
        <v>9.9873572499999987</v>
      </c>
      <c r="Y3384" s="261">
        <f t="shared" si="1326"/>
        <v>5.4530427499999998</v>
      </c>
      <c r="Z3384" s="261"/>
    </row>
    <row r="3385" spans="1:26" x14ac:dyDescent="0.35">
      <c r="A3385" s="527" t="s">
        <v>6200</v>
      </c>
      <c r="B3385" s="526" t="s">
        <v>5547</v>
      </c>
      <c r="C3385" s="526" t="s">
        <v>6195</v>
      </c>
      <c r="D3385" s="526" t="s">
        <v>1779</v>
      </c>
      <c r="E3385" s="526"/>
      <c r="F3385" s="538">
        <f t="shared" si="1324"/>
        <v>11.18</v>
      </c>
      <c r="G3385" s="537">
        <f t="shared" si="1325"/>
        <v>11.38</v>
      </c>
      <c r="H3385" s="537">
        <f t="shared" si="1319"/>
        <v>9.1</v>
      </c>
      <c r="I3385" s="574"/>
      <c r="J3385" s="549">
        <v>43077</v>
      </c>
      <c r="N3385" s="520" t="s">
        <v>5759</v>
      </c>
      <c r="O3385" s="461">
        <v>5.0000000000000001E-3</v>
      </c>
      <c r="P3385" s="261">
        <f t="shared" ref="P3385:S3387" si="1327">IF($O3385&lt;&gt;"",(1-$O3385)*P3384,"")</f>
        <v>13.121197335000002</v>
      </c>
      <c r="Q3385" s="261">
        <f t="shared" si="1327"/>
        <v>11.318510313750002</v>
      </c>
      <c r="R3385" s="261">
        <f t="shared" si="1327"/>
        <v>10.136420463749998</v>
      </c>
      <c r="S3385" s="261">
        <f t="shared" si="1327"/>
        <v>5.6247775362499999</v>
      </c>
      <c r="V3385" s="261">
        <f t="shared" si="1326"/>
        <v>12.921197335000002</v>
      </c>
      <c r="W3385" s="261">
        <f t="shared" si="1326"/>
        <v>11.118510313750003</v>
      </c>
      <c r="X3385" s="261">
        <f t="shared" si="1326"/>
        <v>9.9364204637499984</v>
      </c>
      <c r="Y3385" s="261">
        <f t="shared" si="1326"/>
        <v>5.4247775362499997</v>
      </c>
    </row>
    <row r="3386" spans="1:26" x14ac:dyDescent="0.35">
      <c r="A3386" s="527" t="s">
        <v>6201</v>
      </c>
      <c r="B3386" s="526" t="s">
        <v>5547</v>
      </c>
      <c r="C3386" s="526" t="s">
        <v>6195</v>
      </c>
      <c r="D3386" s="526" t="s">
        <v>5407</v>
      </c>
      <c r="E3386" s="526"/>
      <c r="F3386" s="538">
        <f t="shared" si="1324"/>
        <v>9.99</v>
      </c>
      <c r="G3386" s="537">
        <f t="shared" si="1325"/>
        <v>10.19</v>
      </c>
      <c r="H3386" s="537">
        <f t="shared" si="1319"/>
        <v>8.15</v>
      </c>
      <c r="I3386" s="574"/>
      <c r="J3386" s="549">
        <v>43077</v>
      </c>
      <c r="N3386" s="520" t="s">
        <v>5760</v>
      </c>
      <c r="O3386" s="461">
        <v>0</v>
      </c>
      <c r="P3386" s="261">
        <f t="shared" si="1327"/>
        <v>13.121197335000002</v>
      </c>
      <c r="Q3386" s="261">
        <f t="shared" si="1327"/>
        <v>11.318510313750002</v>
      </c>
      <c r="R3386" s="261">
        <f t="shared" si="1327"/>
        <v>10.136420463749998</v>
      </c>
      <c r="S3386" s="261">
        <f t="shared" si="1327"/>
        <v>5.6247775362499999</v>
      </c>
      <c r="V3386" s="261">
        <f t="shared" si="1326"/>
        <v>12.921197335000002</v>
      </c>
      <c r="W3386" s="261">
        <f t="shared" si="1326"/>
        <v>11.118510313750003</v>
      </c>
      <c r="X3386" s="261">
        <f t="shared" si="1326"/>
        <v>9.9364204637499984</v>
      </c>
      <c r="Y3386" s="261">
        <f t="shared" si="1326"/>
        <v>5.4247775362499997</v>
      </c>
    </row>
    <row r="3387" spans="1:26" x14ac:dyDescent="0.35">
      <c r="A3387" s="527" t="s">
        <v>6202</v>
      </c>
      <c r="B3387" s="526" t="s">
        <v>5547</v>
      </c>
      <c r="C3387" s="526" t="s">
        <v>6195</v>
      </c>
      <c r="D3387" s="526" t="s">
        <v>1776</v>
      </c>
      <c r="E3387" s="526"/>
      <c r="F3387" s="538">
        <f t="shared" si="1324"/>
        <v>5.45</v>
      </c>
      <c r="G3387" s="537">
        <f t="shared" si="1325"/>
        <v>5.65</v>
      </c>
      <c r="H3387" s="537">
        <f t="shared" si="1319"/>
        <v>4.5199999999999996</v>
      </c>
      <c r="I3387" s="574"/>
      <c r="J3387" s="549">
        <v>43077</v>
      </c>
      <c r="N3387" s="520" t="s">
        <v>5761</v>
      </c>
      <c r="O3387" s="461">
        <v>5.0000000000000001E-3</v>
      </c>
      <c r="P3387" s="261">
        <f t="shared" si="1327"/>
        <v>13.055591348325001</v>
      </c>
      <c r="Q3387" s="261">
        <f t="shared" si="1327"/>
        <v>11.261917762181252</v>
      </c>
      <c r="R3387" s="261">
        <f t="shared" si="1327"/>
        <v>10.085738361431247</v>
      </c>
      <c r="S3387" s="261">
        <f t="shared" si="1327"/>
        <v>5.5966536485687497</v>
      </c>
      <c r="V3387" s="261">
        <f t="shared" si="1326"/>
        <v>12.855591348325001</v>
      </c>
      <c r="W3387" s="261">
        <f t="shared" si="1326"/>
        <v>11.061917762181253</v>
      </c>
      <c r="X3387" s="261">
        <f t="shared" si="1326"/>
        <v>9.8857383614312475</v>
      </c>
      <c r="Y3387" s="261">
        <f t="shared" si="1326"/>
        <v>5.3966536485687495</v>
      </c>
    </row>
    <row r="3388" spans="1:26" x14ac:dyDescent="0.35">
      <c r="A3388" s="527" t="s">
        <v>6203</v>
      </c>
      <c r="B3388" s="526" t="s">
        <v>5547</v>
      </c>
      <c r="C3388" s="526" t="s">
        <v>6196</v>
      </c>
      <c r="D3388" s="526" t="s">
        <v>1780</v>
      </c>
      <c r="E3388" s="526"/>
      <c r="F3388" s="538">
        <f t="shared" si="1324"/>
        <v>12.92</v>
      </c>
      <c r="G3388" s="537">
        <f t="shared" si="1325"/>
        <v>13.12</v>
      </c>
      <c r="H3388" s="537">
        <f t="shared" si="1319"/>
        <v>10.5</v>
      </c>
      <c r="I3388" s="574"/>
      <c r="J3388" s="549">
        <v>43077</v>
      </c>
      <c r="N3388" s="101"/>
      <c r="O3388" s="322"/>
      <c r="P3388" s="261"/>
      <c r="Q3388" s="261"/>
      <c r="R3388" s="261"/>
      <c r="S3388" s="261"/>
      <c r="U3388" s="261"/>
      <c r="V3388" s="261"/>
      <c r="W3388" s="261"/>
      <c r="X3388" s="261"/>
    </row>
    <row r="3389" spans="1:26" x14ac:dyDescent="0.35">
      <c r="A3389" s="527" t="s">
        <v>6204</v>
      </c>
      <c r="B3389" s="526" t="s">
        <v>5547</v>
      </c>
      <c r="C3389" s="526" t="s">
        <v>6196</v>
      </c>
      <c r="D3389" s="526" t="s">
        <v>1779</v>
      </c>
      <c r="E3389" s="526"/>
      <c r="F3389" s="538">
        <f t="shared" si="1324"/>
        <v>11.12</v>
      </c>
      <c r="G3389" s="537">
        <f t="shared" si="1325"/>
        <v>11.32</v>
      </c>
      <c r="H3389" s="537">
        <f t="shared" si="1319"/>
        <v>9.06</v>
      </c>
      <c r="I3389" s="574"/>
      <c r="J3389" s="549">
        <v>43077</v>
      </c>
      <c r="N3389" s="101"/>
      <c r="O3389" s="322"/>
      <c r="P3389" s="261"/>
      <c r="Q3389" s="261"/>
      <c r="R3389" s="261"/>
      <c r="S3389" s="261"/>
      <c r="U3389" s="261"/>
      <c r="V3389" s="261"/>
      <c r="W3389" s="261"/>
      <c r="X3389" s="261"/>
    </row>
    <row r="3390" spans="1:26" x14ac:dyDescent="0.35">
      <c r="A3390" s="527" t="s">
        <v>6205</v>
      </c>
      <c r="B3390" s="526" t="s">
        <v>5547</v>
      </c>
      <c r="C3390" s="526" t="s">
        <v>6196</v>
      </c>
      <c r="D3390" s="526" t="s">
        <v>5407</v>
      </c>
      <c r="E3390" s="526"/>
      <c r="F3390" s="538">
        <f t="shared" si="1324"/>
        <v>9.94</v>
      </c>
      <c r="G3390" s="537">
        <f t="shared" si="1325"/>
        <v>10.14</v>
      </c>
      <c r="H3390" s="537">
        <f t="shared" si="1319"/>
        <v>8.11</v>
      </c>
      <c r="I3390" s="574"/>
      <c r="J3390" s="549">
        <v>43077</v>
      </c>
      <c r="N3390" s="101"/>
      <c r="O3390" s="322"/>
      <c r="P3390" s="261"/>
      <c r="Q3390" s="261"/>
      <c r="R3390" s="261"/>
      <c r="S3390" s="261"/>
      <c r="U3390" s="261"/>
      <c r="V3390" s="261"/>
      <c r="W3390" s="261"/>
      <c r="X3390" s="261"/>
    </row>
    <row r="3391" spans="1:26" x14ac:dyDescent="0.35">
      <c r="A3391" s="527" t="s">
        <v>6206</v>
      </c>
      <c r="B3391" s="526" t="s">
        <v>5547</v>
      </c>
      <c r="C3391" s="526" t="s">
        <v>6196</v>
      </c>
      <c r="D3391" s="526" t="s">
        <v>1776</v>
      </c>
      <c r="E3391" s="526"/>
      <c r="F3391" s="538">
        <f t="shared" si="1324"/>
        <v>5.42</v>
      </c>
      <c r="G3391" s="537">
        <f t="shared" si="1325"/>
        <v>5.62</v>
      </c>
      <c r="H3391" s="537">
        <f t="shared" si="1319"/>
        <v>4.5</v>
      </c>
      <c r="I3391" s="574"/>
      <c r="J3391" s="549">
        <v>43077</v>
      </c>
      <c r="N3391" s="101"/>
      <c r="O3391" s="322"/>
      <c r="P3391" s="261"/>
      <c r="Q3391" s="261"/>
      <c r="R3391" s="261"/>
      <c r="S3391" s="261"/>
      <c r="U3391" s="261"/>
      <c r="V3391" s="261"/>
      <c r="W3391" s="261"/>
      <c r="X3391" s="261"/>
    </row>
    <row r="3392" spans="1:26" x14ac:dyDescent="0.35">
      <c r="A3392" s="527" t="s">
        <v>6207</v>
      </c>
      <c r="B3392" s="526" t="s">
        <v>5547</v>
      </c>
      <c r="C3392" s="526" t="s">
        <v>6197</v>
      </c>
      <c r="D3392" s="526" t="s">
        <v>1780</v>
      </c>
      <c r="E3392" s="526"/>
      <c r="F3392" s="538">
        <f t="shared" si="1324"/>
        <v>12.92</v>
      </c>
      <c r="G3392" s="537">
        <f t="shared" si="1325"/>
        <v>13.12</v>
      </c>
      <c r="H3392" s="537">
        <f t="shared" si="1319"/>
        <v>10.5</v>
      </c>
      <c r="I3392" s="574"/>
      <c r="J3392" s="549">
        <v>43077</v>
      </c>
      <c r="N3392" s="101"/>
      <c r="O3392" s="322"/>
      <c r="P3392" s="261"/>
      <c r="Q3392" s="261"/>
      <c r="R3392" s="261"/>
      <c r="S3392" s="261"/>
      <c r="U3392" s="261"/>
      <c r="V3392" s="261"/>
      <c r="W3392" s="261"/>
      <c r="X3392" s="261"/>
    </row>
    <row r="3393" spans="1:25" x14ac:dyDescent="0.35">
      <c r="A3393" s="527" t="s">
        <v>6208</v>
      </c>
      <c r="B3393" s="526" t="s">
        <v>5547</v>
      </c>
      <c r="C3393" s="526" t="s">
        <v>6197</v>
      </c>
      <c r="D3393" s="526" t="s">
        <v>1779</v>
      </c>
      <c r="E3393" s="526"/>
      <c r="F3393" s="538">
        <f t="shared" si="1324"/>
        <v>11.12</v>
      </c>
      <c r="G3393" s="537">
        <f t="shared" si="1325"/>
        <v>11.32</v>
      </c>
      <c r="H3393" s="537">
        <f t="shared" si="1319"/>
        <v>9.06</v>
      </c>
      <c r="I3393" s="574"/>
      <c r="J3393" s="549">
        <v>43077</v>
      </c>
      <c r="N3393" s="101"/>
      <c r="O3393" s="322"/>
      <c r="P3393" s="261"/>
      <c r="Q3393" s="261"/>
      <c r="R3393" s="261"/>
      <c r="S3393" s="261"/>
      <c r="U3393" s="261"/>
      <c r="V3393" s="261"/>
      <c r="W3393" s="261"/>
      <c r="X3393" s="261"/>
    </row>
    <row r="3394" spans="1:25" x14ac:dyDescent="0.35">
      <c r="A3394" s="527" t="s">
        <v>6209</v>
      </c>
      <c r="B3394" s="526" t="s">
        <v>5547</v>
      </c>
      <c r="C3394" s="526" t="s">
        <v>6197</v>
      </c>
      <c r="D3394" s="526" t="s">
        <v>5407</v>
      </c>
      <c r="E3394" s="526"/>
      <c r="F3394" s="538">
        <f t="shared" si="1324"/>
        <v>9.94</v>
      </c>
      <c r="G3394" s="537">
        <f t="shared" si="1325"/>
        <v>10.14</v>
      </c>
      <c r="H3394" s="537">
        <f t="shared" si="1319"/>
        <v>8.11</v>
      </c>
      <c r="I3394" s="574"/>
      <c r="J3394" s="549">
        <v>43077</v>
      </c>
      <c r="N3394" s="101"/>
      <c r="O3394" s="322"/>
      <c r="P3394" s="261"/>
      <c r="Q3394" s="261"/>
      <c r="R3394" s="261"/>
      <c r="S3394" s="261"/>
      <c r="U3394" s="261"/>
      <c r="V3394" s="261"/>
      <c r="W3394" s="261"/>
      <c r="X3394" s="261"/>
    </row>
    <row r="3395" spans="1:25" x14ac:dyDescent="0.35">
      <c r="A3395" s="527" t="s">
        <v>6210</v>
      </c>
      <c r="B3395" s="526" t="s">
        <v>5547</v>
      </c>
      <c r="C3395" s="526" t="s">
        <v>6197</v>
      </c>
      <c r="D3395" s="526" t="s">
        <v>1776</v>
      </c>
      <c r="E3395" s="526"/>
      <c r="F3395" s="538">
        <f t="shared" si="1324"/>
        <v>5.42</v>
      </c>
      <c r="G3395" s="537">
        <f t="shared" si="1325"/>
        <v>5.62</v>
      </c>
      <c r="H3395" s="537">
        <f t="shared" si="1319"/>
        <v>4.5</v>
      </c>
      <c r="I3395" s="574"/>
      <c r="J3395" s="549">
        <v>43077</v>
      </c>
      <c r="N3395" s="101"/>
      <c r="O3395" s="322"/>
      <c r="P3395" s="261"/>
      <c r="Q3395" s="261"/>
      <c r="R3395" s="261"/>
      <c r="S3395" s="261"/>
      <c r="U3395" s="261"/>
      <c r="V3395" s="261"/>
      <c r="W3395" s="261"/>
      <c r="X3395" s="261"/>
    </row>
    <row r="3396" spans="1:25" x14ac:dyDescent="0.35">
      <c r="A3396" s="527" t="s">
        <v>6211</v>
      </c>
      <c r="B3396" s="526" t="s">
        <v>5547</v>
      </c>
      <c r="C3396" s="526" t="s">
        <v>6198</v>
      </c>
      <c r="D3396" s="526" t="s">
        <v>1780</v>
      </c>
      <c r="E3396" s="526"/>
      <c r="F3396" s="538">
        <f t="shared" si="1324"/>
        <v>12.86</v>
      </c>
      <c r="G3396" s="537">
        <f t="shared" si="1325"/>
        <v>13.06</v>
      </c>
      <c r="H3396" s="537">
        <f t="shared" si="1319"/>
        <v>10.45</v>
      </c>
      <c r="I3396" s="574"/>
      <c r="J3396" s="549">
        <v>43077</v>
      </c>
      <c r="N3396" s="101"/>
      <c r="O3396" s="322"/>
      <c r="P3396" s="261"/>
      <c r="Q3396" s="261"/>
      <c r="R3396" s="261"/>
      <c r="S3396" s="261"/>
      <c r="U3396" s="261"/>
      <c r="V3396" s="261"/>
      <c r="W3396" s="261"/>
      <c r="X3396" s="261"/>
    </row>
    <row r="3397" spans="1:25" x14ac:dyDescent="0.35">
      <c r="A3397" s="527" t="s">
        <v>6212</v>
      </c>
      <c r="B3397" s="526" t="s">
        <v>5547</v>
      </c>
      <c r="C3397" s="526" t="s">
        <v>6198</v>
      </c>
      <c r="D3397" s="526" t="s">
        <v>1779</v>
      </c>
      <c r="E3397" s="526"/>
      <c r="F3397" s="538">
        <f t="shared" si="1324"/>
        <v>11.06</v>
      </c>
      <c r="G3397" s="537">
        <f t="shared" si="1325"/>
        <v>11.26</v>
      </c>
      <c r="H3397" s="537">
        <f t="shared" ref="H3397:H3428" si="1328">IF(ISNUMBER(G3397),ROUND(0.8*G3397,2),"")</f>
        <v>9.01</v>
      </c>
      <c r="I3397" s="574"/>
      <c r="J3397" s="549">
        <v>43077</v>
      </c>
      <c r="N3397" s="101"/>
      <c r="O3397" s="322"/>
      <c r="P3397" s="261"/>
      <c r="Q3397" s="261"/>
      <c r="R3397" s="261"/>
      <c r="S3397" s="261"/>
      <c r="U3397" s="261"/>
      <c r="V3397" s="261"/>
      <c r="W3397" s="261"/>
      <c r="X3397" s="261"/>
    </row>
    <row r="3398" spans="1:25" x14ac:dyDescent="0.35">
      <c r="A3398" s="527" t="s">
        <v>6213</v>
      </c>
      <c r="B3398" s="526" t="s">
        <v>5547</v>
      </c>
      <c r="C3398" s="526" t="s">
        <v>6198</v>
      </c>
      <c r="D3398" s="526" t="s">
        <v>5407</v>
      </c>
      <c r="E3398" s="526"/>
      <c r="F3398" s="538">
        <f t="shared" si="1324"/>
        <v>9.89</v>
      </c>
      <c r="G3398" s="537">
        <f t="shared" si="1325"/>
        <v>10.09</v>
      </c>
      <c r="H3398" s="537">
        <f t="shared" si="1328"/>
        <v>8.07</v>
      </c>
      <c r="I3398" s="574"/>
      <c r="J3398" s="549">
        <v>43077</v>
      </c>
      <c r="N3398" s="101"/>
      <c r="O3398" s="322"/>
      <c r="P3398" s="261"/>
      <c r="Q3398" s="261"/>
      <c r="R3398" s="261"/>
      <c r="S3398" s="261"/>
      <c r="U3398" s="261"/>
      <c r="V3398" s="261"/>
      <c r="W3398" s="261"/>
      <c r="X3398" s="261"/>
    </row>
    <row r="3399" spans="1:25" x14ac:dyDescent="0.35">
      <c r="A3399" s="527" t="s">
        <v>6214</v>
      </c>
      <c r="B3399" s="526" t="s">
        <v>5547</v>
      </c>
      <c r="C3399" s="526" t="s">
        <v>6198</v>
      </c>
      <c r="D3399" s="526" t="s">
        <v>1776</v>
      </c>
      <c r="E3399" s="526"/>
      <c r="F3399" s="538">
        <f t="shared" si="1324"/>
        <v>5.4</v>
      </c>
      <c r="G3399" s="537">
        <f t="shared" si="1325"/>
        <v>5.6</v>
      </c>
      <c r="H3399" s="537">
        <f t="shared" si="1328"/>
        <v>4.4800000000000004</v>
      </c>
      <c r="I3399" s="574"/>
      <c r="J3399" s="549">
        <v>43077</v>
      </c>
      <c r="N3399" s="101"/>
      <c r="O3399" s="322"/>
      <c r="P3399" s="261"/>
      <c r="Q3399" s="261"/>
      <c r="R3399" s="261"/>
      <c r="S3399" s="261"/>
      <c r="U3399" s="261"/>
      <c r="V3399" s="261"/>
      <c r="W3399" s="261"/>
      <c r="X3399" s="261"/>
    </row>
    <row r="3400" spans="1:25" x14ac:dyDescent="0.35">
      <c r="A3400" s="496"/>
      <c r="B3400" s="1"/>
      <c r="C3400" s="1"/>
      <c r="D3400" s="1"/>
      <c r="E3400" s="1"/>
      <c r="F3400" s="362"/>
      <c r="G3400" s="10"/>
      <c r="H3400" s="10" t="str">
        <f t="shared" si="1328"/>
        <v/>
      </c>
      <c r="I3400" s="566"/>
      <c r="J3400" s="549" t="s">
        <v>4179</v>
      </c>
      <c r="M3400">
        <v>2019</v>
      </c>
      <c r="N3400" t="s">
        <v>5681</v>
      </c>
      <c r="O3400" s="29" t="s">
        <v>5489</v>
      </c>
      <c r="P3400" t="s">
        <v>1780</v>
      </c>
      <c r="Q3400" t="s">
        <v>1779</v>
      </c>
      <c r="R3400" t="s">
        <v>5407</v>
      </c>
      <c r="S3400" t="s">
        <v>1776</v>
      </c>
      <c r="T3400" t="s">
        <v>49</v>
      </c>
      <c r="U3400" s="101" t="s">
        <v>2883</v>
      </c>
      <c r="V3400" t="s">
        <v>1780</v>
      </c>
      <c r="W3400" t="s">
        <v>1779</v>
      </c>
      <c r="X3400" t="s">
        <v>5407</v>
      </c>
      <c r="Y3400" t="s">
        <v>1776</v>
      </c>
    </row>
    <row r="3401" spans="1:25" x14ac:dyDescent="0.35">
      <c r="A3401" s="527" t="s">
        <v>6371</v>
      </c>
      <c r="B3401" s="526" t="s">
        <v>5547</v>
      </c>
      <c r="C3401" s="526" t="s">
        <v>6400</v>
      </c>
      <c r="D3401" s="526" t="s">
        <v>1780</v>
      </c>
      <c r="E3401" s="526"/>
      <c r="F3401" s="538">
        <f t="shared" ref="F3401:F3416" si="1329">IF(HLOOKUP($D3401,$V$3400:$Y$3404,MATCH(MID($A3401,11,2),$N$3400:$N$3404,0),FALSE)&lt;&gt;"",ROUND(HLOOKUP($D3401,$V$3400:$Y$3404,MATCH(MID($A3401,11,2),$N$3400:$N$3404,0),FALSE),2),"")</f>
        <v>12.86</v>
      </c>
      <c r="G3401" s="537">
        <f t="shared" ref="G3401:G3416" si="1330">IF(HLOOKUP($D3401,$O$3400:$S$3404,MATCH(MID($A3401,11,2),$N$3400:$N$3404,0),FALSE)&lt;&gt;"",ROUND(HLOOKUP($D3401,$O$3400:$S$3404,MATCH(MID($A3401,11,2),$N$3400:$N$3404,0),FALSE),2),"")</f>
        <v>13.06</v>
      </c>
      <c r="H3401" s="537">
        <f t="shared" si="1328"/>
        <v>10.45</v>
      </c>
      <c r="I3401" s="574"/>
      <c r="J3401" s="549">
        <v>43419</v>
      </c>
      <c r="N3401" s="520" t="s">
        <v>5758</v>
      </c>
      <c r="O3401" s="461">
        <v>0</v>
      </c>
      <c r="P3401" s="261">
        <f>IF($O3401&lt;&gt;"",(1-$O3401)*P3387,"")</f>
        <v>13.055591348325001</v>
      </c>
      <c r="Q3401" s="261">
        <f>IF($O3401&lt;&gt;"",(1-$O3401)*Q3387,"")</f>
        <v>11.261917762181252</v>
      </c>
      <c r="R3401" s="261">
        <f>IF($O3401&lt;&gt;"",(1-$O3401)*R3387,"")</f>
        <v>10.085738361431247</v>
      </c>
      <c r="S3401" s="261">
        <f>IF($O3401&lt;&gt;"",(1-$O3401)*S3387,"")</f>
        <v>5.5966536485687497</v>
      </c>
      <c r="V3401" s="261">
        <f t="shared" ref="V3401:Y3404" si="1331">P3401-0.2</f>
        <v>12.855591348325001</v>
      </c>
      <c r="W3401" s="261">
        <f t="shared" si="1331"/>
        <v>11.061917762181253</v>
      </c>
      <c r="X3401" s="261">
        <f t="shared" si="1331"/>
        <v>9.8857383614312475</v>
      </c>
      <c r="Y3401" s="261">
        <f t="shared" si="1331"/>
        <v>5.3966536485687495</v>
      </c>
    </row>
    <row r="3402" spans="1:25" x14ac:dyDescent="0.35">
      <c r="A3402" s="527" t="s">
        <v>6372</v>
      </c>
      <c r="B3402" s="526" t="s">
        <v>5547</v>
      </c>
      <c r="C3402" s="526" t="s">
        <v>6400</v>
      </c>
      <c r="D3402" s="526" t="s">
        <v>1779</v>
      </c>
      <c r="E3402" s="526"/>
      <c r="F3402" s="538">
        <f t="shared" si="1329"/>
        <v>11.06</v>
      </c>
      <c r="G3402" s="537">
        <f t="shared" si="1330"/>
        <v>11.26</v>
      </c>
      <c r="H3402" s="537">
        <f t="shared" si="1328"/>
        <v>9.01</v>
      </c>
      <c r="I3402" s="574"/>
      <c r="J3402" s="549">
        <v>43419</v>
      </c>
      <c r="N3402" s="520" t="s">
        <v>5759</v>
      </c>
      <c r="O3402" s="461">
        <v>5.0000000000000001E-3</v>
      </c>
      <c r="P3402" s="261">
        <f t="shared" ref="P3402:S3404" si="1332">IF($O3402&lt;&gt;"",(1-$O3402)*P3401,"")</f>
        <v>12.990313391583376</v>
      </c>
      <c r="Q3402" s="261">
        <f t="shared" si="1332"/>
        <v>11.205608173370345</v>
      </c>
      <c r="R3402" s="261">
        <f t="shared" si="1332"/>
        <v>10.035309669624091</v>
      </c>
      <c r="S3402" s="261">
        <f t="shared" si="1332"/>
        <v>5.5686703803259059</v>
      </c>
      <c r="V3402" s="261">
        <f t="shared" si="1331"/>
        <v>12.790313391583377</v>
      </c>
      <c r="W3402" s="261">
        <f t="shared" si="1331"/>
        <v>11.005608173370346</v>
      </c>
      <c r="X3402" s="261">
        <f t="shared" si="1331"/>
        <v>9.8353096696240918</v>
      </c>
      <c r="Y3402" s="261">
        <f t="shared" si="1331"/>
        <v>5.3686703803259057</v>
      </c>
    </row>
    <row r="3403" spans="1:25" x14ac:dyDescent="0.35">
      <c r="A3403" s="527" t="s">
        <v>6373</v>
      </c>
      <c r="B3403" s="526" t="s">
        <v>5547</v>
      </c>
      <c r="C3403" s="526" t="s">
        <v>6400</v>
      </c>
      <c r="D3403" s="526" t="s">
        <v>5407</v>
      </c>
      <c r="E3403" s="526"/>
      <c r="F3403" s="538">
        <f t="shared" si="1329"/>
        <v>9.89</v>
      </c>
      <c r="G3403" s="537">
        <f t="shared" si="1330"/>
        <v>10.09</v>
      </c>
      <c r="H3403" s="537">
        <f t="shared" si="1328"/>
        <v>8.07</v>
      </c>
      <c r="I3403" s="574"/>
      <c r="J3403" s="549">
        <v>43419</v>
      </c>
      <c r="N3403" s="520" t="s">
        <v>5760</v>
      </c>
      <c r="O3403" s="461">
        <v>0</v>
      </c>
      <c r="P3403" s="261">
        <f t="shared" si="1332"/>
        <v>12.990313391583376</v>
      </c>
      <c r="Q3403" s="261">
        <f t="shared" si="1332"/>
        <v>11.205608173370345</v>
      </c>
      <c r="R3403" s="261">
        <f t="shared" si="1332"/>
        <v>10.035309669624091</v>
      </c>
      <c r="S3403" s="261">
        <f t="shared" si="1332"/>
        <v>5.5686703803259059</v>
      </c>
      <c r="V3403" s="261">
        <f t="shared" si="1331"/>
        <v>12.790313391583377</v>
      </c>
      <c r="W3403" s="261">
        <f t="shared" si="1331"/>
        <v>11.005608173370346</v>
      </c>
      <c r="X3403" s="261">
        <f t="shared" si="1331"/>
        <v>9.8353096696240918</v>
      </c>
      <c r="Y3403" s="261">
        <f t="shared" si="1331"/>
        <v>5.3686703803259057</v>
      </c>
    </row>
    <row r="3404" spans="1:25" x14ac:dyDescent="0.35">
      <c r="A3404" s="527" t="s">
        <v>6374</v>
      </c>
      <c r="B3404" s="526" t="s">
        <v>5547</v>
      </c>
      <c r="C3404" s="526" t="s">
        <v>6400</v>
      </c>
      <c r="D3404" s="526" t="s">
        <v>1776</v>
      </c>
      <c r="E3404" s="526"/>
      <c r="F3404" s="538">
        <f t="shared" si="1329"/>
        <v>5.4</v>
      </c>
      <c r="G3404" s="537">
        <f t="shared" si="1330"/>
        <v>5.6</v>
      </c>
      <c r="H3404" s="537">
        <f t="shared" si="1328"/>
        <v>4.4800000000000004</v>
      </c>
      <c r="I3404" s="574"/>
      <c r="J3404" s="549">
        <v>43419</v>
      </c>
      <c r="N3404" s="520" t="s">
        <v>5761</v>
      </c>
      <c r="O3404" s="461">
        <v>5.0000000000000001E-3</v>
      </c>
      <c r="P3404" s="261">
        <f t="shared" si="1332"/>
        <v>12.925361824625458</v>
      </c>
      <c r="Q3404" s="261">
        <f t="shared" si="1332"/>
        <v>11.149580132503493</v>
      </c>
      <c r="R3404" s="261">
        <f t="shared" si="1332"/>
        <v>9.98513312127597</v>
      </c>
      <c r="S3404" s="261">
        <f t="shared" si="1332"/>
        <v>5.5408270284242764</v>
      </c>
      <c r="V3404" s="261">
        <f t="shared" si="1331"/>
        <v>12.725361824625459</v>
      </c>
      <c r="W3404" s="261">
        <f t="shared" si="1331"/>
        <v>10.949580132503494</v>
      </c>
      <c r="X3404" s="261">
        <f t="shared" si="1331"/>
        <v>9.7851331212759707</v>
      </c>
      <c r="Y3404" s="261">
        <f t="shared" si="1331"/>
        <v>5.3408270284242763</v>
      </c>
    </row>
    <row r="3405" spans="1:25" x14ac:dyDescent="0.35">
      <c r="A3405" s="527" t="s">
        <v>6375</v>
      </c>
      <c r="B3405" s="526" t="s">
        <v>5547</v>
      </c>
      <c r="C3405" s="526" t="s">
        <v>6401</v>
      </c>
      <c r="D3405" s="526" t="s">
        <v>1780</v>
      </c>
      <c r="E3405" s="526"/>
      <c r="F3405" s="538">
        <f t="shared" si="1329"/>
        <v>12.79</v>
      </c>
      <c r="G3405" s="537">
        <f t="shared" si="1330"/>
        <v>12.99</v>
      </c>
      <c r="H3405" s="537">
        <f t="shared" si="1328"/>
        <v>10.39</v>
      </c>
      <c r="I3405" s="574"/>
      <c r="J3405" s="549">
        <v>43419</v>
      </c>
      <c r="N3405" s="101"/>
      <c r="O3405" s="322"/>
      <c r="P3405" s="261"/>
      <c r="Q3405" s="261"/>
      <c r="R3405" s="261"/>
      <c r="S3405" s="261"/>
      <c r="U3405" s="261"/>
      <c r="V3405" s="261"/>
      <c r="W3405" s="261"/>
      <c r="X3405" s="261"/>
    </row>
    <row r="3406" spans="1:25" x14ac:dyDescent="0.35">
      <c r="A3406" s="527" t="s">
        <v>6376</v>
      </c>
      <c r="B3406" s="526" t="s">
        <v>5547</v>
      </c>
      <c r="C3406" s="526" t="s">
        <v>6401</v>
      </c>
      <c r="D3406" s="526" t="s">
        <v>1779</v>
      </c>
      <c r="E3406" s="526"/>
      <c r="F3406" s="538">
        <f t="shared" si="1329"/>
        <v>11.01</v>
      </c>
      <c r="G3406" s="537">
        <f t="shared" si="1330"/>
        <v>11.21</v>
      </c>
      <c r="H3406" s="537">
        <f t="shared" si="1328"/>
        <v>8.9700000000000006</v>
      </c>
      <c r="I3406" s="574"/>
      <c r="J3406" s="549">
        <v>43419</v>
      </c>
      <c r="N3406" s="101"/>
      <c r="O3406" s="322"/>
      <c r="P3406" s="261"/>
      <c r="Q3406" s="261"/>
      <c r="R3406" s="261"/>
      <c r="S3406" s="261"/>
      <c r="U3406" s="261"/>
      <c r="V3406" s="261"/>
      <c r="W3406" s="261"/>
      <c r="X3406" s="261"/>
    </row>
    <row r="3407" spans="1:25" x14ac:dyDescent="0.35">
      <c r="A3407" s="527" t="s">
        <v>6377</v>
      </c>
      <c r="B3407" s="526" t="s">
        <v>5547</v>
      </c>
      <c r="C3407" s="526" t="s">
        <v>6401</v>
      </c>
      <c r="D3407" s="526" t="s">
        <v>5407</v>
      </c>
      <c r="E3407" s="526"/>
      <c r="F3407" s="538">
        <f t="shared" si="1329"/>
        <v>9.84</v>
      </c>
      <c r="G3407" s="537">
        <f t="shared" si="1330"/>
        <v>10.039999999999999</v>
      </c>
      <c r="H3407" s="537">
        <f t="shared" si="1328"/>
        <v>8.0299999999999994</v>
      </c>
      <c r="I3407" s="574"/>
      <c r="J3407" s="549">
        <v>43419</v>
      </c>
      <c r="N3407" s="101"/>
      <c r="O3407" s="322"/>
      <c r="P3407" s="261"/>
      <c r="Q3407" s="261"/>
      <c r="R3407" s="261"/>
      <c r="S3407" s="261"/>
      <c r="U3407" s="261"/>
      <c r="V3407" s="261"/>
      <c r="W3407" s="261"/>
      <c r="X3407" s="261"/>
    </row>
    <row r="3408" spans="1:25" x14ac:dyDescent="0.35">
      <c r="A3408" s="527" t="s">
        <v>6378</v>
      </c>
      <c r="B3408" s="526" t="s">
        <v>5547</v>
      </c>
      <c r="C3408" s="526" t="s">
        <v>6401</v>
      </c>
      <c r="D3408" s="526" t="s">
        <v>1776</v>
      </c>
      <c r="E3408" s="526"/>
      <c r="F3408" s="538">
        <f t="shared" si="1329"/>
        <v>5.37</v>
      </c>
      <c r="G3408" s="537">
        <f t="shared" si="1330"/>
        <v>5.57</v>
      </c>
      <c r="H3408" s="537">
        <f t="shared" si="1328"/>
        <v>4.46</v>
      </c>
      <c r="I3408" s="574"/>
      <c r="J3408" s="549">
        <v>43419</v>
      </c>
      <c r="N3408" s="101"/>
      <c r="O3408" s="322"/>
      <c r="P3408" s="261"/>
      <c r="Q3408" s="261"/>
      <c r="R3408" s="261"/>
      <c r="S3408" s="261"/>
      <c r="U3408" s="261"/>
      <c r="V3408" s="261"/>
      <c r="W3408" s="261"/>
      <c r="X3408" s="261"/>
    </row>
    <row r="3409" spans="1:25" x14ac:dyDescent="0.35">
      <c r="A3409" s="527" t="s">
        <v>6379</v>
      </c>
      <c r="B3409" s="526" t="s">
        <v>5547</v>
      </c>
      <c r="C3409" s="526" t="s">
        <v>6402</v>
      </c>
      <c r="D3409" s="526" t="s">
        <v>1780</v>
      </c>
      <c r="E3409" s="526"/>
      <c r="F3409" s="538">
        <f t="shared" si="1329"/>
        <v>12.79</v>
      </c>
      <c r="G3409" s="537">
        <f t="shared" si="1330"/>
        <v>12.99</v>
      </c>
      <c r="H3409" s="537">
        <f t="shared" si="1328"/>
        <v>10.39</v>
      </c>
      <c r="I3409" s="574"/>
      <c r="J3409" s="549">
        <v>43419</v>
      </c>
      <c r="N3409" s="101"/>
      <c r="O3409" s="322"/>
      <c r="P3409" s="261"/>
      <c r="Q3409" s="261"/>
      <c r="R3409" s="261"/>
      <c r="S3409" s="261"/>
      <c r="U3409" s="261"/>
      <c r="V3409" s="261"/>
      <c r="W3409" s="261"/>
      <c r="X3409" s="261"/>
    </row>
    <row r="3410" spans="1:25" x14ac:dyDescent="0.35">
      <c r="A3410" s="527" t="s">
        <v>6380</v>
      </c>
      <c r="B3410" s="526" t="s">
        <v>5547</v>
      </c>
      <c r="C3410" s="526" t="s">
        <v>6402</v>
      </c>
      <c r="D3410" s="526" t="s">
        <v>1779</v>
      </c>
      <c r="E3410" s="526"/>
      <c r="F3410" s="538">
        <f t="shared" si="1329"/>
        <v>11.01</v>
      </c>
      <c r="G3410" s="537">
        <f t="shared" si="1330"/>
        <v>11.21</v>
      </c>
      <c r="H3410" s="537">
        <f t="shared" si="1328"/>
        <v>8.9700000000000006</v>
      </c>
      <c r="I3410" s="574"/>
      <c r="J3410" s="549">
        <v>43419</v>
      </c>
      <c r="N3410" s="101"/>
      <c r="O3410" s="322"/>
      <c r="P3410" s="261"/>
      <c r="Q3410" s="261"/>
      <c r="R3410" s="261"/>
      <c r="S3410" s="261"/>
      <c r="U3410" s="261"/>
      <c r="V3410" s="261"/>
      <c r="W3410" s="261"/>
      <c r="X3410" s="261"/>
    </row>
    <row r="3411" spans="1:25" x14ac:dyDescent="0.35">
      <c r="A3411" s="527" t="s">
        <v>6381</v>
      </c>
      <c r="B3411" s="526" t="s">
        <v>5547</v>
      </c>
      <c r="C3411" s="526" t="s">
        <v>6402</v>
      </c>
      <c r="D3411" s="526" t="s">
        <v>5407</v>
      </c>
      <c r="E3411" s="526"/>
      <c r="F3411" s="538">
        <f t="shared" si="1329"/>
        <v>9.84</v>
      </c>
      <c r="G3411" s="537">
        <f t="shared" si="1330"/>
        <v>10.039999999999999</v>
      </c>
      <c r="H3411" s="537">
        <f t="shared" si="1328"/>
        <v>8.0299999999999994</v>
      </c>
      <c r="I3411" s="574"/>
      <c r="J3411" s="549">
        <v>43419</v>
      </c>
      <c r="N3411" s="101"/>
      <c r="O3411" s="322"/>
      <c r="P3411" s="261"/>
      <c r="Q3411" s="261"/>
      <c r="R3411" s="261"/>
      <c r="S3411" s="261"/>
      <c r="U3411" s="261"/>
      <c r="V3411" s="261"/>
      <c r="W3411" s="261"/>
      <c r="X3411" s="261"/>
    </row>
    <row r="3412" spans="1:25" x14ac:dyDescent="0.35">
      <c r="A3412" s="527" t="s">
        <v>6382</v>
      </c>
      <c r="B3412" s="526" t="s">
        <v>5547</v>
      </c>
      <c r="C3412" s="526" t="s">
        <v>6402</v>
      </c>
      <c r="D3412" s="526" t="s">
        <v>1776</v>
      </c>
      <c r="E3412" s="526"/>
      <c r="F3412" s="538">
        <f t="shared" si="1329"/>
        <v>5.37</v>
      </c>
      <c r="G3412" s="537">
        <f t="shared" si="1330"/>
        <v>5.57</v>
      </c>
      <c r="H3412" s="537">
        <f t="shared" si="1328"/>
        <v>4.46</v>
      </c>
      <c r="I3412" s="574"/>
      <c r="J3412" s="549">
        <v>43419</v>
      </c>
      <c r="N3412" s="101"/>
      <c r="O3412" s="322"/>
      <c r="P3412" s="261"/>
      <c r="Q3412" s="261"/>
      <c r="R3412" s="261"/>
      <c r="S3412" s="261"/>
      <c r="U3412" s="261"/>
      <c r="V3412" s="261"/>
      <c r="W3412" s="261"/>
      <c r="X3412" s="261"/>
    </row>
    <row r="3413" spans="1:25" x14ac:dyDescent="0.35">
      <c r="A3413" s="527" t="s">
        <v>6383</v>
      </c>
      <c r="B3413" s="526" t="s">
        <v>5547</v>
      </c>
      <c r="C3413" s="526" t="s">
        <v>6403</v>
      </c>
      <c r="D3413" s="526" t="s">
        <v>1780</v>
      </c>
      <c r="E3413" s="526"/>
      <c r="F3413" s="538">
        <f t="shared" si="1329"/>
        <v>12.73</v>
      </c>
      <c r="G3413" s="537">
        <f t="shared" si="1330"/>
        <v>12.93</v>
      </c>
      <c r="H3413" s="537">
        <f t="shared" si="1328"/>
        <v>10.34</v>
      </c>
      <c r="I3413" s="574"/>
      <c r="J3413" s="549">
        <v>43419</v>
      </c>
      <c r="N3413" s="101"/>
      <c r="O3413" s="322"/>
      <c r="P3413" s="261"/>
      <c r="Q3413" s="261"/>
      <c r="R3413" s="261"/>
      <c r="S3413" s="261"/>
      <c r="U3413" s="261"/>
      <c r="V3413" s="261"/>
      <c r="W3413" s="261"/>
      <c r="X3413" s="261"/>
    </row>
    <row r="3414" spans="1:25" x14ac:dyDescent="0.35">
      <c r="A3414" s="527" t="s">
        <v>6384</v>
      </c>
      <c r="B3414" s="526" t="s">
        <v>5547</v>
      </c>
      <c r="C3414" s="526" t="s">
        <v>6403</v>
      </c>
      <c r="D3414" s="526" t="s">
        <v>1779</v>
      </c>
      <c r="E3414" s="526"/>
      <c r="F3414" s="538">
        <f t="shared" si="1329"/>
        <v>10.95</v>
      </c>
      <c r="G3414" s="537">
        <f t="shared" si="1330"/>
        <v>11.15</v>
      </c>
      <c r="H3414" s="537">
        <f t="shared" si="1328"/>
        <v>8.92</v>
      </c>
      <c r="I3414" s="574"/>
      <c r="J3414" s="549">
        <v>43419</v>
      </c>
      <c r="N3414" s="101"/>
      <c r="O3414" s="322"/>
      <c r="P3414" s="261"/>
      <c r="Q3414" s="261"/>
      <c r="R3414" s="261"/>
      <c r="S3414" s="261"/>
      <c r="U3414" s="261"/>
      <c r="V3414" s="261"/>
      <c r="W3414" s="261"/>
      <c r="X3414" s="261"/>
    </row>
    <row r="3415" spans="1:25" x14ac:dyDescent="0.35">
      <c r="A3415" s="527" t="s">
        <v>6385</v>
      </c>
      <c r="B3415" s="526" t="s">
        <v>5547</v>
      </c>
      <c r="C3415" s="526" t="s">
        <v>6403</v>
      </c>
      <c r="D3415" s="526" t="s">
        <v>5407</v>
      </c>
      <c r="E3415" s="526"/>
      <c r="F3415" s="538">
        <f t="shared" si="1329"/>
        <v>9.7899999999999991</v>
      </c>
      <c r="G3415" s="537">
        <f t="shared" si="1330"/>
        <v>9.99</v>
      </c>
      <c r="H3415" s="537">
        <f t="shared" si="1328"/>
        <v>7.99</v>
      </c>
      <c r="I3415" s="574"/>
      <c r="J3415" s="549">
        <v>43419</v>
      </c>
      <c r="N3415" s="101"/>
      <c r="O3415" s="322"/>
      <c r="P3415" s="261"/>
      <c r="Q3415" s="261"/>
      <c r="R3415" s="261"/>
      <c r="S3415" s="261"/>
      <c r="U3415" s="261"/>
      <c r="V3415" s="261"/>
      <c r="W3415" s="261"/>
      <c r="X3415" s="261"/>
    </row>
    <row r="3416" spans="1:25" x14ac:dyDescent="0.35">
      <c r="A3416" s="527" t="s">
        <v>6386</v>
      </c>
      <c r="B3416" s="526" t="s">
        <v>5547</v>
      </c>
      <c r="C3416" s="526" t="s">
        <v>6403</v>
      </c>
      <c r="D3416" s="526" t="s">
        <v>1776</v>
      </c>
      <c r="E3416" s="526"/>
      <c r="F3416" s="538">
        <f t="shared" si="1329"/>
        <v>5.34</v>
      </c>
      <c r="G3416" s="537">
        <f t="shared" si="1330"/>
        <v>5.54</v>
      </c>
      <c r="H3416" s="537">
        <f t="shared" si="1328"/>
        <v>4.43</v>
      </c>
      <c r="I3416" s="574"/>
      <c r="J3416" s="549">
        <v>43419</v>
      </c>
      <c r="N3416" s="101"/>
      <c r="O3416" s="322"/>
      <c r="P3416" s="261"/>
      <c r="Q3416" s="261"/>
      <c r="R3416" s="261"/>
      <c r="S3416" s="261"/>
      <c r="U3416" s="261"/>
      <c r="V3416" s="261"/>
      <c r="W3416" s="261"/>
      <c r="X3416" s="261"/>
    </row>
    <row r="3417" spans="1:25" x14ac:dyDescent="0.35">
      <c r="A3417" s="496"/>
      <c r="B3417" s="1"/>
      <c r="C3417" s="1"/>
      <c r="D3417" s="1"/>
      <c r="E3417" s="1"/>
      <c r="F3417" s="362"/>
      <c r="G3417" s="10"/>
      <c r="H3417" s="10" t="str">
        <f t="shared" si="1328"/>
        <v/>
      </c>
      <c r="I3417" s="566"/>
      <c r="J3417" s="549" t="s">
        <v>4179</v>
      </c>
      <c r="M3417">
        <v>2020</v>
      </c>
      <c r="N3417" t="s">
        <v>5681</v>
      </c>
      <c r="O3417" s="29" t="s">
        <v>5489</v>
      </c>
      <c r="P3417" t="s">
        <v>1780</v>
      </c>
      <c r="Q3417" t="s">
        <v>1779</v>
      </c>
      <c r="R3417" t="s">
        <v>5407</v>
      </c>
      <c r="S3417" t="s">
        <v>1776</v>
      </c>
      <c r="T3417" t="s">
        <v>49</v>
      </c>
      <c r="U3417" s="101" t="s">
        <v>2883</v>
      </c>
      <c r="V3417" t="s">
        <v>1780</v>
      </c>
      <c r="W3417" t="s">
        <v>1779</v>
      </c>
      <c r="X3417" t="s">
        <v>5407</v>
      </c>
      <c r="Y3417" t="s">
        <v>1776</v>
      </c>
    </row>
    <row r="3418" spans="1:25" x14ac:dyDescent="0.35">
      <c r="A3418" s="527" t="s">
        <v>6518</v>
      </c>
      <c r="B3418" s="526" t="s">
        <v>5547</v>
      </c>
      <c r="C3418" s="526" t="s">
        <v>6514</v>
      </c>
      <c r="D3418" s="526" t="s">
        <v>1780</v>
      </c>
      <c r="E3418" s="526"/>
      <c r="F3418" s="538">
        <f t="shared" ref="F3418:F3433" si="1333">IF(HLOOKUP($D3418,$V$3417:$Y$3421,MATCH(MID($A3418,11,2),$N$3417:$N$3421,0),FALSE)&lt;&gt;"",ROUND(HLOOKUP($D3418,$V$3417:$Y$3421,MATCH(MID($A3418,11,2),$N$3417:$N$3421,0),FALSE),2),"")</f>
        <v>12.73</v>
      </c>
      <c r="G3418" s="537">
        <f t="shared" ref="G3418:G3433" si="1334">IF(HLOOKUP($D3418,$O$3417:$S$3421,MATCH(MID($A3418,11,2),$N$3417:$N$3421,0),FALSE)&lt;&gt;"",ROUND(HLOOKUP($D3418,$O$3417:$S$3421,MATCH(MID($A3418,11,2),$N$3417:$N$3421,0),FALSE),2),"")</f>
        <v>12.93</v>
      </c>
      <c r="H3418" s="537">
        <f t="shared" si="1328"/>
        <v>10.34</v>
      </c>
      <c r="I3418" s="574"/>
      <c r="J3418" s="549">
        <v>43796</v>
      </c>
      <c r="N3418" s="520" t="s">
        <v>5758</v>
      </c>
      <c r="O3418" s="461">
        <v>0</v>
      </c>
      <c r="P3418" s="261">
        <f>IF($O3418&lt;&gt;"",(1-$O3418)*P3404,"")</f>
        <v>12.925361824625458</v>
      </c>
      <c r="Q3418" s="261">
        <f>IF($O3418&lt;&gt;"",(1-$O3418)*Q3404,"")</f>
        <v>11.149580132503493</v>
      </c>
      <c r="R3418" s="261">
        <f>IF($O3418&lt;&gt;"",(1-$O3418)*R3404,"")</f>
        <v>9.98513312127597</v>
      </c>
      <c r="S3418" s="261">
        <f>IF($O3418&lt;&gt;"",(1-$O3418)*S3404,"")</f>
        <v>5.5408270284242764</v>
      </c>
      <c r="V3418" s="261">
        <f t="shared" ref="V3418:Y3421" si="1335">P3418-0.2</f>
        <v>12.725361824625459</v>
      </c>
      <c r="W3418" s="261">
        <f t="shared" si="1335"/>
        <v>10.949580132503494</v>
      </c>
      <c r="X3418" s="261">
        <f t="shared" si="1335"/>
        <v>9.7851331212759707</v>
      </c>
      <c r="Y3418" s="261">
        <f t="shared" si="1335"/>
        <v>5.3408270284242763</v>
      </c>
    </row>
    <row r="3419" spans="1:25" x14ac:dyDescent="0.35">
      <c r="A3419" s="527" t="s">
        <v>6519</v>
      </c>
      <c r="B3419" s="526" t="s">
        <v>5547</v>
      </c>
      <c r="C3419" s="526" t="s">
        <v>6514</v>
      </c>
      <c r="D3419" s="526" t="s">
        <v>1779</v>
      </c>
      <c r="E3419" s="526"/>
      <c r="F3419" s="538">
        <f t="shared" si="1333"/>
        <v>10.95</v>
      </c>
      <c r="G3419" s="537">
        <f t="shared" si="1334"/>
        <v>11.15</v>
      </c>
      <c r="H3419" s="537">
        <f t="shared" si="1328"/>
        <v>8.92</v>
      </c>
      <c r="I3419" s="574"/>
      <c r="J3419" s="549">
        <v>43796</v>
      </c>
      <c r="N3419" s="520" t="s">
        <v>5759</v>
      </c>
      <c r="O3419" s="461">
        <v>5.0000000000000001E-3</v>
      </c>
      <c r="P3419" s="261">
        <f t="shared" ref="P3419:S3421" si="1336">IF($O3419&lt;&gt;"",(1-$O3419)*P3418,"")</f>
        <v>12.86073501550233</v>
      </c>
      <c r="Q3419" s="261">
        <f t="shared" si="1336"/>
        <v>11.093832231840976</v>
      </c>
      <c r="R3419" s="261">
        <f t="shared" si="1336"/>
        <v>9.9352074556695893</v>
      </c>
      <c r="S3419" s="261">
        <f t="shared" si="1336"/>
        <v>5.513122893282155</v>
      </c>
      <c r="V3419" s="261">
        <f t="shared" si="1335"/>
        <v>12.660735015502331</v>
      </c>
      <c r="W3419" s="261">
        <f t="shared" si="1335"/>
        <v>10.893832231840976</v>
      </c>
      <c r="X3419" s="261">
        <f t="shared" si="1335"/>
        <v>9.73520745566959</v>
      </c>
      <c r="Y3419" s="261">
        <f t="shared" si="1335"/>
        <v>5.3131228932821548</v>
      </c>
    </row>
    <row r="3420" spans="1:25" x14ac:dyDescent="0.35">
      <c r="A3420" s="527" t="s">
        <v>6520</v>
      </c>
      <c r="B3420" s="526" t="s">
        <v>5547</v>
      </c>
      <c r="C3420" s="526" t="s">
        <v>6514</v>
      </c>
      <c r="D3420" s="526" t="s">
        <v>5407</v>
      </c>
      <c r="E3420" s="526"/>
      <c r="F3420" s="538">
        <f t="shared" si="1333"/>
        <v>9.7899999999999991</v>
      </c>
      <c r="G3420" s="537">
        <f t="shared" si="1334"/>
        <v>9.99</v>
      </c>
      <c r="H3420" s="537">
        <f t="shared" si="1328"/>
        <v>7.99</v>
      </c>
      <c r="I3420" s="574"/>
      <c r="J3420" s="549">
        <v>43796</v>
      </c>
      <c r="N3420" s="520" t="s">
        <v>5760</v>
      </c>
      <c r="O3420" s="461">
        <v>0</v>
      </c>
      <c r="P3420" s="261">
        <f t="shared" si="1336"/>
        <v>12.86073501550233</v>
      </c>
      <c r="Q3420" s="261">
        <f t="shared" si="1336"/>
        <v>11.093832231840976</v>
      </c>
      <c r="R3420" s="261">
        <f t="shared" si="1336"/>
        <v>9.9352074556695893</v>
      </c>
      <c r="S3420" s="261">
        <f t="shared" si="1336"/>
        <v>5.513122893282155</v>
      </c>
      <c r="V3420" s="261">
        <f t="shared" si="1335"/>
        <v>12.660735015502331</v>
      </c>
      <c r="W3420" s="261">
        <f t="shared" si="1335"/>
        <v>10.893832231840976</v>
      </c>
      <c r="X3420" s="261">
        <f t="shared" si="1335"/>
        <v>9.73520745566959</v>
      </c>
      <c r="Y3420" s="261">
        <f t="shared" si="1335"/>
        <v>5.3131228932821548</v>
      </c>
    </row>
    <row r="3421" spans="1:25" x14ac:dyDescent="0.35">
      <c r="A3421" s="527" t="s">
        <v>6521</v>
      </c>
      <c r="B3421" s="526" t="s">
        <v>5547</v>
      </c>
      <c r="C3421" s="526" t="s">
        <v>6514</v>
      </c>
      <c r="D3421" s="526" t="s">
        <v>1776</v>
      </c>
      <c r="E3421" s="526"/>
      <c r="F3421" s="538">
        <f t="shared" si="1333"/>
        <v>5.34</v>
      </c>
      <c r="G3421" s="537">
        <f t="shared" si="1334"/>
        <v>5.54</v>
      </c>
      <c r="H3421" s="537">
        <f t="shared" si="1328"/>
        <v>4.43</v>
      </c>
      <c r="I3421" s="574"/>
      <c r="J3421" s="549">
        <v>43796</v>
      </c>
      <c r="N3421" s="520" t="s">
        <v>5761</v>
      </c>
      <c r="O3421" s="461">
        <v>5.0000000000000001E-3</v>
      </c>
      <c r="P3421" s="261">
        <f t="shared" si="1336"/>
        <v>12.796431340424819</v>
      </c>
      <c r="Q3421" s="261">
        <f t="shared" si="1336"/>
        <v>11.03836307068177</v>
      </c>
      <c r="R3421" s="261">
        <f t="shared" si="1336"/>
        <v>9.8855314183912419</v>
      </c>
      <c r="S3421" s="261">
        <f t="shared" si="1336"/>
        <v>5.4855572788157438</v>
      </c>
      <c r="V3421" s="261">
        <f t="shared" si="1335"/>
        <v>12.59643134042482</v>
      </c>
      <c r="W3421" s="261">
        <f t="shared" si="1335"/>
        <v>10.838363070681771</v>
      </c>
      <c r="X3421" s="261">
        <f t="shared" si="1335"/>
        <v>9.6855314183912427</v>
      </c>
      <c r="Y3421" s="261">
        <f t="shared" si="1335"/>
        <v>5.2855572788157437</v>
      </c>
    </row>
    <row r="3422" spans="1:25" x14ac:dyDescent="0.35">
      <c r="A3422" s="527" t="s">
        <v>6522</v>
      </c>
      <c r="B3422" s="526" t="s">
        <v>5547</v>
      </c>
      <c r="C3422" s="526" t="s">
        <v>6515</v>
      </c>
      <c r="D3422" s="526" t="s">
        <v>1780</v>
      </c>
      <c r="E3422" s="526"/>
      <c r="F3422" s="538">
        <f t="shared" si="1333"/>
        <v>12.66</v>
      </c>
      <c r="G3422" s="537">
        <f t="shared" si="1334"/>
        <v>12.86</v>
      </c>
      <c r="H3422" s="537">
        <f t="shared" si="1328"/>
        <v>10.29</v>
      </c>
      <c r="I3422" s="574"/>
      <c r="J3422" s="549">
        <v>43796</v>
      </c>
      <c r="N3422" s="101"/>
      <c r="O3422" s="322"/>
      <c r="P3422" s="261"/>
      <c r="Q3422" s="261"/>
      <c r="R3422" s="261"/>
      <c r="S3422" s="261"/>
      <c r="U3422" s="261"/>
      <c r="V3422" s="261"/>
      <c r="W3422" s="261"/>
      <c r="X3422" s="261"/>
    </row>
    <row r="3423" spans="1:25" x14ac:dyDescent="0.35">
      <c r="A3423" s="527" t="s">
        <v>6523</v>
      </c>
      <c r="B3423" s="526" t="s">
        <v>5547</v>
      </c>
      <c r="C3423" s="526" t="s">
        <v>6515</v>
      </c>
      <c r="D3423" s="526" t="s">
        <v>1779</v>
      </c>
      <c r="E3423" s="526"/>
      <c r="F3423" s="538">
        <f t="shared" si="1333"/>
        <v>10.89</v>
      </c>
      <c r="G3423" s="537">
        <f t="shared" si="1334"/>
        <v>11.09</v>
      </c>
      <c r="H3423" s="537">
        <f t="shared" si="1328"/>
        <v>8.8699999999999992</v>
      </c>
      <c r="I3423" s="574"/>
      <c r="J3423" s="549">
        <v>43796</v>
      </c>
      <c r="N3423" s="101"/>
      <c r="O3423" s="322"/>
      <c r="P3423" s="261"/>
      <c r="Q3423" s="261"/>
      <c r="R3423" s="261"/>
      <c r="S3423" s="261"/>
      <c r="U3423" s="261"/>
      <c r="V3423" s="261"/>
      <c r="W3423" s="261"/>
      <c r="X3423" s="261"/>
    </row>
    <row r="3424" spans="1:25" x14ac:dyDescent="0.35">
      <c r="A3424" s="527" t="s">
        <v>6524</v>
      </c>
      <c r="B3424" s="526" t="s">
        <v>5547</v>
      </c>
      <c r="C3424" s="526" t="s">
        <v>6515</v>
      </c>
      <c r="D3424" s="526" t="s">
        <v>5407</v>
      </c>
      <c r="E3424" s="526"/>
      <c r="F3424" s="538">
        <f t="shared" si="1333"/>
        <v>9.74</v>
      </c>
      <c r="G3424" s="537">
        <f t="shared" si="1334"/>
        <v>9.94</v>
      </c>
      <c r="H3424" s="537">
        <f t="shared" si="1328"/>
        <v>7.95</v>
      </c>
      <c r="I3424" s="574"/>
      <c r="J3424" s="549">
        <v>43796</v>
      </c>
      <c r="N3424" s="101"/>
      <c r="O3424" s="322"/>
      <c r="P3424" s="261"/>
      <c r="Q3424" s="261"/>
      <c r="R3424" s="261"/>
      <c r="S3424" s="261"/>
      <c r="U3424" s="261"/>
      <c r="V3424" s="261"/>
      <c r="W3424" s="261"/>
      <c r="X3424" s="261"/>
    </row>
    <row r="3425" spans="1:41" x14ac:dyDescent="0.35">
      <c r="A3425" s="527" t="s">
        <v>6525</v>
      </c>
      <c r="B3425" s="526" t="s">
        <v>5547</v>
      </c>
      <c r="C3425" s="526" t="s">
        <v>6515</v>
      </c>
      <c r="D3425" s="526" t="s">
        <v>1776</v>
      </c>
      <c r="E3425" s="526"/>
      <c r="F3425" s="538">
        <f t="shared" si="1333"/>
        <v>5.31</v>
      </c>
      <c r="G3425" s="537">
        <f t="shared" si="1334"/>
        <v>5.51</v>
      </c>
      <c r="H3425" s="537">
        <f t="shared" si="1328"/>
        <v>4.41</v>
      </c>
      <c r="I3425" s="574"/>
      <c r="J3425" s="549">
        <v>43796</v>
      </c>
      <c r="N3425" s="101"/>
      <c r="O3425" s="322"/>
      <c r="P3425" s="261"/>
      <c r="Q3425" s="261"/>
      <c r="R3425" s="261"/>
      <c r="S3425" s="261"/>
      <c r="U3425" s="261"/>
      <c r="V3425" s="261"/>
      <c r="W3425" s="261"/>
      <c r="X3425" s="261"/>
    </row>
    <row r="3426" spans="1:41" x14ac:dyDescent="0.35">
      <c r="A3426" s="527" t="s">
        <v>6526</v>
      </c>
      <c r="B3426" s="526" t="s">
        <v>5547</v>
      </c>
      <c r="C3426" s="526" t="s">
        <v>6516</v>
      </c>
      <c r="D3426" s="526" t="s">
        <v>1780</v>
      </c>
      <c r="E3426" s="526"/>
      <c r="F3426" s="538">
        <f t="shared" si="1333"/>
        <v>12.66</v>
      </c>
      <c r="G3426" s="537">
        <f t="shared" si="1334"/>
        <v>12.86</v>
      </c>
      <c r="H3426" s="537">
        <f t="shared" si="1328"/>
        <v>10.29</v>
      </c>
      <c r="I3426" s="574"/>
      <c r="J3426" s="549">
        <v>43796</v>
      </c>
      <c r="N3426" s="101"/>
      <c r="O3426" s="322"/>
      <c r="P3426" s="261"/>
      <c r="Q3426" s="261"/>
      <c r="R3426" s="261"/>
      <c r="S3426" s="261"/>
      <c r="U3426" s="261"/>
      <c r="V3426" s="261"/>
      <c r="W3426" s="261"/>
      <c r="X3426" s="261"/>
    </row>
    <row r="3427" spans="1:41" x14ac:dyDescent="0.35">
      <c r="A3427" s="527" t="s">
        <v>6527</v>
      </c>
      <c r="B3427" s="526" t="s">
        <v>5547</v>
      </c>
      <c r="C3427" s="526" t="s">
        <v>6516</v>
      </c>
      <c r="D3427" s="526" t="s">
        <v>1779</v>
      </c>
      <c r="E3427" s="526"/>
      <c r="F3427" s="538">
        <f t="shared" si="1333"/>
        <v>10.89</v>
      </c>
      <c r="G3427" s="537">
        <f t="shared" si="1334"/>
        <v>11.09</v>
      </c>
      <c r="H3427" s="537">
        <f t="shared" si="1328"/>
        <v>8.8699999999999992</v>
      </c>
      <c r="I3427" s="574"/>
      <c r="J3427" s="549">
        <v>43796</v>
      </c>
      <c r="N3427" s="101"/>
      <c r="O3427" s="322"/>
      <c r="P3427" s="261"/>
      <c r="Q3427" s="261"/>
      <c r="R3427" s="261"/>
      <c r="S3427" s="261"/>
      <c r="U3427" s="261"/>
      <c r="V3427" s="261"/>
      <c r="W3427" s="261"/>
      <c r="X3427" s="261"/>
    </row>
    <row r="3428" spans="1:41" x14ac:dyDescent="0.35">
      <c r="A3428" s="527" t="s">
        <v>6528</v>
      </c>
      <c r="B3428" s="526" t="s">
        <v>5547</v>
      </c>
      <c r="C3428" s="526" t="s">
        <v>6516</v>
      </c>
      <c r="D3428" s="526" t="s">
        <v>5407</v>
      </c>
      <c r="E3428" s="526"/>
      <c r="F3428" s="538">
        <f t="shared" si="1333"/>
        <v>9.74</v>
      </c>
      <c r="G3428" s="537">
        <f t="shared" si="1334"/>
        <v>9.94</v>
      </c>
      <c r="H3428" s="537">
        <f t="shared" si="1328"/>
        <v>7.95</v>
      </c>
      <c r="I3428" s="574"/>
      <c r="J3428" s="549">
        <v>43796</v>
      </c>
      <c r="N3428" s="101"/>
      <c r="O3428" s="322"/>
      <c r="P3428" s="261"/>
      <c r="Q3428" s="261"/>
      <c r="R3428" s="261"/>
      <c r="S3428" s="261"/>
      <c r="U3428" s="261"/>
      <c r="V3428" s="261"/>
      <c r="W3428" s="261"/>
      <c r="X3428" s="261"/>
    </row>
    <row r="3429" spans="1:41" x14ac:dyDescent="0.35">
      <c r="A3429" s="527" t="s">
        <v>6529</v>
      </c>
      <c r="B3429" s="526" t="s">
        <v>5547</v>
      </c>
      <c r="C3429" s="526" t="s">
        <v>6516</v>
      </c>
      <c r="D3429" s="526" t="s">
        <v>1776</v>
      </c>
      <c r="E3429" s="526"/>
      <c r="F3429" s="538">
        <f t="shared" si="1333"/>
        <v>5.31</v>
      </c>
      <c r="G3429" s="537">
        <f t="shared" si="1334"/>
        <v>5.51</v>
      </c>
      <c r="H3429" s="537">
        <f t="shared" ref="H3429:H3443" si="1337">IF(ISNUMBER(G3429),ROUND(0.8*G3429,2),"")</f>
        <v>4.41</v>
      </c>
      <c r="I3429" s="574"/>
      <c r="J3429" s="549">
        <v>43796</v>
      </c>
      <c r="N3429" s="101"/>
      <c r="O3429" s="322"/>
      <c r="P3429" s="261"/>
      <c r="Q3429" s="261"/>
      <c r="R3429" s="261"/>
      <c r="S3429" s="261"/>
      <c r="U3429" s="261"/>
      <c r="V3429" s="261"/>
      <c r="W3429" s="261"/>
      <c r="X3429" s="261"/>
    </row>
    <row r="3430" spans="1:41" x14ac:dyDescent="0.35">
      <c r="A3430" s="527" t="s">
        <v>6530</v>
      </c>
      <c r="B3430" s="526" t="s">
        <v>5547</v>
      </c>
      <c r="C3430" s="526" t="s">
        <v>6517</v>
      </c>
      <c r="D3430" s="526" t="s">
        <v>1780</v>
      </c>
      <c r="E3430" s="526"/>
      <c r="F3430" s="538">
        <f t="shared" si="1333"/>
        <v>12.6</v>
      </c>
      <c r="G3430" s="537">
        <f t="shared" si="1334"/>
        <v>12.8</v>
      </c>
      <c r="H3430" s="537">
        <f t="shared" si="1337"/>
        <v>10.24</v>
      </c>
      <c r="I3430" s="574"/>
      <c r="J3430" s="549">
        <v>43796</v>
      </c>
      <c r="N3430" s="101"/>
      <c r="O3430" s="322"/>
      <c r="P3430" s="261"/>
      <c r="Q3430" s="261"/>
      <c r="R3430" s="261"/>
      <c r="S3430" s="261"/>
      <c r="U3430" s="261"/>
      <c r="V3430" s="261"/>
      <c r="W3430" s="261"/>
      <c r="X3430" s="261"/>
    </row>
    <row r="3431" spans="1:41" x14ac:dyDescent="0.35">
      <c r="A3431" s="527" t="s">
        <v>6531</v>
      </c>
      <c r="B3431" s="526" t="s">
        <v>5547</v>
      </c>
      <c r="C3431" s="526" t="s">
        <v>6517</v>
      </c>
      <c r="D3431" s="526" t="s">
        <v>1779</v>
      </c>
      <c r="E3431" s="526"/>
      <c r="F3431" s="538">
        <f t="shared" si="1333"/>
        <v>10.84</v>
      </c>
      <c r="G3431" s="537">
        <f t="shared" si="1334"/>
        <v>11.04</v>
      </c>
      <c r="H3431" s="537">
        <f t="shared" si="1337"/>
        <v>8.83</v>
      </c>
      <c r="I3431" s="574"/>
      <c r="J3431" s="549">
        <v>43796</v>
      </c>
      <c r="N3431" s="101"/>
      <c r="O3431" s="322"/>
      <c r="P3431" s="261"/>
      <c r="Q3431" s="261"/>
      <c r="R3431" s="261"/>
      <c r="S3431" s="261"/>
      <c r="U3431" s="261"/>
      <c r="V3431" s="261"/>
      <c r="W3431" s="261"/>
      <c r="X3431" s="261"/>
    </row>
    <row r="3432" spans="1:41" x14ac:dyDescent="0.35">
      <c r="A3432" s="527" t="s">
        <v>6532</v>
      </c>
      <c r="B3432" s="526" t="s">
        <v>5547</v>
      </c>
      <c r="C3432" s="526" t="s">
        <v>6517</v>
      </c>
      <c r="D3432" s="526" t="s">
        <v>5407</v>
      </c>
      <c r="E3432" s="526"/>
      <c r="F3432" s="538">
        <f t="shared" si="1333"/>
        <v>9.69</v>
      </c>
      <c r="G3432" s="537">
        <f t="shared" si="1334"/>
        <v>9.89</v>
      </c>
      <c r="H3432" s="537">
        <f t="shared" si="1337"/>
        <v>7.91</v>
      </c>
      <c r="I3432" s="574"/>
      <c r="J3432" s="549">
        <v>43796</v>
      </c>
      <c r="N3432" s="101"/>
      <c r="O3432" s="322"/>
      <c r="P3432" s="261"/>
      <c r="Q3432" s="261"/>
      <c r="R3432" s="261"/>
      <c r="S3432" s="261"/>
      <c r="U3432" s="261"/>
      <c r="V3432" s="261"/>
      <c r="W3432" s="261"/>
      <c r="X3432" s="261"/>
    </row>
    <row r="3433" spans="1:41" x14ac:dyDescent="0.35">
      <c r="A3433" s="527" t="s">
        <v>6533</v>
      </c>
      <c r="B3433" s="526" t="s">
        <v>5547</v>
      </c>
      <c r="C3433" s="526" t="s">
        <v>6517</v>
      </c>
      <c r="D3433" s="526" t="s">
        <v>1776</v>
      </c>
      <c r="E3433" s="526"/>
      <c r="F3433" s="538">
        <f t="shared" si="1333"/>
        <v>5.29</v>
      </c>
      <c r="G3433" s="537">
        <f t="shared" si="1334"/>
        <v>5.49</v>
      </c>
      <c r="H3433" s="537">
        <f t="shared" si="1337"/>
        <v>4.3899999999999997</v>
      </c>
      <c r="I3433" s="574"/>
      <c r="J3433" s="549">
        <v>43796</v>
      </c>
      <c r="N3433" s="101"/>
      <c r="O3433" s="322"/>
      <c r="P3433" s="261"/>
      <c r="Q3433" s="261"/>
      <c r="R3433" s="261"/>
      <c r="S3433" s="261"/>
      <c r="U3433" s="261"/>
      <c r="V3433" s="261"/>
      <c r="W3433" s="261"/>
      <c r="X3433" s="261"/>
    </row>
    <row r="3434" spans="1:41" x14ac:dyDescent="0.35">
      <c r="A3434" s="496"/>
      <c r="B3434" s="1"/>
      <c r="C3434" s="362"/>
      <c r="D3434" s="1"/>
      <c r="E3434" s="1"/>
      <c r="F3434" s="362"/>
      <c r="G3434" s="10"/>
      <c r="H3434" s="10" t="str">
        <f t="shared" si="1337"/>
        <v/>
      </c>
      <c r="I3434" s="566"/>
      <c r="J3434" s="549" t="s">
        <v>4179</v>
      </c>
      <c r="M3434">
        <v>2021</v>
      </c>
      <c r="O3434" s="29"/>
      <c r="P3434" t="s">
        <v>1780</v>
      </c>
      <c r="R3434" t="s">
        <v>49</v>
      </c>
      <c r="U3434" s="101" t="s">
        <v>2883</v>
      </c>
      <c r="V3434" t="s">
        <v>1780</v>
      </c>
    </row>
    <row r="3435" spans="1:41" x14ac:dyDescent="0.35">
      <c r="A3435" s="527" t="s">
        <v>6686</v>
      </c>
      <c r="B3435" s="526" t="s">
        <v>5547</v>
      </c>
      <c r="C3435" s="526" t="s">
        <v>6624</v>
      </c>
      <c r="D3435" s="526" t="s">
        <v>1780</v>
      </c>
      <c r="E3435" s="526"/>
      <c r="F3435" s="639">
        <f>ROUND(HLOOKUP($D3435,$V$3434:$Y$3435,2,FALSE),2)</f>
        <v>12.6</v>
      </c>
      <c r="G3435" s="537">
        <f>ROUND(P3435,2)</f>
        <v>12.8</v>
      </c>
      <c r="H3435" s="641">
        <f t="shared" si="1337"/>
        <v>10.24</v>
      </c>
      <c r="I3435" s="574"/>
      <c r="J3435" s="549">
        <v>44196</v>
      </c>
      <c r="M3435" s="101"/>
      <c r="N3435" s="101"/>
      <c r="O3435" s="461" t="s">
        <v>7654</v>
      </c>
      <c r="P3435" s="261">
        <v>12.8</v>
      </c>
      <c r="Q3435" s="261"/>
      <c r="R3435" s="261"/>
      <c r="S3435" s="261"/>
      <c r="V3435" s="261">
        <f>P3435-0.2</f>
        <v>12.600000000000001</v>
      </c>
      <c r="W3435" s="261"/>
      <c r="X3435" s="261"/>
      <c r="Y3435" s="261"/>
    </row>
    <row r="3436" spans="1:41" x14ac:dyDescent="0.35">
      <c r="A3436" s="2"/>
      <c r="B3436" s="2"/>
      <c r="C3436" s="362"/>
      <c r="D3436" s="1"/>
      <c r="E3436" s="1"/>
      <c r="F3436" s="385"/>
      <c r="G3436" s="2"/>
      <c r="H3436" s="409" t="str">
        <f t="shared" si="1337"/>
        <v/>
      </c>
      <c r="I3436" s="588"/>
      <c r="J3436" s="549" t="s">
        <v>4179</v>
      </c>
      <c r="K3436" s="11"/>
      <c r="L3436" s="55"/>
      <c r="M3436" s="101">
        <v>2022</v>
      </c>
      <c r="N3436" s="519" t="s">
        <v>7653</v>
      </c>
      <c r="O3436" s="29" t="s">
        <v>5489</v>
      </c>
      <c r="P3436" t="s">
        <v>1780</v>
      </c>
      <c r="R3436" t="s">
        <v>49</v>
      </c>
      <c r="S3436" s="101"/>
      <c r="V3436" t="s">
        <v>1780</v>
      </c>
      <c r="AH3436" s="22"/>
      <c r="AO3436" s="203"/>
    </row>
    <row r="3437" spans="1:41" x14ac:dyDescent="0.35">
      <c r="A3437" s="527" t="str">
        <f>"BiK420---HJ1" &amp; RIGHT(M3436,2)</f>
        <v>BiK420---HJ122</v>
      </c>
      <c r="B3437" s="526" t="s">
        <v>5547</v>
      </c>
      <c r="C3437" s="526" t="str">
        <f>"Inbetriebnahme 01-06/20" &amp; RIGHT(M3436,2)</f>
        <v>Inbetriebnahme 01-06/2022</v>
      </c>
      <c r="D3437" s="526" t="s">
        <v>1780</v>
      </c>
      <c r="E3437" s="526"/>
      <c r="F3437" s="538">
        <f>IF(HLOOKUP($D3437,$V$3436:$V$3438,MATCH(MID($A3437,10,3),$N$3436:$N$3438,0),FALSE)&lt;&gt;"",ROUND(HLOOKUP($D3437,$V$3436:$V$3438,MATCH(MID($A3437,10,3),$N$3436:$N$3438,0),FALSE),2),"")</f>
        <v>12.6</v>
      </c>
      <c r="G3437" s="537">
        <f>IF(HLOOKUP($D3437,$P$3436:$P$3438,MATCH(MID($A3437,10,3),$N$3436:$N$3438,0),FALSE)&lt;&gt;"",ROUND(HLOOKUP($D3437,$P$3436:$P$3438,MATCH(MID($A3437,10,3),$N$3436:$N$3438,0),FALSE),2),"")</f>
        <v>12.8</v>
      </c>
      <c r="H3437" s="641">
        <f t="shared" si="1337"/>
        <v>10.24</v>
      </c>
      <c r="I3437" s="574"/>
      <c r="J3437" s="549">
        <v>44536</v>
      </c>
      <c r="K3437" s="11"/>
      <c r="L3437" s="55"/>
      <c r="N3437" s="519" t="s">
        <v>7651</v>
      </c>
      <c r="O3437" s="461">
        <v>0</v>
      </c>
      <c r="P3437" s="261">
        <f>P3435</f>
        <v>12.8</v>
      </c>
      <c r="Q3437" s="261"/>
      <c r="R3437" s="261"/>
      <c r="T3437" s="261"/>
      <c r="U3437" s="261"/>
      <c r="V3437" s="261">
        <f>P3437-0.2</f>
        <v>12.600000000000001</v>
      </c>
      <c r="AH3437" s="22"/>
      <c r="AO3437" s="203"/>
    </row>
    <row r="3438" spans="1:41" x14ac:dyDescent="0.35">
      <c r="A3438" s="527" t="str">
        <f>"BiK420---HJ2" &amp; RIGHT(M3436,2)</f>
        <v>BiK420---HJ222</v>
      </c>
      <c r="B3438" s="526" t="s">
        <v>5547</v>
      </c>
      <c r="C3438" s="526" t="str">
        <f>"Inbetriebnahme 07-12/20" &amp; RIGHT(M3436,2)</f>
        <v>Inbetriebnahme 07-12/2022</v>
      </c>
      <c r="D3438" s="526" t="s">
        <v>1780</v>
      </c>
      <c r="E3438" s="526"/>
      <c r="F3438" s="538">
        <f>IF(HLOOKUP($D3438,$V$3436:$V$3438,MATCH(MID($A3438,10,3),$N$3436:$N$3438,0),FALSE)&lt;&gt;"",ROUND(HLOOKUP($D3438,$V$3436:$V$3438,MATCH(MID($A3438,10,3),$N$3436:$N$3438,0),FALSE),2),"")</f>
        <v>12.54</v>
      </c>
      <c r="G3438" s="537">
        <f>IF(HLOOKUP($D3438,$P$3436:$P$3438,MATCH(MID($A3438,10,3),$N$3436:$N$3438,0),FALSE)&lt;&gt;"",ROUND(HLOOKUP($D3438,$P$3436:$P$3438,MATCH(MID($A3438,10,3),$N$3436:$N$3438,0),FALSE),2),"")</f>
        <v>12.74</v>
      </c>
      <c r="H3438" s="641">
        <f t="shared" si="1337"/>
        <v>10.19</v>
      </c>
      <c r="I3438" s="574"/>
      <c r="J3438" s="549">
        <v>44536</v>
      </c>
      <c r="K3438" s="11"/>
      <c r="L3438" s="55"/>
      <c r="M3438" s="315"/>
      <c r="N3438" s="519" t="s">
        <v>7652</v>
      </c>
      <c r="O3438" s="461">
        <v>5.0000000000000001E-3</v>
      </c>
      <c r="P3438" s="261">
        <f>IF($O3438&lt;&gt;"",(1-$O3438)*P3437,"")</f>
        <v>12.736000000000001</v>
      </c>
      <c r="Q3438" s="261"/>
      <c r="R3438" s="261"/>
      <c r="T3438" s="261"/>
      <c r="U3438" s="261"/>
      <c r="V3438" s="261">
        <f>P3438-0.2</f>
        <v>12.536000000000001</v>
      </c>
      <c r="AH3438" s="22"/>
      <c r="AO3438" s="203"/>
    </row>
    <row r="3439" spans="1:41" x14ac:dyDescent="0.35">
      <c r="A3439" s="496"/>
      <c r="B3439" s="1"/>
      <c r="C3439" s="362"/>
      <c r="D3439" s="1"/>
      <c r="E3439" s="1"/>
      <c r="F3439" s="362"/>
      <c r="G3439" s="10"/>
      <c r="H3439" s="10" t="str">
        <f t="shared" si="1337"/>
        <v/>
      </c>
      <c r="I3439" s="566"/>
      <c r="J3439" s="549" t="s">
        <v>4179</v>
      </c>
      <c r="M3439">
        <v>2023</v>
      </c>
      <c r="O3439" s="29"/>
      <c r="P3439" t="s">
        <v>1780</v>
      </c>
      <c r="R3439" t="s">
        <v>49</v>
      </c>
      <c r="U3439" s="101" t="s">
        <v>2883</v>
      </c>
      <c r="V3439" t="s">
        <v>1780</v>
      </c>
    </row>
    <row r="3440" spans="1:41" x14ac:dyDescent="0.35">
      <c r="A3440" s="527" t="s">
        <v>7893</v>
      </c>
      <c r="B3440" s="526" t="s">
        <v>5547</v>
      </c>
      <c r="C3440" s="526" t="s">
        <v>7894</v>
      </c>
      <c r="D3440" s="526" t="s">
        <v>1780</v>
      </c>
      <c r="E3440" s="526" t="s">
        <v>7895</v>
      </c>
      <c r="F3440" s="639">
        <f>ROUND(HLOOKUP($D3440,$V$3439:$Y$3440,2,FALSE),2)</f>
        <v>12.47</v>
      </c>
      <c r="G3440" s="537">
        <f>ROUND(P3440,2)</f>
        <v>12.67</v>
      </c>
      <c r="H3440" s="641">
        <f t="shared" si="1337"/>
        <v>10.14</v>
      </c>
      <c r="I3440" s="574"/>
      <c r="J3440" s="549">
        <f>$J$31</f>
        <v>44896</v>
      </c>
      <c r="M3440" s="101"/>
      <c r="N3440" s="101"/>
      <c r="O3440" s="461" t="s">
        <v>7654</v>
      </c>
      <c r="P3440" s="261">
        <v>12.67</v>
      </c>
      <c r="Q3440" s="261"/>
      <c r="R3440" s="261"/>
      <c r="S3440" s="261"/>
      <c r="V3440" s="261">
        <f>P3440-0.2</f>
        <v>12.47</v>
      </c>
      <c r="W3440" s="261"/>
      <c r="X3440" s="261"/>
      <c r="Y3440" s="261"/>
    </row>
    <row r="3441" spans="1:45" x14ac:dyDescent="0.35">
      <c r="A3441" s="2"/>
      <c r="B3441" s="2"/>
      <c r="C3441" s="362"/>
      <c r="D3441" s="1"/>
      <c r="E3441" s="1"/>
      <c r="F3441" s="385"/>
      <c r="G3441" s="2"/>
      <c r="H3441" s="409" t="str">
        <f t="shared" si="1337"/>
        <v/>
      </c>
      <c r="I3441" s="588"/>
      <c r="J3441" s="549" t="s">
        <v>4179</v>
      </c>
      <c r="K3441" s="11"/>
      <c r="L3441" s="55"/>
      <c r="M3441" s="101">
        <v>2024</v>
      </c>
      <c r="N3441" s="519" t="s">
        <v>7653</v>
      </c>
      <c r="O3441" s="29" t="s">
        <v>5489</v>
      </c>
      <c r="P3441" t="s">
        <v>1780</v>
      </c>
      <c r="R3441" t="s">
        <v>49</v>
      </c>
      <c r="S3441" s="101"/>
      <c r="V3441" t="s">
        <v>1780</v>
      </c>
      <c r="AH3441" s="22"/>
      <c r="AO3441" s="203"/>
    </row>
    <row r="3442" spans="1:45" x14ac:dyDescent="0.35">
      <c r="A3442" s="527" t="str">
        <f>"BiK420---HJ1" &amp; RIGHT(M3441,2)</f>
        <v>BiK420---HJ124</v>
      </c>
      <c r="B3442" s="526" t="s">
        <v>5547</v>
      </c>
      <c r="C3442" s="526" t="str">
        <f>"Inbetriebnahme 01-06/20" &amp; RIGHT(M3441,2)</f>
        <v>Inbetriebnahme 01-06/2024</v>
      </c>
      <c r="D3442" s="526" t="s">
        <v>1780</v>
      </c>
      <c r="E3442" s="526" t="s">
        <v>7895</v>
      </c>
      <c r="F3442" s="538">
        <f>IF(HLOOKUP($D3442,$V3441:$V3443,MATCH(MID($A3442,10,3),$N3441:$N3443,0),FALSE)&lt;&gt;"",ROUND(HLOOKUP($D3442,$V3441:$V3443,MATCH(MID($A3442,10,3),$N3441:$N3443,0),FALSE),2),"")</f>
        <v>12.47</v>
      </c>
      <c r="G3442" s="537">
        <f>IF(HLOOKUP($D3442,$P3441:$P$3443,MATCH(MID($A3442,10,3),$N3441:$N3443,0),FALSE)&lt;&gt;"",ROUND(HLOOKUP($D3442,$P3441:$P3443,MATCH(MID($A3442,10,3),$N3441:$N3443,0),FALSE),2),"")</f>
        <v>12.67</v>
      </c>
      <c r="H3442" s="641">
        <f t="shared" si="1337"/>
        <v>10.14</v>
      </c>
      <c r="I3442" s="574"/>
      <c r="J3442" s="549">
        <v>45268</v>
      </c>
      <c r="K3442" s="11"/>
      <c r="L3442" s="55"/>
      <c r="N3442" s="519" t="s">
        <v>7651</v>
      </c>
      <c r="O3442" s="461">
        <v>0</v>
      </c>
      <c r="P3442" s="261">
        <f>P3440</f>
        <v>12.67</v>
      </c>
      <c r="Q3442" s="261"/>
      <c r="R3442" s="261"/>
      <c r="T3442" s="261"/>
      <c r="U3442" s="261"/>
      <c r="V3442" s="261">
        <f>P3442-0.2</f>
        <v>12.47</v>
      </c>
      <c r="AH3442" s="22"/>
      <c r="AO3442" s="203"/>
    </row>
    <row r="3443" spans="1:45" x14ac:dyDescent="0.35">
      <c r="A3443" s="527" t="str">
        <f>"BiK420---HJ2" &amp; RIGHT(M3441,2)</f>
        <v>BiK420---HJ224</v>
      </c>
      <c r="B3443" s="526" t="s">
        <v>5547</v>
      </c>
      <c r="C3443" s="526" t="str">
        <f>"Inbetriebnahme 07-12/20" &amp; RIGHT(M3441,2)</f>
        <v>Inbetriebnahme 07-12/2024</v>
      </c>
      <c r="D3443" s="526" t="s">
        <v>1780</v>
      </c>
      <c r="E3443" s="526" t="s">
        <v>7895</v>
      </c>
      <c r="F3443" s="538">
        <f>IF(HLOOKUP($D3443,$V3441:$V3443,MATCH(MID($A3443,10,3),$N3441:$N3443,0),FALSE)&lt;&gt;"",ROUND(HLOOKUP($D3443,$V3441:$V3443,MATCH(MID($A3443,10,3),$N3441:$N3443,0),FALSE),2),"")</f>
        <v>12.41</v>
      </c>
      <c r="G3443" s="537">
        <f>IF(HLOOKUP($D3443,$P$3441:$P$3443,MATCH(MID($A3443,10,3),$N$3441:$N$3443,0),FALSE)&lt;&gt;"",ROUND(HLOOKUP($D3443,$P$3441:$P$3443,MATCH(MID($A3443,10,3),$N$3441:$N$3443,0),FALSE),2),"")</f>
        <v>12.61</v>
      </c>
      <c r="H3443" s="641">
        <f t="shared" si="1337"/>
        <v>10.09</v>
      </c>
      <c r="I3443" s="574"/>
      <c r="J3443" s="549">
        <v>45272</v>
      </c>
      <c r="K3443" s="11"/>
      <c r="L3443" s="55"/>
      <c r="M3443" s="315"/>
      <c r="N3443" s="519" t="s">
        <v>7652</v>
      </c>
      <c r="O3443" s="461">
        <v>5.0000000000000001E-3</v>
      </c>
      <c r="P3443" s="261">
        <f>IF($O3443&lt;&gt;"",(1-$O3443)*P3442,"")</f>
        <v>12.60665</v>
      </c>
      <c r="Q3443" s="261"/>
      <c r="R3443" s="261"/>
      <c r="T3443" s="261"/>
      <c r="U3443" s="261"/>
      <c r="V3443" s="261">
        <f>P3443-0.2</f>
        <v>12.406650000000001</v>
      </c>
      <c r="AH3443" s="22"/>
      <c r="AO3443" s="203"/>
    </row>
    <row r="3444" spans="1:45" x14ac:dyDescent="0.35">
      <c r="A3444" s="2"/>
      <c r="B3444" s="1"/>
      <c r="C3444" s="1"/>
      <c r="D3444" s="1"/>
      <c r="E3444" s="1"/>
      <c r="F3444" s="362"/>
      <c r="G3444" s="10"/>
      <c r="H3444" s="10"/>
      <c r="I3444" s="566"/>
      <c r="J3444" s="549" t="s">
        <v>4179</v>
      </c>
      <c r="K3444" s="9"/>
      <c r="M3444" s="22"/>
      <c r="N3444" s="11"/>
      <c r="O3444" s="11"/>
    </row>
    <row r="3445" spans="1:45" s="207" customFormat="1" ht="20.25" customHeight="1" x14ac:dyDescent="0.35">
      <c r="A3445" s="212" t="s">
        <v>1771</v>
      </c>
      <c r="B3445" s="204"/>
      <c r="C3445" s="204"/>
      <c r="D3445" s="204"/>
      <c r="E3445" s="204"/>
      <c r="F3445" s="381"/>
      <c r="G3445" s="205"/>
      <c r="H3445" s="205"/>
      <c r="I3445" s="583"/>
      <c r="J3445" s="549" t="s">
        <v>5804</v>
      </c>
      <c r="K3445" s="206"/>
      <c r="M3445" s="208" t="str">
        <f>"Vergütungsberechnung für Anlagen mit Inbetriebnahmejahr bis einschließlich "&amp; M3449</f>
        <v>Vergütungsberechnung für Anlagen mit Inbetriebnahmejahr bis einschließlich 2012</v>
      </c>
      <c r="N3445" s="209"/>
      <c r="O3445" s="209"/>
    </row>
    <row r="3446" spans="1:45" s="187" customFormat="1" ht="39.75" customHeight="1" x14ac:dyDescent="0.35">
      <c r="B3446" s="181"/>
      <c r="C3446" s="182"/>
      <c r="D3446" s="182"/>
      <c r="E3446" s="181"/>
      <c r="F3446" s="380"/>
      <c r="G3446" s="183"/>
      <c r="H3446" s="404"/>
      <c r="I3446" s="582"/>
      <c r="J3446" s="549" t="s">
        <v>4179</v>
      </c>
      <c r="K3446" s="184"/>
      <c r="L3446" s="184"/>
      <c r="N3446" s="184"/>
      <c r="O3446" s="919" t="s">
        <v>1745</v>
      </c>
      <c r="P3446" s="920"/>
      <c r="Q3446" s="921"/>
      <c r="R3446" s="213"/>
      <c r="S3446" s="213"/>
      <c r="T3446" s="213"/>
      <c r="U3446" s="213"/>
      <c r="V3446" s="213"/>
      <c r="W3446" s="213"/>
      <c r="X3446" s="213"/>
      <c r="Y3446" s="186"/>
    </row>
    <row r="3447" spans="1:45" s="187" customFormat="1" ht="57.75" customHeight="1" x14ac:dyDescent="0.35">
      <c r="A3447" s="246"/>
      <c r="B3447" s="181"/>
      <c r="C3447" s="181"/>
      <c r="D3447" s="181"/>
      <c r="E3447" s="181"/>
      <c r="F3447" s="380"/>
      <c r="G3447" s="241"/>
      <c r="H3447" s="406"/>
      <c r="I3447" s="585"/>
      <c r="J3447" s="549" t="s">
        <v>4179</v>
      </c>
      <c r="K3447" s="184"/>
      <c r="L3447" s="184"/>
      <c r="M3447" s="191" t="s">
        <v>2913</v>
      </c>
      <c r="N3447" s="192" t="s">
        <v>509</v>
      </c>
      <c r="O3447" s="196" t="s">
        <v>1746</v>
      </c>
      <c r="P3447" s="197" t="s">
        <v>1747</v>
      </c>
      <c r="Q3447" s="198" t="s">
        <v>1748</v>
      </c>
      <c r="S3447" s="214"/>
      <c r="T3447" s="214"/>
      <c r="U3447" s="214"/>
      <c r="V3447" s="214"/>
      <c r="W3447" s="214"/>
      <c r="X3447" s="214"/>
    </row>
    <row r="3448" spans="1:45" ht="21.5" x14ac:dyDescent="0.35">
      <c r="A3448" s="242" t="s">
        <v>3135</v>
      </c>
      <c r="B3448" s="243"/>
      <c r="C3448" s="244"/>
      <c r="D3448" s="244"/>
      <c r="E3448" s="243"/>
      <c r="F3448" s="383"/>
      <c r="G3448" s="245"/>
      <c r="H3448" s="407"/>
      <c r="I3448" s="586"/>
      <c r="J3448" s="549" t="s">
        <v>5804</v>
      </c>
      <c r="K3448" s="22"/>
      <c r="L3448" s="22"/>
      <c r="M3448" s="34"/>
      <c r="N3448" s="30"/>
      <c r="O3448" s="199" t="s">
        <v>1740</v>
      </c>
      <c r="P3448" s="200" t="s">
        <v>1741</v>
      </c>
      <c r="Q3448" s="201" t="s">
        <v>1742</v>
      </c>
      <c r="R3448" s="95" t="s">
        <v>505</v>
      </c>
      <c r="S3448" s="200" t="s">
        <v>1740</v>
      </c>
      <c r="T3448" s="200" t="s">
        <v>1741</v>
      </c>
      <c r="U3448" s="200" t="s">
        <v>1742</v>
      </c>
      <c r="V3448" s="200"/>
      <c r="W3448" s="200"/>
      <c r="X3448" s="200"/>
    </row>
    <row r="3449" spans="1:45" x14ac:dyDescent="0.35">
      <c r="A3449" s="2"/>
      <c r="B3449" s="1"/>
      <c r="C3449" s="1"/>
      <c r="D3449" s="1"/>
      <c r="E3449" s="1"/>
      <c r="F3449" s="375"/>
      <c r="G3449" s="76"/>
      <c r="H3449" s="401"/>
      <c r="I3449" s="578"/>
      <c r="J3449" s="549" t="s">
        <v>4179</v>
      </c>
      <c r="L3449" s="56"/>
      <c r="M3449" s="287">
        <v>2012</v>
      </c>
      <c r="N3449" s="28"/>
      <c r="O3449" s="33">
        <v>3</v>
      </c>
      <c r="P3449" s="28">
        <v>2</v>
      </c>
      <c r="Q3449" s="40">
        <v>1</v>
      </c>
      <c r="R3449" s="219">
        <v>0.02</v>
      </c>
      <c r="S3449" s="280">
        <v>3</v>
      </c>
      <c r="T3449" s="280">
        <v>2</v>
      </c>
      <c r="U3449" s="280">
        <v>1</v>
      </c>
      <c r="V3449" s="159" t="str">
        <f xml:space="preserve"> "Bonushöhe bei Inbetriebnahme in " &amp; M3449</f>
        <v>Bonushöhe bei Inbetriebnahme in 2012</v>
      </c>
      <c r="W3449" s="29"/>
      <c r="X3449" s="29"/>
      <c r="Y3449" s="29"/>
      <c r="Z3449" s="29"/>
      <c r="AA3449" s="29"/>
      <c r="AB3449" s="29"/>
      <c r="AC3449" s="29"/>
      <c r="AD3449" s="29"/>
      <c r="AE3449" s="29"/>
      <c r="AF3449" s="29"/>
      <c r="AG3449" s="29"/>
      <c r="AK3449" t="s">
        <v>1740</v>
      </c>
      <c r="AL3449" t="s">
        <v>1741</v>
      </c>
      <c r="AM3449" t="s">
        <v>1742</v>
      </c>
      <c r="AN3449" t="s">
        <v>1764</v>
      </c>
      <c r="AO3449" t="s">
        <v>1765</v>
      </c>
      <c r="AP3449" t="s">
        <v>1766</v>
      </c>
      <c r="AQ3449" t="s">
        <v>669</v>
      </c>
      <c r="AR3449" t="s">
        <v>1763</v>
      </c>
    </row>
    <row r="3450" spans="1:45" x14ac:dyDescent="0.35">
      <c r="A3450" s="510" t="str">
        <f>"BiK27a0"&amp;AN3450&amp;RIGHT("-----",5-LEN(AN3450))&amp;RIGHT($M$3449,2)</f>
        <v>BiK27a0-----12</v>
      </c>
      <c r="B3450" s="235" t="s">
        <v>5547</v>
      </c>
      <c r="C3450" s="235" t="s">
        <v>3134</v>
      </c>
      <c r="D3450" s="235" t="str">
        <f t="shared" ref="D3450:D3458" si="1338">IF(COUNTA(O3450:Q3450)=0,AH3450,AH3450&amp;", Bonusregel "&amp;AN3450)</f>
        <v>0-0,5 MW, Vergärung von Bioabfällen</v>
      </c>
      <c r="E3450" s="235"/>
      <c r="F3450" s="384">
        <f t="shared" ref="F3450:F3458" si="1339">M3450</f>
        <v>16</v>
      </c>
      <c r="G3450" s="440">
        <v>16</v>
      </c>
      <c r="H3450" s="408">
        <f t="shared" ref="H3450:H3478" si="1340">IF(ISNUMBER(G3450),ROUND(0.8*G3450,2),"")</f>
        <v>12.8</v>
      </c>
      <c r="I3450" s="587"/>
      <c r="J3450" s="549" t="s">
        <v>5804</v>
      </c>
      <c r="K3450" s="11"/>
      <c r="L3450" s="55" t="str">
        <f t="shared" ref="L3450:L3458" si="1341">IF(F3450=M3450,"",FALSE)</f>
        <v/>
      </c>
      <c r="M3450" s="37">
        <f t="shared" ref="M3450:M3458" si="1342">N3450+SUMIF(O3450:Q3450,"x",$O$3449:$Q$3449)</f>
        <v>16</v>
      </c>
      <c r="N3450" s="29">
        <v>16</v>
      </c>
      <c r="O3450" s="46"/>
      <c r="P3450" s="22"/>
      <c r="Q3450" s="47"/>
      <c r="AH3450" s="202" t="s">
        <v>1774</v>
      </c>
      <c r="AK3450" t="str">
        <f t="shared" ref="AK3450:AK3458" si="1343">IF(O3450="x",V$3101,"")</f>
        <v/>
      </c>
      <c r="AL3450" t="str">
        <f t="shared" ref="AL3450:AL3458" si="1344">IF(P3450="x",W$3101,"")</f>
        <v/>
      </c>
      <c r="AM3450" t="str">
        <f t="shared" ref="AM3450:AM3458" si="1345">IF(Q3450="x",X$3101,"")</f>
        <v/>
      </c>
      <c r="AN3450" t="str">
        <f t="shared" ref="AN3450:AN3458" si="1346">AK3450&amp;AL3450&amp;AM3450</f>
        <v/>
      </c>
      <c r="AO3450" s="203" t="str">
        <f>"BiK27a0"&amp;AN3450&amp;RIGHT("-----",5-LEN(AN3450))&amp;RIGHT($M$3099,2)</f>
        <v>BiK27a0-----12</v>
      </c>
      <c r="AP3450">
        <f t="shared" ref="AP3450:AP3458" si="1347">LEN(AO3450)</f>
        <v>14</v>
      </c>
      <c r="AQ3450" t="str">
        <f t="shared" ref="AQ3450:AQ3458" si="1348">IF(COUNTA(O3450:Q3450)=0,AH3450,AH3450&amp;", Bonusregel "&amp;AN3450)</f>
        <v>0-0,5 MW, Vergärung von Bioabfällen</v>
      </c>
      <c r="AR3450" t="str">
        <f>IF(COUNTA(#REF!)&gt;1,"Fehler ESVK",IF(COUNTA(O3450:Q3450)&gt;1,"Fehler GAB",IF(AP3450&lt;&gt;14,"Fehler Kategorie","")))</f>
        <v/>
      </c>
      <c r="AS3450" t="str">
        <f>SUBSTITUTE(AN3450,", ","")</f>
        <v/>
      </c>
    </row>
    <row r="3451" spans="1:45" x14ac:dyDescent="0.35">
      <c r="A3451" s="510" t="str">
        <f>"BiK27a0"&amp;AN3451&amp;RIGHT("-----",5-LEN(AN3451))&amp;RIGHT($M$3449,2)</f>
        <v>BiK27a0G1---12</v>
      </c>
      <c r="B3451" s="235" t="s">
        <v>5547</v>
      </c>
      <c r="C3451" s="235" t="s">
        <v>3134</v>
      </c>
      <c r="D3451" s="235" t="str">
        <f t="shared" si="1338"/>
        <v>0-0,5 MW, Vergärung von Bioabfällen, Bonusregel G1</v>
      </c>
      <c r="E3451" s="235"/>
      <c r="F3451" s="384">
        <f t="shared" si="1339"/>
        <v>19</v>
      </c>
      <c r="G3451" s="440">
        <v>19</v>
      </c>
      <c r="H3451" s="408">
        <f t="shared" si="1340"/>
        <v>15.2</v>
      </c>
      <c r="I3451" s="587"/>
      <c r="J3451" s="549" t="s">
        <v>5804</v>
      </c>
      <c r="K3451" s="11"/>
      <c r="L3451" s="55" t="str">
        <f t="shared" si="1341"/>
        <v/>
      </c>
      <c r="M3451" s="37">
        <f t="shared" si="1342"/>
        <v>19</v>
      </c>
      <c r="N3451" s="29">
        <f>N3450</f>
        <v>16</v>
      </c>
      <c r="O3451" s="179" t="s">
        <v>1017</v>
      </c>
      <c r="P3451" s="22"/>
      <c r="Q3451" s="38"/>
      <c r="AH3451" s="202" t="s">
        <v>1774</v>
      </c>
      <c r="AK3451" t="str">
        <f t="shared" si="1343"/>
        <v>G1</v>
      </c>
      <c r="AL3451" t="str">
        <f t="shared" si="1344"/>
        <v/>
      </c>
      <c r="AM3451" t="str">
        <f t="shared" si="1345"/>
        <v/>
      </c>
      <c r="AN3451" t="str">
        <f t="shared" si="1346"/>
        <v>G1</v>
      </c>
      <c r="AO3451" s="203" t="str">
        <f>"BiK27a0"&amp;AN3451&amp;RIGHT("-----",5-LEN(AN3451))&amp;RIGHT($M$3099,2)</f>
        <v>BiK27a0G1---12</v>
      </c>
      <c r="AP3451">
        <f t="shared" si="1347"/>
        <v>14</v>
      </c>
      <c r="AQ3451" t="str">
        <f t="shared" si="1348"/>
        <v>0-0,5 MW, Vergärung von Bioabfällen, Bonusregel G1</v>
      </c>
      <c r="AR3451" t="str">
        <f>IF(COUNTA(#REF!)&gt;1,"Fehler ESVK",IF(COUNTA(O3451:Q3451)&gt;1,"Fehler GAB",IF(AP3451&lt;&gt;14,"Fehler Kategorie","")))</f>
        <v/>
      </c>
    </row>
    <row r="3452" spans="1:45" x14ac:dyDescent="0.35">
      <c r="A3452" s="510" t="str">
        <f>"BiK27a0"&amp;AN3452&amp;RIGHT("-----",5-LEN(AN3452))&amp;RIGHT($M$3449,2)</f>
        <v>BiK27a0G2---12</v>
      </c>
      <c r="B3452" s="235" t="s">
        <v>5547</v>
      </c>
      <c r="C3452" s="235" t="s">
        <v>3134</v>
      </c>
      <c r="D3452" s="235" t="str">
        <f t="shared" si="1338"/>
        <v>0-0,5 MW, Vergärung von Bioabfällen, Bonusregel G2</v>
      </c>
      <c r="E3452" s="235"/>
      <c r="F3452" s="384">
        <f t="shared" si="1339"/>
        <v>18</v>
      </c>
      <c r="G3452" s="440">
        <v>18</v>
      </c>
      <c r="H3452" s="408">
        <f t="shared" si="1340"/>
        <v>14.4</v>
      </c>
      <c r="I3452" s="587"/>
      <c r="J3452" s="549" t="s">
        <v>5804</v>
      </c>
      <c r="K3452" s="11"/>
      <c r="L3452" s="55" t="str">
        <f t="shared" si="1341"/>
        <v/>
      </c>
      <c r="M3452" s="37">
        <f t="shared" si="1342"/>
        <v>18</v>
      </c>
      <c r="N3452" s="29">
        <f>N3451</f>
        <v>16</v>
      </c>
      <c r="O3452" s="179"/>
      <c r="P3452" s="22" t="s">
        <v>1017</v>
      </c>
      <c r="Q3452" s="38"/>
      <c r="AH3452" s="202" t="s">
        <v>1774</v>
      </c>
      <c r="AK3452" t="str">
        <f t="shared" si="1343"/>
        <v/>
      </c>
      <c r="AL3452" t="str">
        <f t="shared" si="1344"/>
        <v>G2</v>
      </c>
      <c r="AM3452" t="str">
        <f t="shared" si="1345"/>
        <v/>
      </c>
      <c r="AN3452" t="str">
        <f t="shared" si="1346"/>
        <v>G2</v>
      </c>
      <c r="AO3452" s="203" t="str">
        <f>"BiK27a0"&amp;AN3452&amp;RIGHT("-----",5-LEN(AN3452))&amp;RIGHT($M$3099,2)</f>
        <v>BiK27a0G2---12</v>
      </c>
      <c r="AP3452">
        <f t="shared" si="1347"/>
        <v>14</v>
      </c>
      <c r="AQ3452" t="str">
        <f t="shared" si="1348"/>
        <v>0-0,5 MW, Vergärung von Bioabfällen, Bonusregel G2</v>
      </c>
      <c r="AR3452" t="str">
        <f>IF(COUNTA(#REF!)&gt;1,"Fehler ESVK",IF(COUNTA(O3452:Q3452)&gt;1,"Fehler GAB",IF(AP3452&lt;&gt;14,"Fehler Kategorie","")))</f>
        <v/>
      </c>
    </row>
    <row r="3453" spans="1:45" x14ac:dyDescent="0.35">
      <c r="A3453" s="510" t="str">
        <f>"BiK27a0"&amp;AN3453&amp;RIGHT("-----",5-LEN(AN3453))&amp;RIGHT($M$3449,2)</f>
        <v>BiK27a0G3---12</v>
      </c>
      <c r="B3453" s="235" t="s">
        <v>5547</v>
      </c>
      <c r="C3453" s="235" t="s">
        <v>3134</v>
      </c>
      <c r="D3453" s="235" t="str">
        <f t="shared" si="1338"/>
        <v>0-0,5 MW, Vergärung von Bioabfällen, Bonusregel G3</v>
      </c>
      <c r="E3453" s="235"/>
      <c r="F3453" s="384">
        <f t="shared" si="1339"/>
        <v>17</v>
      </c>
      <c r="G3453" s="440">
        <v>17</v>
      </c>
      <c r="H3453" s="408">
        <f t="shared" si="1340"/>
        <v>13.6</v>
      </c>
      <c r="I3453" s="587"/>
      <c r="J3453" s="549" t="s">
        <v>5804</v>
      </c>
      <c r="K3453" s="11"/>
      <c r="L3453" s="55" t="str">
        <f t="shared" si="1341"/>
        <v/>
      </c>
      <c r="M3453" s="37">
        <f t="shared" si="1342"/>
        <v>17</v>
      </c>
      <c r="N3453" s="29">
        <f>N3452</f>
        <v>16</v>
      </c>
      <c r="O3453" s="179"/>
      <c r="P3453" s="22"/>
      <c r="Q3453" s="38" t="s">
        <v>1017</v>
      </c>
      <c r="AH3453" s="202" t="s">
        <v>1774</v>
      </c>
      <c r="AK3453" t="str">
        <f t="shared" si="1343"/>
        <v/>
      </c>
      <c r="AL3453" t="str">
        <f t="shared" si="1344"/>
        <v/>
      </c>
      <c r="AM3453" t="str">
        <f t="shared" si="1345"/>
        <v>G3</v>
      </c>
      <c r="AN3453" t="str">
        <f t="shared" si="1346"/>
        <v>G3</v>
      </c>
      <c r="AO3453" s="203" t="str">
        <f>"BiK27a0"&amp;AN3453&amp;RIGHT("-----",5-LEN(AN3453))&amp;RIGHT($M$3099,2)</f>
        <v>BiK27a0G3---12</v>
      </c>
      <c r="AP3453">
        <f t="shared" si="1347"/>
        <v>14</v>
      </c>
      <c r="AQ3453" t="str">
        <f t="shared" si="1348"/>
        <v>0-0,5 MW, Vergärung von Bioabfällen, Bonusregel G3</v>
      </c>
      <c r="AR3453" t="str">
        <f>IF(COUNTA(#REF!)&gt;1,"Fehler ESVK",IF(COUNTA(O3453:Q3453)&gt;1,"Fehler GAB",IF(AP3453&lt;&gt;14,"Fehler Kategorie","")))</f>
        <v/>
      </c>
    </row>
    <row r="3454" spans="1:45" x14ac:dyDescent="0.35">
      <c r="A3454" s="510" t="str">
        <f>"BiK27a1"&amp;AN3454&amp;RIGHT("-----",5-LEN(AN3454))&amp;RIGHT($M$3449,2)</f>
        <v>BiK27a1-----12</v>
      </c>
      <c r="B3454" s="235" t="s">
        <v>5547</v>
      </c>
      <c r="C3454" s="235" t="s">
        <v>3134</v>
      </c>
      <c r="D3454" s="235" t="str">
        <f t="shared" si="1338"/>
        <v>0,5-5 MW, Vergärung von Bioabfällen</v>
      </c>
      <c r="E3454" s="235"/>
      <c r="F3454" s="384">
        <f t="shared" si="1339"/>
        <v>14</v>
      </c>
      <c r="G3454" s="440">
        <v>14</v>
      </c>
      <c r="H3454" s="408">
        <f t="shared" si="1340"/>
        <v>11.2</v>
      </c>
      <c r="I3454" s="587"/>
      <c r="J3454" s="549" t="s">
        <v>5804</v>
      </c>
      <c r="K3454" s="11"/>
      <c r="L3454" s="55" t="str">
        <f t="shared" si="1341"/>
        <v/>
      </c>
      <c r="M3454" s="37">
        <f t="shared" si="1342"/>
        <v>14</v>
      </c>
      <c r="N3454" s="29">
        <v>14</v>
      </c>
      <c r="O3454" s="179"/>
      <c r="P3454" s="22"/>
      <c r="Q3454" s="38"/>
      <c r="AH3454" s="202" t="s">
        <v>1769</v>
      </c>
      <c r="AK3454" t="str">
        <f t="shared" si="1343"/>
        <v/>
      </c>
      <c r="AL3454" t="str">
        <f t="shared" si="1344"/>
        <v/>
      </c>
      <c r="AM3454" t="str">
        <f t="shared" si="1345"/>
        <v/>
      </c>
      <c r="AN3454" t="str">
        <f t="shared" si="1346"/>
        <v/>
      </c>
      <c r="AO3454" s="203" t="str">
        <f>"BiK27a1"&amp;AN3454&amp;RIGHT("-----",5-LEN(AN3454))&amp;RIGHT($M$3099,2)</f>
        <v>BiK27a1-----12</v>
      </c>
      <c r="AP3454">
        <f t="shared" si="1347"/>
        <v>14</v>
      </c>
      <c r="AQ3454" t="str">
        <f t="shared" si="1348"/>
        <v>0,5-5 MW, Vergärung von Bioabfällen</v>
      </c>
      <c r="AR3454" t="str">
        <f>IF(COUNTA(#REF!)&gt;1,"Fehler ESVK",IF(COUNTA(O3454:Q3454)&gt;1,"Fehler GAB",IF(AP3454&lt;&gt;14,"Fehler Kategorie","")))</f>
        <v/>
      </c>
    </row>
    <row r="3455" spans="1:45" x14ac:dyDescent="0.35">
      <c r="A3455" s="510" t="str">
        <f>"BiK27a1"&amp;AN3455&amp;RIGHT("-----",5-LEN(AN3455))&amp;RIGHT($M$3449,2)</f>
        <v>BiK27a1G1---12</v>
      </c>
      <c r="B3455" s="235" t="s">
        <v>5547</v>
      </c>
      <c r="C3455" s="235" t="s">
        <v>3134</v>
      </c>
      <c r="D3455" s="235" t="str">
        <f t="shared" si="1338"/>
        <v>0,5-5 MW, Vergärung von Bioabfällen, Bonusregel G1</v>
      </c>
      <c r="E3455" s="235"/>
      <c r="F3455" s="384">
        <f t="shared" si="1339"/>
        <v>17</v>
      </c>
      <c r="G3455" s="440">
        <v>17</v>
      </c>
      <c r="H3455" s="408">
        <f t="shared" si="1340"/>
        <v>13.6</v>
      </c>
      <c r="I3455" s="587"/>
      <c r="J3455" s="549" t="s">
        <v>5804</v>
      </c>
      <c r="K3455" s="11"/>
      <c r="L3455" s="55" t="str">
        <f t="shared" si="1341"/>
        <v/>
      </c>
      <c r="M3455" s="37">
        <f t="shared" si="1342"/>
        <v>17</v>
      </c>
      <c r="N3455" s="29">
        <f>N3454</f>
        <v>14</v>
      </c>
      <c r="O3455" s="179" t="s">
        <v>1017</v>
      </c>
      <c r="P3455" s="22"/>
      <c r="Q3455" s="38"/>
      <c r="AH3455" s="202" t="s">
        <v>1769</v>
      </c>
      <c r="AK3455" t="str">
        <f t="shared" si="1343"/>
        <v>G1</v>
      </c>
      <c r="AL3455" t="str">
        <f t="shared" si="1344"/>
        <v/>
      </c>
      <c r="AM3455" t="str">
        <f t="shared" si="1345"/>
        <v/>
      </c>
      <c r="AN3455" t="str">
        <f t="shared" si="1346"/>
        <v>G1</v>
      </c>
      <c r="AO3455" s="203" t="str">
        <f>"BiK27a1"&amp;AN3455&amp;RIGHT("-----",5-LEN(AN3455))&amp;RIGHT($M$3099,2)</f>
        <v>BiK27a1G1---12</v>
      </c>
      <c r="AP3455">
        <f t="shared" si="1347"/>
        <v>14</v>
      </c>
      <c r="AQ3455" t="str">
        <f t="shared" si="1348"/>
        <v>0,5-5 MW, Vergärung von Bioabfällen, Bonusregel G1</v>
      </c>
      <c r="AR3455" t="str">
        <f>IF(COUNTA(#REF!)&gt;1,"Fehler ESVK",IF(COUNTA(O3455:Q3455)&gt;1,"Fehler GAB",IF(AP3455&lt;&gt;14,"Fehler Kategorie","")))</f>
        <v/>
      </c>
    </row>
    <row r="3456" spans="1:45" x14ac:dyDescent="0.35">
      <c r="A3456" s="510" t="str">
        <f>"BiK27a1"&amp;AN3456&amp;RIGHT("-----",5-LEN(AN3456))&amp;RIGHT($M$3449,2)</f>
        <v>BiK27a1G2---12</v>
      </c>
      <c r="B3456" s="235" t="s">
        <v>5547</v>
      </c>
      <c r="C3456" s="235" t="s">
        <v>3134</v>
      </c>
      <c r="D3456" s="235" t="str">
        <f t="shared" si="1338"/>
        <v>0,5-5 MW, Vergärung von Bioabfällen, Bonusregel G2</v>
      </c>
      <c r="E3456" s="235"/>
      <c r="F3456" s="384">
        <f t="shared" si="1339"/>
        <v>16</v>
      </c>
      <c r="G3456" s="440">
        <v>16</v>
      </c>
      <c r="H3456" s="408">
        <f t="shared" si="1340"/>
        <v>12.8</v>
      </c>
      <c r="I3456" s="587"/>
      <c r="J3456" s="549" t="s">
        <v>5804</v>
      </c>
      <c r="K3456" s="11"/>
      <c r="L3456" s="55" t="str">
        <f t="shared" si="1341"/>
        <v/>
      </c>
      <c r="M3456" s="37">
        <f t="shared" si="1342"/>
        <v>16</v>
      </c>
      <c r="N3456" s="29">
        <f>N3455</f>
        <v>14</v>
      </c>
      <c r="O3456" s="179"/>
      <c r="P3456" s="22" t="s">
        <v>1017</v>
      </c>
      <c r="Q3456" s="38"/>
      <c r="AH3456" s="202" t="s">
        <v>1769</v>
      </c>
      <c r="AK3456" t="str">
        <f t="shared" si="1343"/>
        <v/>
      </c>
      <c r="AL3456" t="str">
        <f t="shared" si="1344"/>
        <v>G2</v>
      </c>
      <c r="AM3456" t="str">
        <f t="shared" si="1345"/>
        <v/>
      </c>
      <c r="AN3456" t="str">
        <f t="shared" si="1346"/>
        <v>G2</v>
      </c>
      <c r="AO3456" s="203" t="str">
        <f>"BiK27a1"&amp;AN3456&amp;RIGHT("-----",5-LEN(AN3456))&amp;RIGHT($M$3099,2)</f>
        <v>BiK27a1G2---12</v>
      </c>
      <c r="AP3456">
        <f t="shared" si="1347"/>
        <v>14</v>
      </c>
      <c r="AQ3456" t="str">
        <f t="shared" si="1348"/>
        <v>0,5-5 MW, Vergärung von Bioabfällen, Bonusregel G2</v>
      </c>
      <c r="AR3456" t="str">
        <f>IF(COUNTA(#REF!)&gt;1,"Fehler ESVK",IF(COUNTA(O3456:Q3456)&gt;1,"Fehler GAB",IF(AP3456&lt;&gt;14,"Fehler Kategorie","")))</f>
        <v/>
      </c>
    </row>
    <row r="3457" spans="1:45" x14ac:dyDescent="0.35">
      <c r="A3457" s="510" t="str">
        <f>"BiK27a1"&amp;AN3457&amp;RIGHT("-----",5-LEN(AN3457))&amp;RIGHT($M$3449,2)</f>
        <v>BiK27a1G3---12</v>
      </c>
      <c r="B3457" s="235" t="s">
        <v>5547</v>
      </c>
      <c r="C3457" s="235" t="s">
        <v>3134</v>
      </c>
      <c r="D3457" s="235" t="str">
        <f t="shared" si="1338"/>
        <v>0,5-5 MW, Vergärung von Bioabfällen, Bonusregel G3</v>
      </c>
      <c r="E3457" s="235"/>
      <c r="F3457" s="384">
        <f t="shared" si="1339"/>
        <v>15</v>
      </c>
      <c r="G3457" s="440">
        <v>15</v>
      </c>
      <c r="H3457" s="408">
        <f t="shared" si="1340"/>
        <v>12</v>
      </c>
      <c r="I3457" s="587"/>
      <c r="J3457" s="549" t="s">
        <v>5804</v>
      </c>
      <c r="K3457" s="11"/>
      <c r="L3457" s="55" t="str">
        <f t="shared" si="1341"/>
        <v/>
      </c>
      <c r="M3457" s="37">
        <f t="shared" si="1342"/>
        <v>15</v>
      </c>
      <c r="N3457" s="29">
        <f>N3456</f>
        <v>14</v>
      </c>
      <c r="O3457" s="179"/>
      <c r="P3457" s="22"/>
      <c r="Q3457" s="38" t="s">
        <v>1017</v>
      </c>
      <c r="AH3457" s="202" t="s">
        <v>1769</v>
      </c>
      <c r="AK3457" t="str">
        <f t="shared" si="1343"/>
        <v/>
      </c>
      <c r="AL3457" t="str">
        <f t="shared" si="1344"/>
        <v/>
      </c>
      <c r="AM3457" t="str">
        <f t="shared" si="1345"/>
        <v>G3</v>
      </c>
      <c r="AN3457" t="str">
        <f t="shared" si="1346"/>
        <v>G3</v>
      </c>
      <c r="AO3457" s="203" t="str">
        <f>"BiK27a1"&amp;AN3457&amp;RIGHT("-----",5-LEN(AN3457))&amp;RIGHT($M$3099,2)</f>
        <v>BiK27a1G3---12</v>
      </c>
      <c r="AP3457">
        <f t="shared" si="1347"/>
        <v>14</v>
      </c>
      <c r="AQ3457" t="str">
        <f t="shared" si="1348"/>
        <v>0,5-5 MW, Vergärung von Bioabfällen, Bonusregel G3</v>
      </c>
      <c r="AR3457" t="str">
        <f>IF(COUNTA(#REF!)&gt;1,"Fehler ESVK",IF(COUNTA(O3457:Q3457)&gt;1,"Fehler GAB",IF(AP3457&lt;&gt;14,"Fehler Kategorie","")))</f>
        <v/>
      </c>
    </row>
    <row r="3458" spans="1:45" x14ac:dyDescent="0.35">
      <c r="A3458" s="510" t="str">
        <f>"BiK27a2"&amp;AN3458&amp;RIGHT("-----",5-LEN(AN3458))&amp;RIGHT($M$3449,2)</f>
        <v>BiK27a2-----12</v>
      </c>
      <c r="B3458" s="235" t="s">
        <v>5547</v>
      </c>
      <c r="C3458" s="235" t="s">
        <v>3134</v>
      </c>
      <c r="D3458" s="235" t="str">
        <f t="shared" si="1338"/>
        <v>5-20 MW, Vergärung von Bioabfällen</v>
      </c>
      <c r="E3458" s="235"/>
      <c r="F3458" s="384">
        <f t="shared" si="1339"/>
        <v>14</v>
      </c>
      <c r="G3458" s="440">
        <v>14</v>
      </c>
      <c r="H3458" s="408">
        <f t="shared" si="1340"/>
        <v>11.2</v>
      </c>
      <c r="I3458" s="587"/>
      <c r="J3458" s="549" t="s">
        <v>5804</v>
      </c>
      <c r="K3458" s="11"/>
      <c r="L3458" s="55" t="str">
        <f t="shared" si="1341"/>
        <v/>
      </c>
      <c r="M3458" s="45">
        <f t="shared" si="1342"/>
        <v>14</v>
      </c>
      <c r="N3458" s="28">
        <f>N3457</f>
        <v>14</v>
      </c>
      <c r="O3458" s="62"/>
      <c r="P3458" s="62"/>
      <c r="Q3458" s="63"/>
      <c r="AH3458" s="202" t="s">
        <v>1775</v>
      </c>
      <c r="AK3458" t="str">
        <f t="shared" si="1343"/>
        <v/>
      </c>
      <c r="AL3458" t="str">
        <f t="shared" si="1344"/>
        <v/>
      </c>
      <c r="AM3458" t="str">
        <f t="shared" si="1345"/>
        <v/>
      </c>
      <c r="AN3458" t="str">
        <f t="shared" si="1346"/>
        <v/>
      </c>
      <c r="AO3458" s="203" t="str">
        <f>"BiK27a2"&amp;AN3458&amp;RIGHT("-----",5-LEN(AN3458))&amp;RIGHT($M$3099,2)</f>
        <v>BiK27a2-----12</v>
      </c>
      <c r="AP3458">
        <f t="shared" si="1347"/>
        <v>14</v>
      </c>
      <c r="AQ3458" t="str">
        <f t="shared" si="1348"/>
        <v>5-20 MW, Vergärung von Bioabfällen</v>
      </c>
      <c r="AR3458" t="str">
        <f>IF(COUNTA(#REF!)&gt;1,"Fehler ESVK",IF(COUNTA(O3458:Q3458)&gt;1,"Fehler GAB",IF(AP3458&lt;&gt;14,"Fehler Kategorie","")))</f>
        <v/>
      </c>
    </row>
    <row r="3459" spans="1:45" x14ac:dyDescent="0.35">
      <c r="A3459" s="496"/>
      <c r="B3459" s="1"/>
      <c r="C3459" s="1"/>
      <c r="D3459" s="1"/>
      <c r="E3459" s="1"/>
      <c r="F3459" s="375"/>
      <c r="G3459" s="432"/>
      <c r="H3459" s="401" t="str">
        <f t="shared" si="1340"/>
        <v/>
      </c>
      <c r="I3459" s="578"/>
      <c r="J3459" s="549" t="s">
        <v>4179</v>
      </c>
      <c r="L3459" s="56"/>
      <c r="M3459" s="185">
        <v>2013</v>
      </c>
      <c r="N3459" s="28"/>
      <c r="O3459" s="33">
        <f>ROUND(S3459,2)</f>
        <v>2.94</v>
      </c>
      <c r="P3459" s="28">
        <f>ROUND(T3459,2)</f>
        <v>1.96</v>
      </c>
      <c r="Q3459" s="40">
        <f>ROUND(U3459,2)</f>
        <v>0.98</v>
      </c>
      <c r="R3459" s="219">
        <v>0.02</v>
      </c>
      <c r="S3459" s="279">
        <f>O3449*(1-$R$3459)</f>
        <v>2.94</v>
      </c>
      <c r="T3459" s="279">
        <f>P3449*(1-$R$3459)</f>
        <v>1.96</v>
      </c>
      <c r="U3459" s="279">
        <f>Q3449*(1-$R$3459)</f>
        <v>0.98</v>
      </c>
      <c r="V3459" s="159" t="str">
        <f xml:space="preserve"> "Bonushöhe bei Inbetriebnahme in " &amp; M3459</f>
        <v>Bonushöhe bei Inbetriebnahme in 2013</v>
      </c>
      <c r="W3459" s="29"/>
      <c r="X3459" s="29"/>
      <c r="Y3459" s="29"/>
      <c r="Z3459" s="29"/>
      <c r="AA3459" s="29"/>
      <c r="AB3459" s="29"/>
      <c r="AC3459" s="29"/>
      <c r="AD3459" s="29"/>
      <c r="AE3459" s="29"/>
      <c r="AF3459" s="29"/>
      <c r="AG3459" s="29"/>
      <c r="AK3459" t="s">
        <v>1740</v>
      </c>
      <c r="AL3459" t="s">
        <v>1741</v>
      </c>
      <c r="AM3459" t="s">
        <v>1742</v>
      </c>
      <c r="AN3459" t="s">
        <v>1764</v>
      </c>
      <c r="AO3459" t="s">
        <v>1765</v>
      </c>
      <c r="AP3459" t="s">
        <v>1766</v>
      </c>
      <c r="AQ3459" t="s">
        <v>669</v>
      </c>
      <c r="AR3459" t="s">
        <v>1763</v>
      </c>
    </row>
    <row r="3460" spans="1:45" x14ac:dyDescent="0.35">
      <c r="A3460" s="502" t="str">
        <f>"BiK27a0"&amp;AN3460&amp;RIGHT("-----",5-LEN(AN3460))&amp;RIGHT($M$3459,2)</f>
        <v>BiK27a0-----13</v>
      </c>
      <c r="B3460" s="301" t="s">
        <v>5547</v>
      </c>
      <c r="C3460" s="301" t="s">
        <v>4675</v>
      </c>
      <c r="D3460" s="301" t="str">
        <f t="shared" ref="D3460:D3468" si="1349">IF(COUNTA(O3460:Q3460)=0,AH3460,AH3460&amp;", Bonusregel "&amp;AN3460)</f>
        <v>0-0,5 MW, Vergärung von Bioabfällen</v>
      </c>
      <c r="E3460" s="301"/>
      <c r="F3460" s="377">
        <f t="shared" ref="F3460:F3468" si="1350">M3460</f>
        <v>15.68</v>
      </c>
      <c r="G3460" s="433">
        <v>15.68</v>
      </c>
      <c r="H3460" s="402">
        <f t="shared" si="1340"/>
        <v>12.54</v>
      </c>
      <c r="I3460" s="579"/>
      <c r="J3460" s="549" t="s">
        <v>5804</v>
      </c>
      <c r="K3460" s="11"/>
      <c r="L3460" s="55" t="str">
        <f t="shared" ref="L3460:L3468" si="1351">IF(F3460=M3460,"",FALSE)</f>
        <v/>
      </c>
      <c r="M3460" s="286">
        <f t="shared" ref="M3460:M3468" si="1352">ROUND(N3460,2)+SUMIF(O3460:Q3460,"x",$O$3459:$Q$3459)</f>
        <v>15.68</v>
      </c>
      <c r="N3460" s="29">
        <f t="shared" ref="N3460:N3468" si="1353">N3450*(1-$R$3459)</f>
        <v>15.68</v>
      </c>
      <c r="O3460" s="46"/>
      <c r="P3460" s="22"/>
      <c r="Q3460" s="47"/>
      <c r="AH3460" s="202" t="s">
        <v>1774</v>
      </c>
      <c r="AK3460" t="str">
        <f t="shared" ref="AK3460:AK3468" si="1354">IF(O3460="x",V$3101,"")</f>
        <v/>
      </c>
      <c r="AL3460" t="str">
        <f t="shared" ref="AL3460:AL3468" si="1355">IF(P3460="x",W$3101,"")</f>
        <v/>
      </c>
      <c r="AM3460" t="str">
        <f t="shared" ref="AM3460:AM3468" si="1356">IF(Q3460="x",X$3101,"")</f>
        <v/>
      </c>
      <c r="AN3460" t="str">
        <f t="shared" ref="AN3460:AN3468" si="1357">AK3460&amp;AL3460&amp;AM3460</f>
        <v/>
      </c>
      <c r="AO3460" s="203" t="str">
        <f>"BiK27a0"&amp;AN3460&amp;RIGHT("-----",5-LEN(AN3460))&amp;RIGHT($M$3459,2)</f>
        <v>BiK27a0-----13</v>
      </c>
      <c r="AP3460">
        <f t="shared" ref="AP3460:AP3468" si="1358">LEN(AO3460)</f>
        <v>14</v>
      </c>
      <c r="AQ3460" t="str">
        <f t="shared" ref="AQ3460:AQ3468" si="1359">IF(COUNTA(O3460:Q3460)=0,AH3460,AH3460&amp;", Bonusregel "&amp;AN3460)</f>
        <v>0-0,5 MW, Vergärung von Bioabfällen</v>
      </c>
      <c r="AR3460" t="str">
        <f>IF(COUNTA(#REF!)&gt;1,"Fehler ESVK",IF(COUNTA(O3460:Q3460)&gt;1,"Fehler GAB",IF(AP3460&lt;&gt;14,"Fehler Kategorie","")))</f>
        <v/>
      </c>
      <c r="AS3460" t="str">
        <f>SUBSTITUTE(AN3460,", ","")</f>
        <v/>
      </c>
    </row>
    <row r="3461" spans="1:45" x14ac:dyDescent="0.35">
      <c r="A3461" s="502" t="str">
        <f>"BiK27a0"&amp;AN3461&amp;RIGHT("-----",5-LEN(AN3461))&amp;RIGHT($M$3459,2)</f>
        <v>BiK27a0G1---13</v>
      </c>
      <c r="B3461" s="301" t="s">
        <v>5547</v>
      </c>
      <c r="C3461" s="301" t="s">
        <v>4675</v>
      </c>
      <c r="D3461" s="301" t="str">
        <f t="shared" si="1349"/>
        <v>0-0,5 MW, Vergärung von Bioabfällen, Bonusregel G1</v>
      </c>
      <c r="E3461" s="301"/>
      <c r="F3461" s="377">
        <f t="shared" si="1350"/>
        <v>18.62</v>
      </c>
      <c r="G3461" s="433">
        <v>18.62</v>
      </c>
      <c r="H3461" s="402">
        <f t="shared" si="1340"/>
        <v>14.9</v>
      </c>
      <c r="I3461" s="579"/>
      <c r="J3461" s="549" t="s">
        <v>5804</v>
      </c>
      <c r="K3461" s="11"/>
      <c r="L3461" s="55" t="str">
        <f t="shared" si="1351"/>
        <v/>
      </c>
      <c r="M3461" s="37">
        <f t="shared" si="1352"/>
        <v>18.62</v>
      </c>
      <c r="N3461" s="29">
        <f t="shared" si="1353"/>
        <v>15.68</v>
      </c>
      <c r="O3461" s="179" t="s">
        <v>1017</v>
      </c>
      <c r="P3461" s="22"/>
      <c r="Q3461" s="38"/>
      <c r="AH3461" s="202" t="s">
        <v>1774</v>
      </c>
      <c r="AK3461" t="str">
        <f t="shared" si="1354"/>
        <v>G1</v>
      </c>
      <c r="AL3461" t="str">
        <f t="shared" si="1355"/>
        <v/>
      </c>
      <c r="AM3461" t="str">
        <f t="shared" si="1356"/>
        <v/>
      </c>
      <c r="AN3461" t="str">
        <f t="shared" si="1357"/>
        <v>G1</v>
      </c>
      <c r="AO3461" s="203" t="str">
        <f>"BiK27a0"&amp;AN3461&amp;RIGHT("-----",5-LEN(AN3461))&amp;RIGHT($M$3459,2)</f>
        <v>BiK27a0G1---13</v>
      </c>
      <c r="AP3461">
        <f t="shared" si="1358"/>
        <v>14</v>
      </c>
      <c r="AQ3461" t="str">
        <f t="shared" si="1359"/>
        <v>0-0,5 MW, Vergärung von Bioabfällen, Bonusregel G1</v>
      </c>
      <c r="AR3461" t="str">
        <f>IF(COUNTA(#REF!)&gt;1,"Fehler ESVK",IF(COUNTA(O3461:Q3461)&gt;1,"Fehler GAB",IF(AP3461&lt;&gt;14,"Fehler Kategorie","")))</f>
        <v/>
      </c>
    </row>
    <row r="3462" spans="1:45" x14ac:dyDescent="0.35">
      <c r="A3462" s="502" t="str">
        <f>"BiK27a0"&amp;AN3462&amp;RIGHT("-----",5-LEN(AN3462))&amp;RIGHT($M$3459,2)</f>
        <v>BiK27a0G2---13</v>
      </c>
      <c r="B3462" s="301" t="s">
        <v>5547</v>
      </c>
      <c r="C3462" s="301" t="s">
        <v>4675</v>
      </c>
      <c r="D3462" s="301" t="str">
        <f t="shared" si="1349"/>
        <v>0-0,5 MW, Vergärung von Bioabfällen, Bonusregel G2</v>
      </c>
      <c r="E3462" s="301"/>
      <c r="F3462" s="377">
        <f t="shared" si="1350"/>
        <v>17.64</v>
      </c>
      <c r="G3462" s="433">
        <v>17.64</v>
      </c>
      <c r="H3462" s="402">
        <f t="shared" si="1340"/>
        <v>14.11</v>
      </c>
      <c r="I3462" s="579"/>
      <c r="J3462" s="549" t="s">
        <v>5804</v>
      </c>
      <c r="K3462" s="11"/>
      <c r="L3462" s="55" t="str">
        <f t="shared" si="1351"/>
        <v/>
      </c>
      <c r="M3462" s="37">
        <f t="shared" si="1352"/>
        <v>17.64</v>
      </c>
      <c r="N3462" s="29">
        <f t="shared" si="1353"/>
        <v>15.68</v>
      </c>
      <c r="O3462" s="179"/>
      <c r="P3462" s="22" t="s">
        <v>1017</v>
      </c>
      <c r="Q3462" s="38"/>
      <c r="AH3462" s="202" t="s">
        <v>1774</v>
      </c>
      <c r="AK3462" t="str">
        <f t="shared" si="1354"/>
        <v/>
      </c>
      <c r="AL3462" t="str">
        <f t="shared" si="1355"/>
        <v>G2</v>
      </c>
      <c r="AM3462" t="str">
        <f t="shared" si="1356"/>
        <v/>
      </c>
      <c r="AN3462" t="str">
        <f t="shared" si="1357"/>
        <v>G2</v>
      </c>
      <c r="AO3462" s="203" t="str">
        <f>"BiK27a0"&amp;AN3462&amp;RIGHT("-----",5-LEN(AN3462))&amp;RIGHT($M$3459,2)</f>
        <v>BiK27a0G2---13</v>
      </c>
      <c r="AP3462">
        <f t="shared" si="1358"/>
        <v>14</v>
      </c>
      <c r="AQ3462" t="str">
        <f t="shared" si="1359"/>
        <v>0-0,5 MW, Vergärung von Bioabfällen, Bonusregel G2</v>
      </c>
      <c r="AR3462" t="str">
        <f>IF(COUNTA(#REF!)&gt;1,"Fehler ESVK",IF(COUNTA(O3462:Q3462)&gt;1,"Fehler GAB",IF(AP3462&lt;&gt;14,"Fehler Kategorie","")))</f>
        <v/>
      </c>
    </row>
    <row r="3463" spans="1:45" x14ac:dyDescent="0.35">
      <c r="A3463" s="502" t="str">
        <f>"BiK27a0"&amp;AN3463&amp;RIGHT("-----",5-LEN(AN3463))&amp;RIGHT($M$3459,2)</f>
        <v>BiK27a0G3---13</v>
      </c>
      <c r="B3463" s="301" t="s">
        <v>5547</v>
      </c>
      <c r="C3463" s="301" t="s">
        <v>4675</v>
      </c>
      <c r="D3463" s="301" t="str">
        <f t="shared" si="1349"/>
        <v>0-0,5 MW, Vergärung von Bioabfällen, Bonusregel G3</v>
      </c>
      <c r="E3463" s="301"/>
      <c r="F3463" s="377">
        <f t="shared" si="1350"/>
        <v>16.66</v>
      </c>
      <c r="G3463" s="433">
        <v>16.66</v>
      </c>
      <c r="H3463" s="402">
        <f t="shared" si="1340"/>
        <v>13.33</v>
      </c>
      <c r="I3463" s="579"/>
      <c r="J3463" s="549" t="s">
        <v>5804</v>
      </c>
      <c r="K3463" s="11"/>
      <c r="L3463" s="55" t="str">
        <f t="shared" si="1351"/>
        <v/>
      </c>
      <c r="M3463" s="37">
        <f t="shared" si="1352"/>
        <v>16.66</v>
      </c>
      <c r="N3463" s="29">
        <f t="shared" si="1353"/>
        <v>15.68</v>
      </c>
      <c r="O3463" s="179"/>
      <c r="P3463" s="22"/>
      <c r="Q3463" s="38" t="s">
        <v>1017</v>
      </c>
      <c r="AH3463" s="202" t="s">
        <v>1774</v>
      </c>
      <c r="AK3463" t="str">
        <f t="shared" si="1354"/>
        <v/>
      </c>
      <c r="AL3463" t="str">
        <f t="shared" si="1355"/>
        <v/>
      </c>
      <c r="AM3463" t="str">
        <f t="shared" si="1356"/>
        <v>G3</v>
      </c>
      <c r="AN3463" t="str">
        <f t="shared" si="1357"/>
        <v>G3</v>
      </c>
      <c r="AO3463" s="203" t="str">
        <f>"BiK27a0"&amp;AN3463&amp;RIGHT("-----",5-LEN(AN3463))&amp;RIGHT($M$3459,2)</f>
        <v>BiK27a0G3---13</v>
      </c>
      <c r="AP3463">
        <f t="shared" si="1358"/>
        <v>14</v>
      </c>
      <c r="AQ3463" t="str">
        <f t="shared" si="1359"/>
        <v>0-0,5 MW, Vergärung von Bioabfällen, Bonusregel G3</v>
      </c>
      <c r="AR3463" t="str">
        <f>IF(COUNTA(#REF!)&gt;1,"Fehler ESVK",IF(COUNTA(O3463:Q3463)&gt;1,"Fehler GAB",IF(AP3463&lt;&gt;14,"Fehler Kategorie","")))</f>
        <v/>
      </c>
    </row>
    <row r="3464" spans="1:45" x14ac:dyDescent="0.35">
      <c r="A3464" s="502" t="str">
        <f>"BiK27a1"&amp;AN3464&amp;RIGHT("-----",5-LEN(AN3464))&amp;RIGHT($M$3459,2)</f>
        <v>BiK27a1-----13</v>
      </c>
      <c r="B3464" s="301" t="s">
        <v>5547</v>
      </c>
      <c r="C3464" s="301" t="s">
        <v>4675</v>
      </c>
      <c r="D3464" s="301" t="str">
        <f t="shared" si="1349"/>
        <v>0,5-5 MW, Vergärung von Bioabfällen</v>
      </c>
      <c r="E3464" s="301"/>
      <c r="F3464" s="377">
        <f t="shared" si="1350"/>
        <v>13.72</v>
      </c>
      <c r="G3464" s="433">
        <v>13.72</v>
      </c>
      <c r="H3464" s="402">
        <f t="shared" si="1340"/>
        <v>10.98</v>
      </c>
      <c r="I3464" s="579"/>
      <c r="J3464" s="549" t="s">
        <v>5804</v>
      </c>
      <c r="K3464" s="11"/>
      <c r="L3464" s="55" t="str">
        <f t="shared" si="1351"/>
        <v/>
      </c>
      <c r="M3464" s="37">
        <f t="shared" si="1352"/>
        <v>13.72</v>
      </c>
      <c r="N3464" s="29">
        <f t="shared" si="1353"/>
        <v>13.719999999999999</v>
      </c>
      <c r="O3464" s="179"/>
      <c r="P3464" s="22"/>
      <c r="Q3464" s="38"/>
      <c r="AH3464" s="202" t="s">
        <v>1769</v>
      </c>
      <c r="AK3464" t="str">
        <f t="shared" si="1354"/>
        <v/>
      </c>
      <c r="AL3464" t="str">
        <f t="shared" si="1355"/>
        <v/>
      </c>
      <c r="AM3464" t="str">
        <f t="shared" si="1356"/>
        <v/>
      </c>
      <c r="AN3464" t="str">
        <f t="shared" si="1357"/>
        <v/>
      </c>
      <c r="AO3464" s="203" t="str">
        <f>"BiK27a1"&amp;AN3464&amp;RIGHT("-----",5-LEN(AN3464))&amp;RIGHT($M$3459,2)</f>
        <v>BiK27a1-----13</v>
      </c>
      <c r="AP3464">
        <f t="shared" si="1358"/>
        <v>14</v>
      </c>
      <c r="AQ3464" t="str">
        <f t="shared" si="1359"/>
        <v>0,5-5 MW, Vergärung von Bioabfällen</v>
      </c>
      <c r="AR3464" t="str">
        <f>IF(COUNTA(#REF!)&gt;1,"Fehler ESVK",IF(COUNTA(O3464:Q3464)&gt;1,"Fehler GAB",IF(AP3464&lt;&gt;14,"Fehler Kategorie","")))</f>
        <v/>
      </c>
    </row>
    <row r="3465" spans="1:45" x14ac:dyDescent="0.35">
      <c r="A3465" s="502" t="str">
        <f>"BiK27a1"&amp;AN3465&amp;RIGHT("-----",5-LEN(AN3465))&amp;RIGHT($M$3459,2)</f>
        <v>BiK27a1G1---13</v>
      </c>
      <c r="B3465" s="301" t="s">
        <v>5547</v>
      </c>
      <c r="C3465" s="301" t="s">
        <v>4675</v>
      </c>
      <c r="D3465" s="301" t="str">
        <f t="shared" si="1349"/>
        <v>0,5-5 MW, Vergärung von Bioabfällen, Bonusregel G1</v>
      </c>
      <c r="E3465" s="301"/>
      <c r="F3465" s="377">
        <f t="shared" si="1350"/>
        <v>16.66</v>
      </c>
      <c r="G3465" s="433">
        <v>16.66</v>
      </c>
      <c r="H3465" s="402">
        <f t="shared" si="1340"/>
        <v>13.33</v>
      </c>
      <c r="I3465" s="579"/>
      <c r="J3465" s="549" t="s">
        <v>5804</v>
      </c>
      <c r="K3465" s="11"/>
      <c r="L3465" s="55" t="str">
        <f t="shared" si="1351"/>
        <v/>
      </c>
      <c r="M3465" s="37">
        <f t="shared" si="1352"/>
        <v>16.66</v>
      </c>
      <c r="N3465" s="29">
        <f t="shared" si="1353"/>
        <v>13.719999999999999</v>
      </c>
      <c r="O3465" s="179" t="s">
        <v>1017</v>
      </c>
      <c r="P3465" s="22"/>
      <c r="Q3465" s="38"/>
      <c r="AH3465" s="202" t="s">
        <v>1769</v>
      </c>
      <c r="AK3465" t="str">
        <f t="shared" si="1354"/>
        <v>G1</v>
      </c>
      <c r="AL3465" t="str">
        <f t="shared" si="1355"/>
        <v/>
      </c>
      <c r="AM3465" t="str">
        <f t="shared" si="1356"/>
        <v/>
      </c>
      <c r="AN3465" t="str">
        <f t="shared" si="1357"/>
        <v>G1</v>
      </c>
      <c r="AO3465" s="203" t="str">
        <f>"BiK27a1"&amp;AN3465&amp;RIGHT("-----",5-LEN(AN3465))&amp;RIGHT($M$3459,2)</f>
        <v>BiK27a1G1---13</v>
      </c>
      <c r="AP3465">
        <f t="shared" si="1358"/>
        <v>14</v>
      </c>
      <c r="AQ3465" t="str">
        <f t="shared" si="1359"/>
        <v>0,5-5 MW, Vergärung von Bioabfällen, Bonusregel G1</v>
      </c>
      <c r="AR3465" t="str">
        <f>IF(COUNTA(#REF!)&gt;1,"Fehler ESVK",IF(COUNTA(O3465:Q3465)&gt;1,"Fehler GAB",IF(AP3465&lt;&gt;14,"Fehler Kategorie","")))</f>
        <v/>
      </c>
    </row>
    <row r="3466" spans="1:45" x14ac:dyDescent="0.35">
      <c r="A3466" s="502" t="str">
        <f>"BiK27a1"&amp;AN3466&amp;RIGHT("-----",5-LEN(AN3466))&amp;RIGHT($M$3459,2)</f>
        <v>BiK27a1G2---13</v>
      </c>
      <c r="B3466" s="301" t="s">
        <v>5547</v>
      </c>
      <c r="C3466" s="301" t="s">
        <v>4675</v>
      </c>
      <c r="D3466" s="301" t="str">
        <f t="shared" si="1349"/>
        <v>0,5-5 MW, Vergärung von Bioabfällen, Bonusregel G2</v>
      </c>
      <c r="E3466" s="301"/>
      <c r="F3466" s="377">
        <f t="shared" si="1350"/>
        <v>15.68</v>
      </c>
      <c r="G3466" s="433">
        <v>15.68</v>
      </c>
      <c r="H3466" s="402">
        <f t="shared" si="1340"/>
        <v>12.54</v>
      </c>
      <c r="I3466" s="579"/>
      <c r="J3466" s="549" t="s">
        <v>5804</v>
      </c>
      <c r="K3466" s="11"/>
      <c r="L3466" s="55" t="str">
        <f t="shared" si="1351"/>
        <v/>
      </c>
      <c r="M3466" s="37">
        <f t="shared" si="1352"/>
        <v>15.68</v>
      </c>
      <c r="N3466" s="29">
        <f t="shared" si="1353"/>
        <v>13.719999999999999</v>
      </c>
      <c r="O3466" s="179"/>
      <c r="P3466" s="22" t="s">
        <v>1017</v>
      </c>
      <c r="Q3466" s="38"/>
      <c r="AH3466" s="202" t="s">
        <v>1769</v>
      </c>
      <c r="AK3466" t="str">
        <f t="shared" si="1354"/>
        <v/>
      </c>
      <c r="AL3466" t="str">
        <f t="shared" si="1355"/>
        <v>G2</v>
      </c>
      <c r="AM3466" t="str">
        <f t="shared" si="1356"/>
        <v/>
      </c>
      <c r="AN3466" t="str">
        <f t="shared" si="1357"/>
        <v>G2</v>
      </c>
      <c r="AO3466" s="203" t="str">
        <f>"BiK27a1"&amp;AN3466&amp;RIGHT("-----",5-LEN(AN3466))&amp;RIGHT($M$3459,2)</f>
        <v>BiK27a1G2---13</v>
      </c>
      <c r="AP3466">
        <f t="shared" si="1358"/>
        <v>14</v>
      </c>
      <c r="AQ3466" t="str">
        <f t="shared" si="1359"/>
        <v>0,5-5 MW, Vergärung von Bioabfällen, Bonusregel G2</v>
      </c>
      <c r="AR3466" t="str">
        <f>IF(COUNTA(#REF!)&gt;1,"Fehler ESVK",IF(COUNTA(O3466:Q3466)&gt;1,"Fehler GAB",IF(AP3466&lt;&gt;14,"Fehler Kategorie","")))</f>
        <v/>
      </c>
    </row>
    <row r="3467" spans="1:45" x14ac:dyDescent="0.35">
      <c r="A3467" s="502" t="str">
        <f>"BiK27a1"&amp;AN3467&amp;RIGHT("-----",5-LEN(AN3467))&amp;RIGHT($M$3459,2)</f>
        <v>BiK27a1G3---13</v>
      </c>
      <c r="B3467" s="301" t="s">
        <v>5547</v>
      </c>
      <c r="C3467" s="301" t="s">
        <v>4675</v>
      </c>
      <c r="D3467" s="301" t="str">
        <f t="shared" si="1349"/>
        <v>0,5-5 MW, Vergärung von Bioabfällen, Bonusregel G3</v>
      </c>
      <c r="E3467" s="301"/>
      <c r="F3467" s="377">
        <f t="shared" si="1350"/>
        <v>14.700000000000001</v>
      </c>
      <c r="G3467" s="433">
        <v>14.700000000000001</v>
      </c>
      <c r="H3467" s="402">
        <f t="shared" si="1340"/>
        <v>11.76</v>
      </c>
      <c r="I3467" s="579"/>
      <c r="J3467" s="549" t="s">
        <v>5804</v>
      </c>
      <c r="K3467" s="11"/>
      <c r="L3467" s="55" t="str">
        <f t="shared" si="1351"/>
        <v/>
      </c>
      <c r="M3467" s="37">
        <f t="shared" si="1352"/>
        <v>14.700000000000001</v>
      </c>
      <c r="N3467" s="29">
        <f t="shared" si="1353"/>
        <v>13.719999999999999</v>
      </c>
      <c r="O3467" s="179"/>
      <c r="P3467" s="22"/>
      <c r="Q3467" s="38" t="s">
        <v>1017</v>
      </c>
      <c r="AH3467" s="202" t="s">
        <v>1769</v>
      </c>
      <c r="AK3467" t="str">
        <f t="shared" si="1354"/>
        <v/>
      </c>
      <c r="AL3467" t="str">
        <f t="shared" si="1355"/>
        <v/>
      </c>
      <c r="AM3467" t="str">
        <f t="shared" si="1356"/>
        <v>G3</v>
      </c>
      <c r="AN3467" t="str">
        <f t="shared" si="1357"/>
        <v>G3</v>
      </c>
      <c r="AO3467" s="203" t="str">
        <f>"BiK27a1"&amp;AN3467&amp;RIGHT("-----",5-LEN(AN3467))&amp;RIGHT($M$3459,2)</f>
        <v>BiK27a1G3---13</v>
      </c>
      <c r="AP3467">
        <f t="shared" si="1358"/>
        <v>14</v>
      </c>
      <c r="AQ3467" t="str">
        <f t="shared" si="1359"/>
        <v>0,5-5 MW, Vergärung von Bioabfällen, Bonusregel G3</v>
      </c>
      <c r="AR3467" t="str">
        <f>IF(COUNTA(#REF!)&gt;1,"Fehler ESVK",IF(COUNTA(O3467:Q3467)&gt;1,"Fehler GAB",IF(AP3467&lt;&gt;14,"Fehler Kategorie","")))</f>
        <v/>
      </c>
    </row>
    <row r="3468" spans="1:45" x14ac:dyDescent="0.35">
      <c r="A3468" s="502" t="str">
        <f>"BiK27a2"&amp;AN3468&amp;RIGHT("-----",5-LEN(AN3468))&amp;RIGHT($M$3459,2)</f>
        <v>BiK27a2-----13</v>
      </c>
      <c r="B3468" s="301" t="s">
        <v>5547</v>
      </c>
      <c r="C3468" s="301" t="s">
        <v>4675</v>
      </c>
      <c r="D3468" s="301" t="str">
        <f t="shared" si="1349"/>
        <v>5-20 MW, Vergärung von Bioabfällen</v>
      </c>
      <c r="E3468" s="301"/>
      <c r="F3468" s="377">
        <f t="shared" si="1350"/>
        <v>13.72</v>
      </c>
      <c r="G3468" s="433">
        <v>13.72</v>
      </c>
      <c r="H3468" s="402">
        <f t="shared" si="1340"/>
        <v>10.98</v>
      </c>
      <c r="I3468" s="579"/>
      <c r="J3468" s="549" t="s">
        <v>5804</v>
      </c>
      <c r="K3468" s="11"/>
      <c r="L3468" s="55" t="str">
        <f t="shared" si="1351"/>
        <v/>
      </c>
      <c r="M3468" s="45">
        <f t="shared" si="1352"/>
        <v>13.72</v>
      </c>
      <c r="N3468" s="28">
        <f t="shared" si="1353"/>
        <v>13.719999999999999</v>
      </c>
      <c r="O3468" s="62"/>
      <c r="P3468" s="62"/>
      <c r="Q3468" s="63"/>
      <c r="AH3468" s="202" t="s">
        <v>1775</v>
      </c>
      <c r="AK3468" t="str">
        <f t="shared" si="1354"/>
        <v/>
      </c>
      <c r="AL3468" t="str">
        <f t="shared" si="1355"/>
        <v/>
      </c>
      <c r="AM3468" t="str">
        <f t="shared" si="1356"/>
        <v/>
      </c>
      <c r="AN3468" t="str">
        <f t="shared" si="1357"/>
        <v/>
      </c>
      <c r="AO3468" s="203" t="str">
        <f>"BiK27a2"&amp;AN3468&amp;RIGHT("-----",5-LEN(AN3468))&amp;RIGHT($M$3459,2)</f>
        <v>BiK27a2-----13</v>
      </c>
      <c r="AP3468">
        <f t="shared" si="1358"/>
        <v>14</v>
      </c>
      <c r="AQ3468" t="str">
        <f t="shared" si="1359"/>
        <v>5-20 MW, Vergärung von Bioabfällen</v>
      </c>
      <c r="AR3468" t="str">
        <f>IF(COUNTA(#REF!)&gt;1,"Fehler ESVK",IF(COUNTA(O3468:Q3468)&gt;1,"Fehler GAB",IF(AP3468&lt;&gt;14,"Fehler Kategorie","")))</f>
        <v/>
      </c>
    </row>
    <row r="3469" spans="1:45" x14ac:dyDescent="0.35">
      <c r="A3469" s="496"/>
      <c r="B3469" s="1"/>
      <c r="C3469" s="1"/>
      <c r="D3469" s="1"/>
      <c r="E3469" s="1"/>
      <c r="F3469" s="375"/>
      <c r="G3469" s="425"/>
      <c r="H3469" s="10" t="str">
        <f t="shared" si="1340"/>
        <v/>
      </c>
      <c r="I3469" s="566"/>
      <c r="J3469" s="549" t="s">
        <v>4179</v>
      </c>
      <c r="L3469" s="327"/>
      <c r="M3469" s="323">
        <v>2014</v>
      </c>
      <c r="N3469" s="28"/>
      <c r="O3469" s="33">
        <f>ROUND(S3469,2)</f>
        <v>2.88</v>
      </c>
      <c r="P3469" s="28">
        <f>ROUND(T3469,2)</f>
        <v>1.92</v>
      </c>
      <c r="Q3469" s="40">
        <f>ROUND(U3469,2)</f>
        <v>0.96</v>
      </c>
      <c r="R3469" s="322">
        <v>0.02</v>
      </c>
      <c r="S3469" s="331">
        <f>S3459*(1-$R$3469)</f>
        <v>2.8811999999999998</v>
      </c>
      <c r="T3469" s="331">
        <f>T3459*(1-$R$3469)</f>
        <v>1.9207999999999998</v>
      </c>
      <c r="U3469" s="331">
        <f>U3459*(1-$R$3469)</f>
        <v>0.96039999999999992</v>
      </c>
      <c r="V3469" s="159" t="str">
        <f xml:space="preserve"> "Bonushöhe bei Inbetriebnahme in " &amp; M3469</f>
        <v>Bonushöhe bei Inbetriebnahme in 2014</v>
      </c>
      <c r="AK3469" t="s">
        <v>1740</v>
      </c>
      <c r="AL3469" t="s">
        <v>1741</v>
      </c>
      <c r="AM3469" t="s">
        <v>1742</v>
      </c>
      <c r="AN3469" t="s">
        <v>1764</v>
      </c>
      <c r="AO3469" t="s">
        <v>1765</v>
      </c>
      <c r="AP3469" t="s">
        <v>1766</v>
      </c>
      <c r="AQ3469" t="s">
        <v>669</v>
      </c>
      <c r="AR3469" t="s">
        <v>1763</v>
      </c>
    </row>
    <row r="3470" spans="1:45" x14ac:dyDescent="0.35">
      <c r="A3470" s="502" t="str">
        <f>"BiK27a0"&amp;AN3470&amp;RIGHT("-----",5-LEN(AN3470))&amp;RIGHT($M$3469,2)</f>
        <v>BiK27a0-----14</v>
      </c>
      <c r="B3470" s="301" t="s">
        <v>5547</v>
      </c>
      <c r="C3470" s="301" t="s">
        <v>1647</v>
      </c>
      <c r="D3470" s="301" t="str">
        <f t="shared" ref="D3470:D3478" si="1360">IF(COUNTA(O3470:Q3470)=0,AH3470,AH3470&amp;", Bonusregel "&amp;AN3470)</f>
        <v>0-0,5 MW, Vergärung von Bioabfällen</v>
      </c>
      <c r="E3470" s="301"/>
      <c r="F3470" s="377">
        <f t="shared" ref="F3470:F3478" si="1361">M3470</f>
        <v>15.37</v>
      </c>
      <c r="G3470" s="429">
        <v>15.37</v>
      </c>
      <c r="H3470" s="303">
        <f t="shared" si="1340"/>
        <v>12.3</v>
      </c>
      <c r="I3470" s="579"/>
      <c r="J3470" s="549" t="s">
        <v>5804</v>
      </c>
      <c r="K3470" s="11"/>
      <c r="L3470" s="55" t="str">
        <f t="shared" ref="L3470:L3478" si="1362">IF(F3470=M3470,"",FALSE)</f>
        <v/>
      </c>
      <c r="M3470" s="332">
        <f t="shared" ref="M3470:M3478" si="1363">ROUND(N3470,2)+SUMIF(O3470:Q3470,"x",$O$3469:$Q$3469)</f>
        <v>15.37</v>
      </c>
      <c r="N3470" s="29">
        <f t="shared" ref="N3470:N3478" si="1364">N3460*(1-$R$3469)</f>
        <v>15.366399999999999</v>
      </c>
      <c r="O3470" s="46"/>
      <c r="P3470" s="22"/>
      <c r="Q3470" s="47"/>
      <c r="AH3470" s="22" t="s">
        <v>1774</v>
      </c>
      <c r="AK3470" t="str">
        <f t="shared" ref="AK3470:AK3478" si="1365">IF(O3470="x",V$3101,"")</f>
        <v/>
      </c>
      <c r="AL3470" t="str">
        <f t="shared" ref="AL3470:AL3478" si="1366">IF(P3470="x",W$3101,"")</f>
        <v/>
      </c>
      <c r="AM3470" t="str">
        <f t="shared" ref="AM3470:AM3478" si="1367">IF(Q3470="x",X$3101,"")</f>
        <v/>
      </c>
      <c r="AN3470" t="str">
        <f t="shared" ref="AN3470:AN3478" si="1368">AK3470&amp;AL3470&amp;AM3470</f>
        <v/>
      </c>
      <c r="AO3470" s="203" t="str">
        <f>"BiK27a0"&amp;AN3470&amp;RIGHT("-----",5-LEN(AN3470))&amp;RIGHT($M$3469,2)</f>
        <v>BiK27a0-----14</v>
      </c>
      <c r="AP3470">
        <f t="shared" ref="AP3470:AP3478" si="1369">LEN(AO3470)</f>
        <v>14</v>
      </c>
      <c r="AQ3470" t="str">
        <f t="shared" ref="AQ3470:AQ3478" si="1370">IF(COUNTA(O3470:Q3470)=0,AH3470,AH3470&amp;", Bonusregel "&amp;AN3470)</f>
        <v>0-0,5 MW, Vergärung von Bioabfällen</v>
      </c>
      <c r="AR3470" t="str">
        <f>IF(COUNTA(#REF!)&gt;1,"Fehler ESVK",IF(COUNTA(O3470:Q3470)&gt;1,"Fehler GAB",IF(AP3470&lt;&gt;14,"Fehler Kategorie","")))</f>
        <v/>
      </c>
    </row>
    <row r="3471" spans="1:45" x14ac:dyDescent="0.35">
      <c r="A3471" s="502" t="str">
        <f>"BiK27a0"&amp;AN3471&amp;RIGHT("-----",5-LEN(AN3471))&amp;RIGHT($M$3469,2)</f>
        <v>BiK27a0G1---14</v>
      </c>
      <c r="B3471" s="301" t="s">
        <v>5547</v>
      </c>
      <c r="C3471" s="301" t="s">
        <v>1647</v>
      </c>
      <c r="D3471" s="301" t="str">
        <f t="shared" si="1360"/>
        <v>0-0,5 MW, Vergärung von Bioabfällen, Bonusregel G1</v>
      </c>
      <c r="E3471" s="301"/>
      <c r="F3471" s="377">
        <f t="shared" si="1361"/>
        <v>18.25</v>
      </c>
      <c r="G3471" s="429">
        <v>18.25</v>
      </c>
      <c r="H3471" s="303">
        <f t="shared" si="1340"/>
        <v>14.6</v>
      </c>
      <c r="I3471" s="579"/>
      <c r="J3471" s="549" t="s">
        <v>5804</v>
      </c>
      <c r="K3471" s="11"/>
      <c r="L3471" s="55" t="str">
        <f t="shared" si="1362"/>
        <v/>
      </c>
      <c r="M3471" s="315">
        <f t="shared" si="1363"/>
        <v>18.25</v>
      </c>
      <c r="N3471" s="29">
        <f t="shared" si="1364"/>
        <v>15.366399999999999</v>
      </c>
      <c r="O3471" s="31" t="s">
        <v>1017</v>
      </c>
      <c r="P3471" s="22"/>
      <c r="Q3471" s="38"/>
      <c r="AH3471" s="22" t="s">
        <v>1774</v>
      </c>
      <c r="AK3471" t="str">
        <f t="shared" si="1365"/>
        <v>G1</v>
      </c>
      <c r="AL3471" t="str">
        <f t="shared" si="1366"/>
        <v/>
      </c>
      <c r="AM3471" t="str">
        <f t="shared" si="1367"/>
        <v/>
      </c>
      <c r="AN3471" t="str">
        <f t="shared" si="1368"/>
        <v>G1</v>
      </c>
      <c r="AO3471" s="203" t="str">
        <f>"BiK27a0"&amp;AN3471&amp;RIGHT("-----",5-LEN(AN3471))&amp;RIGHT($M$3469,2)</f>
        <v>BiK27a0G1---14</v>
      </c>
      <c r="AP3471">
        <f t="shared" si="1369"/>
        <v>14</v>
      </c>
      <c r="AQ3471" t="str">
        <f t="shared" si="1370"/>
        <v>0-0,5 MW, Vergärung von Bioabfällen, Bonusregel G1</v>
      </c>
      <c r="AR3471" t="str">
        <f>IF(COUNTA(#REF!)&gt;1,"Fehler ESVK",IF(COUNTA(O3471:Q3471)&gt;1,"Fehler GAB",IF(AP3471&lt;&gt;14,"Fehler Kategorie","")))</f>
        <v/>
      </c>
    </row>
    <row r="3472" spans="1:45" x14ac:dyDescent="0.35">
      <c r="A3472" s="502" t="str">
        <f>"BiK27a0"&amp;AN3472&amp;RIGHT("-----",5-LEN(AN3472))&amp;RIGHT($M$3469,2)</f>
        <v>BiK27a0G2---14</v>
      </c>
      <c r="B3472" s="301" t="s">
        <v>5547</v>
      </c>
      <c r="C3472" s="301" t="s">
        <v>1647</v>
      </c>
      <c r="D3472" s="301" t="str">
        <f t="shared" si="1360"/>
        <v>0-0,5 MW, Vergärung von Bioabfällen, Bonusregel G2</v>
      </c>
      <c r="E3472" s="301"/>
      <c r="F3472" s="377">
        <f t="shared" si="1361"/>
        <v>17.29</v>
      </c>
      <c r="G3472" s="429">
        <v>17.29</v>
      </c>
      <c r="H3472" s="303">
        <f t="shared" si="1340"/>
        <v>13.83</v>
      </c>
      <c r="I3472" s="579"/>
      <c r="J3472" s="549" t="s">
        <v>5804</v>
      </c>
      <c r="K3472" s="11"/>
      <c r="L3472" s="55" t="str">
        <f t="shared" si="1362"/>
        <v/>
      </c>
      <c r="M3472" s="315">
        <f t="shared" si="1363"/>
        <v>17.29</v>
      </c>
      <c r="N3472" s="29">
        <f t="shared" si="1364"/>
        <v>15.366399999999999</v>
      </c>
      <c r="O3472" s="31"/>
      <c r="P3472" s="22" t="s">
        <v>1017</v>
      </c>
      <c r="Q3472" s="38"/>
      <c r="AH3472" s="22" t="s">
        <v>1774</v>
      </c>
      <c r="AK3472" t="str">
        <f t="shared" si="1365"/>
        <v/>
      </c>
      <c r="AL3472" t="str">
        <f t="shared" si="1366"/>
        <v>G2</v>
      </c>
      <c r="AM3472" t="str">
        <f t="shared" si="1367"/>
        <v/>
      </c>
      <c r="AN3472" t="str">
        <f t="shared" si="1368"/>
        <v>G2</v>
      </c>
      <c r="AO3472" s="203" t="str">
        <f>"BiK27a0"&amp;AN3472&amp;RIGHT("-----",5-LEN(AN3472))&amp;RIGHT($M$3469,2)</f>
        <v>BiK27a0G2---14</v>
      </c>
      <c r="AP3472">
        <f t="shared" si="1369"/>
        <v>14</v>
      </c>
      <c r="AQ3472" t="str">
        <f t="shared" si="1370"/>
        <v>0-0,5 MW, Vergärung von Bioabfällen, Bonusregel G2</v>
      </c>
      <c r="AR3472" t="str">
        <f>IF(COUNTA(#REF!)&gt;1,"Fehler ESVK",IF(COUNTA(O3472:Q3472)&gt;1,"Fehler GAB",IF(AP3472&lt;&gt;14,"Fehler Kategorie","")))</f>
        <v/>
      </c>
    </row>
    <row r="3473" spans="1:44" x14ac:dyDescent="0.35">
      <c r="A3473" s="502" t="str">
        <f>"BiK27a0"&amp;AN3473&amp;RIGHT("-----",5-LEN(AN3473))&amp;RIGHT($M$3469,2)</f>
        <v>BiK27a0G3---14</v>
      </c>
      <c r="B3473" s="301" t="s">
        <v>5547</v>
      </c>
      <c r="C3473" s="301" t="s">
        <v>1647</v>
      </c>
      <c r="D3473" s="301" t="str">
        <f t="shared" si="1360"/>
        <v>0-0,5 MW, Vergärung von Bioabfällen, Bonusregel G3</v>
      </c>
      <c r="E3473" s="301"/>
      <c r="F3473" s="377">
        <f t="shared" si="1361"/>
        <v>16.329999999999998</v>
      </c>
      <c r="G3473" s="429">
        <v>16.329999999999998</v>
      </c>
      <c r="H3473" s="303">
        <f t="shared" si="1340"/>
        <v>13.06</v>
      </c>
      <c r="I3473" s="579"/>
      <c r="J3473" s="549" t="s">
        <v>5804</v>
      </c>
      <c r="K3473" s="11"/>
      <c r="L3473" s="55" t="str">
        <f t="shared" si="1362"/>
        <v/>
      </c>
      <c r="M3473" s="315">
        <f t="shared" si="1363"/>
        <v>16.329999999999998</v>
      </c>
      <c r="N3473" s="29">
        <f t="shared" si="1364"/>
        <v>15.366399999999999</v>
      </c>
      <c r="O3473" s="31"/>
      <c r="P3473" s="22"/>
      <c r="Q3473" s="38" t="s">
        <v>1017</v>
      </c>
      <c r="AH3473" s="22" t="s">
        <v>1774</v>
      </c>
      <c r="AK3473" t="str">
        <f t="shared" si="1365"/>
        <v/>
      </c>
      <c r="AL3473" t="str">
        <f t="shared" si="1366"/>
        <v/>
      </c>
      <c r="AM3473" t="str">
        <f t="shared" si="1367"/>
        <v>G3</v>
      </c>
      <c r="AN3473" t="str">
        <f t="shared" si="1368"/>
        <v>G3</v>
      </c>
      <c r="AO3473" s="203" t="str">
        <f>"BiK27a0"&amp;AN3473&amp;RIGHT("-----",5-LEN(AN3473))&amp;RIGHT($M$3469,2)</f>
        <v>BiK27a0G3---14</v>
      </c>
      <c r="AP3473">
        <f t="shared" si="1369"/>
        <v>14</v>
      </c>
      <c r="AQ3473" t="str">
        <f t="shared" si="1370"/>
        <v>0-0,5 MW, Vergärung von Bioabfällen, Bonusregel G3</v>
      </c>
      <c r="AR3473" t="str">
        <f>IF(COUNTA(#REF!)&gt;1,"Fehler ESVK",IF(COUNTA(O3473:Q3473)&gt;1,"Fehler GAB",IF(AP3473&lt;&gt;14,"Fehler Kategorie","")))</f>
        <v/>
      </c>
    </row>
    <row r="3474" spans="1:44" x14ac:dyDescent="0.35">
      <c r="A3474" s="502" t="str">
        <f>"BiK27a1"&amp;AN3474&amp;RIGHT("-----",5-LEN(AN3474))&amp;RIGHT($M$3469,2)</f>
        <v>BiK27a1-----14</v>
      </c>
      <c r="B3474" s="301" t="s">
        <v>5547</v>
      </c>
      <c r="C3474" s="301" t="s">
        <v>1647</v>
      </c>
      <c r="D3474" s="301" t="str">
        <f t="shared" si="1360"/>
        <v>0,5-5 MW, Vergärung von Bioabfällen</v>
      </c>
      <c r="E3474" s="301"/>
      <c r="F3474" s="377">
        <f t="shared" si="1361"/>
        <v>13.45</v>
      </c>
      <c r="G3474" s="429">
        <v>13.45</v>
      </c>
      <c r="H3474" s="303">
        <f t="shared" si="1340"/>
        <v>10.76</v>
      </c>
      <c r="I3474" s="579"/>
      <c r="J3474" s="549" t="s">
        <v>5804</v>
      </c>
      <c r="K3474" s="11"/>
      <c r="L3474" s="55" t="str">
        <f t="shared" si="1362"/>
        <v/>
      </c>
      <c r="M3474" s="315">
        <f t="shared" si="1363"/>
        <v>13.45</v>
      </c>
      <c r="N3474" s="29">
        <f t="shared" si="1364"/>
        <v>13.445599999999999</v>
      </c>
      <c r="O3474" s="31"/>
      <c r="P3474" s="22"/>
      <c r="Q3474" s="38"/>
      <c r="AH3474" s="22" t="s">
        <v>1769</v>
      </c>
      <c r="AK3474" t="str">
        <f t="shared" si="1365"/>
        <v/>
      </c>
      <c r="AL3474" t="str">
        <f t="shared" si="1366"/>
        <v/>
      </c>
      <c r="AM3474" t="str">
        <f t="shared" si="1367"/>
        <v/>
      </c>
      <c r="AN3474" t="str">
        <f t="shared" si="1368"/>
        <v/>
      </c>
      <c r="AO3474" s="203" t="str">
        <f>"BiK27a1"&amp;AN3474&amp;RIGHT("-----",5-LEN(AN3474))&amp;RIGHT($M$3469,2)</f>
        <v>BiK27a1-----14</v>
      </c>
      <c r="AP3474">
        <f t="shared" si="1369"/>
        <v>14</v>
      </c>
      <c r="AQ3474" t="str">
        <f t="shared" si="1370"/>
        <v>0,5-5 MW, Vergärung von Bioabfällen</v>
      </c>
      <c r="AR3474" t="str">
        <f>IF(COUNTA(#REF!)&gt;1,"Fehler ESVK",IF(COUNTA(O3474:Q3474)&gt;1,"Fehler GAB",IF(AP3474&lt;&gt;14,"Fehler Kategorie","")))</f>
        <v/>
      </c>
    </row>
    <row r="3475" spans="1:44" x14ac:dyDescent="0.35">
      <c r="A3475" s="502" t="str">
        <f>"BiK27a1"&amp;AN3475&amp;RIGHT("-----",5-LEN(AN3475))&amp;RIGHT($M$3469,2)</f>
        <v>BiK27a1G1---14</v>
      </c>
      <c r="B3475" s="301" t="s">
        <v>5547</v>
      </c>
      <c r="C3475" s="301" t="s">
        <v>1647</v>
      </c>
      <c r="D3475" s="301" t="str">
        <f t="shared" si="1360"/>
        <v>0,5-5 MW, Vergärung von Bioabfällen, Bonusregel G1</v>
      </c>
      <c r="E3475" s="301"/>
      <c r="F3475" s="377">
        <f t="shared" si="1361"/>
        <v>16.329999999999998</v>
      </c>
      <c r="G3475" s="429">
        <v>16.329999999999998</v>
      </c>
      <c r="H3475" s="303">
        <f t="shared" si="1340"/>
        <v>13.06</v>
      </c>
      <c r="I3475" s="579"/>
      <c r="J3475" s="549" t="s">
        <v>5804</v>
      </c>
      <c r="K3475" s="11"/>
      <c r="L3475" s="55" t="str">
        <f t="shared" si="1362"/>
        <v/>
      </c>
      <c r="M3475" s="315">
        <f t="shared" si="1363"/>
        <v>16.329999999999998</v>
      </c>
      <c r="N3475" s="29">
        <f t="shared" si="1364"/>
        <v>13.445599999999999</v>
      </c>
      <c r="O3475" s="31" t="s">
        <v>1017</v>
      </c>
      <c r="P3475" s="22"/>
      <c r="Q3475" s="38"/>
      <c r="AH3475" s="22" t="s">
        <v>1769</v>
      </c>
      <c r="AK3475" t="str">
        <f t="shared" si="1365"/>
        <v>G1</v>
      </c>
      <c r="AL3475" t="str">
        <f t="shared" si="1366"/>
        <v/>
      </c>
      <c r="AM3475" t="str">
        <f t="shared" si="1367"/>
        <v/>
      </c>
      <c r="AN3475" t="str">
        <f t="shared" si="1368"/>
        <v>G1</v>
      </c>
      <c r="AO3475" s="203" t="str">
        <f>"BiK27a1"&amp;AN3475&amp;RIGHT("-----",5-LEN(AN3475))&amp;RIGHT($M$3469,2)</f>
        <v>BiK27a1G1---14</v>
      </c>
      <c r="AP3475">
        <f t="shared" si="1369"/>
        <v>14</v>
      </c>
      <c r="AQ3475" t="str">
        <f t="shared" si="1370"/>
        <v>0,5-5 MW, Vergärung von Bioabfällen, Bonusregel G1</v>
      </c>
      <c r="AR3475" t="str">
        <f>IF(COUNTA(#REF!)&gt;1,"Fehler ESVK",IF(COUNTA(O3475:Q3475)&gt;1,"Fehler GAB",IF(AP3475&lt;&gt;14,"Fehler Kategorie","")))</f>
        <v/>
      </c>
    </row>
    <row r="3476" spans="1:44" x14ac:dyDescent="0.35">
      <c r="A3476" s="502" t="str">
        <f>"BiK27a1"&amp;AN3476&amp;RIGHT("-----",5-LEN(AN3476))&amp;RIGHT($M$3469,2)</f>
        <v>BiK27a1G2---14</v>
      </c>
      <c r="B3476" s="301" t="s">
        <v>5547</v>
      </c>
      <c r="C3476" s="301" t="s">
        <v>1647</v>
      </c>
      <c r="D3476" s="301" t="str">
        <f t="shared" si="1360"/>
        <v>0,5-5 MW, Vergärung von Bioabfällen, Bonusregel G2</v>
      </c>
      <c r="E3476" s="301"/>
      <c r="F3476" s="377">
        <f t="shared" si="1361"/>
        <v>15.37</v>
      </c>
      <c r="G3476" s="429">
        <v>15.37</v>
      </c>
      <c r="H3476" s="303">
        <f t="shared" si="1340"/>
        <v>12.3</v>
      </c>
      <c r="I3476" s="579"/>
      <c r="J3476" s="549" t="s">
        <v>5804</v>
      </c>
      <c r="K3476" s="11"/>
      <c r="L3476" s="55" t="str">
        <f t="shared" si="1362"/>
        <v/>
      </c>
      <c r="M3476" s="315">
        <f t="shared" si="1363"/>
        <v>15.37</v>
      </c>
      <c r="N3476" s="29">
        <f t="shared" si="1364"/>
        <v>13.445599999999999</v>
      </c>
      <c r="O3476" s="31"/>
      <c r="P3476" s="22" t="s">
        <v>1017</v>
      </c>
      <c r="Q3476" s="38"/>
      <c r="AH3476" s="22" t="s">
        <v>1769</v>
      </c>
      <c r="AK3476" t="str">
        <f t="shared" si="1365"/>
        <v/>
      </c>
      <c r="AL3476" t="str">
        <f t="shared" si="1366"/>
        <v>G2</v>
      </c>
      <c r="AM3476" t="str">
        <f t="shared" si="1367"/>
        <v/>
      </c>
      <c r="AN3476" t="str">
        <f t="shared" si="1368"/>
        <v>G2</v>
      </c>
      <c r="AO3476" s="203" t="str">
        <f>"BiK27a1"&amp;AN3476&amp;RIGHT("-----",5-LEN(AN3476))&amp;RIGHT($M$3469,2)</f>
        <v>BiK27a1G2---14</v>
      </c>
      <c r="AP3476">
        <f t="shared" si="1369"/>
        <v>14</v>
      </c>
      <c r="AQ3476" t="str">
        <f t="shared" si="1370"/>
        <v>0,5-5 MW, Vergärung von Bioabfällen, Bonusregel G2</v>
      </c>
      <c r="AR3476" t="str">
        <f>IF(COUNTA(#REF!)&gt;1,"Fehler ESVK",IF(COUNTA(O3476:Q3476)&gt;1,"Fehler GAB",IF(AP3476&lt;&gt;14,"Fehler Kategorie","")))</f>
        <v/>
      </c>
    </row>
    <row r="3477" spans="1:44" x14ac:dyDescent="0.35">
      <c r="A3477" s="502" t="str">
        <f>"BiK27a1"&amp;AN3477&amp;RIGHT("-----",5-LEN(AN3477))&amp;RIGHT($M$3469,2)</f>
        <v>BiK27a1G3---14</v>
      </c>
      <c r="B3477" s="301" t="s">
        <v>5547</v>
      </c>
      <c r="C3477" s="301" t="s">
        <v>1647</v>
      </c>
      <c r="D3477" s="301" t="str">
        <f t="shared" si="1360"/>
        <v>0,5-5 MW, Vergärung von Bioabfällen, Bonusregel G3</v>
      </c>
      <c r="E3477" s="301"/>
      <c r="F3477" s="377">
        <f t="shared" si="1361"/>
        <v>14.41</v>
      </c>
      <c r="G3477" s="429">
        <v>14.41</v>
      </c>
      <c r="H3477" s="303">
        <f t="shared" si="1340"/>
        <v>11.53</v>
      </c>
      <c r="I3477" s="579"/>
      <c r="J3477" s="549" t="s">
        <v>5804</v>
      </c>
      <c r="K3477" s="11"/>
      <c r="L3477" s="55" t="str">
        <f t="shared" si="1362"/>
        <v/>
      </c>
      <c r="M3477" s="315">
        <f t="shared" si="1363"/>
        <v>14.41</v>
      </c>
      <c r="N3477" s="29">
        <f t="shared" si="1364"/>
        <v>13.445599999999999</v>
      </c>
      <c r="O3477" s="31"/>
      <c r="P3477" s="22"/>
      <c r="Q3477" s="38" t="s">
        <v>1017</v>
      </c>
      <c r="AH3477" s="22" t="s">
        <v>1769</v>
      </c>
      <c r="AK3477" t="str">
        <f t="shared" si="1365"/>
        <v/>
      </c>
      <c r="AL3477" t="str">
        <f t="shared" si="1366"/>
        <v/>
      </c>
      <c r="AM3477" t="str">
        <f t="shared" si="1367"/>
        <v>G3</v>
      </c>
      <c r="AN3477" t="str">
        <f t="shared" si="1368"/>
        <v>G3</v>
      </c>
      <c r="AO3477" s="203" t="str">
        <f>"BiK27a1"&amp;AN3477&amp;RIGHT("-----",5-LEN(AN3477))&amp;RIGHT($M$3469,2)</f>
        <v>BiK27a1G3---14</v>
      </c>
      <c r="AP3477">
        <f t="shared" si="1369"/>
        <v>14</v>
      </c>
      <c r="AQ3477" t="str">
        <f t="shared" si="1370"/>
        <v>0,5-5 MW, Vergärung von Bioabfällen, Bonusregel G3</v>
      </c>
      <c r="AR3477" t="str">
        <f>IF(COUNTA(#REF!)&gt;1,"Fehler ESVK",IF(COUNTA(O3477:Q3477)&gt;1,"Fehler GAB",IF(AP3477&lt;&gt;14,"Fehler Kategorie","")))</f>
        <v/>
      </c>
    </row>
    <row r="3478" spans="1:44" x14ac:dyDescent="0.35">
      <c r="A3478" s="502" t="str">
        <f>"BiK27a2"&amp;AN3478&amp;RIGHT("-----",5-LEN(AN3478))&amp;RIGHT($M$3469,2)</f>
        <v>BiK27a2-----14</v>
      </c>
      <c r="B3478" s="301" t="s">
        <v>5547</v>
      </c>
      <c r="C3478" s="301" t="s">
        <v>1647</v>
      </c>
      <c r="D3478" s="301" t="str">
        <f t="shared" si="1360"/>
        <v>5-20 MW, Vergärung von Bioabfällen</v>
      </c>
      <c r="E3478" s="301"/>
      <c r="F3478" s="377">
        <f t="shared" si="1361"/>
        <v>13.45</v>
      </c>
      <c r="G3478" s="429">
        <v>13.45</v>
      </c>
      <c r="H3478" s="303">
        <f t="shared" si="1340"/>
        <v>10.76</v>
      </c>
      <c r="I3478" s="579"/>
      <c r="J3478" s="549" t="s">
        <v>5804</v>
      </c>
      <c r="K3478" s="11"/>
      <c r="L3478" s="55" t="str">
        <f t="shared" si="1362"/>
        <v/>
      </c>
      <c r="M3478" s="333">
        <f t="shared" si="1363"/>
        <v>13.45</v>
      </c>
      <c r="N3478" s="28">
        <f t="shared" si="1364"/>
        <v>13.445599999999999</v>
      </c>
      <c r="O3478" s="62"/>
      <c r="P3478" s="62"/>
      <c r="Q3478" s="63"/>
      <c r="AH3478" s="22" t="s">
        <v>1775</v>
      </c>
      <c r="AK3478" t="str">
        <f t="shared" si="1365"/>
        <v/>
      </c>
      <c r="AL3478" t="str">
        <f t="shared" si="1366"/>
        <v/>
      </c>
      <c r="AM3478" t="str">
        <f t="shared" si="1367"/>
        <v/>
      </c>
      <c r="AN3478" t="str">
        <f t="shared" si="1368"/>
        <v/>
      </c>
      <c r="AO3478" s="203" t="str">
        <f>"BiK27a2"&amp;AN3478&amp;RIGHT("-----",5-LEN(AN3478))&amp;RIGHT($M$3469,2)</f>
        <v>BiK27a2-----14</v>
      </c>
      <c r="AP3478">
        <f t="shared" si="1369"/>
        <v>14</v>
      </c>
      <c r="AQ3478" t="str">
        <f t="shared" si="1370"/>
        <v>5-20 MW, Vergärung von Bioabfällen</v>
      </c>
      <c r="AR3478" t="str">
        <f>IF(COUNTA(#REF!)&gt;1,"Fehler ESVK",IF(COUNTA(O3478:Q3478)&gt;1,"Fehler GAB",IF(AP3478&lt;&gt;14,"Fehler Kategorie","")))</f>
        <v/>
      </c>
    </row>
    <row r="3479" spans="1:44" x14ac:dyDescent="0.35">
      <c r="A3479" s="2"/>
      <c r="B3479" s="1"/>
      <c r="C3479" s="1"/>
      <c r="D3479" s="1"/>
      <c r="E3479" s="1"/>
      <c r="F3479" s="362"/>
      <c r="G3479" s="10"/>
      <c r="H3479" s="10"/>
      <c r="I3479" s="566"/>
      <c r="J3479" s="549" t="s">
        <v>4179</v>
      </c>
      <c r="K3479" s="9"/>
      <c r="M3479" s="22"/>
      <c r="N3479" s="11"/>
      <c r="O3479" s="11"/>
    </row>
    <row r="3480" spans="1:44" s="207" customFormat="1" ht="20.25" customHeight="1" x14ac:dyDescent="0.35">
      <c r="A3480" s="212" t="s">
        <v>69</v>
      </c>
      <c r="B3480" s="204"/>
      <c r="C3480" s="204"/>
      <c r="D3480" s="204"/>
      <c r="E3480" s="204"/>
      <c r="F3480" s="381"/>
      <c r="G3480" s="205"/>
      <c r="H3480" s="205"/>
      <c r="I3480" s="583"/>
      <c r="J3480" s="549" t="s">
        <v>5804</v>
      </c>
      <c r="K3480" s="206"/>
      <c r="M3480" s="208" t="s">
        <v>73</v>
      </c>
      <c r="N3480" s="209"/>
      <c r="O3480" s="209"/>
    </row>
    <row r="3481" spans="1:44" x14ac:dyDescent="0.35">
      <c r="A3481" s="2"/>
      <c r="B3481" s="1"/>
      <c r="C3481" s="1"/>
      <c r="D3481" s="1"/>
      <c r="E3481" s="1"/>
      <c r="F3481" s="362"/>
      <c r="G3481" s="10"/>
      <c r="H3481" s="10" t="str">
        <f t="shared" ref="H3481:H3496" si="1371">IF(ISNUMBER(G3481),ROUND(0.8*G3481,2),"")</f>
        <v/>
      </c>
      <c r="I3481" s="566"/>
      <c r="J3481" s="549" t="s">
        <v>4179</v>
      </c>
      <c r="N3481" s="29" t="s">
        <v>5489</v>
      </c>
      <c r="P3481" t="s">
        <v>1774</v>
      </c>
      <c r="Q3481" t="s">
        <v>71</v>
      </c>
    </row>
    <row r="3482" spans="1:44" x14ac:dyDescent="0.35">
      <c r="A3482" s="495" t="s">
        <v>70</v>
      </c>
      <c r="B3482" s="356" t="s">
        <v>5547</v>
      </c>
      <c r="C3482" s="356" t="s">
        <v>39</v>
      </c>
      <c r="D3482" s="356" t="s">
        <v>1774</v>
      </c>
      <c r="E3482" s="356"/>
      <c r="F3482" s="369">
        <f>ROUND(HLOOKUP(D3482,P3481:R3483,3,FALSE),2)</f>
        <v>15.06</v>
      </c>
      <c r="G3482" s="357">
        <f>ROUND(HLOOKUP(D3482,P3481:R3483,2,FALSE),2)</f>
        <v>15.26</v>
      </c>
      <c r="H3482" s="357">
        <f t="shared" si="1371"/>
        <v>12.21</v>
      </c>
      <c r="I3482" s="573"/>
      <c r="J3482" s="549" t="s">
        <v>5804</v>
      </c>
      <c r="M3482" s="101">
        <v>2014</v>
      </c>
      <c r="N3482" s="322" t="s">
        <v>92</v>
      </c>
      <c r="O3482" s="322"/>
      <c r="P3482" s="261">
        <v>15.26</v>
      </c>
      <c r="Q3482" s="261">
        <v>13.38</v>
      </c>
      <c r="R3482" s="261"/>
      <c r="S3482" t="s">
        <v>49</v>
      </c>
    </row>
    <row r="3483" spans="1:44" x14ac:dyDescent="0.35">
      <c r="A3483" s="495" t="s">
        <v>72</v>
      </c>
      <c r="B3483" s="356" t="s">
        <v>5547</v>
      </c>
      <c r="C3483" s="356" t="s">
        <v>39</v>
      </c>
      <c r="D3483" s="356" t="s">
        <v>71</v>
      </c>
      <c r="E3483" s="356"/>
      <c r="F3483" s="369">
        <f>ROUND(HLOOKUP(D3483,P3481:T3483,3,FALSE),2)</f>
        <v>13.18</v>
      </c>
      <c r="G3483" s="357">
        <f>ROUND(HLOOKUP(D3483,P3481:R3483,2,FALSE),2)</f>
        <v>13.38</v>
      </c>
      <c r="H3483" s="357">
        <f t="shared" si="1371"/>
        <v>10.7</v>
      </c>
      <c r="I3483" s="573"/>
      <c r="J3483" s="549" t="s">
        <v>5804</v>
      </c>
      <c r="N3483" s="322" t="s">
        <v>85</v>
      </c>
      <c r="O3483" s="322"/>
      <c r="P3483" s="261">
        <f>P3482-0.2</f>
        <v>15.06</v>
      </c>
      <c r="Q3483" s="261">
        <f>Q3482-0.2</f>
        <v>13.180000000000001</v>
      </c>
      <c r="R3483" s="261"/>
      <c r="S3483" t="s">
        <v>50</v>
      </c>
    </row>
    <row r="3484" spans="1:44" x14ac:dyDescent="0.35">
      <c r="A3484" s="496"/>
      <c r="B3484" s="1"/>
      <c r="C3484" s="1"/>
      <c r="D3484" s="1"/>
      <c r="E3484" s="1"/>
      <c r="F3484" s="362"/>
      <c r="G3484" s="10"/>
      <c r="H3484" s="10" t="str">
        <f t="shared" si="1371"/>
        <v/>
      </c>
      <c r="I3484" s="566"/>
      <c r="J3484" s="549" t="s">
        <v>4179</v>
      </c>
      <c r="N3484" s="29" t="s">
        <v>5489</v>
      </c>
      <c r="O3484" s="29"/>
      <c r="P3484" t="s">
        <v>1774</v>
      </c>
      <c r="Q3484" t="s">
        <v>71</v>
      </c>
    </row>
    <row r="3485" spans="1:44" x14ac:dyDescent="0.35">
      <c r="A3485" s="495" t="s">
        <v>396</v>
      </c>
      <c r="B3485" s="356" t="s">
        <v>5547</v>
      </c>
      <c r="C3485" s="356" t="s">
        <v>380</v>
      </c>
      <c r="D3485" s="356" t="s">
        <v>1774</v>
      </c>
      <c r="E3485" s="356"/>
      <c r="F3485" s="369">
        <f>ROUND(HLOOKUP(D3485,P3484:R3486,3,FALSE),2)</f>
        <v>15.06</v>
      </c>
      <c r="G3485" s="357">
        <f>ROUND(HLOOKUP(D3485,P3484:R3486,2,FALSE),2)</f>
        <v>15.26</v>
      </c>
      <c r="H3485" s="357">
        <f t="shared" si="1371"/>
        <v>12.21</v>
      </c>
      <c r="I3485" s="573"/>
      <c r="J3485" s="549" t="s">
        <v>5804</v>
      </c>
      <c r="M3485" s="101">
        <v>2015</v>
      </c>
      <c r="N3485" s="322" t="s">
        <v>92</v>
      </c>
      <c r="O3485" s="322"/>
      <c r="P3485" s="261">
        <v>15.26</v>
      </c>
      <c r="Q3485" s="261">
        <v>13.38</v>
      </c>
      <c r="R3485" s="261"/>
      <c r="S3485" t="s">
        <v>49</v>
      </c>
    </row>
    <row r="3486" spans="1:44" x14ac:dyDescent="0.35">
      <c r="A3486" s="495" t="s">
        <v>397</v>
      </c>
      <c r="B3486" s="356" t="s">
        <v>5547</v>
      </c>
      <c r="C3486" s="356" t="s">
        <v>380</v>
      </c>
      <c r="D3486" s="356" t="s">
        <v>71</v>
      </c>
      <c r="E3486" s="356"/>
      <c r="F3486" s="369">
        <f>ROUND(HLOOKUP(D3486,P3484:R3486,3,FALSE),2)</f>
        <v>13.18</v>
      </c>
      <c r="G3486" s="357">
        <f>ROUND(HLOOKUP(D3486,P3484:R3486,2,FALSE),2)</f>
        <v>13.38</v>
      </c>
      <c r="H3486" s="357">
        <f t="shared" si="1371"/>
        <v>10.7</v>
      </c>
      <c r="I3486" s="573"/>
      <c r="J3486" s="549" t="s">
        <v>5804</v>
      </c>
      <c r="N3486" s="322" t="s">
        <v>85</v>
      </c>
      <c r="O3486" s="322"/>
      <c r="P3486" s="261">
        <f>P3485-0.2</f>
        <v>15.06</v>
      </c>
      <c r="Q3486" s="261">
        <f>Q3485-0.2</f>
        <v>13.180000000000001</v>
      </c>
      <c r="R3486" s="261"/>
      <c r="S3486" t="s">
        <v>50</v>
      </c>
    </row>
    <row r="3487" spans="1:44" x14ac:dyDescent="0.35">
      <c r="A3487" s="2"/>
      <c r="B3487" s="2"/>
      <c r="C3487" s="2"/>
      <c r="D3487" s="2"/>
      <c r="E3487" s="2"/>
      <c r="F3487" s="385"/>
      <c r="G3487" s="2"/>
      <c r="H3487" s="409" t="str">
        <f t="shared" si="1371"/>
        <v/>
      </c>
      <c r="I3487" s="588"/>
      <c r="J3487" s="549" t="s">
        <v>4179</v>
      </c>
      <c r="K3487" s="11"/>
      <c r="L3487" s="55"/>
      <c r="M3487" s="37"/>
      <c r="N3487" s="29"/>
      <c r="P3487" t="s">
        <v>1774</v>
      </c>
      <c r="Q3487" t="s">
        <v>71</v>
      </c>
      <c r="R3487" t="s">
        <v>49</v>
      </c>
      <c r="S3487" s="101" t="s">
        <v>2883</v>
      </c>
      <c r="T3487" t="s">
        <v>1774</v>
      </c>
      <c r="U3487" t="s">
        <v>71</v>
      </c>
      <c r="V3487" t="s">
        <v>50</v>
      </c>
      <c r="AI3487" s="202"/>
      <c r="AP3487" s="203"/>
    </row>
    <row r="3488" spans="1:44" x14ac:dyDescent="0.35">
      <c r="A3488" s="495" t="s">
        <v>5697</v>
      </c>
      <c r="B3488" s="356" t="s">
        <v>5547</v>
      </c>
      <c r="C3488" s="356" t="s">
        <v>5676</v>
      </c>
      <c r="D3488" s="356" t="s">
        <v>1774</v>
      </c>
      <c r="E3488" s="356"/>
      <c r="F3488" s="369">
        <f t="shared" ref="F3488:F3495" si="1372">IF(HLOOKUP($D3488,$T$3487:$U$3491,MATCH(MID($A3488,11,2),$N$3487:$N$3491,0),FALSE)&lt;&gt;"",ROUND(HLOOKUP($D3488,$T$3487:$U$3491,MATCH(MID($A3488,11,2),$N$3487:$N$3491,0),FALSE),2),"")</f>
        <v>14.98</v>
      </c>
      <c r="G3488" s="357">
        <f t="shared" ref="G3488:G3495" si="1373">IF(HLOOKUP($D3488,$P$3487:$Q$3491,MATCH(MID($A3488,11,2),$N$3487:$N$3491,0),FALSE)&lt;&gt;"",ROUND(HLOOKUP($D3488,$P$3487:$Q$3491,MATCH(MID($A3488,11,2),$N$3487:$N$3491,0),FALSE),2),"")</f>
        <v>15.18</v>
      </c>
      <c r="H3488" s="357">
        <f t="shared" si="1371"/>
        <v>12.14</v>
      </c>
      <c r="I3488" s="573"/>
      <c r="J3488" s="549" t="s">
        <v>5804</v>
      </c>
      <c r="K3488" s="11"/>
      <c r="L3488" s="55"/>
      <c r="M3488" s="101">
        <v>2016</v>
      </c>
      <c r="N3488" s="519" t="s">
        <v>5758</v>
      </c>
      <c r="O3488" s="461">
        <v>5.0000000000000001E-3</v>
      </c>
      <c r="P3488" s="261">
        <f>IF($O3488&lt;&gt;"",(1-$O3488)*P3485,"")</f>
        <v>15.1837</v>
      </c>
      <c r="Q3488" s="261">
        <f>IF($O3488&lt;&gt;"",(1-$O3488)*Q3485,"")</f>
        <v>13.3131</v>
      </c>
      <c r="R3488" s="261"/>
      <c r="T3488" s="261">
        <f>IF($O3488&lt;&gt;"",(1-$O3488)*P3486,"")</f>
        <v>14.9847</v>
      </c>
      <c r="U3488" s="261">
        <f>IF($O3488&lt;&gt;"",(1-$O3488)*Q3486,"")</f>
        <v>13.114100000000002</v>
      </c>
      <c r="AI3488" s="202"/>
      <c r="AP3488" s="203"/>
    </row>
    <row r="3489" spans="1:42" x14ac:dyDescent="0.35">
      <c r="A3489" s="495" t="s">
        <v>5698</v>
      </c>
      <c r="B3489" s="356" t="s">
        <v>5547</v>
      </c>
      <c r="C3489" s="356" t="s">
        <v>5676</v>
      </c>
      <c r="D3489" s="356" t="s">
        <v>71</v>
      </c>
      <c r="E3489" s="356"/>
      <c r="F3489" s="369">
        <f t="shared" si="1372"/>
        <v>13.11</v>
      </c>
      <c r="G3489" s="357">
        <f t="shared" si="1373"/>
        <v>13.31</v>
      </c>
      <c r="H3489" s="357">
        <f t="shared" si="1371"/>
        <v>10.65</v>
      </c>
      <c r="I3489" s="573"/>
      <c r="J3489" s="549" t="s">
        <v>5804</v>
      </c>
      <c r="K3489" s="11"/>
      <c r="L3489" s="55"/>
      <c r="M3489" s="37"/>
      <c r="N3489" s="519" t="s">
        <v>5759</v>
      </c>
      <c r="O3489" s="461">
        <v>5.0000000000000001E-3</v>
      </c>
      <c r="P3489" s="261">
        <f t="shared" ref="P3489:Q3491" si="1374">IF($O3489&lt;&gt;"",(1-$O3489)*P3488,"")</f>
        <v>15.1077815</v>
      </c>
      <c r="Q3489" s="261">
        <f t="shared" si="1374"/>
        <v>13.246534500000001</v>
      </c>
      <c r="R3489" s="261"/>
      <c r="T3489" s="261">
        <f t="shared" ref="T3489:U3491" si="1375">IF($O3489&lt;&gt;"",(1-$O3489)*T3488,"")</f>
        <v>14.9097765</v>
      </c>
      <c r="U3489" s="261">
        <f t="shared" si="1375"/>
        <v>13.048529500000003</v>
      </c>
      <c r="AI3489" s="202"/>
      <c r="AP3489" s="203"/>
    </row>
    <row r="3490" spans="1:42" x14ac:dyDescent="0.35">
      <c r="A3490" s="495" t="s">
        <v>5699</v>
      </c>
      <c r="B3490" s="356" t="s">
        <v>5547</v>
      </c>
      <c r="C3490" s="356" t="s">
        <v>5694</v>
      </c>
      <c r="D3490" s="356" t="s">
        <v>1774</v>
      </c>
      <c r="E3490" s="356"/>
      <c r="F3490" s="369">
        <f t="shared" si="1372"/>
        <v>14.91</v>
      </c>
      <c r="G3490" s="357">
        <f t="shared" si="1373"/>
        <v>15.11</v>
      </c>
      <c r="H3490" s="357">
        <f t="shared" si="1371"/>
        <v>12.09</v>
      </c>
      <c r="I3490" s="573"/>
      <c r="J3490" s="549" t="s">
        <v>5804</v>
      </c>
      <c r="K3490" s="11"/>
      <c r="L3490" s="55"/>
      <c r="M3490" s="37"/>
      <c r="N3490" s="519" t="s">
        <v>5760</v>
      </c>
      <c r="O3490" s="461">
        <v>5.0000000000000001E-3</v>
      </c>
      <c r="P3490" s="261">
        <f t="shared" si="1374"/>
        <v>15.032242592499999</v>
      </c>
      <c r="Q3490" s="261">
        <f t="shared" si="1374"/>
        <v>13.180301827500001</v>
      </c>
      <c r="R3490" s="261"/>
      <c r="T3490" s="261">
        <f t="shared" si="1375"/>
        <v>14.835227617499999</v>
      </c>
      <c r="U3490" s="261">
        <f t="shared" si="1375"/>
        <v>12.983286852500003</v>
      </c>
      <c r="AI3490" s="202"/>
      <c r="AP3490" s="203"/>
    </row>
    <row r="3491" spans="1:42" x14ac:dyDescent="0.35">
      <c r="A3491" s="495" t="s">
        <v>5700</v>
      </c>
      <c r="B3491" s="356" t="s">
        <v>5547</v>
      </c>
      <c r="C3491" s="356" t="s">
        <v>5694</v>
      </c>
      <c r="D3491" s="356" t="s">
        <v>71</v>
      </c>
      <c r="E3491" s="356"/>
      <c r="F3491" s="369">
        <f t="shared" si="1372"/>
        <v>13.05</v>
      </c>
      <c r="G3491" s="357">
        <f t="shared" si="1373"/>
        <v>13.25</v>
      </c>
      <c r="H3491" s="357">
        <f t="shared" si="1371"/>
        <v>10.6</v>
      </c>
      <c r="I3491" s="573"/>
      <c r="J3491" s="549" t="s">
        <v>5804</v>
      </c>
      <c r="K3491" s="11"/>
      <c r="L3491" s="55"/>
      <c r="M3491" s="37"/>
      <c r="N3491" s="519" t="s">
        <v>5761</v>
      </c>
      <c r="O3491" s="461">
        <v>5.0000000000000001E-3</v>
      </c>
      <c r="P3491" s="261">
        <f t="shared" si="1374"/>
        <v>14.957081379537499</v>
      </c>
      <c r="Q3491" s="261">
        <f t="shared" si="1374"/>
        <v>13.114400318362501</v>
      </c>
      <c r="R3491" s="261"/>
      <c r="T3491" s="261">
        <f t="shared" si="1375"/>
        <v>14.761051479412499</v>
      </c>
      <c r="U3491" s="261">
        <f t="shared" si="1375"/>
        <v>12.918370418237503</v>
      </c>
      <c r="AI3491" s="202"/>
      <c r="AP3491" s="203"/>
    </row>
    <row r="3492" spans="1:42" x14ac:dyDescent="0.35">
      <c r="A3492" s="495" t="s">
        <v>5701</v>
      </c>
      <c r="B3492" s="356" t="s">
        <v>5547</v>
      </c>
      <c r="C3492" s="356" t="s">
        <v>5695</v>
      </c>
      <c r="D3492" s="356" t="s">
        <v>1774</v>
      </c>
      <c r="E3492" s="356"/>
      <c r="F3492" s="369">
        <f t="shared" si="1372"/>
        <v>14.84</v>
      </c>
      <c r="G3492" s="357">
        <f t="shared" si="1373"/>
        <v>15.03</v>
      </c>
      <c r="H3492" s="357">
        <f t="shared" si="1371"/>
        <v>12.02</v>
      </c>
      <c r="I3492" s="573"/>
      <c r="J3492" s="549" t="s">
        <v>5804</v>
      </c>
      <c r="K3492" s="11"/>
      <c r="L3492" s="55"/>
      <c r="M3492" s="37"/>
      <c r="N3492" s="29"/>
      <c r="O3492" s="461"/>
      <c r="P3492" s="261"/>
      <c r="Q3492" s="261"/>
      <c r="S3492" s="261"/>
      <c r="T3492" s="261"/>
      <c r="AH3492" s="202"/>
      <c r="AO3492" s="203"/>
    </row>
    <row r="3493" spans="1:42" x14ac:dyDescent="0.35">
      <c r="A3493" s="495" t="s">
        <v>5702</v>
      </c>
      <c r="B3493" s="356" t="s">
        <v>5547</v>
      </c>
      <c r="C3493" s="356" t="s">
        <v>5695</v>
      </c>
      <c r="D3493" s="356" t="s">
        <v>71</v>
      </c>
      <c r="E3493" s="356"/>
      <c r="F3493" s="369">
        <f t="shared" si="1372"/>
        <v>12.98</v>
      </c>
      <c r="G3493" s="357">
        <f t="shared" si="1373"/>
        <v>13.18</v>
      </c>
      <c r="H3493" s="357">
        <f t="shared" si="1371"/>
        <v>10.54</v>
      </c>
      <c r="I3493" s="573"/>
      <c r="J3493" s="549" t="s">
        <v>5804</v>
      </c>
      <c r="K3493" s="11"/>
      <c r="L3493" s="55"/>
      <c r="M3493" s="37"/>
      <c r="N3493" s="29"/>
      <c r="O3493" s="461"/>
      <c r="P3493" s="261"/>
      <c r="Q3493" s="261"/>
      <c r="S3493" s="261"/>
      <c r="T3493" s="261"/>
      <c r="AH3493" s="202"/>
      <c r="AO3493" s="203"/>
    </row>
    <row r="3494" spans="1:42" x14ac:dyDescent="0.35">
      <c r="A3494" s="495" t="s">
        <v>5703</v>
      </c>
      <c r="B3494" s="356" t="s">
        <v>5547</v>
      </c>
      <c r="C3494" s="356" t="s">
        <v>5696</v>
      </c>
      <c r="D3494" s="356" t="s">
        <v>1774</v>
      </c>
      <c r="E3494" s="356"/>
      <c r="F3494" s="369">
        <f t="shared" si="1372"/>
        <v>14.76</v>
      </c>
      <c r="G3494" s="357">
        <f t="shared" si="1373"/>
        <v>14.96</v>
      </c>
      <c r="H3494" s="357">
        <f t="shared" si="1371"/>
        <v>11.97</v>
      </c>
      <c r="I3494" s="573"/>
      <c r="J3494" s="549" t="s">
        <v>5804</v>
      </c>
      <c r="K3494" s="11"/>
      <c r="L3494" s="55"/>
      <c r="M3494" s="37"/>
      <c r="N3494" s="29"/>
      <c r="O3494" s="461"/>
      <c r="P3494" s="261"/>
      <c r="Q3494" s="261"/>
      <c r="S3494" s="261"/>
      <c r="T3494" s="261"/>
      <c r="AH3494" s="202"/>
      <c r="AO3494" s="203"/>
    </row>
    <row r="3495" spans="1:42" x14ac:dyDescent="0.35">
      <c r="A3495" s="495" t="s">
        <v>5704</v>
      </c>
      <c r="B3495" s="356" t="s">
        <v>5547</v>
      </c>
      <c r="C3495" s="356" t="s">
        <v>5696</v>
      </c>
      <c r="D3495" s="356" t="s">
        <v>71</v>
      </c>
      <c r="E3495" s="356"/>
      <c r="F3495" s="369">
        <f t="shared" si="1372"/>
        <v>12.92</v>
      </c>
      <c r="G3495" s="357">
        <f t="shared" si="1373"/>
        <v>13.11</v>
      </c>
      <c r="H3495" s="357">
        <f t="shared" si="1371"/>
        <v>10.49</v>
      </c>
      <c r="I3495" s="573"/>
      <c r="J3495" s="549" t="s">
        <v>5804</v>
      </c>
      <c r="K3495" s="11"/>
      <c r="L3495" s="55"/>
      <c r="M3495" s="37"/>
      <c r="N3495" s="29"/>
      <c r="O3495" s="461"/>
      <c r="P3495" s="261"/>
      <c r="Q3495" s="261"/>
      <c r="S3495" s="261"/>
      <c r="T3495" s="261"/>
      <c r="AH3495" s="202"/>
      <c r="AO3495" s="203"/>
    </row>
    <row r="3496" spans="1:42" x14ac:dyDescent="0.35">
      <c r="A3496" s="2"/>
      <c r="B3496" s="2"/>
      <c r="C3496" s="2"/>
      <c r="D3496" s="2"/>
      <c r="E3496" s="2"/>
      <c r="F3496" s="385"/>
      <c r="G3496" s="2"/>
      <c r="H3496" s="409" t="str">
        <f t="shared" si="1371"/>
        <v/>
      </c>
      <c r="I3496" s="588"/>
      <c r="J3496" s="549"/>
      <c r="K3496" s="11"/>
      <c r="L3496" s="55"/>
      <c r="M3496" s="37"/>
      <c r="N3496" s="29"/>
      <c r="O3496" s="461"/>
      <c r="P3496" s="261"/>
      <c r="Q3496" s="261"/>
      <c r="S3496" s="261"/>
      <c r="T3496" s="261"/>
      <c r="AH3496" s="202"/>
      <c r="AO3496" s="203"/>
    </row>
    <row r="3497" spans="1:42" ht="15.5" x14ac:dyDescent="0.35">
      <c r="A3497" s="212" t="s">
        <v>7926</v>
      </c>
      <c r="B3497" s="204"/>
      <c r="C3497" s="204"/>
      <c r="D3497" s="204"/>
      <c r="E3497" s="204"/>
      <c r="F3497" s="381"/>
      <c r="G3497" s="205"/>
      <c r="H3497" s="205"/>
      <c r="I3497" s="583"/>
      <c r="J3497" s="549">
        <v>42705</v>
      </c>
      <c r="K3497" s="206"/>
      <c r="L3497" s="207"/>
      <c r="M3497" s="208" t="s">
        <v>5914</v>
      </c>
      <c r="N3497" s="209"/>
      <c r="O3497" s="209"/>
      <c r="P3497" s="207"/>
      <c r="Q3497" s="261"/>
      <c r="S3497" s="261"/>
      <c r="T3497" s="261"/>
      <c r="AH3497" s="202"/>
      <c r="AO3497" s="203"/>
    </row>
    <row r="3498" spans="1:42" x14ac:dyDescent="0.35">
      <c r="A3498" s="2"/>
      <c r="B3498" s="2"/>
      <c r="C3498" s="2"/>
      <c r="D3498" s="2"/>
      <c r="E3498" s="2"/>
      <c r="F3498" s="385"/>
      <c r="G3498" s="2"/>
      <c r="H3498" s="409" t="str">
        <f t="shared" ref="H3498:H3529" si="1376">IF(ISNUMBER(G3498),ROUND(0.8*G3498,2),"")</f>
        <v/>
      </c>
      <c r="I3498" s="588"/>
      <c r="J3498" s="549" t="s">
        <v>4179</v>
      </c>
      <c r="K3498" s="11"/>
      <c r="L3498" s="55"/>
      <c r="M3498" s="37"/>
      <c r="N3498" s="29"/>
      <c r="P3498" t="s">
        <v>1774</v>
      </c>
      <c r="Q3498" t="s">
        <v>71</v>
      </c>
      <c r="R3498" t="s">
        <v>49</v>
      </c>
      <c r="S3498" s="101" t="s">
        <v>2883</v>
      </c>
      <c r="T3498" t="s">
        <v>1774</v>
      </c>
      <c r="U3498" t="s">
        <v>71</v>
      </c>
      <c r="AH3498" s="202"/>
      <c r="AO3498" s="203"/>
    </row>
    <row r="3499" spans="1:42" x14ac:dyDescent="0.35">
      <c r="A3499" s="527" t="s">
        <v>5915</v>
      </c>
      <c r="B3499" s="526" t="s">
        <v>5547</v>
      </c>
      <c r="C3499" s="526" t="s">
        <v>5892</v>
      </c>
      <c r="D3499" s="526" t="s">
        <v>1774</v>
      </c>
      <c r="E3499" s="526"/>
      <c r="F3499" s="538">
        <f t="shared" ref="F3499:F3506" si="1377">IF(HLOOKUP($D3499,$T$3498:$U$3502,MATCH(MID($A3499,11,2),$N$3498:$N$3502,0),FALSE)&lt;&gt;"",ROUND(HLOOKUP($D3499,$T$3498:$U$3502,MATCH(MID($A3499,11,2),$N$3498:$N$3502,0),FALSE),2),"")</f>
        <v>14.68</v>
      </c>
      <c r="G3499" s="537">
        <f t="shared" ref="G3499:G3506" si="1378">IF(HLOOKUP($D3499,$P$3498:$Q$3502,MATCH(MID($A3499,11,2),$N$3498:$N$3502,0),FALSE)&lt;&gt;"",ROUND(HLOOKUP($D3499,$P$3498:$Q$3502,MATCH(MID($A3499,11,2),$N$3498:$N$3502,0),FALSE),2),"")</f>
        <v>14.88</v>
      </c>
      <c r="H3499" s="537">
        <f t="shared" si="1376"/>
        <v>11.9</v>
      </c>
      <c r="I3499" s="574"/>
      <c r="J3499" s="549">
        <v>42705</v>
      </c>
      <c r="K3499" s="11"/>
      <c r="L3499" s="55"/>
      <c r="M3499" s="101">
        <v>2017</v>
      </c>
      <c r="N3499" s="519" t="s">
        <v>5758</v>
      </c>
      <c r="O3499" s="461"/>
      <c r="P3499" s="261">
        <v>14.88</v>
      </c>
      <c r="Q3499" s="261">
        <v>13.05</v>
      </c>
      <c r="R3499" s="261"/>
      <c r="T3499" s="261">
        <f t="shared" ref="T3499:U3502" si="1379">P3499-0.2</f>
        <v>14.680000000000001</v>
      </c>
      <c r="U3499" s="261">
        <f t="shared" si="1379"/>
        <v>12.850000000000001</v>
      </c>
      <c r="AH3499" s="202"/>
      <c r="AO3499" s="203"/>
    </row>
    <row r="3500" spans="1:42" x14ac:dyDescent="0.35">
      <c r="A3500" s="527" t="s">
        <v>5916</v>
      </c>
      <c r="B3500" s="526" t="s">
        <v>5547</v>
      </c>
      <c r="C3500" s="526" t="s">
        <v>5892</v>
      </c>
      <c r="D3500" s="526" t="s">
        <v>71</v>
      </c>
      <c r="E3500" s="526"/>
      <c r="F3500" s="538">
        <f t="shared" si="1377"/>
        <v>12.85</v>
      </c>
      <c r="G3500" s="537">
        <f t="shared" si="1378"/>
        <v>13.05</v>
      </c>
      <c r="H3500" s="537">
        <f t="shared" si="1376"/>
        <v>10.44</v>
      </c>
      <c r="I3500" s="574"/>
      <c r="J3500" s="549">
        <v>42705</v>
      </c>
      <c r="K3500" s="11"/>
      <c r="L3500" s="55"/>
      <c r="M3500" s="37"/>
      <c r="N3500" s="519" t="s">
        <v>5759</v>
      </c>
      <c r="O3500" s="461">
        <v>5.0000000000000001E-3</v>
      </c>
      <c r="P3500" s="261">
        <f t="shared" ref="P3500:Q3502" si="1380">IF($O3500&lt;&gt;"",(1-$O3500)*P3499,"")</f>
        <v>14.8056</v>
      </c>
      <c r="Q3500" s="261">
        <f t="shared" si="1380"/>
        <v>12.98475</v>
      </c>
      <c r="R3500" s="261"/>
      <c r="T3500" s="261">
        <f t="shared" si="1379"/>
        <v>14.605600000000001</v>
      </c>
      <c r="U3500" s="261">
        <f t="shared" si="1379"/>
        <v>12.784750000000001</v>
      </c>
      <c r="AH3500" s="202"/>
      <c r="AO3500" s="203"/>
    </row>
    <row r="3501" spans="1:42" x14ac:dyDescent="0.35">
      <c r="A3501" s="527" t="s">
        <v>5917</v>
      </c>
      <c r="B3501" s="526" t="s">
        <v>5547</v>
      </c>
      <c r="C3501" s="526" t="s">
        <v>5893</v>
      </c>
      <c r="D3501" s="526" t="s">
        <v>1774</v>
      </c>
      <c r="E3501" s="526"/>
      <c r="F3501" s="538">
        <f t="shared" si="1377"/>
        <v>14.61</v>
      </c>
      <c r="G3501" s="537">
        <f t="shared" si="1378"/>
        <v>14.81</v>
      </c>
      <c r="H3501" s="537">
        <f t="shared" si="1376"/>
        <v>11.85</v>
      </c>
      <c r="I3501" s="574"/>
      <c r="J3501" s="549">
        <v>42705</v>
      </c>
      <c r="K3501" s="11"/>
      <c r="L3501" s="55"/>
      <c r="M3501" s="37"/>
      <c r="N3501" s="519" t="s">
        <v>5760</v>
      </c>
      <c r="O3501" s="562">
        <v>0</v>
      </c>
      <c r="P3501" s="261">
        <f t="shared" si="1380"/>
        <v>14.8056</v>
      </c>
      <c r="Q3501" s="261">
        <f t="shared" si="1380"/>
        <v>12.98475</v>
      </c>
      <c r="R3501" s="261"/>
      <c r="T3501" s="261">
        <f t="shared" si="1379"/>
        <v>14.605600000000001</v>
      </c>
      <c r="U3501" s="261">
        <f t="shared" si="1379"/>
        <v>12.784750000000001</v>
      </c>
      <c r="AH3501" s="202"/>
      <c r="AO3501" s="203"/>
    </row>
    <row r="3502" spans="1:42" x14ac:dyDescent="0.35">
      <c r="A3502" s="527" t="s">
        <v>5918</v>
      </c>
      <c r="B3502" s="526" t="s">
        <v>5547</v>
      </c>
      <c r="C3502" s="526" t="s">
        <v>5893</v>
      </c>
      <c r="D3502" s="526" t="s">
        <v>71</v>
      </c>
      <c r="E3502" s="526"/>
      <c r="F3502" s="538">
        <f t="shared" si="1377"/>
        <v>12.78</v>
      </c>
      <c r="G3502" s="537">
        <f t="shared" si="1378"/>
        <v>12.98</v>
      </c>
      <c r="H3502" s="537">
        <f t="shared" si="1376"/>
        <v>10.38</v>
      </c>
      <c r="I3502" s="574"/>
      <c r="J3502" s="549">
        <v>42705</v>
      </c>
      <c r="K3502" s="11"/>
      <c r="L3502" s="55"/>
      <c r="M3502" s="37"/>
      <c r="N3502" s="519" t="s">
        <v>5761</v>
      </c>
      <c r="O3502" s="461">
        <v>5.0000000000000001E-3</v>
      </c>
      <c r="P3502" s="261">
        <f t="shared" si="1380"/>
        <v>14.731572</v>
      </c>
      <c r="Q3502" s="261">
        <f t="shared" si="1380"/>
        <v>12.91982625</v>
      </c>
      <c r="R3502" s="261"/>
      <c r="T3502" s="261">
        <f t="shared" si="1379"/>
        <v>14.531572000000001</v>
      </c>
      <c r="U3502" s="261">
        <f t="shared" si="1379"/>
        <v>12.719826250000001</v>
      </c>
      <c r="AH3502" s="202"/>
      <c r="AO3502" s="203"/>
    </row>
    <row r="3503" spans="1:42" x14ac:dyDescent="0.35">
      <c r="A3503" s="527" t="s">
        <v>5919</v>
      </c>
      <c r="B3503" s="526" t="s">
        <v>5547</v>
      </c>
      <c r="C3503" s="526" t="s">
        <v>5894</v>
      </c>
      <c r="D3503" s="526" t="s">
        <v>1774</v>
      </c>
      <c r="E3503" s="526"/>
      <c r="F3503" s="538">
        <f t="shared" si="1377"/>
        <v>14.61</v>
      </c>
      <c r="G3503" s="537">
        <f t="shared" si="1378"/>
        <v>14.81</v>
      </c>
      <c r="H3503" s="537">
        <f t="shared" si="1376"/>
        <v>11.85</v>
      </c>
      <c r="I3503" s="574"/>
      <c r="J3503" s="549">
        <v>42705</v>
      </c>
      <c r="K3503" s="11"/>
      <c r="L3503" s="55"/>
      <c r="M3503" s="37"/>
      <c r="N3503" s="29"/>
      <c r="O3503" s="461"/>
      <c r="P3503" s="261"/>
      <c r="Q3503" s="261"/>
      <c r="S3503" s="261"/>
      <c r="T3503" s="261"/>
      <c r="AH3503" s="202"/>
      <c r="AO3503" s="203"/>
    </row>
    <row r="3504" spans="1:42" x14ac:dyDescent="0.35">
      <c r="A3504" s="527" t="s">
        <v>5920</v>
      </c>
      <c r="B3504" s="526" t="s">
        <v>5547</v>
      </c>
      <c r="C3504" s="526" t="s">
        <v>5894</v>
      </c>
      <c r="D3504" s="526" t="s">
        <v>71</v>
      </c>
      <c r="E3504" s="526"/>
      <c r="F3504" s="538">
        <f t="shared" si="1377"/>
        <v>12.78</v>
      </c>
      <c r="G3504" s="537">
        <f t="shared" si="1378"/>
        <v>12.98</v>
      </c>
      <c r="H3504" s="537">
        <f t="shared" si="1376"/>
        <v>10.38</v>
      </c>
      <c r="I3504" s="574"/>
      <c r="J3504" s="549">
        <v>42705</v>
      </c>
      <c r="K3504" s="11"/>
      <c r="L3504" s="55"/>
      <c r="M3504" s="37"/>
      <c r="N3504" s="29"/>
      <c r="O3504" s="461"/>
      <c r="P3504" s="261"/>
      <c r="Q3504" s="261"/>
      <c r="S3504" s="261"/>
      <c r="T3504" s="261"/>
      <c r="AH3504" s="202"/>
      <c r="AO3504" s="203"/>
    </row>
    <row r="3505" spans="1:41" x14ac:dyDescent="0.35">
      <c r="A3505" s="527" t="s">
        <v>5921</v>
      </c>
      <c r="B3505" s="526" t="s">
        <v>5547</v>
      </c>
      <c r="C3505" s="526" t="s">
        <v>5895</v>
      </c>
      <c r="D3505" s="526" t="s">
        <v>1774</v>
      </c>
      <c r="E3505" s="526"/>
      <c r="F3505" s="538">
        <f t="shared" si="1377"/>
        <v>14.53</v>
      </c>
      <c r="G3505" s="537">
        <f t="shared" si="1378"/>
        <v>14.73</v>
      </c>
      <c r="H3505" s="537">
        <f t="shared" si="1376"/>
        <v>11.78</v>
      </c>
      <c r="I3505" s="574"/>
      <c r="J3505" s="549">
        <v>42705</v>
      </c>
      <c r="K3505" s="11"/>
      <c r="L3505" s="55"/>
      <c r="M3505" s="37"/>
      <c r="N3505" s="29"/>
      <c r="O3505" s="461"/>
      <c r="P3505" s="261"/>
      <c r="Q3505" s="261"/>
      <c r="S3505" s="261"/>
      <c r="T3505" s="261"/>
      <c r="AH3505" s="202"/>
      <c r="AO3505" s="203"/>
    </row>
    <row r="3506" spans="1:41" x14ac:dyDescent="0.35">
      <c r="A3506" s="527" t="s">
        <v>5922</v>
      </c>
      <c r="B3506" s="526" t="s">
        <v>5547</v>
      </c>
      <c r="C3506" s="526" t="s">
        <v>5895</v>
      </c>
      <c r="D3506" s="526" t="s">
        <v>71</v>
      </c>
      <c r="E3506" s="526"/>
      <c r="F3506" s="538">
        <f t="shared" si="1377"/>
        <v>12.72</v>
      </c>
      <c r="G3506" s="537">
        <f t="shared" si="1378"/>
        <v>12.92</v>
      </c>
      <c r="H3506" s="537">
        <f t="shared" si="1376"/>
        <v>10.34</v>
      </c>
      <c r="I3506" s="574"/>
      <c r="J3506" s="549">
        <v>42705</v>
      </c>
      <c r="K3506" s="11"/>
      <c r="L3506" s="55"/>
      <c r="M3506" s="37"/>
      <c r="N3506" s="29"/>
      <c r="O3506" s="461"/>
      <c r="P3506" s="261"/>
      <c r="Q3506" s="261"/>
      <c r="S3506" s="261"/>
      <c r="T3506" s="261"/>
      <c r="AH3506" s="202"/>
      <c r="AO3506" s="203"/>
    </row>
    <row r="3507" spans="1:41" x14ac:dyDescent="0.35">
      <c r="A3507" s="2"/>
      <c r="B3507" s="2"/>
      <c r="C3507" s="2"/>
      <c r="D3507" s="2"/>
      <c r="E3507" s="2"/>
      <c r="F3507" s="385"/>
      <c r="G3507" s="2"/>
      <c r="H3507" s="409" t="str">
        <f t="shared" si="1376"/>
        <v/>
      </c>
      <c r="I3507" s="588"/>
      <c r="J3507" s="549" t="s">
        <v>4179</v>
      </c>
      <c r="K3507" s="11"/>
      <c r="L3507" s="55"/>
      <c r="M3507" s="37"/>
      <c r="N3507" s="29"/>
      <c r="P3507" t="s">
        <v>1774</v>
      </c>
      <c r="Q3507" t="s">
        <v>71</v>
      </c>
      <c r="R3507" t="s">
        <v>49</v>
      </c>
      <c r="S3507" s="101" t="s">
        <v>2883</v>
      </c>
      <c r="T3507" t="s">
        <v>1774</v>
      </c>
      <c r="U3507" t="s">
        <v>71</v>
      </c>
      <c r="AH3507" s="202"/>
      <c r="AO3507" s="203"/>
    </row>
    <row r="3508" spans="1:41" x14ac:dyDescent="0.35">
      <c r="A3508" s="527" t="s">
        <v>6306</v>
      </c>
      <c r="B3508" s="526" t="s">
        <v>5547</v>
      </c>
      <c r="C3508" s="526" t="s">
        <v>6195</v>
      </c>
      <c r="D3508" s="526" t="s">
        <v>1774</v>
      </c>
      <c r="E3508" s="526"/>
      <c r="F3508" s="538">
        <f t="shared" ref="F3508:F3515" si="1381">IF(HLOOKUP($D3508,$T$3507:$U$3511,MATCH(MID($A3508,11,2),$N$3507:$N$3511,0),FALSE)&lt;&gt;"",ROUND(HLOOKUP($D3508,$T$3507:$U$3511,MATCH(MID($A3508,11,2),$N$3507:$N$3511,0),FALSE),2),"")</f>
        <v>14.53</v>
      </c>
      <c r="G3508" s="537">
        <f t="shared" ref="G3508:G3515" si="1382">IF(HLOOKUP($D3508,$P$3507:$Q$3511,MATCH(MID($A3508,11,2),$N$3507:$N$3511,0),FALSE)&lt;&gt;"",ROUND(HLOOKUP($D3508,$P$3507:$Q$3511,MATCH(MID($A3508,11,2),$N$3507:$N$3511,0),FALSE),2),"")</f>
        <v>14.73</v>
      </c>
      <c r="H3508" s="537">
        <f t="shared" si="1376"/>
        <v>11.78</v>
      </c>
      <c r="I3508" s="574"/>
      <c r="J3508" s="549">
        <v>43077</v>
      </c>
      <c r="K3508" s="11"/>
      <c r="L3508" s="55"/>
      <c r="M3508" s="101">
        <v>2018</v>
      </c>
      <c r="N3508" s="519" t="s">
        <v>5758</v>
      </c>
      <c r="O3508" s="461">
        <v>0</v>
      </c>
      <c r="P3508" s="261">
        <f>IF($O3508&lt;&gt;"",(1-$O3508)*P3502,"")</f>
        <v>14.731572</v>
      </c>
      <c r="Q3508" s="261">
        <f>IF($O3508&lt;&gt;"",(1-$O3508)*Q3502,"")</f>
        <v>12.91982625</v>
      </c>
      <c r="R3508" s="261"/>
      <c r="T3508" s="261">
        <f t="shared" ref="T3508:U3511" si="1383">P3508-0.2</f>
        <v>14.531572000000001</v>
      </c>
      <c r="U3508" s="261">
        <f t="shared" si="1383"/>
        <v>12.719826250000001</v>
      </c>
      <c r="AH3508" s="202"/>
      <c r="AO3508" s="203"/>
    </row>
    <row r="3509" spans="1:41" x14ac:dyDescent="0.35">
      <c r="A3509" s="527" t="s">
        <v>6307</v>
      </c>
      <c r="B3509" s="526" t="s">
        <v>5547</v>
      </c>
      <c r="C3509" s="526" t="s">
        <v>6195</v>
      </c>
      <c r="D3509" s="526" t="s">
        <v>71</v>
      </c>
      <c r="E3509" s="526"/>
      <c r="F3509" s="538">
        <f t="shared" si="1381"/>
        <v>12.72</v>
      </c>
      <c r="G3509" s="537">
        <f t="shared" si="1382"/>
        <v>12.92</v>
      </c>
      <c r="H3509" s="537">
        <f t="shared" si="1376"/>
        <v>10.34</v>
      </c>
      <c r="I3509" s="574"/>
      <c r="J3509" s="549">
        <v>43077</v>
      </c>
      <c r="K3509" s="11"/>
      <c r="L3509" s="55"/>
      <c r="M3509" s="37"/>
      <c r="N3509" s="519" t="s">
        <v>5759</v>
      </c>
      <c r="O3509" s="461">
        <v>5.0000000000000001E-3</v>
      </c>
      <c r="P3509" s="261">
        <f t="shared" ref="P3509:Q3511" si="1384">IF($O3509&lt;&gt;"",(1-$O3509)*P3508,"")</f>
        <v>14.657914139999999</v>
      </c>
      <c r="Q3509" s="261">
        <f t="shared" si="1384"/>
        <v>12.855227118749999</v>
      </c>
      <c r="R3509" s="261"/>
      <c r="T3509" s="261">
        <f t="shared" si="1383"/>
        <v>14.45791414</v>
      </c>
      <c r="U3509" s="261">
        <f t="shared" si="1383"/>
        <v>12.65522711875</v>
      </c>
      <c r="AH3509" s="202"/>
      <c r="AO3509" s="203"/>
    </row>
    <row r="3510" spans="1:41" x14ac:dyDescent="0.35">
      <c r="A3510" s="527" t="s">
        <v>6308</v>
      </c>
      <c r="B3510" s="526" t="s">
        <v>5547</v>
      </c>
      <c r="C3510" s="526" t="s">
        <v>6196</v>
      </c>
      <c r="D3510" s="526" t="s">
        <v>1774</v>
      </c>
      <c r="E3510" s="526"/>
      <c r="F3510" s="538">
        <f t="shared" si="1381"/>
        <v>14.46</v>
      </c>
      <c r="G3510" s="537">
        <f t="shared" si="1382"/>
        <v>14.66</v>
      </c>
      <c r="H3510" s="537">
        <f t="shared" si="1376"/>
        <v>11.73</v>
      </c>
      <c r="I3510" s="574"/>
      <c r="J3510" s="549">
        <v>43077</v>
      </c>
      <c r="K3510" s="11"/>
      <c r="L3510" s="55"/>
      <c r="M3510" s="37"/>
      <c r="N3510" s="519" t="s">
        <v>5760</v>
      </c>
      <c r="O3510" s="461">
        <v>0</v>
      </c>
      <c r="P3510" s="261">
        <f t="shared" si="1384"/>
        <v>14.657914139999999</v>
      </c>
      <c r="Q3510" s="261">
        <f t="shared" si="1384"/>
        <v>12.855227118749999</v>
      </c>
      <c r="R3510" s="261"/>
      <c r="T3510" s="261">
        <f t="shared" si="1383"/>
        <v>14.45791414</v>
      </c>
      <c r="U3510" s="261">
        <f t="shared" si="1383"/>
        <v>12.65522711875</v>
      </c>
      <c r="AH3510" s="202"/>
      <c r="AO3510" s="203"/>
    </row>
    <row r="3511" spans="1:41" x14ac:dyDescent="0.35">
      <c r="A3511" s="527" t="s">
        <v>6309</v>
      </c>
      <c r="B3511" s="526" t="s">
        <v>5547</v>
      </c>
      <c r="C3511" s="526" t="s">
        <v>6196</v>
      </c>
      <c r="D3511" s="526" t="s">
        <v>71</v>
      </c>
      <c r="E3511" s="526"/>
      <c r="F3511" s="538">
        <f t="shared" si="1381"/>
        <v>12.66</v>
      </c>
      <c r="G3511" s="537">
        <f t="shared" si="1382"/>
        <v>12.86</v>
      </c>
      <c r="H3511" s="537">
        <f t="shared" si="1376"/>
        <v>10.29</v>
      </c>
      <c r="I3511" s="574"/>
      <c r="J3511" s="549">
        <v>43077</v>
      </c>
      <c r="K3511" s="11"/>
      <c r="L3511" s="55"/>
      <c r="M3511" s="37"/>
      <c r="N3511" s="519" t="s">
        <v>5761</v>
      </c>
      <c r="O3511" s="461">
        <v>5.0000000000000001E-3</v>
      </c>
      <c r="P3511" s="261">
        <f t="shared" si="1384"/>
        <v>14.584624569299999</v>
      </c>
      <c r="Q3511" s="261">
        <f t="shared" si="1384"/>
        <v>12.790950983156248</v>
      </c>
      <c r="R3511" s="261"/>
      <c r="T3511" s="261">
        <f t="shared" si="1383"/>
        <v>14.3846245693</v>
      </c>
      <c r="U3511" s="261">
        <f t="shared" si="1383"/>
        <v>12.590950983156249</v>
      </c>
      <c r="AH3511" s="202"/>
      <c r="AO3511" s="203"/>
    </row>
    <row r="3512" spans="1:41" x14ac:dyDescent="0.35">
      <c r="A3512" s="527" t="s">
        <v>6310</v>
      </c>
      <c r="B3512" s="526" t="s">
        <v>5547</v>
      </c>
      <c r="C3512" s="526" t="s">
        <v>6197</v>
      </c>
      <c r="D3512" s="526" t="s">
        <v>1774</v>
      </c>
      <c r="E3512" s="526"/>
      <c r="F3512" s="538">
        <f t="shared" si="1381"/>
        <v>14.46</v>
      </c>
      <c r="G3512" s="537">
        <f t="shared" si="1382"/>
        <v>14.66</v>
      </c>
      <c r="H3512" s="537">
        <f t="shared" si="1376"/>
        <v>11.73</v>
      </c>
      <c r="I3512" s="574"/>
      <c r="J3512" s="549">
        <v>43077</v>
      </c>
      <c r="K3512" s="11"/>
      <c r="L3512" s="55"/>
      <c r="M3512" s="37"/>
      <c r="N3512" s="29"/>
      <c r="O3512" s="461"/>
      <c r="P3512" s="261"/>
      <c r="Q3512" s="261"/>
      <c r="S3512" s="261"/>
      <c r="T3512" s="261"/>
      <c r="AH3512" s="202"/>
      <c r="AO3512" s="203"/>
    </row>
    <row r="3513" spans="1:41" x14ac:dyDescent="0.35">
      <c r="A3513" s="527" t="s">
        <v>6311</v>
      </c>
      <c r="B3513" s="526" t="s">
        <v>5547</v>
      </c>
      <c r="C3513" s="526" t="s">
        <v>6197</v>
      </c>
      <c r="D3513" s="526" t="s">
        <v>71</v>
      </c>
      <c r="E3513" s="526"/>
      <c r="F3513" s="538">
        <f t="shared" si="1381"/>
        <v>12.66</v>
      </c>
      <c r="G3513" s="537">
        <f t="shared" si="1382"/>
        <v>12.86</v>
      </c>
      <c r="H3513" s="537">
        <f t="shared" si="1376"/>
        <v>10.29</v>
      </c>
      <c r="I3513" s="574"/>
      <c r="J3513" s="549">
        <v>43077</v>
      </c>
      <c r="K3513" s="11"/>
      <c r="L3513" s="55"/>
      <c r="M3513" s="37"/>
      <c r="N3513" s="29"/>
      <c r="O3513" s="461"/>
      <c r="P3513" s="261"/>
      <c r="Q3513" s="261"/>
      <c r="S3513" s="261"/>
      <c r="T3513" s="261"/>
      <c r="AH3513" s="202"/>
      <c r="AO3513" s="203"/>
    </row>
    <row r="3514" spans="1:41" x14ac:dyDescent="0.35">
      <c r="A3514" s="527" t="s">
        <v>6312</v>
      </c>
      <c r="B3514" s="526" t="s">
        <v>5547</v>
      </c>
      <c r="C3514" s="526" t="s">
        <v>6198</v>
      </c>
      <c r="D3514" s="526" t="s">
        <v>1774</v>
      </c>
      <c r="E3514" s="526"/>
      <c r="F3514" s="538">
        <f t="shared" si="1381"/>
        <v>14.38</v>
      </c>
      <c r="G3514" s="537">
        <f t="shared" si="1382"/>
        <v>14.58</v>
      </c>
      <c r="H3514" s="537">
        <f t="shared" si="1376"/>
        <v>11.66</v>
      </c>
      <c r="I3514" s="574"/>
      <c r="J3514" s="549">
        <v>43077</v>
      </c>
      <c r="K3514" s="11"/>
      <c r="L3514" s="55"/>
      <c r="M3514" s="37"/>
      <c r="N3514" s="29"/>
      <c r="O3514" s="461"/>
      <c r="P3514" s="261"/>
      <c r="Q3514" s="261"/>
      <c r="S3514" s="261"/>
      <c r="T3514" s="261"/>
      <c r="AH3514" s="202"/>
      <c r="AO3514" s="203"/>
    </row>
    <row r="3515" spans="1:41" x14ac:dyDescent="0.35">
      <c r="A3515" s="527" t="s">
        <v>6313</v>
      </c>
      <c r="B3515" s="526" t="s">
        <v>5547</v>
      </c>
      <c r="C3515" s="526" t="s">
        <v>6198</v>
      </c>
      <c r="D3515" s="526" t="s">
        <v>71</v>
      </c>
      <c r="E3515" s="526"/>
      <c r="F3515" s="538">
        <f t="shared" si="1381"/>
        <v>12.59</v>
      </c>
      <c r="G3515" s="537">
        <f t="shared" si="1382"/>
        <v>12.79</v>
      </c>
      <c r="H3515" s="537">
        <f t="shared" si="1376"/>
        <v>10.23</v>
      </c>
      <c r="I3515" s="574"/>
      <c r="J3515" s="549">
        <v>43077</v>
      </c>
      <c r="K3515" s="11"/>
      <c r="L3515" s="55"/>
      <c r="M3515" s="37"/>
      <c r="N3515" s="29"/>
      <c r="O3515" s="461"/>
      <c r="P3515" s="261"/>
      <c r="Q3515" s="261"/>
      <c r="S3515" s="261"/>
      <c r="T3515" s="261"/>
      <c r="AH3515" s="202"/>
      <c r="AO3515" s="203"/>
    </row>
    <row r="3516" spans="1:41" x14ac:dyDescent="0.35">
      <c r="A3516" s="2"/>
      <c r="B3516" s="2"/>
      <c r="C3516" s="2"/>
      <c r="D3516" s="2"/>
      <c r="E3516" s="2"/>
      <c r="F3516" s="385"/>
      <c r="G3516" s="2"/>
      <c r="H3516" s="409" t="str">
        <f t="shared" si="1376"/>
        <v/>
      </c>
      <c r="I3516" s="588"/>
      <c r="J3516" s="549" t="s">
        <v>4179</v>
      </c>
      <c r="K3516" s="11"/>
      <c r="L3516" s="55"/>
      <c r="M3516" s="37"/>
      <c r="N3516" s="29"/>
      <c r="P3516" t="s">
        <v>1774</v>
      </c>
      <c r="Q3516" t="s">
        <v>71</v>
      </c>
      <c r="R3516" t="s">
        <v>49</v>
      </c>
      <c r="S3516" s="101" t="s">
        <v>2883</v>
      </c>
      <c r="T3516" t="s">
        <v>1774</v>
      </c>
      <c r="U3516" t="s">
        <v>71</v>
      </c>
      <c r="AH3516" s="202"/>
      <c r="AO3516" s="203"/>
    </row>
    <row r="3517" spans="1:41" x14ac:dyDescent="0.35">
      <c r="A3517" s="527" t="s">
        <v>6387</v>
      </c>
      <c r="B3517" s="526" t="s">
        <v>5547</v>
      </c>
      <c r="C3517" s="526" t="s">
        <v>6400</v>
      </c>
      <c r="D3517" s="526" t="s">
        <v>1774</v>
      </c>
      <c r="E3517" s="526"/>
      <c r="F3517" s="538">
        <f t="shared" ref="F3517:F3524" si="1385">IF(HLOOKUP($D3517,$T$3516:$U$3520,MATCH(MID($A3517,11,2),$N$3516:$N$3520,0),FALSE)&lt;&gt;"",ROUND(HLOOKUP($D3517,$T$3516:$U$3520,MATCH(MID($A3517,11,2),$N$3516:$N$3520,0),FALSE),2),"")</f>
        <v>14.38</v>
      </c>
      <c r="G3517" s="537">
        <f t="shared" ref="G3517:G3524" si="1386">IF(HLOOKUP($D3517,$P$3516:$Q$3520,MATCH(MID($A3517,11,2),$N$3516:$N$3520,0),FALSE)&lt;&gt;"",ROUND(HLOOKUP($D3517,$P$3516:$Q$3520,MATCH(MID($A3517,11,2),$N$3516:$N$3520,0),FALSE),2),"")</f>
        <v>14.58</v>
      </c>
      <c r="H3517" s="537">
        <f t="shared" si="1376"/>
        <v>11.66</v>
      </c>
      <c r="I3517" s="574"/>
      <c r="J3517" s="549">
        <v>43419</v>
      </c>
      <c r="K3517" s="11"/>
      <c r="L3517" s="55"/>
      <c r="M3517" s="101">
        <v>2019</v>
      </c>
      <c r="N3517" s="519" t="s">
        <v>5758</v>
      </c>
      <c r="O3517" s="461">
        <v>0</v>
      </c>
      <c r="P3517" s="261">
        <f>IF($O3517&lt;&gt;"",(1-$O3517)*P3511,"")</f>
        <v>14.584624569299999</v>
      </c>
      <c r="Q3517" s="261">
        <f>IF($O3517&lt;&gt;"",(1-$O3517)*Q3511,"")</f>
        <v>12.790950983156248</v>
      </c>
      <c r="R3517" s="261"/>
      <c r="T3517" s="261">
        <f t="shared" ref="T3517:U3520" si="1387">P3517-0.2</f>
        <v>14.3846245693</v>
      </c>
      <c r="U3517" s="261">
        <f t="shared" si="1387"/>
        <v>12.590950983156249</v>
      </c>
      <c r="AH3517" s="202"/>
      <c r="AO3517" s="203"/>
    </row>
    <row r="3518" spans="1:41" x14ac:dyDescent="0.35">
      <c r="A3518" s="527" t="s">
        <v>6388</v>
      </c>
      <c r="B3518" s="526" t="s">
        <v>5547</v>
      </c>
      <c r="C3518" s="526" t="s">
        <v>6400</v>
      </c>
      <c r="D3518" s="526" t="s">
        <v>71</v>
      </c>
      <c r="E3518" s="526"/>
      <c r="F3518" s="538">
        <f t="shared" si="1385"/>
        <v>12.59</v>
      </c>
      <c r="G3518" s="537">
        <f t="shared" si="1386"/>
        <v>12.79</v>
      </c>
      <c r="H3518" s="537">
        <f t="shared" si="1376"/>
        <v>10.23</v>
      </c>
      <c r="I3518" s="574"/>
      <c r="J3518" s="549">
        <v>43419</v>
      </c>
      <c r="K3518" s="11"/>
      <c r="L3518" s="55"/>
      <c r="M3518" s="37"/>
      <c r="N3518" s="519" t="s">
        <v>5759</v>
      </c>
      <c r="O3518" s="461">
        <v>5.0000000000000001E-3</v>
      </c>
      <c r="P3518" s="261">
        <f t="shared" ref="P3518:Q3520" si="1388">IF($O3518&lt;&gt;"",(1-$O3518)*P3517,"")</f>
        <v>14.511701446453499</v>
      </c>
      <c r="Q3518" s="261">
        <f t="shared" si="1388"/>
        <v>12.726996228240466</v>
      </c>
      <c r="R3518" s="261"/>
      <c r="T3518" s="261">
        <f t="shared" si="1387"/>
        <v>14.311701446453499</v>
      </c>
      <c r="U3518" s="261">
        <f t="shared" si="1387"/>
        <v>12.526996228240467</v>
      </c>
      <c r="AH3518" s="202"/>
      <c r="AO3518" s="203"/>
    </row>
    <row r="3519" spans="1:41" x14ac:dyDescent="0.35">
      <c r="A3519" s="527" t="s">
        <v>6389</v>
      </c>
      <c r="B3519" s="526" t="s">
        <v>5547</v>
      </c>
      <c r="C3519" s="526" t="s">
        <v>6401</v>
      </c>
      <c r="D3519" s="526" t="s">
        <v>1774</v>
      </c>
      <c r="E3519" s="526"/>
      <c r="F3519" s="538">
        <f t="shared" si="1385"/>
        <v>14.31</v>
      </c>
      <c r="G3519" s="537">
        <f t="shared" si="1386"/>
        <v>14.51</v>
      </c>
      <c r="H3519" s="537">
        <f t="shared" si="1376"/>
        <v>11.61</v>
      </c>
      <c r="I3519" s="574"/>
      <c r="J3519" s="549">
        <v>43419</v>
      </c>
      <c r="K3519" s="11"/>
      <c r="L3519" s="55"/>
      <c r="M3519" s="37"/>
      <c r="N3519" s="519" t="s">
        <v>5760</v>
      </c>
      <c r="O3519" s="461">
        <v>0</v>
      </c>
      <c r="P3519" s="261">
        <f t="shared" si="1388"/>
        <v>14.511701446453499</v>
      </c>
      <c r="Q3519" s="261">
        <f t="shared" si="1388"/>
        <v>12.726996228240466</v>
      </c>
      <c r="R3519" s="261"/>
      <c r="T3519" s="261">
        <f t="shared" si="1387"/>
        <v>14.311701446453499</v>
      </c>
      <c r="U3519" s="261">
        <f t="shared" si="1387"/>
        <v>12.526996228240467</v>
      </c>
      <c r="AH3519" s="202"/>
      <c r="AO3519" s="203"/>
    </row>
    <row r="3520" spans="1:41" x14ac:dyDescent="0.35">
      <c r="A3520" s="527" t="s">
        <v>6390</v>
      </c>
      <c r="B3520" s="526" t="s">
        <v>5547</v>
      </c>
      <c r="C3520" s="526" t="s">
        <v>6401</v>
      </c>
      <c r="D3520" s="526" t="s">
        <v>71</v>
      </c>
      <c r="E3520" s="526"/>
      <c r="F3520" s="538">
        <f t="shared" si="1385"/>
        <v>12.53</v>
      </c>
      <c r="G3520" s="537">
        <f t="shared" si="1386"/>
        <v>12.73</v>
      </c>
      <c r="H3520" s="537">
        <f t="shared" si="1376"/>
        <v>10.18</v>
      </c>
      <c r="I3520" s="574"/>
      <c r="J3520" s="549">
        <v>43419</v>
      </c>
      <c r="K3520" s="11"/>
      <c r="L3520" s="55"/>
      <c r="M3520" s="37"/>
      <c r="N3520" s="519" t="s">
        <v>5761</v>
      </c>
      <c r="O3520" s="461">
        <v>5.0000000000000001E-3</v>
      </c>
      <c r="P3520" s="261">
        <f t="shared" si="1388"/>
        <v>14.439142939221231</v>
      </c>
      <c r="Q3520" s="261">
        <f t="shared" si="1388"/>
        <v>12.663361247099264</v>
      </c>
      <c r="R3520" s="261"/>
      <c r="T3520" s="261">
        <f t="shared" si="1387"/>
        <v>14.239142939221232</v>
      </c>
      <c r="U3520" s="261">
        <f t="shared" si="1387"/>
        <v>12.463361247099265</v>
      </c>
      <c r="AH3520" s="202"/>
      <c r="AO3520" s="203"/>
    </row>
    <row r="3521" spans="1:41" x14ac:dyDescent="0.35">
      <c r="A3521" s="527" t="s">
        <v>6391</v>
      </c>
      <c r="B3521" s="526" t="s">
        <v>5547</v>
      </c>
      <c r="C3521" s="526" t="s">
        <v>6402</v>
      </c>
      <c r="D3521" s="526" t="s">
        <v>1774</v>
      </c>
      <c r="E3521" s="526"/>
      <c r="F3521" s="538">
        <f t="shared" si="1385"/>
        <v>14.31</v>
      </c>
      <c r="G3521" s="537">
        <f t="shared" si="1386"/>
        <v>14.51</v>
      </c>
      <c r="H3521" s="537">
        <f t="shared" si="1376"/>
        <v>11.61</v>
      </c>
      <c r="I3521" s="574"/>
      <c r="J3521" s="549">
        <v>43419</v>
      </c>
      <c r="K3521" s="11"/>
      <c r="L3521" s="55"/>
      <c r="M3521" s="37"/>
      <c r="N3521" s="29"/>
      <c r="O3521" s="461"/>
      <c r="P3521" s="261"/>
      <c r="Q3521" s="261"/>
      <c r="S3521" s="261"/>
      <c r="T3521" s="261"/>
      <c r="AH3521" s="202"/>
      <c r="AO3521" s="203"/>
    </row>
    <row r="3522" spans="1:41" x14ac:dyDescent="0.35">
      <c r="A3522" s="527" t="s">
        <v>6392</v>
      </c>
      <c r="B3522" s="526" t="s">
        <v>5547</v>
      </c>
      <c r="C3522" s="526" t="s">
        <v>6402</v>
      </c>
      <c r="D3522" s="526" t="s">
        <v>71</v>
      </c>
      <c r="E3522" s="526"/>
      <c r="F3522" s="538">
        <f t="shared" si="1385"/>
        <v>12.53</v>
      </c>
      <c r="G3522" s="537">
        <f t="shared" si="1386"/>
        <v>12.73</v>
      </c>
      <c r="H3522" s="537">
        <f t="shared" si="1376"/>
        <v>10.18</v>
      </c>
      <c r="I3522" s="574"/>
      <c r="J3522" s="549">
        <v>43419</v>
      </c>
      <c r="K3522" s="11"/>
      <c r="L3522" s="55"/>
      <c r="M3522" s="37"/>
      <c r="N3522" s="29"/>
      <c r="O3522" s="461"/>
      <c r="P3522" s="261"/>
      <c r="Q3522" s="261"/>
      <c r="S3522" s="261"/>
      <c r="T3522" s="261"/>
      <c r="AH3522" s="202"/>
      <c r="AO3522" s="203"/>
    </row>
    <row r="3523" spans="1:41" x14ac:dyDescent="0.35">
      <c r="A3523" s="527" t="s">
        <v>6393</v>
      </c>
      <c r="B3523" s="526" t="s">
        <v>5547</v>
      </c>
      <c r="C3523" s="526" t="s">
        <v>6403</v>
      </c>
      <c r="D3523" s="526" t="s">
        <v>1774</v>
      </c>
      <c r="E3523" s="526"/>
      <c r="F3523" s="538">
        <f t="shared" si="1385"/>
        <v>14.24</v>
      </c>
      <c r="G3523" s="537">
        <f t="shared" si="1386"/>
        <v>14.44</v>
      </c>
      <c r="H3523" s="537">
        <f t="shared" si="1376"/>
        <v>11.55</v>
      </c>
      <c r="I3523" s="574"/>
      <c r="J3523" s="549">
        <v>43419</v>
      </c>
      <c r="K3523" s="11"/>
      <c r="L3523" s="55"/>
      <c r="M3523" s="37"/>
      <c r="N3523" s="29"/>
      <c r="O3523" s="461"/>
      <c r="P3523" s="261"/>
      <c r="Q3523" s="261"/>
      <c r="S3523" s="261"/>
      <c r="T3523" s="261"/>
      <c r="AH3523" s="202"/>
      <c r="AO3523" s="203"/>
    </row>
    <row r="3524" spans="1:41" x14ac:dyDescent="0.35">
      <c r="A3524" s="527" t="s">
        <v>6394</v>
      </c>
      <c r="B3524" s="526" t="s">
        <v>5547</v>
      </c>
      <c r="C3524" s="526" t="s">
        <v>6403</v>
      </c>
      <c r="D3524" s="526" t="s">
        <v>71</v>
      </c>
      <c r="E3524" s="526"/>
      <c r="F3524" s="538">
        <f t="shared" si="1385"/>
        <v>12.46</v>
      </c>
      <c r="G3524" s="537">
        <f t="shared" si="1386"/>
        <v>12.66</v>
      </c>
      <c r="H3524" s="537">
        <f t="shared" si="1376"/>
        <v>10.130000000000001</v>
      </c>
      <c r="I3524" s="574"/>
      <c r="J3524" s="549">
        <v>43419</v>
      </c>
      <c r="K3524" s="11"/>
      <c r="L3524" s="55"/>
      <c r="M3524" s="37"/>
      <c r="N3524" s="29"/>
      <c r="O3524" s="461"/>
      <c r="P3524" s="261"/>
      <c r="Q3524" s="261"/>
      <c r="S3524" s="261"/>
      <c r="T3524" s="261"/>
      <c r="AH3524" s="202"/>
      <c r="AO3524" s="203"/>
    </row>
    <row r="3525" spans="1:41" x14ac:dyDescent="0.35">
      <c r="A3525" s="2"/>
      <c r="B3525" s="2"/>
      <c r="C3525" s="2"/>
      <c r="D3525" s="2"/>
      <c r="E3525" s="2"/>
      <c r="F3525" s="385"/>
      <c r="G3525" s="2"/>
      <c r="H3525" s="409" t="str">
        <f t="shared" si="1376"/>
        <v/>
      </c>
      <c r="I3525" s="588"/>
      <c r="J3525" s="549" t="s">
        <v>4179</v>
      </c>
      <c r="K3525" s="11"/>
      <c r="L3525" s="55"/>
      <c r="M3525" s="37"/>
      <c r="N3525" s="29"/>
      <c r="P3525" t="s">
        <v>1774</v>
      </c>
      <c r="Q3525" t="s">
        <v>71</v>
      </c>
      <c r="R3525" t="s">
        <v>49</v>
      </c>
      <c r="S3525" s="101" t="s">
        <v>2883</v>
      </c>
      <c r="T3525" t="s">
        <v>1774</v>
      </c>
      <c r="U3525" t="s">
        <v>71</v>
      </c>
      <c r="AH3525" s="202"/>
      <c r="AO3525" s="203"/>
    </row>
    <row r="3526" spans="1:41" x14ac:dyDescent="0.35">
      <c r="A3526" s="527" t="s">
        <v>6534</v>
      </c>
      <c r="B3526" s="526" t="s">
        <v>5547</v>
      </c>
      <c r="C3526" s="526" t="s">
        <v>6514</v>
      </c>
      <c r="D3526" s="526" t="s">
        <v>1774</v>
      </c>
      <c r="E3526" s="526"/>
      <c r="F3526" s="538">
        <f t="shared" ref="F3526:F3533" si="1389">IF(HLOOKUP($D3526,$T$3525:$U$3529,MATCH(MID($A3526,11,2),$N$3525:$N$3529,0),FALSE)&lt;&gt;"",ROUND(HLOOKUP($D3526,$T$3525:$U$3529,MATCH(MID($A3526,11,2),$N$3525:$N$3529,0),FALSE),2),"")</f>
        <v>14.24</v>
      </c>
      <c r="G3526" s="537">
        <f t="shared" ref="G3526:G3533" si="1390">IF(HLOOKUP($D3526,$P$3525:$Q$3529,MATCH(MID($A3526,11,2),$N$3525:$N$3529,0),FALSE)&lt;&gt;"",ROUND(HLOOKUP($D3526,$P$3525:$Q$3529,MATCH(MID($A3526,11,2),$N$3525:$N$3529,0),FALSE),2),"")</f>
        <v>14.44</v>
      </c>
      <c r="H3526" s="537">
        <f t="shared" si="1376"/>
        <v>11.55</v>
      </c>
      <c r="I3526" s="574"/>
      <c r="J3526" s="549">
        <v>43796</v>
      </c>
      <c r="K3526" s="11"/>
      <c r="L3526" s="55"/>
      <c r="M3526" s="101">
        <v>2020</v>
      </c>
      <c r="N3526" s="519" t="s">
        <v>5758</v>
      </c>
      <c r="O3526" s="461">
        <v>0</v>
      </c>
      <c r="P3526" s="261">
        <f>IF($O3526&lt;&gt;"",(1-$O3526)*P3520,"")</f>
        <v>14.439142939221231</v>
      </c>
      <c r="Q3526" s="261">
        <f>IF($O3526&lt;&gt;"",(1-$O3526)*Q3520,"")</f>
        <v>12.663361247099264</v>
      </c>
      <c r="R3526" s="261"/>
      <c r="T3526" s="261">
        <f t="shared" ref="T3526:U3529" si="1391">P3526-0.2</f>
        <v>14.239142939221232</v>
      </c>
      <c r="U3526" s="261">
        <f t="shared" si="1391"/>
        <v>12.463361247099265</v>
      </c>
      <c r="AH3526" s="202"/>
      <c r="AO3526" s="203"/>
    </row>
    <row r="3527" spans="1:41" x14ac:dyDescent="0.35">
      <c r="A3527" s="527" t="s">
        <v>6535</v>
      </c>
      <c r="B3527" s="526" t="s">
        <v>5547</v>
      </c>
      <c r="C3527" s="526" t="s">
        <v>6514</v>
      </c>
      <c r="D3527" s="526" t="s">
        <v>71</v>
      </c>
      <c r="E3527" s="526"/>
      <c r="F3527" s="538">
        <f t="shared" si="1389"/>
        <v>12.46</v>
      </c>
      <c r="G3527" s="537">
        <f t="shared" si="1390"/>
        <v>12.66</v>
      </c>
      <c r="H3527" s="537">
        <f t="shared" si="1376"/>
        <v>10.130000000000001</v>
      </c>
      <c r="I3527" s="574"/>
      <c r="J3527" s="549">
        <v>43796</v>
      </c>
      <c r="K3527" s="11"/>
      <c r="L3527" s="55"/>
      <c r="M3527" s="37"/>
      <c r="N3527" s="519" t="s">
        <v>5759</v>
      </c>
      <c r="O3527" s="461">
        <v>5.0000000000000001E-3</v>
      </c>
      <c r="P3527" s="261">
        <f t="shared" ref="P3527:Q3529" si="1392">IF($O3527&lt;&gt;"",(1-$O3527)*P3526,"")</f>
        <v>14.366947224525125</v>
      </c>
      <c r="Q3527" s="261">
        <f t="shared" si="1392"/>
        <v>12.600044440863767</v>
      </c>
      <c r="R3527" s="261"/>
      <c r="T3527" s="261">
        <f t="shared" si="1391"/>
        <v>14.166947224525126</v>
      </c>
      <c r="U3527" s="261">
        <f t="shared" si="1391"/>
        <v>12.400044440863768</v>
      </c>
      <c r="AH3527" s="202"/>
      <c r="AO3527" s="203"/>
    </row>
    <row r="3528" spans="1:41" x14ac:dyDescent="0.35">
      <c r="A3528" s="527" t="s">
        <v>6536</v>
      </c>
      <c r="B3528" s="526" t="s">
        <v>5547</v>
      </c>
      <c r="C3528" s="526" t="s">
        <v>6515</v>
      </c>
      <c r="D3528" s="526" t="s">
        <v>1774</v>
      </c>
      <c r="E3528" s="526"/>
      <c r="F3528" s="538">
        <f t="shared" si="1389"/>
        <v>14.17</v>
      </c>
      <c r="G3528" s="537">
        <f t="shared" si="1390"/>
        <v>14.37</v>
      </c>
      <c r="H3528" s="537">
        <f t="shared" si="1376"/>
        <v>11.5</v>
      </c>
      <c r="I3528" s="574"/>
      <c r="J3528" s="549">
        <v>43796</v>
      </c>
      <c r="K3528" s="11"/>
      <c r="L3528" s="55"/>
      <c r="M3528" s="37"/>
      <c r="N3528" s="519" t="s">
        <v>5760</v>
      </c>
      <c r="O3528" s="461">
        <v>0</v>
      </c>
      <c r="P3528" s="261">
        <f t="shared" si="1392"/>
        <v>14.366947224525125</v>
      </c>
      <c r="Q3528" s="261">
        <f t="shared" si="1392"/>
        <v>12.600044440863767</v>
      </c>
      <c r="R3528" s="261"/>
      <c r="T3528" s="261">
        <f t="shared" si="1391"/>
        <v>14.166947224525126</v>
      </c>
      <c r="U3528" s="261">
        <f t="shared" si="1391"/>
        <v>12.400044440863768</v>
      </c>
      <c r="AH3528" s="202"/>
      <c r="AO3528" s="203"/>
    </row>
    <row r="3529" spans="1:41" x14ac:dyDescent="0.35">
      <c r="A3529" s="527" t="s">
        <v>6537</v>
      </c>
      <c r="B3529" s="526" t="s">
        <v>5547</v>
      </c>
      <c r="C3529" s="526" t="s">
        <v>6515</v>
      </c>
      <c r="D3529" s="526" t="s">
        <v>71</v>
      </c>
      <c r="E3529" s="526"/>
      <c r="F3529" s="538">
        <f t="shared" si="1389"/>
        <v>12.4</v>
      </c>
      <c r="G3529" s="537">
        <f t="shared" si="1390"/>
        <v>12.6</v>
      </c>
      <c r="H3529" s="537">
        <f t="shared" si="1376"/>
        <v>10.08</v>
      </c>
      <c r="I3529" s="574"/>
      <c r="J3529" s="549">
        <v>43796</v>
      </c>
      <c r="K3529" s="11"/>
      <c r="L3529" s="55"/>
      <c r="M3529" s="37"/>
      <c r="N3529" s="519" t="s">
        <v>5761</v>
      </c>
      <c r="O3529" s="461">
        <v>5.0000000000000001E-3</v>
      </c>
      <c r="P3529" s="261">
        <f t="shared" si="1392"/>
        <v>14.2951124884025</v>
      </c>
      <c r="Q3529" s="261">
        <f t="shared" si="1392"/>
        <v>12.537044218659448</v>
      </c>
      <c r="R3529" s="261"/>
      <c r="T3529" s="261">
        <f t="shared" si="1391"/>
        <v>14.095112488402501</v>
      </c>
      <c r="U3529" s="261">
        <f t="shared" si="1391"/>
        <v>12.337044218659448</v>
      </c>
      <c r="AH3529" s="202"/>
      <c r="AO3529" s="203"/>
    </row>
    <row r="3530" spans="1:41" x14ac:dyDescent="0.35">
      <c r="A3530" s="527" t="s">
        <v>6538</v>
      </c>
      <c r="B3530" s="526" t="s">
        <v>5547</v>
      </c>
      <c r="C3530" s="526" t="s">
        <v>6516</v>
      </c>
      <c r="D3530" s="526" t="s">
        <v>1774</v>
      </c>
      <c r="E3530" s="526"/>
      <c r="F3530" s="538">
        <f t="shared" si="1389"/>
        <v>14.17</v>
      </c>
      <c r="G3530" s="537">
        <f t="shared" si="1390"/>
        <v>14.37</v>
      </c>
      <c r="H3530" s="537">
        <f t="shared" ref="H3530:H3549" si="1393">IF(ISNUMBER(G3530),ROUND(0.8*G3530,2),"")</f>
        <v>11.5</v>
      </c>
      <c r="I3530" s="574"/>
      <c r="J3530" s="549">
        <v>43796</v>
      </c>
      <c r="K3530" s="11"/>
      <c r="L3530" s="55"/>
      <c r="M3530" s="37"/>
      <c r="N3530" s="29"/>
      <c r="O3530" s="461"/>
      <c r="P3530" s="261"/>
      <c r="Q3530" s="261"/>
      <c r="S3530" s="261"/>
      <c r="T3530" s="261"/>
      <c r="AH3530" s="202"/>
      <c r="AO3530" s="203"/>
    </row>
    <row r="3531" spans="1:41" x14ac:dyDescent="0.35">
      <c r="A3531" s="527" t="s">
        <v>6539</v>
      </c>
      <c r="B3531" s="526" t="s">
        <v>5547</v>
      </c>
      <c r="C3531" s="526" t="s">
        <v>6516</v>
      </c>
      <c r="D3531" s="526" t="s">
        <v>71</v>
      </c>
      <c r="E3531" s="526"/>
      <c r="F3531" s="538">
        <f t="shared" si="1389"/>
        <v>12.4</v>
      </c>
      <c r="G3531" s="537">
        <f t="shared" si="1390"/>
        <v>12.6</v>
      </c>
      <c r="H3531" s="537">
        <f t="shared" si="1393"/>
        <v>10.08</v>
      </c>
      <c r="I3531" s="574"/>
      <c r="J3531" s="549">
        <v>43796</v>
      </c>
      <c r="K3531" s="11"/>
      <c r="L3531" s="55"/>
      <c r="M3531" s="37"/>
      <c r="N3531" s="29"/>
      <c r="O3531" s="461"/>
      <c r="P3531" s="261"/>
      <c r="Q3531" s="261"/>
      <c r="S3531" s="261"/>
      <c r="T3531" s="261"/>
      <c r="AH3531" s="202"/>
      <c r="AO3531" s="203"/>
    </row>
    <row r="3532" spans="1:41" x14ac:dyDescent="0.35">
      <c r="A3532" s="527" t="s">
        <v>6540</v>
      </c>
      <c r="B3532" s="526" t="s">
        <v>5547</v>
      </c>
      <c r="C3532" s="526" t="s">
        <v>6517</v>
      </c>
      <c r="D3532" s="526" t="s">
        <v>1774</v>
      </c>
      <c r="E3532" s="526"/>
      <c r="F3532" s="538">
        <f t="shared" si="1389"/>
        <v>14.1</v>
      </c>
      <c r="G3532" s="537">
        <f t="shared" si="1390"/>
        <v>14.3</v>
      </c>
      <c r="H3532" s="537">
        <f t="shared" si="1393"/>
        <v>11.44</v>
      </c>
      <c r="I3532" s="574"/>
      <c r="J3532" s="549">
        <v>43796</v>
      </c>
      <c r="K3532" s="11"/>
      <c r="L3532" s="55"/>
      <c r="M3532" s="37"/>
      <c r="N3532" s="29"/>
      <c r="O3532" s="461"/>
      <c r="P3532" s="261"/>
      <c r="Q3532" s="261"/>
      <c r="S3532" s="261"/>
      <c r="T3532" s="261"/>
      <c r="AH3532" s="202"/>
      <c r="AO3532" s="203"/>
    </row>
    <row r="3533" spans="1:41" x14ac:dyDescent="0.35">
      <c r="A3533" s="527" t="s">
        <v>6541</v>
      </c>
      <c r="B3533" s="526" t="s">
        <v>5547</v>
      </c>
      <c r="C3533" s="526" t="s">
        <v>6517</v>
      </c>
      <c r="D3533" s="526" t="s">
        <v>71</v>
      </c>
      <c r="E3533" s="526"/>
      <c r="F3533" s="538">
        <f t="shared" si="1389"/>
        <v>12.34</v>
      </c>
      <c r="G3533" s="537">
        <f t="shared" si="1390"/>
        <v>12.54</v>
      </c>
      <c r="H3533" s="537">
        <f t="shared" si="1393"/>
        <v>10.029999999999999</v>
      </c>
      <c r="I3533" s="574"/>
      <c r="J3533" s="549">
        <v>43796</v>
      </c>
      <c r="K3533" s="11"/>
      <c r="L3533" s="55"/>
      <c r="M3533" s="37"/>
      <c r="N3533" s="29"/>
      <c r="O3533" s="461"/>
      <c r="P3533" s="261"/>
      <c r="Q3533" s="261"/>
      <c r="S3533" s="261"/>
      <c r="T3533" s="261"/>
      <c r="AH3533" s="202"/>
      <c r="AO3533" s="203"/>
    </row>
    <row r="3534" spans="1:41" x14ac:dyDescent="0.35">
      <c r="A3534" s="2"/>
      <c r="B3534" s="2"/>
      <c r="C3534" s="362"/>
      <c r="D3534" s="1"/>
      <c r="E3534" s="1"/>
      <c r="F3534" s="385"/>
      <c r="G3534" s="2"/>
      <c r="H3534" s="409" t="str">
        <f t="shared" si="1393"/>
        <v/>
      </c>
      <c r="I3534" s="588"/>
      <c r="J3534" s="549" t="s">
        <v>4179</v>
      </c>
      <c r="K3534" s="11"/>
      <c r="L3534" s="55"/>
      <c r="M3534" s="37"/>
      <c r="N3534" s="29"/>
      <c r="P3534" t="s">
        <v>1774</v>
      </c>
      <c r="Q3534" t="s">
        <v>71</v>
      </c>
      <c r="R3534" t="s">
        <v>49</v>
      </c>
      <c r="S3534" s="101" t="s">
        <v>2883</v>
      </c>
      <c r="T3534" t="s">
        <v>1774</v>
      </c>
      <c r="U3534" t="s">
        <v>71</v>
      </c>
      <c r="AH3534" s="202"/>
      <c r="AO3534" s="203"/>
    </row>
    <row r="3535" spans="1:41" x14ac:dyDescent="0.35">
      <c r="A3535" s="527" t="s">
        <v>6688</v>
      </c>
      <c r="B3535" s="526" t="s">
        <v>5547</v>
      </c>
      <c r="C3535" s="526" t="s">
        <v>6624</v>
      </c>
      <c r="D3535" s="526" t="s">
        <v>1774</v>
      </c>
      <c r="E3535" s="526"/>
      <c r="F3535" s="639">
        <f>IF(HLOOKUP($D3535,$T$3534:$U$3536,2,FALSE)&lt;&gt;"",ROUND(HLOOKUP($D3535,$T$3534:$U$3536,2,FALSE),2),"")</f>
        <v>14.1</v>
      </c>
      <c r="G3535" s="641">
        <f>IF(HLOOKUP($D3535,$P$3534:$Q$3536,2,FALSE)&lt;&gt;"",ROUND(HLOOKUP($D3535,$P$3534:$Q$3536,2,FALSE),2),"")</f>
        <v>14.3</v>
      </c>
      <c r="H3535" s="641">
        <f t="shared" si="1393"/>
        <v>11.44</v>
      </c>
      <c r="I3535" s="574"/>
      <c r="J3535" s="549">
        <v>44196</v>
      </c>
      <c r="K3535" s="11"/>
      <c r="L3535" s="55"/>
      <c r="M3535" s="101">
        <v>2021</v>
      </c>
      <c r="N3535" s="519"/>
      <c r="O3535" s="697" t="s">
        <v>7656</v>
      </c>
      <c r="P3535" s="261">
        <v>14.3</v>
      </c>
      <c r="Q3535" s="261">
        <v>12.54</v>
      </c>
      <c r="R3535" s="261"/>
      <c r="T3535" s="261">
        <f>P3535-0.2</f>
        <v>14.100000000000001</v>
      </c>
      <c r="U3535" s="261">
        <f>Q3535-0.2</f>
        <v>12.34</v>
      </c>
      <c r="AH3535" s="202"/>
      <c r="AO3535" s="203"/>
    </row>
    <row r="3536" spans="1:41" x14ac:dyDescent="0.35">
      <c r="A3536" s="527" t="s">
        <v>6689</v>
      </c>
      <c r="B3536" s="526" t="s">
        <v>5547</v>
      </c>
      <c r="C3536" s="526" t="s">
        <v>6624</v>
      </c>
      <c r="D3536" s="526" t="s">
        <v>71</v>
      </c>
      <c r="E3536" s="526"/>
      <c r="F3536" s="639">
        <f>IF(HLOOKUP($D3536,$T$3534:$U$3536,2,FALSE)&lt;&gt;"",ROUND(HLOOKUP($D3536,$T$3534:$U$3536,2,FALSE),2),"")</f>
        <v>12.34</v>
      </c>
      <c r="G3536" s="641">
        <f>IF(HLOOKUP($D3536,$P$3534:$Q$3536,2,FALSE)&lt;&gt;"",ROUND(HLOOKUP($D3536,$P$3534:$Q$3536,2,FALSE),2),"")</f>
        <v>12.54</v>
      </c>
      <c r="H3536" s="641">
        <f t="shared" si="1393"/>
        <v>10.029999999999999</v>
      </c>
      <c r="I3536" s="574"/>
      <c r="J3536" s="549">
        <v>44196</v>
      </c>
      <c r="K3536" s="11"/>
      <c r="L3536" s="55"/>
      <c r="M3536" s="37"/>
      <c r="N3536" s="519"/>
      <c r="O3536" s="697"/>
      <c r="P3536" s="261"/>
      <c r="Q3536" s="261"/>
      <c r="R3536" s="261"/>
      <c r="T3536" s="261"/>
      <c r="U3536" s="261"/>
      <c r="AH3536" s="202"/>
      <c r="AO3536" s="203"/>
    </row>
    <row r="3537" spans="1:41" x14ac:dyDescent="0.35">
      <c r="A3537" s="2"/>
      <c r="B3537" s="2"/>
      <c r="C3537" s="362"/>
      <c r="D3537" s="1"/>
      <c r="E3537" s="1"/>
      <c r="F3537" s="385"/>
      <c r="G3537" s="2"/>
      <c r="H3537" s="409" t="str">
        <f t="shared" si="1393"/>
        <v/>
      </c>
      <c r="I3537" s="588"/>
      <c r="J3537" s="549" t="s">
        <v>4179</v>
      </c>
      <c r="K3537" s="11"/>
      <c r="L3537" s="55"/>
      <c r="M3537" s="37"/>
      <c r="N3537" s="519" t="s">
        <v>7653</v>
      </c>
      <c r="O3537" s="542"/>
      <c r="P3537" t="s">
        <v>1774</v>
      </c>
      <c r="Q3537" t="s">
        <v>71</v>
      </c>
      <c r="R3537" t="s">
        <v>49</v>
      </c>
      <c r="S3537" s="101" t="s">
        <v>2883</v>
      </c>
      <c r="T3537" t="s">
        <v>1774</v>
      </c>
      <c r="U3537" t="s">
        <v>71</v>
      </c>
      <c r="AH3537" s="202"/>
      <c r="AO3537" s="203"/>
    </row>
    <row r="3538" spans="1:41" x14ac:dyDescent="0.35">
      <c r="A3538" s="527" t="str">
        <f>"BiK430---HJ1" &amp; RIGHT(M3538,2)</f>
        <v>BiK430---HJ122</v>
      </c>
      <c r="B3538" s="526" t="s">
        <v>5547</v>
      </c>
      <c r="C3538" s="526" t="str">
        <f>"Inbetriebnahme 01-06/20" &amp; RIGHT(M3538,2)</f>
        <v>Inbetriebnahme 01-06/2022</v>
      </c>
      <c r="D3538" s="526" t="s">
        <v>1774</v>
      </c>
      <c r="E3538" s="526"/>
      <c r="F3538" s="538">
        <f>IF(HLOOKUP($D3538,$T$3537:$U$3539,MATCH(MID($A3538,10,3),$N$3537:$N$3539,0),FALSE)&lt;&gt;"",ROUND(HLOOKUP($D3538,$T$3537:$U$3539,MATCH(MID($A3538,10,3),$N$3537:$N$3539,0),FALSE),2),"")</f>
        <v>14.1</v>
      </c>
      <c r="G3538" s="537">
        <f>IF(HLOOKUP($D3538,$P$3537:$Q$3539,MATCH(MID($A3538,10,3),$N$3537:$N$3539,0),FALSE)&lt;&gt;"",ROUND(HLOOKUP($D3538,$P$3537:$Q$3539,MATCH(MID($A3538,10,3),$N$3537:$N$3539,0),FALSE),2),"")</f>
        <v>14.3</v>
      </c>
      <c r="H3538" s="641">
        <f t="shared" si="1393"/>
        <v>11.44</v>
      </c>
      <c r="I3538" s="574"/>
      <c r="J3538" s="549">
        <v>44536</v>
      </c>
      <c r="K3538" s="11"/>
      <c r="L3538" s="55"/>
      <c r="M3538" s="101">
        <v>2022</v>
      </c>
      <c r="N3538" s="519" t="s">
        <v>7651</v>
      </c>
      <c r="O3538" s="461">
        <v>0</v>
      </c>
      <c r="P3538" s="261">
        <v>14.3</v>
      </c>
      <c r="Q3538" s="261">
        <v>12.54</v>
      </c>
      <c r="R3538" s="261"/>
      <c r="T3538" s="261">
        <f>P3538-0.2</f>
        <v>14.100000000000001</v>
      </c>
      <c r="U3538" s="261">
        <f>Q3538-0.2</f>
        <v>12.34</v>
      </c>
      <c r="AH3538" s="202"/>
      <c r="AO3538" s="203"/>
    </row>
    <row r="3539" spans="1:41" x14ac:dyDescent="0.35">
      <c r="A3539" s="527" t="str">
        <f>"BiK431---HJ1" &amp; RIGHT(M3538,2)</f>
        <v>BiK431---HJ122</v>
      </c>
      <c r="B3539" s="526" t="s">
        <v>5547</v>
      </c>
      <c r="C3539" s="526" t="str">
        <f>"Inbetriebnahme 01-06/20" &amp; RIGHT(M3538,2)</f>
        <v>Inbetriebnahme 01-06/2022</v>
      </c>
      <c r="D3539" s="526" t="s">
        <v>71</v>
      </c>
      <c r="E3539" s="526"/>
      <c r="F3539" s="538">
        <f>IF(HLOOKUP($D3539,$T$3537:$U$3539,MATCH(MID($A3539,10,3),$N$3537:$N$3539,0),FALSE)&lt;&gt;"",ROUND(HLOOKUP($D3539,$T$3537:$U$3539,MATCH(MID($A3539,10,3),$N$3537:$N$3539,0),FALSE),2),"")</f>
        <v>12.34</v>
      </c>
      <c r="G3539" s="537">
        <f>IF(HLOOKUP($D3539,$P$3537:$Q$3539,MATCH(MID($A3539,10,3),$N$3537:$N$3539,0),FALSE)&lt;&gt;"",ROUND(HLOOKUP($D3539,$P$3537:$Q$3539,MATCH(MID($A3539,10,3),$N$3537:$N$3539,0),FALSE),2),"")</f>
        <v>12.54</v>
      </c>
      <c r="H3539" s="641">
        <f t="shared" si="1393"/>
        <v>10.029999999999999</v>
      </c>
      <c r="I3539" s="574"/>
      <c r="J3539" s="549">
        <v>44536</v>
      </c>
      <c r="K3539" s="11"/>
      <c r="L3539" s="55"/>
      <c r="M3539" s="37"/>
      <c r="N3539" s="519" t="s">
        <v>7652</v>
      </c>
      <c r="O3539" s="461">
        <v>5.0000000000000001E-3</v>
      </c>
      <c r="P3539" s="261">
        <f>IF($O3539&lt;&gt;"",(1-$O3539)*P3538,"")</f>
        <v>14.2285</v>
      </c>
      <c r="Q3539" s="261">
        <f>IF($O3539&lt;&gt;"",(1-$O3539)*Q3538,"")</f>
        <v>12.4773</v>
      </c>
      <c r="R3539" s="261"/>
      <c r="T3539" s="261">
        <f>P3539-0.2</f>
        <v>14.028500000000001</v>
      </c>
      <c r="U3539" s="261">
        <f>Q3539-0.2</f>
        <v>12.2773</v>
      </c>
      <c r="AH3539" s="202"/>
      <c r="AO3539" s="203"/>
    </row>
    <row r="3540" spans="1:41" x14ac:dyDescent="0.35">
      <c r="A3540" s="527" t="str">
        <f>"BiK430---HJ2" &amp; RIGHT(M3538,2)</f>
        <v>BiK430---HJ222</v>
      </c>
      <c r="B3540" s="526" t="s">
        <v>5547</v>
      </c>
      <c r="C3540" s="526" t="str">
        <f>"Inbetriebnahme 07-12/20" &amp; RIGHT(M3538,2)</f>
        <v>Inbetriebnahme 07-12/2022</v>
      </c>
      <c r="D3540" s="526" t="s">
        <v>1774</v>
      </c>
      <c r="E3540" s="526"/>
      <c r="F3540" s="538">
        <f>IF(HLOOKUP($D3540,$T$3537:$U$3539,MATCH(MID($A3540,10,3),$N$3537:$N$3539,0),FALSE)&lt;&gt;"",ROUND(HLOOKUP($D3540,$T$3537:$U$3539,MATCH(MID($A3540,10,3),$N$3537:$N$3539,0),FALSE),2),"")</f>
        <v>14.03</v>
      </c>
      <c r="G3540" s="537">
        <f>IF(HLOOKUP($D3540,$P$3537:$Q$3539,MATCH(MID($A3540,10,3),$N$3537:$N$3539,0),FALSE)&lt;&gt;"",ROUND(HLOOKUP($D3540,$P$3537:$Q$3539,MATCH(MID($A3540,10,3),$N$3537:$N$3539,0),FALSE),2),"")</f>
        <v>14.23</v>
      </c>
      <c r="H3540" s="641">
        <f t="shared" si="1393"/>
        <v>11.38</v>
      </c>
      <c r="I3540" s="574"/>
      <c r="J3540" s="549">
        <v>44536</v>
      </c>
      <c r="K3540" s="11"/>
      <c r="L3540" s="55"/>
      <c r="M3540" s="101"/>
      <c r="AH3540" s="202"/>
      <c r="AO3540" s="203"/>
    </row>
    <row r="3541" spans="1:41" x14ac:dyDescent="0.35">
      <c r="A3541" s="527" t="str">
        <f>"BiK431---HJ2" &amp; RIGHT(M3538,2)</f>
        <v>BiK431---HJ222</v>
      </c>
      <c r="B3541" s="526" t="s">
        <v>5547</v>
      </c>
      <c r="C3541" s="526" t="str">
        <f>"Inbetriebnahme 07-12/20" &amp; RIGHT(M3538,2)</f>
        <v>Inbetriebnahme 07-12/2022</v>
      </c>
      <c r="D3541" s="526" t="s">
        <v>71</v>
      </c>
      <c r="E3541" s="526"/>
      <c r="F3541" s="538">
        <f>IF(HLOOKUP($D3541,$T$3537:$U$3539,MATCH(MID($A3541,10,3),$N$3537:$N$3539,0),FALSE)&lt;&gt;"",ROUND(HLOOKUP($D3541,$T$3537:$U$3539,MATCH(MID($A3541,10,3),$N$3537:$N$3539,0),FALSE),2),"")</f>
        <v>12.28</v>
      </c>
      <c r="G3541" s="537">
        <f>IF(HLOOKUP($D3541,$P$3537:$Q$3539,MATCH(MID($A3541,10,3),$N$3537:$N$3539,0),FALSE)&lt;&gt;"",ROUND(HLOOKUP($D3541,$P$3537:$Q$3539,MATCH(MID($A3541,10,3),$N$3537:$N$3539,0),FALSE),2),"")</f>
        <v>12.48</v>
      </c>
      <c r="H3541" s="641">
        <f t="shared" si="1393"/>
        <v>9.98</v>
      </c>
      <c r="I3541" s="574"/>
      <c r="J3541" s="549">
        <v>44536</v>
      </c>
      <c r="K3541" s="11"/>
      <c r="L3541" s="55"/>
      <c r="M3541" s="37"/>
      <c r="N3541" s="519"/>
      <c r="O3541" s="461"/>
      <c r="P3541" s="261"/>
      <c r="Q3541" s="261"/>
      <c r="R3541" s="261"/>
      <c r="T3541" s="261"/>
      <c r="U3541" s="261"/>
      <c r="AH3541" s="202"/>
      <c r="AO3541" s="203"/>
    </row>
    <row r="3542" spans="1:41" x14ac:dyDescent="0.35">
      <c r="A3542" s="2"/>
      <c r="B3542" s="2"/>
      <c r="C3542" s="362"/>
      <c r="D3542" s="1"/>
      <c r="E3542" s="1"/>
      <c r="F3542" s="385"/>
      <c r="G3542" s="2"/>
      <c r="H3542" s="409" t="str">
        <f t="shared" si="1393"/>
        <v/>
      </c>
      <c r="I3542" s="588"/>
      <c r="J3542" s="549" t="s">
        <v>4179</v>
      </c>
      <c r="K3542" s="11"/>
      <c r="L3542" s="55"/>
      <c r="M3542" s="37"/>
      <c r="N3542" s="29"/>
      <c r="P3542" t="s">
        <v>1774</v>
      </c>
      <c r="Q3542" t="s">
        <v>71</v>
      </c>
      <c r="R3542" t="s">
        <v>49</v>
      </c>
      <c r="S3542" s="101" t="s">
        <v>2883</v>
      </c>
      <c r="T3542" t="s">
        <v>1774</v>
      </c>
      <c r="U3542" t="s">
        <v>71</v>
      </c>
      <c r="AH3542" s="202"/>
      <c r="AO3542" s="203"/>
    </row>
    <row r="3543" spans="1:41" x14ac:dyDescent="0.35">
      <c r="A3543" s="527" t="s">
        <v>7896</v>
      </c>
      <c r="B3543" s="526" t="s">
        <v>5547</v>
      </c>
      <c r="C3543" s="526" t="s">
        <v>7894</v>
      </c>
      <c r="D3543" s="526" t="s">
        <v>1774</v>
      </c>
      <c r="E3543" s="526"/>
      <c r="F3543" s="639">
        <f>IF(HLOOKUP($D3543,$T$3542:$U$3544,2,FALSE)&lt;&gt;"",ROUND(HLOOKUP($D3543,$T$3542:$U$3544,2,FALSE),2),"")</f>
        <v>13.96</v>
      </c>
      <c r="G3543" s="641">
        <f>IF(HLOOKUP($D3543,$P$3542:$Q$3544,2,FALSE)&lt;&gt;"",ROUND(HLOOKUP($D3543,$P$3542:$Q$3544,2,FALSE),2),"")</f>
        <v>14.16</v>
      </c>
      <c r="H3543" s="641">
        <f t="shared" si="1393"/>
        <v>11.33</v>
      </c>
      <c r="I3543" s="574"/>
      <c r="J3543" s="549">
        <f>J$31</f>
        <v>44896</v>
      </c>
      <c r="K3543" s="11"/>
      <c r="L3543" s="55"/>
      <c r="M3543" s="101">
        <v>2023</v>
      </c>
      <c r="N3543" s="519"/>
      <c r="O3543" s="697" t="s">
        <v>7656</v>
      </c>
      <c r="P3543" s="261">
        <v>14.16</v>
      </c>
      <c r="Q3543" s="261">
        <v>12.41</v>
      </c>
      <c r="R3543" s="261"/>
      <c r="T3543" s="261">
        <f>P3543-0.2</f>
        <v>13.96</v>
      </c>
      <c r="U3543" s="261">
        <f>Q3543-0.2</f>
        <v>12.21</v>
      </c>
      <c r="AH3543" s="202"/>
      <c r="AO3543" s="203"/>
    </row>
    <row r="3544" spans="1:41" x14ac:dyDescent="0.35">
      <c r="A3544" s="527" t="s">
        <v>7897</v>
      </c>
      <c r="B3544" s="526" t="s">
        <v>5547</v>
      </c>
      <c r="C3544" s="526" t="s">
        <v>7894</v>
      </c>
      <c r="D3544" s="526" t="s">
        <v>71</v>
      </c>
      <c r="E3544" s="526"/>
      <c r="F3544" s="639">
        <f>IF(HLOOKUP($D3544,$T$3542:$U$3544,2,FALSE)&lt;&gt;"",ROUND(HLOOKUP($D3544,$T$3542:$U$3544,2,FALSE),2),"")</f>
        <v>12.21</v>
      </c>
      <c r="G3544" s="641">
        <f>IF(HLOOKUP($D3544,$P$3542:$Q$3544,2,FALSE)&lt;&gt;"",ROUND(HLOOKUP($D3544,$P$3542:$Q$3544,2,FALSE),2),"")</f>
        <v>12.41</v>
      </c>
      <c r="H3544" s="641">
        <f t="shared" si="1393"/>
        <v>9.93</v>
      </c>
      <c r="I3544" s="574"/>
      <c r="J3544" s="549">
        <f>J$31</f>
        <v>44896</v>
      </c>
      <c r="K3544" s="11"/>
      <c r="L3544" s="55"/>
      <c r="M3544" s="37"/>
      <c r="N3544" s="519"/>
      <c r="O3544" s="697"/>
      <c r="P3544" s="261"/>
      <c r="Q3544" s="261"/>
      <c r="R3544" s="261"/>
      <c r="T3544" s="261"/>
      <c r="U3544" s="261"/>
      <c r="AH3544" s="202"/>
      <c r="AO3544" s="203"/>
    </row>
    <row r="3545" spans="1:41" x14ac:dyDescent="0.35">
      <c r="A3545" s="2"/>
      <c r="B3545" s="2"/>
      <c r="C3545" s="362"/>
      <c r="D3545" s="1"/>
      <c r="E3545" s="1"/>
      <c r="F3545" s="385"/>
      <c r="G3545" s="2"/>
      <c r="H3545" s="409" t="str">
        <f t="shared" si="1393"/>
        <v/>
      </c>
      <c r="I3545" s="588"/>
      <c r="J3545" s="549" t="s">
        <v>4179</v>
      </c>
      <c r="K3545" s="11"/>
      <c r="L3545" s="55"/>
      <c r="M3545" s="37"/>
      <c r="N3545" s="519" t="s">
        <v>7653</v>
      </c>
      <c r="O3545" s="542"/>
      <c r="P3545" t="s">
        <v>1774</v>
      </c>
      <c r="Q3545" t="s">
        <v>71</v>
      </c>
      <c r="R3545" t="s">
        <v>49</v>
      </c>
      <c r="S3545" s="101" t="s">
        <v>2883</v>
      </c>
      <c r="T3545" t="s">
        <v>1774</v>
      </c>
      <c r="U3545" t="s">
        <v>71</v>
      </c>
      <c r="AH3545" s="202"/>
      <c r="AO3545" s="203"/>
    </row>
    <row r="3546" spans="1:41" x14ac:dyDescent="0.35">
      <c r="A3546" s="527" t="str">
        <f>"BiK430---HJ1" &amp; RIGHT(M3546,2)</f>
        <v>BiK430---HJ124</v>
      </c>
      <c r="B3546" s="526" t="s">
        <v>5547</v>
      </c>
      <c r="C3546" s="526" t="str">
        <f>"Inbetriebnahme 01-06/20" &amp; RIGHT(M3546,2)</f>
        <v>Inbetriebnahme 01-06/2024</v>
      </c>
      <c r="D3546" s="526" t="s">
        <v>1774</v>
      </c>
      <c r="E3546" s="526"/>
      <c r="F3546" s="538">
        <f>IF(HLOOKUP($D3546,$T3545:$U3547,MATCH(MID($A3546,10,3),$N3545:$N3547,0),FALSE)&lt;&gt;"",ROUND(HLOOKUP($D3546,$T3545:$U3547,MATCH(MID($A3546,10,3),$N3545:$N3547,0),FALSE),2),"")</f>
        <v>13.96</v>
      </c>
      <c r="G3546" s="537">
        <f>IF(HLOOKUP($D3546,$P3545:$Q3547,MATCH(MID($A3546,10,3),$N3545:$N3547,0),FALSE)&lt;&gt;"",ROUND(HLOOKUP($D3546,$P3545:$Q3547,MATCH(MID($A3546,10,3),$N3545:$N3547,0),FALSE),2),"")</f>
        <v>14.16</v>
      </c>
      <c r="H3546" s="641">
        <f t="shared" si="1393"/>
        <v>11.33</v>
      </c>
      <c r="I3546" s="574"/>
      <c r="J3546" s="549">
        <v>45268</v>
      </c>
      <c r="K3546" s="11"/>
      <c r="L3546" s="55"/>
      <c r="M3546" s="101">
        <v>2024</v>
      </c>
      <c r="N3546" s="519" t="s">
        <v>7651</v>
      </c>
      <c r="O3546" s="461">
        <v>0</v>
      </c>
      <c r="P3546" s="261">
        <f>P3543</f>
        <v>14.16</v>
      </c>
      <c r="Q3546" s="261">
        <f>Q3543</f>
        <v>12.41</v>
      </c>
      <c r="R3546" s="261"/>
      <c r="T3546" s="261">
        <f>P3546-0.2</f>
        <v>13.96</v>
      </c>
      <c r="U3546" s="261">
        <f>Q3546-0.2</f>
        <v>12.21</v>
      </c>
      <c r="AH3546" s="202"/>
      <c r="AO3546" s="203"/>
    </row>
    <row r="3547" spans="1:41" x14ac:dyDescent="0.35">
      <c r="A3547" s="527" t="str">
        <f>"BiK431---HJ1" &amp; RIGHT(M3546,2)</f>
        <v>BiK431---HJ124</v>
      </c>
      <c r="B3547" s="526" t="s">
        <v>5547</v>
      </c>
      <c r="C3547" s="526" t="str">
        <f>"Inbetriebnahme 01-06/20" &amp; RIGHT(M3546,2)</f>
        <v>Inbetriebnahme 01-06/2024</v>
      </c>
      <c r="D3547" s="526" t="s">
        <v>71</v>
      </c>
      <c r="E3547" s="526"/>
      <c r="F3547" s="538">
        <f>IF(HLOOKUP($D3547,$T3545:$U3547,MATCH(MID($A3547,10,3),$N3545:$N3547,0),FALSE)&lt;&gt;"",ROUND(HLOOKUP($D3547,$T3545:$U3547,MATCH(MID($A3547,10,3),$N3545:$N3547,0),FALSE),2),"")</f>
        <v>12.21</v>
      </c>
      <c r="G3547" s="537">
        <f>IF(HLOOKUP($D3547,$P3545:$Q3547,MATCH(MID($A3547,10,3),$N3545:$N3547,0),FALSE)&lt;&gt;"",ROUND(HLOOKUP($D3547,$P3545:$Q3547,MATCH(MID($A3547,10,3),$N3545:$N3547,0),FALSE),2),"")</f>
        <v>12.41</v>
      </c>
      <c r="H3547" s="641">
        <f t="shared" si="1393"/>
        <v>9.93</v>
      </c>
      <c r="I3547" s="574"/>
      <c r="J3547" s="549">
        <v>45268</v>
      </c>
      <c r="K3547" s="11"/>
      <c r="L3547" s="55"/>
      <c r="M3547" s="37"/>
      <c r="N3547" s="519" t="s">
        <v>7652</v>
      </c>
      <c r="O3547" s="461">
        <v>5.0000000000000001E-3</v>
      </c>
      <c r="P3547" s="261">
        <f>IF($O3547&lt;&gt;"",(1-$O3547)*P3546,"")</f>
        <v>14.0892</v>
      </c>
      <c r="Q3547" s="261">
        <f>IF($O3547&lt;&gt;"",(1-$O3547)*Q3546,"")</f>
        <v>12.347950000000001</v>
      </c>
      <c r="R3547" s="261"/>
      <c r="T3547" s="261">
        <f>P3547-0.2</f>
        <v>13.889200000000001</v>
      </c>
      <c r="U3547" s="261">
        <f>Q3547-0.2</f>
        <v>12.147950000000002</v>
      </c>
      <c r="AH3547" s="202"/>
      <c r="AO3547" s="203"/>
    </row>
    <row r="3548" spans="1:41" x14ac:dyDescent="0.35">
      <c r="A3548" s="527" t="str">
        <f>"BiK430---HJ2" &amp; RIGHT(M3546,2)</f>
        <v>BiK430---HJ224</v>
      </c>
      <c r="B3548" s="526" t="s">
        <v>5547</v>
      </c>
      <c r="C3548" s="526" t="str">
        <f>"Inbetriebnahme 07-12/20" &amp; RIGHT(M3546,2)</f>
        <v>Inbetriebnahme 07-12/2024</v>
      </c>
      <c r="D3548" s="526" t="s">
        <v>1774</v>
      </c>
      <c r="E3548" s="526"/>
      <c r="F3548" s="538">
        <f>IF(HLOOKUP($D3548,$T3545:$U3547,MATCH(MID($A3548,10,3),$N3545:$N3547,0),FALSE)&lt;&gt;"",ROUND(HLOOKUP($D3548,$T3545:$U3547,MATCH(MID($A3548,10,3),$N3545:$N3547,0),FALSE),2),"")</f>
        <v>13.89</v>
      </c>
      <c r="G3548" s="537">
        <f>IF(HLOOKUP($D3548,$P3545:$Q3547,MATCH(MID($A3548,10,3),$N3545:$N3547,0),FALSE)&lt;&gt;"",ROUND(HLOOKUP($D3548,$P3545:$Q3547,MATCH(MID($A3548,10,3),$N3545:$N3547,0),FALSE),2),"")</f>
        <v>14.09</v>
      </c>
      <c r="H3548" s="641">
        <f t="shared" si="1393"/>
        <v>11.27</v>
      </c>
      <c r="I3548" s="574"/>
      <c r="J3548" s="549">
        <v>45268</v>
      </c>
      <c r="K3548" s="11"/>
      <c r="L3548" s="55"/>
      <c r="M3548" s="101"/>
      <c r="AH3548" s="202"/>
      <c r="AO3548" s="203"/>
    </row>
    <row r="3549" spans="1:41" x14ac:dyDescent="0.35">
      <c r="A3549" s="527" t="str">
        <f>"BiK431---HJ2" &amp; RIGHT(M3546,2)</f>
        <v>BiK431---HJ224</v>
      </c>
      <c r="B3549" s="526" t="s">
        <v>5547</v>
      </c>
      <c r="C3549" s="526" t="str">
        <f>"Inbetriebnahme 07-12/20" &amp; RIGHT(M3546,2)</f>
        <v>Inbetriebnahme 07-12/2024</v>
      </c>
      <c r="D3549" s="526" t="s">
        <v>71</v>
      </c>
      <c r="E3549" s="526"/>
      <c r="F3549" s="538">
        <f>IF(HLOOKUP($D3549,$T3545:$U3547,MATCH(MID($A3549,10,3),$N3545:$N3547,0),FALSE)&lt;&gt;"",ROUND(HLOOKUP($D3549,$T3545:$U3547,MATCH(MID($A3549,10,3),$N3545:$N3547,0),FALSE),2),"")</f>
        <v>12.15</v>
      </c>
      <c r="G3549" s="537">
        <f>IF(HLOOKUP($D3549,$P3545:$Q3547,MATCH(MID($A3549,10,3),$N3545:$N3547,0),FALSE)&lt;&gt;"",ROUND(HLOOKUP($D3549,$P3545:$Q3547,MATCH(MID($A3549,10,3),$N3545:$N3547,0),FALSE),2),"")</f>
        <v>12.35</v>
      </c>
      <c r="H3549" s="641">
        <f t="shared" si="1393"/>
        <v>9.8800000000000008</v>
      </c>
      <c r="I3549" s="574"/>
      <c r="J3549" s="549">
        <v>45268</v>
      </c>
      <c r="K3549" s="11"/>
      <c r="L3549" s="55"/>
      <c r="M3549" s="37"/>
      <c r="N3549" s="519"/>
      <c r="O3549" s="461"/>
      <c r="P3549" s="261"/>
      <c r="Q3549" s="261"/>
      <c r="R3549" s="261"/>
      <c r="T3549" s="261"/>
      <c r="U3549" s="261"/>
      <c r="AH3549" s="202"/>
      <c r="AO3549" s="203"/>
    </row>
    <row r="3550" spans="1:41" x14ac:dyDescent="0.35">
      <c r="A3550" s="2"/>
      <c r="B3550" s="2"/>
      <c r="C3550" s="2"/>
      <c r="D3550" s="2"/>
      <c r="E3550" s="2"/>
      <c r="F3550" s="385"/>
      <c r="G3550" s="2"/>
      <c r="H3550" s="409"/>
      <c r="I3550" s="588"/>
      <c r="J3550" s="549" t="s">
        <v>4179</v>
      </c>
      <c r="K3550" s="11"/>
      <c r="L3550" s="55"/>
      <c r="M3550" s="37"/>
      <c r="AH3550" s="202"/>
      <c r="AO3550" s="203"/>
    </row>
    <row r="3551" spans="1:41" x14ac:dyDescent="0.35">
      <c r="A3551" s="2"/>
      <c r="B3551" s="2"/>
      <c r="C3551" s="2"/>
      <c r="D3551" s="2"/>
      <c r="E3551" s="2"/>
      <c r="F3551" s="385"/>
      <c r="G3551" s="2"/>
      <c r="H3551" s="409"/>
      <c r="I3551" s="588"/>
      <c r="J3551" s="549" t="s">
        <v>4179</v>
      </c>
      <c r="K3551" s="11"/>
      <c r="L3551" s="55"/>
      <c r="M3551" s="37"/>
      <c r="AH3551" s="202"/>
      <c r="AO3551" s="203"/>
    </row>
    <row r="3552" spans="1:41" ht="20.25" customHeight="1" x14ac:dyDescent="0.35">
      <c r="A3552" s="212" t="s">
        <v>1772</v>
      </c>
      <c r="B3552" s="1"/>
      <c r="C3552" s="1"/>
      <c r="D3552" s="1"/>
      <c r="E3552" s="1"/>
      <c r="F3552" s="362"/>
      <c r="G3552" s="10"/>
      <c r="H3552" s="10" t="str">
        <f t="shared" ref="H3552:H3559" si="1394">IF(ISNUMBER(G3552),ROUND(0.8*G3552,2),"")</f>
        <v/>
      </c>
      <c r="I3552" s="566"/>
      <c r="J3552" s="549" t="s">
        <v>5804</v>
      </c>
      <c r="K3552" s="9"/>
      <c r="M3552" s="22"/>
      <c r="N3552" s="11"/>
      <c r="O3552" s="11"/>
      <c r="R3552" s="95"/>
    </row>
    <row r="3553" spans="1:24" x14ac:dyDescent="0.35">
      <c r="A3553" s="2"/>
      <c r="B3553" s="1"/>
      <c r="C3553" s="1"/>
      <c r="D3553" s="1"/>
      <c r="E3553" s="1"/>
      <c r="F3553" s="362"/>
      <c r="G3553" s="10"/>
      <c r="H3553" s="10" t="str">
        <f t="shared" si="1394"/>
        <v/>
      </c>
      <c r="I3553" s="566"/>
      <c r="J3553" s="549" t="s">
        <v>4179</v>
      </c>
      <c r="K3553" s="9"/>
      <c r="M3553">
        <v>2012</v>
      </c>
      <c r="N3553" s="11"/>
      <c r="O3553" s="86"/>
      <c r="R3553" s="219"/>
    </row>
    <row r="3554" spans="1:24" s="187" customFormat="1" ht="57.75" customHeight="1" x14ac:dyDescent="0.2">
      <c r="A3554" s="180"/>
      <c r="B3554" s="181"/>
      <c r="C3554" s="182"/>
      <c r="D3554" s="182"/>
      <c r="E3554" s="181"/>
      <c r="F3554" s="380"/>
      <c r="G3554" s="183"/>
      <c r="H3554" s="404" t="str">
        <f t="shared" si="1394"/>
        <v/>
      </c>
      <c r="I3554" s="582"/>
      <c r="J3554" s="549" t="s">
        <v>4179</v>
      </c>
      <c r="K3554" s="184"/>
      <c r="L3554" s="184"/>
      <c r="M3554" s="191" t="s">
        <v>2913</v>
      </c>
      <c r="N3554" s="192" t="s">
        <v>510</v>
      </c>
      <c r="O3554" s="216" t="s">
        <v>496</v>
      </c>
      <c r="R3554" s="95" t="s">
        <v>505</v>
      </c>
      <c r="S3554" s="214"/>
      <c r="T3554" s="214"/>
      <c r="U3554" s="214"/>
      <c r="V3554" s="214"/>
      <c r="W3554" s="214"/>
      <c r="X3554" s="214"/>
    </row>
    <row r="3555" spans="1:24" x14ac:dyDescent="0.35">
      <c r="A3555" s="500" t="s">
        <v>1770</v>
      </c>
      <c r="B3555" s="225" t="s">
        <v>5547</v>
      </c>
      <c r="C3555" s="225" t="s">
        <v>1984</v>
      </c>
      <c r="D3555" s="225" t="s">
        <v>1773</v>
      </c>
      <c r="E3555" s="225"/>
      <c r="F3555" s="382">
        <v>25</v>
      </c>
      <c r="G3555" s="438">
        <v>25</v>
      </c>
      <c r="H3555" s="405">
        <f t="shared" si="1394"/>
        <v>20</v>
      </c>
      <c r="I3555" s="584"/>
      <c r="J3555" s="549" t="s">
        <v>5804</v>
      </c>
      <c r="K3555" s="11"/>
      <c r="L3555" s="55" t="s">
        <v>4179</v>
      </c>
      <c r="M3555" s="37">
        <v>25</v>
      </c>
      <c r="N3555" s="29">
        <v>25</v>
      </c>
      <c r="O3555" s="11"/>
      <c r="R3555" s="219">
        <v>0.02</v>
      </c>
    </row>
    <row r="3556" spans="1:24" s="187" customFormat="1" x14ac:dyDescent="0.2">
      <c r="A3556" s="508"/>
      <c r="B3556" s="181"/>
      <c r="C3556" s="182"/>
      <c r="D3556" s="182"/>
      <c r="E3556" s="181"/>
      <c r="F3556" s="380"/>
      <c r="G3556" s="436"/>
      <c r="H3556" s="404" t="str">
        <f t="shared" si="1394"/>
        <v/>
      </c>
      <c r="I3556" s="582"/>
      <c r="J3556" s="549" t="s">
        <v>4179</v>
      </c>
      <c r="K3556" s="184"/>
      <c r="L3556" s="184"/>
      <c r="M3556" s="191"/>
      <c r="N3556" s="192"/>
      <c r="O3556" s="216"/>
      <c r="R3556" s="95"/>
      <c r="S3556" s="214"/>
      <c r="T3556" s="214"/>
      <c r="U3556" s="214"/>
      <c r="V3556" s="214"/>
      <c r="W3556" s="214"/>
      <c r="X3556" s="214"/>
    </row>
    <row r="3557" spans="1:24" x14ac:dyDescent="0.35">
      <c r="A3557" s="502" t="s">
        <v>4697</v>
      </c>
      <c r="B3557" s="301" t="s">
        <v>5547</v>
      </c>
      <c r="C3557" s="301" t="s">
        <v>4675</v>
      </c>
      <c r="D3557" s="301" t="s">
        <v>1773</v>
      </c>
      <c r="E3557" s="301"/>
      <c r="F3557" s="377">
        <f>M3557</f>
        <v>24.5</v>
      </c>
      <c r="G3557" s="433">
        <v>24.5</v>
      </c>
      <c r="H3557" s="402">
        <f t="shared" si="1394"/>
        <v>19.600000000000001</v>
      </c>
      <c r="I3557" s="579"/>
      <c r="J3557" s="549" t="s">
        <v>5804</v>
      </c>
      <c r="K3557" s="11"/>
      <c r="L3557" s="55" t="s">
        <v>4179</v>
      </c>
      <c r="M3557" s="37">
        <f>ROUND(N3557,2)</f>
        <v>24.5</v>
      </c>
      <c r="N3557" s="29">
        <f>N3555*(1-$R$3555)</f>
        <v>24.5</v>
      </c>
      <c r="O3557" s="11"/>
      <c r="R3557" s="219"/>
    </row>
    <row r="3558" spans="1:24" x14ac:dyDescent="0.35">
      <c r="A3558" s="508"/>
      <c r="B3558" s="181"/>
      <c r="C3558" s="181"/>
      <c r="D3558" s="181"/>
      <c r="E3558" s="181"/>
      <c r="F3558" s="380"/>
      <c r="G3558" s="439"/>
      <c r="H3558" s="406" t="str">
        <f t="shared" si="1394"/>
        <v/>
      </c>
      <c r="I3558" s="585"/>
      <c r="J3558" s="549" t="s">
        <v>4179</v>
      </c>
      <c r="K3558" s="184"/>
      <c r="L3558" s="184"/>
      <c r="M3558" s="323"/>
      <c r="N3558" s="29"/>
      <c r="O3558" s="11"/>
    </row>
    <row r="3559" spans="1:24" x14ac:dyDescent="0.35">
      <c r="A3559" s="502" t="s">
        <v>1668</v>
      </c>
      <c r="B3559" s="301" t="s">
        <v>5547</v>
      </c>
      <c r="C3559" s="301" t="s">
        <v>1647</v>
      </c>
      <c r="D3559" s="301" t="s">
        <v>1773</v>
      </c>
      <c r="E3559" s="301"/>
      <c r="F3559" s="377">
        <f>M3559</f>
        <v>24.01</v>
      </c>
      <c r="G3559" s="429">
        <v>24.01</v>
      </c>
      <c r="H3559" s="303">
        <f t="shared" si="1394"/>
        <v>19.21</v>
      </c>
      <c r="I3559" s="579"/>
      <c r="J3559" s="549" t="s">
        <v>5804</v>
      </c>
      <c r="K3559" s="11"/>
      <c r="L3559" s="55" t="s">
        <v>4179</v>
      </c>
      <c r="M3559" s="315">
        <f>ROUND(N3559,2)</f>
        <v>24.01</v>
      </c>
      <c r="N3559" s="29">
        <f>N3557*(1-$R$3555)</f>
        <v>24.009999999999998</v>
      </c>
      <c r="O3559" s="11"/>
    </row>
    <row r="3560" spans="1:24" x14ac:dyDescent="0.35">
      <c r="A3560" s="2"/>
      <c r="B3560" s="1"/>
      <c r="C3560" s="1"/>
      <c r="D3560" s="1"/>
      <c r="E3560" s="1"/>
      <c r="F3560" s="362"/>
      <c r="G3560" s="10"/>
      <c r="H3560" s="10"/>
      <c r="I3560" s="566"/>
      <c r="J3560" s="549" t="s">
        <v>4179</v>
      </c>
      <c r="K3560" s="9"/>
      <c r="M3560" s="22"/>
      <c r="N3560" s="11"/>
      <c r="O3560" s="11"/>
    </row>
    <row r="3561" spans="1:24" s="207" customFormat="1" ht="20.25" customHeight="1" x14ac:dyDescent="0.35">
      <c r="A3561" s="212" t="s">
        <v>74</v>
      </c>
      <c r="B3561" s="204"/>
      <c r="C3561" s="204"/>
      <c r="D3561" s="204"/>
      <c r="E3561" s="204"/>
      <c r="F3561" s="381"/>
      <c r="G3561" s="205"/>
      <c r="H3561" s="205"/>
      <c r="I3561" s="583"/>
      <c r="J3561" s="549" t="s">
        <v>4179</v>
      </c>
      <c r="K3561" s="206"/>
      <c r="M3561" s="208" t="s">
        <v>76</v>
      </c>
      <c r="N3561" s="209"/>
      <c r="O3561" s="209"/>
    </row>
    <row r="3562" spans="1:24" x14ac:dyDescent="0.35">
      <c r="A3562" s="2"/>
      <c r="B3562" s="1"/>
      <c r="C3562" s="1"/>
      <c r="D3562" s="1"/>
      <c r="E3562" s="1"/>
      <c r="F3562" s="362"/>
      <c r="G3562" s="10"/>
      <c r="H3562" s="10" t="str">
        <f>IF(ISNUMBER(G3562),ROUND(0.8*G3562,2),"")</f>
        <v/>
      </c>
      <c r="I3562" s="566"/>
      <c r="J3562" s="549" t="s">
        <v>4179</v>
      </c>
      <c r="N3562" s="29" t="s">
        <v>5489</v>
      </c>
      <c r="O3562" t="s">
        <v>1773</v>
      </c>
    </row>
    <row r="3563" spans="1:24" x14ac:dyDescent="0.35">
      <c r="A3563" s="495" t="s">
        <v>75</v>
      </c>
      <c r="B3563" s="356" t="s">
        <v>5547</v>
      </c>
      <c r="C3563" s="356" t="s">
        <v>39</v>
      </c>
      <c r="D3563" s="356" t="s">
        <v>1773</v>
      </c>
      <c r="E3563" s="356"/>
      <c r="F3563" s="369">
        <f>ROUND(HLOOKUP(D3563,O3562:Q3564,3,FALSE),2)</f>
        <v>23.53</v>
      </c>
      <c r="G3563" s="357">
        <f>ROUND(HLOOKUP(D3563,O3562:Q3564,2,FALSE),2)</f>
        <v>23.73</v>
      </c>
      <c r="H3563" s="357">
        <f>IF(ISNUMBER(G3563),ROUND(0.8*G3563,2),"")</f>
        <v>18.98</v>
      </c>
      <c r="I3563" s="573"/>
      <c r="J3563" s="549" t="s">
        <v>5804</v>
      </c>
      <c r="M3563" s="101">
        <v>2014</v>
      </c>
      <c r="N3563" s="322" t="s">
        <v>91</v>
      </c>
      <c r="O3563" s="261">
        <v>23.73</v>
      </c>
      <c r="P3563" s="261"/>
      <c r="Q3563" t="s">
        <v>49</v>
      </c>
    </row>
    <row r="3564" spans="1:24" x14ac:dyDescent="0.35">
      <c r="A3564" s="496"/>
      <c r="B3564" s="1"/>
      <c r="C3564" s="1"/>
      <c r="D3564" s="1"/>
      <c r="E3564" s="1"/>
      <c r="F3564" s="362"/>
      <c r="G3564" s="10"/>
      <c r="H3564" s="10"/>
      <c r="I3564" s="566"/>
      <c r="J3564" s="549" t="s">
        <v>4179</v>
      </c>
      <c r="N3564" s="322" t="s">
        <v>85</v>
      </c>
      <c r="O3564" s="261">
        <f>O3563-0.2</f>
        <v>23.53</v>
      </c>
      <c r="P3564" s="261"/>
      <c r="Q3564" t="s">
        <v>50</v>
      </c>
    </row>
    <row r="3565" spans="1:24" x14ac:dyDescent="0.35">
      <c r="A3565" s="496"/>
      <c r="B3565" s="1"/>
      <c r="C3565" s="1"/>
      <c r="D3565" s="1"/>
      <c r="E3565" s="1"/>
      <c r="F3565" s="362"/>
      <c r="G3565" s="10"/>
      <c r="H3565" s="10" t="str">
        <f>IF(ISNUMBER(G3565),ROUND(0.8*G3565,2),"")</f>
        <v/>
      </c>
      <c r="I3565" s="566"/>
      <c r="J3565" s="549" t="s">
        <v>4179</v>
      </c>
      <c r="N3565" s="29" t="s">
        <v>5489</v>
      </c>
      <c r="O3565" t="s">
        <v>1773</v>
      </c>
    </row>
    <row r="3566" spans="1:24" x14ac:dyDescent="0.35">
      <c r="A3566" s="495" t="s">
        <v>395</v>
      </c>
      <c r="B3566" s="356" t="s">
        <v>5547</v>
      </c>
      <c r="C3566" s="356" t="s">
        <v>380</v>
      </c>
      <c r="D3566" s="356" t="s">
        <v>1773</v>
      </c>
      <c r="E3566" s="356"/>
      <c r="F3566" s="369">
        <f>ROUND(HLOOKUP(D3566,O3565:Q3567,3,FALSE),2)</f>
        <v>23.53</v>
      </c>
      <c r="G3566" s="357">
        <f>ROUND(HLOOKUP(D3566,O3565:Q3567,2,FALSE),2)</f>
        <v>23.73</v>
      </c>
      <c r="H3566" s="357">
        <f>IF(ISNUMBER(G3566),ROUND(0.8*G3566,2),"")</f>
        <v>18.98</v>
      </c>
      <c r="I3566" s="573"/>
      <c r="J3566" s="549" t="s">
        <v>5804</v>
      </c>
      <c r="M3566" s="101">
        <v>2015</v>
      </c>
      <c r="N3566" s="322" t="s">
        <v>91</v>
      </c>
      <c r="O3566" s="261">
        <v>23.73</v>
      </c>
      <c r="P3566" s="261"/>
      <c r="Q3566" t="s">
        <v>49</v>
      </c>
    </row>
    <row r="3567" spans="1:24" x14ac:dyDescent="0.35">
      <c r="A3567" s="2"/>
      <c r="B3567" s="1"/>
      <c r="C3567" s="1"/>
      <c r="D3567" s="1"/>
      <c r="E3567" s="1"/>
      <c r="F3567" s="362"/>
      <c r="G3567" s="10"/>
      <c r="H3567" s="10"/>
      <c r="I3567" s="566"/>
      <c r="J3567" s="549" t="s">
        <v>4179</v>
      </c>
      <c r="N3567" s="322" t="s">
        <v>85</v>
      </c>
      <c r="O3567" s="261">
        <f>O3566-0.2</f>
        <v>23.53</v>
      </c>
      <c r="P3567" s="261"/>
      <c r="Q3567" t="s">
        <v>50</v>
      </c>
    </row>
    <row r="3568" spans="1:24" x14ac:dyDescent="0.35">
      <c r="A3568" s="496"/>
      <c r="B3568" s="1"/>
      <c r="C3568" s="1"/>
      <c r="D3568" s="1"/>
      <c r="E3568" s="1"/>
      <c r="F3568" s="362"/>
      <c r="G3568" s="10"/>
      <c r="H3568" s="10" t="str">
        <f>IF(ISNUMBER(G3568),ROUND(0.8*G3568,2),"")</f>
        <v/>
      </c>
      <c r="I3568" s="566"/>
      <c r="J3568" s="549" t="s">
        <v>4179</v>
      </c>
      <c r="N3568" s="29" t="s">
        <v>5489</v>
      </c>
      <c r="O3568" t="s">
        <v>1773</v>
      </c>
    </row>
    <row r="3569" spans="1:20" x14ac:dyDescent="0.35">
      <c r="A3569" s="495" t="s">
        <v>5705</v>
      </c>
      <c r="B3569" s="356" t="s">
        <v>5547</v>
      </c>
      <c r="C3569" s="356" t="s">
        <v>5676</v>
      </c>
      <c r="D3569" s="356" t="s">
        <v>1773</v>
      </c>
      <c r="E3569" s="356"/>
      <c r="F3569" s="369">
        <f>IF(VLOOKUP(MID($A3569,11,2),$N$3569:$S$3572,6,FALSE)&lt;&gt;"",ROUND(VLOOKUP(MID($A3569,11,2),$N$3569:$S$3572,6,FALSE),2),"")</f>
        <v>23.41</v>
      </c>
      <c r="G3569" s="357">
        <f>IF(VLOOKUP(MID($A3569,11,2),$N$3569:$S$3572,3,FALSE)&lt;&gt;"",ROUND(VLOOKUP(MID($A3569,11,2),$N$3569:$S$3572,3,FALSE),2),"")</f>
        <v>23.61</v>
      </c>
      <c r="H3569" s="357">
        <f>IF(ISNUMBER(G3569),ROUND(0.8*G3569,2),"")</f>
        <v>18.89</v>
      </c>
      <c r="I3569" s="573"/>
      <c r="J3569" s="549" t="s">
        <v>5804</v>
      </c>
      <c r="M3569" s="101">
        <v>2016</v>
      </c>
      <c r="N3569" s="521" t="s">
        <v>5758</v>
      </c>
      <c r="O3569" s="461">
        <v>5.0000000000000001E-3</v>
      </c>
      <c r="P3569" s="261">
        <f>IF($O3569&lt;&gt;"",(1-$O3569)*O3566,"")</f>
        <v>23.611350000000002</v>
      </c>
      <c r="Q3569" t="s">
        <v>49</v>
      </c>
      <c r="R3569" s="101" t="s">
        <v>2883</v>
      </c>
      <c r="S3569" s="261">
        <f>IF($O3569&lt;&gt;"",(1-$O3569)*O3567,"")</f>
        <v>23.41235</v>
      </c>
      <c r="T3569" t="s">
        <v>50</v>
      </c>
    </row>
    <row r="3570" spans="1:20" x14ac:dyDescent="0.35">
      <c r="A3570" s="495" t="s">
        <v>5706</v>
      </c>
      <c r="B3570" s="356" t="s">
        <v>5547</v>
      </c>
      <c r="C3570" s="356" t="s">
        <v>5694</v>
      </c>
      <c r="D3570" s="356" t="s">
        <v>1773</v>
      </c>
      <c r="E3570" s="356"/>
      <c r="F3570" s="369">
        <f>IF(VLOOKUP(MID($A3570,11,2),$N$3569:$S$3572,6,FALSE)&lt;&gt;"",ROUND(VLOOKUP(MID($A3570,11,2),$N$3569:$S$3572,6,FALSE),2),"")</f>
        <v>23.3</v>
      </c>
      <c r="G3570" s="357">
        <f>IF(VLOOKUP(MID($A3570,11,2),$N$3569:$S$3572,3,FALSE)&lt;&gt;"",ROUND(VLOOKUP(MID($A3570,11,2),$N$3569:$S$3572,3,FALSE),2),"")</f>
        <v>23.49</v>
      </c>
      <c r="H3570" s="357">
        <f>IF(ISNUMBER(G3570),ROUND(0.8*G3570,2),"")</f>
        <v>18.79</v>
      </c>
      <c r="I3570" s="573"/>
      <c r="J3570" s="549" t="s">
        <v>5804</v>
      </c>
      <c r="M3570" s="101"/>
      <c r="N3570" s="519" t="s">
        <v>5759</v>
      </c>
      <c r="O3570" s="461">
        <v>5.0000000000000001E-3</v>
      </c>
      <c r="P3570" s="261">
        <f>IF($O3570&lt;&gt;"",(1-$O3570)*P3569,"")</f>
        <v>23.493293250000001</v>
      </c>
      <c r="S3570" s="261">
        <f>IF($O3570&lt;&gt;"",(1-$O3570)*S3569,"")</f>
        <v>23.295288249999999</v>
      </c>
      <c r="T3570" s="261"/>
    </row>
    <row r="3571" spans="1:20" x14ac:dyDescent="0.35">
      <c r="A3571" s="495" t="s">
        <v>5707</v>
      </c>
      <c r="B3571" s="356" t="s">
        <v>5547</v>
      </c>
      <c r="C3571" s="356" t="s">
        <v>5695</v>
      </c>
      <c r="D3571" s="356" t="s">
        <v>1773</v>
      </c>
      <c r="E3571" s="356"/>
      <c r="F3571" s="369">
        <f>IF(VLOOKUP(MID($A3571,11,2),$N$3569:$S$3572,6,FALSE)&lt;&gt;"",ROUND(VLOOKUP(MID($A3571,11,2),$N$3569:$S$3572,6,FALSE),2),"")</f>
        <v>23.18</v>
      </c>
      <c r="G3571" s="357">
        <f>IF(VLOOKUP(MID($A3571,11,2),$N$3569:$S$3572,3,FALSE)&lt;&gt;"",ROUND(VLOOKUP(MID($A3571,11,2),$N$3569:$S$3572,3,FALSE),2),"")</f>
        <v>23.38</v>
      </c>
      <c r="H3571" s="357">
        <f>IF(ISNUMBER(G3571),ROUND(0.8*G3571,2),"")</f>
        <v>18.7</v>
      </c>
      <c r="I3571" s="573"/>
      <c r="J3571" s="549" t="s">
        <v>5804</v>
      </c>
      <c r="M3571" s="101"/>
      <c r="N3571" s="519" t="s">
        <v>5760</v>
      </c>
      <c r="O3571" s="461">
        <v>5.0000000000000001E-3</v>
      </c>
      <c r="P3571" s="261">
        <f>IF($O3571&lt;&gt;"",(1-$O3571)*P3570,"")</f>
        <v>23.37582678375</v>
      </c>
      <c r="S3571" s="261">
        <f>IF($O3571&lt;&gt;"",(1-$O3571)*S3570,"")</f>
        <v>23.178811808749998</v>
      </c>
      <c r="T3571" s="261"/>
    </row>
    <row r="3572" spans="1:20" x14ac:dyDescent="0.35">
      <c r="A3572" s="495" t="s">
        <v>5708</v>
      </c>
      <c r="B3572" s="356" t="s">
        <v>5547</v>
      </c>
      <c r="C3572" s="356" t="s">
        <v>5696</v>
      </c>
      <c r="D3572" s="356" t="s">
        <v>1773</v>
      </c>
      <c r="E3572" s="356"/>
      <c r="F3572" s="369">
        <f>IF(VLOOKUP(MID($A3572,11,2),$N$3569:$S$3572,6,FALSE)&lt;&gt;"",ROUND(VLOOKUP(MID($A3572,11,2),$N$3569:$S$3572,6,FALSE),2),"")</f>
        <v>23.06</v>
      </c>
      <c r="G3572" s="357">
        <f>IF(VLOOKUP(MID($A3572,11,2),$N$3569:$S$3572,3,FALSE)&lt;&gt;"",ROUND(VLOOKUP(MID($A3572,11,2),$N$3569:$S$3572,3,FALSE),2),"")</f>
        <v>23.26</v>
      </c>
      <c r="H3572" s="357">
        <f>IF(ISNUMBER(G3572),ROUND(0.8*G3572,2),"")</f>
        <v>18.61</v>
      </c>
      <c r="I3572" s="573"/>
      <c r="J3572" s="549" t="s">
        <v>5804</v>
      </c>
      <c r="M3572" s="101"/>
      <c r="N3572" s="519" t="s">
        <v>5761</v>
      </c>
      <c r="O3572" s="461">
        <v>5.0000000000000001E-3</v>
      </c>
      <c r="P3572" s="261">
        <f>IF($O3572&lt;&gt;"",(1-$O3572)*P3571,"")</f>
        <v>23.258947649831249</v>
      </c>
      <c r="S3572" s="261">
        <f>IF($O3572&lt;&gt;"",(1-$O3572)*S3571,"")</f>
        <v>23.062917749706248</v>
      </c>
      <c r="T3572" s="261"/>
    </row>
    <row r="3573" spans="1:20" x14ac:dyDescent="0.35">
      <c r="A3573" s="2"/>
      <c r="B3573" s="1"/>
      <c r="C3573" s="1"/>
      <c r="D3573" s="1"/>
      <c r="E3573" s="1"/>
      <c r="F3573" s="362"/>
      <c r="G3573" s="10"/>
      <c r="H3573" s="10"/>
      <c r="I3573" s="566"/>
      <c r="J3573" s="549" t="s">
        <v>4179</v>
      </c>
      <c r="K3573" s="9"/>
      <c r="M3573" s="22"/>
      <c r="N3573" s="11"/>
      <c r="O3573" s="11"/>
    </row>
    <row r="3574" spans="1:20" ht="15.5" x14ac:dyDescent="0.35">
      <c r="A3574" s="212" t="s">
        <v>7898</v>
      </c>
      <c r="B3574" s="204"/>
      <c r="C3574" s="204"/>
      <c r="D3574" s="204"/>
      <c r="E3574" s="204"/>
      <c r="F3574" s="381"/>
      <c r="G3574" s="205"/>
      <c r="H3574" s="205"/>
      <c r="I3574" s="583"/>
      <c r="J3574" s="549">
        <v>42705</v>
      </c>
      <c r="K3574" s="206"/>
      <c r="L3574" s="207"/>
      <c r="M3574" s="208" t="s">
        <v>5923</v>
      </c>
      <c r="N3574" s="209"/>
      <c r="O3574" s="209"/>
      <c r="P3574" s="207"/>
      <c r="Q3574" s="207"/>
      <c r="R3574" s="207"/>
      <c r="S3574" s="207"/>
      <c r="T3574" s="207"/>
    </row>
    <row r="3575" spans="1:20" x14ac:dyDescent="0.35">
      <c r="A3575" s="496"/>
      <c r="B3575" s="1"/>
      <c r="C3575" s="1"/>
      <c r="D3575" s="1"/>
      <c r="E3575" s="1"/>
      <c r="F3575" s="362"/>
      <c r="G3575" s="10"/>
      <c r="H3575" s="10" t="str">
        <f t="shared" ref="H3575:H3607" si="1395">IF(ISNUMBER(G3575),ROUND(0.8*G3575,2),"")</f>
        <v/>
      </c>
      <c r="I3575" s="566"/>
      <c r="J3575" s="549" t="s">
        <v>4179</v>
      </c>
      <c r="N3575" s="29" t="s">
        <v>5489</v>
      </c>
      <c r="O3575" t="s">
        <v>1773</v>
      </c>
    </row>
    <row r="3576" spans="1:20" x14ac:dyDescent="0.35">
      <c r="A3576" s="527" t="s">
        <v>5924</v>
      </c>
      <c r="B3576" s="526" t="s">
        <v>5547</v>
      </c>
      <c r="C3576" s="526" t="s">
        <v>5892</v>
      </c>
      <c r="D3576" s="526" t="s">
        <v>1773</v>
      </c>
      <c r="E3576" s="526"/>
      <c r="F3576" s="538">
        <f>IF(VLOOKUP(MID($A3576,11,2),$N$3576:$S$3579,6,FALSE)&lt;&gt;"",ROUND(VLOOKUP(MID($A3576,11,2),$N$3576:$S$3579,6,FALSE),2),"")</f>
        <v>22.94</v>
      </c>
      <c r="G3576" s="537">
        <f>IF(VLOOKUP(MID($A3576,11,2),$N$3576:$S$3579,3,FALSE)&lt;&gt;"",ROUND(VLOOKUP(MID($A3576,11,2),$N$3576:$S$3579,3,FALSE),2),"")</f>
        <v>23.14</v>
      </c>
      <c r="H3576" s="537">
        <f t="shared" si="1395"/>
        <v>18.510000000000002</v>
      </c>
      <c r="I3576" s="574"/>
      <c r="J3576" s="549">
        <v>42705</v>
      </c>
      <c r="M3576" s="101">
        <v>2017</v>
      </c>
      <c r="N3576" s="521" t="s">
        <v>5758</v>
      </c>
      <c r="O3576" s="461"/>
      <c r="P3576" s="261">
        <v>23.14</v>
      </c>
      <c r="Q3576" t="s">
        <v>49</v>
      </c>
      <c r="R3576" s="101" t="s">
        <v>2883</v>
      </c>
      <c r="S3576" s="261">
        <f>P3576-0.2</f>
        <v>22.94</v>
      </c>
      <c r="T3576" t="s">
        <v>50</v>
      </c>
    </row>
    <row r="3577" spans="1:20" x14ac:dyDescent="0.35">
      <c r="A3577" s="527" t="s">
        <v>5925</v>
      </c>
      <c r="B3577" s="526" t="s">
        <v>5547</v>
      </c>
      <c r="C3577" s="526" t="s">
        <v>5893</v>
      </c>
      <c r="D3577" s="526" t="s">
        <v>1773</v>
      </c>
      <c r="E3577" s="526"/>
      <c r="F3577" s="538">
        <f>IF(VLOOKUP(MID($A3577,11,2),$N$3576:$S$3579,6,FALSE)&lt;&gt;"",ROUND(VLOOKUP(MID($A3577,11,2),$N$3576:$S$3579,6,FALSE),2),"")</f>
        <v>22.82</v>
      </c>
      <c r="G3577" s="537">
        <f>IF(VLOOKUP(MID($A3577,11,2),$N$3576:$S$3579,3,FALSE)&lt;&gt;"",ROUND(VLOOKUP(MID($A3577,11,2),$N$3576:$S$3579,3,FALSE),2),"")</f>
        <v>23.02</v>
      </c>
      <c r="H3577" s="537">
        <f t="shared" si="1395"/>
        <v>18.420000000000002</v>
      </c>
      <c r="I3577" s="574"/>
      <c r="J3577" s="549">
        <v>42705</v>
      </c>
      <c r="M3577" s="101"/>
      <c r="N3577" s="519" t="s">
        <v>5759</v>
      </c>
      <c r="O3577" s="461">
        <v>5.0000000000000001E-3</v>
      </c>
      <c r="P3577" s="261">
        <f>IF($O3577&lt;&gt;"",(1-$O3577)*P3576,"")</f>
        <v>23.0243</v>
      </c>
      <c r="S3577" s="261">
        <f>P3577-0.2</f>
        <v>22.824300000000001</v>
      </c>
      <c r="T3577" s="261"/>
    </row>
    <row r="3578" spans="1:20" x14ac:dyDescent="0.35">
      <c r="A3578" s="527" t="s">
        <v>5902</v>
      </c>
      <c r="B3578" s="526" t="s">
        <v>5547</v>
      </c>
      <c r="C3578" s="526" t="s">
        <v>5894</v>
      </c>
      <c r="D3578" s="526" t="s">
        <v>1773</v>
      </c>
      <c r="E3578" s="526"/>
      <c r="F3578" s="538">
        <f>IF(VLOOKUP(MID($A3578,11,2),$N$3576:$S$3579,6,FALSE)&lt;&gt;"",ROUND(VLOOKUP(MID($A3578,11,2),$N$3576:$S$3579,6,FALSE),2),"")</f>
        <v>22.82</v>
      </c>
      <c r="G3578" s="537">
        <f>IF(VLOOKUP(MID($A3578,11,2),$N$3576:$S$3579,3,FALSE)&lt;&gt;"",ROUND(VLOOKUP(MID($A3578,11,2),$N$3576:$S$3579,3,FALSE),2),"")</f>
        <v>23.02</v>
      </c>
      <c r="H3578" s="537">
        <f t="shared" si="1395"/>
        <v>18.420000000000002</v>
      </c>
      <c r="I3578" s="574"/>
      <c r="J3578" s="549">
        <v>42705</v>
      </c>
      <c r="M3578" s="101"/>
      <c r="N3578" s="519" t="s">
        <v>5760</v>
      </c>
      <c r="O3578" s="461">
        <v>0</v>
      </c>
      <c r="P3578" s="261">
        <f>IF($O3578&lt;&gt;"",(1-$O3578)*P3577,"")</f>
        <v>23.0243</v>
      </c>
      <c r="S3578" s="261">
        <f>P3578-0.2</f>
        <v>22.824300000000001</v>
      </c>
      <c r="T3578" s="261"/>
    </row>
    <row r="3579" spans="1:20" x14ac:dyDescent="0.35">
      <c r="A3579" s="527" t="s">
        <v>5903</v>
      </c>
      <c r="B3579" s="526" t="s">
        <v>5547</v>
      </c>
      <c r="C3579" s="526" t="s">
        <v>5895</v>
      </c>
      <c r="D3579" s="526" t="s">
        <v>1773</v>
      </c>
      <c r="E3579" s="526"/>
      <c r="F3579" s="538">
        <f>IF(VLOOKUP(MID($A3579,11,2),$N$3576:$S$3579,6,FALSE)&lt;&gt;"",ROUND(VLOOKUP(MID($A3579,11,2),$N$3576:$S$3579,6,FALSE),2),"")</f>
        <v>22.71</v>
      </c>
      <c r="G3579" s="537">
        <f>IF(VLOOKUP(MID($A3579,11,2),$N$3576:$S$3579,3,FALSE)&lt;&gt;"",ROUND(VLOOKUP(MID($A3579,11,2),$N$3576:$S$3579,3,FALSE),2),"")</f>
        <v>22.91</v>
      </c>
      <c r="H3579" s="537">
        <f t="shared" si="1395"/>
        <v>18.329999999999998</v>
      </c>
      <c r="I3579" s="574"/>
      <c r="J3579" s="549">
        <v>42705</v>
      </c>
      <c r="M3579" s="101"/>
      <c r="N3579" s="519" t="s">
        <v>5761</v>
      </c>
      <c r="O3579" s="461">
        <v>5.0000000000000001E-3</v>
      </c>
      <c r="P3579" s="261">
        <f>IF($O3579&lt;&gt;"",(1-$O3579)*P3578,"")</f>
        <v>22.909178499999999</v>
      </c>
      <c r="S3579" s="261">
        <f>P3579-0.2</f>
        <v>22.7091785</v>
      </c>
      <c r="T3579" s="261"/>
    </row>
    <row r="3580" spans="1:20" x14ac:dyDescent="0.35">
      <c r="A3580" s="496"/>
      <c r="B3580" s="1"/>
      <c r="C3580" s="1"/>
      <c r="D3580" s="1"/>
      <c r="E3580" s="1"/>
      <c r="F3580" s="362"/>
      <c r="G3580" s="10"/>
      <c r="H3580" s="10" t="str">
        <f t="shared" si="1395"/>
        <v/>
      </c>
      <c r="I3580" s="566"/>
      <c r="J3580" s="549" t="s">
        <v>4179</v>
      </c>
      <c r="N3580" s="29" t="s">
        <v>5489</v>
      </c>
      <c r="O3580" t="s">
        <v>1773</v>
      </c>
    </row>
    <row r="3581" spans="1:20" x14ac:dyDescent="0.35">
      <c r="A3581" s="527" t="s">
        <v>6215</v>
      </c>
      <c r="B3581" s="526" t="s">
        <v>5547</v>
      </c>
      <c r="C3581" s="526" t="s">
        <v>6195</v>
      </c>
      <c r="D3581" s="526" t="s">
        <v>1773</v>
      </c>
      <c r="E3581" s="526"/>
      <c r="F3581" s="538">
        <f>IF(VLOOKUP(MID($A3581,11,2),$N$3581:$S$3584,6,FALSE)&lt;&gt;"",ROUND(VLOOKUP(MID($A3581,11,2),$N$3581:$S$3584,6,FALSE),2),"")</f>
        <v>22.71</v>
      </c>
      <c r="G3581" s="537">
        <f>IF(VLOOKUP(MID($A3581,11,2),$N$3581:$S$3584,3,FALSE)&lt;&gt;"",ROUND(VLOOKUP(MID($A3581,11,2),$N$3581:$S$3584,3,FALSE),2),"")</f>
        <v>22.91</v>
      </c>
      <c r="H3581" s="537">
        <f t="shared" si="1395"/>
        <v>18.329999999999998</v>
      </c>
      <c r="I3581" s="574"/>
      <c r="J3581" s="549">
        <v>43077</v>
      </c>
      <c r="M3581" s="101">
        <v>2018</v>
      </c>
      <c r="N3581" s="521" t="s">
        <v>5758</v>
      </c>
      <c r="O3581" s="461">
        <v>0</v>
      </c>
      <c r="P3581" s="261">
        <f>IF($O3581&lt;&gt;"",(1-$O3581)*P3579,"")</f>
        <v>22.909178499999999</v>
      </c>
      <c r="Q3581" t="s">
        <v>49</v>
      </c>
      <c r="R3581" s="101" t="s">
        <v>2883</v>
      </c>
      <c r="S3581" s="261">
        <f>P3581-0.2</f>
        <v>22.7091785</v>
      </c>
      <c r="T3581" t="s">
        <v>50</v>
      </c>
    </row>
    <row r="3582" spans="1:20" x14ac:dyDescent="0.35">
      <c r="A3582" s="527" t="s">
        <v>6216</v>
      </c>
      <c r="B3582" s="526" t="s">
        <v>5547</v>
      </c>
      <c r="C3582" s="526" t="s">
        <v>6196</v>
      </c>
      <c r="D3582" s="526" t="s">
        <v>1773</v>
      </c>
      <c r="E3582" s="526"/>
      <c r="F3582" s="538">
        <f>IF(VLOOKUP(MID($A3582,11,2),$N$3581:$S$3584,6,FALSE)&lt;&gt;"",ROUND(VLOOKUP(MID($A3582,11,2),$N$3581:$S$3584,6,FALSE),2),"")</f>
        <v>22.59</v>
      </c>
      <c r="G3582" s="537">
        <f>IF(VLOOKUP(MID($A3582,11,2),$N$3581:$S$3584,3,FALSE)&lt;&gt;"",ROUND(VLOOKUP(MID($A3582,11,2),$N$3581:$S$3584,3,FALSE),2),"")</f>
        <v>22.79</v>
      </c>
      <c r="H3582" s="537">
        <f t="shared" si="1395"/>
        <v>18.23</v>
      </c>
      <c r="I3582" s="574"/>
      <c r="J3582" s="549">
        <v>43077</v>
      </c>
      <c r="M3582" s="101"/>
      <c r="N3582" s="519" t="s">
        <v>5759</v>
      </c>
      <c r="O3582" s="461">
        <v>5.0000000000000001E-3</v>
      </c>
      <c r="P3582" s="261">
        <f>IF($O3582&lt;&gt;"",(1-$O3582)*P3581,"")</f>
        <v>22.794632607499999</v>
      </c>
      <c r="S3582" s="261">
        <f>P3582-0.2</f>
        <v>22.594632607499999</v>
      </c>
      <c r="T3582" s="261"/>
    </row>
    <row r="3583" spans="1:20" x14ac:dyDescent="0.35">
      <c r="A3583" s="527" t="s">
        <v>6217</v>
      </c>
      <c r="B3583" s="526" t="s">
        <v>5547</v>
      </c>
      <c r="C3583" s="526" t="s">
        <v>6197</v>
      </c>
      <c r="D3583" s="526" t="s">
        <v>1773</v>
      </c>
      <c r="E3583" s="526"/>
      <c r="F3583" s="538">
        <f>IF(VLOOKUP(MID($A3583,11,2),$N$3581:$S$3584,6,FALSE)&lt;&gt;"",ROUND(VLOOKUP(MID($A3583,11,2),$N$3581:$S$3584,6,FALSE),2),"")</f>
        <v>22.59</v>
      </c>
      <c r="G3583" s="537">
        <f>IF(VLOOKUP(MID($A3583,11,2),$N$3581:$S$3584,3,FALSE)&lt;&gt;"",ROUND(VLOOKUP(MID($A3583,11,2),$N$3581:$S$3584,3,FALSE),2),"")</f>
        <v>22.79</v>
      </c>
      <c r="H3583" s="537">
        <f t="shared" si="1395"/>
        <v>18.23</v>
      </c>
      <c r="I3583" s="574"/>
      <c r="J3583" s="549">
        <v>43077</v>
      </c>
      <c r="M3583" s="101"/>
      <c r="N3583" s="519" t="s">
        <v>5760</v>
      </c>
      <c r="O3583" s="461">
        <v>0</v>
      </c>
      <c r="P3583" s="261">
        <f>IF($O3583&lt;&gt;"",(1-$O3583)*P3582,"")</f>
        <v>22.794632607499999</v>
      </c>
      <c r="S3583" s="261">
        <f>P3583-0.2</f>
        <v>22.594632607499999</v>
      </c>
      <c r="T3583" s="261"/>
    </row>
    <row r="3584" spans="1:20" x14ac:dyDescent="0.35">
      <c r="A3584" s="527" t="s">
        <v>6218</v>
      </c>
      <c r="B3584" s="526" t="s">
        <v>5547</v>
      </c>
      <c r="C3584" s="526" t="s">
        <v>6198</v>
      </c>
      <c r="D3584" s="526" t="s">
        <v>6475</v>
      </c>
      <c r="E3584" s="526"/>
      <c r="F3584" s="538">
        <f>IF(VLOOKUP(MID($A3584,11,2),$N$3581:$S$3584,6,FALSE)&lt;&gt;"",ROUND(VLOOKUP(MID($A3584,11,2),$N$3581:$S$3584,6,FALSE),2),"")</f>
        <v>22.48</v>
      </c>
      <c r="G3584" s="537">
        <f>IF(VLOOKUP(MID($A3584,11,2),$N$3581:$S$3584,3,FALSE)&lt;&gt;"",ROUND(VLOOKUP(MID($A3584,11,2),$N$3581:$S$3584,3,FALSE),2),"")</f>
        <v>22.68</v>
      </c>
      <c r="H3584" s="537">
        <f t="shared" si="1395"/>
        <v>18.14</v>
      </c>
      <c r="I3584" s="574"/>
      <c r="J3584" s="549">
        <v>43077</v>
      </c>
      <c r="M3584" s="101"/>
      <c r="N3584" s="519" t="s">
        <v>5761</v>
      </c>
      <c r="O3584" s="461">
        <v>5.0000000000000001E-3</v>
      </c>
      <c r="P3584" s="261">
        <f>IF($O3584&lt;&gt;"",(1-$O3584)*P3583,"")</f>
        <v>22.680659444462499</v>
      </c>
      <c r="S3584" s="261">
        <f>P3584-0.2</f>
        <v>22.4806594444625</v>
      </c>
      <c r="T3584" s="261"/>
    </row>
    <row r="3585" spans="1:41" x14ac:dyDescent="0.35">
      <c r="A3585" s="496"/>
      <c r="B3585" s="1"/>
      <c r="C3585" s="1"/>
      <c r="D3585" s="1"/>
      <c r="E3585" s="1"/>
      <c r="F3585" s="362"/>
      <c r="G3585" s="10"/>
      <c r="H3585" s="10" t="str">
        <f t="shared" si="1395"/>
        <v/>
      </c>
      <c r="I3585" s="566"/>
      <c r="J3585" s="549" t="s">
        <v>4179</v>
      </c>
      <c r="N3585" s="29" t="s">
        <v>5489</v>
      </c>
      <c r="O3585" t="s">
        <v>6473</v>
      </c>
    </row>
    <row r="3586" spans="1:41" x14ac:dyDescent="0.35">
      <c r="A3586" s="527" t="s">
        <v>6396</v>
      </c>
      <c r="B3586" s="526" t="s">
        <v>5547</v>
      </c>
      <c r="C3586" s="526" t="s">
        <v>6400</v>
      </c>
      <c r="D3586" s="526" t="s">
        <v>6473</v>
      </c>
      <c r="E3586" s="526"/>
      <c r="F3586" s="538">
        <f>IF(VLOOKUP(MID($A3586,11,2),$N$3586:$S$3589,6,FALSE)&lt;&gt;"",ROUND(VLOOKUP(MID($A3586,11,2),$N$3586:$S$3589,6,FALSE),2),"")</f>
        <v>22.48</v>
      </c>
      <c r="G3586" s="537">
        <f>IF(VLOOKUP(MID($A3586,11,2),$N$3586:$S$3589,3,FALSE)&lt;&gt;"",ROUND(VLOOKUP(MID($A3586,11,2),$N$3586:$S$3589,3,FALSE),2),"")</f>
        <v>22.68</v>
      </c>
      <c r="H3586" s="537">
        <f t="shared" si="1395"/>
        <v>18.14</v>
      </c>
      <c r="I3586" s="574"/>
      <c r="J3586" s="549">
        <v>43419</v>
      </c>
      <c r="M3586" s="101">
        <v>2019</v>
      </c>
      <c r="N3586" s="521" t="s">
        <v>5758</v>
      </c>
      <c r="O3586" s="461">
        <v>0</v>
      </c>
      <c r="P3586" s="261">
        <f>IF($O3586&lt;&gt;"",(1-$O3586)*P3584,"")</f>
        <v>22.680659444462499</v>
      </c>
      <c r="Q3586" t="s">
        <v>49</v>
      </c>
      <c r="R3586" s="101" t="s">
        <v>2883</v>
      </c>
      <c r="S3586" s="261">
        <f>P3586-0.2</f>
        <v>22.4806594444625</v>
      </c>
      <c r="T3586" t="s">
        <v>50</v>
      </c>
    </row>
    <row r="3587" spans="1:41" x14ac:dyDescent="0.35">
      <c r="A3587" s="527" t="s">
        <v>6397</v>
      </c>
      <c r="B3587" s="526" t="s">
        <v>5547</v>
      </c>
      <c r="C3587" s="526" t="s">
        <v>6401</v>
      </c>
      <c r="D3587" s="526" t="s">
        <v>6473</v>
      </c>
      <c r="E3587" s="526"/>
      <c r="F3587" s="538">
        <f>IF(VLOOKUP(MID($A3587,11,2),$N$3586:$S$3589,6,FALSE)&lt;&gt;"",ROUND(VLOOKUP(MID($A3587,11,2),$N$3586:$S$3589,6,FALSE),2),"")</f>
        <v>22.37</v>
      </c>
      <c r="G3587" s="537">
        <f>IF(VLOOKUP(MID($A3587,11,2),$N$3586:$S$3589,3,FALSE)&lt;&gt;"",ROUND(VLOOKUP(MID($A3587,11,2),$N$3586:$S$3589,3,FALSE),2),"")</f>
        <v>22.57</v>
      </c>
      <c r="H3587" s="537">
        <f t="shared" si="1395"/>
        <v>18.059999999999999</v>
      </c>
      <c r="I3587" s="574"/>
      <c r="J3587" s="549">
        <v>43419</v>
      </c>
      <c r="M3587" s="101"/>
      <c r="N3587" s="519" t="s">
        <v>5759</v>
      </c>
      <c r="O3587" s="461">
        <v>5.0000000000000001E-3</v>
      </c>
      <c r="P3587" s="261">
        <f>IF($O3587&lt;&gt;"",(1-$O3587)*P3586,"")</f>
        <v>22.567256147240187</v>
      </c>
      <c r="S3587" s="261">
        <f>P3587-0.2</f>
        <v>22.367256147240187</v>
      </c>
      <c r="T3587" s="261"/>
    </row>
    <row r="3588" spans="1:41" x14ac:dyDescent="0.35">
      <c r="A3588" s="527" t="s">
        <v>6398</v>
      </c>
      <c r="B3588" s="526" t="s">
        <v>5547</v>
      </c>
      <c r="C3588" s="526" t="s">
        <v>6402</v>
      </c>
      <c r="D3588" s="526" t="s">
        <v>6473</v>
      </c>
      <c r="E3588" s="526"/>
      <c r="F3588" s="538">
        <f>IF(VLOOKUP(MID($A3588,11,2),$N$3586:$S$3589,6,FALSE)&lt;&gt;"",ROUND(VLOOKUP(MID($A3588,11,2),$N$3586:$S$3589,6,FALSE),2),"")</f>
        <v>22.37</v>
      </c>
      <c r="G3588" s="537">
        <f>IF(VLOOKUP(MID($A3588,11,2),$N$3586:$S$3589,3,FALSE)&lt;&gt;"",ROUND(VLOOKUP(MID($A3588,11,2),$N$3586:$S$3589,3,FALSE),2),"")</f>
        <v>22.57</v>
      </c>
      <c r="H3588" s="537">
        <f t="shared" si="1395"/>
        <v>18.059999999999999</v>
      </c>
      <c r="I3588" s="574"/>
      <c r="J3588" s="549">
        <v>43419</v>
      </c>
      <c r="M3588" s="101"/>
      <c r="N3588" s="519" t="s">
        <v>5760</v>
      </c>
      <c r="O3588" s="461">
        <v>0</v>
      </c>
      <c r="P3588" s="261">
        <f>IF($O3588&lt;&gt;"",(1-$O3588)*P3587,"")</f>
        <v>22.567256147240187</v>
      </c>
      <c r="S3588" s="261">
        <f>P3588-0.2</f>
        <v>22.367256147240187</v>
      </c>
      <c r="T3588" s="261"/>
    </row>
    <row r="3589" spans="1:41" x14ac:dyDescent="0.35">
      <c r="A3589" s="527" t="s">
        <v>6399</v>
      </c>
      <c r="B3589" s="526" t="s">
        <v>5547</v>
      </c>
      <c r="C3589" s="526" t="s">
        <v>6403</v>
      </c>
      <c r="D3589" s="526" t="s">
        <v>6473</v>
      </c>
      <c r="E3589" s="526"/>
      <c r="F3589" s="538">
        <f>IF(VLOOKUP(MID($A3589,11,2),$N$3586:$S$3589,6,FALSE)&lt;&gt;"",ROUND(VLOOKUP(MID($A3589,11,2),$N$3586:$S$3589,6,FALSE),2),"")</f>
        <v>22.25</v>
      </c>
      <c r="G3589" s="537">
        <f>IF(VLOOKUP(MID($A3589,11,2),$N$3586:$S$3589,3,FALSE)&lt;&gt;"",ROUND(VLOOKUP(MID($A3589,11,2),$N$3586:$S$3589,3,FALSE),2),"")</f>
        <v>22.45</v>
      </c>
      <c r="H3589" s="537">
        <f t="shared" si="1395"/>
        <v>17.96</v>
      </c>
      <c r="I3589" s="574"/>
      <c r="J3589" s="549">
        <v>43419</v>
      </c>
      <c r="M3589" s="101"/>
      <c r="N3589" s="519" t="s">
        <v>5761</v>
      </c>
      <c r="O3589" s="461">
        <v>5.0000000000000001E-3</v>
      </c>
      <c r="P3589" s="261">
        <f>IF($O3589&lt;&gt;"",(1-$O3589)*P3588,"")</f>
        <v>22.454419866503986</v>
      </c>
      <c r="S3589" s="261">
        <f>P3589-0.2</f>
        <v>22.254419866503987</v>
      </c>
      <c r="T3589" s="261"/>
    </row>
    <row r="3590" spans="1:41" x14ac:dyDescent="0.35">
      <c r="A3590" s="496"/>
      <c r="B3590" s="1"/>
      <c r="C3590" s="1"/>
      <c r="D3590" s="1"/>
      <c r="E3590" s="1"/>
      <c r="F3590" s="362"/>
      <c r="G3590" s="10"/>
      <c r="H3590" s="10" t="str">
        <f t="shared" si="1395"/>
        <v/>
      </c>
      <c r="I3590" s="566"/>
      <c r="J3590" s="549" t="s">
        <v>4179</v>
      </c>
      <c r="N3590" s="29" t="s">
        <v>5489</v>
      </c>
      <c r="O3590" t="s">
        <v>6473</v>
      </c>
    </row>
    <row r="3591" spans="1:41" x14ac:dyDescent="0.35">
      <c r="A3591" s="527" t="s">
        <v>6542</v>
      </c>
      <c r="B3591" s="526" t="s">
        <v>5547</v>
      </c>
      <c r="C3591" s="526" t="s">
        <v>6514</v>
      </c>
      <c r="D3591" s="526" t="s">
        <v>6473</v>
      </c>
      <c r="E3591" s="526"/>
      <c r="F3591" s="538">
        <f>IF(VLOOKUP(MID($A3591,11,2),$N$3591:$S$3594,6,FALSE)&lt;&gt;"",ROUND(VLOOKUP(MID($A3591,11,2),$N$3591:$S$3594,6,FALSE),2),"")</f>
        <v>22.25</v>
      </c>
      <c r="G3591" s="537">
        <f>IF(VLOOKUP(MID($A3591,11,2),$N$3591:$S$3594,3,FALSE)&lt;&gt;"",ROUND(VLOOKUP(MID($A3591,11,2),$N$3591:$S$3594,3,FALSE),2),"")</f>
        <v>22.45</v>
      </c>
      <c r="H3591" s="537">
        <f t="shared" si="1395"/>
        <v>17.96</v>
      </c>
      <c r="I3591" s="574"/>
      <c r="J3591" s="549">
        <v>43796</v>
      </c>
      <c r="M3591" s="101">
        <v>2020</v>
      </c>
      <c r="N3591" s="521" t="s">
        <v>5758</v>
      </c>
      <c r="O3591" s="461">
        <v>0</v>
      </c>
      <c r="P3591" s="261">
        <f>IF($O3591&lt;&gt;"",(1-$O3591)*P3589,"")</f>
        <v>22.454419866503986</v>
      </c>
      <c r="Q3591" t="s">
        <v>49</v>
      </c>
      <c r="R3591" s="101" t="s">
        <v>2883</v>
      </c>
      <c r="S3591" s="261">
        <f>P3591-0.2</f>
        <v>22.254419866503987</v>
      </c>
      <c r="T3591" t="s">
        <v>50</v>
      </c>
    </row>
    <row r="3592" spans="1:41" x14ac:dyDescent="0.35">
      <c r="A3592" s="527" t="s">
        <v>6543</v>
      </c>
      <c r="B3592" s="526" t="s">
        <v>5547</v>
      </c>
      <c r="C3592" s="526" t="s">
        <v>6515</v>
      </c>
      <c r="D3592" s="526" t="s">
        <v>6473</v>
      </c>
      <c r="E3592" s="526"/>
      <c r="F3592" s="538">
        <f>IF(VLOOKUP(MID($A3592,11,2),$N$3591:$S$3594,6,FALSE)&lt;&gt;"",ROUND(VLOOKUP(MID($A3592,11,2),$N$3591:$S$3594,6,FALSE),2),"")</f>
        <v>22.14</v>
      </c>
      <c r="G3592" s="537">
        <f>IF(VLOOKUP(MID($A3592,11,2),$N$3591:$S$3594,3,FALSE)&lt;&gt;"",ROUND(VLOOKUP(MID($A3592,11,2),$N$3591:$S$3594,3,FALSE),2),"")</f>
        <v>22.34</v>
      </c>
      <c r="H3592" s="537">
        <f t="shared" si="1395"/>
        <v>17.87</v>
      </c>
      <c r="I3592" s="574"/>
      <c r="J3592" s="549">
        <v>43796</v>
      </c>
      <c r="M3592" s="101"/>
      <c r="N3592" s="519" t="s">
        <v>5759</v>
      </c>
      <c r="O3592" s="461">
        <v>5.0000000000000001E-3</v>
      </c>
      <c r="P3592" s="261">
        <f>IF($O3592&lt;&gt;"",(1-$O3592)*P3591,"")</f>
        <v>22.342147767171465</v>
      </c>
      <c r="S3592" s="261">
        <f>P3592-0.2</f>
        <v>22.142147767171465</v>
      </c>
      <c r="T3592" s="261"/>
    </row>
    <row r="3593" spans="1:41" x14ac:dyDescent="0.35">
      <c r="A3593" s="527" t="s">
        <v>6544</v>
      </c>
      <c r="B3593" s="526" t="s">
        <v>5547</v>
      </c>
      <c r="C3593" s="526" t="s">
        <v>6516</v>
      </c>
      <c r="D3593" s="526" t="s">
        <v>6473</v>
      </c>
      <c r="E3593" s="526"/>
      <c r="F3593" s="538">
        <f>IF(VLOOKUP(MID($A3593,11,2),$N$3591:$S$3594,6,FALSE)&lt;&gt;"",ROUND(VLOOKUP(MID($A3593,11,2),$N$3591:$S$3594,6,FALSE),2),"")</f>
        <v>22.14</v>
      </c>
      <c r="G3593" s="537">
        <f>IF(VLOOKUP(MID($A3593,11,2),$N$3591:$S$3594,3,FALSE)&lt;&gt;"",ROUND(VLOOKUP(MID($A3593,11,2),$N$3591:$S$3594,3,FALSE),2),"")</f>
        <v>22.34</v>
      </c>
      <c r="H3593" s="537">
        <f t="shared" si="1395"/>
        <v>17.87</v>
      </c>
      <c r="I3593" s="574"/>
      <c r="J3593" s="549">
        <v>43796</v>
      </c>
      <c r="M3593" s="101"/>
      <c r="N3593" s="519" t="s">
        <v>5760</v>
      </c>
      <c r="O3593" s="461">
        <v>0</v>
      </c>
      <c r="P3593" s="261">
        <f>IF($O3593&lt;&gt;"",(1-$O3593)*P3592,"")</f>
        <v>22.342147767171465</v>
      </c>
      <c r="S3593" s="261">
        <f>P3593-0.2</f>
        <v>22.142147767171465</v>
      </c>
      <c r="T3593" s="261"/>
    </row>
    <row r="3594" spans="1:41" x14ac:dyDescent="0.35">
      <c r="A3594" s="527" t="s">
        <v>6545</v>
      </c>
      <c r="B3594" s="526" t="s">
        <v>5547</v>
      </c>
      <c r="C3594" s="526" t="s">
        <v>6517</v>
      </c>
      <c r="D3594" s="526" t="s">
        <v>6473</v>
      </c>
      <c r="E3594" s="526"/>
      <c r="F3594" s="538">
        <f>IF(VLOOKUP(MID($A3594,11,2),$N$3591:$S$3594,6,FALSE)&lt;&gt;"",ROUND(VLOOKUP(MID($A3594,11,2),$N$3591:$S$3594,6,FALSE),2),"")</f>
        <v>22.03</v>
      </c>
      <c r="G3594" s="537">
        <f>IF(VLOOKUP(MID($A3594,11,2),$N$3591:$S$3594,3,FALSE)&lt;&gt;"",ROUND(VLOOKUP(MID($A3594,11,2),$N$3591:$S$3594,3,FALSE),2),"")</f>
        <v>22.23</v>
      </c>
      <c r="H3594" s="537">
        <f t="shared" si="1395"/>
        <v>17.78</v>
      </c>
      <c r="I3594" s="574"/>
      <c r="J3594" s="549">
        <v>43796</v>
      </c>
      <c r="M3594" s="101"/>
      <c r="N3594" s="519" t="s">
        <v>5761</v>
      </c>
      <c r="O3594" s="461">
        <v>5.0000000000000001E-3</v>
      </c>
      <c r="P3594" s="261">
        <f>IF($O3594&lt;&gt;"",(1-$O3594)*P3593,"")</f>
        <v>22.230437028335608</v>
      </c>
      <c r="S3594" s="261">
        <f>P3594-0.2</f>
        <v>22.030437028335609</v>
      </c>
      <c r="T3594" s="261"/>
    </row>
    <row r="3595" spans="1:41" x14ac:dyDescent="0.35">
      <c r="A3595" s="496"/>
      <c r="B3595" s="1"/>
      <c r="C3595" s="362"/>
      <c r="D3595" s="642"/>
      <c r="E3595" s="1"/>
      <c r="F3595" s="362"/>
      <c r="G3595" s="10"/>
      <c r="H3595" s="10" t="str">
        <f t="shared" si="1395"/>
        <v/>
      </c>
      <c r="I3595" s="566"/>
      <c r="J3595" s="549" t="s">
        <v>4179</v>
      </c>
      <c r="P3595" t="s">
        <v>6473</v>
      </c>
      <c r="R3595" s="101" t="s">
        <v>2883</v>
      </c>
      <c r="S3595" t="s">
        <v>6473</v>
      </c>
    </row>
    <row r="3596" spans="1:41" x14ac:dyDescent="0.35">
      <c r="A3596" s="527" t="s">
        <v>6687</v>
      </c>
      <c r="B3596" s="526" t="s">
        <v>5547</v>
      </c>
      <c r="C3596" s="526" t="s">
        <v>6624</v>
      </c>
      <c r="D3596" s="526" t="s">
        <v>6473</v>
      </c>
      <c r="E3596" s="526"/>
      <c r="F3596" s="538">
        <f>ROUND(S3596,2)</f>
        <v>22.03</v>
      </c>
      <c r="G3596" s="537">
        <f>ROUND(P3596,2)</f>
        <v>22.23</v>
      </c>
      <c r="H3596" s="537">
        <f t="shared" si="1395"/>
        <v>17.78</v>
      </c>
      <c r="I3596" s="574"/>
      <c r="J3596" s="549">
        <v>44196</v>
      </c>
      <c r="M3596" s="101">
        <v>2021</v>
      </c>
      <c r="N3596" s="521"/>
      <c r="O3596" s="29" t="s">
        <v>7655</v>
      </c>
      <c r="P3596" s="261">
        <v>22.23</v>
      </c>
      <c r="Q3596" t="s">
        <v>49</v>
      </c>
      <c r="R3596" s="101" t="s">
        <v>2883</v>
      </c>
      <c r="S3596" s="261">
        <f>P3596-0.2</f>
        <v>22.03</v>
      </c>
      <c r="T3596" t="s">
        <v>50</v>
      </c>
    </row>
    <row r="3597" spans="1:41" x14ac:dyDescent="0.35">
      <c r="A3597" s="2"/>
      <c r="B3597" s="2"/>
      <c r="C3597" s="362"/>
      <c r="D3597" s="1"/>
      <c r="E3597" s="1"/>
      <c r="F3597" s="385"/>
      <c r="G3597" s="2"/>
      <c r="H3597" s="409" t="str">
        <f t="shared" si="1395"/>
        <v/>
      </c>
      <c r="I3597" s="588"/>
      <c r="J3597" s="549" t="s">
        <v>4179</v>
      </c>
      <c r="K3597" s="11"/>
      <c r="L3597" s="55"/>
      <c r="N3597" s="519" t="s">
        <v>7653</v>
      </c>
      <c r="O3597" s="29" t="s">
        <v>5489</v>
      </c>
      <c r="P3597" t="s">
        <v>6473</v>
      </c>
      <c r="R3597" s="101" t="s">
        <v>2883</v>
      </c>
      <c r="S3597" t="s">
        <v>6473</v>
      </c>
      <c r="AH3597" s="22"/>
      <c r="AO3597" s="203"/>
    </row>
    <row r="3598" spans="1:41" x14ac:dyDescent="0.35">
      <c r="A3598" s="527" t="str">
        <f>"BiK440---HJ1" &amp; RIGHT(M3598,2)</f>
        <v>BiK440---HJ122</v>
      </c>
      <c r="B3598" s="526" t="s">
        <v>5547</v>
      </c>
      <c r="C3598" s="526" t="str">
        <f>"Inbetriebnahme 01-06/20" &amp; RIGHT(M3598,2)</f>
        <v>Inbetriebnahme 01-06/2022</v>
      </c>
      <c r="D3598" s="526" t="s">
        <v>6473</v>
      </c>
      <c r="E3598" s="526"/>
      <c r="F3598" s="538">
        <f>IF(HLOOKUP($D3598,$S$3597:$S$3599,MATCH(MID($A3598,10,3),$N$3597:$N$3599,0),FALSE)&lt;&gt;"",ROUND(HLOOKUP($D3598,$S$3597:$S$3599,MATCH(MID($A3598,10,3),$N$3597:$N$3599,0),FALSE),2),"")</f>
        <v>22.03</v>
      </c>
      <c r="G3598" s="537">
        <f>IF(HLOOKUP($D3598,$P$3597:$P$3599,MATCH(MID($A3598,10,3),$N$3597:$N$3599,0),FALSE)&lt;&gt;"",ROUND(HLOOKUP($D3598,$P$3597:$P$3599,MATCH(MID($A3598,10,3),$N$3597:$N$3599,0),FALSE),2),"")</f>
        <v>22.23</v>
      </c>
      <c r="H3598" s="641">
        <f t="shared" si="1395"/>
        <v>17.78</v>
      </c>
      <c r="I3598" s="574"/>
      <c r="J3598" s="549">
        <v>44536</v>
      </c>
      <c r="K3598" s="11"/>
      <c r="L3598" s="55"/>
      <c r="M3598" s="101">
        <v>2022</v>
      </c>
      <c r="N3598" s="519" t="s">
        <v>7651</v>
      </c>
      <c r="O3598" s="461">
        <v>0</v>
      </c>
      <c r="P3598" s="261">
        <f>P3596</f>
        <v>22.23</v>
      </c>
      <c r="Q3598" t="s">
        <v>49</v>
      </c>
      <c r="R3598" s="101" t="s">
        <v>2883</v>
      </c>
      <c r="S3598" s="261">
        <f>P3598-0.2</f>
        <v>22.03</v>
      </c>
      <c r="T3598" t="s">
        <v>50</v>
      </c>
      <c r="U3598" s="261"/>
      <c r="AH3598" s="22"/>
      <c r="AO3598" s="203"/>
    </row>
    <row r="3599" spans="1:41" x14ac:dyDescent="0.35">
      <c r="A3599" s="527" t="str">
        <f>"BiK440---HJ2" &amp; RIGHT(M3598,2)</f>
        <v>BiK440---HJ222</v>
      </c>
      <c r="B3599" s="526" t="s">
        <v>5547</v>
      </c>
      <c r="C3599" s="526" t="str">
        <f>"Inbetriebnahme 07-12/20" &amp; RIGHT(M3598,2)</f>
        <v>Inbetriebnahme 07-12/2022</v>
      </c>
      <c r="D3599" s="526" t="s">
        <v>6473</v>
      </c>
      <c r="E3599" s="526"/>
      <c r="F3599" s="538">
        <f>IF(HLOOKUP($D3599,$S$3597:$S$3599,MATCH(MID($A3599,10,3),$N$3597:$N$3599,0),FALSE)&lt;&gt;"",ROUND(HLOOKUP($D3599,$S$3597:$S$3599,MATCH(MID($A3599,10,3),$N$3597:$N$3599,0),FALSE),2),"")</f>
        <v>21.92</v>
      </c>
      <c r="G3599" s="537">
        <f>IF(HLOOKUP($D3599,$P$3597:$P$3599,MATCH(MID($A3599,10,3),$N$3597:$N$3599,0),FALSE)&lt;&gt;"",ROUND(HLOOKUP($D3599,$P$3597:$P$3599,MATCH(MID($A3599,10,3),$N$3597:$N$3599,0),FALSE),2),"")</f>
        <v>22.12</v>
      </c>
      <c r="H3599" s="641">
        <f t="shared" si="1395"/>
        <v>17.7</v>
      </c>
      <c r="I3599" s="574"/>
      <c r="J3599" s="549">
        <v>44536</v>
      </c>
      <c r="K3599" s="11"/>
      <c r="L3599" s="55"/>
      <c r="M3599" s="315"/>
      <c r="N3599" s="519" t="s">
        <v>7652</v>
      </c>
      <c r="O3599" s="461">
        <v>5.0000000000000001E-3</v>
      </c>
      <c r="P3599" s="261">
        <f>IF($O3599&lt;&gt;"",(1-$O3599)*P3598,"")</f>
        <v>22.118850000000002</v>
      </c>
      <c r="Q3599" s="261"/>
      <c r="R3599" s="261"/>
      <c r="S3599" s="261">
        <f>P3599-0.2</f>
        <v>21.918850000000003</v>
      </c>
      <c r="T3599" t="s">
        <v>50</v>
      </c>
      <c r="U3599" s="261"/>
      <c r="AH3599" s="22"/>
      <c r="AO3599" s="203"/>
    </row>
    <row r="3600" spans="1:41" x14ac:dyDescent="0.35">
      <c r="A3600" s="2"/>
      <c r="B3600" s="2"/>
      <c r="C3600" s="362"/>
      <c r="D3600" s="1"/>
      <c r="E3600" s="1"/>
      <c r="F3600" s="385"/>
      <c r="G3600" s="2"/>
      <c r="H3600" s="409" t="str">
        <f t="shared" si="1395"/>
        <v/>
      </c>
      <c r="I3600" s="588"/>
      <c r="J3600" s="549" t="s">
        <v>4179</v>
      </c>
      <c r="K3600" s="11"/>
      <c r="L3600" s="55"/>
      <c r="N3600" s="519"/>
      <c r="O3600" s="29"/>
      <c r="P3600" t="s">
        <v>1773</v>
      </c>
      <c r="Q3600" t="s">
        <v>7900</v>
      </c>
      <c r="R3600" s="101" t="s">
        <v>2883</v>
      </c>
      <c r="S3600" t="s">
        <v>1773</v>
      </c>
      <c r="T3600" t="s">
        <v>7900</v>
      </c>
      <c r="AH3600" s="22"/>
      <c r="AO3600" s="203"/>
    </row>
    <row r="3601" spans="1:41" x14ac:dyDescent="0.35">
      <c r="A3601" s="527" t="str">
        <f>"BiK440------" &amp; RIGHT(M3601,2)</f>
        <v>BiK440------23</v>
      </c>
      <c r="B3601" s="526" t="s">
        <v>5547</v>
      </c>
      <c r="C3601" s="526" t="s">
        <v>7894</v>
      </c>
      <c r="D3601" s="526" t="s">
        <v>7924</v>
      </c>
      <c r="E3601" s="526"/>
      <c r="F3601" s="538">
        <f>ROUND(S3601,2)</f>
        <v>21.8</v>
      </c>
      <c r="G3601" s="537">
        <f>ROUND(P3601,2)</f>
        <v>22</v>
      </c>
      <c r="H3601" s="641">
        <f t="shared" si="1395"/>
        <v>17.600000000000001</v>
      </c>
      <c r="I3601" s="574"/>
      <c r="J3601" s="549">
        <f>J$31</f>
        <v>44896</v>
      </c>
      <c r="K3601" s="11"/>
      <c r="L3601" s="55"/>
      <c r="M3601" s="101">
        <v>2023</v>
      </c>
      <c r="N3601" s="519"/>
      <c r="O3601" s="29" t="s">
        <v>7899</v>
      </c>
      <c r="P3601" s="261">
        <v>22</v>
      </c>
      <c r="Q3601" s="261">
        <v>19</v>
      </c>
      <c r="R3601" t="s">
        <v>49</v>
      </c>
      <c r="S3601" s="261">
        <f>P3601-0.2</f>
        <v>21.8</v>
      </c>
      <c r="T3601" s="261">
        <f>Q3601-0.2</f>
        <v>18.8</v>
      </c>
      <c r="U3601" t="s">
        <v>50</v>
      </c>
      <c r="AH3601" s="22"/>
      <c r="AO3601" s="203"/>
    </row>
    <row r="3602" spans="1:41" x14ac:dyDescent="0.35">
      <c r="A3602" s="527" t="str">
        <f>"BiK441------" &amp; RIGHT(M3601,2)</f>
        <v>BiK441------23</v>
      </c>
      <c r="B3602" s="526" t="s">
        <v>5547</v>
      </c>
      <c r="C3602" s="526" t="s">
        <v>7894</v>
      </c>
      <c r="D3602" s="526" t="s">
        <v>7925</v>
      </c>
      <c r="E3602" s="526"/>
      <c r="F3602" s="538">
        <f>ROUND(T3601,2)</f>
        <v>18.8</v>
      </c>
      <c r="G3602" s="537">
        <f>ROUND(Q3601,2)</f>
        <v>19</v>
      </c>
      <c r="H3602" s="641">
        <f t="shared" si="1395"/>
        <v>15.2</v>
      </c>
      <c r="I3602" s="574"/>
      <c r="J3602" s="549">
        <f>J$31</f>
        <v>44896</v>
      </c>
      <c r="K3602" s="11"/>
      <c r="L3602" s="55"/>
      <c r="M3602" s="315"/>
      <c r="N3602" s="519"/>
      <c r="O3602" s="461"/>
      <c r="P3602" s="261"/>
      <c r="Q3602" s="261"/>
      <c r="R3602" s="261"/>
      <c r="S3602" s="261"/>
      <c r="T3602" s="261"/>
      <c r="U3602" s="261"/>
      <c r="AH3602" s="22"/>
      <c r="AO3602" s="203"/>
    </row>
    <row r="3603" spans="1:41" x14ac:dyDescent="0.35">
      <c r="A3603" s="2"/>
      <c r="B3603" s="2"/>
      <c r="C3603" s="362"/>
      <c r="D3603" s="1"/>
      <c r="E3603" s="1"/>
      <c r="F3603" s="385"/>
      <c r="G3603" s="2"/>
      <c r="H3603" s="409" t="str">
        <f t="shared" si="1395"/>
        <v/>
      </c>
      <c r="I3603" s="588"/>
      <c r="J3603" s="549" t="s">
        <v>4179</v>
      </c>
      <c r="K3603" s="11"/>
      <c r="L3603" s="55"/>
      <c r="N3603" s="519" t="s">
        <v>7653</v>
      </c>
      <c r="O3603" s="29" t="s">
        <v>5489</v>
      </c>
      <c r="P3603" t="s">
        <v>7924</v>
      </c>
      <c r="Q3603" t="s">
        <v>7925</v>
      </c>
      <c r="R3603" s="101" t="s">
        <v>2883</v>
      </c>
      <c r="S3603" t="s">
        <v>7924</v>
      </c>
      <c r="T3603" t="s">
        <v>7925</v>
      </c>
      <c r="AH3603" s="22"/>
      <c r="AO3603" s="203"/>
    </row>
    <row r="3604" spans="1:41" x14ac:dyDescent="0.35">
      <c r="A3604" s="527" t="str">
        <f>"BiK440---HJ1" &amp; RIGHT(M3604,2)</f>
        <v>BiK440---HJ124</v>
      </c>
      <c r="B3604" s="526" t="s">
        <v>5547</v>
      </c>
      <c r="C3604" s="526" t="str">
        <f>"Inbetriebnahme 01-06/20" &amp; RIGHT(M3604,2)</f>
        <v>Inbetriebnahme 01-06/2024</v>
      </c>
      <c r="D3604" s="526" t="s">
        <v>7924</v>
      </c>
      <c r="E3604" s="526"/>
      <c r="F3604" s="538">
        <f>IF(HLOOKUP($D3604,$S3603:$T3605,MATCH(MID($A3604,10,3),$N3603:$N3605,0),FALSE)&lt;&gt;"",ROUND(HLOOKUP($D3604,$S3603:$T3605,MATCH(MID($A3604,10,3),$N3603:$N3605,0),FALSE),2),"")</f>
        <v>21.8</v>
      </c>
      <c r="G3604" s="537">
        <f>IF(HLOOKUP($D3604,$P3603:$Q3605,MATCH(MID($A3604,10,3),$N3603:$N3605,0),FALSE)&lt;&gt;"",ROUND(HLOOKUP($D3604,$P3603:$Q3605,MATCH(MID($A3604,10,3),$N3603:$N3605,0),FALSE),2),"")</f>
        <v>22</v>
      </c>
      <c r="H3604" s="641">
        <f t="shared" si="1395"/>
        <v>17.600000000000001</v>
      </c>
      <c r="I3604" s="574"/>
      <c r="J3604" s="549">
        <v>45268</v>
      </c>
      <c r="K3604" s="11"/>
      <c r="L3604" s="55"/>
      <c r="M3604" s="101">
        <v>2024</v>
      </c>
      <c r="N3604" s="519" t="s">
        <v>7651</v>
      </c>
      <c r="O3604" s="461">
        <v>0</v>
      </c>
      <c r="P3604" s="261">
        <f>P3601</f>
        <v>22</v>
      </c>
      <c r="Q3604" s="261">
        <f>Q3601</f>
        <v>19</v>
      </c>
      <c r="R3604" t="s">
        <v>49</v>
      </c>
      <c r="S3604" s="261">
        <f>P3604-0.2</f>
        <v>21.8</v>
      </c>
      <c r="T3604" s="261">
        <f>Q3604-0.2</f>
        <v>18.8</v>
      </c>
      <c r="U3604" t="s">
        <v>50</v>
      </c>
      <c r="AH3604" s="22"/>
      <c r="AO3604" s="203"/>
    </row>
    <row r="3605" spans="1:41" x14ac:dyDescent="0.35">
      <c r="A3605" s="527" t="str">
        <f>"BiK441---HJ1" &amp; RIGHT(M3604,2)</f>
        <v>BiK441---HJ124</v>
      </c>
      <c r="B3605" s="526" t="s">
        <v>5547</v>
      </c>
      <c r="C3605" s="526" t="str">
        <f>"Inbetriebnahme 01-06/20" &amp; RIGHT(M3604,2)</f>
        <v>Inbetriebnahme 01-06/2024</v>
      </c>
      <c r="D3605" s="526" t="s">
        <v>7925</v>
      </c>
      <c r="E3605" s="526"/>
      <c r="F3605" s="538">
        <f>IF(HLOOKUP($D3605,$S3603:$T3605,MATCH(MID($A3605,10,3),$N3603:$N3605,0),FALSE)&lt;&gt;"",ROUND(HLOOKUP($D3605,$S3603:$T3605,MATCH(MID($A3605,10,3),$N3603:$N3605,0),FALSE),2),"")</f>
        <v>18.8</v>
      </c>
      <c r="G3605" s="537">
        <f>IF(HLOOKUP($D3605,$P3603:$Q3605,MATCH(MID($A3605,10,3),$N3603:$N3605,0),FALSE)&lt;&gt;"",ROUND(HLOOKUP($D3605,$P3603:$Q3605,MATCH(MID($A3605,10,3),$N3603:$N3605,0),FALSE),2),"")</f>
        <v>19</v>
      </c>
      <c r="H3605" s="641">
        <f t="shared" si="1395"/>
        <v>15.2</v>
      </c>
      <c r="I3605" s="574"/>
      <c r="J3605" s="549">
        <v>45268</v>
      </c>
      <c r="K3605" s="11"/>
      <c r="L3605" s="55"/>
      <c r="M3605" s="315"/>
      <c r="N3605" s="519" t="s">
        <v>7652</v>
      </c>
      <c r="O3605" s="461">
        <v>5.0000000000000001E-3</v>
      </c>
      <c r="P3605" s="261">
        <f>IF($O3605&lt;&gt;"",(1-$O3605)*P3604,"")</f>
        <v>21.89</v>
      </c>
      <c r="Q3605" s="261">
        <f>IF($O3605&lt;&gt;"",(1-$O3605)*Q3604,"")</f>
        <v>18.905000000000001</v>
      </c>
      <c r="R3605" t="s">
        <v>49</v>
      </c>
      <c r="S3605" s="261">
        <f>P3605-0.2</f>
        <v>21.69</v>
      </c>
      <c r="T3605" s="261">
        <f>Q3605-0.2</f>
        <v>18.705000000000002</v>
      </c>
      <c r="U3605" t="s">
        <v>50</v>
      </c>
      <c r="AH3605" s="22"/>
      <c r="AO3605" s="203"/>
    </row>
    <row r="3606" spans="1:41" x14ac:dyDescent="0.35">
      <c r="A3606" s="527" t="str">
        <f>"BiK440---HJ2" &amp; RIGHT(M3604,2)</f>
        <v>BiK440---HJ224</v>
      </c>
      <c r="B3606" s="526" t="s">
        <v>5547</v>
      </c>
      <c r="C3606" s="526" t="str">
        <f>"Inbetriebnahme 07-12/20" &amp; RIGHT(M3604,2)</f>
        <v>Inbetriebnahme 07-12/2024</v>
      </c>
      <c r="D3606" s="526" t="s">
        <v>7924</v>
      </c>
      <c r="E3606" s="526"/>
      <c r="F3606" s="538">
        <f>IF(HLOOKUP($D3606,$S3603:$T3605,MATCH(MID($A3606,10,3),$N3603:$N3605,0),FALSE)&lt;&gt;"",ROUND(HLOOKUP($D3606,$S3603:$T3605,MATCH(MID($A3606,10,3),$N3603:$N3605,0),FALSE),2),"")</f>
        <v>21.69</v>
      </c>
      <c r="G3606" s="537">
        <f>IF(HLOOKUP($D3606,$P3603:$Q3605,MATCH(MID($A3606,10,3),$N3603:$N3605,0),FALSE)&lt;&gt;"",ROUND(HLOOKUP($D3606,$P3603:$Q3605,MATCH(MID($A3606,10,3),$N3603:$N3605,0),FALSE),2),"")</f>
        <v>21.89</v>
      </c>
      <c r="H3606" s="641">
        <f t="shared" si="1395"/>
        <v>17.510000000000002</v>
      </c>
      <c r="I3606" s="574"/>
      <c r="J3606" s="549">
        <v>45268</v>
      </c>
      <c r="K3606" s="11"/>
      <c r="L3606" s="55"/>
      <c r="M3606" s="101"/>
      <c r="N3606" s="519"/>
      <c r="O3606" s="461"/>
      <c r="P3606" s="261"/>
      <c r="Q3606" s="261"/>
      <c r="S3606" s="261"/>
      <c r="U3606" s="261"/>
      <c r="AH3606" s="22"/>
      <c r="AO3606" s="203"/>
    </row>
    <row r="3607" spans="1:41" x14ac:dyDescent="0.35">
      <c r="A3607" s="527" t="str">
        <f>"BiK441---HJ2" &amp; RIGHT(M3604,2)</f>
        <v>BiK441---HJ224</v>
      </c>
      <c r="B3607" s="526" t="s">
        <v>5547</v>
      </c>
      <c r="C3607" s="526" t="str">
        <f>"Inbetriebnahme 07-12/20" &amp; RIGHT(M3604,2)</f>
        <v>Inbetriebnahme 07-12/2024</v>
      </c>
      <c r="D3607" s="526" t="s">
        <v>7925</v>
      </c>
      <c r="E3607" s="526"/>
      <c r="F3607" s="538">
        <f>IF(HLOOKUP($D3607,$S3603:$T3605,MATCH(MID($A3607,10,3),$N3603:$N3605,0),FALSE)&lt;&gt;"",ROUND(HLOOKUP($D3607,$S3603:$T3605,MATCH(MID($A3607,10,3),$N3603:$N3605,0),FALSE),2),"")</f>
        <v>18.71</v>
      </c>
      <c r="G3607" s="537">
        <f>IF(HLOOKUP($D3607,$P3603:$Q3605,MATCH(MID($A3607,10,3),$N3603:$N3605,0),FALSE)&lt;&gt;"",ROUND(HLOOKUP($D3607,$P3603:$Q3605,MATCH(MID($A3607,10,3),$N3603:$N3605,0),FALSE),2),"")</f>
        <v>18.91</v>
      </c>
      <c r="H3607" s="641">
        <f t="shared" si="1395"/>
        <v>15.13</v>
      </c>
      <c r="I3607" s="574"/>
      <c r="J3607" s="549">
        <v>45268</v>
      </c>
      <c r="K3607" s="11"/>
      <c r="L3607" s="55"/>
      <c r="M3607" s="315"/>
      <c r="N3607" s="519"/>
      <c r="O3607" s="461"/>
      <c r="P3607" s="261"/>
      <c r="Q3607" s="261"/>
      <c r="R3607" s="261"/>
      <c r="S3607" s="261"/>
      <c r="U3607" s="261"/>
      <c r="AH3607" s="22"/>
      <c r="AO3607" s="203"/>
    </row>
    <row r="3608" spans="1:41" x14ac:dyDescent="0.35">
      <c r="E3608" s="1"/>
      <c r="F3608" s="362"/>
      <c r="G3608" s="10"/>
      <c r="H3608" s="10"/>
      <c r="I3608" s="566"/>
      <c r="J3608" s="549" t="s">
        <v>4179</v>
      </c>
      <c r="K3608" s="9"/>
      <c r="M3608" s="22"/>
      <c r="N3608" s="11"/>
      <c r="O3608" s="11"/>
    </row>
    <row r="3609" spans="1:41" ht="23.5" x14ac:dyDescent="0.55000000000000004">
      <c r="A3609" s="89" t="s">
        <v>2844</v>
      </c>
      <c r="B3609" s="50"/>
      <c r="C3609" s="50"/>
      <c r="D3609" s="50"/>
      <c r="E3609" s="50"/>
      <c r="F3609" s="363"/>
      <c r="G3609" s="50"/>
      <c r="H3609" s="59"/>
      <c r="I3609" s="567"/>
      <c r="J3609" s="549" t="s">
        <v>5804</v>
      </c>
    </row>
    <row r="3610" spans="1:41" x14ac:dyDescent="0.35">
      <c r="A3610" s="496" t="s">
        <v>2813</v>
      </c>
      <c r="B3610" s="1" t="s">
        <v>4846</v>
      </c>
      <c r="C3610" s="1" t="s">
        <v>1272</v>
      </c>
      <c r="D3610" s="1" t="s">
        <v>5406</v>
      </c>
      <c r="E3610" s="1"/>
      <c r="F3610" s="362">
        <v>7.67</v>
      </c>
      <c r="G3610" s="425">
        <v>7.67</v>
      </c>
      <c r="H3610" s="10">
        <f t="shared" ref="H3610:H3673" si="1396">IF(ISNUMBER(G3610),ROUND(0.8*G3610,2),"")</f>
        <v>6.14</v>
      </c>
      <c r="I3610" s="566"/>
      <c r="J3610" s="549" t="s">
        <v>5804</v>
      </c>
      <c r="Q3610" s="9"/>
      <c r="T3610" s="9"/>
      <c r="U3610" s="12"/>
      <c r="V3610" s="12"/>
      <c r="W3610" s="12"/>
      <c r="X3610" s="12"/>
      <c r="Y3610" s="12"/>
      <c r="Z3610" s="12"/>
      <c r="AA3610" s="12"/>
      <c r="AB3610" s="12"/>
      <c r="AC3610" s="12"/>
      <c r="AD3610" s="12"/>
      <c r="AE3610" s="12"/>
    </row>
    <row r="3611" spans="1:41" x14ac:dyDescent="0.35">
      <c r="A3611" s="496" t="s">
        <v>2814</v>
      </c>
      <c r="B3611" s="1" t="s">
        <v>4846</v>
      </c>
      <c r="C3611" s="1" t="s">
        <v>1272</v>
      </c>
      <c r="D3611" s="1" t="s">
        <v>5407</v>
      </c>
      <c r="E3611" s="1"/>
      <c r="F3611" s="362">
        <v>6.65</v>
      </c>
      <c r="G3611" s="425">
        <v>6.65</v>
      </c>
      <c r="H3611" s="10">
        <f t="shared" si="1396"/>
        <v>5.32</v>
      </c>
      <c r="I3611" s="566"/>
      <c r="J3611" s="549" t="s">
        <v>5804</v>
      </c>
      <c r="Q3611" s="9"/>
      <c r="T3611" s="9"/>
      <c r="U3611" s="12"/>
      <c r="V3611" s="12"/>
      <c r="W3611" s="12"/>
      <c r="X3611" s="12"/>
      <c r="Y3611" s="12"/>
      <c r="Z3611" s="12"/>
      <c r="AA3611" s="12"/>
      <c r="AB3611" s="12"/>
      <c r="AC3611" s="12"/>
      <c r="AD3611" s="12"/>
      <c r="AE3611" s="12"/>
    </row>
    <row r="3612" spans="1:41" x14ac:dyDescent="0.35">
      <c r="A3612" s="496"/>
      <c r="B3612" s="1"/>
      <c r="C3612" s="1"/>
      <c r="D3612" s="1"/>
      <c r="E3612" s="1"/>
      <c r="F3612" s="362"/>
      <c r="G3612" s="425"/>
      <c r="H3612" s="10" t="str">
        <f t="shared" si="1396"/>
        <v/>
      </c>
      <c r="I3612" s="566"/>
      <c r="J3612" s="549" t="s">
        <v>4179</v>
      </c>
      <c r="Q3612" s="9"/>
      <c r="T3612" s="9"/>
      <c r="U3612" s="12"/>
      <c r="V3612" s="12"/>
      <c r="W3612" s="12"/>
      <c r="X3612" s="12"/>
      <c r="Y3612" s="12"/>
      <c r="Z3612" s="12"/>
      <c r="AA3612" s="12"/>
      <c r="AB3612" s="12"/>
      <c r="AC3612" s="12"/>
      <c r="AD3612" s="12"/>
      <c r="AE3612" s="12"/>
    </row>
    <row r="3613" spans="1:41" x14ac:dyDescent="0.35">
      <c r="A3613" s="496" t="s">
        <v>2815</v>
      </c>
      <c r="B3613" s="1" t="s">
        <v>4846</v>
      </c>
      <c r="C3613" s="1" t="s">
        <v>1275</v>
      </c>
      <c r="D3613" s="1" t="s">
        <v>5406</v>
      </c>
      <c r="E3613" s="1"/>
      <c r="F3613" s="362">
        <v>7.67</v>
      </c>
      <c r="G3613" s="425">
        <v>7.67</v>
      </c>
      <c r="H3613" s="10">
        <f t="shared" si="1396"/>
        <v>6.14</v>
      </c>
      <c r="I3613" s="566"/>
      <c r="J3613" s="549" t="s">
        <v>5804</v>
      </c>
    </row>
    <row r="3614" spans="1:41" x14ac:dyDescent="0.35">
      <c r="A3614" s="496" t="s">
        <v>2816</v>
      </c>
      <c r="B3614" s="1" t="s">
        <v>4846</v>
      </c>
      <c r="C3614" s="1" t="s">
        <v>1275</v>
      </c>
      <c r="D3614" s="1" t="s">
        <v>5407</v>
      </c>
      <c r="E3614" s="1"/>
      <c r="F3614" s="362">
        <v>6.65</v>
      </c>
      <c r="G3614" s="425">
        <v>6.65</v>
      </c>
      <c r="H3614" s="10">
        <f t="shared" si="1396"/>
        <v>5.32</v>
      </c>
      <c r="I3614" s="566"/>
      <c r="J3614" s="549" t="s">
        <v>5804</v>
      </c>
    </row>
    <row r="3615" spans="1:41" x14ac:dyDescent="0.35">
      <c r="A3615" s="496" t="s">
        <v>2817</v>
      </c>
      <c r="B3615" s="1" t="s">
        <v>4846</v>
      </c>
      <c r="C3615" s="1" t="s">
        <v>1275</v>
      </c>
      <c r="D3615" s="1" t="s">
        <v>7369</v>
      </c>
      <c r="E3615" s="1"/>
      <c r="F3615" s="362">
        <v>6.65</v>
      </c>
      <c r="G3615" s="425">
        <v>6.65</v>
      </c>
      <c r="H3615" s="10">
        <f t="shared" si="1396"/>
        <v>5.32</v>
      </c>
      <c r="I3615" s="566"/>
      <c r="J3615" s="549" t="s">
        <v>5804</v>
      </c>
    </row>
    <row r="3616" spans="1:41" x14ac:dyDescent="0.35">
      <c r="A3616" s="496" t="s">
        <v>2818</v>
      </c>
      <c r="B3616" s="1" t="s">
        <v>4846</v>
      </c>
      <c r="C3616" s="1" t="s">
        <v>1275</v>
      </c>
      <c r="D3616" s="1" t="s">
        <v>7345</v>
      </c>
      <c r="E3616" s="1"/>
      <c r="F3616" s="362">
        <v>9.67</v>
      </c>
      <c r="G3616" s="425">
        <v>9.67</v>
      </c>
      <c r="H3616" s="10">
        <f t="shared" si="1396"/>
        <v>7.74</v>
      </c>
      <c r="I3616" s="566"/>
      <c r="J3616" s="549" t="s">
        <v>5804</v>
      </c>
    </row>
    <row r="3617" spans="1:10" x14ac:dyDescent="0.35">
      <c r="A3617" s="496" t="s">
        <v>2819</v>
      </c>
      <c r="B3617" s="1" t="s">
        <v>4846</v>
      </c>
      <c r="C3617" s="1" t="s">
        <v>1275</v>
      </c>
      <c r="D3617" s="1" t="s">
        <v>7391</v>
      </c>
      <c r="E3617" s="1"/>
      <c r="F3617" s="362">
        <v>8.65</v>
      </c>
      <c r="G3617" s="425">
        <v>8.65</v>
      </c>
      <c r="H3617" s="10">
        <f t="shared" si="1396"/>
        <v>6.92</v>
      </c>
      <c r="I3617" s="566"/>
      <c r="J3617" s="549" t="s">
        <v>5804</v>
      </c>
    </row>
    <row r="3618" spans="1:10" x14ac:dyDescent="0.35">
      <c r="A3618" s="496" t="s">
        <v>2820</v>
      </c>
      <c r="B3618" s="1" t="s">
        <v>4846</v>
      </c>
      <c r="C3618" s="1" t="s">
        <v>1275</v>
      </c>
      <c r="D3618" s="1" t="s">
        <v>7370</v>
      </c>
      <c r="E3618" s="1"/>
      <c r="F3618" s="362">
        <v>8.65</v>
      </c>
      <c r="G3618" s="425">
        <v>8.65</v>
      </c>
      <c r="H3618" s="10">
        <f t="shared" si="1396"/>
        <v>6.92</v>
      </c>
      <c r="I3618" s="566"/>
      <c r="J3618" s="549" t="s">
        <v>5804</v>
      </c>
    </row>
    <row r="3619" spans="1:10" x14ac:dyDescent="0.35">
      <c r="A3619" s="496"/>
      <c r="B3619" s="1"/>
      <c r="C3619" s="1"/>
      <c r="D3619" s="1"/>
      <c r="E3619" s="1"/>
      <c r="F3619" s="362"/>
      <c r="G3619" s="425"/>
      <c r="H3619" s="10" t="str">
        <f t="shared" si="1396"/>
        <v/>
      </c>
      <c r="I3619" s="566"/>
      <c r="J3619" s="549" t="s">
        <v>4179</v>
      </c>
    </row>
    <row r="3620" spans="1:10" x14ac:dyDescent="0.35">
      <c r="A3620" s="496" t="s">
        <v>2821</v>
      </c>
      <c r="B3620" s="1" t="s">
        <v>4846</v>
      </c>
      <c r="C3620" s="1" t="s">
        <v>1288</v>
      </c>
      <c r="D3620" s="1" t="s">
        <v>5406</v>
      </c>
      <c r="E3620" s="1"/>
      <c r="F3620" s="362">
        <v>7.55</v>
      </c>
      <c r="G3620" s="425">
        <v>7.55</v>
      </c>
      <c r="H3620" s="10">
        <f t="shared" si="1396"/>
        <v>6.04</v>
      </c>
      <c r="I3620" s="566"/>
      <c r="J3620" s="549" t="s">
        <v>5804</v>
      </c>
    </row>
    <row r="3621" spans="1:10" x14ac:dyDescent="0.35">
      <c r="A3621" s="496" t="s">
        <v>2822</v>
      </c>
      <c r="B3621" s="1" t="s">
        <v>4846</v>
      </c>
      <c r="C3621" s="1" t="s">
        <v>1288</v>
      </c>
      <c r="D3621" s="1" t="s">
        <v>5407</v>
      </c>
      <c r="E3621" s="1"/>
      <c r="F3621" s="362">
        <v>6.55</v>
      </c>
      <c r="G3621" s="425">
        <v>6.55</v>
      </c>
      <c r="H3621" s="10">
        <f t="shared" si="1396"/>
        <v>5.24</v>
      </c>
      <c r="I3621" s="566"/>
      <c r="J3621" s="549" t="s">
        <v>5804</v>
      </c>
    </row>
    <row r="3622" spans="1:10" x14ac:dyDescent="0.35">
      <c r="A3622" s="496" t="s">
        <v>2823</v>
      </c>
      <c r="B3622" s="1" t="s">
        <v>4846</v>
      </c>
      <c r="C3622" s="1" t="s">
        <v>1288</v>
      </c>
      <c r="D3622" s="1" t="s">
        <v>7369</v>
      </c>
      <c r="E3622" s="1"/>
      <c r="F3622" s="362">
        <v>6.55</v>
      </c>
      <c r="G3622" s="425">
        <v>6.55</v>
      </c>
      <c r="H3622" s="10">
        <f t="shared" si="1396"/>
        <v>5.24</v>
      </c>
      <c r="I3622" s="566"/>
      <c r="J3622" s="549" t="s">
        <v>5804</v>
      </c>
    </row>
    <row r="3623" spans="1:10" ht="16.5" customHeight="1" x14ac:dyDescent="0.35">
      <c r="A3623" s="496" t="s">
        <v>2824</v>
      </c>
      <c r="B3623" s="1" t="s">
        <v>4846</v>
      </c>
      <c r="C3623" s="1" t="s">
        <v>1288</v>
      </c>
      <c r="D3623" s="1" t="s">
        <v>7345</v>
      </c>
      <c r="E3623" s="1"/>
      <c r="F3623" s="362">
        <v>9.5500000000000007</v>
      </c>
      <c r="G3623" s="425">
        <v>9.5500000000000007</v>
      </c>
      <c r="H3623" s="10">
        <f t="shared" si="1396"/>
        <v>7.64</v>
      </c>
      <c r="I3623" s="566"/>
      <c r="J3623" s="549" t="s">
        <v>5804</v>
      </c>
    </row>
    <row r="3624" spans="1:10" x14ac:dyDescent="0.35">
      <c r="A3624" s="496" t="s">
        <v>2013</v>
      </c>
      <c r="B3624" s="1" t="s">
        <v>4846</v>
      </c>
      <c r="C3624" s="1" t="s">
        <v>1288</v>
      </c>
      <c r="D3624" s="1" t="s">
        <v>7391</v>
      </c>
      <c r="E3624" s="1"/>
      <c r="F3624" s="362">
        <v>8.5500000000000007</v>
      </c>
      <c r="G3624" s="425">
        <v>8.5500000000000007</v>
      </c>
      <c r="H3624" s="10">
        <f t="shared" si="1396"/>
        <v>6.84</v>
      </c>
      <c r="I3624" s="566"/>
      <c r="J3624" s="549" t="s">
        <v>5804</v>
      </c>
    </row>
    <row r="3625" spans="1:10" x14ac:dyDescent="0.35">
      <c r="A3625" s="496" t="s">
        <v>2014</v>
      </c>
      <c r="B3625" s="1" t="s">
        <v>4846</v>
      </c>
      <c r="C3625" s="1" t="s">
        <v>1288</v>
      </c>
      <c r="D3625" s="1" t="s">
        <v>7370</v>
      </c>
      <c r="E3625" s="1"/>
      <c r="F3625" s="362">
        <v>8.5500000000000007</v>
      </c>
      <c r="G3625" s="425">
        <v>8.5500000000000007</v>
      </c>
      <c r="H3625" s="10">
        <f t="shared" si="1396"/>
        <v>6.84</v>
      </c>
      <c r="I3625" s="566"/>
      <c r="J3625" s="549" t="s">
        <v>5804</v>
      </c>
    </row>
    <row r="3626" spans="1:10" x14ac:dyDescent="0.35">
      <c r="A3626" s="496"/>
      <c r="B3626" s="1"/>
      <c r="C3626" s="1"/>
      <c r="D3626" s="1"/>
      <c r="E3626" s="1"/>
      <c r="F3626" s="362"/>
      <c r="G3626" s="425"/>
      <c r="H3626" s="10" t="str">
        <f t="shared" si="1396"/>
        <v/>
      </c>
      <c r="I3626" s="566"/>
      <c r="J3626" s="549" t="s">
        <v>4179</v>
      </c>
    </row>
    <row r="3627" spans="1:10" x14ac:dyDescent="0.35">
      <c r="A3627" s="496" t="s">
        <v>2015</v>
      </c>
      <c r="B3627" s="1" t="s">
        <v>4846</v>
      </c>
      <c r="C3627" s="1" t="s">
        <v>1296</v>
      </c>
      <c r="D3627" s="1" t="s">
        <v>5406</v>
      </c>
      <c r="E3627" s="1"/>
      <c r="F3627" s="362">
        <v>7.44</v>
      </c>
      <c r="G3627" s="425">
        <v>7.44</v>
      </c>
      <c r="H3627" s="10">
        <f t="shared" si="1396"/>
        <v>5.95</v>
      </c>
      <c r="I3627" s="566"/>
      <c r="J3627" s="549" t="s">
        <v>5804</v>
      </c>
    </row>
    <row r="3628" spans="1:10" x14ac:dyDescent="0.35">
      <c r="A3628" s="496" t="s">
        <v>2016</v>
      </c>
      <c r="B3628" s="1" t="s">
        <v>4846</v>
      </c>
      <c r="C3628" s="1" t="s">
        <v>1296</v>
      </c>
      <c r="D3628" s="1" t="s">
        <v>5407</v>
      </c>
      <c r="E3628" s="1"/>
      <c r="F3628" s="362">
        <v>6.45</v>
      </c>
      <c r="G3628" s="425">
        <v>6.45</v>
      </c>
      <c r="H3628" s="10">
        <f t="shared" si="1396"/>
        <v>5.16</v>
      </c>
      <c r="I3628" s="566"/>
      <c r="J3628" s="549" t="s">
        <v>5804</v>
      </c>
    </row>
    <row r="3629" spans="1:10" x14ac:dyDescent="0.35">
      <c r="A3629" s="496" t="s">
        <v>2017</v>
      </c>
      <c r="B3629" s="1" t="s">
        <v>4846</v>
      </c>
      <c r="C3629" s="1" t="s">
        <v>1296</v>
      </c>
      <c r="D3629" s="1" t="s">
        <v>7369</v>
      </c>
      <c r="E3629" s="1"/>
      <c r="F3629" s="362">
        <v>6.45</v>
      </c>
      <c r="G3629" s="425">
        <v>6.45</v>
      </c>
      <c r="H3629" s="10">
        <f t="shared" si="1396"/>
        <v>5.16</v>
      </c>
      <c r="I3629" s="566"/>
      <c r="J3629" s="549" t="s">
        <v>5804</v>
      </c>
    </row>
    <row r="3630" spans="1:10" x14ac:dyDescent="0.35">
      <c r="A3630" s="496" t="s">
        <v>2018</v>
      </c>
      <c r="B3630" s="1" t="s">
        <v>4846</v>
      </c>
      <c r="C3630" s="1" t="s">
        <v>1296</v>
      </c>
      <c r="D3630" s="1" t="s">
        <v>7345</v>
      </c>
      <c r="E3630" s="1"/>
      <c r="F3630" s="362">
        <v>9.44</v>
      </c>
      <c r="G3630" s="425">
        <v>9.44</v>
      </c>
      <c r="H3630" s="10">
        <f t="shared" si="1396"/>
        <v>7.55</v>
      </c>
      <c r="I3630" s="566"/>
      <c r="J3630" s="549" t="s">
        <v>5804</v>
      </c>
    </row>
    <row r="3631" spans="1:10" x14ac:dyDescent="0.35">
      <c r="A3631" s="496" t="s">
        <v>2019</v>
      </c>
      <c r="B3631" s="1" t="s">
        <v>4846</v>
      </c>
      <c r="C3631" s="1" t="s">
        <v>1296</v>
      </c>
      <c r="D3631" s="1" t="s">
        <v>7391</v>
      </c>
      <c r="E3631" s="1"/>
      <c r="F3631" s="362">
        <v>8.4499999999999993</v>
      </c>
      <c r="G3631" s="425">
        <v>8.4499999999999993</v>
      </c>
      <c r="H3631" s="10">
        <f t="shared" si="1396"/>
        <v>6.76</v>
      </c>
      <c r="I3631" s="566"/>
      <c r="J3631" s="549" t="s">
        <v>5804</v>
      </c>
    </row>
    <row r="3632" spans="1:10" x14ac:dyDescent="0.35">
      <c r="A3632" s="496" t="s">
        <v>2020</v>
      </c>
      <c r="B3632" s="1" t="s">
        <v>4846</v>
      </c>
      <c r="C3632" s="1" t="s">
        <v>1296</v>
      </c>
      <c r="D3632" s="1" t="s">
        <v>7370</v>
      </c>
      <c r="E3632" s="1"/>
      <c r="F3632" s="362">
        <v>8.4499999999999993</v>
      </c>
      <c r="G3632" s="425">
        <v>8.4499999999999993</v>
      </c>
      <c r="H3632" s="10">
        <f t="shared" si="1396"/>
        <v>6.76</v>
      </c>
      <c r="I3632" s="566"/>
      <c r="J3632" s="549" t="s">
        <v>5804</v>
      </c>
    </row>
    <row r="3633" spans="1:16" ht="16.5" customHeight="1" x14ac:dyDescent="0.35">
      <c r="A3633" s="496"/>
      <c r="B3633" s="1"/>
      <c r="C3633" s="1"/>
      <c r="D3633" s="1"/>
      <c r="E3633" s="1"/>
      <c r="F3633" s="362"/>
      <c r="G3633" s="425"/>
      <c r="H3633" s="10" t="str">
        <f t="shared" si="1396"/>
        <v/>
      </c>
      <c r="I3633" s="566"/>
      <c r="J3633" s="549" t="s">
        <v>4179</v>
      </c>
    </row>
    <row r="3634" spans="1:16" x14ac:dyDescent="0.35">
      <c r="A3634" s="496" t="s">
        <v>2021</v>
      </c>
      <c r="B3634" s="1" t="s">
        <v>4846</v>
      </c>
      <c r="C3634" s="1" t="s">
        <v>1304</v>
      </c>
      <c r="D3634" s="1" t="s">
        <v>5406</v>
      </c>
      <c r="E3634" s="1"/>
      <c r="F3634" s="362">
        <v>7.33</v>
      </c>
      <c r="G3634" s="425">
        <v>7.33</v>
      </c>
      <c r="H3634" s="10">
        <f t="shared" si="1396"/>
        <v>5.86</v>
      </c>
      <c r="I3634" s="566"/>
      <c r="J3634" s="549" t="s">
        <v>5804</v>
      </c>
    </row>
    <row r="3635" spans="1:16" ht="14.25" customHeight="1" x14ac:dyDescent="0.35">
      <c r="A3635" s="496" t="s">
        <v>2022</v>
      </c>
      <c r="B3635" s="1" t="s">
        <v>4846</v>
      </c>
      <c r="C3635" s="1" t="s">
        <v>1304</v>
      </c>
      <c r="D3635" s="1" t="s">
        <v>5407</v>
      </c>
      <c r="E3635" s="1"/>
      <c r="F3635" s="362">
        <v>6.35</v>
      </c>
      <c r="G3635" s="425">
        <v>6.35</v>
      </c>
      <c r="H3635" s="10">
        <f t="shared" si="1396"/>
        <v>5.08</v>
      </c>
      <c r="I3635" s="566"/>
      <c r="J3635" s="549" t="s">
        <v>5804</v>
      </c>
    </row>
    <row r="3636" spans="1:16" x14ac:dyDescent="0.35">
      <c r="A3636" s="496" t="s">
        <v>2023</v>
      </c>
      <c r="B3636" s="1" t="s">
        <v>4846</v>
      </c>
      <c r="C3636" s="1" t="s">
        <v>1304</v>
      </c>
      <c r="D3636" s="1" t="s">
        <v>7369</v>
      </c>
      <c r="E3636" s="1"/>
      <c r="F3636" s="362">
        <v>6.35</v>
      </c>
      <c r="G3636" s="425">
        <v>6.35</v>
      </c>
      <c r="H3636" s="10">
        <f t="shared" si="1396"/>
        <v>5.08</v>
      </c>
      <c r="I3636" s="566"/>
      <c r="J3636" s="549" t="s">
        <v>5804</v>
      </c>
    </row>
    <row r="3637" spans="1:16" ht="15" customHeight="1" x14ac:dyDescent="0.35">
      <c r="A3637" s="496" t="s">
        <v>2024</v>
      </c>
      <c r="B3637" s="1" t="s">
        <v>4846</v>
      </c>
      <c r="C3637" s="1" t="s">
        <v>1304</v>
      </c>
      <c r="D3637" s="1" t="s">
        <v>7345</v>
      </c>
      <c r="E3637" s="1"/>
      <c r="F3637" s="362">
        <v>9.33</v>
      </c>
      <c r="G3637" s="425">
        <v>9.33</v>
      </c>
      <c r="H3637" s="10">
        <f t="shared" si="1396"/>
        <v>7.46</v>
      </c>
      <c r="I3637" s="566"/>
      <c r="J3637" s="549" t="s">
        <v>5804</v>
      </c>
    </row>
    <row r="3638" spans="1:16" ht="15" customHeight="1" x14ac:dyDescent="0.35">
      <c r="A3638" s="496" t="s">
        <v>2025</v>
      </c>
      <c r="B3638" s="1" t="s">
        <v>4846</v>
      </c>
      <c r="C3638" s="1" t="s">
        <v>1304</v>
      </c>
      <c r="D3638" s="1" t="s">
        <v>7391</v>
      </c>
      <c r="E3638" s="1"/>
      <c r="F3638" s="362">
        <v>8.35</v>
      </c>
      <c r="G3638" s="425">
        <v>8.35</v>
      </c>
      <c r="H3638" s="10">
        <f t="shared" si="1396"/>
        <v>6.68</v>
      </c>
      <c r="I3638" s="566"/>
      <c r="J3638" s="549" t="s">
        <v>5804</v>
      </c>
    </row>
    <row r="3639" spans="1:16" x14ac:dyDescent="0.35">
      <c r="A3639" s="496" t="s">
        <v>2026</v>
      </c>
      <c r="B3639" s="1" t="s">
        <v>4846</v>
      </c>
      <c r="C3639" s="1" t="s">
        <v>1304</v>
      </c>
      <c r="D3639" s="1" t="s">
        <v>7370</v>
      </c>
      <c r="E3639" s="1"/>
      <c r="F3639" s="362">
        <v>8.35</v>
      </c>
      <c r="G3639" s="425">
        <v>8.35</v>
      </c>
      <c r="H3639" s="10">
        <f t="shared" si="1396"/>
        <v>6.68</v>
      </c>
      <c r="I3639" s="566"/>
      <c r="J3639" s="549" t="s">
        <v>5804</v>
      </c>
    </row>
    <row r="3640" spans="1:16" x14ac:dyDescent="0.35">
      <c r="A3640" s="496"/>
      <c r="B3640" s="1"/>
      <c r="C3640" s="1"/>
      <c r="D3640" s="1"/>
      <c r="E3640" s="1"/>
      <c r="F3640" s="362"/>
      <c r="G3640" s="425"/>
      <c r="H3640" s="10" t="str">
        <f t="shared" si="1396"/>
        <v/>
      </c>
      <c r="I3640" s="566"/>
      <c r="J3640" s="549" t="s">
        <v>4179</v>
      </c>
    </row>
    <row r="3641" spans="1:16" x14ac:dyDescent="0.35">
      <c r="A3641" s="496" t="s">
        <v>2027</v>
      </c>
      <c r="B3641" s="1" t="s">
        <v>4846</v>
      </c>
      <c r="C3641" s="1" t="s">
        <v>5539</v>
      </c>
      <c r="D3641" s="1" t="s">
        <v>5406</v>
      </c>
      <c r="E3641" s="1"/>
      <c r="F3641" s="362">
        <v>7.22</v>
      </c>
      <c r="G3641" s="425">
        <v>7.22</v>
      </c>
      <c r="H3641" s="10">
        <f t="shared" si="1396"/>
        <v>5.78</v>
      </c>
      <c r="I3641" s="566"/>
      <c r="J3641" s="549" t="s">
        <v>5804</v>
      </c>
    </row>
    <row r="3642" spans="1:16" x14ac:dyDescent="0.35">
      <c r="A3642" s="496" t="s">
        <v>2028</v>
      </c>
      <c r="B3642" s="1" t="s">
        <v>4846</v>
      </c>
      <c r="C3642" s="1" t="s">
        <v>5539</v>
      </c>
      <c r="D3642" s="1" t="s">
        <v>5407</v>
      </c>
      <c r="E3642" s="1"/>
      <c r="F3642" s="362">
        <v>6.25</v>
      </c>
      <c r="G3642" s="425">
        <v>6.25</v>
      </c>
      <c r="H3642" s="10">
        <f t="shared" si="1396"/>
        <v>5</v>
      </c>
      <c r="I3642" s="566"/>
      <c r="J3642" s="549" t="s">
        <v>5804</v>
      </c>
    </row>
    <row r="3643" spans="1:16" x14ac:dyDescent="0.35">
      <c r="A3643" s="496" t="s">
        <v>2029</v>
      </c>
      <c r="B3643" s="1" t="s">
        <v>4846</v>
      </c>
      <c r="C3643" s="1" t="s">
        <v>5539</v>
      </c>
      <c r="D3643" s="1" t="s">
        <v>7369</v>
      </c>
      <c r="E3643" s="1"/>
      <c r="F3643" s="362">
        <v>6.25</v>
      </c>
      <c r="G3643" s="425">
        <v>6.25</v>
      </c>
      <c r="H3643" s="10">
        <f t="shared" si="1396"/>
        <v>5</v>
      </c>
      <c r="I3643" s="566"/>
      <c r="J3643" s="549" t="s">
        <v>5804</v>
      </c>
    </row>
    <row r="3644" spans="1:16" ht="16.5" customHeight="1" x14ac:dyDescent="0.35">
      <c r="A3644" s="496" t="s">
        <v>2030</v>
      </c>
      <c r="B3644" s="1" t="s">
        <v>4846</v>
      </c>
      <c r="C3644" s="1" t="s">
        <v>5539</v>
      </c>
      <c r="D3644" s="1" t="s">
        <v>7345</v>
      </c>
      <c r="E3644" s="1"/>
      <c r="F3644" s="362">
        <v>9.2200000000000006</v>
      </c>
      <c r="G3644" s="425">
        <v>9.2200000000000006</v>
      </c>
      <c r="H3644" s="10">
        <f t="shared" si="1396"/>
        <v>7.38</v>
      </c>
      <c r="I3644" s="566"/>
      <c r="J3644" s="549" t="s">
        <v>5804</v>
      </c>
    </row>
    <row r="3645" spans="1:16" x14ac:dyDescent="0.35">
      <c r="A3645" s="496" t="s">
        <v>2031</v>
      </c>
      <c r="B3645" s="1" t="s">
        <v>4846</v>
      </c>
      <c r="C3645" s="1" t="s">
        <v>5539</v>
      </c>
      <c r="D3645" s="1" t="s">
        <v>7391</v>
      </c>
      <c r="E3645" s="1"/>
      <c r="F3645" s="362">
        <v>8.25</v>
      </c>
      <c r="G3645" s="425">
        <v>8.25</v>
      </c>
      <c r="H3645" s="10">
        <f t="shared" si="1396"/>
        <v>6.6</v>
      </c>
      <c r="I3645" s="566"/>
      <c r="J3645" s="549" t="s">
        <v>5804</v>
      </c>
    </row>
    <row r="3646" spans="1:16" ht="16.5" customHeight="1" x14ac:dyDescent="0.35">
      <c r="A3646" s="496" t="s">
        <v>2032</v>
      </c>
      <c r="B3646" s="1" t="s">
        <v>4846</v>
      </c>
      <c r="C3646" s="1" t="s">
        <v>5539</v>
      </c>
      <c r="D3646" s="1" t="s">
        <v>7370</v>
      </c>
      <c r="E3646" s="1"/>
      <c r="F3646" s="362">
        <v>8.25</v>
      </c>
      <c r="G3646" s="425">
        <v>8.25</v>
      </c>
      <c r="H3646" s="10">
        <f t="shared" si="1396"/>
        <v>6.6</v>
      </c>
      <c r="I3646" s="566"/>
      <c r="J3646" s="549" t="s">
        <v>5804</v>
      </c>
    </row>
    <row r="3647" spans="1:16" ht="15" customHeight="1" x14ac:dyDescent="0.35">
      <c r="A3647" s="496"/>
      <c r="B3647" s="1"/>
      <c r="C3647" s="1"/>
      <c r="D3647" s="1"/>
      <c r="E3647" s="1"/>
      <c r="F3647" s="362"/>
      <c r="G3647" s="425"/>
      <c r="H3647" s="10" t="str">
        <f t="shared" si="1396"/>
        <v/>
      </c>
      <c r="I3647" s="566"/>
      <c r="J3647" s="549" t="s">
        <v>4179</v>
      </c>
    </row>
    <row r="3648" spans="1:16" ht="15" customHeight="1" x14ac:dyDescent="0.35">
      <c r="A3648" s="496"/>
      <c r="B3648" s="1"/>
      <c r="C3648" s="1"/>
      <c r="D3648" s="1"/>
      <c r="E3648" s="1"/>
      <c r="F3648" s="362"/>
      <c r="G3648" s="425"/>
      <c r="H3648" s="10" t="str">
        <f t="shared" si="1396"/>
        <v/>
      </c>
      <c r="I3648" s="566"/>
      <c r="J3648" s="549" t="s">
        <v>4179</v>
      </c>
      <c r="K3648" s="22"/>
      <c r="M3648" s="53" t="s">
        <v>5488</v>
      </c>
      <c r="N3648" s="27"/>
      <c r="O3648" s="22"/>
      <c r="P3648" s="22"/>
    </row>
    <row r="3649" spans="1:30" ht="15" customHeight="1" x14ac:dyDescent="0.35">
      <c r="A3649" s="496"/>
      <c r="B3649" s="1"/>
      <c r="C3649" s="18"/>
      <c r="D3649" s="18"/>
      <c r="E3649" s="1"/>
      <c r="F3649" s="362"/>
      <c r="G3649" s="425"/>
      <c r="H3649" s="10" t="str">
        <f t="shared" si="1396"/>
        <v/>
      </c>
      <c r="I3649" s="566"/>
      <c r="J3649" s="549" t="s">
        <v>4179</v>
      </c>
      <c r="K3649" s="22"/>
      <c r="L3649" s="22"/>
      <c r="M3649" s="22"/>
      <c r="N3649" s="85"/>
      <c r="O3649" s="86" t="s">
        <v>1205</v>
      </c>
      <c r="P3649" s="22"/>
      <c r="Q3649" s="38"/>
      <c r="S3649" s="22"/>
      <c r="AB3649" s="57"/>
    </row>
    <row r="3650" spans="1:30" ht="73.5" customHeight="1" x14ac:dyDescent="0.35">
      <c r="A3650" s="496"/>
      <c r="B3650" s="1"/>
      <c r="C3650" s="18"/>
      <c r="D3650" s="18"/>
      <c r="E3650" s="1"/>
      <c r="F3650" s="362"/>
      <c r="G3650" s="425"/>
      <c r="H3650" s="10" t="str">
        <f t="shared" si="1396"/>
        <v/>
      </c>
      <c r="I3650" s="566"/>
      <c r="J3650" s="549" t="s">
        <v>4179</v>
      </c>
      <c r="K3650" s="22"/>
      <c r="L3650" s="22"/>
      <c r="M3650" s="36" t="s">
        <v>2913</v>
      </c>
      <c r="N3650" s="39" t="s">
        <v>5492</v>
      </c>
      <c r="O3650" s="30" t="s">
        <v>772</v>
      </c>
      <c r="P3650" s="30" t="s">
        <v>773</v>
      </c>
      <c r="Q3650" s="39" t="s">
        <v>774</v>
      </c>
      <c r="R3650" s="95" t="s">
        <v>5489</v>
      </c>
      <c r="S3650" s="30"/>
      <c r="T3650" s="30"/>
      <c r="U3650" s="30"/>
      <c r="V3650" s="64"/>
      <c r="W3650" s="64"/>
      <c r="X3650" s="64"/>
      <c r="Y3650" s="64"/>
      <c r="Z3650" s="64"/>
      <c r="AA3650" s="64"/>
      <c r="AB3650" s="30"/>
      <c r="AC3650" s="30"/>
      <c r="AD3650" s="30"/>
    </row>
    <row r="3651" spans="1:30" x14ac:dyDescent="0.35">
      <c r="A3651" s="496"/>
      <c r="B3651" s="1"/>
      <c r="C3651" s="18"/>
      <c r="D3651" s="18"/>
      <c r="E3651" s="1"/>
      <c r="F3651" s="362"/>
      <c r="G3651" s="425"/>
      <c r="H3651" s="10" t="str">
        <f t="shared" si="1396"/>
        <v/>
      </c>
      <c r="I3651" s="566"/>
      <c r="J3651" s="549" t="s">
        <v>4179</v>
      </c>
      <c r="K3651" s="22"/>
      <c r="L3651" s="22"/>
      <c r="M3651" s="34"/>
      <c r="N3651" s="39"/>
      <c r="O3651" s="30" t="s">
        <v>1032</v>
      </c>
      <c r="P3651" s="30" t="s">
        <v>1030</v>
      </c>
      <c r="Q3651" s="39" t="s">
        <v>1031</v>
      </c>
      <c r="R3651" s="293">
        <v>1.4999999999999999E-2</v>
      </c>
      <c r="S3651" s="30"/>
      <c r="T3651" s="30"/>
      <c r="U3651" s="30"/>
      <c r="V3651" s="30"/>
      <c r="W3651" s="30"/>
      <c r="X3651" s="30"/>
      <c r="Y3651" s="30"/>
      <c r="Z3651" s="30"/>
      <c r="AA3651" s="30"/>
      <c r="AB3651" s="30"/>
      <c r="AC3651" s="30"/>
      <c r="AD3651" s="30"/>
    </row>
    <row r="3652" spans="1:30" ht="17.25" customHeight="1" x14ac:dyDescent="0.35">
      <c r="A3652" s="496"/>
      <c r="B3652" s="1"/>
      <c r="C3652" s="1"/>
      <c r="D3652" s="1"/>
      <c r="E3652" s="1"/>
      <c r="F3652" s="362"/>
      <c r="G3652" s="425"/>
      <c r="H3652" s="10" t="str">
        <f t="shared" si="1396"/>
        <v/>
      </c>
      <c r="I3652" s="566"/>
      <c r="J3652" s="549" t="s">
        <v>4179</v>
      </c>
      <c r="L3652" s="56"/>
      <c r="M3652" s="35">
        <v>2009</v>
      </c>
      <c r="N3652" s="28"/>
      <c r="O3652" s="33">
        <v>2</v>
      </c>
      <c r="P3652" s="28">
        <v>1</v>
      </c>
      <c r="Q3652" s="40">
        <v>2</v>
      </c>
      <c r="R3652" s="29" t="str">
        <f>"Bonushöhe bei Inbetriebnahme in "&amp;M3652</f>
        <v>Bonushöhe bei Inbetriebnahme in 2009</v>
      </c>
      <c r="S3652" s="29"/>
      <c r="T3652" s="29"/>
      <c r="U3652" s="29"/>
      <c r="V3652" s="29"/>
      <c r="W3652" s="29"/>
      <c r="X3652" s="29"/>
      <c r="Y3652" s="29"/>
      <c r="Z3652" s="29"/>
      <c r="AA3652" s="29"/>
      <c r="AB3652" s="29"/>
      <c r="AC3652" s="29"/>
      <c r="AD3652" s="29"/>
    </row>
    <row r="3653" spans="1:30" x14ac:dyDescent="0.35">
      <c r="A3653" s="497" t="s">
        <v>5583</v>
      </c>
      <c r="B3653" s="13" t="s">
        <v>5405</v>
      </c>
      <c r="C3653" s="13" t="s">
        <v>5404</v>
      </c>
      <c r="D3653" s="13" t="s">
        <v>5406</v>
      </c>
      <c r="E3653" s="13"/>
      <c r="F3653" s="364">
        <v>9</v>
      </c>
      <c r="G3653" s="424">
        <v>9</v>
      </c>
      <c r="H3653" s="14">
        <f t="shared" si="1396"/>
        <v>7.2</v>
      </c>
      <c r="I3653" s="568"/>
      <c r="J3653" s="549" t="s">
        <v>5804</v>
      </c>
      <c r="L3653" s="55" t="str">
        <f t="shared" ref="L3653:L3660" si="1397">IF(F3653=M3653,"",FALSE)</f>
        <v/>
      </c>
      <c r="M3653" s="37">
        <f t="shared" ref="M3653:M3660" si="1398">N3653+SUMIF(O3653:Q3653,"x",O$3652:Q$3652)</f>
        <v>9</v>
      </c>
      <c r="N3653" s="91">
        <v>9</v>
      </c>
      <c r="O3653" s="92"/>
      <c r="P3653" s="92"/>
      <c r="Q3653" s="91"/>
    </row>
    <row r="3654" spans="1:30" x14ac:dyDescent="0.35">
      <c r="A3654" s="497" t="s">
        <v>5584</v>
      </c>
      <c r="B3654" s="13" t="s">
        <v>5405</v>
      </c>
      <c r="C3654" s="13" t="s">
        <v>5404</v>
      </c>
      <c r="D3654" s="13" t="s">
        <v>5516</v>
      </c>
      <c r="E3654" s="13"/>
      <c r="F3654" s="364">
        <v>11</v>
      </c>
      <c r="G3654" s="424">
        <v>11</v>
      </c>
      <c r="H3654" s="14">
        <f t="shared" si="1396"/>
        <v>8.8000000000000007</v>
      </c>
      <c r="I3654" s="568"/>
      <c r="J3654" s="549" t="s">
        <v>5804</v>
      </c>
      <c r="L3654" s="55" t="str">
        <f t="shared" si="1397"/>
        <v/>
      </c>
      <c r="M3654" s="37">
        <f t="shared" si="1398"/>
        <v>11</v>
      </c>
      <c r="N3654" s="91">
        <v>9</v>
      </c>
      <c r="O3654" s="92" t="s">
        <v>1017</v>
      </c>
      <c r="P3654" s="92"/>
      <c r="Q3654" s="91"/>
    </row>
    <row r="3655" spans="1:30" x14ac:dyDescent="0.35">
      <c r="A3655" s="497" t="s">
        <v>5585</v>
      </c>
      <c r="B3655" s="13" t="s">
        <v>5405</v>
      </c>
      <c r="C3655" s="13" t="s">
        <v>5404</v>
      </c>
      <c r="D3655" s="13" t="s">
        <v>5517</v>
      </c>
      <c r="E3655" s="13"/>
      <c r="F3655" s="364">
        <v>10</v>
      </c>
      <c r="G3655" s="424">
        <v>10</v>
      </c>
      <c r="H3655" s="14">
        <f t="shared" si="1396"/>
        <v>8</v>
      </c>
      <c r="I3655" s="568"/>
      <c r="J3655" s="549" t="s">
        <v>5804</v>
      </c>
      <c r="L3655" s="55" t="str">
        <f t="shared" si="1397"/>
        <v/>
      </c>
      <c r="M3655" s="37">
        <f t="shared" si="1398"/>
        <v>10</v>
      </c>
      <c r="N3655" s="91">
        <v>9</v>
      </c>
      <c r="O3655" s="92"/>
      <c r="P3655" s="92" t="s">
        <v>1017</v>
      </c>
      <c r="Q3655" s="91"/>
    </row>
    <row r="3656" spans="1:30" x14ac:dyDescent="0.35">
      <c r="A3656" s="497" t="s">
        <v>734</v>
      </c>
      <c r="B3656" s="13" t="s">
        <v>5405</v>
      </c>
      <c r="C3656" s="13" t="s">
        <v>5404</v>
      </c>
      <c r="D3656" s="13" t="s">
        <v>3298</v>
      </c>
      <c r="E3656" s="13"/>
      <c r="F3656" s="364">
        <v>11</v>
      </c>
      <c r="G3656" s="424">
        <v>11</v>
      </c>
      <c r="H3656" s="14">
        <f t="shared" si="1396"/>
        <v>8.8000000000000007</v>
      </c>
      <c r="I3656" s="568"/>
      <c r="J3656" s="549" t="s">
        <v>5804</v>
      </c>
      <c r="L3656" s="55" t="str">
        <f t="shared" si="1397"/>
        <v/>
      </c>
      <c r="M3656" s="37">
        <f t="shared" si="1398"/>
        <v>11</v>
      </c>
      <c r="N3656" s="91">
        <v>9</v>
      </c>
      <c r="O3656" s="92"/>
      <c r="P3656" s="92"/>
      <c r="Q3656" s="91" t="s">
        <v>1017</v>
      </c>
    </row>
    <row r="3657" spans="1:30" x14ac:dyDescent="0.35">
      <c r="A3657" s="497" t="s">
        <v>5586</v>
      </c>
      <c r="B3657" s="13" t="s">
        <v>5405</v>
      </c>
      <c r="C3657" s="13" t="s">
        <v>5404</v>
      </c>
      <c r="D3657" s="13" t="s">
        <v>5407</v>
      </c>
      <c r="E3657" s="13"/>
      <c r="F3657" s="364">
        <v>6.16</v>
      </c>
      <c r="G3657" s="424">
        <v>6.16</v>
      </c>
      <c r="H3657" s="14">
        <f t="shared" si="1396"/>
        <v>4.93</v>
      </c>
      <c r="I3657" s="568"/>
      <c r="J3657" s="549" t="s">
        <v>5804</v>
      </c>
      <c r="L3657" s="55" t="str">
        <f t="shared" si="1397"/>
        <v/>
      </c>
      <c r="M3657" s="37">
        <f t="shared" si="1398"/>
        <v>6.16</v>
      </c>
      <c r="N3657" s="91">
        <v>6.16</v>
      </c>
      <c r="O3657" s="92"/>
      <c r="P3657" s="92"/>
      <c r="Q3657" s="91"/>
    </row>
    <row r="3658" spans="1:30" x14ac:dyDescent="0.35">
      <c r="A3658" s="497" t="s">
        <v>5587</v>
      </c>
      <c r="B3658" s="13" t="s">
        <v>5405</v>
      </c>
      <c r="C3658" s="13" t="s">
        <v>5404</v>
      </c>
      <c r="D3658" s="13" t="s">
        <v>2906</v>
      </c>
      <c r="E3658" s="13"/>
      <c r="F3658" s="364">
        <v>8.16</v>
      </c>
      <c r="G3658" s="424">
        <v>8.16</v>
      </c>
      <c r="H3658" s="14">
        <f t="shared" si="1396"/>
        <v>6.53</v>
      </c>
      <c r="I3658" s="568"/>
      <c r="J3658" s="549" t="s">
        <v>5804</v>
      </c>
      <c r="L3658" s="55" t="str">
        <f t="shared" si="1397"/>
        <v/>
      </c>
      <c r="M3658" s="37">
        <f t="shared" si="1398"/>
        <v>8.16</v>
      </c>
      <c r="N3658" s="91">
        <v>6.16</v>
      </c>
      <c r="O3658" s="92" t="s">
        <v>1017</v>
      </c>
      <c r="P3658" s="92"/>
      <c r="Q3658" s="91"/>
      <c r="R3658" s="29"/>
    </row>
    <row r="3659" spans="1:30" x14ac:dyDescent="0.35">
      <c r="A3659" s="497" t="s">
        <v>5588</v>
      </c>
      <c r="B3659" s="13" t="s">
        <v>5405</v>
      </c>
      <c r="C3659" s="13" t="s">
        <v>5404</v>
      </c>
      <c r="D3659" s="13" t="s">
        <v>594</v>
      </c>
      <c r="E3659" s="13"/>
      <c r="F3659" s="364">
        <v>7.16</v>
      </c>
      <c r="G3659" s="424">
        <v>7.16</v>
      </c>
      <c r="H3659" s="14">
        <f t="shared" si="1396"/>
        <v>5.73</v>
      </c>
      <c r="I3659" s="568"/>
      <c r="J3659" s="549" t="s">
        <v>5804</v>
      </c>
      <c r="L3659" s="55" t="str">
        <f t="shared" si="1397"/>
        <v/>
      </c>
      <c r="M3659" s="37">
        <f t="shared" si="1398"/>
        <v>7.16</v>
      </c>
      <c r="N3659" s="91">
        <v>6.16</v>
      </c>
      <c r="O3659" s="92"/>
      <c r="P3659" s="92" t="s">
        <v>1017</v>
      </c>
      <c r="Q3659" s="91"/>
    </row>
    <row r="3660" spans="1:30" x14ac:dyDescent="0.35">
      <c r="A3660" s="497" t="s">
        <v>3299</v>
      </c>
      <c r="B3660" s="13" t="s">
        <v>5405</v>
      </c>
      <c r="C3660" s="13" t="s">
        <v>5404</v>
      </c>
      <c r="D3660" s="13" t="s">
        <v>596</v>
      </c>
      <c r="E3660" s="13"/>
      <c r="F3660" s="364">
        <v>8.16</v>
      </c>
      <c r="G3660" s="424">
        <v>8.16</v>
      </c>
      <c r="H3660" s="14">
        <f t="shared" si="1396"/>
        <v>6.53</v>
      </c>
      <c r="I3660" s="568"/>
      <c r="J3660" s="549" t="s">
        <v>5804</v>
      </c>
      <c r="L3660" s="55" t="str">
        <f t="shared" si="1397"/>
        <v/>
      </c>
      <c r="M3660" s="45">
        <f t="shared" si="1398"/>
        <v>8.16</v>
      </c>
      <c r="N3660" s="93">
        <v>6.16</v>
      </c>
      <c r="O3660" s="94"/>
      <c r="P3660" s="94"/>
      <c r="Q3660" s="93" t="s">
        <v>1017</v>
      </c>
    </row>
    <row r="3661" spans="1:30" x14ac:dyDescent="0.35">
      <c r="A3661" s="496"/>
      <c r="B3661" s="1"/>
      <c r="C3661" s="1"/>
      <c r="D3661" s="1"/>
      <c r="E3661" s="1"/>
      <c r="F3661" s="362"/>
      <c r="G3661" s="425"/>
      <c r="H3661" s="10" t="str">
        <f t="shared" si="1396"/>
        <v/>
      </c>
      <c r="I3661" s="566"/>
      <c r="J3661" s="549" t="s">
        <v>4179</v>
      </c>
      <c r="M3661" s="289">
        <v>2010</v>
      </c>
      <c r="N3661" s="289"/>
      <c r="O3661" s="284">
        <f>ROUND(O$3652*(1-$R$3651)^($M3661-$M$3652),2)</f>
        <v>1.97</v>
      </c>
      <c r="P3661" s="283">
        <f>ROUND(P$3652*(1-$R$3651)^($M3661-$M$3652),2)</f>
        <v>0.99</v>
      </c>
      <c r="Q3661" s="285">
        <f>ROUND(Q$3652*(1-$R$3651)^($M3661-$M$3652),2)</f>
        <v>1.97</v>
      </c>
      <c r="R3661" s="29" t="str">
        <f>"Bonushöhe bei Inbetriebnahme in "&amp;M3661</f>
        <v>Bonushöhe bei Inbetriebnahme in 2010</v>
      </c>
    </row>
    <row r="3662" spans="1:30" x14ac:dyDescent="0.35">
      <c r="A3662" s="497" t="s">
        <v>5461</v>
      </c>
      <c r="B3662" s="13" t="s">
        <v>5405</v>
      </c>
      <c r="C3662" s="13" t="s">
        <v>2385</v>
      </c>
      <c r="D3662" s="13" t="s">
        <v>5406</v>
      </c>
      <c r="E3662" s="13"/>
      <c r="F3662" s="364">
        <v>8.8699999999999992</v>
      </c>
      <c r="G3662" s="424">
        <v>8.8699999999999992</v>
      </c>
      <c r="H3662" s="14">
        <f t="shared" si="1396"/>
        <v>7.1</v>
      </c>
      <c r="I3662" s="568"/>
      <c r="J3662" s="549" t="s">
        <v>5804</v>
      </c>
      <c r="L3662" s="55" t="str">
        <f t="shared" ref="L3662:L3669" si="1399">IF(F3662=M3662,"",FALSE)</f>
        <v/>
      </c>
      <c r="M3662" s="37">
        <f t="shared" ref="M3662:M3669" si="1400">N3662+SUMIF(O3662:Q3662,"x",O$3661:Q$3661)</f>
        <v>8.8699999999999992</v>
      </c>
      <c r="N3662" s="73">
        <f t="shared" ref="N3662:N3669" si="1401">ROUND(N3653*(1-$R$3651)^($M$3661-$M$3652),2)</f>
        <v>8.8699999999999992</v>
      </c>
      <c r="O3662" s="92"/>
      <c r="P3662" s="92"/>
      <c r="Q3662" s="91"/>
    </row>
    <row r="3663" spans="1:30" x14ac:dyDescent="0.35">
      <c r="A3663" s="497" t="s">
        <v>5462</v>
      </c>
      <c r="B3663" s="13" t="s">
        <v>5405</v>
      </c>
      <c r="C3663" s="13" t="s">
        <v>2385</v>
      </c>
      <c r="D3663" s="13" t="s">
        <v>5516</v>
      </c>
      <c r="E3663" s="13"/>
      <c r="F3663" s="364">
        <v>10.84</v>
      </c>
      <c r="G3663" s="424">
        <v>10.84</v>
      </c>
      <c r="H3663" s="14">
        <f t="shared" si="1396"/>
        <v>8.67</v>
      </c>
      <c r="I3663" s="568"/>
      <c r="J3663" s="549" t="s">
        <v>5804</v>
      </c>
      <c r="L3663" s="55" t="str">
        <f t="shared" si="1399"/>
        <v/>
      </c>
      <c r="M3663" s="37">
        <f t="shared" si="1400"/>
        <v>10.84</v>
      </c>
      <c r="N3663" s="73">
        <f t="shared" si="1401"/>
        <v>8.8699999999999992</v>
      </c>
      <c r="O3663" s="92" t="s">
        <v>1017</v>
      </c>
      <c r="P3663" s="92"/>
      <c r="Q3663" s="91"/>
    </row>
    <row r="3664" spans="1:30" x14ac:dyDescent="0.35">
      <c r="A3664" s="497" t="s">
        <v>5463</v>
      </c>
      <c r="B3664" s="13" t="s">
        <v>5405</v>
      </c>
      <c r="C3664" s="13" t="s">
        <v>2385</v>
      </c>
      <c r="D3664" s="13" t="s">
        <v>5517</v>
      </c>
      <c r="E3664" s="13"/>
      <c r="F3664" s="364">
        <v>9.86</v>
      </c>
      <c r="G3664" s="424">
        <v>9.86</v>
      </c>
      <c r="H3664" s="14">
        <f t="shared" si="1396"/>
        <v>7.89</v>
      </c>
      <c r="I3664" s="568"/>
      <c r="J3664" s="549" t="s">
        <v>5804</v>
      </c>
      <c r="L3664" s="55" t="str">
        <f t="shared" si="1399"/>
        <v/>
      </c>
      <c r="M3664" s="37">
        <f t="shared" si="1400"/>
        <v>9.86</v>
      </c>
      <c r="N3664" s="73">
        <f t="shared" si="1401"/>
        <v>8.8699999999999992</v>
      </c>
      <c r="O3664" s="92"/>
      <c r="P3664" s="92" t="s">
        <v>1017</v>
      </c>
      <c r="Q3664" s="91"/>
    </row>
    <row r="3665" spans="1:18" x14ac:dyDescent="0.35">
      <c r="A3665" s="497" t="s">
        <v>5464</v>
      </c>
      <c r="B3665" s="13" t="s">
        <v>5405</v>
      </c>
      <c r="C3665" s="13" t="s">
        <v>2385</v>
      </c>
      <c r="D3665" s="13" t="s">
        <v>3298</v>
      </c>
      <c r="E3665" s="13"/>
      <c r="F3665" s="364">
        <v>10.84</v>
      </c>
      <c r="G3665" s="424">
        <v>10.84</v>
      </c>
      <c r="H3665" s="14">
        <f t="shared" si="1396"/>
        <v>8.67</v>
      </c>
      <c r="I3665" s="568"/>
      <c r="J3665" s="549" t="s">
        <v>5804</v>
      </c>
      <c r="L3665" s="55" t="str">
        <f t="shared" si="1399"/>
        <v/>
      </c>
      <c r="M3665" s="37">
        <f t="shared" si="1400"/>
        <v>10.84</v>
      </c>
      <c r="N3665" s="73">
        <f t="shared" si="1401"/>
        <v>8.8699999999999992</v>
      </c>
      <c r="O3665" s="92"/>
      <c r="P3665" s="92"/>
      <c r="Q3665" s="91" t="s">
        <v>1017</v>
      </c>
    </row>
    <row r="3666" spans="1:18" x14ac:dyDescent="0.35">
      <c r="A3666" s="497" t="s">
        <v>5465</v>
      </c>
      <c r="B3666" s="13" t="s">
        <v>5405</v>
      </c>
      <c r="C3666" s="13" t="s">
        <v>2385</v>
      </c>
      <c r="D3666" s="13" t="s">
        <v>5407</v>
      </c>
      <c r="E3666" s="13"/>
      <c r="F3666" s="364">
        <v>6.07</v>
      </c>
      <c r="G3666" s="424">
        <v>6.07</v>
      </c>
      <c r="H3666" s="14">
        <f t="shared" si="1396"/>
        <v>4.8600000000000003</v>
      </c>
      <c r="I3666" s="568"/>
      <c r="J3666" s="549" t="s">
        <v>5804</v>
      </c>
      <c r="L3666" s="55" t="str">
        <f t="shared" si="1399"/>
        <v/>
      </c>
      <c r="M3666" s="37">
        <f t="shared" si="1400"/>
        <v>6.07</v>
      </c>
      <c r="N3666" s="73">
        <f t="shared" si="1401"/>
        <v>6.07</v>
      </c>
      <c r="O3666" s="92"/>
      <c r="P3666" s="92"/>
      <c r="Q3666" s="91"/>
    </row>
    <row r="3667" spans="1:18" x14ac:dyDescent="0.35">
      <c r="A3667" s="497" t="s">
        <v>5466</v>
      </c>
      <c r="B3667" s="13" t="s">
        <v>5405</v>
      </c>
      <c r="C3667" s="13" t="s">
        <v>2385</v>
      </c>
      <c r="D3667" s="13" t="s">
        <v>2906</v>
      </c>
      <c r="E3667" s="13"/>
      <c r="F3667" s="364">
        <v>8.0399999999999991</v>
      </c>
      <c r="G3667" s="424">
        <v>8.0399999999999991</v>
      </c>
      <c r="H3667" s="14">
        <f t="shared" si="1396"/>
        <v>6.43</v>
      </c>
      <c r="I3667" s="568"/>
      <c r="J3667" s="549" t="s">
        <v>5804</v>
      </c>
      <c r="L3667" s="55" t="str">
        <f t="shared" si="1399"/>
        <v/>
      </c>
      <c r="M3667" s="37">
        <f t="shared" si="1400"/>
        <v>8.0400000000000009</v>
      </c>
      <c r="N3667" s="73">
        <f t="shared" si="1401"/>
        <v>6.07</v>
      </c>
      <c r="O3667" s="92" t="s">
        <v>1017</v>
      </c>
      <c r="P3667" s="92"/>
      <c r="Q3667" s="91"/>
    </row>
    <row r="3668" spans="1:18" x14ac:dyDescent="0.35">
      <c r="A3668" s="497" t="s">
        <v>5467</v>
      </c>
      <c r="B3668" s="13" t="s">
        <v>5405</v>
      </c>
      <c r="C3668" s="13" t="s">
        <v>2385</v>
      </c>
      <c r="D3668" s="13" t="s">
        <v>594</v>
      </c>
      <c r="E3668" s="13"/>
      <c r="F3668" s="364">
        <v>7.06</v>
      </c>
      <c r="G3668" s="424">
        <v>7.06</v>
      </c>
      <c r="H3668" s="14">
        <f t="shared" si="1396"/>
        <v>5.65</v>
      </c>
      <c r="I3668" s="568"/>
      <c r="J3668" s="549" t="s">
        <v>5804</v>
      </c>
      <c r="L3668" s="55" t="str">
        <f t="shared" si="1399"/>
        <v/>
      </c>
      <c r="M3668" s="37">
        <f t="shared" si="1400"/>
        <v>7.0600000000000005</v>
      </c>
      <c r="N3668" s="73">
        <f t="shared" si="1401"/>
        <v>6.07</v>
      </c>
      <c r="O3668" s="92"/>
      <c r="P3668" s="92" t="s">
        <v>1017</v>
      </c>
      <c r="Q3668" s="91"/>
    </row>
    <row r="3669" spans="1:18" x14ac:dyDescent="0.35">
      <c r="A3669" s="497" t="s">
        <v>5468</v>
      </c>
      <c r="B3669" s="13" t="s">
        <v>5405</v>
      </c>
      <c r="C3669" s="13" t="s">
        <v>2385</v>
      </c>
      <c r="D3669" s="13" t="s">
        <v>596</v>
      </c>
      <c r="E3669" s="13"/>
      <c r="F3669" s="364">
        <v>8.0399999999999991</v>
      </c>
      <c r="G3669" s="424">
        <v>8.0399999999999991</v>
      </c>
      <c r="H3669" s="14">
        <f t="shared" si="1396"/>
        <v>6.43</v>
      </c>
      <c r="I3669" s="568"/>
      <c r="J3669" s="549" t="s">
        <v>5804</v>
      </c>
      <c r="L3669" s="55" t="str">
        <f t="shared" si="1399"/>
        <v/>
      </c>
      <c r="M3669" s="45">
        <f t="shared" si="1400"/>
        <v>8.0400000000000009</v>
      </c>
      <c r="N3669" s="40">
        <f t="shared" si="1401"/>
        <v>6.07</v>
      </c>
      <c r="O3669" s="94"/>
      <c r="P3669" s="94"/>
      <c r="Q3669" s="93" t="s">
        <v>1017</v>
      </c>
    </row>
    <row r="3670" spans="1:18" x14ac:dyDescent="0.35">
      <c r="A3670" s="496"/>
      <c r="B3670" s="1"/>
      <c r="C3670" s="1"/>
      <c r="D3670" s="1"/>
      <c r="E3670" s="1"/>
      <c r="F3670" s="362"/>
      <c r="G3670" s="425"/>
      <c r="H3670" s="10" t="str">
        <f t="shared" si="1396"/>
        <v/>
      </c>
      <c r="I3670" s="566"/>
      <c r="J3670" s="549" t="s">
        <v>4179</v>
      </c>
      <c r="M3670" s="289">
        <v>2011</v>
      </c>
      <c r="N3670" s="289"/>
      <c r="O3670" s="284">
        <f>ROUND(O$3652*(1-$R$3651)^($M3670-$M$3652),2)</f>
        <v>1.94</v>
      </c>
      <c r="P3670" s="283">
        <f>ROUND(P$3652*(1-$R$3651)^($M3670-$M$3652),2)</f>
        <v>0.97</v>
      </c>
      <c r="Q3670" s="285">
        <f>ROUND(Q$3652*(1-$R$3651)^($M3670-$M$3652),2)</f>
        <v>1.94</v>
      </c>
      <c r="R3670" s="29" t="str">
        <f>"Bonushöhe bei Inbetriebnahme in "&amp;M3670</f>
        <v>Bonushöhe bei Inbetriebnahme in 2011</v>
      </c>
    </row>
    <row r="3671" spans="1:18" ht="17.25" customHeight="1" x14ac:dyDescent="0.35">
      <c r="A3671" s="497" t="str">
        <f t="shared" ref="A3671:A3678" si="1402">LEFT(A3662,12)&amp;($M$3670-2000)</f>
        <v>DeK240------11</v>
      </c>
      <c r="B3671" s="13" t="s">
        <v>5405</v>
      </c>
      <c r="C3671" s="13" t="str">
        <f t="shared" ref="C3671:C3678" si="1403">"Inbetriebnahme "&amp;$M$3670</f>
        <v>Inbetriebnahme 2011</v>
      </c>
      <c r="D3671" s="13" t="s">
        <v>5406</v>
      </c>
      <c r="E3671" s="13"/>
      <c r="F3671" s="364">
        <f t="shared" ref="F3671:F3678" si="1404">M3671</f>
        <v>8.73</v>
      </c>
      <c r="G3671" s="424">
        <v>8.73</v>
      </c>
      <c r="H3671" s="14">
        <f t="shared" si="1396"/>
        <v>6.98</v>
      </c>
      <c r="I3671" s="568"/>
      <c r="J3671" s="549" t="s">
        <v>5804</v>
      </c>
      <c r="L3671" s="55" t="str">
        <f t="shared" ref="L3671:L3678" si="1405">IF(F3671=M3671,"",FALSE)</f>
        <v/>
      </c>
      <c r="M3671" s="37">
        <f t="shared" ref="M3671:M3678" si="1406">N3671+SUMIF(O3671:Q3671,"x",O$3670:Q$3670)</f>
        <v>8.73</v>
      </c>
      <c r="N3671" s="73">
        <f t="shared" ref="N3671:N3678" si="1407">ROUND(N3653*(1-$R$3651)^($M$3670-$M$3652),2)</f>
        <v>8.73</v>
      </c>
      <c r="O3671" s="92"/>
      <c r="P3671" s="92"/>
      <c r="Q3671" s="91"/>
    </row>
    <row r="3672" spans="1:18" x14ac:dyDescent="0.35">
      <c r="A3672" s="497" t="str">
        <f t="shared" si="1402"/>
        <v>DeK241------11</v>
      </c>
      <c r="B3672" s="13" t="s">
        <v>5405</v>
      </c>
      <c r="C3672" s="13" t="str">
        <f t="shared" si="1403"/>
        <v>Inbetriebnahme 2011</v>
      </c>
      <c r="D3672" s="13" t="s">
        <v>5516</v>
      </c>
      <c r="E3672" s="13"/>
      <c r="F3672" s="364">
        <f t="shared" si="1404"/>
        <v>10.67</v>
      </c>
      <c r="G3672" s="424">
        <v>10.67</v>
      </c>
      <c r="H3672" s="14">
        <f t="shared" si="1396"/>
        <v>8.5399999999999991</v>
      </c>
      <c r="I3672" s="568"/>
      <c r="J3672" s="549" t="s">
        <v>5804</v>
      </c>
      <c r="L3672" s="55" t="str">
        <f t="shared" si="1405"/>
        <v/>
      </c>
      <c r="M3672" s="37">
        <f t="shared" si="1406"/>
        <v>10.67</v>
      </c>
      <c r="N3672" s="73">
        <f t="shared" si="1407"/>
        <v>8.73</v>
      </c>
      <c r="O3672" s="92" t="s">
        <v>1017</v>
      </c>
      <c r="P3672" s="92"/>
      <c r="Q3672" s="91"/>
    </row>
    <row r="3673" spans="1:18" x14ac:dyDescent="0.35">
      <c r="A3673" s="497" t="str">
        <f t="shared" si="1402"/>
        <v>DeK242------11</v>
      </c>
      <c r="B3673" s="13" t="s">
        <v>5405</v>
      </c>
      <c r="C3673" s="13" t="str">
        <f t="shared" si="1403"/>
        <v>Inbetriebnahme 2011</v>
      </c>
      <c r="D3673" s="13" t="s">
        <v>5517</v>
      </c>
      <c r="E3673" s="13"/>
      <c r="F3673" s="364">
        <f t="shared" si="1404"/>
        <v>9.7000000000000011</v>
      </c>
      <c r="G3673" s="424">
        <v>9.7000000000000011</v>
      </c>
      <c r="H3673" s="14">
        <f t="shared" si="1396"/>
        <v>7.76</v>
      </c>
      <c r="I3673" s="568"/>
      <c r="J3673" s="549" t="s">
        <v>5804</v>
      </c>
      <c r="L3673" s="55" t="str">
        <f t="shared" si="1405"/>
        <v/>
      </c>
      <c r="M3673" s="37">
        <f t="shared" si="1406"/>
        <v>9.7000000000000011</v>
      </c>
      <c r="N3673" s="73">
        <f t="shared" si="1407"/>
        <v>8.73</v>
      </c>
      <c r="O3673" s="92"/>
      <c r="P3673" s="92" t="s">
        <v>1017</v>
      </c>
      <c r="Q3673" s="91"/>
    </row>
    <row r="3674" spans="1:18" x14ac:dyDescent="0.35">
      <c r="A3674" s="497" t="str">
        <f t="shared" si="1402"/>
        <v>DeK243------11</v>
      </c>
      <c r="B3674" s="13" t="s">
        <v>5405</v>
      </c>
      <c r="C3674" s="13" t="str">
        <f t="shared" si="1403"/>
        <v>Inbetriebnahme 2011</v>
      </c>
      <c r="D3674" s="13" t="s">
        <v>3298</v>
      </c>
      <c r="E3674" s="13"/>
      <c r="F3674" s="364">
        <f t="shared" si="1404"/>
        <v>10.67</v>
      </c>
      <c r="G3674" s="424">
        <v>10.67</v>
      </c>
      <c r="H3674" s="14">
        <f t="shared" ref="H3674:H3737" si="1408">IF(ISNUMBER(G3674),ROUND(0.8*G3674,2),"")</f>
        <v>8.5399999999999991</v>
      </c>
      <c r="I3674" s="568"/>
      <c r="J3674" s="549" t="s">
        <v>5804</v>
      </c>
      <c r="L3674" s="55" t="str">
        <f t="shared" si="1405"/>
        <v/>
      </c>
      <c r="M3674" s="37">
        <f t="shared" si="1406"/>
        <v>10.67</v>
      </c>
      <c r="N3674" s="73">
        <f t="shared" si="1407"/>
        <v>8.73</v>
      </c>
      <c r="O3674" s="92"/>
      <c r="P3674" s="92"/>
      <c r="Q3674" s="91" t="s">
        <v>1017</v>
      </c>
    </row>
    <row r="3675" spans="1:18" x14ac:dyDescent="0.35">
      <c r="A3675" s="497" t="str">
        <f t="shared" si="1402"/>
        <v>DeK245------11</v>
      </c>
      <c r="B3675" s="13" t="s">
        <v>5405</v>
      </c>
      <c r="C3675" s="13" t="str">
        <f t="shared" si="1403"/>
        <v>Inbetriebnahme 2011</v>
      </c>
      <c r="D3675" s="13" t="s">
        <v>5407</v>
      </c>
      <c r="E3675" s="13"/>
      <c r="F3675" s="364">
        <f t="shared" si="1404"/>
        <v>5.98</v>
      </c>
      <c r="G3675" s="424">
        <v>5.98</v>
      </c>
      <c r="H3675" s="14">
        <f t="shared" si="1408"/>
        <v>4.78</v>
      </c>
      <c r="I3675" s="568"/>
      <c r="J3675" s="549" t="s">
        <v>5804</v>
      </c>
      <c r="L3675" s="55" t="str">
        <f t="shared" si="1405"/>
        <v/>
      </c>
      <c r="M3675" s="37">
        <f t="shared" si="1406"/>
        <v>5.98</v>
      </c>
      <c r="N3675" s="73">
        <f t="shared" si="1407"/>
        <v>5.98</v>
      </c>
      <c r="O3675" s="92"/>
      <c r="P3675" s="92"/>
      <c r="Q3675" s="91"/>
    </row>
    <row r="3676" spans="1:18" x14ac:dyDescent="0.35">
      <c r="A3676" s="497" t="str">
        <f t="shared" si="1402"/>
        <v>DeK246------11</v>
      </c>
      <c r="B3676" s="13" t="s">
        <v>5405</v>
      </c>
      <c r="C3676" s="13" t="str">
        <f t="shared" si="1403"/>
        <v>Inbetriebnahme 2011</v>
      </c>
      <c r="D3676" s="13" t="s">
        <v>2906</v>
      </c>
      <c r="E3676" s="13"/>
      <c r="F3676" s="364">
        <f t="shared" si="1404"/>
        <v>7.92</v>
      </c>
      <c r="G3676" s="424">
        <v>7.92</v>
      </c>
      <c r="H3676" s="14">
        <f t="shared" si="1408"/>
        <v>6.34</v>
      </c>
      <c r="I3676" s="568"/>
      <c r="J3676" s="549" t="s">
        <v>5804</v>
      </c>
      <c r="L3676" s="55" t="str">
        <f t="shared" si="1405"/>
        <v/>
      </c>
      <c r="M3676" s="37">
        <f t="shared" si="1406"/>
        <v>7.92</v>
      </c>
      <c r="N3676" s="73">
        <f t="shared" si="1407"/>
        <v>5.98</v>
      </c>
      <c r="O3676" s="92" t="s">
        <v>1017</v>
      </c>
      <c r="P3676" s="92"/>
      <c r="Q3676" s="91"/>
    </row>
    <row r="3677" spans="1:18" x14ac:dyDescent="0.35">
      <c r="A3677" s="497" t="str">
        <f t="shared" si="1402"/>
        <v>DeK247------11</v>
      </c>
      <c r="B3677" s="13" t="s">
        <v>5405</v>
      </c>
      <c r="C3677" s="13" t="str">
        <f t="shared" si="1403"/>
        <v>Inbetriebnahme 2011</v>
      </c>
      <c r="D3677" s="13" t="s">
        <v>594</v>
      </c>
      <c r="E3677" s="13"/>
      <c r="F3677" s="364">
        <f t="shared" si="1404"/>
        <v>6.95</v>
      </c>
      <c r="G3677" s="424">
        <v>6.95</v>
      </c>
      <c r="H3677" s="14">
        <f t="shared" si="1408"/>
        <v>5.56</v>
      </c>
      <c r="I3677" s="568"/>
      <c r="J3677" s="549" t="s">
        <v>5804</v>
      </c>
      <c r="L3677" s="55" t="str">
        <f t="shared" si="1405"/>
        <v/>
      </c>
      <c r="M3677" s="37">
        <f t="shared" si="1406"/>
        <v>6.95</v>
      </c>
      <c r="N3677" s="73">
        <f t="shared" si="1407"/>
        <v>5.98</v>
      </c>
      <c r="O3677" s="92"/>
      <c r="P3677" s="92" t="s">
        <v>1017</v>
      </c>
      <c r="Q3677" s="91"/>
    </row>
    <row r="3678" spans="1:18" x14ac:dyDescent="0.35">
      <c r="A3678" s="497" t="str">
        <f t="shared" si="1402"/>
        <v>DeK248------11</v>
      </c>
      <c r="B3678" s="13" t="s">
        <v>5405</v>
      </c>
      <c r="C3678" s="13" t="str">
        <f t="shared" si="1403"/>
        <v>Inbetriebnahme 2011</v>
      </c>
      <c r="D3678" s="13" t="s">
        <v>596</v>
      </c>
      <c r="E3678" s="13"/>
      <c r="F3678" s="364">
        <f t="shared" si="1404"/>
        <v>7.92</v>
      </c>
      <c r="G3678" s="424">
        <v>7.92</v>
      </c>
      <c r="H3678" s="14">
        <f t="shared" si="1408"/>
        <v>6.34</v>
      </c>
      <c r="I3678" s="568"/>
      <c r="J3678" s="549" t="s">
        <v>5804</v>
      </c>
      <c r="L3678" s="55" t="str">
        <f t="shared" si="1405"/>
        <v/>
      </c>
      <c r="M3678" s="37">
        <f t="shared" si="1406"/>
        <v>7.92</v>
      </c>
      <c r="N3678" s="73">
        <f t="shared" si="1407"/>
        <v>5.98</v>
      </c>
      <c r="O3678" s="94"/>
      <c r="P3678" s="94"/>
      <c r="Q3678" s="93" t="s">
        <v>1017</v>
      </c>
    </row>
    <row r="3679" spans="1:18" x14ac:dyDescent="0.35">
      <c r="A3679" s="496"/>
      <c r="B3679" s="1"/>
      <c r="C3679" s="1"/>
      <c r="D3679" s="1"/>
      <c r="E3679" s="1"/>
      <c r="F3679" s="362"/>
      <c r="G3679" s="425"/>
      <c r="H3679" s="10" t="str">
        <f t="shared" si="1408"/>
        <v/>
      </c>
      <c r="I3679" s="566"/>
      <c r="J3679" s="549" t="s">
        <v>4179</v>
      </c>
      <c r="L3679" s="55"/>
      <c r="M3679" s="286"/>
      <c r="N3679" s="72"/>
      <c r="O3679" s="92"/>
      <c r="P3679" s="92"/>
      <c r="Q3679" s="92"/>
    </row>
    <row r="3680" spans="1:18" s="207" customFormat="1" ht="20.25" customHeight="1" x14ac:dyDescent="0.35">
      <c r="A3680" s="504"/>
      <c r="B3680" s="204"/>
      <c r="C3680" s="204"/>
      <c r="D3680" s="204"/>
      <c r="E3680" s="204"/>
      <c r="F3680" s="381"/>
      <c r="G3680" s="437"/>
      <c r="H3680" s="205" t="str">
        <f t="shared" si="1408"/>
        <v/>
      </c>
      <c r="I3680" s="583"/>
      <c r="J3680" s="549" t="s">
        <v>4179</v>
      </c>
      <c r="K3680" s="206"/>
      <c r="M3680" s="208" t="s">
        <v>491</v>
      </c>
      <c r="N3680" s="209"/>
      <c r="O3680" s="209"/>
    </row>
    <row r="3681" spans="1:45" s="187" customFormat="1" ht="39.75" customHeight="1" x14ac:dyDescent="0.35">
      <c r="A3681" s="508"/>
      <c r="B3681" s="181"/>
      <c r="C3681" s="182"/>
      <c r="D3681" s="182"/>
      <c r="E3681" s="181"/>
      <c r="F3681" s="380"/>
      <c r="G3681" s="436"/>
      <c r="H3681" s="404" t="str">
        <f t="shared" si="1408"/>
        <v/>
      </c>
      <c r="I3681" s="582"/>
      <c r="J3681" s="549" t="s">
        <v>4179</v>
      </c>
      <c r="K3681" s="184"/>
      <c r="L3681" s="184"/>
      <c r="M3681" s="185">
        <v>2012</v>
      </c>
      <c r="N3681" s="184"/>
      <c r="O3681" s="919" t="s">
        <v>1745</v>
      </c>
      <c r="P3681" s="920"/>
      <c r="Q3681" s="921"/>
      <c r="R3681" s="213"/>
      <c r="S3681" s="213"/>
      <c r="T3681" s="213"/>
      <c r="U3681" s="213"/>
      <c r="V3681" s="213"/>
      <c r="W3681" s="213"/>
      <c r="X3681" s="213"/>
      <c r="Y3681" s="186"/>
    </row>
    <row r="3682" spans="1:45" s="187" customFormat="1" ht="57.75" customHeight="1" x14ac:dyDescent="0.35">
      <c r="A3682" s="508"/>
      <c r="B3682" s="181"/>
      <c r="C3682" s="182"/>
      <c r="D3682" s="182"/>
      <c r="E3682" s="181"/>
      <c r="F3682" s="380"/>
      <c r="G3682" s="436"/>
      <c r="H3682" s="404" t="str">
        <f t="shared" si="1408"/>
        <v/>
      </c>
      <c r="I3682" s="582"/>
      <c r="J3682" s="549" t="s">
        <v>4179</v>
      </c>
      <c r="K3682" s="184"/>
      <c r="L3682" s="184"/>
      <c r="M3682" s="191" t="s">
        <v>2913</v>
      </c>
      <c r="N3682" s="192" t="s">
        <v>508</v>
      </c>
      <c r="O3682" s="196" t="s">
        <v>1746</v>
      </c>
      <c r="P3682" s="197" t="s">
        <v>1747</v>
      </c>
      <c r="Q3682" s="198" t="s">
        <v>1748</v>
      </c>
      <c r="V3682" s="214"/>
      <c r="W3682" s="214"/>
      <c r="X3682" s="214"/>
    </row>
    <row r="3683" spans="1:45" ht="21.5" x14ac:dyDescent="0.35">
      <c r="A3683" s="496"/>
      <c r="B3683" s="1"/>
      <c r="C3683" s="18"/>
      <c r="D3683" s="18"/>
      <c r="E3683" s="1"/>
      <c r="F3683" s="375"/>
      <c r="G3683" s="432"/>
      <c r="H3683" s="401" t="str">
        <f t="shared" si="1408"/>
        <v/>
      </c>
      <c r="I3683" s="578"/>
      <c r="J3683" s="549" t="s">
        <v>4179</v>
      </c>
      <c r="K3683" s="22"/>
      <c r="L3683" s="22"/>
      <c r="M3683" s="34"/>
      <c r="N3683" s="30"/>
      <c r="O3683" s="199" t="s">
        <v>1740</v>
      </c>
      <c r="P3683" s="200" t="s">
        <v>1741</v>
      </c>
      <c r="Q3683" s="201" t="s">
        <v>1742</v>
      </c>
      <c r="R3683" s="95" t="s">
        <v>505</v>
      </c>
      <c r="S3683" s="200" t="s">
        <v>1740</v>
      </c>
      <c r="T3683" s="200" t="s">
        <v>1741</v>
      </c>
      <c r="U3683" s="200" t="s">
        <v>1742</v>
      </c>
      <c r="V3683" s="200"/>
      <c r="W3683" s="200"/>
      <c r="X3683" s="200"/>
    </row>
    <row r="3684" spans="1:45" x14ac:dyDescent="0.35">
      <c r="A3684" s="496"/>
      <c r="B3684" s="1"/>
      <c r="C3684" s="1"/>
      <c r="D3684" s="1"/>
      <c r="E3684" s="1"/>
      <c r="F3684" s="375"/>
      <c r="G3684" s="432"/>
      <c r="H3684" s="401" t="str">
        <f t="shared" si="1408"/>
        <v/>
      </c>
      <c r="I3684" s="578"/>
      <c r="J3684" s="549" t="s">
        <v>4179</v>
      </c>
      <c r="L3684" s="56"/>
      <c r="M3684" s="35">
        <v>2012</v>
      </c>
      <c r="N3684" s="28"/>
      <c r="O3684" s="33">
        <v>3</v>
      </c>
      <c r="P3684" s="28">
        <v>2</v>
      </c>
      <c r="Q3684" s="40">
        <v>1</v>
      </c>
      <c r="R3684" s="219">
        <v>1.4999999999999999E-2</v>
      </c>
      <c r="S3684" s="29">
        <v>3</v>
      </c>
      <c r="T3684" s="29">
        <v>2</v>
      </c>
      <c r="U3684" s="29">
        <v>1</v>
      </c>
      <c r="V3684" s="159" t="str">
        <f xml:space="preserve"> "Bonushöhe bei Inbetriebnahme in " &amp; M3684</f>
        <v>Bonushöhe bei Inbetriebnahme in 2012</v>
      </c>
      <c r="W3684" s="29"/>
      <c r="X3684" s="29"/>
      <c r="Y3684" s="29"/>
      <c r="Z3684" s="29"/>
      <c r="AA3684" s="29"/>
      <c r="AB3684" s="29"/>
      <c r="AC3684" s="29"/>
      <c r="AD3684" s="29"/>
      <c r="AE3684" s="29"/>
      <c r="AF3684" s="29"/>
      <c r="AG3684" s="29"/>
      <c r="AK3684" t="s">
        <v>1740</v>
      </c>
      <c r="AL3684" t="s">
        <v>1741</v>
      </c>
      <c r="AM3684" t="s">
        <v>1742</v>
      </c>
      <c r="AN3684" t="s">
        <v>1764</v>
      </c>
      <c r="AO3684" t="s">
        <v>1765</v>
      </c>
      <c r="AP3684" t="s">
        <v>1766</v>
      </c>
      <c r="AQ3684" t="s">
        <v>669</v>
      </c>
      <c r="AR3684" t="s">
        <v>1763</v>
      </c>
    </row>
    <row r="3685" spans="1:45" x14ac:dyDescent="0.35">
      <c r="A3685" s="500" t="str">
        <f>"DeK240"&amp;AN3685&amp;RIGHT("------",6-LEN(AN3685))&amp;RIGHT($M3684,2)</f>
        <v>DeK240------12</v>
      </c>
      <c r="B3685" s="225" t="s">
        <v>5405</v>
      </c>
      <c r="C3685" s="225" t="str">
        <f t="shared" ref="C3685:C3692" si="1409">"Inbetriebnahme "&amp;$M$3684</f>
        <v>Inbetriebnahme 2012</v>
      </c>
      <c r="D3685" s="225" t="str">
        <f t="shared" ref="D3685:D3692" si="1410">IF(COUNTA(O3685:Q3685)=0,AH3685,AH3685&amp;", Bonusregel "&amp;AN3685)</f>
        <v>0-0,5 MW</v>
      </c>
      <c r="E3685" s="225"/>
      <c r="F3685" s="382">
        <f t="shared" ref="F3685:F3692" si="1411">M3685</f>
        <v>8.6</v>
      </c>
      <c r="G3685" s="438">
        <v>8.6</v>
      </c>
      <c r="H3685" s="405">
        <f t="shared" si="1408"/>
        <v>6.88</v>
      </c>
      <c r="I3685" s="584"/>
      <c r="J3685" s="549" t="s">
        <v>5804</v>
      </c>
      <c r="K3685" s="11"/>
      <c r="L3685" s="55" t="str">
        <f t="shared" ref="L3685:L3692" si="1412">IF(F3685=M3685,"",FALSE)</f>
        <v/>
      </c>
      <c r="M3685" s="37">
        <f t="shared" ref="M3685:M3692" si="1413">N3685+SUMIF(O3685:Q3685,"x",$O$3684:$Q$3684)</f>
        <v>8.6</v>
      </c>
      <c r="N3685" s="29">
        <v>8.6</v>
      </c>
      <c r="O3685" s="46"/>
      <c r="P3685" s="22"/>
      <c r="Q3685" s="47"/>
      <c r="AH3685" s="202" t="s">
        <v>5406</v>
      </c>
      <c r="AK3685" t="str">
        <f t="shared" ref="AK3685:AM3692" si="1414">IF(O3685="x",V$3101,"")</f>
        <v/>
      </c>
      <c r="AL3685" t="str">
        <f t="shared" si="1414"/>
        <v/>
      </c>
      <c r="AM3685" t="str">
        <f t="shared" si="1414"/>
        <v/>
      </c>
      <c r="AN3685" t="str">
        <f t="shared" ref="AN3685:AN3692" si="1415">AK3685&amp;AL3685&amp;AM3685</f>
        <v/>
      </c>
      <c r="AO3685" s="203" t="str">
        <f>"DeK240"&amp;AN3685&amp;RIGHT("------",6-LEN(AN3685))&amp;RIGHT($M$3099,2)</f>
        <v>DeK240------12</v>
      </c>
      <c r="AP3685">
        <f t="shared" ref="AP3685:AP3692" si="1416">LEN(AO3685)</f>
        <v>14</v>
      </c>
      <c r="AQ3685" t="str">
        <f t="shared" ref="AQ3685:AQ3692" si="1417">IF(COUNTA(O3685:Q3685)=0,AH3685,AH3685&amp;", Bonusregel "&amp;AN3685)</f>
        <v>0-0,5 MW</v>
      </c>
      <c r="AR3685" t="str">
        <f>IF(COUNTA(#REF!)&gt;1,"Fehler ESVK",IF(COUNTA(O3685:Q3685)&gt;1,"Fehler GAB",IF(AP3685&lt;&gt;14,"Fehler Kategorie","")))</f>
        <v/>
      </c>
      <c r="AS3685" t="str">
        <f>SUBSTITUTE(AN3685,", ","")</f>
        <v/>
      </c>
    </row>
    <row r="3686" spans="1:45" x14ac:dyDescent="0.35">
      <c r="A3686" s="500" t="str">
        <f>"DeK240"&amp;AN3686&amp;RIGHT("------",6-LEN(AN3686))&amp;RIGHT($M3684,2)</f>
        <v>DeK240G1----12</v>
      </c>
      <c r="B3686" s="225" t="s">
        <v>5405</v>
      </c>
      <c r="C3686" s="225" t="str">
        <f t="shared" si="1409"/>
        <v>Inbetriebnahme 2012</v>
      </c>
      <c r="D3686" s="225" t="str">
        <f t="shared" si="1410"/>
        <v>0-0,5 MW, Bonusregel G1</v>
      </c>
      <c r="E3686" s="225"/>
      <c r="F3686" s="382">
        <f t="shared" si="1411"/>
        <v>11.6</v>
      </c>
      <c r="G3686" s="438">
        <v>11.6</v>
      </c>
      <c r="H3686" s="405">
        <f t="shared" si="1408"/>
        <v>9.2799999999999994</v>
      </c>
      <c r="I3686" s="584"/>
      <c r="J3686" s="549" t="s">
        <v>5804</v>
      </c>
      <c r="K3686" s="11"/>
      <c r="L3686" s="55" t="str">
        <f t="shared" si="1412"/>
        <v/>
      </c>
      <c r="M3686" s="37">
        <f t="shared" si="1413"/>
        <v>11.6</v>
      </c>
      <c r="N3686" s="29">
        <f>N3685</f>
        <v>8.6</v>
      </c>
      <c r="O3686" s="179" t="s">
        <v>1017</v>
      </c>
      <c r="P3686" s="22"/>
      <c r="Q3686" s="38"/>
      <c r="AH3686" s="202" t="s">
        <v>5406</v>
      </c>
      <c r="AK3686" t="str">
        <f t="shared" si="1414"/>
        <v>G1</v>
      </c>
      <c r="AL3686" t="str">
        <f t="shared" si="1414"/>
        <v/>
      </c>
      <c r="AM3686" t="str">
        <f t="shared" si="1414"/>
        <v/>
      </c>
      <c r="AN3686" t="str">
        <f t="shared" si="1415"/>
        <v>G1</v>
      </c>
      <c r="AO3686" s="203" t="str">
        <f>"DeK240"&amp;AN3686&amp;RIGHT("------",6-LEN(AN3686))&amp;RIGHT($M$3099,2)</f>
        <v>DeK240G1----12</v>
      </c>
      <c r="AP3686">
        <f t="shared" si="1416"/>
        <v>14</v>
      </c>
      <c r="AQ3686" t="str">
        <f t="shared" si="1417"/>
        <v>0-0,5 MW, Bonusregel G1</v>
      </c>
      <c r="AR3686" t="str">
        <f>IF(COUNTA(#REF!)&gt;1,"Fehler ESVK",IF(COUNTA(O3686:Q3686)&gt;1,"Fehler GAB",IF(AP3686&lt;&gt;14,"Fehler Kategorie","")))</f>
        <v/>
      </c>
    </row>
    <row r="3687" spans="1:45" x14ac:dyDescent="0.35">
      <c r="A3687" s="500" t="str">
        <f>"DeK240"&amp;AN3687&amp;RIGHT("------",6-LEN(AN3687))&amp;RIGHT($M3684,2)</f>
        <v>DeK240G2----12</v>
      </c>
      <c r="B3687" s="225" t="s">
        <v>5405</v>
      </c>
      <c r="C3687" s="225" t="str">
        <f t="shared" si="1409"/>
        <v>Inbetriebnahme 2012</v>
      </c>
      <c r="D3687" s="225" t="str">
        <f t="shared" si="1410"/>
        <v>0-0,5 MW, Bonusregel G2</v>
      </c>
      <c r="E3687" s="225"/>
      <c r="F3687" s="382">
        <f t="shared" si="1411"/>
        <v>10.6</v>
      </c>
      <c r="G3687" s="438">
        <v>10.6</v>
      </c>
      <c r="H3687" s="405">
        <f t="shared" si="1408"/>
        <v>8.48</v>
      </c>
      <c r="I3687" s="584"/>
      <c r="J3687" s="549" t="s">
        <v>5804</v>
      </c>
      <c r="K3687" s="11"/>
      <c r="L3687" s="55" t="str">
        <f t="shared" si="1412"/>
        <v/>
      </c>
      <c r="M3687" s="37">
        <f t="shared" si="1413"/>
        <v>10.6</v>
      </c>
      <c r="N3687" s="29">
        <f>N3686</f>
        <v>8.6</v>
      </c>
      <c r="O3687" s="179"/>
      <c r="P3687" s="22" t="s">
        <v>1017</v>
      </c>
      <c r="Q3687" s="38"/>
      <c r="AH3687" s="202" t="s">
        <v>5406</v>
      </c>
      <c r="AK3687" t="str">
        <f t="shared" si="1414"/>
        <v/>
      </c>
      <c r="AL3687" t="str">
        <f t="shared" si="1414"/>
        <v>G2</v>
      </c>
      <c r="AM3687" t="str">
        <f t="shared" si="1414"/>
        <v/>
      </c>
      <c r="AN3687" t="str">
        <f t="shared" si="1415"/>
        <v>G2</v>
      </c>
      <c r="AO3687" s="203" t="str">
        <f>"DeK240"&amp;AN3687&amp;RIGHT("------",6-LEN(AN3687))&amp;RIGHT($M$3099,2)</f>
        <v>DeK240G2----12</v>
      </c>
      <c r="AP3687">
        <f t="shared" si="1416"/>
        <v>14</v>
      </c>
      <c r="AQ3687" t="str">
        <f t="shared" si="1417"/>
        <v>0-0,5 MW, Bonusregel G2</v>
      </c>
      <c r="AR3687" t="str">
        <f>IF(COUNTA(#REF!)&gt;1,"Fehler ESVK",IF(COUNTA(O3687:Q3687)&gt;1,"Fehler GAB",IF(AP3687&lt;&gt;14,"Fehler Kategorie","")))</f>
        <v/>
      </c>
    </row>
    <row r="3688" spans="1:45" x14ac:dyDescent="0.35">
      <c r="A3688" s="500" t="str">
        <f>"DeK240"&amp;AN3688&amp;RIGHT("------",6-LEN(AN3688))&amp;RIGHT($M3684,2)</f>
        <v>DeK240G3----12</v>
      </c>
      <c r="B3688" s="225" t="s">
        <v>5405</v>
      </c>
      <c r="C3688" s="225" t="str">
        <f t="shared" si="1409"/>
        <v>Inbetriebnahme 2012</v>
      </c>
      <c r="D3688" s="225" t="str">
        <f t="shared" si="1410"/>
        <v>0-0,5 MW, Bonusregel G3</v>
      </c>
      <c r="E3688" s="225"/>
      <c r="F3688" s="382">
        <f t="shared" si="1411"/>
        <v>9.6</v>
      </c>
      <c r="G3688" s="438">
        <v>9.6</v>
      </c>
      <c r="H3688" s="405">
        <f t="shared" si="1408"/>
        <v>7.68</v>
      </c>
      <c r="I3688" s="584"/>
      <c r="J3688" s="549" t="s">
        <v>5804</v>
      </c>
      <c r="K3688" s="11"/>
      <c r="L3688" s="55" t="str">
        <f t="shared" si="1412"/>
        <v/>
      </c>
      <c r="M3688" s="37">
        <f t="shared" si="1413"/>
        <v>9.6</v>
      </c>
      <c r="N3688" s="29">
        <f>N3687</f>
        <v>8.6</v>
      </c>
      <c r="O3688" s="179"/>
      <c r="P3688" s="22"/>
      <c r="Q3688" s="38" t="s">
        <v>1017</v>
      </c>
      <c r="AH3688" s="202" t="s">
        <v>5406</v>
      </c>
      <c r="AK3688" t="str">
        <f t="shared" si="1414"/>
        <v/>
      </c>
      <c r="AL3688" t="str">
        <f t="shared" si="1414"/>
        <v/>
      </c>
      <c r="AM3688" t="str">
        <f t="shared" si="1414"/>
        <v>G3</v>
      </c>
      <c r="AN3688" t="str">
        <f t="shared" si="1415"/>
        <v>G3</v>
      </c>
      <c r="AO3688" s="203" t="str">
        <f>"DeK240"&amp;AN3688&amp;RIGHT("------",6-LEN(AN3688))&amp;RIGHT($M$3099,2)</f>
        <v>DeK240G3----12</v>
      </c>
      <c r="AP3688">
        <f t="shared" si="1416"/>
        <v>14</v>
      </c>
      <c r="AQ3688" t="str">
        <f t="shared" si="1417"/>
        <v>0-0,5 MW, Bonusregel G3</v>
      </c>
      <c r="AR3688" t="str">
        <f>IF(COUNTA(#REF!)&gt;1,"Fehler ESVK",IF(COUNTA(O3688:Q3688)&gt;1,"Fehler GAB",IF(AP3688&lt;&gt;14,"Fehler Kategorie","")))</f>
        <v/>
      </c>
    </row>
    <row r="3689" spans="1:45" x14ac:dyDescent="0.35">
      <c r="A3689" s="500" t="str">
        <f>"DeK241"&amp;AN3689&amp;RIGHT("------",6-LEN(AN3689))&amp;RIGHT($M3684,2)</f>
        <v>DeK241------12</v>
      </c>
      <c r="B3689" s="225" t="s">
        <v>5405</v>
      </c>
      <c r="C3689" s="225" t="str">
        <f t="shared" si="1409"/>
        <v>Inbetriebnahme 2012</v>
      </c>
      <c r="D3689" s="225" t="str">
        <f t="shared" si="1410"/>
        <v>0,5-5 MW</v>
      </c>
      <c r="E3689" s="225"/>
      <c r="F3689" s="382">
        <f t="shared" si="1411"/>
        <v>5.89</v>
      </c>
      <c r="G3689" s="438">
        <v>5.89</v>
      </c>
      <c r="H3689" s="405">
        <f t="shared" si="1408"/>
        <v>4.71</v>
      </c>
      <c r="I3689" s="584"/>
      <c r="J3689" s="549" t="s">
        <v>5804</v>
      </c>
      <c r="K3689" s="11"/>
      <c r="L3689" s="55" t="str">
        <f t="shared" si="1412"/>
        <v/>
      </c>
      <c r="M3689" s="37">
        <f t="shared" si="1413"/>
        <v>5.89</v>
      </c>
      <c r="N3689" s="29">
        <v>5.89</v>
      </c>
      <c r="O3689" s="179"/>
      <c r="P3689" s="22"/>
      <c r="Q3689" s="38"/>
      <c r="AH3689" s="202" t="s">
        <v>5407</v>
      </c>
      <c r="AK3689" t="str">
        <f t="shared" si="1414"/>
        <v/>
      </c>
      <c r="AL3689" t="str">
        <f t="shared" si="1414"/>
        <v/>
      </c>
      <c r="AM3689" t="str">
        <f t="shared" si="1414"/>
        <v/>
      </c>
      <c r="AN3689" t="str">
        <f t="shared" si="1415"/>
        <v/>
      </c>
      <c r="AO3689" s="203" t="str">
        <f>"DeK241"&amp;AN3689&amp;RIGHT("------",6-LEN(AN3689))&amp;RIGHT($M$3099,2)</f>
        <v>DeK241------12</v>
      </c>
      <c r="AP3689">
        <f t="shared" si="1416"/>
        <v>14</v>
      </c>
      <c r="AQ3689" t="str">
        <f t="shared" si="1417"/>
        <v>0,5-5 MW</v>
      </c>
      <c r="AR3689" t="str">
        <f>IF(COUNTA(#REF!)&gt;1,"Fehler ESVK",IF(COUNTA(O3689:Q3689)&gt;1,"Fehler GAB",IF(AP3689&lt;&gt;14,"Fehler Kategorie","")))</f>
        <v/>
      </c>
    </row>
    <row r="3690" spans="1:45" x14ac:dyDescent="0.35">
      <c r="A3690" s="500" t="str">
        <f>"DeK241"&amp;AN3690&amp;RIGHT("------",6-LEN(AN3690))&amp;RIGHT($M3684,2)</f>
        <v>DeK241G1----12</v>
      </c>
      <c r="B3690" s="225" t="s">
        <v>5405</v>
      </c>
      <c r="C3690" s="225" t="str">
        <f t="shared" si="1409"/>
        <v>Inbetriebnahme 2012</v>
      </c>
      <c r="D3690" s="225" t="str">
        <f t="shared" si="1410"/>
        <v>0,5-5 MW, Bonusregel G1</v>
      </c>
      <c r="E3690" s="225"/>
      <c r="F3690" s="382">
        <f t="shared" si="1411"/>
        <v>8.89</v>
      </c>
      <c r="G3690" s="438">
        <v>8.89</v>
      </c>
      <c r="H3690" s="405">
        <f t="shared" si="1408"/>
        <v>7.11</v>
      </c>
      <c r="I3690" s="584"/>
      <c r="J3690" s="549" t="s">
        <v>5804</v>
      </c>
      <c r="K3690" s="11"/>
      <c r="L3690" s="55" t="str">
        <f t="shared" si="1412"/>
        <v/>
      </c>
      <c r="M3690" s="37">
        <f t="shared" si="1413"/>
        <v>8.89</v>
      </c>
      <c r="N3690" s="29">
        <f>N3689</f>
        <v>5.89</v>
      </c>
      <c r="O3690" s="179" t="s">
        <v>1017</v>
      </c>
      <c r="P3690" s="22"/>
      <c r="Q3690" s="38"/>
      <c r="AH3690" s="202" t="s">
        <v>5407</v>
      </c>
      <c r="AK3690" t="str">
        <f t="shared" si="1414"/>
        <v>G1</v>
      </c>
      <c r="AL3690" t="str">
        <f t="shared" si="1414"/>
        <v/>
      </c>
      <c r="AM3690" t="str">
        <f t="shared" si="1414"/>
        <v/>
      </c>
      <c r="AN3690" t="str">
        <f t="shared" si="1415"/>
        <v>G1</v>
      </c>
      <c r="AO3690" s="203" t="str">
        <f>"DeK240"&amp;AN3690&amp;RIGHT("------",6-LEN(AN3690))&amp;RIGHT($M$3099,2)</f>
        <v>DeK240G1----12</v>
      </c>
      <c r="AP3690">
        <f t="shared" si="1416"/>
        <v>14</v>
      </c>
      <c r="AQ3690" t="str">
        <f t="shared" si="1417"/>
        <v>0,5-5 MW, Bonusregel G1</v>
      </c>
      <c r="AR3690" t="str">
        <f>IF(COUNTA(#REF!)&gt;1,"Fehler ESVK",IF(COUNTA(O3690:Q3690)&gt;1,"Fehler GAB",IF(AP3690&lt;&gt;14,"Fehler Kategorie","")))</f>
        <v/>
      </c>
    </row>
    <row r="3691" spans="1:45" x14ac:dyDescent="0.35">
      <c r="A3691" s="500" t="str">
        <f>"DeK241"&amp;AN3691&amp;RIGHT("------",6-LEN(AN3691))&amp;RIGHT($M3684,2)</f>
        <v>DeK241G2----12</v>
      </c>
      <c r="B3691" s="225" t="s">
        <v>5405</v>
      </c>
      <c r="C3691" s="225" t="str">
        <f t="shared" si="1409"/>
        <v>Inbetriebnahme 2012</v>
      </c>
      <c r="D3691" s="225" t="str">
        <f t="shared" si="1410"/>
        <v>0,5-5 MW, Bonusregel G2</v>
      </c>
      <c r="E3691" s="225"/>
      <c r="F3691" s="382">
        <f t="shared" si="1411"/>
        <v>7.89</v>
      </c>
      <c r="G3691" s="438">
        <v>7.89</v>
      </c>
      <c r="H3691" s="405">
        <f t="shared" si="1408"/>
        <v>6.31</v>
      </c>
      <c r="I3691" s="584"/>
      <c r="J3691" s="549" t="s">
        <v>5804</v>
      </c>
      <c r="K3691" s="11"/>
      <c r="L3691" s="55" t="str">
        <f t="shared" si="1412"/>
        <v/>
      </c>
      <c r="M3691" s="37">
        <f t="shared" si="1413"/>
        <v>7.89</v>
      </c>
      <c r="N3691" s="29">
        <f>N3690</f>
        <v>5.89</v>
      </c>
      <c r="O3691" s="179"/>
      <c r="P3691" s="22" t="s">
        <v>1017</v>
      </c>
      <c r="Q3691" s="38"/>
      <c r="AH3691" s="202" t="s">
        <v>5407</v>
      </c>
      <c r="AK3691" t="str">
        <f t="shared" si="1414"/>
        <v/>
      </c>
      <c r="AL3691" t="str">
        <f t="shared" si="1414"/>
        <v>G2</v>
      </c>
      <c r="AM3691" t="str">
        <f t="shared" si="1414"/>
        <v/>
      </c>
      <c r="AN3691" t="str">
        <f t="shared" si="1415"/>
        <v>G2</v>
      </c>
      <c r="AO3691" s="203" t="str">
        <f>"DeK240"&amp;AN3691&amp;RIGHT("------",6-LEN(AN3691))&amp;RIGHT($M$3099,2)</f>
        <v>DeK240G2----12</v>
      </c>
      <c r="AP3691">
        <f t="shared" si="1416"/>
        <v>14</v>
      </c>
      <c r="AQ3691" t="str">
        <f t="shared" si="1417"/>
        <v>0,5-5 MW, Bonusregel G2</v>
      </c>
      <c r="AR3691" t="str">
        <f>IF(COUNTA(#REF!)&gt;1,"Fehler ESVK",IF(COUNTA(O3691:Q3691)&gt;1,"Fehler GAB",IF(AP3691&lt;&gt;14,"Fehler Kategorie","")))</f>
        <v/>
      </c>
    </row>
    <row r="3692" spans="1:45" x14ac:dyDescent="0.35">
      <c r="A3692" s="500" t="str">
        <f>"DeK241"&amp;AN3692&amp;RIGHT("------",6-LEN(AN3692))&amp;RIGHT($M3684,2)</f>
        <v>DeK241G3----12</v>
      </c>
      <c r="B3692" s="225" t="s">
        <v>5405</v>
      </c>
      <c r="C3692" s="225" t="str">
        <f t="shared" si="1409"/>
        <v>Inbetriebnahme 2012</v>
      </c>
      <c r="D3692" s="225" t="str">
        <f t="shared" si="1410"/>
        <v>0,5-5 MW, Bonusregel G3</v>
      </c>
      <c r="E3692" s="225"/>
      <c r="F3692" s="382">
        <f t="shared" si="1411"/>
        <v>6.89</v>
      </c>
      <c r="G3692" s="438">
        <v>6.89</v>
      </c>
      <c r="H3692" s="405">
        <f t="shared" si="1408"/>
        <v>5.51</v>
      </c>
      <c r="I3692" s="584"/>
      <c r="J3692" s="549" t="s">
        <v>5804</v>
      </c>
      <c r="K3692" s="11"/>
      <c r="L3692" s="55" t="str">
        <f t="shared" si="1412"/>
        <v/>
      </c>
      <c r="M3692" s="37">
        <f t="shared" si="1413"/>
        <v>6.89</v>
      </c>
      <c r="N3692" s="29">
        <f>N3691</f>
        <v>5.89</v>
      </c>
      <c r="O3692" s="179"/>
      <c r="P3692" s="22"/>
      <c r="Q3692" s="38" t="s">
        <v>1017</v>
      </c>
      <c r="AH3692" s="202" t="s">
        <v>5407</v>
      </c>
      <c r="AK3692" t="str">
        <f t="shared" si="1414"/>
        <v/>
      </c>
      <c r="AL3692" t="str">
        <f t="shared" si="1414"/>
        <v/>
      </c>
      <c r="AM3692" t="str">
        <f t="shared" si="1414"/>
        <v>G3</v>
      </c>
      <c r="AN3692" t="str">
        <f t="shared" si="1415"/>
        <v>G3</v>
      </c>
      <c r="AO3692" s="203" t="str">
        <f>"DeK240"&amp;AN3692&amp;RIGHT("------",6-LEN(AN3692))&amp;RIGHT($M$3099,2)</f>
        <v>DeK240G3----12</v>
      </c>
      <c r="AP3692">
        <f t="shared" si="1416"/>
        <v>14</v>
      </c>
      <c r="AQ3692" t="str">
        <f t="shared" si="1417"/>
        <v>0,5-5 MW, Bonusregel G3</v>
      </c>
      <c r="AR3692" t="str">
        <f>IF(COUNTA(#REF!)&gt;1,"Fehler ESVK",IF(COUNTA(O3692:Q3692)&gt;1,"Fehler GAB",IF(AP3692&lt;&gt;14,"Fehler Kategorie","")))</f>
        <v/>
      </c>
    </row>
    <row r="3693" spans="1:45" x14ac:dyDescent="0.35">
      <c r="A3693" s="496"/>
      <c r="B3693" s="1"/>
      <c r="C3693" s="1"/>
      <c r="D3693" s="1"/>
      <c r="E3693" s="1"/>
      <c r="F3693" s="375"/>
      <c r="G3693" s="432"/>
      <c r="H3693" s="401" t="str">
        <f t="shared" si="1408"/>
        <v/>
      </c>
      <c r="I3693" s="578"/>
      <c r="J3693" s="549" t="s">
        <v>4179</v>
      </c>
      <c r="L3693" s="56"/>
      <c r="M3693" s="282">
        <v>2013</v>
      </c>
      <c r="N3693" s="283"/>
      <c r="O3693" s="284">
        <f>ROUND(S3693,2)</f>
        <v>2.96</v>
      </c>
      <c r="P3693" s="283">
        <f>ROUND(T3693,2)</f>
        <v>1.97</v>
      </c>
      <c r="Q3693" s="285">
        <f>ROUND(U3693,2)</f>
        <v>0.99</v>
      </c>
      <c r="R3693" s="219">
        <v>1.4999999999999999E-2</v>
      </c>
      <c r="S3693" s="340">
        <f>O3684*(1-$R$3693)</f>
        <v>2.9550000000000001</v>
      </c>
      <c r="T3693" s="340">
        <f>P3684*(1-$R$3693)</f>
        <v>1.97</v>
      </c>
      <c r="U3693" s="340">
        <f>Q3684*(1-$R$3693)</f>
        <v>0.98499999999999999</v>
      </c>
      <c r="V3693" s="159" t="str">
        <f xml:space="preserve"> "Bonushöhe bei Inbetriebnahme in " &amp; M3693</f>
        <v>Bonushöhe bei Inbetriebnahme in 2013</v>
      </c>
      <c r="W3693" s="29"/>
      <c r="X3693" s="29"/>
      <c r="Y3693" s="29"/>
      <c r="Z3693" s="29"/>
      <c r="AA3693" s="29"/>
      <c r="AB3693" s="29"/>
      <c r="AC3693" s="29"/>
      <c r="AD3693" s="29"/>
      <c r="AE3693" s="29"/>
      <c r="AF3693" s="29"/>
      <c r="AG3693" s="29"/>
      <c r="AK3693" t="s">
        <v>1740</v>
      </c>
      <c r="AL3693" t="s">
        <v>1741</v>
      </c>
      <c r="AM3693" t="s">
        <v>1742</v>
      </c>
      <c r="AN3693" t="s">
        <v>1764</v>
      </c>
      <c r="AO3693" t="s">
        <v>1765</v>
      </c>
      <c r="AP3693" t="s">
        <v>1766</v>
      </c>
      <c r="AQ3693" t="s">
        <v>669</v>
      </c>
      <c r="AR3693" t="s">
        <v>1763</v>
      </c>
    </row>
    <row r="3694" spans="1:45" x14ac:dyDescent="0.35">
      <c r="A3694" s="502" t="str">
        <f>"DeK240"&amp;AN3694&amp;RIGHT("------",6-LEN(AN3694))&amp;RIGHT($M3693,2)</f>
        <v>DeK240------13</v>
      </c>
      <c r="B3694" s="301" t="s">
        <v>5405</v>
      </c>
      <c r="C3694" s="301" t="str">
        <f t="shared" ref="C3694:C3701" si="1418">"Inbetriebnahme "&amp;$M$3693</f>
        <v>Inbetriebnahme 2013</v>
      </c>
      <c r="D3694" s="301" t="str">
        <f t="shared" ref="D3694:D3701" si="1419">IF(COUNTA(O3694:Q3694)=0,AH3694,AH3694&amp;", Bonusregel "&amp;AN3694)</f>
        <v>0-0,5 MW</v>
      </c>
      <c r="E3694" s="301"/>
      <c r="F3694" s="377">
        <f t="shared" ref="F3694:F3701" si="1420">M3694</f>
        <v>8.4700000000000006</v>
      </c>
      <c r="G3694" s="433">
        <v>8.4700000000000006</v>
      </c>
      <c r="H3694" s="402">
        <f t="shared" si="1408"/>
        <v>6.78</v>
      </c>
      <c r="I3694" s="580"/>
      <c r="J3694" s="549" t="s">
        <v>5804</v>
      </c>
      <c r="K3694" s="11"/>
      <c r="L3694" s="55" t="str">
        <f t="shared" ref="L3694:L3701" si="1421">IF(F3694=M3694,"",FALSE)</f>
        <v/>
      </c>
      <c r="M3694" s="286">
        <f t="shared" ref="M3694:M3701" si="1422">ROUND(N3694,2)+SUMIF(O3694:Q3694,"x",$O$3693:$Q$3693)</f>
        <v>8.4700000000000006</v>
      </c>
      <c r="N3694" s="29">
        <f t="shared" ref="N3694:N3701" si="1423">N3685*(1-$R$3693)</f>
        <v>8.4710000000000001</v>
      </c>
      <c r="O3694" s="46"/>
      <c r="P3694" s="22"/>
      <c r="Q3694" s="47"/>
      <c r="AH3694" s="202" t="s">
        <v>5406</v>
      </c>
      <c r="AK3694" t="str">
        <f t="shared" ref="AK3694:AM3701" si="1424">IF(O3694="x",V$3101,"")</f>
        <v/>
      </c>
      <c r="AL3694" t="str">
        <f t="shared" si="1424"/>
        <v/>
      </c>
      <c r="AM3694" t="str">
        <f t="shared" si="1424"/>
        <v/>
      </c>
      <c r="AN3694" t="str">
        <f t="shared" ref="AN3694:AN3701" si="1425">AK3694&amp;AL3694&amp;AM3694</f>
        <v/>
      </c>
      <c r="AO3694" s="203" t="str">
        <f>"DeK240"&amp;AN3694&amp;RIGHT("------",6-LEN(AN3694))&amp;RIGHT($M$3693,2)</f>
        <v>DeK240------13</v>
      </c>
      <c r="AP3694">
        <f t="shared" ref="AP3694:AP3701" si="1426">LEN(AO3694)</f>
        <v>14</v>
      </c>
      <c r="AQ3694" t="str">
        <f t="shared" ref="AQ3694:AQ3701" si="1427">IF(COUNTA(O3694:Q3694)=0,AH3694,AH3694&amp;", Bonusregel "&amp;AN3694)</f>
        <v>0-0,5 MW</v>
      </c>
      <c r="AR3694" t="str">
        <f>IF(COUNTA(#REF!)&gt;1,"Fehler ESVK",IF(COUNTA(O3694:Q3694)&gt;1,"Fehler GAB",IF(AP3694&lt;&gt;14,"Fehler Kategorie","")))</f>
        <v/>
      </c>
      <c r="AS3694" t="str">
        <f>SUBSTITUTE(AN3694,", ","")</f>
        <v/>
      </c>
    </row>
    <row r="3695" spans="1:45" x14ac:dyDescent="0.35">
      <c r="A3695" s="502" t="str">
        <f>"DeK240"&amp;AN3695&amp;RIGHT("------",6-LEN(AN3695))&amp;RIGHT($M3693,2)</f>
        <v>DeK240G1----13</v>
      </c>
      <c r="B3695" s="301" t="s">
        <v>5405</v>
      </c>
      <c r="C3695" s="301" t="str">
        <f t="shared" si="1418"/>
        <v>Inbetriebnahme 2013</v>
      </c>
      <c r="D3695" s="301" t="str">
        <f t="shared" si="1419"/>
        <v>0-0,5 MW, Bonusregel G1</v>
      </c>
      <c r="E3695" s="301"/>
      <c r="F3695" s="377">
        <f t="shared" si="1420"/>
        <v>11.43</v>
      </c>
      <c r="G3695" s="433">
        <v>11.43</v>
      </c>
      <c r="H3695" s="402">
        <f t="shared" si="1408"/>
        <v>9.14</v>
      </c>
      <c r="I3695" s="580"/>
      <c r="J3695" s="549" t="s">
        <v>5804</v>
      </c>
      <c r="K3695" s="11"/>
      <c r="L3695" s="55" t="str">
        <f t="shared" si="1421"/>
        <v/>
      </c>
      <c r="M3695" s="37">
        <f t="shared" si="1422"/>
        <v>11.43</v>
      </c>
      <c r="N3695" s="29">
        <f t="shared" si="1423"/>
        <v>8.4710000000000001</v>
      </c>
      <c r="O3695" s="179" t="s">
        <v>1017</v>
      </c>
      <c r="P3695" s="22"/>
      <c r="Q3695" s="38"/>
      <c r="AH3695" s="202" t="s">
        <v>5406</v>
      </c>
      <c r="AK3695" t="str">
        <f t="shared" si="1424"/>
        <v>G1</v>
      </c>
      <c r="AL3695" t="str">
        <f t="shared" si="1424"/>
        <v/>
      </c>
      <c r="AM3695" t="str">
        <f t="shared" si="1424"/>
        <v/>
      </c>
      <c r="AN3695" t="str">
        <f t="shared" si="1425"/>
        <v>G1</v>
      </c>
      <c r="AO3695" s="203" t="str">
        <f>"DeK240"&amp;AN3695&amp;RIGHT("------",6-LEN(AN3695))&amp;RIGHT($M$3693,2)</f>
        <v>DeK240G1----13</v>
      </c>
      <c r="AP3695">
        <f t="shared" si="1426"/>
        <v>14</v>
      </c>
      <c r="AQ3695" t="str">
        <f t="shared" si="1427"/>
        <v>0-0,5 MW, Bonusregel G1</v>
      </c>
      <c r="AR3695" t="str">
        <f>IF(COUNTA(#REF!)&gt;1,"Fehler ESVK",IF(COUNTA(O3695:Q3695)&gt;1,"Fehler GAB",IF(AP3695&lt;&gt;14,"Fehler Kategorie","")))</f>
        <v/>
      </c>
    </row>
    <row r="3696" spans="1:45" x14ac:dyDescent="0.35">
      <c r="A3696" s="502" t="str">
        <f>"DeK240"&amp;AN3696&amp;RIGHT("------",6-LEN(AN3696))&amp;RIGHT($M3693,2)</f>
        <v>DeK240G2----13</v>
      </c>
      <c r="B3696" s="301" t="s">
        <v>5405</v>
      </c>
      <c r="C3696" s="301" t="str">
        <f t="shared" si="1418"/>
        <v>Inbetriebnahme 2013</v>
      </c>
      <c r="D3696" s="301" t="str">
        <f t="shared" si="1419"/>
        <v>0-0,5 MW, Bonusregel G2</v>
      </c>
      <c r="E3696" s="301"/>
      <c r="F3696" s="377">
        <f t="shared" si="1420"/>
        <v>10.440000000000001</v>
      </c>
      <c r="G3696" s="433">
        <v>10.440000000000001</v>
      </c>
      <c r="H3696" s="402">
        <f t="shared" si="1408"/>
        <v>8.35</v>
      </c>
      <c r="I3696" s="580"/>
      <c r="J3696" s="549" t="s">
        <v>5804</v>
      </c>
      <c r="K3696" s="11"/>
      <c r="L3696" s="55" t="str">
        <f t="shared" si="1421"/>
        <v/>
      </c>
      <c r="M3696" s="37">
        <f t="shared" si="1422"/>
        <v>10.440000000000001</v>
      </c>
      <c r="N3696" s="29">
        <f t="shared" si="1423"/>
        <v>8.4710000000000001</v>
      </c>
      <c r="O3696" s="179"/>
      <c r="P3696" s="22" t="s">
        <v>1017</v>
      </c>
      <c r="Q3696" s="38"/>
      <c r="AH3696" s="202" t="s">
        <v>5406</v>
      </c>
      <c r="AK3696" t="str">
        <f t="shared" si="1424"/>
        <v/>
      </c>
      <c r="AL3696" t="str">
        <f t="shared" si="1424"/>
        <v>G2</v>
      </c>
      <c r="AM3696" t="str">
        <f t="shared" si="1424"/>
        <v/>
      </c>
      <c r="AN3696" t="str">
        <f t="shared" si="1425"/>
        <v>G2</v>
      </c>
      <c r="AO3696" s="203" t="str">
        <f>"DeK240"&amp;AN3696&amp;RIGHT("------",6-LEN(AN3696))&amp;RIGHT($M$3693,2)</f>
        <v>DeK240G2----13</v>
      </c>
      <c r="AP3696">
        <f t="shared" si="1426"/>
        <v>14</v>
      </c>
      <c r="AQ3696" t="str">
        <f t="shared" si="1427"/>
        <v>0-0,5 MW, Bonusregel G2</v>
      </c>
      <c r="AR3696" t="str">
        <f>IF(COUNTA(#REF!)&gt;1,"Fehler ESVK",IF(COUNTA(O3696:Q3696)&gt;1,"Fehler GAB",IF(AP3696&lt;&gt;14,"Fehler Kategorie","")))</f>
        <v/>
      </c>
    </row>
    <row r="3697" spans="1:45" x14ac:dyDescent="0.35">
      <c r="A3697" s="502" t="str">
        <f>"DeK240"&amp;AN3697&amp;RIGHT("------",6-LEN(AN3697))&amp;RIGHT($M3693,2)</f>
        <v>DeK240G3----13</v>
      </c>
      <c r="B3697" s="301" t="s">
        <v>5405</v>
      </c>
      <c r="C3697" s="301" t="str">
        <f t="shared" si="1418"/>
        <v>Inbetriebnahme 2013</v>
      </c>
      <c r="D3697" s="301" t="str">
        <f t="shared" si="1419"/>
        <v>0-0,5 MW, Bonusregel G3</v>
      </c>
      <c r="E3697" s="301"/>
      <c r="F3697" s="377">
        <f t="shared" si="1420"/>
        <v>9.4600000000000009</v>
      </c>
      <c r="G3697" s="433">
        <v>9.4600000000000009</v>
      </c>
      <c r="H3697" s="402">
        <f t="shared" si="1408"/>
        <v>7.57</v>
      </c>
      <c r="I3697" s="580"/>
      <c r="J3697" s="549" t="s">
        <v>5804</v>
      </c>
      <c r="K3697" s="11"/>
      <c r="L3697" s="55" t="str">
        <f t="shared" si="1421"/>
        <v/>
      </c>
      <c r="M3697" s="37">
        <f t="shared" si="1422"/>
        <v>9.4600000000000009</v>
      </c>
      <c r="N3697" s="29">
        <f t="shared" si="1423"/>
        <v>8.4710000000000001</v>
      </c>
      <c r="O3697" s="179"/>
      <c r="P3697" s="22"/>
      <c r="Q3697" s="38" t="s">
        <v>1017</v>
      </c>
      <c r="AH3697" s="202" t="s">
        <v>5406</v>
      </c>
      <c r="AK3697" t="str">
        <f t="shared" si="1424"/>
        <v/>
      </c>
      <c r="AL3697" t="str">
        <f t="shared" si="1424"/>
        <v/>
      </c>
      <c r="AM3697" t="str">
        <f t="shared" si="1424"/>
        <v>G3</v>
      </c>
      <c r="AN3697" t="str">
        <f t="shared" si="1425"/>
        <v>G3</v>
      </c>
      <c r="AO3697" s="203" t="str">
        <f>"DeK240"&amp;AN3697&amp;RIGHT("------",6-LEN(AN3697))&amp;RIGHT($M$3693,2)</f>
        <v>DeK240G3----13</v>
      </c>
      <c r="AP3697">
        <f t="shared" si="1426"/>
        <v>14</v>
      </c>
      <c r="AQ3697" t="str">
        <f t="shared" si="1427"/>
        <v>0-0,5 MW, Bonusregel G3</v>
      </c>
      <c r="AR3697" t="str">
        <f>IF(COUNTA(#REF!)&gt;1,"Fehler ESVK",IF(COUNTA(O3697:Q3697)&gt;1,"Fehler GAB",IF(AP3697&lt;&gt;14,"Fehler Kategorie","")))</f>
        <v/>
      </c>
    </row>
    <row r="3698" spans="1:45" x14ac:dyDescent="0.35">
      <c r="A3698" s="502" t="str">
        <f>"DeK241"&amp;AN3698&amp;RIGHT("------",6-LEN(AN3698))&amp;RIGHT($M3693,2)</f>
        <v>DeK241------13</v>
      </c>
      <c r="B3698" s="301" t="s">
        <v>5405</v>
      </c>
      <c r="C3698" s="301" t="str">
        <f t="shared" si="1418"/>
        <v>Inbetriebnahme 2013</v>
      </c>
      <c r="D3698" s="301" t="str">
        <f t="shared" si="1419"/>
        <v>0,5-5 MW</v>
      </c>
      <c r="E3698" s="301"/>
      <c r="F3698" s="377">
        <f t="shared" si="1420"/>
        <v>5.8</v>
      </c>
      <c r="G3698" s="433">
        <v>5.8</v>
      </c>
      <c r="H3698" s="402">
        <f t="shared" si="1408"/>
        <v>4.6399999999999997</v>
      </c>
      <c r="I3698" s="580"/>
      <c r="J3698" s="549" t="s">
        <v>5804</v>
      </c>
      <c r="K3698" s="11"/>
      <c r="L3698" s="55" t="str">
        <f t="shared" si="1421"/>
        <v/>
      </c>
      <c r="M3698" s="37">
        <f t="shared" si="1422"/>
        <v>5.8</v>
      </c>
      <c r="N3698" s="29">
        <f t="shared" si="1423"/>
        <v>5.8016499999999995</v>
      </c>
      <c r="O3698" s="179"/>
      <c r="P3698" s="22"/>
      <c r="Q3698" s="38"/>
      <c r="AH3698" s="202" t="s">
        <v>5407</v>
      </c>
      <c r="AK3698" t="str">
        <f t="shared" si="1424"/>
        <v/>
      </c>
      <c r="AL3698" t="str">
        <f t="shared" si="1424"/>
        <v/>
      </c>
      <c r="AM3698" t="str">
        <f t="shared" si="1424"/>
        <v/>
      </c>
      <c r="AN3698" t="str">
        <f t="shared" si="1425"/>
        <v/>
      </c>
      <c r="AO3698" s="203" t="str">
        <f>"DeK241"&amp;AN3698&amp;RIGHT("------",6-LEN(AN3698))&amp;RIGHT($M$3693,2)</f>
        <v>DeK241------13</v>
      </c>
      <c r="AP3698">
        <f t="shared" si="1426"/>
        <v>14</v>
      </c>
      <c r="AQ3698" t="str">
        <f t="shared" si="1427"/>
        <v>0,5-5 MW</v>
      </c>
      <c r="AR3698" t="str">
        <f>IF(COUNTA(#REF!)&gt;1,"Fehler ESVK",IF(COUNTA(O3698:Q3698)&gt;1,"Fehler GAB",IF(AP3698&lt;&gt;14,"Fehler Kategorie","")))</f>
        <v/>
      </c>
    </row>
    <row r="3699" spans="1:45" x14ac:dyDescent="0.35">
      <c r="A3699" s="502" t="str">
        <f>"DeK241"&amp;AN3699&amp;RIGHT("------",6-LEN(AN3699))&amp;RIGHT($M3693,2)</f>
        <v>DeK241G1----13</v>
      </c>
      <c r="B3699" s="301" t="s">
        <v>5405</v>
      </c>
      <c r="C3699" s="301" t="str">
        <f t="shared" si="1418"/>
        <v>Inbetriebnahme 2013</v>
      </c>
      <c r="D3699" s="301" t="str">
        <f t="shared" si="1419"/>
        <v>0,5-5 MW, Bonusregel G1</v>
      </c>
      <c r="E3699" s="301"/>
      <c r="F3699" s="377">
        <f t="shared" si="1420"/>
        <v>8.76</v>
      </c>
      <c r="G3699" s="433">
        <v>8.76</v>
      </c>
      <c r="H3699" s="402">
        <f t="shared" si="1408"/>
        <v>7.01</v>
      </c>
      <c r="I3699" s="580"/>
      <c r="J3699" s="549" t="s">
        <v>5804</v>
      </c>
      <c r="K3699" s="11"/>
      <c r="L3699" s="55" t="str">
        <f t="shared" si="1421"/>
        <v/>
      </c>
      <c r="M3699" s="37">
        <f t="shared" si="1422"/>
        <v>8.76</v>
      </c>
      <c r="N3699" s="29">
        <f t="shared" si="1423"/>
        <v>5.8016499999999995</v>
      </c>
      <c r="O3699" s="179" t="s">
        <v>1017</v>
      </c>
      <c r="P3699" s="22"/>
      <c r="Q3699" s="38"/>
      <c r="AH3699" s="202" t="s">
        <v>5407</v>
      </c>
      <c r="AK3699" t="str">
        <f t="shared" si="1424"/>
        <v>G1</v>
      </c>
      <c r="AL3699" t="str">
        <f t="shared" si="1424"/>
        <v/>
      </c>
      <c r="AM3699" t="str">
        <f t="shared" si="1424"/>
        <v/>
      </c>
      <c r="AN3699" t="str">
        <f t="shared" si="1425"/>
        <v>G1</v>
      </c>
      <c r="AO3699" s="203" t="str">
        <f>"DeK240"&amp;AN3699&amp;RIGHT("------",6-LEN(AN3699))&amp;RIGHT($M$3693,2)</f>
        <v>DeK240G1----13</v>
      </c>
      <c r="AP3699">
        <f t="shared" si="1426"/>
        <v>14</v>
      </c>
      <c r="AQ3699" t="str">
        <f t="shared" si="1427"/>
        <v>0,5-5 MW, Bonusregel G1</v>
      </c>
      <c r="AR3699" t="str">
        <f>IF(COUNTA(#REF!)&gt;1,"Fehler ESVK",IF(COUNTA(O3699:Q3699)&gt;1,"Fehler GAB",IF(AP3699&lt;&gt;14,"Fehler Kategorie","")))</f>
        <v/>
      </c>
    </row>
    <row r="3700" spans="1:45" x14ac:dyDescent="0.35">
      <c r="A3700" s="502" t="str">
        <f>"DeK241"&amp;AN3700&amp;RIGHT("------",6-LEN(AN3700))&amp;RIGHT($M3693,2)</f>
        <v>DeK241G2----13</v>
      </c>
      <c r="B3700" s="301" t="s">
        <v>5405</v>
      </c>
      <c r="C3700" s="301" t="str">
        <f t="shared" si="1418"/>
        <v>Inbetriebnahme 2013</v>
      </c>
      <c r="D3700" s="301" t="str">
        <f t="shared" si="1419"/>
        <v>0,5-5 MW, Bonusregel G2</v>
      </c>
      <c r="E3700" s="301"/>
      <c r="F3700" s="377">
        <f t="shared" si="1420"/>
        <v>7.77</v>
      </c>
      <c r="G3700" s="433">
        <v>7.77</v>
      </c>
      <c r="H3700" s="402">
        <f t="shared" si="1408"/>
        <v>6.22</v>
      </c>
      <c r="I3700" s="580"/>
      <c r="J3700" s="549" t="s">
        <v>5804</v>
      </c>
      <c r="K3700" s="11"/>
      <c r="L3700" s="55" t="str">
        <f t="shared" si="1421"/>
        <v/>
      </c>
      <c r="M3700" s="37">
        <f t="shared" si="1422"/>
        <v>7.77</v>
      </c>
      <c r="N3700" s="29">
        <f t="shared" si="1423"/>
        <v>5.8016499999999995</v>
      </c>
      <c r="O3700" s="179"/>
      <c r="P3700" s="22" t="s">
        <v>1017</v>
      </c>
      <c r="Q3700" s="38"/>
      <c r="AH3700" s="202" t="s">
        <v>5407</v>
      </c>
      <c r="AK3700" t="str">
        <f t="shared" si="1424"/>
        <v/>
      </c>
      <c r="AL3700" t="str">
        <f t="shared" si="1424"/>
        <v>G2</v>
      </c>
      <c r="AM3700" t="str">
        <f t="shared" si="1424"/>
        <v/>
      </c>
      <c r="AN3700" t="str">
        <f t="shared" si="1425"/>
        <v>G2</v>
      </c>
      <c r="AO3700" s="203" t="str">
        <f>"DeK240"&amp;AN3700&amp;RIGHT("------",6-LEN(AN3700))&amp;RIGHT($M$3693,2)</f>
        <v>DeK240G2----13</v>
      </c>
      <c r="AP3700">
        <f t="shared" si="1426"/>
        <v>14</v>
      </c>
      <c r="AQ3700" t="str">
        <f t="shared" si="1427"/>
        <v>0,5-5 MW, Bonusregel G2</v>
      </c>
      <c r="AR3700" t="str">
        <f>IF(COUNTA(#REF!)&gt;1,"Fehler ESVK",IF(COUNTA(O3700:Q3700)&gt;1,"Fehler GAB",IF(AP3700&lt;&gt;14,"Fehler Kategorie","")))</f>
        <v/>
      </c>
    </row>
    <row r="3701" spans="1:45" x14ac:dyDescent="0.35">
      <c r="A3701" s="502" t="str">
        <f>"DeK241"&amp;AN3701&amp;RIGHT("------",6-LEN(AN3701))&amp;RIGHT($M3693,2)</f>
        <v>DeK241G3----13</v>
      </c>
      <c r="B3701" s="301" t="s">
        <v>5405</v>
      </c>
      <c r="C3701" s="301" t="str">
        <f t="shared" si="1418"/>
        <v>Inbetriebnahme 2013</v>
      </c>
      <c r="D3701" s="301" t="str">
        <f t="shared" si="1419"/>
        <v>0,5-5 MW, Bonusregel G3</v>
      </c>
      <c r="E3701" s="301"/>
      <c r="F3701" s="377">
        <f t="shared" si="1420"/>
        <v>6.79</v>
      </c>
      <c r="G3701" s="433">
        <v>6.79</v>
      </c>
      <c r="H3701" s="402">
        <f t="shared" si="1408"/>
        <v>5.43</v>
      </c>
      <c r="I3701" s="580"/>
      <c r="J3701" s="549" t="s">
        <v>5804</v>
      </c>
      <c r="K3701" s="11"/>
      <c r="L3701" s="55" t="str">
        <f t="shared" si="1421"/>
        <v/>
      </c>
      <c r="M3701" s="45">
        <f t="shared" si="1422"/>
        <v>6.79</v>
      </c>
      <c r="N3701" s="28">
        <f t="shared" si="1423"/>
        <v>5.8016499999999995</v>
      </c>
      <c r="O3701" s="288"/>
      <c r="P3701" s="69"/>
      <c r="Q3701" s="90" t="s">
        <v>1017</v>
      </c>
      <c r="AH3701" s="202" t="s">
        <v>5407</v>
      </c>
      <c r="AK3701" t="str">
        <f t="shared" si="1424"/>
        <v/>
      </c>
      <c r="AL3701" t="str">
        <f t="shared" si="1424"/>
        <v/>
      </c>
      <c r="AM3701" t="str">
        <f t="shared" si="1424"/>
        <v>G3</v>
      </c>
      <c r="AN3701" t="str">
        <f t="shared" si="1425"/>
        <v>G3</v>
      </c>
      <c r="AO3701" s="203" t="str">
        <f>"DeK240"&amp;AN3701&amp;RIGHT("------",6-LEN(AN3701))&amp;RIGHT($M$3693,2)</f>
        <v>DeK240G3----13</v>
      </c>
      <c r="AP3701">
        <f t="shared" si="1426"/>
        <v>14</v>
      </c>
      <c r="AQ3701" t="str">
        <f t="shared" si="1427"/>
        <v>0,5-5 MW, Bonusregel G3</v>
      </c>
      <c r="AR3701" t="str">
        <f>IF(COUNTA(#REF!)&gt;1,"Fehler ESVK",IF(COUNTA(O3701:Q3701)&gt;1,"Fehler GAB",IF(AP3701&lt;&gt;14,"Fehler Kategorie","")))</f>
        <v/>
      </c>
    </row>
    <row r="3702" spans="1:45" x14ac:dyDescent="0.35">
      <c r="A3702" s="496"/>
      <c r="B3702" s="1"/>
      <c r="C3702" s="1"/>
      <c r="D3702" s="1"/>
      <c r="E3702" s="1"/>
      <c r="F3702" s="375"/>
      <c r="G3702" s="425"/>
      <c r="H3702" s="10" t="str">
        <f t="shared" si="1408"/>
        <v/>
      </c>
      <c r="I3702" s="566"/>
      <c r="J3702" s="549" t="s">
        <v>4179</v>
      </c>
      <c r="L3702" s="327"/>
      <c r="M3702" s="334">
        <v>2014</v>
      </c>
      <c r="N3702" s="283"/>
      <c r="O3702" s="284">
        <f>ROUND(S3702,2)</f>
        <v>2.91</v>
      </c>
      <c r="P3702" s="283">
        <f>ROUND(T3702,2)</f>
        <v>1.94</v>
      </c>
      <c r="Q3702" s="285">
        <f>ROUND(U3702,2)</f>
        <v>0.97</v>
      </c>
      <c r="R3702" s="322">
        <v>1.4999999999999999E-2</v>
      </c>
      <c r="S3702" s="340">
        <f>S3693*(1-$R$3702)</f>
        <v>2.9106749999999999</v>
      </c>
      <c r="T3702" s="340">
        <f>T3693*(1-$R$3702)</f>
        <v>1.94045</v>
      </c>
      <c r="U3702" s="340">
        <f>U3693*(1-$R$3702)</f>
        <v>0.970225</v>
      </c>
      <c r="V3702" s="159" t="str">
        <f xml:space="preserve"> "Bonushöhe bei Inbetriebnahme in " &amp; M3702</f>
        <v>Bonushöhe bei Inbetriebnahme in 2014</v>
      </c>
      <c r="W3702" s="29"/>
      <c r="AK3702" t="s">
        <v>1740</v>
      </c>
      <c r="AL3702" t="s">
        <v>1741</v>
      </c>
      <c r="AM3702" t="s">
        <v>1742</v>
      </c>
      <c r="AN3702" t="s">
        <v>1764</v>
      </c>
      <c r="AO3702" t="s">
        <v>1765</v>
      </c>
      <c r="AP3702" t="s">
        <v>1766</v>
      </c>
      <c r="AQ3702" t="s">
        <v>669</v>
      </c>
      <c r="AR3702" t="s">
        <v>1763</v>
      </c>
    </row>
    <row r="3703" spans="1:45" x14ac:dyDescent="0.35">
      <c r="A3703" s="502" t="str">
        <f>"DeK240"&amp;AN3703&amp;RIGHT("------",6-LEN(AN3703))&amp;RIGHT($M3702,2)</f>
        <v>DeK240------14</v>
      </c>
      <c r="B3703" s="301" t="s">
        <v>5405</v>
      </c>
      <c r="C3703" s="301" t="str">
        <f t="shared" ref="C3703:C3710" si="1428">"Inbetriebnahme "&amp;$M$3702</f>
        <v>Inbetriebnahme 2014</v>
      </c>
      <c r="D3703" s="301" t="str">
        <f t="shared" ref="D3703:D3710" si="1429">IF(COUNTA(O3703:Q3703)=0,AH3703,AH3703&amp;", Bonusregel "&amp;AN3703)</f>
        <v>0-0,5 MW</v>
      </c>
      <c r="E3703" s="301"/>
      <c r="F3703" s="377">
        <f t="shared" ref="F3703:F3710" si="1430">M3703</f>
        <v>8.34</v>
      </c>
      <c r="G3703" s="429">
        <v>8.34</v>
      </c>
      <c r="H3703" s="303">
        <f t="shared" si="1408"/>
        <v>6.67</v>
      </c>
      <c r="I3703" s="572"/>
      <c r="J3703" s="549" t="s">
        <v>5804</v>
      </c>
      <c r="K3703" s="11"/>
      <c r="L3703" s="55" t="str">
        <f t="shared" ref="L3703:L3710" si="1431">IF(F3703=M3703,"",FALSE)</f>
        <v/>
      </c>
      <c r="M3703" s="332">
        <f>ROUND(N3703,2)+SUMIF(O3703:Q3703,"x",$O$3687:$Q$3687)</f>
        <v>8.34</v>
      </c>
      <c r="N3703" s="29">
        <f t="shared" ref="N3703:N3710" si="1432">N3694*(1-$R$3702)</f>
        <v>8.3439350000000001</v>
      </c>
      <c r="O3703" s="46"/>
      <c r="P3703" s="22"/>
      <c r="Q3703" s="47"/>
      <c r="AH3703" s="22" t="s">
        <v>5406</v>
      </c>
      <c r="AK3703" t="str">
        <f t="shared" ref="AK3703:AM3710" si="1433">IF(O3703="x",V$3101,"")</f>
        <v/>
      </c>
      <c r="AL3703" t="str">
        <f t="shared" si="1433"/>
        <v/>
      </c>
      <c r="AM3703" t="str">
        <f t="shared" si="1433"/>
        <v/>
      </c>
      <c r="AN3703" t="str">
        <f t="shared" ref="AN3703:AN3710" si="1434">AK3703&amp;AL3703&amp;AM3703</f>
        <v/>
      </c>
      <c r="AO3703" s="203" t="str">
        <f>"DeK240"&amp;AN3703&amp;RIGHT("------",6-LEN(AN3703))&amp;RIGHT($M$3702,2)</f>
        <v>DeK240------14</v>
      </c>
      <c r="AP3703">
        <f t="shared" ref="AP3703:AP3710" si="1435">LEN(AO3703)</f>
        <v>14</v>
      </c>
      <c r="AQ3703" t="str">
        <f t="shared" ref="AQ3703:AQ3710" si="1436">IF(COUNTA(O3703:Q3703)=0,AH3703,AH3703&amp;", Bonusregel "&amp;AN3703)</f>
        <v>0-0,5 MW</v>
      </c>
      <c r="AR3703" t="str">
        <f>IF(COUNTA(#REF!)&gt;1,"Fehler ESVK",IF(COUNTA(O3703:Q3703)&gt;1,"Fehler GAB",IF(AP3703&lt;&gt;14,"Fehler Kategorie","")))</f>
        <v/>
      </c>
      <c r="AS3703" t="str">
        <f>SUBSTITUTE(AN3703,", ","")</f>
        <v/>
      </c>
    </row>
    <row r="3704" spans="1:45" x14ac:dyDescent="0.35">
      <c r="A3704" s="502" t="str">
        <f>"DeK240"&amp;AN3704&amp;RIGHT("------",6-LEN(AN3704))&amp;RIGHT($M3702,2)</f>
        <v>DeK240G1----14</v>
      </c>
      <c r="B3704" s="301" t="s">
        <v>5405</v>
      </c>
      <c r="C3704" s="301" t="str">
        <f t="shared" si="1428"/>
        <v>Inbetriebnahme 2014</v>
      </c>
      <c r="D3704" s="301" t="str">
        <f t="shared" si="1429"/>
        <v>0-0,5 MW, Bonusregel G1</v>
      </c>
      <c r="E3704" s="301"/>
      <c r="F3704" s="377">
        <f t="shared" si="1430"/>
        <v>11.25</v>
      </c>
      <c r="G3704" s="429">
        <v>11.25</v>
      </c>
      <c r="H3704" s="303">
        <f t="shared" si="1408"/>
        <v>9</v>
      </c>
      <c r="I3704" s="572"/>
      <c r="J3704" s="549" t="s">
        <v>5804</v>
      </c>
      <c r="K3704" s="11"/>
      <c r="L3704" s="55" t="str">
        <f t="shared" si="1431"/>
        <v/>
      </c>
      <c r="M3704" s="315">
        <f t="shared" ref="M3704:M3710" si="1437">ROUND(N3704,2)+SUMIF(O3704:Q3704,"x",$O$3702:$Q$3702)</f>
        <v>11.25</v>
      </c>
      <c r="N3704" s="29">
        <f t="shared" si="1432"/>
        <v>8.3439350000000001</v>
      </c>
      <c r="O3704" s="31" t="s">
        <v>1017</v>
      </c>
      <c r="P3704" s="22"/>
      <c r="Q3704" s="38"/>
      <c r="AH3704" s="22" t="s">
        <v>5406</v>
      </c>
      <c r="AK3704" t="str">
        <f t="shared" si="1433"/>
        <v>G1</v>
      </c>
      <c r="AL3704" t="str">
        <f t="shared" si="1433"/>
        <v/>
      </c>
      <c r="AM3704" t="str">
        <f t="shared" si="1433"/>
        <v/>
      </c>
      <c r="AN3704" t="str">
        <f t="shared" si="1434"/>
        <v>G1</v>
      </c>
      <c r="AO3704" s="203" t="str">
        <f>"DeK240"&amp;AN3704&amp;RIGHT("------",6-LEN(AN3704))&amp;RIGHT($M$3702,2)</f>
        <v>DeK240G1----14</v>
      </c>
      <c r="AP3704">
        <f t="shared" si="1435"/>
        <v>14</v>
      </c>
      <c r="AQ3704" t="str">
        <f t="shared" si="1436"/>
        <v>0-0,5 MW, Bonusregel G1</v>
      </c>
      <c r="AR3704" t="str">
        <f>IF(COUNTA(#REF!)&gt;1,"Fehler ESVK",IF(COUNTA(O3704:Q3704)&gt;1,"Fehler GAB",IF(AP3704&lt;&gt;14,"Fehler Kategorie","")))</f>
        <v/>
      </c>
    </row>
    <row r="3705" spans="1:45" x14ac:dyDescent="0.35">
      <c r="A3705" s="502" t="str">
        <f>"DeK240"&amp;AN3705&amp;RIGHT("------",6-LEN(AN3705))&amp;RIGHT($M3702,2)</f>
        <v>DeK240G2----14</v>
      </c>
      <c r="B3705" s="301" t="s">
        <v>5405</v>
      </c>
      <c r="C3705" s="301" t="str">
        <f t="shared" si="1428"/>
        <v>Inbetriebnahme 2014</v>
      </c>
      <c r="D3705" s="301" t="str">
        <f t="shared" si="1429"/>
        <v>0-0,5 MW, Bonusregel G2</v>
      </c>
      <c r="E3705" s="301"/>
      <c r="F3705" s="377">
        <f t="shared" si="1430"/>
        <v>10.28</v>
      </c>
      <c r="G3705" s="429">
        <v>10.28</v>
      </c>
      <c r="H3705" s="303">
        <f t="shared" si="1408"/>
        <v>8.2200000000000006</v>
      </c>
      <c r="I3705" s="572"/>
      <c r="J3705" s="549" t="s">
        <v>5804</v>
      </c>
      <c r="K3705" s="11"/>
      <c r="L3705" s="55" t="str">
        <f t="shared" si="1431"/>
        <v/>
      </c>
      <c r="M3705" s="315">
        <f t="shared" si="1437"/>
        <v>10.28</v>
      </c>
      <c r="N3705" s="29">
        <f t="shared" si="1432"/>
        <v>8.3439350000000001</v>
      </c>
      <c r="O3705" s="31"/>
      <c r="P3705" s="22" t="s">
        <v>1017</v>
      </c>
      <c r="Q3705" s="38"/>
      <c r="AH3705" s="22" t="s">
        <v>5406</v>
      </c>
      <c r="AK3705" t="str">
        <f t="shared" si="1433"/>
        <v/>
      </c>
      <c r="AL3705" t="str">
        <f t="shared" si="1433"/>
        <v>G2</v>
      </c>
      <c r="AM3705" t="str">
        <f t="shared" si="1433"/>
        <v/>
      </c>
      <c r="AN3705" t="str">
        <f t="shared" si="1434"/>
        <v>G2</v>
      </c>
      <c r="AO3705" s="203" t="str">
        <f>"DeK240"&amp;AN3705&amp;RIGHT("------",6-LEN(AN3705))&amp;RIGHT($M$3702,2)</f>
        <v>DeK240G2----14</v>
      </c>
      <c r="AP3705">
        <f t="shared" si="1435"/>
        <v>14</v>
      </c>
      <c r="AQ3705" t="str">
        <f t="shared" si="1436"/>
        <v>0-0,5 MW, Bonusregel G2</v>
      </c>
      <c r="AR3705" t="str">
        <f>IF(COUNTA(#REF!)&gt;1,"Fehler ESVK",IF(COUNTA(O3705:Q3705)&gt;1,"Fehler GAB",IF(AP3705&lt;&gt;14,"Fehler Kategorie","")))</f>
        <v/>
      </c>
    </row>
    <row r="3706" spans="1:45" x14ac:dyDescent="0.35">
      <c r="A3706" s="502" t="str">
        <f>"DeK240"&amp;AN3706&amp;RIGHT("------",6-LEN(AN3706))&amp;RIGHT($M3702,2)</f>
        <v>DeK240G3----14</v>
      </c>
      <c r="B3706" s="301" t="s">
        <v>5405</v>
      </c>
      <c r="C3706" s="301" t="str">
        <f t="shared" si="1428"/>
        <v>Inbetriebnahme 2014</v>
      </c>
      <c r="D3706" s="301" t="str">
        <f t="shared" si="1429"/>
        <v>0-0,5 MW, Bonusregel G3</v>
      </c>
      <c r="E3706" s="301"/>
      <c r="F3706" s="377">
        <f t="shared" si="1430"/>
        <v>9.31</v>
      </c>
      <c r="G3706" s="429">
        <v>9.31</v>
      </c>
      <c r="H3706" s="303">
        <f t="shared" si="1408"/>
        <v>7.45</v>
      </c>
      <c r="I3706" s="572"/>
      <c r="J3706" s="549" t="s">
        <v>5804</v>
      </c>
      <c r="K3706" s="11"/>
      <c r="L3706" s="55" t="str">
        <f t="shared" si="1431"/>
        <v/>
      </c>
      <c r="M3706" s="315">
        <f t="shared" si="1437"/>
        <v>9.31</v>
      </c>
      <c r="N3706" s="29">
        <f t="shared" si="1432"/>
        <v>8.3439350000000001</v>
      </c>
      <c r="O3706" s="31"/>
      <c r="P3706" s="22"/>
      <c r="Q3706" s="38" t="s">
        <v>1017</v>
      </c>
      <c r="AH3706" s="22" t="s">
        <v>5406</v>
      </c>
      <c r="AK3706" t="str">
        <f t="shared" si="1433"/>
        <v/>
      </c>
      <c r="AL3706" t="str">
        <f t="shared" si="1433"/>
        <v/>
      </c>
      <c r="AM3706" t="str">
        <f t="shared" si="1433"/>
        <v>G3</v>
      </c>
      <c r="AN3706" t="str">
        <f t="shared" si="1434"/>
        <v>G3</v>
      </c>
      <c r="AO3706" s="203" t="str">
        <f>"DeK240"&amp;AN3706&amp;RIGHT("------",6-LEN(AN3706))&amp;RIGHT($M$3702,2)</f>
        <v>DeK240G3----14</v>
      </c>
      <c r="AP3706">
        <f t="shared" si="1435"/>
        <v>14</v>
      </c>
      <c r="AQ3706" t="str">
        <f t="shared" si="1436"/>
        <v>0-0,5 MW, Bonusregel G3</v>
      </c>
      <c r="AR3706" t="str">
        <f>IF(COUNTA(#REF!)&gt;1,"Fehler ESVK",IF(COUNTA(O3706:Q3706)&gt;1,"Fehler GAB",IF(AP3706&lt;&gt;14,"Fehler Kategorie","")))</f>
        <v/>
      </c>
    </row>
    <row r="3707" spans="1:45" x14ac:dyDescent="0.35">
      <c r="A3707" s="502" t="str">
        <f>"DeK241"&amp;AN3707&amp;RIGHT("------",6-LEN(AN3707))&amp;RIGHT($M3702,2)</f>
        <v>DeK241------14</v>
      </c>
      <c r="B3707" s="301" t="s">
        <v>5405</v>
      </c>
      <c r="C3707" s="301" t="str">
        <f t="shared" si="1428"/>
        <v>Inbetriebnahme 2014</v>
      </c>
      <c r="D3707" s="301" t="str">
        <f t="shared" si="1429"/>
        <v>0,5-5 MW</v>
      </c>
      <c r="E3707" s="301"/>
      <c r="F3707" s="377">
        <f t="shared" si="1430"/>
        <v>5.71</v>
      </c>
      <c r="G3707" s="429">
        <v>5.71</v>
      </c>
      <c r="H3707" s="303">
        <f t="shared" si="1408"/>
        <v>4.57</v>
      </c>
      <c r="I3707" s="572"/>
      <c r="J3707" s="549" t="s">
        <v>5804</v>
      </c>
      <c r="K3707" s="11"/>
      <c r="L3707" s="55" t="str">
        <f t="shared" si="1431"/>
        <v/>
      </c>
      <c r="M3707" s="315">
        <f t="shared" si="1437"/>
        <v>5.71</v>
      </c>
      <c r="N3707" s="29">
        <f t="shared" si="1432"/>
        <v>5.7146252499999992</v>
      </c>
      <c r="O3707" s="31"/>
      <c r="P3707" s="22"/>
      <c r="Q3707" s="38"/>
      <c r="AH3707" s="22" t="s">
        <v>5407</v>
      </c>
      <c r="AK3707" t="str">
        <f t="shared" si="1433"/>
        <v/>
      </c>
      <c r="AL3707" t="str">
        <f t="shared" si="1433"/>
        <v/>
      </c>
      <c r="AM3707" t="str">
        <f t="shared" si="1433"/>
        <v/>
      </c>
      <c r="AN3707" t="str">
        <f t="shared" si="1434"/>
        <v/>
      </c>
      <c r="AO3707" s="203" t="str">
        <f>"DeK241"&amp;AN3707&amp;RIGHT("------",6-LEN(AN3707))&amp;RIGHT($M$3702,2)</f>
        <v>DeK241------14</v>
      </c>
      <c r="AP3707">
        <f t="shared" si="1435"/>
        <v>14</v>
      </c>
      <c r="AQ3707" t="str">
        <f t="shared" si="1436"/>
        <v>0,5-5 MW</v>
      </c>
      <c r="AR3707" t="str">
        <f>IF(COUNTA(#REF!)&gt;1,"Fehler ESVK",IF(COUNTA(O3707:Q3707)&gt;1,"Fehler GAB",IF(AP3707&lt;&gt;14,"Fehler Kategorie","")))</f>
        <v/>
      </c>
    </row>
    <row r="3708" spans="1:45" x14ac:dyDescent="0.35">
      <c r="A3708" s="502" t="str">
        <f>"DeK241"&amp;AN3708&amp;RIGHT("------",6-LEN(AN3708))&amp;RIGHT($M3702,2)</f>
        <v>DeK241G1----14</v>
      </c>
      <c r="B3708" s="301" t="s">
        <v>5405</v>
      </c>
      <c r="C3708" s="301" t="str">
        <f t="shared" si="1428"/>
        <v>Inbetriebnahme 2014</v>
      </c>
      <c r="D3708" s="301" t="str">
        <f t="shared" si="1429"/>
        <v>0,5-5 MW, Bonusregel G1</v>
      </c>
      <c r="E3708" s="301"/>
      <c r="F3708" s="377">
        <f t="shared" si="1430"/>
        <v>8.620000000000001</v>
      </c>
      <c r="G3708" s="429">
        <v>8.620000000000001</v>
      </c>
      <c r="H3708" s="303">
        <f t="shared" si="1408"/>
        <v>6.9</v>
      </c>
      <c r="I3708" s="572"/>
      <c r="J3708" s="549" t="s">
        <v>5804</v>
      </c>
      <c r="K3708" s="11"/>
      <c r="L3708" s="55" t="str">
        <f t="shared" si="1431"/>
        <v/>
      </c>
      <c r="M3708" s="315">
        <f t="shared" si="1437"/>
        <v>8.620000000000001</v>
      </c>
      <c r="N3708" s="29">
        <f t="shared" si="1432"/>
        <v>5.7146252499999992</v>
      </c>
      <c r="O3708" s="31" t="s">
        <v>1017</v>
      </c>
      <c r="P3708" s="22"/>
      <c r="Q3708" s="38"/>
      <c r="AH3708" s="22" t="s">
        <v>5407</v>
      </c>
      <c r="AK3708" t="str">
        <f t="shared" si="1433"/>
        <v>G1</v>
      </c>
      <c r="AL3708" t="str">
        <f t="shared" si="1433"/>
        <v/>
      </c>
      <c r="AM3708" t="str">
        <f t="shared" si="1433"/>
        <v/>
      </c>
      <c r="AN3708" t="str">
        <f t="shared" si="1434"/>
        <v>G1</v>
      </c>
      <c r="AO3708" s="203" t="str">
        <f>"DeK240"&amp;AN3708&amp;RIGHT("------",6-LEN(AN3708))&amp;RIGHT($M$3702,2)</f>
        <v>DeK240G1----14</v>
      </c>
      <c r="AP3708">
        <f t="shared" si="1435"/>
        <v>14</v>
      </c>
      <c r="AQ3708" t="str">
        <f t="shared" si="1436"/>
        <v>0,5-5 MW, Bonusregel G1</v>
      </c>
      <c r="AR3708" t="str">
        <f>IF(COUNTA(#REF!)&gt;1,"Fehler ESVK",IF(COUNTA(O3708:Q3708)&gt;1,"Fehler GAB",IF(AP3708&lt;&gt;14,"Fehler Kategorie","")))</f>
        <v/>
      </c>
    </row>
    <row r="3709" spans="1:45" x14ac:dyDescent="0.35">
      <c r="A3709" s="502" t="str">
        <f>"DeK241"&amp;AN3709&amp;RIGHT("------",6-LEN(AN3709))&amp;RIGHT($M3702,2)</f>
        <v>DeK241G2----14</v>
      </c>
      <c r="B3709" s="301" t="s">
        <v>5405</v>
      </c>
      <c r="C3709" s="301" t="str">
        <f t="shared" si="1428"/>
        <v>Inbetriebnahme 2014</v>
      </c>
      <c r="D3709" s="301" t="str">
        <f t="shared" si="1429"/>
        <v>0,5-5 MW, Bonusregel G2</v>
      </c>
      <c r="E3709" s="301"/>
      <c r="F3709" s="377">
        <f t="shared" si="1430"/>
        <v>7.65</v>
      </c>
      <c r="G3709" s="429">
        <v>7.65</v>
      </c>
      <c r="H3709" s="303">
        <f t="shared" si="1408"/>
        <v>6.12</v>
      </c>
      <c r="I3709" s="572"/>
      <c r="J3709" s="549" t="s">
        <v>5804</v>
      </c>
      <c r="K3709" s="11"/>
      <c r="L3709" s="55" t="str">
        <f t="shared" si="1431"/>
        <v/>
      </c>
      <c r="M3709" s="315">
        <f t="shared" si="1437"/>
        <v>7.65</v>
      </c>
      <c r="N3709" s="29">
        <f t="shared" si="1432"/>
        <v>5.7146252499999992</v>
      </c>
      <c r="O3709" s="31"/>
      <c r="P3709" s="22" t="s">
        <v>1017</v>
      </c>
      <c r="Q3709" s="38"/>
      <c r="AH3709" s="22" t="s">
        <v>5407</v>
      </c>
      <c r="AK3709" t="str">
        <f t="shared" si="1433"/>
        <v/>
      </c>
      <c r="AL3709" t="str">
        <f t="shared" si="1433"/>
        <v>G2</v>
      </c>
      <c r="AM3709" t="str">
        <f t="shared" si="1433"/>
        <v/>
      </c>
      <c r="AN3709" t="str">
        <f t="shared" si="1434"/>
        <v>G2</v>
      </c>
      <c r="AO3709" s="203" t="str">
        <f>"DeK240"&amp;AN3709&amp;RIGHT("------",6-LEN(AN3709))&amp;RIGHT($M$3702,2)</f>
        <v>DeK240G2----14</v>
      </c>
      <c r="AP3709">
        <f t="shared" si="1435"/>
        <v>14</v>
      </c>
      <c r="AQ3709" t="str">
        <f t="shared" si="1436"/>
        <v>0,5-5 MW, Bonusregel G2</v>
      </c>
      <c r="AR3709" t="str">
        <f>IF(COUNTA(#REF!)&gt;1,"Fehler ESVK",IF(COUNTA(O3709:Q3709)&gt;1,"Fehler GAB",IF(AP3709&lt;&gt;14,"Fehler Kategorie","")))</f>
        <v/>
      </c>
    </row>
    <row r="3710" spans="1:45" x14ac:dyDescent="0.35">
      <c r="A3710" s="502" t="str">
        <f>"DeK241"&amp;AN3710&amp;RIGHT("------",6-LEN(AN3710))&amp;RIGHT($M3702,2)</f>
        <v>DeK241G3----14</v>
      </c>
      <c r="B3710" s="301" t="s">
        <v>5405</v>
      </c>
      <c r="C3710" s="301" t="str">
        <f t="shared" si="1428"/>
        <v>Inbetriebnahme 2014</v>
      </c>
      <c r="D3710" s="301" t="str">
        <f t="shared" si="1429"/>
        <v>0,5-5 MW, Bonusregel G3</v>
      </c>
      <c r="E3710" s="301"/>
      <c r="F3710" s="377">
        <f t="shared" si="1430"/>
        <v>6.68</v>
      </c>
      <c r="G3710" s="429">
        <v>6.68</v>
      </c>
      <c r="H3710" s="303">
        <f t="shared" si="1408"/>
        <v>5.34</v>
      </c>
      <c r="I3710" s="572"/>
      <c r="J3710" s="549" t="s">
        <v>5804</v>
      </c>
      <c r="K3710" s="11"/>
      <c r="L3710" s="55" t="str">
        <f t="shared" si="1431"/>
        <v/>
      </c>
      <c r="M3710" s="333">
        <f t="shared" si="1437"/>
        <v>6.68</v>
      </c>
      <c r="N3710" s="28">
        <f t="shared" si="1432"/>
        <v>5.7146252499999992</v>
      </c>
      <c r="O3710" s="335"/>
      <c r="P3710" s="69"/>
      <c r="Q3710" s="90" t="s">
        <v>1017</v>
      </c>
      <c r="AH3710" s="22" t="s">
        <v>5407</v>
      </c>
      <c r="AK3710" t="str">
        <f t="shared" si="1433"/>
        <v/>
      </c>
      <c r="AL3710" t="str">
        <f t="shared" si="1433"/>
        <v/>
      </c>
      <c r="AM3710" t="str">
        <f t="shared" si="1433"/>
        <v>G3</v>
      </c>
      <c r="AN3710" t="str">
        <f t="shared" si="1434"/>
        <v>G3</v>
      </c>
      <c r="AO3710" s="203" t="str">
        <f>"DeK240"&amp;AN3710&amp;RIGHT("------",6-LEN(AN3710))&amp;RIGHT($M$3702,2)</f>
        <v>DeK240G3----14</v>
      </c>
      <c r="AP3710">
        <f t="shared" si="1435"/>
        <v>14</v>
      </c>
      <c r="AQ3710" t="str">
        <f t="shared" si="1436"/>
        <v>0,5-5 MW, Bonusregel G3</v>
      </c>
      <c r="AR3710" t="str">
        <f>IF(COUNTA(#REF!)&gt;1,"Fehler ESVK",IF(COUNTA(O3710:Q3710)&gt;1,"Fehler GAB",IF(AP3710&lt;&gt;14,"Fehler Kategorie","")))</f>
        <v/>
      </c>
    </row>
    <row r="3711" spans="1:45" x14ac:dyDescent="0.35">
      <c r="A3711" s="496"/>
      <c r="B3711" s="1"/>
      <c r="C3711" s="1"/>
      <c r="D3711" s="1"/>
      <c r="E3711" s="1"/>
      <c r="F3711" s="375"/>
      <c r="G3711" s="76"/>
      <c r="H3711" s="401" t="str">
        <f t="shared" si="1408"/>
        <v/>
      </c>
      <c r="I3711" s="578"/>
      <c r="J3711" s="549" t="s">
        <v>4179</v>
      </c>
      <c r="K3711" s="11"/>
      <c r="L3711" s="55"/>
      <c r="M3711" s="37"/>
      <c r="N3711" s="29"/>
      <c r="O3711" s="202"/>
      <c r="P3711" s="22"/>
      <c r="AH3711" s="202"/>
      <c r="AO3711" s="203"/>
    </row>
    <row r="3712" spans="1:45" s="207" customFormat="1" ht="20.25" customHeight="1" x14ac:dyDescent="0.35">
      <c r="A3712" s="504"/>
      <c r="B3712" s="204"/>
      <c r="C3712" s="204"/>
      <c r="D3712" s="204"/>
      <c r="E3712" s="204"/>
      <c r="F3712" s="381"/>
      <c r="G3712" s="205"/>
      <c r="H3712" s="205" t="str">
        <f t="shared" si="1408"/>
        <v/>
      </c>
      <c r="I3712" s="583"/>
      <c r="J3712" s="549" t="s">
        <v>4179</v>
      </c>
      <c r="K3712" s="206"/>
      <c r="M3712" s="208" t="s">
        <v>58</v>
      </c>
      <c r="N3712" s="209"/>
      <c r="O3712" s="209"/>
    </row>
    <row r="3713" spans="1:18" x14ac:dyDescent="0.35">
      <c r="A3713" s="496"/>
      <c r="B3713" s="1"/>
      <c r="C3713" s="1"/>
      <c r="D3713" s="1"/>
      <c r="E3713" s="1"/>
      <c r="F3713" s="362"/>
      <c r="G3713" s="10"/>
      <c r="H3713" s="10" t="str">
        <f t="shared" si="1408"/>
        <v/>
      </c>
      <c r="I3713" s="566"/>
      <c r="J3713" s="549" t="s">
        <v>4179</v>
      </c>
      <c r="N3713" s="29" t="s">
        <v>5489</v>
      </c>
      <c r="O3713" t="s">
        <v>5406</v>
      </c>
      <c r="P3713" t="s">
        <v>5407</v>
      </c>
    </row>
    <row r="3714" spans="1:18" x14ac:dyDescent="0.35">
      <c r="A3714" s="495" t="s">
        <v>59</v>
      </c>
      <c r="B3714" s="356" t="s">
        <v>5405</v>
      </c>
      <c r="C3714" s="356" t="s">
        <v>39</v>
      </c>
      <c r="D3714" s="356" t="s">
        <v>5406</v>
      </c>
      <c r="E3714" s="356"/>
      <c r="F3714" s="369">
        <f>ROUND(HLOOKUP(D3714,O3713:P3715,3,FALSE),2)</f>
        <v>8.2200000000000006</v>
      </c>
      <c r="G3714" s="357">
        <f>ROUND(HLOOKUP(D3714,O3713:P3715,2,FALSE),2)</f>
        <v>8.42</v>
      </c>
      <c r="H3714" s="357">
        <f t="shared" si="1408"/>
        <v>6.74</v>
      </c>
      <c r="I3714" s="573"/>
      <c r="J3714" s="549" t="s">
        <v>5804</v>
      </c>
      <c r="M3714" s="101">
        <v>2014</v>
      </c>
      <c r="N3714" s="322" t="s">
        <v>90</v>
      </c>
      <c r="O3714" s="261">
        <v>8.42</v>
      </c>
      <c r="P3714" s="261">
        <v>5.83</v>
      </c>
      <c r="R3714" t="s">
        <v>49</v>
      </c>
    </row>
    <row r="3715" spans="1:18" x14ac:dyDescent="0.35">
      <c r="A3715" s="495" t="s">
        <v>60</v>
      </c>
      <c r="B3715" s="356" t="s">
        <v>5405</v>
      </c>
      <c r="C3715" s="356" t="s">
        <v>39</v>
      </c>
      <c r="D3715" s="356" t="s">
        <v>5407</v>
      </c>
      <c r="E3715" s="356"/>
      <c r="F3715" s="369">
        <f>ROUND(HLOOKUP(D3715,O3713:P3715,3,FALSE),2)</f>
        <v>5.63</v>
      </c>
      <c r="G3715" s="357">
        <f>ROUND(HLOOKUP(D3715,O3713:P3715,2,FALSE),2)</f>
        <v>5.83</v>
      </c>
      <c r="H3715" s="357">
        <f t="shared" si="1408"/>
        <v>4.66</v>
      </c>
      <c r="I3715" s="573"/>
      <c r="J3715" s="549" t="s">
        <v>5804</v>
      </c>
      <c r="N3715" s="322" t="s">
        <v>85</v>
      </c>
      <c r="O3715" s="261">
        <f>O3714-0.2</f>
        <v>8.2200000000000006</v>
      </c>
      <c r="P3715" s="261">
        <f>P3714-0.2</f>
        <v>5.63</v>
      </c>
      <c r="R3715" t="s">
        <v>50</v>
      </c>
    </row>
    <row r="3716" spans="1:18" x14ac:dyDescent="0.35">
      <c r="A3716" s="496"/>
      <c r="B3716" s="1"/>
      <c r="C3716" s="1"/>
      <c r="D3716" s="1"/>
      <c r="E3716" s="1"/>
      <c r="F3716" s="362"/>
      <c r="G3716" s="10"/>
      <c r="H3716" s="10" t="str">
        <f t="shared" si="1408"/>
        <v/>
      </c>
      <c r="I3716" s="566"/>
      <c r="J3716" s="549" t="s">
        <v>4179</v>
      </c>
      <c r="N3716" s="29" t="s">
        <v>5489</v>
      </c>
      <c r="O3716" t="s">
        <v>5406</v>
      </c>
      <c r="P3716" t="s">
        <v>5407</v>
      </c>
    </row>
    <row r="3717" spans="1:18" x14ac:dyDescent="0.35">
      <c r="A3717" s="495" t="s">
        <v>393</v>
      </c>
      <c r="B3717" s="356" t="s">
        <v>5405</v>
      </c>
      <c r="C3717" s="356" t="s">
        <v>380</v>
      </c>
      <c r="D3717" s="356" t="s">
        <v>5406</v>
      </c>
      <c r="E3717" s="356"/>
      <c r="F3717" s="369">
        <f>ROUND(HLOOKUP(D3717,O3716:P3718,3,FALSE),2)</f>
        <v>8.2200000000000006</v>
      </c>
      <c r="G3717" s="357">
        <f>ROUND(HLOOKUP(D3717,O3716:P3718,2,FALSE),2)</f>
        <v>8.42</v>
      </c>
      <c r="H3717" s="357">
        <f t="shared" si="1408"/>
        <v>6.74</v>
      </c>
      <c r="I3717" s="573"/>
      <c r="J3717" s="549" t="s">
        <v>5804</v>
      </c>
      <c r="M3717" s="101">
        <v>2015</v>
      </c>
      <c r="N3717" s="322" t="s">
        <v>90</v>
      </c>
      <c r="O3717" s="261">
        <v>8.42</v>
      </c>
      <c r="P3717" s="261">
        <v>5.83</v>
      </c>
      <c r="R3717" t="s">
        <v>49</v>
      </c>
    </row>
    <row r="3718" spans="1:18" x14ac:dyDescent="0.35">
      <c r="A3718" s="495" t="s">
        <v>394</v>
      </c>
      <c r="B3718" s="356" t="s">
        <v>5405</v>
      </c>
      <c r="C3718" s="356" t="s">
        <v>380</v>
      </c>
      <c r="D3718" s="356" t="s">
        <v>5407</v>
      </c>
      <c r="E3718" s="356"/>
      <c r="F3718" s="369">
        <f>ROUND(HLOOKUP(D3718,O3716:P3718,3,FALSE),2)</f>
        <v>5.63</v>
      </c>
      <c r="G3718" s="357">
        <f>ROUND(HLOOKUP(D3718,O3716:P3718,2,FALSE),2)</f>
        <v>5.83</v>
      </c>
      <c r="H3718" s="357">
        <f t="shared" si="1408"/>
        <v>4.66</v>
      </c>
      <c r="I3718" s="573"/>
      <c r="J3718" s="549" t="s">
        <v>5804</v>
      </c>
      <c r="N3718" s="322" t="s">
        <v>85</v>
      </c>
      <c r="O3718" s="261">
        <f>O3717-0.2</f>
        <v>8.2200000000000006</v>
      </c>
      <c r="P3718" s="261">
        <f>P3717-0.2</f>
        <v>5.63</v>
      </c>
      <c r="R3718" t="s">
        <v>50</v>
      </c>
    </row>
    <row r="3719" spans="1:18" x14ac:dyDescent="0.35">
      <c r="A3719" s="496"/>
      <c r="B3719" s="1"/>
      <c r="C3719" s="1"/>
      <c r="D3719" s="1"/>
      <c r="E3719" s="1"/>
      <c r="F3719" s="362"/>
      <c r="G3719" s="10"/>
      <c r="H3719" s="10" t="str">
        <f t="shared" si="1408"/>
        <v/>
      </c>
      <c r="I3719" s="566"/>
      <c r="J3719" s="549" t="s">
        <v>4179</v>
      </c>
      <c r="N3719" s="29" t="s">
        <v>5489</v>
      </c>
      <c r="O3719" t="s">
        <v>5406</v>
      </c>
      <c r="P3719" t="s">
        <v>5407</v>
      </c>
    </row>
    <row r="3720" spans="1:18" x14ac:dyDescent="0.35">
      <c r="A3720" s="495" t="s">
        <v>5668</v>
      </c>
      <c r="B3720" s="356" t="s">
        <v>5405</v>
      </c>
      <c r="C3720" s="356" t="s">
        <v>5647</v>
      </c>
      <c r="D3720" s="356" t="s">
        <v>5406</v>
      </c>
      <c r="E3720" s="356"/>
      <c r="F3720" s="369">
        <f>ROUND(HLOOKUP(D3720,O3719:P3721,3,FALSE),2)</f>
        <v>8.1</v>
      </c>
      <c r="G3720" s="357">
        <f>ROUND(HLOOKUP(D3720,O3719:P3721,2,FALSE),2)</f>
        <v>8.2899999999999991</v>
      </c>
      <c r="H3720" s="357">
        <f t="shared" si="1408"/>
        <v>6.63</v>
      </c>
      <c r="I3720" s="573"/>
      <c r="J3720" s="549" t="s">
        <v>5804</v>
      </c>
      <c r="M3720" s="101">
        <v>2016</v>
      </c>
      <c r="N3720" s="322">
        <v>1.4999999999999999E-2</v>
      </c>
      <c r="O3720" s="261">
        <f>IF($N3720&lt;&gt;"",O3717*(100%-$N3720),"")</f>
        <v>8.2936999999999994</v>
      </c>
      <c r="P3720" s="261">
        <f>IF($N3720&lt;&gt;"",P3717*(100%-$N3720),"")</f>
        <v>5.7425499999999996</v>
      </c>
      <c r="R3720" t="s">
        <v>49</v>
      </c>
    </row>
    <row r="3721" spans="1:18" x14ac:dyDescent="0.35">
      <c r="A3721" s="495" t="s">
        <v>5669</v>
      </c>
      <c r="B3721" s="356" t="s">
        <v>5405</v>
      </c>
      <c r="C3721" s="356" t="s">
        <v>5647</v>
      </c>
      <c r="D3721" s="356" t="s">
        <v>5407</v>
      </c>
      <c r="E3721" s="356"/>
      <c r="F3721" s="369">
        <f>ROUND(HLOOKUP(D3721,O3719:P3721,3,FALSE),2)</f>
        <v>5.55</v>
      </c>
      <c r="G3721" s="357">
        <f>ROUND(HLOOKUP(D3721,O3719:P3721,2,FALSE),2)</f>
        <v>5.74</v>
      </c>
      <c r="H3721" s="357">
        <f t="shared" si="1408"/>
        <v>4.59</v>
      </c>
      <c r="I3721" s="573"/>
      <c r="J3721" s="549" t="s">
        <v>5804</v>
      </c>
      <c r="N3721" s="322"/>
      <c r="O3721" s="261">
        <f>IF($N3720&lt;&gt;"",O3718*(100%-$N3720),"")</f>
        <v>8.0967000000000002</v>
      </c>
      <c r="P3721" s="261">
        <f>IF($N3720&lt;&gt;"",P3718*(100%-$N3720),"")</f>
        <v>5.5455499999999995</v>
      </c>
      <c r="R3721" t="s">
        <v>50</v>
      </c>
    </row>
    <row r="3722" spans="1:18" x14ac:dyDescent="0.35">
      <c r="A3722" s="496"/>
      <c r="B3722" s="1"/>
      <c r="C3722" s="1"/>
      <c r="D3722" s="1"/>
      <c r="E3722" s="1"/>
      <c r="F3722" s="362"/>
      <c r="G3722" s="10"/>
      <c r="H3722" s="10" t="str">
        <f t="shared" si="1408"/>
        <v/>
      </c>
      <c r="I3722" s="566"/>
      <c r="J3722" s="549" t="s">
        <v>4179</v>
      </c>
      <c r="N3722" s="29" t="s">
        <v>5489</v>
      </c>
      <c r="O3722" t="s">
        <v>5406</v>
      </c>
      <c r="P3722" t="s">
        <v>5407</v>
      </c>
    </row>
    <row r="3723" spans="1:18" x14ac:dyDescent="0.35">
      <c r="A3723" s="527" t="s">
        <v>5886</v>
      </c>
      <c r="B3723" s="526" t="s">
        <v>5405</v>
      </c>
      <c r="C3723" s="526" t="s">
        <v>5866</v>
      </c>
      <c r="D3723" s="526" t="s">
        <v>5406</v>
      </c>
      <c r="E3723" s="526"/>
      <c r="F3723" s="538">
        <f>ROUND(HLOOKUP(D3723,O3722:P3724,3,FALSE),2)</f>
        <v>7.97</v>
      </c>
      <c r="G3723" s="537">
        <f>ROUND(HLOOKUP(D3723,O3722:P3724,2,FALSE),2)</f>
        <v>8.17</v>
      </c>
      <c r="H3723" s="537">
        <f t="shared" si="1408"/>
        <v>6.54</v>
      </c>
      <c r="I3723" s="574"/>
      <c r="J3723" s="549">
        <v>42705</v>
      </c>
      <c r="M3723" s="101">
        <v>2017</v>
      </c>
      <c r="N3723" s="322" t="s">
        <v>5885</v>
      </c>
      <c r="O3723" s="261">
        <v>8.17</v>
      </c>
      <c r="P3723" s="261">
        <v>5.66</v>
      </c>
      <c r="R3723" t="s">
        <v>49</v>
      </c>
    </row>
    <row r="3724" spans="1:18" x14ac:dyDescent="0.35">
      <c r="A3724" s="527" t="s">
        <v>5887</v>
      </c>
      <c r="B3724" s="526" t="s">
        <v>5405</v>
      </c>
      <c r="C3724" s="526" t="s">
        <v>5866</v>
      </c>
      <c r="D3724" s="526" t="s">
        <v>5407</v>
      </c>
      <c r="E3724" s="526"/>
      <c r="F3724" s="538">
        <f>ROUND(HLOOKUP(D3724,O3722:P3724,3,FALSE),2)</f>
        <v>5.46</v>
      </c>
      <c r="G3724" s="537">
        <f>ROUND(HLOOKUP(D3724,O3722:P3724,2,FALSE),2)</f>
        <v>5.66</v>
      </c>
      <c r="H3724" s="537">
        <f t="shared" si="1408"/>
        <v>4.53</v>
      </c>
      <c r="I3724" s="574"/>
      <c r="J3724" s="549">
        <v>42705</v>
      </c>
      <c r="N3724" s="322" t="s">
        <v>5881</v>
      </c>
      <c r="O3724" s="261">
        <f>O3723-0.2</f>
        <v>7.97</v>
      </c>
      <c r="P3724" s="261">
        <f>P3723-0.2</f>
        <v>5.46</v>
      </c>
      <c r="R3724" t="s">
        <v>50</v>
      </c>
    </row>
    <row r="3725" spans="1:18" x14ac:dyDescent="0.35">
      <c r="A3725" s="496"/>
      <c r="B3725" s="1"/>
      <c r="C3725" s="1"/>
      <c r="D3725" s="1"/>
      <c r="E3725" s="1"/>
      <c r="F3725" s="362"/>
      <c r="G3725" s="10"/>
      <c r="H3725" s="10" t="str">
        <f t="shared" si="1408"/>
        <v/>
      </c>
      <c r="I3725" s="566"/>
      <c r="J3725" s="549" t="s">
        <v>4179</v>
      </c>
      <c r="N3725" s="29" t="s">
        <v>5489</v>
      </c>
      <c r="O3725" t="s">
        <v>5406</v>
      </c>
      <c r="P3725" t="s">
        <v>5407</v>
      </c>
    </row>
    <row r="3726" spans="1:18" x14ac:dyDescent="0.35">
      <c r="A3726" s="527" t="s">
        <v>6219</v>
      </c>
      <c r="B3726" s="526" t="s">
        <v>5405</v>
      </c>
      <c r="C3726" s="526" t="s">
        <v>6186</v>
      </c>
      <c r="D3726" s="526" t="s">
        <v>5406</v>
      </c>
      <c r="E3726" s="526"/>
      <c r="F3726" s="538">
        <f>ROUND(HLOOKUP(D3726,O3725:P3727,3,FALSE),2)</f>
        <v>7.85</v>
      </c>
      <c r="G3726" s="537">
        <f>ROUND(HLOOKUP(D3726,O3725:P3727,2,FALSE),2)</f>
        <v>8.0500000000000007</v>
      </c>
      <c r="H3726" s="537">
        <f t="shared" si="1408"/>
        <v>6.44</v>
      </c>
      <c r="I3726" s="574"/>
      <c r="J3726" s="549">
        <v>43077</v>
      </c>
      <c r="M3726" s="101">
        <v>2018</v>
      </c>
      <c r="N3726" s="322">
        <v>1.4999999999999999E-2</v>
      </c>
      <c r="O3726" s="261">
        <f>IF($N3726&lt;&gt;"",O3723*(100%-$N3726),"")</f>
        <v>8.0474499999999995</v>
      </c>
      <c r="P3726" s="261">
        <f>IF($N3726&lt;&gt;"",P3723*(100%-$N3726),"")</f>
        <v>5.5750999999999999</v>
      </c>
      <c r="R3726" t="s">
        <v>49</v>
      </c>
    </row>
    <row r="3727" spans="1:18" x14ac:dyDescent="0.35">
      <c r="A3727" s="527" t="s">
        <v>6220</v>
      </c>
      <c r="B3727" s="526" t="s">
        <v>5405</v>
      </c>
      <c r="C3727" s="526" t="s">
        <v>6186</v>
      </c>
      <c r="D3727" s="526" t="s">
        <v>5407</v>
      </c>
      <c r="E3727" s="526"/>
      <c r="F3727" s="538">
        <f>ROUND(HLOOKUP(D3727,O3725:P3727,3,FALSE),2)</f>
        <v>5.38</v>
      </c>
      <c r="G3727" s="537">
        <f>ROUND(HLOOKUP(D3727,O3725:P3727,2,FALSE),2)</f>
        <v>5.58</v>
      </c>
      <c r="H3727" s="537">
        <f t="shared" si="1408"/>
        <v>4.46</v>
      </c>
      <c r="I3727" s="574"/>
      <c r="J3727" s="549">
        <v>43077</v>
      </c>
      <c r="N3727" s="322"/>
      <c r="O3727" s="261">
        <f>O3726-0.2</f>
        <v>7.8474499999999994</v>
      </c>
      <c r="P3727" s="261">
        <f>P3726-0.2</f>
        <v>5.3750999999999998</v>
      </c>
      <c r="R3727" t="s">
        <v>50</v>
      </c>
    </row>
    <row r="3728" spans="1:18" x14ac:dyDescent="0.35">
      <c r="A3728" s="496"/>
      <c r="B3728" s="1"/>
      <c r="C3728" s="1"/>
      <c r="D3728" s="1"/>
      <c r="E3728" s="1"/>
      <c r="F3728" s="362"/>
      <c r="G3728" s="10"/>
      <c r="H3728" s="10" t="str">
        <f t="shared" si="1408"/>
        <v/>
      </c>
      <c r="I3728" s="566"/>
      <c r="J3728" s="549" t="s">
        <v>4179</v>
      </c>
      <c r="N3728" s="29" t="s">
        <v>5489</v>
      </c>
      <c r="O3728" t="s">
        <v>5406</v>
      </c>
      <c r="P3728" t="s">
        <v>5407</v>
      </c>
    </row>
    <row r="3729" spans="1:18" x14ac:dyDescent="0.35">
      <c r="A3729" s="527" t="s">
        <v>6405</v>
      </c>
      <c r="B3729" s="526" t="s">
        <v>5405</v>
      </c>
      <c r="C3729" s="526" t="s">
        <v>6404</v>
      </c>
      <c r="D3729" s="526" t="s">
        <v>5406</v>
      </c>
      <c r="E3729" s="526"/>
      <c r="F3729" s="538">
        <f>ROUND(HLOOKUP(D3729,O3728:P3730,3,FALSE),2)</f>
        <v>7.73</v>
      </c>
      <c r="G3729" s="537">
        <f>ROUND(HLOOKUP(D3729,O3728:P3730,2,FALSE),2)</f>
        <v>7.93</v>
      </c>
      <c r="H3729" s="537">
        <f t="shared" si="1408"/>
        <v>6.34</v>
      </c>
      <c r="I3729" s="574"/>
      <c r="J3729" s="549">
        <v>43419</v>
      </c>
      <c r="M3729" s="101">
        <v>2019</v>
      </c>
      <c r="N3729" s="322">
        <v>1.4999999999999999E-2</v>
      </c>
      <c r="O3729" s="261">
        <f>IF($N3729&lt;&gt;"",O3726*(100%-$N3729),"")</f>
        <v>7.9267382499999997</v>
      </c>
      <c r="P3729" s="261">
        <f>IF($N3729&lt;&gt;"",P3726*(100%-$N3729),"")</f>
        <v>5.4914734999999997</v>
      </c>
      <c r="R3729" t="s">
        <v>49</v>
      </c>
    </row>
    <row r="3730" spans="1:18" x14ac:dyDescent="0.35">
      <c r="A3730" s="527" t="s">
        <v>6406</v>
      </c>
      <c r="B3730" s="526" t="s">
        <v>5405</v>
      </c>
      <c r="C3730" s="526" t="s">
        <v>6404</v>
      </c>
      <c r="D3730" s="526" t="s">
        <v>5407</v>
      </c>
      <c r="E3730" s="526"/>
      <c r="F3730" s="538">
        <f>ROUND(HLOOKUP(D3730,O3728:P3730,3,FALSE),2)</f>
        <v>5.29</v>
      </c>
      <c r="G3730" s="537">
        <f>ROUND(HLOOKUP(D3730,O3728:P3730,2,FALSE),2)</f>
        <v>5.49</v>
      </c>
      <c r="H3730" s="537">
        <f t="shared" si="1408"/>
        <v>4.3899999999999997</v>
      </c>
      <c r="I3730" s="574"/>
      <c r="J3730" s="549">
        <v>43419</v>
      </c>
      <c r="N3730" s="322"/>
      <c r="O3730" s="261">
        <f>O3729-0.2</f>
        <v>7.7267382499999995</v>
      </c>
      <c r="P3730" s="261">
        <f>P3729-0.2</f>
        <v>5.2914734999999995</v>
      </c>
      <c r="R3730" t="s">
        <v>50</v>
      </c>
    </row>
    <row r="3731" spans="1:18" x14ac:dyDescent="0.35">
      <c r="A3731" s="496"/>
      <c r="B3731" s="1"/>
      <c r="C3731" s="1"/>
      <c r="D3731" s="1"/>
      <c r="E3731" s="1"/>
      <c r="F3731" s="362"/>
      <c r="G3731" s="10"/>
      <c r="H3731" s="10" t="str">
        <f t="shared" si="1408"/>
        <v/>
      </c>
      <c r="I3731" s="566"/>
      <c r="J3731" s="549" t="s">
        <v>4179</v>
      </c>
      <c r="N3731" s="29" t="s">
        <v>5489</v>
      </c>
      <c r="O3731" t="s">
        <v>5406</v>
      </c>
      <c r="P3731" t="s">
        <v>5407</v>
      </c>
    </row>
    <row r="3732" spans="1:18" x14ac:dyDescent="0.35">
      <c r="A3732" s="527" t="s">
        <v>6546</v>
      </c>
      <c r="B3732" s="526" t="s">
        <v>5405</v>
      </c>
      <c r="C3732" s="526" t="s">
        <v>6505</v>
      </c>
      <c r="D3732" s="526" t="s">
        <v>5406</v>
      </c>
      <c r="E3732" s="526"/>
      <c r="F3732" s="538">
        <f>ROUND(HLOOKUP(D3732,O3731:P3733,3,FALSE),2)</f>
        <v>7.61</v>
      </c>
      <c r="G3732" s="537">
        <f>ROUND(HLOOKUP(D3732,O3731:P3733,2,FALSE),2)</f>
        <v>7.81</v>
      </c>
      <c r="H3732" s="537">
        <f t="shared" si="1408"/>
        <v>6.25</v>
      </c>
      <c r="I3732" s="574"/>
      <c r="J3732" s="549">
        <v>43796</v>
      </c>
      <c r="M3732" s="101">
        <v>2020</v>
      </c>
      <c r="N3732" s="322">
        <v>1.4999999999999999E-2</v>
      </c>
      <c r="O3732" s="261">
        <f>IF($N3732&lt;&gt;"",O3729*(100%-$N3732),"")</f>
        <v>7.8078371762499996</v>
      </c>
      <c r="P3732" s="261">
        <f>IF($N3732&lt;&gt;"",P3729*(100%-$N3732),"")</f>
        <v>5.4091013974999997</v>
      </c>
      <c r="R3732" t="s">
        <v>49</v>
      </c>
    </row>
    <row r="3733" spans="1:18" x14ac:dyDescent="0.35">
      <c r="A3733" s="527" t="s">
        <v>6547</v>
      </c>
      <c r="B3733" s="526" t="s">
        <v>5405</v>
      </c>
      <c r="C3733" s="526" t="s">
        <v>6505</v>
      </c>
      <c r="D3733" s="526" t="s">
        <v>5407</v>
      </c>
      <c r="E3733" s="526"/>
      <c r="F3733" s="538">
        <f>ROUND(HLOOKUP(D3733,O3731:P3733,3,FALSE),2)</f>
        <v>5.21</v>
      </c>
      <c r="G3733" s="537">
        <f>ROUND(HLOOKUP(D3733,O3731:P3733,2,FALSE),2)</f>
        <v>5.41</v>
      </c>
      <c r="H3733" s="537">
        <f t="shared" si="1408"/>
        <v>4.33</v>
      </c>
      <c r="I3733" s="574"/>
      <c r="J3733" s="549">
        <v>43796</v>
      </c>
      <c r="N3733" s="322"/>
      <c r="O3733" s="261">
        <f>O3732-0.2</f>
        <v>7.6078371762499994</v>
      </c>
      <c r="P3733" s="261">
        <f>P3732-0.2</f>
        <v>5.2091013974999996</v>
      </c>
      <c r="R3733" t="s">
        <v>50</v>
      </c>
    </row>
    <row r="3734" spans="1:18" x14ac:dyDescent="0.35">
      <c r="A3734" s="496"/>
      <c r="B3734" s="1"/>
      <c r="C3734" s="362"/>
      <c r="D3734" s="1"/>
      <c r="E3734" s="1"/>
      <c r="F3734" s="362"/>
      <c r="G3734" s="10"/>
      <c r="H3734" s="10" t="str">
        <f t="shared" si="1408"/>
        <v/>
      </c>
      <c r="I3734" s="566"/>
      <c r="J3734" s="549" t="s">
        <v>4179</v>
      </c>
      <c r="N3734" s="29" t="s">
        <v>5489</v>
      </c>
      <c r="O3734" t="s">
        <v>5406</v>
      </c>
      <c r="P3734" t="s">
        <v>5407</v>
      </c>
    </row>
    <row r="3735" spans="1:18" x14ac:dyDescent="0.35">
      <c r="A3735" s="527" t="s">
        <v>6647</v>
      </c>
      <c r="B3735" s="526" t="s">
        <v>5405</v>
      </c>
      <c r="C3735" s="526" t="s">
        <v>6624</v>
      </c>
      <c r="D3735" s="526" t="s">
        <v>5406</v>
      </c>
      <c r="E3735" s="526"/>
      <c r="F3735" s="639">
        <f>ROUND(HLOOKUP(D3735,O3734:P3736,3,FALSE),2)</f>
        <v>7.49</v>
      </c>
      <c r="G3735" s="641">
        <f>ROUND(HLOOKUP(D3735,O3734:P3736,2,FALSE),2)</f>
        <v>7.69</v>
      </c>
      <c r="H3735" s="641">
        <f t="shared" si="1408"/>
        <v>6.15</v>
      </c>
      <c r="I3735" s="574"/>
      <c r="J3735" s="549">
        <v>44196</v>
      </c>
      <c r="M3735" s="101">
        <v>2021</v>
      </c>
      <c r="N3735" s="322" t="s">
        <v>5885</v>
      </c>
      <c r="O3735" s="261">
        <v>7.69</v>
      </c>
      <c r="P3735" s="261">
        <v>5.33</v>
      </c>
      <c r="R3735" t="s">
        <v>49</v>
      </c>
    </row>
    <row r="3736" spans="1:18" x14ac:dyDescent="0.35">
      <c r="A3736" s="527" t="s">
        <v>6648</v>
      </c>
      <c r="B3736" s="526" t="s">
        <v>5405</v>
      </c>
      <c r="C3736" s="526" t="s">
        <v>6624</v>
      </c>
      <c r="D3736" s="526" t="s">
        <v>5407</v>
      </c>
      <c r="E3736" s="526"/>
      <c r="F3736" s="639">
        <f>ROUND(HLOOKUP(D3736,O3734:P3736,3,FALSE),2)</f>
        <v>5.13</v>
      </c>
      <c r="G3736" s="641">
        <f>ROUND(HLOOKUP(D3736,O3734:P3736,2,FALSE),2)</f>
        <v>5.33</v>
      </c>
      <c r="H3736" s="641">
        <f t="shared" si="1408"/>
        <v>4.26</v>
      </c>
      <c r="I3736" s="574"/>
      <c r="J3736" s="549">
        <v>44196</v>
      </c>
      <c r="N3736" s="322" t="s">
        <v>5881</v>
      </c>
      <c r="O3736" s="261">
        <f>O3735-0.2</f>
        <v>7.49</v>
      </c>
      <c r="P3736" s="261">
        <f>P3735-0.2</f>
        <v>5.13</v>
      </c>
      <c r="R3736" t="s">
        <v>50</v>
      </c>
    </row>
    <row r="3737" spans="1:18" x14ac:dyDescent="0.35">
      <c r="A3737" s="496"/>
      <c r="B3737" s="1"/>
      <c r="C3737" s="362"/>
      <c r="D3737" s="1"/>
      <c r="E3737" s="1"/>
      <c r="F3737" s="362"/>
      <c r="G3737" s="10"/>
      <c r="H3737" s="10" t="str">
        <f t="shared" si="1408"/>
        <v/>
      </c>
      <c r="I3737" s="566"/>
      <c r="J3737" s="549" t="s">
        <v>4179</v>
      </c>
      <c r="N3737" s="29" t="s">
        <v>5489</v>
      </c>
      <c r="O3737" t="s">
        <v>5406</v>
      </c>
      <c r="P3737" t="s">
        <v>5407</v>
      </c>
    </row>
    <row r="3738" spans="1:18" x14ac:dyDescent="0.35">
      <c r="A3738" s="527" t="str">
        <f>LEFT(A3735,12)&amp;RIGHT(M3738,2)</f>
        <v>DeK4111-----22</v>
      </c>
      <c r="B3738" s="526" t="s">
        <v>5405</v>
      </c>
      <c r="C3738" s="526" t="str">
        <f>"Inbetriebnahme 20" &amp; RIGHT(M3738,2)</f>
        <v>Inbetriebnahme 2022</v>
      </c>
      <c r="D3738" s="526" t="s">
        <v>5406</v>
      </c>
      <c r="E3738" s="526"/>
      <c r="F3738" s="639">
        <f>ROUND(HLOOKUP(D3738,O3737:P3739,3,FALSE),2)</f>
        <v>7.37</v>
      </c>
      <c r="G3738" s="641">
        <f>ROUND(HLOOKUP(D3738,O3737:P3739,2,FALSE),2)</f>
        <v>7.57</v>
      </c>
      <c r="H3738" s="641">
        <f t="shared" ref="H3738:H3801" si="1438">IF(ISNUMBER(G3738),ROUND(0.8*G3738,2),"")</f>
        <v>6.06</v>
      </c>
      <c r="I3738" s="574"/>
      <c r="J3738" s="549">
        <v>44536</v>
      </c>
      <c r="M3738" s="101">
        <v>2022</v>
      </c>
      <c r="N3738" s="322">
        <v>1.4999999999999999E-2</v>
      </c>
      <c r="O3738" s="261">
        <f>IF($N3738&lt;&gt;"",O3735*(100%-$N3738),"")</f>
        <v>7.5746500000000001</v>
      </c>
      <c r="P3738" s="261">
        <f>IF($N3738&lt;&gt;"",P3735*(100%-$N3738),"")</f>
        <v>5.2500499999999999</v>
      </c>
      <c r="R3738" t="s">
        <v>49</v>
      </c>
    </row>
    <row r="3739" spans="1:18" x14ac:dyDescent="0.35">
      <c r="A3739" s="527" t="str">
        <f>LEFT(A3736,12)&amp;RIGHT(M3738,2)</f>
        <v>DeK4112-----22</v>
      </c>
      <c r="B3739" s="526" t="s">
        <v>5405</v>
      </c>
      <c r="C3739" s="526" t="str">
        <f>"Inbetriebnahme 20" &amp; RIGHT(M3738,2)</f>
        <v>Inbetriebnahme 2022</v>
      </c>
      <c r="D3739" s="526" t="s">
        <v>5407</v>
      </c>
      <c r="E3739" s="526"/>
      <c r="F3739" s="639">
        <f>ROUND(HLOOKUP(D3739,O3737:P3739,3,FALSE),2)</f>
        <v>5.05</v>
      </c>
      <c r="G3739" s="641">
        <f>ROUND(HLOOKUP(D3739,O3737:P3739,2,FALSE),2)</f>
        <v>5.25</v>
      </c>
      <c r="H3739" s="641">
        <f t="shared" si="1438"/>
        <v>4.2</v>
      </c>
      <c r="I3739" s="574"/>
      <c r="J3739" s="549">
        <v>44536</v>
      </c>
      <c r="N3739" s="322"/>
      <c r="O3739" s="261">
        <f>O3738-0.2</f>
        <v>7.3746499999999999</v>
      </c>
      <c r="P3739" s="261">
        <f>P3738-0.2</f>
        <v>5.0500499999999997</v>
      </c>
      <c r="R3739" t="s">
        <v>50</v>
      </c>
    </row>
    <row r="3740" spans="1:18" x14ac:dyDescent="0.35">
      <c r="A3740" s="496"/>
      <c r="B3740" s="1"/>
      <c r="C3740" s="362"/>
      <c r="D3740" s="1"/>
      <c r="E3740" s="1"/>
      <c r="F3740" s="362"/>
      <c r="G3740" s="10"/>
      <c r="H3740" s="10" t="str">
        <f t="shared" si="1438"/>
        <v/>
      </c>
      <c r="I3740" s="566"/>
      <c r="J3740" s="549" t="s">
        <v>4179</v>
      </c>
      <c r="N3740" s="29" t="s">
        <v>5489</v>
      </c>
      <c r="O3740" t="s">
        <v>5406</v>
      </c>
      <c r="P3740" t="s">
        <v>5407</v>
      </c>
    </row>
    <row r="3741" spans="1:18" x14ac:dyDescent="0.35">
      <c r="A3741" s="527" t="str">
        <f>LEFT(A3738,12)&amp;RIGHT(M3741,2)</f>
        <v>DeK4111-----23</v>
      </c>
      <c r="B3741" s="526" t="s">
        <v>5405</v>
      </c>
      <c r="C3741" s="526" t="str">
        <f>"Inbetriebnahme 20" &amp; RIGHT(M3741,2)</f>
        <v>Inbetriebnahme 2023</v>
      </c>
      <c r="D3741" s="526" t="s">
        <v>5406</v>
      </c>
      <c r="E3741" s="526"/>
      <c r="F3741" s="639">
        <f>ROUND(HLOOKUP(D3741,O3740:P3742,3,FALSE),2)</f>
        <v>7.26</v>
      </c>
      <c r="G3741" s="641">
        <f>ROUND(HLOOKUP(D3741,O3740:P3742,2,FALSE),2)</f>
        <v>7.46</v>
      </c>
      <c r="H3741" s="641">
        <f t="shared" si="1438"/>
        <v>5.97</v>
      </c>
      <c r="I3741" s="574"/>
      <c r="J3741" s="549">
        <f>J$31</f>
        <v>44896</v>
      </c>
      <c r="M3741" s="101">
        <v>2023</v>
      </c>
      <c r="N3741" s="322" t="s">
        <v>7891</v>
      </c>
      <c r="O3741" s="261">
        <v>7.46</v>
      </c>
      <c r="P3741" s="261">
        <v>5.17</v>
      </c>
      <c r="R3741" t="s">
        <v>49</v>
      </c>
    </row>
    <row r="3742" spans="1:18" x14ac:dyDescent="0.35">
      <c r="A3742" s="527" t="str">
        <f>LEFT(A3739,12)&amp;RIGHT(M3741,2)</f>
        <v>DeK4112-----23</v>
      </c>
      <c r="B3742" s="526" t="s">
        <v>5405</v>
      </c>
      <c r="C3742" s="526" t="str">
        <f>"Inbetriebnahme 20" &amp; RIGHT(M3741,2)</f>
        <v>Inbetriebnahme 2023</v>
      </c>
      <c r="D3742" s="526" t="s">
        <v>5407</v>
      </c>
      <c r="E3742" s="526"/>
      <c r="F3742" s="639">
        <f>ROUND(HLOOKUP(D3742,O3740:P3742,3,FALSE),2)</f>
        <v>4.97</v>
      </c>
      <c r="G3742" s="641">
        <f>ROUND(HLOOKUP(D3742,O3740:P3742,2,FALSE),2)</f>
        <v>5.17</v>
      </c>
      <c r="H3742" s="641">
        <f t="shared" si="1438"/>
        <v>4.1399999999999997</v>
      </c>
      <c r="I3742" s="574"/>
      <c r="J3742" s="549">
        <f>J$31</f>
        <v>44896</v>
      </c>
      <c r="N3742" s="322"/>
      <c r="O3742" s="261">
        <f>O3741-0.2</f>
        <v>7.26</v>
      </c>
      <c r="P3742" s="261">
        <f>P3741-0.2</f>
        <v>4.97</v>
      </c>
      <c r="R3742" t="s">
        <v>50</v>
      </c>
    </row>
    <row r="3743" spans="1:18" x14ac:dyDescent="0.35">
      <c r="A3743" s="496"/>
      <c r="B3743" s="1"/>
      <c r="C3743" s="362"/>
      <c r="D3743" s="1"/>
      <c r="E3743" s="1"/>
      <c r="F3743" s="362"/>
      <c r="G3743" s="10"/>
      <c r="H3743" s="10" t="str">
        <f t="shared" si="1438"/>
        <v/>
      </c>
      <c r="I3743" s="566"/>
      <c r="J3743" s="549" t="s">
        <v>4179</v>
      </c>
      <c r="N3743" s="29" t="s">
        <v>5489</v>
      </c>
      <c r="O3743" t="s">
        <v>5406</v>
      </c>
      <c r="P3743" t="s">
        <v>5407</v>
      </c>
    </row>
    <row r="3744" spans="1:18" x14ac:dyDescent="0.35">
      <c r="A3744" s="527" t="str">
        <f>LEFT(A3741,12)&amp;RIGHT(M3744,2)</f>
        <v>DeK4111-----24</v>
      </c>
      <c r="B3744" s="526" t="s">
        <v>5405</v>
      </c>
      <c r="C3744" s="526" t="str">
        <f>"Inbetriebnahme 20" &amp; RIGHT(M3744,2)</f>
        <v>Inbetriebnahme 2024</v>
      </c>
      <c r="D3744" s="526" t="s">
        <v>5406</v>
      </c>
      <c r="E3744" s="526"/>
      <c r="F3744" s="639">
        <f>ROUND(HLOOKUP(D3744,O3743:P3745,3,FALSE),2)</f>
        <v>7.15</v>
      </c>
      <c r="G3744" s="641">
        <f>ROUND(HLOOKUP(D3744,O3743:P3745,2,FALSE),2)</f>
        <v>7.35</v>
      </c>
      <c r="H3744" s="641">
        <f t="shared" si="1438"/>
        <v>5.88</v>
      </c>
      <c r="I3744" s="574"/>
      <c r="J3744" s="549">
        <v>45268</v>
      </c>
      <c r="M3744" s="101">
        <v>2024</v>
      </c>
      <c r="N3744" s="322">
        <v>1.4999999999999999E-2</v>
      </c>
      <c r="O3744" s="261">
        <f>IF($N3744&lt;&gt;"",O3741*(100%-$N3744),"")</f>
        <v>7.3480999999999996</v>
      </c>
      <c r="P3744" s="261">
        <f>IF($N3744&lt;&gt;"",P3741*(100%-$N3744),"")</f>
        <v>5.0924499999999995</v>
      </c>
      <c r="R3744" t="s">
        <v>49</v>
      </c>
    </row>
    <row r="3745" spans="1:41" x14ac:dyDescent="0.35">
      <c r="A3745" s="527" t="str">
        <f>LEFT(A3742,12)&amp;RIGHT(M3744,2)</f>
        <v>DeK4112-----24</v>
      </c>
      <c r="B3745" s="526" t="s">
        <v>5405</v>
      </c>
      <c r="C3745" s="526" t="str">
        <f>"Inbetriebnahme 20" &amp; RIGHT(M3744,2)</f>
        <v>Inbetriebnahme 2024</v>
      </c>
      <c r="D3745" s="526" t="s">
        <v>5407</v>
      </c>
      <c r="E3745" s="526"/>
      <c r="F3745" s="639">
        <f>ROUND(HLOOKUP(D3745,O3743:P3745,3,FALSE),2)</f>
        <v>4.8899999999999997</v>
      </c>
      <c r="G3745" s="641">
        <f>ROUND(HLOOKUP(D3745,O3743:P3745,2,FALSE),2)</f>
        <v>5.09</v>
      </c>
      <c r="H3745" s="641">
        <f t="shared" si="1438"/>
        <v>4.07</v>
      </c>
      <c r="I3745" s="574"/>
      <c r="J3745" s="549">
        <v>45268</v>
      </c>
      <c r="N3745" s="322"/>
      <c r="O3745" s="261">
        <f>O3744-0.2</f>
        <v>7.1480999999999995</v>
      </c>
      <c r="P3745" s="261">
        <f>P3744-0.2</f>
        <v>4.8924499999999993</v>
      </c>
      <c r="R3745" t="s">
        <v>50</v>
      </c>
    </row>
    <row r="3746" spans="1:41" x14ac:dyDescent="0.35">
      <c r="A3746" s="496"/>
      <c r="B3746" s="1"/>
      <c r="C3746" s="1"/>
      <c r="D3746" s="1"/>
      <c r="E3746" s="1"/>
      <c r="F3746" s="375"/>
      <c r="G3746" s="76"/>
      <c r="H3746" s="401" t="str">
        <f t="shared" si="1438"/>
        <v/>
      </c>
      <c r="I3746" s="578"/>
      <c r="J3746" s="549" t="s">
        <v>4179</v>
      </c>
      <c r="K3746" s="11"/>
      <c r="L3746" s="55"/>
      <c r="M3746" s="37"/>
      <c r="N3746" s="29"/>
      <c r="O3746" s="202"/>
      <c r="P3746" s="22"/>
      <c r="AH3746" s="202"/>
      <c r="AO3746" s="203"/>
    </row>
    <row r="3747" spans="1:41" ht="15.5" x14ac:dyDescent="0.35">
      <c r="A3747" s="496"/>
      <c r="B3747" s="1"/>
      <c r="C3747" s="1"/>
      <c r="D3747" s="1"/>
      <c r="E3747" s="1"/>
      <c r="F3747" s="362"/>
      <c r="G3747" s="10"/>
      <c r="H3747" s="10" t="str">
        <f t="shared" si="1438"/>
        <v/>
      </c>
      <c r="I3747" s="566"/>
      <c r="J3747" s="549" t="s">
        <v>4179</v>
      </c>
      <c r="K3747" s="22"/>
      <c r="M3747" s="53" t="s">
        <v>5490</v>
      </c>
      <c r="N3747" s="27"/>
      <c r="O3747" s="22"/>
      <c r="P3747" s="22"/>
    </row>
    <row r="3748" spans="1:41" x14ac:dyDescent="0.35">
      <c r="A3748" s="496"/>
      <c r="B3748" s="1"/>
      <c r="C3748" s="18"/>
      <c r="D3748" s="18"/>
      <c r="E3748" s="1"/>
      <c r="F3748" s="362"/>
      <c r="G3748" s="10"/>
      <c r="H3748" s="10" t="str">
        <f t="shared" si="1438"/>
        <v/>
      </c>
      <c r="I3748" s="566"/>
      <c r="J3748" s="549" t="s">
        <v>4179</v>
      </c>
      <c r="K3748" s="22"/>
      <c r="L3748" s="22"/>
      <c r="M3748" s="22"/>
      <c r="N3748" s="85"/>
      <c r="O3748" s="86" t="s">
        <v>1205</v>
      </c>
      <c r="P3748" s="22"/>
      <c r="Q3748" s="38"/>
      <c r="S3748" s="22"/>
      <c r="AB3748" s="57"/>
    </row>
    <row r="3749" spans="1:41" ht="63.5" x14ac:dyDescent="0.35">
      <c r="A3749" s="496"/>
      <c r="B3749" s="1"/>
      <c r="C3749" s="18"/>
      <c r="D3749" s="18"/>
      <c r="E3749" s="1"/>
      <c r="F3749" s="362"/>
      <c r="G3749" s="10"/>
      <c r="H3749" s="10" t="str">
        <f t="shared" si="1438"/>
        <v/>
      </c>
      <c r="I3749" s="566"/>
      <c r="J3749" s="549" t="s">
        <v>4179</v>
      </c>
      <c r="K3749" s="22"/>
      <c r="L3749" s="22"/>
      <c r="M3749" s="36" t="s">
        <v>2913</v>
      </c>
      <c r="N3749" s="39" t="s">
        <v>5491</v>
      </c>
      <c r="O3749" s="30" t="s">
        <v>772</v>
      </c>
      <c r="P3749" s="30" t="s">
        <v>773</v>
      </c>
      <c r="Q3749" s="39" t="s">
        <v>774</v>
      </c>
      <c r="R3749" s="95" t="s">
        <v>5489</v>
      </c>
      <c r="S3749" s="30"/>
      <c r="T3749" s="30"/>
      <c r="U3749" s="30"/>
      <c r="V3749" s="64"/>
      <c r="W3749" s="64"/>
      <c r="X3749" s="64"/>
      <c r="Y3749" s="64"/>
      <c r="Z3749" s="64"/>
      <c r="AA3749" s="64"/>
      <c r="AB3749" s="30"/>
      <c r="AC3749" s="30"/>
      <c r="AD3749" s="30"/>
    </row>
    <row r="3750" spans="1:41" x14ac:dyDescent="0.35">
      <c r="A3750" s="496"/>
      <c r="B3750" s="1"/>
      <c r="C3750" s="18"/>
      <c r="D3750" s="18"/>
      <c r="E3750" s="1"/>
      <c r="F3750" s="362"/>
      <c r="G3750" s="10"/>
      <c r="H3750" s="10" t="str">
        <f t="shared" si="1438"/>
        <v/>
      </c>
      <c r="I3750" s="566"/>
      <c r="J3750" s="549" t="s">
        <v>4179</v>
      </c>
      <c r="K3750" s="22"/>
      <c r="L3750" s="22"/>
      <c r="M3750" s="34"/>
      <c r="N3750" s="39"/>
      <c r="O3750" s="30" t="s">
        <v>1032</v>
      </c>
      <c r="P3750" s="30" t="s">
        <v>1030</v>
      </c>
      <c r="Q3750" s="39" t="s">
        <v>1031</v>
      </c>
      <c r="R3750" s="96">
        <v>1.4999999999999999E-2</v>
      </c>
      <c r="S3750" s="30"/>
      <c r="T3750" s="30"/>
      <c r="U3750" s="30"/>
      <c r="V3750" s="30"/>
      <c r="W3750" s="30"/>
      <c r="X3750" s="30"/>
      <c r="Y3750" s="30"/>
      <c r="Z3750" s="30"/>
      <c r="AA3750" s="30"/>
      <c r="AB3750" s="30"/>
      <c r="AC3750" s="30"/>
      <c r="AD3750" s="30"/>
    </row>
    <row r="3751" spans="1:41" x14ac:dyDescent="0.35">
      <c r="A3751" s="496"/>
      <c r="B3751" s="1"/>
      <c r="C3751" s="1"/>
      <c r="D3751" s="1"/>
      <c r="E3751" s="1"/>
      <c r="F3751" s="362"/>
      <c r="G3751" s="10"/>
      <c r="H3751" s="10" t="str">
        <f t="shared" si="1438"/>
        <v/>
      </c>
      <c r="I3751" s="566"/>
      <c r="J3751" s="549" t="s">
        <v>4179</v>
      </c>
      <c r="L3751" s="56"/>
      <c r="M3751" s="35">
        <v>2009</v>
      </c>
      <c r="N3751" s="28"/>
      <c r="O3751" s="33">
        <v>2</v>
      </c>
      <c r="P3751" s="28">
        <v>1</v>
      </c>
      <c r="Q3751" s="40">
        <v>2</v>
      </c>
      <c r="R3751" s="29" t="str">
        <f>"Bonushöhe bei Inbetriebnahme in "&amp;M3751</f>
        <v>Bonushöhe bei Inbetriebnahme in 2009</v>
      </c>
      <c r="S3751" s="29"/>
      <c r="T3751" s="29"/>
      <c r="U3751" s="29"/>
      <c r="V3751" s="29"/>
      <c r="W3751" s="29"/>
      <c r="X3751" s="29"/>
      <c r="Y3751" s="29"/>
      <c r="Z3751" s="29"/>
      <c r="AA3751" s="29"/>
      <c r="AB3751" s="29"/>
      <c r="AC3751" s="29"/>
      <c r="AD3751" s="29"/>
    </row>
    <row r="3752" spans="1:41" x14ac:dyDescent="0.35">
      <c r="A3752" s="497" t="s">
        <v>5589</v>
      </c>
      <c r="B3752" s="13" t="s">
        <v>5410</v>
      </c>
      <c r="C3752" s="13" t="s">
        <v>5404</v>
      </c>
      <c r="D3752" s="13" t="s">
        <v>5406</v>
      </c>
      <c r="E3752" s="13"/>
      <c r="F3752" s="364">
        <v>7.11</v>
      </c>
      <c r="G3752" s="424">
        <v>7.11</v>
      </c>
      <c r="H3752" s="14">
        <f t="shared" si="1438"/>
        <v>5.69</v>
      </c>
      <c r="I3752" s="568"/>
      <c r="J3752" s="549" t="s">
        <v>5804</v>
      </c>
      <c r="L3752" s="55" t="str">
        <f t="shared" ref="L3752:L3759" si="1439">IF(F3752=M3752,"",FALSE)</f>
        <v/>
      </c>
      <c r="M3752" s="37">
        <f t="shared" ref="M3752:M3759" si="1440">N3752+SUMIF(O3752:Q3752,"x",O$3751:Q$3751)</f>
        <v>7.11</v>
      </c>
      <c r="N3752" s="91">
        <v>7.11</v>
      </c>
      <c r="O3752" s="92"/>
      <c r="P3752" s="92"/>
      <c r="Q3752" s="91"/>
    </row>
    <row r="3753" spans="1:41" x14ac:dyDescent="0.35">
      <c r="A3753" s="497" t="s">
        <v>5590</v>
      </c>
      <c r="B3753" s="13" t="s">
        <v>5410</v>
      </c>
      <c r="C3753" s="13" t="s">
        <v>5404</v>
      </c>
      <c r="D3753" s="13" t="s">
        <v>5516</v>
      </c>
      <c r="E3753" s="13"/>
      <c r="F3753" s="364">
        <v>9.11</v>
      </c>
      <c r="G3753" s="424">
        <v>9.11</v>
      </c>
      <c r="H3753" s="14">
        <f t="shared" si="1438"/>
        <v>7.29</v>
      </c>
      <c r="I3753" s="568"/>
      <c r="J3753" s="549" t="s">
        <v>5804</v>
      </c>
      <c r="L3753" s="55" t="str">
        <f t="shared" si="1439"/>
        <v/>
      </c>
      <c r="M3753" s="37">
        <f t="shared" si="1440"/>
        <v>9.11</v>
      </c>
      <c r="N3753" s="91">
        <v>7.11</v>
      </c>
      <c r="O3753" s="92" t="s">
        <v>1017</v>
      </c>
      <c r="P3753" s="92"/>
      <c r="Q3753" s="91"/>
    </row>
    <row r="3754" spans="1:41" x14ac:dyDescent="0.35">
      <c r="A3754" s="497" t="s">
        <v>5591</v>
      </c>
      <c r="B3754" s="13" t="s">
        <v>5410</v>
      </c>
      <c r="C3754" s="13" t="s">
        <v>5404</v>
      </c>
      <c r="D3754" s="13" t="s">
        <v>5517</v>
      </c>
      <c r="E3754" s="13"/>
      <c r="F3754" s="364">
        <v>8.11</v>
      </c>
      <c r="G3754" s="424">
        <v>8.11</v>
      </c>
      <c r="H3754" s="14">
        <f t="shared" si="1438"/>
        <v>6.49</v>
      </c>
      <c r="I3754" s="568"/>
      <c r="J3754" s="549" t="s">
        <v>5804</v>
      </c>
      <c r="L3754" s="55" t="str">
        <f t="shared" si="1439"/>
        <v/>
      </c>
      <c r="M3754" s="37">
        <f t="shared" si="1440"/>
        <v>8.11</v>
      </c>
      <c r="N3754" s="91">
        <v>7.11</v>
      </c>
      <c r="O3754" s="92"/>
      <c r="P3754" s="92" t="s">
        <v>1017</v>
      </c>
      <c r="Q3754" s="91"/>
    </row>
    <row r="3755" spans="1:41" x14ac:dyDescent="0.35">
      <c r="A3755" s="497" t="s">
        <v>3300</v>
      </c>
      <c r="B3755" s="13" t="s">
        <v>5410</v>
      </c>
      <c r="C3755" s="13" t="s">
        <v>5404</v>
      </c>
      <c r="D3755" s="13" t="s">
        <v>3298</v>
      </c>
      <c r="E3755" s="13"/>
      <c r="F3755" s="364">
        <v>9.11</v>
      </c>
      <c r="G3755" s="424">
        <v>9.11</v>
      </c>
      <c r="H3755" s="14">
        <f t="shared" si="1438"/>
        <v>7.29</v>
      </c>
      <c r="I3755" s="568"/>
      <c r="J3755" s="549" t="s">
        <v>5804</v>
      </c>
      <c r="L3755" s="55" t="str">
        <f t="shared" si="1439"/>
        <v/>
      </c>
      <c r="M3755" s="37">
        <f t="shared" si="1440"/>
        <v>9.11</v>
      </c>
      <c r="N3755" s="91">
        <v>7.11</v>
      </c>
      <c r="O3755" s="92"/>
      <c r="P3755" s="92"/>
      <c r="Q3755" s="91" t="s">
        <v>1017</v>
      </c>
    </row>
    <row r="3756" spans="1:41" x14ac:dyDescent="0.35">
      <c r="A3756" s="497" t="s">
        <v>5592</v>
      </c>
      <c r="B3756" s="13" t="s">
        <v>5410</v>
      </c>
      <c r="C3756" s="13" t="s">
        <v>5404</v>
      </c>
      <c r="D3756" s="13" t="s">
        <v>5407</v>
      </c>
      <c r="E3756" s="13"/>
      <c r="F3756" s="364">
        <v>6.16</v>
      </c>
      <c r="G3756" s="424">
        <v>6.16</v>
      </c>
      <c r="H3756" s="14">
        <f t="shared" si="1438"/>
        <v>4.93</v>
      </c>
      <c r="I3756" s="568"/>
      <c r="J3756" s="549" t="s">
        <v>5804</v>
      </c>
      <c r="L3756" s="55" t="str">
        <f t="shared" si="1439"/>
        <v/>
      </c>
      <c r="M3756" s="37">
        <f t="shared" si="1440"/>
        <v>6.16</v>
      </c>
      <c r="N3756" s="91">
        <v>6.16</v>
      </c>
      <c r="O3756" s="92"/>
      <c r="P3756" s="92"/>
      <c r="Q3756" s="91"/>
    </row>
    <row r="3757" spans="1:41" x14ac:dyDescent="0.35">
      <c r="A3757" s="497" t="s">
        <v>5593</v>
      </c>
      <c r="B3757" s="13" t="s">
        <v>5410</v>
      </c>
      <c r="C3757" s="13" t="s">
        <v>5404</v>
      </c>
      <c r="D3757" s="13" t="s">
        <v>2906</v>
      </c>
      <c r="E3757" s="13"/>
      <c r="F3757" s="364">
        <v>8.16</v>
      </c>
      <c r="G3757" s="424">
        <v>8.16</v>
      </c>
      <c r="H3757" s="14">
        <f t="shared" si="1438"/>
        <v>6.53</v>
      </c>
      <c r="I3757" s="568"/>
      <c r="J3757" s="549" t="s">
        <v>5804</v>
      </c>
      <c r="L3757" s="55" t="str">
        <f t="shared" si="1439"/>
        <v/>
      </c>
      <c r="M3757" s="37">
        <f t="shared" si="1440"/>
        <v>8.16</v>
      </c>
      <c r="N3757" s="91">
        <v>6.16</v>
      </c>
      <c r="O3757" s="92" t="s">
        <v>1017</v>
      </c>
      <c r="P3757" s="92"/>
      <c r="Q3757" s="91"/>
      <c r="R3757" s="29"/>
    </row>
    <row r="3758" spans="1:41" x14ac:dyDescent="0.35">
      <c r="A3758" s="497" t="s">
        <v>5594</v>
      </c>
      <c r="B3758" s="13" t="s">
        <v>5410</v>
      </c>
      <c r="C3758" s="13" t="s">
        <v>5404</v>
      </c>
      <c r="D3758" s="13" t="s">
        <v>594</v>
      </c>
      <c r="E3758" s="13"/>
      <c r="F3758" s="364">
        <v>7.16</v>
      </c>
      <c r="G3758" s="424">
        <v>7.16</v>
      </c>
      <c r="H3758" s="14">
        <f t="shared" si="1438"/>
        <v>5.73</v>
      </c>
      <c r="I3758" s="568"/>
      <c r="J3758" s="549" t="s">
        <v>5804</v>
      </c>
      <c r="L3758" s="55" t="str">
        <f t="shared" si="1439"/>
        <v/>
      </c>
      <c r="M3758" s="37">
        <f t="shared" si="1440"/>
        <v>7.16</v>
      </c>
      <c r="N3758" s="91">
        <v>6.16</v>
      </c>
      <c r="O3758" s="92"/>
      <c r="P3758" s="92" t="s">
        <v>1017</v>
      </c>
      <c r="Q3758" s="91"/>
    </row>
    <row r="3759" spans="1:41" x14ac:dyDescent="0.35">
      <c r="A3759" s="497" t="s">
        <v>3301</v>
      </c>
      <c r="B3759" s="13" t="s">
        <v>5410</v>
      </c>
      <c r="C3759" s="13" t="s">
        <v>5404</v>
      </c>
      <c r="D3759" s="13" t="s">
        <v>596</v>
      </c>
      <c r="E3759" s="13"/>
      <c r="F3759" s="364">
        <v>8.16</v>
      </c>
      <c r="G3759" s="424">
        <v>8.16</v>
      </c>
      <c r="H3759" s="14">
        <f t="shared" si="1438"/>
        <v>6.53</v>
      </c>
      <c r="I3759" s="568"/>
      <c r="J3759" s="549" t="s">
        <v>5804</v>
      </c>
      <c r="L3759" s="55" t="str">
        <f t="shared" si="1439"/>
        <v/>
      </c>
      <c r="M3759" s="45">
        <f t="shared" si="1440"/>
        <v>8.16</v>
      </c>
      <c r="N3759" s="93">
        <v>6.16</v>
      </c>
      <c r="O3759" s="294"/>
      <c r="P3759" s="94"/>
      <c r="Q3759" s="93" t="s">
        <v>1017</v>
      </c>
    </row>
    <row r="3760" spans="1:41" x14ac:dyDescent="0.35">
      <c r="A3760" s="496"/>
      <c r="B3760" s="1"/>
      <c r="C3760" s="1"/>
      <c r="D3760" s="1"/>
      <c r="E3760" s="1"/>
      <c r="F3760" s="362"/>
      <c r="G3760" s="425"/>
      <c r="H3760" s="10" t="str">
        <f t="shared" si="1438"/>
        <v/>
      </c>
      <c r="I3760" s="566"/>
      <c r="J3760" s="549" t="s">
        <v>4179</v>
      </c>
      <c r="M3760" s="289">
        <v>2010</v>
      </c>
      <c r="N3760" s="289"/>
      <c r="O3760" s="284">
        <f>ROUND(O$3751*(1-$R$3750)^($M3760-$M$3751),2)</f>
        <v>1.97</v>
      </c>
      <c r="P3760" s="283">
        <f>ROUND(P$3751*(1-$R$3750)^($M3760-$M$3751),2)</f>
        <v>0.99</v>
      </c>
      <c r="Q3760" s="285">
        <f>ROUND(Q$3751*(1-$R$3750)^($M3760-$M$3751),2)</f>
        <v>1.97</v>
      </c>
      <c r="R3760" s="29" t="str">
        <f>"Bonushöhe bei Inbetriebnahme in "&amp;M3760</f>
        <v>Bonushöhe bei Inbetriebnahme in 2010</v>
      </c>
    </row>
    <row r="3761" spans="1:18" ht="15" customHeight="1" x14ac:dyDescent="0.35">
      <c r="A3761" s="497" t="s">
        <v>5469</v>
      </c>
      <c r="B3761" s="13" t="s">
        <v>5410</v>
      </c>
      <c r="C3761" s="13" t="s">
        <v>2385</v>
      </c>
      <c r="D3761" s="13" t="s">
        <v>5406</v>
      </c>
      <c r="E3761" s="13"/>
      <c r="F3761" s="364">
        <v>7</v>
      </c>
      <c r="G3761" s="424">
        <v>7</v>
      </c>
      <c r="H3761" s="14">
        <f t="shared" si="1438"/>
        <v>5.6</v>
      </c>
      <c r="I3761" s="568"/>
      <c r="J3761" s="549" t="s">
        <v>5804</v>
      </c>
      <c r="L3761" s="55" t="str">
        <f t="shared" ref="L3761:L3768" si="1441">IF(F3761=M3761,"",FALSE)</f>
        <v/>
      </c>
      <c r="M3761" s="37">
        <f>N3761+SUMIF(O3761:Q3761,"x",O$3661:Q$3661)</f>
        <v>7</v>
      </c>
      <c r="N3761" s="73">
        <f t="shared" ref="N3761:N3768" si="1442">ROUND(N3752*(1-$R$3750)^($M$3760-$M$3751),2)</f>
        <v>7</v>
      </c>
      <c r="O3761" s="92"/>
      <c r="P3761" s="92"/>
      <c r="Q3761" s="91"/>
    </row>
    <row r="3762" spans="1:18" ht="15" customHeight="1" x14ac:dyDescent="0.35">
      <c r="A3762" s="497" t="s">
        <v>5470</v>
      </c>
      <c r="B3762" s="13" t="s">
        <v>5410</v>
      </c>
      <c r="C3762" s="13" t="s">
        <v>2385</v>
      </c>
      <c r="D3762" s="13" t="s">
        <v>5516</v>
      </c>
      <c r="E3762" s="13"/>
      <c r="F3762" s="364">
        <v>8.9700000000000006</v>
      </c>
      <c r="G3762" s="424">
        <v>8.9700000000000006</v>
      </c>
      <c r="H3762" s="14">
        <f t="shared" si="1438"/>
        <v>7.18</v>
      </c>
      <c r="I3762" s="568"/>
      <c r="J3762" s="549" t="s">
        <v>5804</v>
      </c>
      <c r="L3762" s="55" t="str">
        <f t="shared" si="1441"/>
        <v/>
      </c>
      <c r="M3762" s="37">
        <f t="shared" ref="M3762:M3768" si="1443">N3762+SUMIF(O3762:Q3762,"x",O$3760:Q$3760)</f>
        <v>8.9700000000000006</v>
      </c>
      <c r="N3762" s="73">
        <f t="shared" si="1442"/>
        <v>7</v>
      </c>
      <c r="O3762" s="92" t="s">
        <v>1017</v>
      </c>
      <c r="P3762" s="92"/>
      <c r="Q3762" s="91"/>
    </row>
    <row r="3763" spans="1:18" x14ac:dyDescent="0.35">
      <c r="A3763" s="497" t="s">
        <v>5471</v>
      </c>
      <c r="B3763" s="13" t="s">
        <v>5410</v>
      </c>
      <c r="C3763" s="13" t="s">
        <v>2385</v>
      </c>
      <c r="D3763" s="13" t="s">
        <v>5517</v>
      </c>
      <c r="E3763" s="13"/>
      <c r="F3763" s="364">
        <v>7.99</v>
      </c>
      <c r="G3763" s="424">
        <v>7.99</v>
      </c>
      <c r="H3763" s="14">
        <f t="shared" si="1438"/>
        <v>6.39</v>
      </c>
      <c r="I3763" s="568"/>
      <c r="J3763" s="549" t="s">
        <v>5804</v>
      </c>
      <c r="L3763" s="55" t="str">
        <f t="shared" si="1441"/>
        <v/>
      </c>
      <c r="M3763" s="37">
        <f t="shared" si="1443"/>
        <v>7.99</v>
      </c>
      <c r="N3763" s="73">
        <f t="shared" si="1442"/>
        <v>7</v>
      </c>
      <c r="O3763" s="92"/>
      <c r="P3763" s="92" t="s">
        <v>1017</v>
      </c>
      <c r="Q3763" s="91"/>
    </row>
    <row r="3764" spans="1:18" x14ac:dyDescent="0.35">
      <c r="A3764" s="497" t="s">
        <v>5472</v>
      </c>
      <c r="B3764" s="13" t="s">
        <v>5410</v>
      </c>
      <c r="C3764" s="13" t="s">
        <v>2385</v>
      </c>
      <c r="D3764" s="13" t="s">
        <v>3298</v>
      </c>
      <c r="E3764" s="13"/>
      <c r="F3764" s="364">
        <v>8.9700000000000006</v>
      </c>
      <c r="G3764" s="424">
        <v>8.9700000000000006</v>
      </c>
      <c r="H3764" s="14">
        <f t="shared" si="1438"/>
        <v>7.18</v>
      </c>
      <c r="I3764" s="568"/>
      <c r="J3764" s="549" t="s">
        <v>5804</v>
      </c>
      <c r="L3764" s="55" t="str">
        <f t="shared" si="1441"/>
        <v/>
      </c>
      <c r="M3764" s="37">
        <f t="shared" si="1443"/>
        <v>8.9700000000000006</v>
      </c>
      <c r="N3764" s="73">
        <f t="shared" si="1442"/>
        <v>7</v>
      </c>
      <c r="O3764" s="92"/>
      <c r="P3764" s="92"/>
      <c r="Q3764" s="91" t="s">
        <v>1017</v>
      </c>
    </row>
    <row r="3765" spans="1:18" x14ac:dyDescent="0.35">
      <c r="A3765" s="497" t="s">
        <v>5473</v>
      </c>
      <c r="B3765" s="13" t="s">
        <v>5410</v>
      </c>
      <c r="C3765" s="13" t="s">
        <v>2385</v>
      </c>
      <c r="D3765" s="13" t="s">
        <v>5407</v>
      </c>
      <c r="E3765" s="13"/>
      <c r="F3765" s="364">
        <v>6.07</v>
      </c>
      <c r="G3765" s="424">
        <v>6.07</v>
      </c>
      <c r="H3765" s="14">
        <f t="shared" si="1438"/>
        <v>4.8600000000000003</v>
      </c>
      <c r="I3765" s="568"/>
      <c r="J3765" s="549" t="s">
        <v>5804</v>
      </c>
      <c r="L3765" s="55" t="str">
        <f t="shared" si="1441"/>
        <v/>
      </c>
      <c r="M3765" s="37">
        <f t="shared" si="1443"/>
        <v>6.07</v>
      </c>
      <c r="N3765" s="73">
        <f t="shared" si="1442"/>
        <v>6.07</v>
      </c>
      <c r="O3765" s="92"/>
      <c r="P3765" s="92"/>
      <c r="Q3765" s="91"/>
    </row>
    <row r="3766" spans="1:18" x14ac:dyDescent="0.35">
      <c r="A3766" s="497" t="s">
        <v>5474</v>
      </c>
      <c r="B3766" s="13" t="s">
        <v>5410</v>
      </c>
      <c r="C3766" s="13" t="s">
        <v>2385</v>
      </c>
      <c r="D3766" s="13" t="s">
        <v>2906</v>
      </c>
      <c r="E3766" s="13"/>
      <c r="F3766" s="364">
        <v>8.0399999999999991</v>
      </c>
      <c r="G3766" s="424">
        <v>8.0399999999999991</v>
      </c>
      <c r="H3766" s="14">
        <f t="shared" si="1438"/>
        <v>6.43</v>
      </c>
      <c r="I3766" s="568"/>
      <c r="J3766" s="549" t="s">
        <v>5804</v>
      </c>
      <c r="L3766" s="55" t="str">
        <f t="shared" si="1441"/>
        <v/>
      </c>
      <c r="M3766" s="37">
        <f t="shared" si="1443"/>
        <v>8.0400000000000009</v>
      </c>
      <c r="N3766" s="73">
        <f t="shared" si="1442"/>
        <v>6.07</v>
      </c>
      <c r="O3766" s="92" t="s">
        <v>1017</v>
      </c>
      <c r="P3766" s="92"/>
      <c r="Q3766" s="91"/>
    </row>
    <row r="3767" spans="1:18" ht="15" customHeight="1" x14ac:dyDescent="0.35">
      <c r="A3767" s="497" t="s">
        <v>5475</v>
      </c>
      <c r="B3767" s="13" t="s">
        <v>5410</v>
      </c>
      <c r="C3767" s="13" t="s">
        <v>2385</v>
      </c>
      <c r="D3767" s="13" t="s">
        <v>594</v>
      </c>
      <c r="E3767" s="13"/>
      <c r="F3767" s="364">
        <v>7.06</v>
      </c>
      <c r="G3767" s="424">
        <v>7.06</v>
      </c>
      <c r="H3767" s="14">
        <f t="shared" si="1438"/>
        <v>5.65</v>
      </c>
      <c r="I3767" s="568"/>
      <c r="J3767" s="549" t="s">
        <v>5804</v>
      </c>
      <c r="L3767" s="55" t="str">
        <f t="shared" si="1441"/>
        <v/>
      </c>
      <c r="M3767" s="37">
        <f t="shared" si="1443"/>
        <v>7.0600000000000005</v>
      </c>
      <c r="N3767" s="73">
        <f t="shared" si="1442"/>
        <v>6.07</v>
      </c>
      <c r="O3767" s="92"/>
      <c r="P3767" s="92" t="s">
        <v>1017</v>
      </c>
      <c r="Q3767" s="91"/>
    </row>
    <row r="3768" spans="1:18" x14ac:dyDescent="0.35">
      <c r="A3768" s="497" t="s">
        <v>5476</v>
      </c>
      <c r="B3768" s="13" t="s">
        <v>5410</v>
      </c>
      <c r="C3768" s="13" t="s">
        <v>2385</v>
      </c>
      <c r="D3768" s="13" t="s">
        <v>596</v>
      </c>
      <c r="E3768" s="13"/>
      <c r="F3768" s="364">
        <v>8.0399999999999991</v>
      </c>
      <c r="G3768" s="424">
        <v>8.0399999999999991</v>
      </c>
      <c r="H3768" s="14">
        <f t="shared" si="1438"/>
        <v>6.43</v>
      </c>
      <c r="I3768" s="568"/>
      <c r="J3768" s="549" t="s">
        <v>5804</v>
      </c>
      <c r="L3768" s="55" t="str">
        <f t="shared" si="1441"/>
        <v/>
      </c>
      <c r="M3768" s="45">
        <f t="shared" si="1443"/>
        <v>8.0400000000000009</v>
      </c>
      <c r="N3768" s="40">
        <f t="shared" si="1442"/>
        <v>6.07</v>
      </c>
      <c r="O3768" s="94"/>
      <c r="P3768" s="94"/>
      <c r="Q3768" s="93" t="s">
        <v>1017</v>
      </c>
    </row>
    <row r="3769" spans="1:18" ht="15" customHeight="1" x14ac:dyDescent="0.35">
      <c r="A3769" s="496"/>
      <c r="B3769" s="1"/>
      <c r="C3769" s="1"/>
      <c r="D3769" s="1"/>
      <c r="E3769" s="1"/>
      <c r="F3769" s="362"/>
      <c r="G3769" s="425"/>
      <c r="H3769" s="10" t="str">
        <f t="shared" si="1438"/>
        <v/>
      </c>
      <c r="I3769" s="566"/>
      <c r="J3769" s="549" t="s">
        <v>4179</v>
      </c>
      <c r="M3769" s="35">
        <v>2011</v>
      </c>
      <c r="N3769" s="35"/>
      <c r="O3769" s="284">
        <f>ROUND(O$3751*(1-$R$3750)^($M3769-$M$3751),2)</f>
        <v>1.94</v>
      </c>
      <c r="P3769" s="283">
        <f>ROUND(P$3751*(1-$R$3750)^($M3769-$M$3751),2)</f>
        <v>0.97</v>
      </c>
      <c r="Q3769" s="285">
        <f>ROUND(Q$3751*(1-$R$3750)^($M3769-$M$3751),2)</f>
        <v>1.94</v>
      </c>
      <c r="R3769" s="74" t="str">
        <f>"Bonushöhe bei Inbetriebnahme in "&amp;M3769</f>
        <v>Bonushöhe bei Inbetriebnahme in 2011</v>
      </c>
    </row>
    <row r="3770" spans="1:18" ht="15" customHeight="1" x14ac:dyDescent="0.35">
      <c r="A3770" s="497" t="str">
        <f t="shared" ref="A3770:A3777" si="1444">LEFT(A3761,12)&amp;($M$3769-2000)</f>
        <v>KlK250------11</v>
      </c>
      <c r="B3770" s="13" t="s">
        <v>5410</v>
      </c>
      <c r="C3770" s="13" t="str">
        <f t="shared" ref="C3770:C3777" si="1445">"Inbetriebnahme "&amp;$M$3769</f>
        <v>Inbetriebnahme 2011</v>
      </c>
      <c r="D3770" s="13" t="s">
        <v>5406</v>
      </c>
      <c r="E3770" s="13"/>
      <c r="F3770" s="364">
        <f t="shared" ref="F3770:F3777" si="1446">M3770</f>
        <v>6.9</v>
      </c>
      <c r="G3770" s="424">
        <v>6.9</v>
      </c>
      <c r="H3770" s="14">
        <f t="shared" si="1438"/>
        <v>5.52</v>
      </c>
      <c r="I3770" s="568"/>
      <c r="J3770" s="549" t="s">
        <v>5804</v>
      </c>
      <c r="L3770" s="55" t="str">
        <f t="shared" ref="L3770:L3777" si="1447">IF(F3770=M3770,"",FALSE)</f>
        <v/>
      </c>
      <c r="M3770" s="37">
        <f t="shared" ref="M3770:M3777" si="1448">N3770+SUMIF(O3770:Q3770,"x",O$3769:Q$3769)</f>
        <v>6.9</v>
      </c>
      <c r="N3770" s="73">
        <f t="shared" ref="N3770:N3777" si="1449">ROUND(N3752*(1-$R$3750)^($M$3769-$M$3751),2)</f>
        <v>6.9</v>
      </c>
      <c r="O3770" s="220"/>
      <c r="P3770" s="92"/>
      <c r="Q3770" s="91"/>
    </row>
    <row r="3771" spans="1:18" x14ac:dyDescent="0.35">
      <c r="A3771" s="497" t="str">
        <f t="shared" si="1444"/>
        <v>KlK251------11</v>
      </c>
      <c r="B3771" s="13" t="s">
        <v>5410</v>
      </c>
      <c r="C3771" s="13" t="str">
        <f t="shared" si="1445"/>
        <v>Inbetriebnahme 2011</v>
      </c>
      <c r="D3771" s="13" t="s">
        <v>5516</v>
      </c>
      <c r="E3771" s="13"/>
      <c r="F3771" s="364">
        <f t="shared" si="1446"/>
        <v>8.84</v>
      </c>
      <c r="G3771" s="424">
        <v>8.84</v>
      </c>
      <c r="H3771" s="14">
        <f t="shared" si="1438"/>
        <v>7.07</v>
      </c>
      <c r="I3771" s="568"/>
      <c r="J3771" s="549" t="s">
        <v>5804</v>
      </c>
      <c r="L3771" s="55" t="str">
        <f t="shared" si="1447"/>
        <v/>
      </c>
      <c r="M3771" s="37">
        <f t="shared" si="1448"/>
        <v>8.84</v>
      </c>
      <c r="N3771" s="73">
        <f t="shared" si="1449"/>
        <v>6.9</v>
      </c>
      <c r="O3771" s="92" t="s">
        <v>1017</v>
      </c>
      <c r="P3771" s="92"/>
      <c r="Q3771" s="91"/>
    </row>
    <row r="3772" spans="1:18" x14ac:dyDescent="0.35">
      <c r="A3772" s="497" t="str">
        <f t="shared" si="1444"/>
        <v>KlK252------11</v>
      </c>
      <c r="B3772" s="13" t="s">
        <v>5410</v>
      </c>
      <c r="C3772" s="13" t="str">
        <f t="shared" si="1445"/>
        <v>Inbetriebnahme 2011</v>
      </c>
      <c r="D3772" s="13" t="s">
        <v>5517</v>
      </c>
      <c r="E3772" s="13"/>
      <c r="F3772" s="364">
        <f t="shared" si="1446"/>
        <v>7.87</v>
      </c>
      <c r="G3772" s="424">
        <v>7.87</v>
      </c>
      <c r="H3772" s="14">
        <f t="shared" si="1438"/>
        <v>6.3</v>
      </c>
      <c r="I3772" s="568"/>
      <c r="J3772" s="549" t="s">
        <v>5804</v>
      </c>
      <c r="L3772" s="55" t="str">
        <f t="shared" si="1447"/>
        <v/>
      </c>
      <c r="M3772" s="37">
        <f t="shared" si="1448"/>
        <v>7.87</v>
      </c>
      <c r="N3772" s="73">
        <f t="shared" si="1449"/>
        <v>6.9</v>
      </c>
      <c r="O3772" s="92"/>
      <c r="P3772" s="92" t="s">
        <v>1017</v>
      </c>
      <c r="Q3772" s="91"/>
    </row>
    <row r="3773" spans="1:18" x14ac:dyDescent="0.35">
      <c r="A3773" s="497" t="str">
        <f t="shared" si="1444"/>
        <v>KlK253------11</v>
      </c>
      <c r="B3773" s="13" t="s">
        <v>5410</v>
      </c>
      <c r="C3773" s="13" t="str">
        <f t="shared" si="1445"/>
        <v>Inbetriebnahme 2011</v>
      </c>
      <c r="D3773" s="13" t="s">
        <v>3298</v>
      </c>
      <c r="E3773" s="13"/>
      <c r="F3773" s="364">
        <f t="shared" si="1446"/>
        <v>8.84</v>
      </c>
      <c r="G3773" s="424">
        <v>8.84</v>
      </c>
      <c r="H3773" s="14">
        <f t="shared" si="1438"/>
        <v>7.07</v>
      </c>
      <c r="I3773" s="568"/>
      <c r="J3773" s="549" t="s">
        <v>5804</v>
      </c>
      <c r="L3773" s="55" t="str">
        <f t="shared" si="1447"/>
        <v/>
      </c>
      <c r="M3773" s="37">
        <f t="shared" si="1448"/>
        <v>8.84</v>
      </c>
      <c r="N3773" s="73">
        <f t="shared" si="1449"/>
        <v>6.9</v>
      </c>
      <c r="O3773" s="92"/>
      <c r="P3773" s="92"/>
      <c r="Q3773" s="91" t="s">
        <v>1017</v>
      </c>
    </row>
    <row r="3774" spans="1:18" x14ac:dyDescent="0.35">
      <c r="A3774" s="497" t="str">
        <f t="shared" si="1444"/>
        <v>KlK255------11</v>
      </c>
      <c r="B3774" s="13" t="s">
        <v>5410</v>
      </c>
      <c r="C3774" s="13" t="str">
        <f t="shared" si="1445"/>
        <v>Inbetriebnahme 2011</v>
      </c>
      <c r="D3774" s="13" t="s">
        <v>5407</v>
      </c>
      <c r="E3774" s="13"/>
      <c r="F3774" s="364">
        <f t="shared" si="1446"/>
        <v>5.98</v>
      </c>
      <c r="G3774" s="424">
        <v>5.98</v>
      </c>
      <c r="H3774" s="14">
        <f t="shared" si="1438"/>
        <v>4.78</v>
      </c>
      <c r="I3774" s="568"/>
      <c r="J3774" s="549" t="s">
        <v>5804</v>
      </c>
      <c r="L3774" s="55" t="str">
        <f t="shared" si="1447"/>
        <v/>
      </c>
      <c r="M3774" s="37">
        <f t="shared" si="1448"/>
        <v>5.98</v>
      </c>
      <c r="N3774" s="73">
        <f t="shared" si="1449"/>
        <v>5.98</v>
      </c>
      <c r="O3774" s="92"/>
      <c r="P3774" s="92"/>
      <c r="Q3774" s="91"/>
    </row>
    <row r="3775" spans="1:18" x14ac:dyDescent="0.35">
      <c r="A3775" s="497" t="str">
        <f t="shared" si="1444"/>
        <v>KlK256------11</v>
      </c>
      <c r="B3775" s="13" t="s">
        <v>5410</v>
      </c>
      <c r="C3775" s="13" t="str">
        <f t="shared" si="1445"/>
        <v>Inbetriebnahme 2011</v>
      </c>
      <c r="D3775" s="13" t="s">
        <v>2906</v>
      </c>
      <c r="E3775" s="13"/>
      <c r="F3775" s="364">
        <f t="shared" si="1446"/>
        <v>7.92</v>
      </c>
      <c r="G3775" s="424">
        <v>7.92</v>
      </c>
      <c r="H3775" s="14">
        <f t="shared" si="1438"/>
        <v>6.34</v>
      </c>
      <c r="I3775" s="568"/>
      <c r="J3775" s="549" t="s">
        <v>5804</v>
      </c>
      <c r="L3775" s="55" t="str">
        <f t="shared" si="1447"/>
        <v/>
      </c>
      <c r="M3775" s="37">
        <f t="shared" si="1448"/>
        <v>7.92</v>
      </c>
      <c r="N3775" s="73">
        <f t="shared" si="1449"/>
        <v>5.98</v>
      </c>
      <c r="O3775" s="92" t="s">
        <v>1017</v>
      </c>
      <c r="P3775" s="92"/>
      <c r="Q3775" s="91"/>
    </row>
    <row r="3776" spans="1:18" x14ac:dyDescent="0.35">
      <c r="A3776" s="497" t="str">
        <f t="shared" si="1444"/>
        <v>KlK257------11</v>
      </c>
      <c r="B3776" s="13" t="s">
        <v>5410</v>
      </c>
      <c r="C3776" s="13" t="str">
        <f t="shared" si="1445"/>
        <v>Inbetriebnahme 2011</v>
      </c>
      <c r="D3776" s="13" t="s">
        <v>594</v>
      </c>
      <c r="E3776" s="13"/>
      <c r="F3776" s="364">
        <f t="shared" si="1446"/>
        <v>6.95</v>
      </c>
      <c r="G3776" s="424">
        <v>6.95</v>
      </c>
      <c r="H3776" s="14">
        <f t="shared" si="1438"/>
        <v>5.56</v>
      </c>
      <c r="I3776" s="568"/>
      <c r="J3776" s="549" t="s">
        <v>5804</v>
      </c>
      <c r="L3776" s="55" t="str">
        <f t="shared" si="1447"/>
        <v/>
      </c>
      <c r="M3776" s="37">
        <f t="shared" si="1448"/>
        <v>6.95</v>
      </c>
      <c r="N3776" s="73">
        <f t="shared" si="1449"/>
        <v>5.98</v>
      </c>
      <c r="O3776" s="92"/>
      <c r="P3776" s="92" t="s">
        <v>1017</v>
      </c>
      <c r="Q3776" s="91"/>
    </row>
    <row r="3777" spans="1:45" x14ac:dyDescent="0.35">
      <c r="A3777" s="497" t="str">
        <f t="shared" si="1444"/>
        <v>KlK258------11</v>
      </c>
      <c r="B3777" s="13" t="s">
        <v>5410</v>
      </c>
      <c r="C3777" s="13" t="str">
        <f t="shared" si="1445"/>
        <v>Inbetriebnahme 2011</v>
      </c>
      <c r="D3777" s="13" t="s">
        <v>596</v>
      </c>
      <c r="E3777" s="13"/>
      <c r="F3777" s="364">
        <f t="shared" si="1446"/>
        <v>7.92</v>
      </c>
      <c r="G3777" s="424">
        <v>7.92</v>
      </c>
      <c r="H3777" s="14">
        <f t="shared" si="1438"/>
        <v>6.34</v>
      </c>
      <c r="I3777" s="568"/>
      <c r="J3777" s="549" t="s">
        <v>5804</v>
      </c>
      <c r="L3777" s="55" t="str">
        <f t="shared" si="1447"/>
        <v/>
      </c>
      <c r="M3777" s="45">
        <f t="shared" si="1448"/>
        <v>7.92</v>
      </c>
      <c r="N3777" s="40">
        <f t="shared" si="1449"/>
        <v>5.98</v>
      </c>
      <c r="O3777" s="94"/>
      <c r="P3777" s="94"/>
      <c r="Q3777" s="93" t="s">
        <v>1017</v>
      </c>
    </row>
    <row r="3778" spans="1:45" x14ac:dyDescent="0.35">
      <c r="A3778" s="496"/>
      <c r="B3778" s="1"/>
      <c r="C3778" s="1"/>
      <c r="D3778" s="1"/>
      <c r="E3778" s="1"/>
      <c r="F3778" s="362"/>
      <c r="G3778" s="425"/>
      <c r="H3778" s="10" t="str">
        <f t="shared" si="1438"/>
        <v/>
      </c>
      <c r="I3778" s="566"/>
      <c r="J3778" s="549" t="s">
        <v>4179</v>
      </c>
      <c r="L3778" s="55"/>
      <c r="M3778" s="37"/>
      <c r="N3778" s="29"/>
      <c r="O3778" s="92"/>
      <c r="P3778" s="92"/>
      <c r="Q3778" s="92"/>
    </row>
    <row r="3779" spans="1:45" s="207" customFormat="1" ht="20.25" customHeight="1" x14ac:dyDescent="0.35">
      <c r="A3779" s="496"/>
      <c r="B3779" s="1"/>
      <c r="C3779" s="1"/>
      <c r="D3779" s="1"/>
      <c r="E3779" s="1"/>
      <c r="F3779" s="362"/>
      <c r="G3779" s="425"/>
      <c r="H3779" s="10" t="str">
        <f t="shared" si="1438"/>
        <v/>
      </c>
      <c r="I3779" s="566"/>
      <c r="J3779" s="549" t="s">
        <v>4179</v>
      </c>
      <c r="K3779" s="206"/>
      <c r="M3779" s="53" t="s">
        <v>1781</v>
      </c>
      <c r="N3779" s="209"/>
      <c r="O3779" s="209"/>
    </row>
    <row r="3780" spans="1:45" s="187" customFormat="1" ht="39.75" customHeight="1" x14ac:dyDescent="0.35">
      <c r="A3780" s="508"/>
      <c r="B3780" s="181"/>
      <c r="C3780" s="182"/>
      <c r="D3780" s="182"/>
      <c r="E3780" s="181"/>
      <c r="F3780" s="380"/>
      <c r="G3780" s="436"/>
      <c r="H3780" s="404" t="str">
        <f t="shared" si="1438"/>
        <v/>
      </c>
      <c r="I3780" s="582"/>
      <c r="J3780" s="549" t="s">
        <v>4179</v>
      </c>
      <c r="K3780" s="184"/>
      <c r="L3780" s="184"/>
      <c r="M3780" s="185">
        <v>2012</v>
      </c>
      <c r="N3780" s="184"/>
      <c r="O3780" s="919" t="s">
        <v>1745</v>
      </c>
      <c r="P3780" s="920"/>
      <c r="Q3780" s="921"/>
      <c r="R3780" s="213"/>
      <c r="S3780" s="213"/>
      <c r="T3780" s="213"/>
      <c r="U3780" s="213"/>
      <c r="V3780" s="213"/>
      <c r="W3780" s="213"/>
      <c r="X3780" s="213"/>
      <c r="Y3780" s="186"/>
    </row>
    <row r="3781" spans="1:45" s="187" customFormat="1" ht="57.75" customHeight="1" x14ac:dyDescent="0.35">
      <c r="A3781" s="508"/>
      <c r="B3781" s="181"/>
      <c r="C3781" s="182"/>
      <c r="D3781" s="182"/>
      <c r="E3781" s="181"/>
      <c r="F3781" s="380"/>
      <c r="G3781" s="436"/>
      <c r="H3781" s="404" t="str">
        <f t="shared" si="1438"/>
        <v/>
      </c>
      <c r="I3781" s="582"/>
      <c r="J3781" s="549" t="s">
        <v>4179</v>
      </c>
      <c r="K3781" s="184"/>
      <c r="L3781" s="184"/>
      <c r="M3781" s="191" t="s">
        <v>2913</v>
      </c>
      <c r="N3781" s="192" t="s">
        <v>502</v>
      </c>
      <c r="O3781" s="196" t="s">
        <v>1746</v>
      </c>
      <c r="P3781" s="197" t="s">
        <v>1747</v>
      </c>
      <c r="Q3781" s="198" t="s">
        <v>1748</v>
      </c>
      <c r="V3781" s="214"/>
      <c r="W3781" s="214"/>
      <c r="X3781" s="214"/>
    </row>
    <row r="3782" spans="1:45" ht="21.5" x14ac:dyDescent="0.35">
      <c r="A3782" s="496"/>
      <c r="B3782" s="1"/>
      <c r="C3782" s="18"/>
      <c r="D3782" s="18"/>
      <c r="E3782" s="1"/>
      <c r="F3782" s="375"/>
      <c r="G3782" s="432"/>
      <c r="H3782" s="401" t="str">
        <f t="shared" si="1438"/>
        <v/>
      </c>
      <c r="I3782" s="578"/>
      <c r="J3782" s="549" t="s">
        <v>4179</v>
      </c>
      <c r="K3782" s="22"/>
      <c r="L3782" s="22"/>
      <c r="M3782" s="34"/>
      <c r="N3782" s="30"/>
      <c r="O3782" s="199" t="s">
        <v>1740</v>
      </c>
      <c r="P3782" s="200" t="s">
        <v>1741</v>
      </c>
      <c r="Q3782" s="201" t="s">
        <v>1742</v>
      </c>
      <c r="R3782" s="95" t="s">
        <v>505</v>
      </c>
      <c r="S3782" s="200" t="s">
        <v>1740</v>
      </c>
      <c r="T3782" s="200" t="s">
        <v>1741</v>
      </c>
      <c r="U3782" s="200" t="s">
        <v>1742</v>
      </c>
      <c r="V3782" s="200"/>
      <c r="W3782" s="200"/>
      <c r="X3782" s="200"/>
    </row>
    <row r="3783" spans="1:45" x14ac:dyDescent="0.35">
      <c r="A3783" s="496"/>
      <c r="B3783" s="1"/>
      <c r="C3783" s="1"/>
      <c r="D3783" s="1"/>
      <c r="E3783" s="1"/>
      <c r="F3783" s="375"/>
      <c r="G3783" s="432"/>
      <c r="H3783" s="401" t="str">
        <f t="shared" si="1438"/>
        <v/>
      </c>
      <c r="I3783" s="578"/>
      <c r="J3783" s="549" t="s">
        <v>4179</v>
      </c>
      <c r="L3783" s="56"/>
      <c r="M3783" s="35">
        <v>2012</v>
      </c>
      <c r="N3783" s="28"/>
      <c r="O3783" s="33">
        <v>3</v>
      </c>
      <c r="P3783" s="28">
        <v>2</v>
      </c>
      <c r="Q3783" s="40">
        <v>1</v>
      </c>
      <c r="R3783" s="219">
        <v>1.4999999999999999E-2</v>
      </c>
      <c r="S3783" s="29">
        <v>3</v>
      </c>
      <c r="T3783" s="29">
        <v>2</v>
      </c>
      <c r="U3783" s="29">
        <v>1</v>
      </c>
      <c r="V3783" s="159" t="str">
        <f xml:space="preserve"> "Bonushöhe bei Inbetriebnahme in " &amp; M3783</f>
        <v>Bonushöhe bei Inbetriebnahme in 2012</v>
      </c>
      <c r="W3783" s="29"/>
      <c r="X3783" s="29"/>
      <c r="Y3783" s="29"/>
      <c r="Z3783" s="29"/>
      <c r="AA3783" s="29"/>
      <c r="AB3783" s="29"/>
      <c r="AC3783" s="29"/>
      <c r="AD3783" s="29"/>
      <c r="AE3783" s="29"/>
      <c r="AF3783" s="29"/>
      <c r="AG3783" s="29"/>
      <c r="AK3783" t="s">
        <v>1740</v>
      </c>
      <c r="AL3783" t="s">
        <v>1741</v>
      </c>
      <c r="AM3783" t="s">
        <v>1742</v>
      </c>
      <c r="AN3783" t="s">
        <v>1764</v>
      </c>
      <c r="AO3783" t="s">
        <v>1765</v>
      </c>
      <c r="AP3783" t="s">
        <v>1766</v>
      </c>
      <c r="AQ3783" t="s">
        <v>669</v>
      </c>
      <c r="AR3783" t="s">
        <v>1763</v>
      </c>
    </row>
    <row r="3784" spans="1:45" x14ac:dyDescent="0.35">
      <c r="A3784" s="500" t="str">
        <f>"KlK250"&amp;AN3784&amp;RIGHT("------",6-LEN(AN3784))&amp;RIGHT($M3783,2)</f>
        <v>KlK250------12</v>
      </c>
      <c r="B3784" s="225" t="s">
        <v>5410</v>
      </c>
      <c r="C3784" s="225" t="str">
        <f t="shared" ref="C3784:C3791" si="1450">"Inbetriebnahme "&amp;$M$3783</f>
        <v>Inbetriebnahme 2012</v>
      </c>
      <c r="D3784" s="225" t="str">
        <f t="shared" ref="D3784:D3791" si="1451">IF(COUNTA(O3784:Q3784)=0,AH3784,AH3784&amp;", Bonusregel "&amp;AN3784)</f>
        <v>0-0,5 MW</v>
      </c>
      <c r="E3784" s="225"/>
      <c r="F3784" s="382">
        <f t="shared" ref="F3784:F3791" si="1452">M3784</f>
        <v>6.79</v>
      </c>
      <c r="G3784" s="438">
        <v>6.79</v>
      </c>
      <c r="H3784" s="405">
        <f t="shared" si="1438"/>
        <v>5.43</v>
      </c>
      <c r="I3784" s="584"/>
      <c r="J3784" s="549" t="s">
        <v>5804</v>
      </c>
      <c r="K3784" s="11"/>
      <c r="L3784" s="55" t="str">
        <f t="shared" ref="L3784:L3791" si="1453">IF(F3784=M3784,"",FALSE)</f>
        <v/>
      </c>
      <c r="M3784" s="37">
        <f t="shared" ref="M3784:M3791" si="1454">N3784+SUMIF(O3784:Q3784,"x",$O$3783:$Q$3783)</f>
        <v>6.79</v>
      </c>
      <c r="N3784" s="29">
        <v>6.79</v>
      </c>
      <c r="O3784" s="46"/>
      <c r="P3784" s="22"/>
      <c r="Q3784" s="47"/>
      <c r="AH3784" s="202" t="s">
        <v>5406</v>
      </c>
      <c r="AK3784" t="str">
        <f t="shared" ref="AK3784:AM3791" si="1455">IF(O3784="x",V$3101,"")</f>
        <v/>
      </c>
      <c r="AL3784" t="str">
        <f t="shared" si="1455"/>
        <v/>
      </c>
      <c r="AM3784" t="str">
        <f t="shared" si="1455"/>
        <v/>
      </c>
      <c r="AN3784" t="str">
        <f t="shared" ref="AN3784:AN3791" si="1456">AK3784&amp;AL3784&amp;AM3784</f>
        <v/>
      </c>
      <c r="AO3784" s="203" t="str">
        <f>"BiK27a0"&amp;AN3784&amp;RIGHT("-----",5-LEN(AN3784))&amp;RIGHT($M$3099,2)</f>
        <v>BiK27a0-----12</v>
      </c>
      <c r="AP3784">
        <f t="shared" ref="AP3784:AP3791" si="1457">LEN(AO3784)</f>
        <v>14</v>
      </c>
      <c r="AQ3784" t="str">
        <f t="shared" ref="AQ3784:AQ3791" si="1458">IF(COUNTA(O3784:Q3784)=0,AH3784,AH3784&amp;", Bonusregel "&amp;AN3784)</f>
        <v>0-0,5 MW</v>
      </c>
      <c r="AR3784" t="str">
        <f>IF(COUNTA(#REF!)&gt;1,"Fehler ESVK",IF(COUNTA(O3784:Q3784)&gt;1,"Fehler GAB",IF(AP3784&lt;&gt;14,"Fehler Kategorie","")))</f>
        <v/>
      </c>
      <c r="AS3784" t="str">
        <f>SUBSTITUTE(AN3784,", ","")</f>
        <v/>
      </c>
    </row>
    <row r="3785" spans="1:45" x14ac:dyDescent="0.35">
      <c r="A3785" s="500" t="str">
        <f>"KlK250"&amp;AN3785&amp;RIGHT("------",6-LEN(AN3785))&amp;RIGHT($M3783,2)</f>
        <v>KlK250G1----12</v>
      </c>
      <c r="B3785" s="225" t="s">
        <v>5410</v>
      </c>
      <c r="C3785" s="225" t="str">
        <f t="shared" si="1450"/>
        <v>Inbetriebnahme 2012</v>
      </c>
      <c r="D3785" s="225" t="str">
        <f t="shared" si="1451"/>
        <v>0-0,5 MW, Bonusregel G1</v>
      </c>
      <c r="E3785" s="225"/>
      <c r="F3785" s="382">
        <f t="shared" si="1452"/>
        <v>9.7899999999999991</v>
      </c>
      <c r="G3785" s="438">
        <v>9.7899999999999991</v>
      </c>
      <c r="H3785" s="405">
        <f t="shared" si="1438"/>
        <v>7.83</v>
      </c>
      <c r="I3785" s="584"/>
      <c r="J3785" s="549" t="s">
        <v>5804</v>
      </c>
      <c r="K3785" s="11"/>
      <c r="L3785" s="55" t="str">
        <f t="shared" si="1453"/>
        <v/>
      </c>
      <c r="M3785" s="37">
        <f t="shared" si="1454"/>
        <v>9.7899999999999991</v>
      </c>
      <c r="N3785" s="29">
        <f>N3784</f>
        <v>6.79</v>
      </c>
      <c r="O3785" s="179" t="s">
        <v>1017</v>
      </c>
      <c r="P3785" s="22"/>
      <c r="Q3785" s="38"/>
      <c r="AH3785" s="202" t="s">
        <v>5406</v>
      </c>
      <c r="AK3785" t="str">
        <f t="shared" si="1455"/>
        <v>G1</v>
      </c>
      <c r="AL3785" t="str">
        <f t="shared" si="1455"/>
        <v/>
      </c>
      <c r="AM3785" t="str">
        <f t="shared" si="1455"/>
        <v/>
      </c>
      <c r="AN3785" t="str">
        <f t="shared" si="1456"/>
        <v>G1</v>
      </c>
      <c r="AO3785" s="203" t="str">
        <f>"BiK27a0"&amp;AN3785&amp;RIGHT("-----",5-LEN(AN3785))&amp;RIGHT($M$3099,2)</f>
        <v>BiK27a0G1---12</v>
      </c>
      <c r="AP3785">
        <f t="shared" si="1457"/>
        <v>14</v>
      </c>
      <c r="AQ3785" t="str">
        <f t="shared" si="1458"/>
        <v>0-0,5 MW, Bonusregel G1</v>
      </c>
      <c r="AR3785" t="str">
        <f>IF(COUNTA(#REF!)&gt;1,"Fehler ESVK",IF(COUNTA(O3785:Q3785)&gt;1,"Fehler GAB",IF(AP3785&lt;&gt;14,"Fehler Kategorie","")))</f>
        <v/>
      </c>
    </row>
    <row r="3786" spans="1:45" x14ac:dyDescent="0.35">
      <c r="A3786" s="500" t="str">
        <f>"KlK250"&amp;AN3786&amp;RIGHT("------",6-LEN(AN3786))&amp;RIGHT($M3783,2)</f>
        <v>KlK250G2----12</v>
      </c>
      <c r="B3786" s="225" t="s">
        <v>5410</v>
      </c>
      <c r="C3786" s="225" t="str">
        <f t="shared" si="1450"/>
        <v>Inbetriebnahme 2012</v>
      </c>
      <c r="D3786" s="225" t="str">
        <f t="shared" si="1451"/>
        <v>0-0,5 MW, Bonusregel G2</v>
      </c>
      <c r="E3786" s="225"/>
      <c r="F3786" s="382">
        <f t="shared" si="1452"/>
        <v>8.7899999999999991</v>
      </c>
      <c r="G3786" s="438">
        <v>8.7899999999999991</v>
      </c>
      <c r="H3786" s="405">
        <f t="shared" si="1438"/>
        <v>7.03</v>
      </c>
      <c r="I3786" s="584"/>
      <c r="J3786" s="549" t="s">
        <v>5804</v>
      </c>
      <c r="K3786" s="11"/>
      <c r="L3786" s="55" t="str">
        <f t="shared" si="1453"/>
        <v/>
      </c>
      <c r="M3786" s="37">
        <f t="shared" si="1454"/>
        <v>8.7899999999999991</v>
      </c>
      <c r="N3786" s="29">
        <f>N3785</f>
        <v>6.79</v>
      </c>
      <c r="O3786" s="179"/>
      <c r="P3786" s="22" t="s">
        <v>1017</v>
      </c>
      <c r="Q3786" s="38"/>
      <c r="AH3786" s="202" t="s">
        <v>5406</v>
      </c>
      <c r="AK3786" t="str">
        <f t="shared" si="1455"/>
        <v/>
      </c>
      <c r="AL3786" t="str">
        <f t="shared" si="1455"/>
        <v>G2</v>
      </c>
      <c r="AM3786" t="str">
        <f t="shared" si="1455"/>
        <v/>
      </c>
      <c r="AN3786" t="str">
        <f t="shared" si="1456"/>
        <v>G2</v>
      </c>
      <c r="AO3786" s="203" t="str">
        <f>"BiK27a0"&amp;AN3786&amp;RIGHT("-----",5-LEN(AN3786))&amp;RIGHT($M$3099,2)</f>
        <v>BiK27a0G2---12</v>
      </c>
      <c r="AP3786">
        <f t="shared" si="1457"/>
        <v>14</v>
      </c>
      <c r="AQ3786" t="str">
        <f t="shared" si="1458"/>
        <v>0-0,5 MW, Bonusregel G2</v>
      </c>
      <c r="AR3786" t="str">
        <f>IF(COUNTA(#REF!)&gt;1,"Fehler ESVK",IF(COUNTA(O3786:Q3786)&gt;1,"Fehler GAB",IF(AP3786&lt;&gt;14,"Fehler Kategorie","")))</f>
        <v/>
      </c>
    </row>
    <row r="3787" spans="1:45" x14ac:dyDescent="0.35">
      <c r="A3787" s="500" t="str">
        <f>"KlK250"&amp;AN3787&amp;RIGHT("------",6-LEN(AN3787))&amp;RIGHT($M3783,2)</f>
        <v>KlK250G3----12</v>
      </c>
      <c r="B3787" s="225" t="s">
        <v>5410</v>
      </c>
      <c r="C3787" s="225" t="str">
        <f t="shared" si="1450"/>
        <v>Inbetriebnahme 2012</v>
      </c>
      <c r="D3787" s="225" t="str">
        <f t="shared" si="1451"/>
        <v>0-0,5 MW, Bonusregel G3</v>
      </c>
      <c r="E3787" s="225"/>
      <c r="F3787" s="382">
        <f t="shared" si="1452"/>
        <v>7.79</v>
      </c>
      <c r="G3787" s="438">
        <v>7.79</v>
      </c>
      <c r="H3787" s="405">
        <f t="shared" si="1438"/>
        <v>6.23</v>
      </c>
      <c r="I3787" s="584"/>
      <c r="J3787" s="549" t="s">
        <v>5804</v>
      </c>
      <c r="K3787" s="11"/>
      <c r="L3787" s="55" t="str">
        <f t="shared" si="1453"/>
        <v/>
      </c>
      <c r="M3787" s="37">
        <f t="shared" si="1454"/>
        <v>7.79</v>
      </c>
      <c r="N3787" s="29">
        <f>N3786</f>
        <v>6.79</v>
      </c>
      <c r="O3787" s="179"/>
      <c r="P3787" s="22"/>
      <c r="Q3787" s="38" t="s">
        <v>1017</v>
      </c>
      <c r="AH3787" s="202" t="s">
        <v>5406</v>
      </c>
      <c r="AK3787" t="str">
        <f t="shared" si="1455"/>
        <v/>
      </c>
      <c r="AL3787" t="str">
        <f t="shared" si="1455"/>
        <v/>
      </c>
      <c r="AM3787" t="str">
        <f t="shared" si="1455"/>
        <v>G3</v>
      </c>
      <c r="AN3787" t="str">
        <f t="shared" si="1456"/>
        <v>G3</v>
      </c>
      <c r="AO3787" s="203" t="str">
        <f>"BiK27a0"&amp;AN3787&amp;RIGHT("-----",5-LEN(AN3787))&amp;RIGHT($M$3099,2)</f>
        <v>BiK27a0G3---12</v>
      </c>
      <c r="AP3787">
        <f t="shared" si="1457"/>
        <v>14</v>
      </c>
      <c r="AQ3787" t="str">
        <f t="shared" si="1458"/>
        <v>0-0,5 MW, Bonusregel G3</v>
      </c>
      <c r="AR3787" t="str">
        <f>IF(COUNTA(#REF!)&gt;1,"Fehler ESVK",IF(COUNTA(O3787:Q3787)&gt;1,"Fehler GAB",IF(AP3787&lt;&gt;14,"Fehler Kategorie","")))</f>
        <v/>
      </c>
    </row>
    <row r="3788" spans="1:45" x14ac:dyDescent="0.35">
      <c r="A3788" s="500" t="str">
        <f>"KlK251"&amp;AN3788&amp;RIGHT("------",6-LEN(AN3788))&amp;RIGHT($M3783,2)</f>
        <v>KlK251------12</v>
      </c>
      <c r="B3788" s="225" t="s">
        <v>5410</v>
      </c>
      <c r="C3788" s="225" t="str">
        <f t="shared" si="1450"/>
        <v>Inbetriebnahme 2012</v>
      </c>
      <c r="D3788" s="225" t="str">
        <f t="shared" si="1451"/>
        <v>0,5-5 MW</v>
      </c>
      <c r="E3788" s="225"/>
      <c r="F3788" s="382">
        <f t="shared" si="1452"/>
        <v>5.89</v>
      </c>
      <c r="G3788" s="438">
        <v>5.89</v>
      </c>
      <c r="H3788" s="405">
        <f t="shared" si="1438"/>
        <v>4.71</v>
      </c>
      <c r="I3788" s="584"/>
      <c r="J3788" s="549" t="s">
        <v>5804</v>
      </c>
      <c r="K3788" s="11"/>
      <c r="L3788" s="55" t="str">
        <f t="shared" si="1453"/>
        <v/>
      </c>
      <c r="M3788" s="37">
        <f t="shared" si="1454"/>
        <v>5.89</v>
      </c>
      <c r="N3788" s="29">
        <v>5.89</v>
      </c>
      <c r="O3788" s="179"/>
      <c r="P3788" s="22"/>
      <c r="Q3788" s="38"/>
      <c r="AH3788" s="202" t="s">
        <v>5407</v>
      </c>
      <c r="AK3788" t="str">
        <f t="shared" si="1455"/>
        <v/>
      </c>
      <c r="AL3788" t="str">
        <f t="shared" si="1455"/>
        <v/>
      </c>
      <c r="AM3788" t="str">
        <f t="shared" si="1455"/>
        <v/>
      </c>
      <c r="AN3788" t="str">
        <f t="shared" si="1456"/>
        <v/>
      </c>
      <c r="AO3788" s="203" t="str">
        <f>"BiK27a1"&amp;AN3788&amp;RIGHT("-----",5-LEN(AN3788))&amp;RIGHT($M$3099,2)</f>
        <v>BiK27a1-----12</v>
      </c>
      <c r="AP3788">
        <f t="shared" si="1457"/>
        <v>14</v>
      </c>
      <c r="AQ3788" t="str">
        <f t="shared" si="1458"/>
        <v>0,5-5 MW</v>
      </c>
      <c r="AR3788" t="str">
        <f>IF(COUNTA(#REF!)&gt;1,"Fehler ESVK",IF(COUNTA(O3788:Q3788)&gt;1,"Fehler GAB",IF(AP3788&lt;&gt;14,"Fehler Kategorie","")))</f>
        <v/>
      </c>
    </row>
    <row r="3789" spans="1:45" x14ac:dyDescent="0.35">
      <c r="A3789" s="500" t="str">
        <f>"KlK251"&amp;AN3789&amp;RIGHT("------",6-LEN(AN3789))&amp;RIGHT($M3783,2)</f>
        <v>KlK251G1----12</v>
      </c>
      <c r="B3789" s="225" t="s">
        <v>5410</v>
      </c>
      <c r="C3789" s="225" t="str">
        <f t="shared" si="1450"/>
        <v>Inbetriebnahme 2012</v>
      </c>
      <c r="D3789" s="225" t="str">
        <f t="shared" si="1451"/>
        <v>0,5-5 MW, Bonusregel G1</v>
      </c>
      <c r="E3789" s="225"/>
      <c r="F3789" s="382">
        <f t="shared" si="1452"/>
        <v>8.89</v>
      </c>
      <c r="G3789" s="438">
        <v>8.89</v>
      </c>
      <c r="H3789" s="405">
        <f t="shared" si="1438"/>
        <v>7.11</v>
      </c>
      <c r="I3789" s="584"/>
      <c r="J3789" s="549" t="s">
        <v>5804</v>
      </c>
      <c r="K3789" s="11"/>
      <c r="L3789" s="55" t="str">
        <f t="shared" si="1453"/>
        <v/>
      </c>
      <c r="M3789" s="37">
        <f t="shared" si="1454"/>
        <v>8.89</v>
      </c>
      <c r="N3789" s="29">
        <f>N3788</f>
        <v>5.89</v>
      </c>
      <c r="O3789" s="179" t="s">
        <v>1017</v>
      </c>
      <c r="P3789" s="22"/>
      <c r="Q3789" s="38"/>
      <c r="AH3789" s="202" t="s">
        <v>5407</v>
      </c>
      <c r="AK3789" t="str">
        <f t="shared" si="1455"/>
        <v>G1</v>
      </c>
      <c r="AL3789" t="str">
        <f t="shared" si="1455"/>
        <v/>
      </c>
      <c r="AM3789" t="str">
        <f t="shared" si="1455"/>
        <v/>
      </c>
      <c r="AN3789" t="str">
        <f t="shared" si="1456"/>
        <v>G1</v>
      </c>
      <c r="AO3789" s="203" t="str">
        <f>"BiK27a1"&amp;AN3789&amp;RIGHT("-----",5-LEN(AN3789))&amp;RIGHT($M$3099,2)</f>
        <v>BiK27a1G1---12</v>
      </c>
      <c r="AP3789">
        <f t="shared" si="1457"/>
        <v>14</v>
      </c>
      <c r="AQ3789" t="str">
        <f t="shared" si="1458"/>
        <v>0,5-5 MW, Bonusregel G1</v>
      </c>
      <c r="AR3789" t="str">
        <f>IF(COUNTA(#REF!)&gt;1,"Fehler ESVK",IF(COUNTA(O3789:Q3789)&gt;1,"Fehler GAB",IF(AP3789&lt;&gt;14,"Fehler Kategorie","")))</f>
        <v/>
      </c>
    </row>
    <row r="3790" spans="1:45" x14ac:dyDescent="0.35">
      <c r="A3790" s="500" t="str">
        <f>"KlK251"&amp;AN3790&amp;RIGHT("------",6-LEN(AN3790))&amp;RIGHT($M3783,2)</f>
        <v>KlK251G2----12</v>
      </c>
      <c r="B3790" s="225" t="s">
        <v>5410</v>
      </c>
      <c r="C3790" s="225" t="str">
        <f t="shared" si="1450"/>
        <v>Inbetriebnahme 2012</v>
      </c>
      <c r="D3790" s="225" t="str">
        <f t="shared" si="1451"/>
        <v>0,5-5 MW, Bonusregel G2</v>
      </c>
      <c r="E3790" s="225"/>
      <c r="F3790" s="382">
        <f t="shared" si="1452"/>
        <v>7.89</v>
      </c>
      <c r="G3790" s="438">
        <v>7.89</v>
      </c>
      <c r="H3790" s="405">
        <f t="shared" si="1438"/>
        <v>6.31</v>
      </c>
      <c r="I3790" s="584"/>
      <c r="J3790" s="549" t="s">
        <v>5804</v>
      </c>
      <c r="K3790" s="11"/>
      <c r="L3790" s="55" t="str">
        <f t="shared" si="1453"/>
        <v/>
      </c>
      <c r="M3790" s="37">
        <f t="shared" si="1454"/>
        <v>7.89</v>
      </c>
      <c r="N3790" s="29">
        <f>N3789</f>
        <v>5.89</v>
      </c>
      <c r="O3790" s="179"/>
      <c r="P3790" s="22" t="s">
        <v>1017</v>
      </c>
      <c r="Q3790" s="38"/>
      <c r="AH3790" s="202" t="s">
        <v>5407</v>
      </c>
      <c r="AK3790" t="str">
        <f t="shared" si="1455"/>
        <v/>
      </c>
      <c r="AL3790" t="str">
        <f t="shared" si="1455"/>
        <v>G2</v>
      </c>
      <c r="AM3790" t="str">
        <f t="shared" si="1455"/>
        <v/>
      </c>
      <c r="AN3790" t="str">
        <f t="shared" si="1456"/>
        <v>G2</v>
      </c>
      <c r="AO3790" s="203" t="str">
        <f>"BiK27a1"&amp;AN3790&amp;RIGHT("-----",5-LEN(AN3790))&amp;RIGHT($M$3099,2)</f>
        <v>BiK27a1G2---12</v>
      </c>
      <c r="AP3790">
        <f t="shared" si="1457"/>
        <v>14</v>
      </c>
      <c r="AQ3790" t="str">
        <f t="shared" si="1458"/>
        <v>0,5-5 MW, Bonusregel G2</v>
      </c>
      <c r="AR3790" t="str">
        <f>IF(COUNTA(#REF!)&gt;1,"Fehler ESVK",IF(COUNTA(O3790:Q3790)&gt;1,"Fehler GAB",IF(AP3790&lt;&gt;14,"Fehler Kategorie","")))</f>
        <v/>
      </c>
    </row>
    <row r="3791" spans="1:45" x14ac:dyDescent="0.35">
      <c r="A3791" s="500" t="str">
        <f>"KlK251"&amp;AN3791&amp;RIGHT("------",6-LEN(AN3791))&amp;RIGHT($M3783,2)</f>
        <v>KlK251G3----12</v>
      </c>
      <c r="B3791" s="225" t="s">
        <v>5410</v>
      </c>
      <c r="C3791" s="225" t="str">
        <f t="shared" si="1450"/>
        <v>Inbetriebnahme 2012</v>
      </c>
      <c r="D3791" s="225" t="str">
        <f t="shared" si="1451"/>
        <v>0,5-5 MW, Bonusregel G3</v>
      </c>
      <c r="E3791" s="225"/>
      <c r="F3791" s="382">
        <f t="shared" si="1452"/>
        <v>6.89</v>
      </c>
      <c r="G3791" s="438">
        <v>6.89</v>
      </c>
      <c r="H3791" s="405">
        <f t="shared" si="1438"/>
        <v>5.51</v>
      </c>
      <c r="I3791" s="584"/>
      <c r="J3791" s="549" t="s">
        <v>5804</v>
      </c>
      <c r="K3791" s="11"/>
      <c r="L3791" s="55" t="str">
        <f t="shared" si="1453"/>
        <v/>
      </c>
      <c r="M3791" s="45">
        <f t="shared" si="1454"/>
        <v>6.89</v>
      </c>
      <c r="N3791" s="28">
        <f>N3790</f>
        <v>5.89</v>
      </c>
      <c r="O3791" s="288"/>
      <c r="P3791" s="69"/>
      <c r="Q3791" s="90" t="s">
        <v>1017</v>
      </c>
      <c r="AH3791" s="202" t="s">
        <v>5407</v>
      </c>
      <c r="AK3791" t="str">
        <f t="shared" si="1455"/>
        <v/>
      </c>
      <c r="AL3791" t="str">
        <f t="shared" si="1455"/>
        <v/>
      </c>
      <c r="AM3791" t="str">
        <f t="shared" si="1455"/>
        <v>G3</v>
      </c>
      <c r="AN3791" t="str">
        <f t="shared" si="1456"/>
        <v>G3</v>
      </c>
      <c r="AO3791" s="203" t="str">
        <f>"BiK27a1"&amp;AN3791&amp;RIGHT("-----",5-LEN(AN3791))&amp;RIGHT($M$3099,2)</f>
        <v>BiK27a1G3---12</v>
      </c>
      <c r="AP3791">
        <f t="shared" si="1457"/>
        <v>14</v>
      </c>
      <c r="AQ3791" t="str">
        <f t="shared" si="1458"/>
        <v>0,5-5 MW, Bonusregel G3</v>
      </c>
      <c r="AR3791" t="str">
        <f>IF(COUNTA(#REF!)&gt;1,"Fehler ESVK",IF(COUNTA(O3791:Q3791)&gt;1,"Fehler GAB",IF(AP3791&lt;&gt;14,"Fehler Kategorie","")))</f>
        <v/>
      </c>
    </row>
    <row r="3792" spans="1:45" x14ac:dyDescent="0.35">
      <c r="A3792" s="496"/>
      <c r="B3792" s="1"/>
      <c r="C3792" s="1"/>
      <c r="D3792" s="1"/>
      <c r="E3792" s="1"/>
      <c r="F3792" s="375"/>
      <c r="G3792" s="432"/>
      <c r="H3792" s="401" t="str">
        <f t="shared" si="1438"/>
        <v/>
      </c>
      <c r="I3792" s="578"/>
      <c r="J3792" s="549" t="s">
        <v>4179</v>
      </c>
      <c r="L3792" s="56"/>
      <c r="M3792" s="287">
        <v>2013</v>
      </c>
      <c r="N3792" s="28"/>
      <c r="O3792" s="33">
        <f>ROUND(S3792,2)</f>
        <v>2.96</v>
      </c>
      <c r="P3792" s="28">
        <f>ROUND(T3792,2)</f>
        <v>1.97</v>
      </c>
      <c r="Q3792" s="40">
        <f>ROUND(U3792,2)</f>
        <v>0.99</v>
      </c>
      <c r="R3792" s="219">
        <v>1.4999999999999999E-2</v>
      </c>
      <c r="S3792" s="340">
        <f>O3783*(1-$R$3792)</f>
        <v>2.9550000000000001</v>
      </c>
      <c r="T3792" s="340">
        <f>P3783*(1-$R$3792)</f>
        <v>1.97</v>
      </c>
      <c r="U3792" s="340">
        <f>Q3783*(1-$R$3792)</f>
        <v>0.98499999999999999</v>
      </c>
      <c r="V3792" s="159" t="str">
        <f xml:space="preserve"> "Bonushöhe bei Inbetriebnahme in " &amp; M3792</f>
        <v>Bonushöhe bei Inbetriebnahme in 2013</v>
      </c>
      <c r="W3792" s="29"/>
      <c r="X3792" s="29"/>
      <c r="Y3792" s="29"/>
      <c r="Z3792" s="29"/>
      <c r="AA3792" s="29"/>
      <c r="AB3792" s="29"/>
      <c r="AC3792" s="29"/>
      <c r="AD3792" s="29"/>
      <c r="AE3792" s="29"/>
      <c r="AF3792" s="29"/>
      <c r="AG3792" s="29"/>
      <c r="AK3792" t="s">
        <v>1740</v>
      </c>
      <c r="AL3792" t="s">
        <v>1741</v>
      </c>
      <c r="AM3792" t="s">
        <v>1742</v>
      </c>
      <c r="AN3792" t="s">
        <v>1764</v>
      </c>
      <c r="AO3792" t="s">
        <v>1765</v>
      </c>
      <c r="AP3792" t="s">
        <v>1766</v>
      </c>
      <c r="AQ3792" t="s">
        <v>669</v>
      </c>
      <c r="AR3792" t="s">
        <v>1763</v>
      </c>
    </row>
    <row r="3793" spans="1:45" x14ac:dyDescent="0.35">
      <c r="A3793" s="502" t="str">
        <f>"KlK250"&amp;AN3793&amp;RIGHT("------",6-LEN(AN3793))&amp;RIGHT($M3792,2)</f>
        <v>KlK250------13</v>
      </c>
      <c r="B3793" s="301" t="s">
        <v>5410</v>
      </c>
      <c r="C3793" s="301" t="str">
        <f t="shared" ref="C3793:C3800" si="1459">"Inbetriebnahme "&amp;$M$3792</f>
        <v>Inbetriebnahme 2013</v>
      </c>
      <c r="D3793" s="301" t="str">
        <f t="shared" ref="D3793:D3800" si="1460">IF(COUNTA(O3793:Q3793)=0,AH3793,AH3793&amp;", Bonusregel "&amp;AN3793)</f>
        <v>0-0,5 MW</v>
      </c>
      <c r="E3793" s="301"/>
      <c r="F3793" s="377">
        <f t="shared" ref="F3793:F3800" si="1461">M3793</f>
        <v>6.69</v>
      </c>
      <c r="G3793" s="433">
        <v>6.69</v>
      </c>
      <c r="H3793" s="402">
        <f t="shared" si="1438"/>
        <v>5.35</v>
      </c>
      <c r="I3793" s="580"/>
      <c r="J3793" s="549" t="s">
        <v>5804</v>
      </c>
      <c r="K3793" s="11"/>
      <c r="L3793" s="55" t="str">
        <f t="shared" ref="L3793:L3800" si="1462">IF(F3793=M3793,"",FALSE)</f>
        <v/>
      </c>
      <c r="M3793" s="37">
        <f t="shared" ref="M3793:M3800" si="1463">ROUND(N3793,2)+SUMIF(O3793:Q3793,"x",$O$3792:$Q$3792)</f>
        <v>6.69</v>
      </c>
      <c r="N3793" s="29">
        <f t="shared" ref="N3793:N3800" si="1464">N3784*(1-$R$3792)</f>
        <v>6.6881500000000003</v>
      </c>
      <c r="O3793" s="46"/>
      <c r="P3793" s="22"/>
      <c r="Q3793" s="47"/>
      <c r="AH3793" s="202" t="s">
        <v>5406</v>
      </c>
      <c r="AK3793" t="str">
        <f t="shared" ref="AK3793:AM3800" si="1465">IF(O3793="x",V$3101,"")</f>
        <v/>
      </c>
      <c r="AL3793" t="str">
        <f t="shared" si="1465"/>
        <v/>
      </c>
      <c r="AM3793" t="str">
        <f t="shared" si="1465"/>
        <v/>
      </c>
      <c r="AN3793" t="str">
        <f t="shared" ref="AN3793:AN3800" si="1466">AK3793&amp;AL3793&amp;AM3793</f>
        <v/>
      </c>
      <c r="AO3793" s="203" t="str">
        <f>"BiK27a0"&amp;AN3793&amp;RIGHT("-----",5-LEN(AN3793))&amp;RIGHT($M$3792,2)</f>
        <v>BiK27a0-----13</v>
      </c>
      <c r="AP3793">
        <f t="shared" ref="AP3793:AP3800" si="1467">LEN(AO3793)</f>
        <v>14</v>
      </c>
      <c r="AQ3793" t="str">
        <f t="shared" ref="AQ3793:AQ3800" si="1468">IF(COUNTA(O3793:Q3793)=0,AH3793,AH3793&amp;", Bonusregel "&amp;AN3793)</f>
        <v>0-0,5 MW</v>
      </c>
      <c r="AR3793" t="str">
        <f>IF(COUNTA(#REF!)&gt;1,"Fehler ESVK",IF(COUNTA(O3793:Q3793)&gt;1,"Fehler GAB",IF(AP3793&lt;&gt;14,"Fehler Kategorie","")))</f>
        <v/>
      </c>
      <c r="AS3793" t="str">
        <f>SUBSTITUTE(AN3793,", ","")</f>
        <v/>
      </c>
    </row>
    <row r="3794" spans="1:45" x14ac:dyDescent="0.35">
      <c r="A3794" s="502" t="str">
        <f>"KlK250"&amp;AN3794&amp;RIGHT("------",6-LEN(AN3794))&amp;RIGHT($M3792,2)</f>
        <v>KlK250G1----13</v>
      </c>
      <c r="B3794" s="301" t="s">
        <v>5410</v>
      </c>
      <c r="C3794" s="301" t="str">
        <f t="shared" si="1459"/>
        <v>Inbetriebnahme 2013</v>
      </c>
      <c r="D3794" s="301" t="str">
        <f t="shared" si="1460"/>
        <v>0-0,5 MW, Bonusregel G1</v>
      </c>
      <c r="E3794" s="301"/>
      <c r="F3794" s="377">
        <f t="shared" si="1461"/>
        <v>9.65</v>
      </c>
      <c r="G3794" s="433">
        <v>9.65</v>
      </c>
      <c r="H3794" s="402">
        <f t="shared" si="1438"/>
        <v>7.72</v>
      </c>
      <c r="I3794" s="580"/>
      <c r="J3794" s="549" t="s">
        <v>5804</v>
      </c>
      <c r="K3794" s="11"/>
      <c r="L3794" s="55" t="str">
        <f t="shared" si="1462"/>
        <v/>
      </c>
      <c r="M3794" s="37">
        <f t="shared" si="1463"/>
        <v>9.65</v>
      </c>
      <c r="N3794" s="29">
        <f t="shared" si="1464"/>
        <v>6.6881500000000003</v>
      </c>
      <c r="O3794" s="179" t="s">
        <v>1017</v>
      </c>
      <c r="P3794" s="22"/>
      <c r="Q3794" s="38"/>
      <c r="AH3794" s="202" t="s">
        <v>5406</v>
      </c>
      <c r="AK3794" t="str">
        <f t="shared" si="1465"/>
        <v>G1</v>
      </c>
      <c r="AL3794" t="str">
        <f t="shared" si="1465"/>
        <v/>
      </c>
      <c r="AM3794" t="str">
        <f t="shared" si="1465"/>
        <v/>
      </c>
      <c r="AN3794" t="str">
        <f t="shared" si="1466"/>
        <v>G1</v>
      </c>
      <c r="AO3794" s="203" t="str">
        <f>"BiK27a0"&amp;AN3794&amp;RIGHT("-----",5-LEN(AN3794))&amp;RIGHT($M$3792,2)</f>
        <v>BiK27a0G1---13</v>
      </c>
      <c r="AP3794">
        <f t="shared" si="1467"/>
        <v>14</v>
      </c>
      <c r="AQ3794" t="str">
        <f t="shared" si="1468"/>
        <v>0-0,5 MW, Bonusregel G1</v>
      </c>
      <c r="AR3794" t="str">
        <f>IF(COUNTA(#REF!)&gt;1,"Fehler ESVK",IF(COUNTA(O3794:Q3794)&gt;1,"Fehler GAB",IF(AP3794&lt;&gt;14,"Fehler Kategorie","")))</f>
        <v/>
      </c>
    </row>
    <row r="3795" spans="1:45" x14ac:dyDescent="0.35">
      <c r="A3795" s="502" t="str">
        <f>"KlK250"&amp;AN3795&amp;RIGHT("------",6-LEN(AN3795))&amp;RIGHT($M3792,2)</f>
        <v>KlK250G2----13</v>
      </c>
      <c r="B3795" s="301" t="s">
        <v>5410</v>
      </c>
      <c r="C3795" s="301" t="str">
        <f t="shared" si="1459"/>
        <v>Inbetriebnahme 2013</v>
      </c>
      <c r="D3795" s="301" t="str">
        <f t="shared" si="1460"/>
        <v>0-0,5 MW, Bonusregel G2</v>
      </c>
      <c r="E3795" s="301"/>
      <c r="F3795" s="377">
        <f t="shared" si="1461"/>
        <v>8.66</v>
      </c>
      <c r="G3795" s="433">
        <v>8.66</v>
      </c>
      <c r="H3795" s="402">
        <f t="shared" si="1438"/>
        <v>6.93</v>
      </c>
      <c r="I3795" s="580"/>
      <c r="J3795" s="549" t="s">
        <v>5804</v>
      </c>
      <c r="K3795" s="11"/>
      <c r="L3795" s="55" t="str">
        <f t="shared" si="1462"/>
        <v/>
      </c>
      <c r="M3795" s="37">
        <f t="shared" si="1463"/>
        <v>8.66</v>
      </c>
      <c r="N3795" s="29">
        <f t="shared" si="1464"/>
        <v>6.6881500000000003</v>
      </c>
      <c r="O3795" s="179"/>
      <c r="P3795" s="22" t="s">
        <v>1017</v>
      </c>
      <c r="Q3795" s="38"/>
      <c r="AH3795" s="202" t="s">
        <v>5406</v>
      </c>
      <c r="AK3795" t="str">
        <f t="shared" si="1465"/>
        <v/>
      </c>
      <c r="AL3795" t="str">
        <f t="shared" si="1465"/>
        <v>G2</v>
      </c>
      <c r="AM3795" t="str">
        <f t="shared" si="1465"/>
        <v/>
      </c>
      <c r="AN3795" t="str">
        <f t="shared" si="1466"/>
        <v>G2</v>
      </c>
      <c r="AO3795" s="203" t="str">
        <f>"BiK27a0"&amp;AN3795&amp;RIGHT("-----",5-LEN(AN3795))&amp;RIGHT($M$3792,2)</f>
        <v>BiK27a0G2---13</v>
      </c>
      <c r="AP3795">
        <f t="shared" si="1467"/>
        <v>14</v>
      </c>
      <c r="AQ3795" t="str">
        <f t="shared" si="1468"/>
        <v>0-0,5 MW, Bonusregel G2</v>
      </c>
      <c r="AR3795" t="str">
        <f>IF(COUNTA(#REF!)&gt;1,"Fehler ESVK",IF(COUNTA(O3795:Q3795)&gt;1,"Fehler GAB",IF(AP3795&lt;&gt;14,"Fehler Kategorie","")))</f>
        <v/>
      </c>
    </row>
    <row r="3796" spans="1:45" x14ac:dyDescent="0.35">
      <c r="A3796" s="502" t="str">
        <f>"KlK250"&amp;AN3796&amp;RIGHT("------",6-LEN(AN3796))&amp;RIGHT($M3792,2)</f>
        <v>KlK250G3----13</v>
      </c>
      <c r="B3796" s="301" t="s">
        <v>5410</v>
      </c>
      <c r="C3796" s="301" t="str">
        <f t="shared" si="1459"/>
        <v>Inbetriebnahme 2013</v>
      </c>
      <c r="D3796" s="301" t="str">
        <f t="shared" si="1460"/>
        <v>0-0,5 MW, Bonusregel G3</v>
      </c>
      <c r="E3796" s="301"/>
      <c r="F3796" s="377">
        <f t="shared" si="1461"/>
        <v>7.6800000000000006</v>
      </c>
      <c r="G3796" s="433">
        <v>7.6800000000000006</v>
      </c>
      <c r="H3796" s="402">
        <f t="shared" si="1438"/>
        <v>6.14</v>
      </c>
      <c r="I3796" s="580"/>
      <c r="J3796" s="549" t="s">
        <v>5804</v>
      </c>
      <c r="K3796" s="11"/>
      <c r="L3796" s="55" t="str">
        <f t="shared" si="1462"/>
        <v/>
      </c>
      <c r="M3796" s="37">
        <f t="shared" si="1463"/>
        <v>7.6800000000000006</v>
      </c>
      <c r="N3796" s="29">
        <f t="shared" si="1464"/>
        <v>6.6881500000000003</v>
      </c>
      <c r="O3796" s="179"/>
      <c r="P3796" s="22"/>
      <c r="Q3796" s="38" t="s">
        <v>1017</v>
      </c>
      <c r="AH3796" s="202" t="s">
        <v>5406</v>
      </c>
      <c r="AK3796" t="str">
        <f t="shared" si="1465"/>
        <v/>
      </c>
      <c r="AL3796" t="str">
        <f t="shared" si="1465"/>
        <v/>
      </c>
      <c r="AM3796" t="str">
        <f t="shared" si="1465"/>
        <v>G3</v>
      </c>
      <c r="AN3796" t="str">
        <f t="shared" si="1466"/>
        <v>G3</v>
      </c>
      <c r="AO3796" s="203" t="str">
        <f>"BiK27a0"&amp;AN3796&amp;RIGHT("-----",5-LEN(AN3796))&amp;RIGHT($M$3792,2)</f>
        <v>BiK27a0G3---13</v>
      </c>
      <c r="AP3796">
        <f t="shared" si="1467"/>
        <v>14</v>
      </c>
      <c r="AQ3796" t="str">
        <f t="shared" si="1468"/>
        <v>0-0,5 MW, Bonusregel G3</v>
      </c>
      <c r="AR3796" t="str">
        <f>IF(COUNTA(#REF!)&gt;1,"Fehler ESVK",IF(COUNTA(O3796:Q3796)&gt;1,"Fehler GAB",IF(AP3796&lt;&gt;14,"Fehler Kategorie","")))</f>
        <v/>
      </c>
    </row>
    <row r="3797" spans="1:45" x14ac:dyDescent="0.35">
      <c r="A3797" s="502" t="str">
        <f>"KlK251"&amp;AN3797&amp;RIGHT("------",6-LEN(AN3797))&amp;RIGHT($M3792,2)</f>
        <v>KlK251------13</v>
      </c>
      <c r="B3797" s="301" t="s">
        <v>5410</v>
      </c>
      <c r="C3797" s="301" t="str">
        <f t="shared" si="1459"/>
        <v>Inbetriebnahme 2013</v>
      </c>
      <c r="D3797" s="301" t="str">
        <f t="shared" si="1460"/>
        <v>0,5-5 MW</v>
      </c>
      <c r="E3797" s="301"/>
      <c r="F3797" s="377">
        <f t="shared" si="1461"/>
        <v>5.8</v>
      </c>
      <c r="G3797" s="433">
        <v>5.8</v>
      </c>
      <c r="H3797" s="402">
        <f t="shared" si="1438"/>
        <v>4.6399999999999997</v>
      </c>
      <c r="I3797" s="580"/>
      <c r="J3797" s="549" t="s">
        <v>5804</v>
      </c>
      <c r="K3797" s="11"/>
      <c r="L3797" s="55" t="str">
        <f t="shared" si="1462"/>
        <v/>
      </c>
      <c r="M3797" s="37">
        <f t="shared" si="1463"/>
        <v>5.8</v>
      </c>
      <c r="N3797" s="29">
        <f t="shared" si="1464"/>
        <v>5.8016499999999995</v>
      </c>
      <c r="O3797" s="179"/>
      <c r="P3797" s="22"/>
      <c r="Q3797" s="38"/>
      <c r="AH3797" s="202" t="s">
        <v>5407</v>
      </c>
      <c r="AK3797" t="str">
        <f t="shared" si="1465"/>
        <v/>
      </c>
      <c r="AL3797" t="str">
        <f t="shared" si="1465"/>
        <v/>
      </c>
      <c r="AM3797" t="str">
        <f t="shared" si="1465"/>
        <v/>
      </c>
      <c r="AN3797" t="str">
        <f t="shared" si="1466"/>
        <v/>
      </c>
      <c r="AO3797" s="203" t="str">
        <f>"BiK27a1"&amp;AN3797&amp;RIGHT("-----",5-LEN(AN3797))&amp;RIGHT($M$3792,2)</f>
        <v>BiK27a1-----13</v>
      </c>
      <c r="AP3797">
        <f t="shared" si="1467"/>
        <v>14</v>
      </c>
      <c r="AQ3797" t="str">
        <f t="shared" si="1468"/>
        <v>0,5-5 MW</v>
      </c>
      <c r="AR3797" t="str">
        <f>IF(COUNTA(#REF!)&gt;1,"Fehler ESVK",IF(COUNTA(O3797:Q3797)&gt;1,"Fehler GAB",IF(AP3797&lt;&gt;14,"Fehler Kategorie","")))</f>
        <v/>
      </c>
    </row>
    <row r="3798" spans="1:45" x14ac:dyDescent="0.35">
      <c r="A3798" s="502" t="str">
        <f>"KlK251"&amp;AN3798&amp;RIGHT("------",6-LEN(AN3798))&amp;RIGHT($M3792,2)</f>
        <v>KlK251G1----13</v>
      </c>
      <c r="B3798" s="301" t="s">
        <v>5410</v>
      </c>
      <c r="C3798" s="301" t="str">
        <f t="shared" si="1459"/>
        <v>Inbetriebnahme 2013</v>
      </c>
      <c r="D3798" s="301" t="str">
        <f t="shared" si="1460"/>
        <v>0,5-5 MW, Bonusregel G1</v>
      </c>
      <c r="E3798" s="301"/>
      <c r="F3798" s="377">
        <f t="shared" si="1461"/>
        <v>8.76</v>
      </c>
      <c r="G3798" s="433">
        <v>8.76</v>
      </c>
      <c r="H3798" s="402">
        <f t="shared" si="1438"/>
        <v>7.01</v>
      </c>
      <c r="I3798" s="580"/>
      <c r="J3798" s="549" t="s">
        <v>5804</v>
      </c>
      <c r="K3798" s="11"/>
      <c r="L3798" s="55" t="str">
        <f t="shared" si="1462"/>
        <v/>
      </c>
      <c r="M3798" s="37">
        <f t="shared" si="1463"/>
        <v>8.76</v>
      </c>
      <c r="N3798" s="29">
        <f t="shared" si="1464"/>
        <v>5.8016499999999995</v>
      </c>
      <c r="O3798" s="179" t="s">
        <v>1017</v>
      </c>
      <c r="P3798" s="22"/>
      <c r="Q3798" s="38"/>
      <c r="AH3798" s="202" t="s">
        <v>5407</v>
      </c>
      <c r="AK3798" t="str">
        <f t="shared" si="1465"/>
        <v>G1</v>
      </c>
      <c r="AL3798" t="str">
        <f t="shared" si="1465"/>
        <v/>
      </c>
      <c r="AM3798" t="str">
        <f t="shared" si="1465"/>
        <v/>
      </c>
      <c r="AN3798" t="str">
        <f t="shared" si="1466"/>
        <v>G1</v>
      </c>
      <c r="AO3798" s="203" t="str">
        <f>"BiK27a1"&amp;AN3798&amp;RIGHT("-----",5-LEN(AN3798))&amp;RIGHT($M$3792,2)</f>
        <v>BiK27a1G1---13</v>
      </c>
      <c r="AP3798">
        <f t="shared" si="1467"/>
        <v>14</v>
      </c>
      <c r="AQ3798" t="str">
        <f t="shared" si="1468"/>
        <v>0,5-5 MW, Bonusregel G1</v>
      </c>
      <c r="AR3798" t="str">
        <f>IF(COUNTA(#REF!)&gt;1,"Fehler ESVK",IF(COUNTA(O3798:Q3798)&gt;1,"Fehler GAB",IF(AP3798&lt;&gt;14,"Fehler Kategorie","")))</f>
        <v/>
      </c>
    </row>
    <row r="3799" spans="1:45" x14ac:dyDescent="0.35">
      <c r="A3799" s="502" t="str">
        <f>"KlK251"&amp;AN3799&amp;RIGHT("------",6-LEN(AN3799))&amp;RIGHT($M3792,2)</f>
        <v>KlK251G2----13</v>
      </c>
      <c r="B3799" s="301" t="s">
        <v>5410</v>
      </c>
      <c r="C3799" s="301" t="str">
        <f t="shared" si="1459"/>
        <v>Inbetriebnahme 2013</v>
      </c>
      <c r="D3799" s="301" t="str">
        <f t="shared" si="1460"/>
        <v>0,5-5 MW, Bonusregel G2</v>
      </c>
      <c r="E3799" s="301"/>
      <c r="F3799" s="377">
        <f t="shared" si="1461"/>
        <v>7.77</v>
      </c>
      <c r="G3799" s="433">
        <v>7.77</v>
      </c>
      <c r="H3799" s="402">
        <f t="shared" si="1438"/>
        <v>6.22</v>
      </c>
      <c r="I3799" s="580"/>
      <c r="J3799" s="549" t="s">
        <v>5804</v>
      </c>
      <c r="K3799" s="11"/>
      <c r="L3799" s="55" t="str">
        <f t="shared" si="1462"/>
        <v/>
      </c>
      <c r="M3799" s="37">
        <f t="shared" si="1463"/>
        <v>7.77</v>
      </c>
      <c r="N3799" s="29">
        <f t="shared" si="1464"/>
        <v>5.8016499999999995</v>
      </c>
      <c r="O3799" s="179"/>
      <c r="P3799" s="22" t="s">
        <v>1017</v>
      </c>
      <c r="Q3799" s="38"/>
      <c r="AH3799" s="202" t="s">
        <v>5407</v>
      </c>
      <c r="AK3799" t="str">
        <f t="shared" si="1465"/>
        <v/>
      </c>
      <c r="AL3799" t="str">
        <f t="shared" si="1465"/>
        <v>G2</v>
      </c>
      <c r="AM3799" t="str">
        <f t="shared" si="1465"/>
        <v/>
      </c>
      <c r="AN3799" t="str">
        <f t="shared" si="1466"/>
        <v>G2</v>
      </c>
      <c r="AO3799" s="203" t="str">
        <f>"BiK27a1"&amp;AN3799&amp;RIGHT("-----",5-LEN(AN3799))&amp;RIGHT($M$3792,2)</f>
        <v>BiK27a1G2---13</v>
      </c>
      <c r="AP3799">
        <f t="shared" si="1467"/>
        <v>14</v>
      </c>
      <c r="AQ3799" t="str">
        <f t="shared" si="1468"/>
        <v>0,5-5 MW, Bonusregel G2</v>
      </c>
      <c r="AR3799" t="str">
        <f>IF(COUNTA(#REF!)&gt;1,"Fehler ESVK",IF(COUNTA(O3799:Q3799)&gt;1,"Fehler GAB",IF(AP3799&lt;&gt;14,"Fehler Kategorie","")))</f>
        <v/>
      </c>
    </row>
    <row r="3800" spans="1:45" x14ac:dyDescent="0.35">
      <c r="A3800" s="502" t="str">
        <f>"KlK251"&amp;AN3800&amp;RIGHT("------",6-LEN(AN3800))&amp;RIGHT($M3792,2)</f>
        <v>KlK251G3----13</v>
      </c>
      <c r="B3800" s="301" t="s">
        <v>5410</v>
      </c>
      <c r="C3800" s="301" t="str">
        <f t="shared" si="1459"/>
        <v>Inbetriebnahme 2013</v>
      </c>
      <c r="D3800" s="301" t="str">
        <f t="shared" si="1460"/>
        <v>0,5-5 MW, Bonusregel G3</v>
      </c>
      <c r="E3800" s="301"/>
      <c r="F3800" s="377">
        <f t="shared" si="1461"/>
        <v>6.79</v>
      </c>
      <c r="G3800" s="433">
        <v>6.79</v>
      </c>
      <c r="H3800" s="402">
        <f t="shared" si="1438"/>
        <v>5.43</v>
      </c>
      <c r="I3800" s="580"/>
      <c r="J3800" s="549" t="s">
        <v>5804</v>
      </c>
      <c r="K3800" s="11"/>
      <c r="L3800" s="55" t="str">
        <f t="shared" si="1462"/>
        <v/>
      </c>
      <c r="M3800" s="45">
        <f t="shared" si="1463"/>
        <v>6.79</v>
      </c>
      <c r="N3800" s="28">
        <f t="shared" si="1464"/>
        <v>5.8016499999999995</v>
      </c>
      <c r="O3800" s="288"/>
      <c r="P3800" s="69"/>
      <c r="Q3800" s="90" t="s">
        <v>1017</v>
      </c>
      <c r="AH3800" s="202" t="s">
        <v>5407</v>
      </c>
      <c r="AK3800" t="str">
        <f t="shared" si="1465"/>
        <v/>
      </c>
      <c r="AL3800" t="str">
        <f t="shared" si="1465"/>
        <v/>
      </c>
      <c r="AM3800" t="str">
        <f t="shared" si="1465"/>
        <v>G3</v>
      </c>
      <c r="AN3800" t="str">
        <f t="shared" si="1466"/>
        <v>G3</v>
      </c>
      <c r="AO3800" s="203" t="str">
        <f>"BiK27a1"&amp;AN3800&amp;RIGHT("-----",5-LEN(AN3800))&amp;RIGHT($M$3792,2)</f>
        <v>BiK27a1G3---13</v>
      </c>
      <c r="AP3800">
        <f t="shared" si="1467"/>
        <v>14</v>
      </c>
      <c r="AQ3800" t="str">
        <f t="shared" si="1468"/>
        <v>0,5-5 MW, Bonusregel G3</v>
      </c>
      <c r="AR3800" t="str">
        <f>IF(COUNTA(#REF!)&gt;1,"Fehler ESVK",IF(COUNTA(O3800:Q3800)&gt;1,"Fehler GAB",IF(AP3800&lt;&gt;14,"Fehler Kategorie","")))</f>
        <v/>
      </c>
    </row>
    <row r="3801" spans="1:45" x14ac:dyDescent="0.35">
      <c r="A3801" s="496"/>
      <c r="B3801" s="1"/>
      <c r="C3801" s="1"/>
      <c r="D3801" s="1"/>
      <c r="E3801" s="1"/>
      <c r="F3801" s="375"/>
      <c r="G3801" s="425"/>
      <c r="H3801" s="10" t="str">
        <f t="shared" si="1438"/>
        <v/>
      </c>
      <c r="I3801" s="566"/>
      <c r="J3801" s="549" t="s">
        <v>4179</v>
      </c>
      <c r="L3801" s="327"/>
      <c r="M3801" s="328">
        <v>2014</v>
      </c>
      <c r="N3801" s="28"/>
      <c r="O3801" s="33">
        <f>ROUND(S3801,2)</f>
        <v>2.91</v>
      </c>
      <c r="P3801" s="28">
        <f>ROUND(T3801,2)</f>
        <v>1.94</v>
      </c>
      <c r="Q3801" s="40">
        <f>ROUND(U3801,2)</f>
        <v>0.97</v>
      </c>
      <c r="R3801" s="322">
        <v>1.4999999999999999E-2</v>
      </c>
      <c r="S3801" s="340">
        <f>S3792*(1-$R$3801)</f>
        <v>2.9106749999999999</v>
      </c>
      <c r="T3801" s="340">
        <f>T3792*(1-$R$3801)</f>
        <v>1.94045</v>
      </c>
      <c r="U3801" s="340">
        <f>U3792*(1-$R$3801)</f>
        <v>0.970225</v>
      </c>
      <c r="V3801" s="159" t="str">
        <f xml:space="preserve"> "Bonushöhe bei Inbetriebnahme in " &amp; M3801</f>
        <v>Bonushöhe bei Inbetriebnahme in 2014</v>
      </c>
      <c r="W3801" s="29"/>
      <c r="X3801" s="29"/>
      <c r="Y3801" s="29"/>
      <c r="Z3801" s="29"/>
      <c r="AA3801" s="29"/>
      <c r="AB3801" s="29"/>
      <c r="AC3801" s="29"/>
      <c r="AD3801" s="29"/>
      <c r="AE3801" s="29"/>
      <c r="AF3801" s="29"/>
      <c r="AG3801" s="29"/>
      <c r="AK3801" t="s">
        <v>1740</v>
      </c>
      <c r="AL3801" t="s">
        <v>1741</v>
      </c>
      <c r="AM3801" t="s">
        <v>1742</v>
      </c>
      <c r="AN3801" t="s">
        <v>1764</v>
      </c>
      <c r="AO3801" t="s">
        <v>1765</v>
      </c>
      <c r="AP3801" t="s">
        <v>1766</v>
      </c>
      <c r="AQ3801" t="s">
        <v>669</v>
      </c>
      <c r="AR3801" t="s">
        <v>1763</v>
      </c>
    </row>
    <row r="3802" spans="1:45" x14ac:dyDescent="0.35">
      <c r="A3802" s="502" t="str">
        <f>"KlK250"&amp;AN3802&amp;RIGHT("------",6-LEN(AN3802))&amp;RIGHT($M3801,2)</f>
        <v>KlK250------14</v>
      </c>
      <c r="B3802" s="301" t="s">
        <v>5410</v>
      </c>
      <c r="C3802" s="301" t="str">
        <f t="shared" ref="C3802:C3809" si="1469">"Inbetriebnahme "&amp;$M$3801</f>
        <v>Inbetriebnahme 2014</v>
      </c>
      <c r="D3802" s="301" t="str">
        <f t="shared" ref="D3802:D3809" si="1470">IF(COUNTA(O3802:Q3802)=0,AH3802,AH3802&amp;", Bonusregel "&amp;AN3802)</f>
        <v>0-0,5 MW</v>
      </c>
      <c r="E3802" s="301"/>
      <c r="F3802" s="377">
        <f t="shared" ref="F3802:F3809" si="1471">M3802</f>
        <v>6.59</v>
      </c>
      <c r="G3802" s="429">
        <v>6.59</v>
      </c>
      <c r="H3802" s="303">
        <f t="shared" ref="H3802:H3865" si="1472">IF(ISNUMBER(G3802),ROUND(0.8*G3802,2),"")</f>
        <v>5.27</v>
      </c>
      <c r="I3802" s="572"/>
      <c r="J3802" s="549" t="s">
        <v>5804</v>
      </c>
      <c r="K3802" s="11"/>
      <c r="L3802" s="55" t="str">
        <f t="shared" ref="L3802:L3809" si="1473">IF(F3802=M3802,"",FALSE)</f>
        <v/>
      </c>
      <c r="M3802" s="315">
        <f t="shared" ref="M3802:M3809" si="1474">ROUND(N3802,2)+SUMIF(O3802:Q3802,"x",$O$3801:$Q$3801)</f>
        <v>6.59</v>
      </c>
      <c r="N3802" s="29">
        <f t="shared" ref="N3802:N3809" si="1475">N3793*(1-$R$3801)</f>
        <v>6.5878277499999998</v>
      </c>
      <c r="O3802" s="46"/>
      <c r="P3802" s="22"/>
      <c r="Q3802" s="47"/>
      <c r="AH3802" s="22" t="s">
        <v>5406</v>
      </c>
      <c r="AK3802" t="str">
        <f t="shared" ref="AK3802:AM3809" si="1476">IF(O3802="x",V$3101,"")</f>
        <v/>
      </c>
      <c r="AL3802" t="str">
        <f t="shared" si="1476"/>
        <v/>
      </c>
      <c r="AM3802" t="str">
        <f t="shared" si="1476"/>
        <v/>
      </c>
      <c r="AN3802" t="str">
        <f t="shared" ref="AN3802:AN3809" si="1477">AK3802&amp;AL3802&amp;AM3802</f>
        <v/>
      </c>
      <c r="AO3802" s="203" t="str">
        <f>"BiK27a0"&amp;AN3802&amp;RIGHT("-----",5-LEN(AN3802))&amp;RIGHT($M$3801,2)</f>
        <v>BiK27a0-----14</v>
      </c>
      <c r="AP3802">
        <f t="shared" ref="AP3802:AP3809" si="1478">LEN(AO3802)</f>
        <v>14</v>
      </c>
      <c r="AQ3802" t="str">
        <f t="shared" ref="AQ3802:AQ3809" si="1479">IF(COUNTA(O3802:Q3802)=0,AH3802,AH3802&amp;", Bonusregel "&amp;AN3802)</f>
        <v>0-0,5 MW</v>
      </c>
      <c r="AR3802" t="str">
        <f>IF(COUNTA(#REF!)&gt;1,"Fehler ESVK",IF(COUNTA(O3802:Q3802)&gt;1,"Fehler GAB",IF(AP3802&lt;&gt;14,"Fehler Kategorie","")))</f>
        <v/>
      </c>
      <c r="AS3802" t="str">
        <f>SUBSTITUTE(AN3802,", ","")</f>
        <v/>
      </c>
    </row>
    <row r="3803" spans="1:45" x14ac:dyDescent="0.35">
      <c r="A3803" s="502" t="str">
        <f>"KlK250"&amp;AN3803&amp;RIGHT("------",6-LEN(AN3803))&amp;RIGHT($M3801,2)</f>
        <v>KlK250G1----14</v>
      </c>
      <c r="B3803" s="301" t="s">
        <v>5410</v>
      </c>
      <c r="C3803" s="301" t="str">
        <f t="shared" si="1469"/>
        <v>Inbetriebnahme 2014</v>
      </c>
      <c r="D3803" s="301" t="str">
        <f t="shared" si="1470"/>
        <v>0-0,5 MW, Bonusregel G1</v>
      </c>
      <c r="E3803" s="301"/>
      <c r="F3803" s="377">
        <f t="shared" si="1471"/>
        <v>9.5</v>
      </c>
      <c r="G3803" s="429">
        <v>9.5</v>
      </c>
      <c r="H3803" s="303">
        <f t="shared" si="1472"/>
        <v>7.6</v>
      </c>
      <c r="I3803" s="572"/>
      <c r="J3803" s="549" t="s">
        <v>5804</v>
      </c>
      <c r="K3803" s="11"/>
      <c r="L3803" s="55" t="str">
        <f t="shared" si="1473"/>
        <v/>
      </c>
      <c r="M3803" s="315">
        <f t="shared" si="1474"/>
        <v>9.5</v>
      </c>
      <c r="N3803" s="29">
        <f t="shared" si="1475"/>
        <v>6.5878277499999998</v>
      </c>
      <c r="O3803" s="31" t="s">
        <v>1017</v>
      </c>
      <c r="P3803" s="22"/>
      <c r="Q3803" s="38"/>
      <c r="AH3803" s="22" t="s">
        <v>5406</v>
      </c>
      <c r="AK3803" t="str">
        <f t="shared" si="1476"/>
        <v>G1</v>
      </c>
      <c r="AL3803" t="str">
        <f t="shared" si="1476"/>
        <v/>
      </c>
      <c r="AM3803" t="str">
        <f t="shared" si="1476"/>
        <v/>
      </c>
      <c r="AN3803" t="str">
        <f t="shared" si="1477"/>
        <v>G1</v>
      </c>
      <c r="AO3803" s="203" t="str">
        <f>"BiK27a0"&amp;AN3803&amp;RIGHT("-----",5-LEN(AN3803))&amp;RIGHT($M$3801,2)</f>
        <v>BiK27a0G1---14</v>
      </c>
      <c r="AP3803">
        <f t="shared" si="1478"/>
        <v>14</v>
      </c>
      <c r="AQ3803" t="str">
        <f t="shared" si="1479"/>
        <v>0-0,5 MW, Bonusregel G1</v>
      </c>
      <c r="AR3803" t="str">
        <f>IF(COUNTA(#REF!)&gt;1,"Fehler ESVK",IF(COUNTA(O3803:Q3803)&gt;1,"Fehler GAB",IF(AP3803&lt;&gt;14,"Fehler Kategorie","")))</f>
        <v/>
      </c>
    </row>
    <row r="3804" spans="1:45" x14ac:dyDescent="0.35">
      <c r="A3804" s="502" t="str">
        <f>"KlK250"&amp;AN3804&amp;RIGHT("------",6-LEN(AN3804))&amp;RIGHT($M3801,2)</f>
        <v>KlK250G2----14</v>
      </c>
      <c r="B3804" s="301" t="s">
        <v>5410</v>
      </c>
      <c r="C3804" s="301" t="str">
        <f t="shared" si="1469"/>
        <v>Inbetriebnahme 2014</v>
      </c>
      <c r="D3804" s="301" t="str">
        <f t="shared" si="1470"/>
        <v>0-0,5 MW, Bonusregel G2</v>
      </c>
      <c r="E3804" s="301"/>
      <c r="F3804" s="377">
        <f t="shared" si="1471"/>
        <v>8.5299999999999994</v>
      </c>
      <c r="G3804" s="429">
        <v>8.5299999999999994</v>
      </c>
      <c r="H3804" s="303">
        <f t="shared" si="1472"/>
        <v>6.82</v>
      </c>
      <c r="I3804" s="572"/>
      <c r="J3804" s="549" t="s">
        <v>5804</v>
      </c>
      <c r="K3804" s="11"/>
      <c r="L3804" s="55" t="str">
        <f t="shared" si="1473"/>
        <v/>
      </c>
      <c r="M3804" s="315">
        <f t="shared" si="1474"/>
        <v>8.5299999999999994</v>
      </c>
      <c r="N3804" s="29">
        <f t="shared" si="1475"/>
        <v>6.5878277499999998</v>
      </c>
      <c r="O3804" s="31"/>
      <c r="P3804" s="22" t="s">
        <v>1017</v>
      </c>
      <c r="Q3804" s="38"/>
      <c r="AH3804" s="22" t="s">
        <v>5406</v>
      </c>
      <c r="AK3804" t="str">
        <f t="shared" si="1476"/>
        <v/>
      </c>
      <c r="AL3804" t="str">
        <f t="shared" si="1476"/>
        <v>G2</v>
      </c>
      <c r="AM3804" t="str">
        <f t="shared" si="1476"/>
        <v/>
      </c>
      <c r="AN3804" t="str">
        <f t="shared" si="1477"/>
        <v>G2</v>
      </c>
      <c r="AO3804" s="203" t="str">
        <f>"BiK27a0"&amp;AN3804&amp;RIGHT("-----",5-LEN(AN3804))&amp;RIGHT($M$3801,2)</f>
        <v>BiK27a0G2---14</v>
      </c>
      <c r="AP3804">
        <f t="shared" si="1478"/>
        <v>14</v>
      </c>
      <c r="AQ3804" t="str">
        <f t="shared" si="1479"/>
        <v>0-0,5 MW, Bonusregel G2</v>
      </c>
      <c r="AR3804" t="str">
        <f>IF(COUNTA(#REF!)&gt;1,"Fehler ESVK",IF(COUNTA(O3804:Q3804)&gt;1,"Fehler GAB",IF(AP3804&lt;&gt;14,"Fehler Kategorie","")))</f>
        <v/>
      </c>
    </row>
    <row r="3805" spans="1:45" x14ac:dyDescent="0.35">
      <c r="A3805" s="502" t="str">
        <f>"KlK250"&amp;AN3805&amp;RIGHT("------",6-LEN(AN3805))&amp;RIGHT($M3801,2)</f>
        <v>KlK250G3----14</v>
      </c>
      <c r="B3805" s="301" t="s">
        <v>5410</v>
      </c>
      <c r="C3805" s="301" t="str">
        <f t="shared" si="1469"/>
        <v>Inbetriebnahme 2014</v>
      </c>
      <c r="D3805" s="301" t="str">
        <f t="shared" si="1470"/>
        <v>0-0,5 MW, Bonusregel G3</v>
      </c>
      <c r="E3805" s="301"/>
      <c r="F3805" s="377">
        <f t="shared" si="1471"/>
        <v>7.56</v>
      </c>
      <c r="G3805" s="429">
        <v>7.56</v>
      </c>
      <c r="H3805" s="303">
        <f t="shared" si="1472"/>
        <v>6.05</v>
      </c>
      <c r="I3805" s="572"/>
      <c r="J3805" s="549" t="s">
        <v>5804</v>
      </c>
      <c r="K3805" s="11"/>
      <c r="L3805" s="55" t="str">
        <f t="shared" si="1473"/>
        <v/>
      </c>
      <c r="M3805" s="315">
        <f t="shared" si="1474"/>
        <v>7.56</v>
      </c>
      <c r="N3805" s="29">
        <f t="shared" si="1475"/>
        <v>6.5878277499999998</v>
      </c>
      <c r="O3805" s="31"/>
      <c r="P3805" s="22"/>
      <c r="Q3805" s="38" t="s">
        <v>1017</v>
      </c>
      <c r="AH3805" s="22" t="s">
        <v>5406</v>
      </c>
      <c r="AK3805" t="str">
        <f t="shared" si="1476"/>
        <v/>
      </c>
      <c r="AL3805" t="str">
        <f t="shared" si="1476"/>
        <v/>
      </c>
      <c r="AM3805" t="str">
        <f t="shared" si="1476"/>
        <v>G3</v>
      </c>
      <c r="AN3805" t="str">
        <f t="shared" si="1477"/>
        <v>G3</v>
      </c>
      <c r="AO3805" s="203" t="str">
        <f>"BiK27a0"&amp;AN3805&amp;RIGHT("-----",5-LEN(AN3805))&amp;RIGHT($M$3801,2)</f>
        <v>BiK27a0G3---14</v>
      </c>
      <c r="AP3805">
        <f t="shared" si="1478"/>
        <v>14</v>
      </c>
      <c r="AQ3805" t="str">
        <f t="shared" si="1479"/>
        <v>0-0,5 MW, Bonusregel G3</v>
      </c>
      <c r="AR3805" t="str">
        <f>IF(COUNTA(#REF!)&gt;1,"Fehler ESVK",IF(COUNTA(O3805:Q3805)&gt;1,"Fehler GAB",IF(AP3805&lt;&gt;14,"Fehler Kategorie","")))</f>
        <v/>
      </c>
    </row>
    <row r="3806" spans="1:45" x14ac:dyDescent="0.35">
      <c r="A3806" s="502" t="str">
        <f>"KlK251"&amp;AN3806&amp;RIGHT("------",6-LEN(AN3806))&amp;RIGHT($M3801,2)</f>
        <v>KlK251------14</v>
      </c>
      <c r="B3806" s="301" t="s">
        <v>5410</v>
      </c>
      <c r="C3806" s="301" t="str">
        <f t="shared" si="1469"/>
        <v>Inbetriebnahme 2014</v>
      </c>
      <c r="D3806" s="301" t="str">
        <f t="shared" si="1470"/>
        <v>0,5-5 MW</v>
      </c>
      <c r="E3806" s="301"/>
      <c r="F3806" s="377">
        <f t="shared" si="1471"/>
        <v>5.71</v>
      </c>
      <c r="G3806" s="429">
        <v>5.71</v>
      </c>
      <c r="H3806" s="303">
        <f t="shared" si="1472"/>
        <v>4.57</v>
      </c>
      <c r="I3806" s="572"/>
      <c r="J3806" s="549" t="s">
        <v>5804</v>
      </c>
      <c r="K3806" s="11"/>
      <c r="L3806" s="55" t="str">
        <f t="shared" si="1473"/>
        <v/>
      </c>
      <c r="M3806" s="315">
        <f t="shared" si="1474"/>
        <v>5.71</v>
      </c>
      <c r="N3806" s="29">
        <f t="shared" si="1475"/>
        <v>5.7146252499999992</v>
      </c>
      <c r="O3806" s="31"/>
      <c r="P3806" s="22"/>
      <c r="Q3806" s="38"/>
      <c r="AH3806" s="22" t="s">
        <v>5407</v>
      </c>
      <c r="AK3806" t="str">
        <f t="shared" si="1476"/>
        <v/>
      </c>
      <c r="AL3806" t="str">
        <f t="shared" si="1476"/>
        <v/>
      </c>
      <c r="AM3806" t="str">
        <f t="shared" si="1476"/>
        <v/>
      </c>
      <c r="AN3806" t="str">
        <f t="shared" si="1477"/>
        <v/>
      </c>
      <c r="AO3806" s="203" t="str">
        <f>"BiK27a1"&amp;AN3806&amp;RIGHT("-----",5-LEN(AN3806))&amp;RIGHT($M$3801,2)</f>
        <v>BiK27a1-----14</v>
      </c>
      <c r="AP3806">
        <f t="shared" si="1478"/>
        <v>14</v>
      </c>
      <c r="AQ3806" t="str">
        <f t="shared" si="1479"/>
        <v>0,5-5 MW</v>
      </c>
      <c r="AR3806" t="str">
        <f>IF(COUNTA(#REF!)&gt;1,"Fehler ESVK",IF(COUNTA(O3806:Q3806)&gt;1,"Fehler GAB",IF(AP3806&lt;&gt;14,"Fehler Kategorie","")))</f>
        <v/>
      </c>
    </row>
    <row r="3807" spans="1:45" x14ac:dyDescent="0.35">
      <c r="A3807" s="502" t="str">
        <f>"KlK251"&amp;AN3807&amp;RIGHT("------",6-LEN(AN3807))&amp;RIGHT($M3801,2)</f>
        <v>KlK251G1----14</v>
      </c>
      <c r="B3807" s="301" t="s">
        <v>5410</v>
      </c>
      <c r="C3807" s="301" t="str">
        <f t="shared" si="1469"/>
        <v>Inbetriebnahme 2014</v>
      </c>
      <c r="D3807" s="301" t="str">
        <f t="shared" si="1470"/>
        <v>0,5-5 MW, Bonusregel G1</v>
      </c>
      <c r="E3807" s="301"/>
      <c r="F3807" s="377">
        <f t="shared" si="1471"/>
        <v>8.620000000000001</v>
      </c>
      <c r="G3807" s="429">
        <v>8.620000000000001</v>
      </c>
      <c r="H3807" s="303">
        <f t="shared" si="1472"/>
        <v>6.9</v>
      </c>
      <c r="I3807" s="572"/>
      <c r="J3807" s="549" t="s">
        <v>5804</v>
      </c>
      <c r="K3807" s="11"/>
      <c r="L3807" s="55" t="str">
        <f t="shared" si="1473"/>
        <v/>
      </c>
      <c r="M3807" s="315">
        <f t="shared" si="1474"/>
        <v>8.620000000000001</v>
      </c>
      <c r="N3807" s="29">
        <f t="shared" si="1475"/>
        <v>5.7146252499999992</v>
      </c>
      <c r="O3807" s="31" t="s">
        <v>1017</v>
      </c>
      <c r="P3807" s="22"/>
      <c r="Q3807" s="38"/>
      <c r="AH3807" s="22" t="s">
        <v>5407</v>
      </c>
      <c r="AK3807" t="str">
        <f t="shared" si="1476"/>
        <v>G1</v>
      </c>
      <c r="AL3807" t="str">
        <f t="shared" si="1476"/>
        <v/>
      </c>
      <c r="AM3807" t="str">
        <f t="shared" si="1476"/>
        <v/>
      </c>
      <c r="AN3807" t="str">
        <f t="shared" si="1477"/>
        <v>G1</v>
      </c>
      <c r="AO3807" s="203" t="str">
        <f>"BiK27a1"&amp;AN3807&amp;RIGHT("-----",5-LEN(AN3807))&amp;RIGHT($M$3801,2)</f>
        <v>BiK27a1G1---14</v>
      </c>
      <c r="AP3807">
        <f t="shared" si="1478"/>
        <v>14</v>
      </c>
      <c r="AQ3807" t="str">
        <f t="shared" si="1479"/>
        <v>0,5-5 MW, Bonusregel G1</v>
      </c>
      <c r="AR3807" t="str">
        <f>IF(COUNTA(#REF!)&gt;1,"Fehler ESVK",IF(COUNTA(O3807:Q3807)&gt;1,"Fehler GAB",IF(AP3807&lt;&gt;14,"Fehler Kategorie","")))</f>
        <v/>
      </c>
    </row>
    <row r="3808" spans="1:45" x14ac:dyDescent="0.35">
      <c r="A3808" s="502" t="str">
        <f>"KlK251"&amp;AN3808&amp;RIGHT("------",6-LEN(AN3808))&amp;RIGHT($M3801,2)</f>
        <v>KlK251G2----14</v>
      </c>
      <c r="B3808" s="301" t="s">
        <v>5410</v>
      </c>
      <c r="C3808" s="301" t="str">
        <f t="shared" si="1469"/>
        <v>Inbetriebnahme 2014</v>
      </c>
      <c r="D3808" s="301" t="str">
        <f t="shared" si="1470"/>
        <v>0,5-5 MW, Bonusregel G2</v>
      </c>
      <c r="E3808" s="301"/>
      <c r="F3808" s="377">
        <f t="shared" si="1471"/>
        <v>7.65</v>
      </c>
      <c r="G3808" s="429">
        <v>7.65</v>
      </c>
      <c r="H3808" s="303">
        <f t="shared" si="1472"/>
        <v>6.12</v>
      </c>
      <c r="I3808" s="572"/>
      <c r="J3808" s="549" t="s">
        <v>5804</v>
      </c>
      <c r="K3808" s="11"/>
      <c r="L3808" s="55" t="str">
        <f t="shared" si="1473"/>
        <v/>
      </c>
      <c r="M3808" s="315">
        <f t="shared" si="1474"/>
        <v>7.65</v>
      </c>
      <c r="N3808" s="29">
        <f t="shared" si="1475"/>
        <v>5.7146252499999992</v>
      </c>
      <c r="O3808" s="31"/>
      <c r="P3808" s="22" t="s">
        <v>1017</v>
      </c>
      <c r="Q3808" s="38"/>
      <c r="AH3808" s="22" t="s">
        <v>5407</v>
      </c>
      <c r="AK3808" t="str">
        <f t="shared" si="1476"/>
        <v/>
      </c>
      <c r="AL3808" t="str">
        <f t="shared" si="1476"/>
        <v>G2</v>
      </c>
      <c r="AM3808" t="str">
        <f t="shared" si="1476"/>
        <v/>
      </c>
      <c r="AN3808" t="str">
        <f t="shared" si="1477"/>
        <v>G2</v>
      </c>
      <c r="AO3808" s="203" t="str">
        <f>"BiK27a1"&amp;AN3808&amp;RIGHT("-----",5-LEN(AN3808))&amp;RIGHT($M$3801,2)</f>
        <v>BiK27a1G2---14</v>
      </c>
      <c r="AP3808">
        <f t="shared" si="1478"/>
        <v>14</v>
      </c>
      <c r="AQ3808" t="str">
        <f t="shared" si="1479"/>
        <v>0,5-5 MW, Bonusregel G2</v>
      </c>
      <c r="AR3808" t="str">
        <f>IF(COUNTA(#REF!)&gt;1,"Fehler ESVK",IF(COUNTA(O3808:Q3808)&gt;1,"Fehler GAB",IF(AP3808&lt;&gt;14,"Fehler Kategorie","")))</f>
        <v/>
      </c>
    </row>
    <row r="3809" spans="1:44" x14ac:dyDescent="0.35">
      <c r="A3809" s="502" t="str">
        <f>"KlK251"&amp;AN3809&amp;RIGHT("------",6-LEN(AN3809))&amp;RIGHT($M3801,2)</f>
        <v>KlK251G3----14</v>
      </c>
      <c r="B3809" s="301" t="s">
        <v>5410</v>
      </c>
      <c r="C3809" s="301" t="str">
        <f t="shared" si="1469"/>
        <v>Inbetriebnahme 2014</v>
      </c>
      <c r="D3809" s="301" t="str">
        <f t="shared" si="1470"/>
        <v>0,5-5 MW, Bonusregel G3</v>
      </c>
      <c r="E3809" s="301"/>
      <c r="F3809" s="377">
        <f t="shared" si="1471"/>
        <v>6.68</v>
      </c>
      <c r="G3809" s="429">
        <v>6.68</v>
      </c>
      <c r="H3809" s="303">
        <f t="shared" si="1472"/>
        <v>5.34</v>
      </c>
      <c r="I3809" s="572"/>
      <c r="J3809" s="549" t="s">
        <v>5804</v>
      </c>
      <c r="K3809" s="11"/>
      <c r="L3809" s="55" t="str">
        <f t="shared" si="1473"/>
        <v/>
      </c>
      <c r="M3809" s="333">
        <f t="shared" si="1474"/>
        <v>6.68</v>
      </c>
      <c r="N3809" s="28">
        <f t="shared" si="1475"/>
        <v>5.7146252499999992</v>
      </c>
      <c r="O3809" s="335"/>
      <c r="P3809" s="69"/>
      <c r="Q3809" s="90" t="s">
        <v>1017</v>
      </c>
      <c r="AH3809" s="22" t="s">
        <v>5407</v>
      </c>
      <c r="AK3809" t="str">
        <f t="shared" si="1476"/>
        <v/>
      </c>
      <c r="AL3809" t="str">
        <f t="shared" si="1476"/>
        <v/>
      </c>
      <c r="AM3809" t="str">
        <f t="shared" si="1476"/>
        <v>G3</v>
      </c>
      <c r="AN3809" t="str">
        <f t="shared" si="1477"/>
        <v>G3</v>
      </c>
      <c r="AO3809" s="203" t="str">
        <f>"BiK27a1"&amp;AN3809&amp;RIGHT("-----",5-LEN(AN3809))&amp;RIGHT($M$3801,2)</f>
        <v>BiK27a1G3---14</v>
      </c>
      <c r="AP3809">
        <f t="shared" si="1478"/>
        <v>14</v>
      </c>
      <c r="AQ3809" t="str">
        <f t="shared" si="1479"/>
        <v>0,5-5 MW, Bonusregel G3</v>
      </c>
      <c r="AR3809" t="str">
        <f>IF(COUNTA(#REF!)&gt;1,"Fehler ESVK",IF(COUNTA(O3809:Q3809)&gt;1,"Fehler GAB",IF(AP3809&lt;&gt;14,"Fehler Kategorie","")))</f>
        <v/>
      </c>
    </row>
    <row r="3810" spans="1:44" x14ac:dyDescent="0.35">
      <c r="A3810" s="496"/>
      <c r="B3810" s="1"/>
      <c r="C3810" s="1"/>
      <c r="D3810" s="1"/>
      <c r="E3810" s="1"/>
      <c r="F3810" s="375"/>
      <c r="G3810" s="76"/>
      <c r="H3810" s="401" t="str">
        <f t="shared" si="1472"/>
        <v/>
      </c>
      <c r="I3810" s="578"/>
      <c r="J3810" s="549" t="s">
        <v>4179</v>
      </c>
      <c r="K3810" s="11"/>
      <c r="L3810" s="55"/>
      <c r="M3810" s="37"/>
      <c r="N3810" s="29"/>
      <c r="O3810" s="202"/>
      <c r="P3810" s="22"/>
      <c r="AH3810" s="202"/>
      <c r="AO3810" s="203"/>
    </row>
    <row r="3811" spans="1:44" s="207" customFormat="1" ht="20.25" customHeight="1" x14ac:dyDescent="0.35">
      <c r="A3811" s="504"/>
      <c r="B3811" s="204"/>
      <c r="C3811" s="204"/>
      <c r="D3811" s="204"/>
      <c r="E3811" s="204"/>
      <c r="F3811" s="381"/>
      <c r="G3811" s="205"/>
      <c r="H3811" s="205" t="str">
        <f t="shared" si="1472"/>
        <v/>
      </c>
      <c r="I3811" s="583"/>
      <c r="J3811" s="549" t="s">
        <v>4179</v>
      </c>
      <c r="K3811" s="206"/>
      <c r="M3811" s="208" t="s">
        <v>61</v>
      </c>
      <c r="N3811" s="209"/>
      <c r="O3811" s="209"/>
    </row>
    <row r="3812" spans="1:44" x14ac:dyDescent="0.35">
      <c r="A3812" s="496"/>
      <c r="B3812" s="1"/>
      <c r="C3812" s="1"/>
      <c r="D3812" s="1"/>
      <c r="E3812" s="1"/>
      <c r="F3812" s="362"/>
      <c r="G3812" s="10"/>
      <c r="H3812" s="10" t="str">
        <f t="shared" si="1472"/>
        <v/>
      </c>
      <c r="I3812" s="566"/>
      <c r="J3812" s="549" t="s">
        <v>4179</v>
      </c>
      <c r="N3812" s="29" t="s">
        <v>5489</v>
      </c>
      <c r="O3812" t="s">
        <v>5406</v>
      </c>
      <c r="P3812" t="s">
        <v>5407</v>
      </c>
    </row>
    <row r="3813" spans="1:44" x14ac:dyDescent="0.35">
      <c r="A3813" s="495" t="s">
        <v>62</v>
      </c>
      <c r="B3813" s="356" t="s">
        <v>5410</v>
      </c>
      <c r="C3813" s="356" t="s">
        <v>39</v>
      </c>
      <c r="D3813" s="356" t="s">
        <v>5406</v>
      </c>
      <c r="E3813" s="356"/>
      <c r="F3813" s="369">
        <f>ROUND(HLOOKUP(D3813,O3812:P3814,3,FALSE),2)</f>
        <v>6.49</v>
      </c>
      <c r="G3813" s="357">
        <f>ROUND(HLOOKUP(D3813,O3812:P3814,2,FALSE),2)</f>
        <v>6.69</v>
      </c>
      <c r="H3813" s="357">
        <f t="shared" si="1472"/>
        <v>5.35</v>
      </c>
      <c r="I3813" s="573"/>
      <c r="J3813" s="549" t="s">
        <v>5804</v>
      </c>
      <c r="M3813" s="101" t="s">
        <v>64</v>
      </c>
      <c r="N3813" s="322" t="s">
        <v>89</v>
      </c>
      <c r="O3813" s="261">
        <v>6.69</v>
      </c>
      <c r="P3813" s="261">
        <v>5.83</v>
      </c>
      <c r="R3813" t="s">
        <v>49</v>
      </c>
    </row>
    <row r="3814" spans="1:44" x14ac:dyDescent="0.35">
      <c r="A3814" s="495" t="s">
        <v>63</v>
      </c>
      <c r="B3814" s="356" t="s">
        <v>5410</v>
      </c>
      <c r="C3814" s="356" t="s">
        <v>39</v>
      </c>
      <c r="D3814" s="356" t="s">
        <v>5407</v>
      </c>
      <c r="E3814" s="356"/>
      <c r="F3814" s="369">
        <f>ROUND(HLOOKUP(D3814,O3812:P3814,3,FALSE),2)</f>
        <v>5.63</v>
      </c>
      <c r="G3814" s="357">
        <f>ROUND(HLOOKUP(D3814,O3812:P3814,2,FALSE),2)</f>
        <v>5.83</v>
      </c>
      <c r="H3814" s="357">
        <f t="shared" si="1472"/>
        <v>4.66</v>
      </c>
      <c r="I3814" s="573"/>
      <c r="J3814" s="549" t="s">
        <v>5804</v>
      </c>
      <c r="N3814" s="322" t="s">
        <v>85</v>
      </c>
      <c r="O3814" s="261">
        <f>O3813-0.2</f>
        <v>6.49</v>
      </c>
      <c r="P3814" s="261">
        <f>P3813-0.2</f>
        <v>5.63</v>
      </c>
      <c r="R3814" t="s">
        <v>50</v>
      </c>
    </row>
    <row r="3815" spans="1:44" x14ac:dyDescent="0.35">
      <c r="A3815" s="496"/>
      <c r="B3815" s="1"/>
      <c r="C3815" s="1"/>
      <c r="D3815" s="1"/>
      <c r="E3815" s="1"/>
      <c r="F3815" s="362"/>
      <c r="G3815" s="10"/>
      <c r="H3815" s="10" t="str">
        <f t="shared" si="1472"/>
        <v/>
      </c>
      <c r="I3815" s="566"/>
      <c r="J3815" s="549" t="s">
        <v>4179</v>
      </c>
      <c r="N3815" s="29" t="s">
        <v>5489</v>
      </c>
      <c r="O3815" t="s">
        <v>5406</v>
      </c>
      <c r="P3815" t="s">
        <v>5407</v>
      </c>
    </row>
    <row r="3816" spans="1:44" x14ac:dyDescent="0.35">
      <c r="A3816" s="495" t="s">
        <v>391</v>
      </c>
      <c r="B3816" s="356" t="s">
        <v>5410</v>
      </c>
      <c r="C3816" s="356" t="s">
        <v>380</v>
      </c>
      <c r="D3816" s="356" t="s">
        <v>5406</v>
      </c>
      <c r="E3816" s="356"/>
      <c r="F3816" s="369">
        <f>ROUND(HLOOKUP(D3816,O3815:P3817,3,FALSE),2)</f>
        <v>6.49</v>
      </c>
      <c r="G3816" s="357">
        <f>ROUND(HLOOKUP(D3816,O3815:P3817,2,FALSE),2)</f>
        <v>6.69</v>
      </c>
      <c r="H3816" s="357">
        <f t="shared" si="1472"/>
        <v>5.35</v>
      </c>
      <c r="I3816" s="573"/>
      <c r="J3816" s="549" t="s">
        <v>5804</v>
      </c>
      <c r="M3816" s="101">
        <v>2015</v>
      </c>
      <c r="N3816" s="322" t="s">
        <v>89</v>
      </c>
      <c r="O3816" s="261">
        <v>6.69</v>
      </c>
      <c r="P3816" s="261">
        <v>5.83</v>
      </c>
      <c r="R3816" t="s">
        <v>49</v>
      </c>
    </row>
    <row r="3817" spans="1:44" x14ac:dyDescent="0.35">
      <c r="A3817" s="495" t="s">
        <v>392</v>
      </c>
      <c r="B3817" s="356" t="s">
        <v>5410</v>
      </c>
      <c r="C3817" s="356" t="s">
        <v>380</v>
      </c>
      <c r="D3817" s="356" t="s">
        <v>5407</v>
      </c>
      <c r="E3817" s="356"/>
      <c r="F3817" s="369">
        <f>ROUND(HLOOKUP(D3817,O3815:P3817,3,FALSE),2)</f>
        <v>5.63</v>
      </c>
      <c r="G3817" s="357">
        <f>ROUND(HLOOKUP(D3817,O3815:P3817,2,FALSE),2)</f>
        <v>5.83</v>
      </c>
      <c r="H3817" s="357">
        <f t="shared" si="1472"/>
        <v>4.66</v>
      </c>
      <c r="I3817" s="573"/>
      <c r="J3817" s="549" t="s">
        <v>5804</v>
      </c>
      <c r="N3817" s="322" t="s">
        <v>85</v>
      </c>
      <c r="O3817" s="261">
        <f>O3816-0.2</f>
        <v>6.49</v>
      </c>
      <c r="P3817" s="261">
        <f>P3816-0.2</f>
        <v>5.63</v>
      </c>
      <c r="R3817" t="s">
        <v>50</v>
      </c>
    </row>
    <row r="3818" spans="1:44" x14ac:dyDescent="0.35">
      <c r="A3818" s="496"/>
      <c r="B3818" s="1"/>
      <c r="C3818" s="1"/>
      <c r="D3818" s="1"/>
      <c r="E3818" s="1"/>
      <c r="F3818" s="362"/>
      <c r="G3818" s="10"/>
      <c r="H3818" s="10" t="str">
        <f t="shared" si="1472"/>
        <v/>
      </c>
      <c r="I3818" s="566"/>
      <c r="J3818" s="549" t="s">
        <v>4179</v>
      </c>
      <c r="N3818" s="29" t="s">
        <v>5489</v>
      </c>
      <c r="O3818" t="s">
        <v>5406</v>
      </c>
      <c r="P3818" t="s">
        <v>5407</v>
      </c>
    </row>
    <row r="3819" spans="1:44" x14ac:dyDescent="0.35">
      <c r="A3819" s="495" t="s">
        <v>5670</v>
      </c>
      <c r="B3819" s="356" t="s">
        <v>5410</v>
      </c>
      <c r="C3819" s="356" t="s">
        <v>5647</v>
      </c>
      <c r="D3819" s="356" t="s">
        <v>5406</v>
      </c>
      <c r="E3819" s="356"/>
      <c r="F3819" s="369">
        <f>ROUND(HLOOKUP(D3819,O3818:P3820,3,FALSE),2)</f>
        <v>6.39</v>
      </c>
      <c r="G3819" s="357">
        <f>ROUND(HLOOKUP(D3819,O3818:P3820,2,FALSE),2)</f>
        <v>6.59</v>
      </c>
      <c r="H3819" s="357">
        <f t="shared" si="1472"/>
        <v>5.27</v>
      </c>
      <c r="I3819" s="573"/>
      <c r="J3819" s="549" t="s">
        <v>5804</v>
      </c>
      <c r="M3819" s="101">
        <v>2016</v>
      </c>
      <c r="N3819" s="322">
        <v>1.4999999999999999E-2</v>
      </c>
      <c r="O3819" s="261">
        <f>IF($N3819&lt;&gt;"",O3816*(100%-$N3819),"")</f>
        <v>6.5896500000000007</v>
      </c>
      <c r="P3819" s="261">
        <f>IF($N3819&lt;&gt;"",P3816*(100%-$N3819),"")</f>
        <v>5.7425499999999996</v>
      </c>
      <c r="R3819" t="s">
        <v>49</v>
      </c>
    </row>
    <row r="3820" spans="1:44" x14ac:dyDescent="0.35">
      <c r="A3820" s="495" t="s">
        <v>5671</v>
      </c>
      <c r="B3820" s="356" t="s">
        <v>5410</v>
      </c>
      <c r="C3820" s="356" t="s">
        <v>5647</v>
      </c>
      <c r="D3820" s="356" t="s">
        <v>5407</v>
      </c>
      <c r="E3820" s="356"/>
      <c r="F3820" s="369">
        <f>ROUND(HLOOKUP(D3820,O3818:P3820,3,FALSE),2)</f>
        <v>5.55</v>
      </c>
      <c r="G3820" s="357">
        <f>ROUND(HLOOKUP(D3820,O3818:P3820,2,FALSE),2)</f>
        <v>5.74</v>
      </c>
      <c r="H3820" s="357">
        <f t="shared" si="1472"/>
        <v>4.59</v>
      </c>
      <c r="I3820" s="573"/>
      <c r="J3820" s="549" t="s">
        <v>5804</v>
      </c>
      <c r="N3820" s="322"/>
      <c r="O3820" s="261">
        <f>IF($N3819&lt;&gt;"",O3817*(100%-$N3819),"")</f>
        <v>6.3926499999999997</v>
      </c>
      <c r="P3820" s="261">
        <f>IF($N3819&lt;&gt;"",P3817*(100%-$N3819),"")</f>
        <v>5.5455499999999995</v>
      </c>
      <c r="R3820" t="s">
        <v>50</v>
      </c>
    </row>
    <row r="3821" spans="1:44" x14ac:dyDescent="0.35">
      <c r="A3821" s="496"/>
      <c r="B3821" s="1"/>
      <c r="C3821" s="1"/>
      <c r="D3821" s="1"/>
      <c r="E3821" s="1"/>
      <c r="F3821" s="362"/>
      <c r="G3821" s="10"/>
      <c r="H3821" s="10" t="str">
        <f t="shared" si="1472"/>
        <v/>
      </c>
      <c r="I3821" s="566"/>
      <c r="J3821" s="549" t="s">
        <v>4179</v>
      </c>
      <c r="N3821" s="29" t="s">
        <v>5489</v>
      </c>
      <c r="O3821" t="s">
        <v>5406</v>
      </c>
      <c r="P3821" t="s">
        <v>5407</v>
      </c>
    </row>
    <row r="3822" spans="1:44" x14ac:dyDescent="0.35">
      <c r="A3822" s="527" t="s">
        <v>5883</v>
      </c>
      <c r="B3822" s="526" t="s">
        <v>5410</v>
      </c>
      <c r="C3822" s="526" t="s">
        <v>5866</v>
      </c>
      <c r="D3822" s="526" t="s">
        <v>5406</v>
      </c>
      <c r="E3822" s="526"/>
      <c r="F3822" s="538">
        <f>ROUND(HLOOKUP(D3822,O3821:P3823,3,FALSE),2)</f>
        <v>6.29</v>
      </c>
      <c r="G3822" s="537">
        <f>ROUND(HLOOKUP(D3822,O3821:P3823,2,FALSE),2)</f>
        <v>6.49</v>
      </c>
      <c r="H3822" s="537">
        <f t="shared" si="1472"/>
        <v>5.19</v>
      </c>
      <c r="I3822" s="574"/>
      <c r="J3822" s="549">
        <v>42705</v>
      </c>
      <c r="M3822" s="101">
        <v>2017</v>
      </c>
      <c r="N3822" s="322" t="s">
        <v>5882</v>
      </c>
      <c r="O3822" s="261">
        <v>6.49</v>
      </c>
      <c r="P3822" s="261">
        <v>5.66</v>
      </c>
      <c r="R3822" t="s">
        <v>49</v>
      </c>
    </row>
    <row r="3823" spans="1:44" x14ac:dyDescent="0.35">
      <c r="A3823" s="527" t="s">
        <v>5884</v>
      </c>
      <c r="B3823" s="526" t="s">
        <v>5410</v>
      </c>
      <c r="C3823" s="526" t="s">
        <v>5866</v>
      </c>
      <c r="D3823" s="526" t="s">
        <v>5407</v>
      </c>
      <c r="E3823" s="526"/>
      <c r="F3823" s="538">
        <f>ROUND(HLOOKUP(D3823,O3821:P3823,3,FALSE),2)</f>
        <v>5.46</v>
      </c>
      <c r="G3823" s="537">
        <f>ROUND(HLOOKUP(D3823,O3821:P3823,2,FALSE),2)</f>
        <v>5.66</v>
      </c>
      <c r="H3823" s="537">
        <f t="shared" si="1472"/>
        <v>4.53</v>
      </c>
      <c r="I3823" s="574"/>
      <c r="J3823" s="549">
        <v>42705</v>
      </c>
      <c r="N3823" s="322" t="s">
        <v>5881</v>
      </c>
      <c r="O3823" s="261">
        <f>O3822-0.2</f>
        <v>6.29</v>
      </c>
      <c r="P3823" s="261">
        <f>P3822-0.2</f>
        <v>5.46</v>
      </c>
      <c r="R3823" t="s">
        <v>50</v>
      </c>
    </row>
    <row r="3824" spans="1:44" x14ac:dyDescent="0.35">
      <c r="A3824" s="496"/>
      <c r="B3824" s="1"/>
      <c r="C3824" s="1"/>
      <c r="D3824" s="1"/>
      <c r="E3824" s="1"/>
      <c r="F3824" s="362"/>
      <c r="G3824" s="10"/>
      <c r="H3824" s="10" t="str">
        <f t="shared" si="1472"/>
        <v/>
      </c>
      <c r="I3824" s="566"/>
      <c r="J3824" s="549" t="s">
        <v>4179</v>
      </c>
      <c r="N3824" s="29" t="s">
        <v>5489</v>
      </c>
      <c r="O3824" t="s">
        <v>5406</v>
      </c>
      <c r="P3824" t="s">
        <v>5407</v>
      </c>
    </row>
    <row r="3825" spans="1:18" x14ac:dyDescent="0.35">
      <c r="A3825" s="527" t="s">
        <v>6226</v>
      </c>
      <c r="B3825" s="526" t="s">
        <v>5410</v>
      </c>
      <c r="C3825" s="526" t="s">
        <v>6186</v>
      </c>
      <c r="D3825" s="526" t="s">
        <v>5406</v>
      </c>
      <c r="E3825" s="526"/>
      <c r="F3825" s="538">
        <f>ROUND(HLOOKUP(D3825,O3824:P3826,3,FALSE),2)</f>
        <v>6.19</v>
      </c>
      <c r="G3825" s="537">
        <f>ROUND(HLOOKUP(D3825,O3824:P3826,2,FALSE),2)</f>
        <v>6.39</v>
      </c>
      <c r="H3825" s="537">
        <f t="shared" si="1472"/>
        <v>5.1100000000000003</v>
      </c>
      <c r="I3825" s="574"/>
      <c r="J3825" s="549">
        <v>43077</v>
      </c>
      <c r="M3825" s="101">
        <v>2018</v>
      </c>
      <c r="N3825" s="322">
        <v>1.4999999999999999E-2</v>
      </c>
      <c r="O3825" s="261">
        <f>IF($N3825&lt;&gt;"",O3822*(100%-$N3825),"")</f>
        <v>6.3926499999999997</v>
      </c>
      <c r="P3825" s="261">
        <f>IF($N3825&lt;&gt;"",P3822*(100%-$N3825),"")</f>
        <v>5.5750999999999999</v>
      </c>
      <c r="R3825" t="s">
        <v>49</v>
      </c>
    </row>
    <row r="3826" spans="1:18" x14ac:dyDescent="0.35">
      <c r="A3826" s="527" t="s">
        <v>6225</v>
      </c>
      <c r="B3826" s="526" t="s">
        <v>5410</v>
      </c>
      <c r="C3826" s="526" t="s">
        <v>6186</v>
      </c>
      <c r="D3826" s="526" t="s">
        <v>5407</v>
      </c>
      <c r="E3826" s="526"/>
      <c r="F3826" s="538">
        <f>ROUND(HLOOKUP(D3826,O3824:P3826,3,FALSE),2)</f>
        <v>5.38</v>
      </c>
      <c r="G3826" s="537">
        <f>ROUND(HLOOKUP(D3826,O3824:P3826,2,FALSE),2)</f>
        <v>5.58</v>
      </c>
      <c r="H3826" s="537">
        <f t="shared" si="1472"/>
        <v>4.46</v>
      </c>
      <c r="I3826" s="574"/>
      <c r="J3826" s="549">
        <v>43077</v>
      </c>
      <c r="N3826" s="322"/>
      <c r="O3826" s="261">
        <f>O3825-0.2</f>
        <v>6.1926499999999995</v>
      </c>
      <c r="P3826" s="261">
        <f>P3825-0.2</f>
        <v>5.3750999999999998</v>
      </c>
      <c r="R3826" t="s">
        <v>50</v>
      </c>
    </row>
    <row r="3827" spans="1:18" x14ac:dyDescent="0.35">
      <c r="A3827" s="496"/>
      <c r="B3827" s="1"/>
      <c r="C3827" s="1"/>
      <c r="D3827" s="1"/>
      <c r="E3827" s="1"/>
      <c r="F3827" s="362"/>
      <c r="G3827" s="10"/>
      <c r="H3827" s="10" t="str">
        <f t="shared" si="1472"/>
        <v/>
      </c>
      <c r="I3827" s="566"/>
      <c r="J3827" s="549" t="s">
        <v>4179</v>
      </c>
      <c r="N3827" s="29" t="s">
        <v>5489</v>
      </c>
      <c r="O3827" t="s">
        <v>5406</v>
      </c>
      <c r="P3827" t="s">
        <v>5407</v>
      </c>
    </row>
    <row r="3828" spans="1:18" x14ac:dyDescent="0.35">
      <c r="A3828" s="527" t="s">
        <v>6407</v>
      </c>
      <c r="B3828" s="526" t="s">
        <v>5410</v>
      </c>
      <c r="C3828" s="526" t="s">
        <v>6404</v>
      </c>
      <c r="D3828" s="526" t="s">
        <v>5406</v>
      </c>
      <c r="E3828" s="526"/>
      <c r="F3828" s="538">
        <f>ROUND(HLOOKUP(D3828,O3827:P3829,3,FALSE),2)</f>
        <v>6.1</v>
      </c>
      <c r="G3828" s="537">
        <f>ROUND(HLOOKUP(D3828,O3827:P3829,2,FALSE),2)</f>
        <v>6.3</v>
      </c>
      <c r="H3828" s="537">
        <f t="shared" si="1472"/>
        <v>5.04</v>
      </c>
      <c r="I3828" s="574"/>
      <c r="J3828" s="549">
        <v>43419</v>
      </c>
      <c r="M3828" s="101">
        <v>2019</v>
      </c>
      <c r="N3828" s="322">
        <v>1.4999999999999999E-2</v>
      </c>
      <c r="O3828" s="261">
        <f>IF($N3828&lt;&gt;"",O3825*(100%-$N3828),"")</f>
        <v>6.2967602499999993</v>
      </c>
      <c r="P3828" s="261">
        <f>IF($N3828&lt;&gt;"",P3825*(100%-$N3828),"")</f>
        <v>5.4914734999999997</v>
      </c>
      <c r="R3828" t="s">
        <v>49</v>
      </c>
    </row>
    <row r="3829" spans="1:18" x14ac:dyDescent="0.35">
      <c r="A3829" s="527" t="s">
        <v>6408</v>
      </c>
      <c r="B3829" s="526" t="s">
        <v>5410</v>
      </c>
      <c r="C3829" s="526" t="s">
        <v>6404</v>
      </c>
      <c r="D3829" s="526" t="s">
        <v>5407</v>
      </c>
      <c r="E3829" s="526"/>
      <c r="F3829" s="538">
        <f>ROUND(HLOOKUP(D3829,O3827:P3829,3,FALSE),2)</f>
        <v>5.29</v>
      </c>
      <c r="G3829" s="537">
        <f>ROUND(HLOOKUP(D3829,O3827:P3829,2,FALSE),2)</f>
        <v>5.49</v>
      </c>
      <c r="H3829" s="537">
        <f t="shared" si="1472"/>
        <v>4.3899999999999997</v>
      </c>
      <c r="I3829" s="574"/>
      <c r="J3829" s="549">
        <v>43419</v>
      </c>
      <c r="N3829" s="322"/>
      <c r="O3829" s="261">
        <f>O3828-0.2</f>
        <v>6.0967602499999991</v>
      </c>
      <c r="P3829" s="261">
        <f>P3828-0.2</f>
        <v>5.2914734999999995</v>
      </c>
      <c r="R3829" t="s">
        <v>50</v>
      </c>
    </row>
    <row r="3830" spans="1:18" x14ac:dyDescent="0.35">
      <c r="A3830" s="496"/>
      <c r="B3830" s="1"/>
      <c r="C3830" s="1"/>
      <c r="D3830" s="1"/>
      <c r="E3830" s="1"/>
      <c r="F3830" s="362"/>
      <c r="G3830" s="10"/>
      <c r="H3830" s="10" t="str">
        <f t="shared" si="1472"/>
        <v/>
      </c>
      <c r="I3830" s="566"/>
      <c r="J3830" s="549" t="s">
        <v>4179</v>
      </c>
      <c r="N3830" s="29" t="s">
        <v>5489</v>
      </c>
      <c r="O3830" t="s">
        <v>5406</v>
      </c>
      <c r="P3830" t="s">
        <v>5407</v>
      </c>
    </row>
    <row r="3831" spans="1:18" x14ac:dyDescent="0.35">
      <c r="A3831" s="527" t="s">
        <v>6548</v>
      </c>
      <c r="B3831" s="526" t="s">
        <v>5410</v>
      </c>
      <c r="C3831" s="526" t="s">
        <v>6505</v>
      </c>
      <c r="D3831" s="526" t="s">
        <v>5406</v>
      </c>
      <c r="E3831" s="526"/>
      <c r="F3831" s="538">
        <f>ROUND(HLOOKUP(D3831,O3830:P3832,3,FALSE),2)</f>
        <v>6</v>
      </c>
      <c r="G3831" s="537">
        <f>ROUND(HLOOKUP(D3831,O3830:P3832,2,FALSE),2)</f>
        <v>6.2</v>
      </c>
      <c r="H3831" s="537">
        <f t="shared" si="1472"/>
        <v>4.96</v>
      </c>
      <c r="I3831" s="574"/>
      <c r="J3831" s="549">
        <v>43796</v>
      </c>
      <c r="M3831" s="101">
        <v>2020</v>
      </c>
      <c r="N3831" s="322">
        <v>1.4999999999999999E-2</v>
      </c>
      <c r="O3831" s="261">
        <f>IF($N3831&lt;&gt;"",O3828*(100%-$N3831),"")</f>
        <v>6.2023088462499993</v>
      </c>
      <c r="P3831" s="261">
        <f>IF($N3831&lt;&gt;"",P3828*(100%-$N3831),"")</f>
        <v>5.4091013974999997</v>
      </c>
      <c r="R3831" t="s">
        <v>49</v>
      </c>
    </row>
    <row r="3832" spans="1:18" x14ac:dyDescent="0.35">
      <c r="A3832" s="527" t="s">
        <v>6549</v>
      </c>
      <c r="B3832" s="526" t="s">
        <v>5410</v>
      </c>
      <c r="C3832" s="526" t="s">
        <v>6505</v>
      </c>
      <c r="D3832" s="526" t="s">
        <v>5407</v>
      </c>
      <c r="E3832" s="526"/>
      <c r="F3832" s="538">
        <f>ROUND(HLOOKUP(D3832,O3830:P3832,3,FALSE),2)</f>
        <v>5.21</v>
      </c>
      <c r="G3832" s="537">
        <f>ROUND(HLOOKUP(D3832,O3830:P3832,2,FALSE),2)</f>
        <v>5.41</v>
      </c>
      <c r="H3832" s="537">
        <f t="shared" si="1472"/>
        <v>4.33</v>
      </c>
      <c r="I3832" s="574"/>
      <c r="J3832" s="549">
        <v>43796</v>
      </c>
      <c r="N3832" s="322"/>
      <c r="O3832" s="261">
        <f>O3831-0.2</f>
        <v>6.0023088462499992</v>
      </c>
      <c r="P3832" s="261">
        <f>P3831-0.2</f>
        <v>5.2091013974999996</v>
      </c>
      <c r="R3832" t="s">
        <v>50</v>
      </c>
    </row>
    <row r="3833" spans="1:18" x14ac:dyDescent="0.35">
      <c r="A3833" s="496"/>
      <c r="B3833" s="1"/>
      <c r="C3833" s="362"/>
      <c r="D3833" s="1"/>
      <c r="E3833" s="1"/>
      <c r="F3833" s="362"/>
      <c r="G3833" s="10"/>
      <c r="H3833" s="10" t="str">
        <f t="shared" si="1472"/>
        <v/>
      </c>
      <c r="I3833" s="566"/>
      <c r="J3833" s="549" t="s">
        <v>4179</v>
      </c>
      <c r="N3833" s="29" t="s">
        <v>5489</v>
      </c>
      <c r="O3833" t="s">
        <v>5406</v>
      </c>
      <c r="P3833" t="s">
        <v>5407</v>
      </c>
    </row>
    <row r="3834" spans="1:18" x14ac:dyDescent="0.35">
      <c r="A3834" s="527" t="s">
        <v>6649</v>
      </c>
      <c r="B3834" s="526" t="s">
        <v>5410</v>
      </c>
      <c r="C3834" s="526" t="s">
        <v>6624</v>
      </c>
      <c r="D3834" s="526" t="s">
        <v>5406</v>
      </c>
      <c r="E3834" s="526"/>
      <c r="F3834" s="639">
        <f>ROUND(HLOOKUP(D3834,O3833:P3835,3,FALSE),2)</f>
        <v>5.91</v>
      </c>
      <c r="G3834" s="641">
        <f>ROUND(HLOOKUP(D3834,O3833:P3835,2,FALSE),2)</f>
        <v>6.11</v>
      </c>
      <c r="H3834" s="641">
        <f t="shared" si="1472"/>
        <v>4.8899999999999997</v>
      </c>
      <c r="I3834" s="574"/>
      <c r="J3834" s="549">
        <v>44196</v>
      </c>
      <c r="M3834" s="101">
        <v>2021</v>
      </c>
      <c r="N3834" s="322" t="s">
        <v>5882</v>
      </c>
      <c r="O3834" s="261">
        <v>6.11</v>
      </c>
      <c r="P3834" s="261">
        <v>5.33</v>
      </c>
      <c r="R3834" t="s">
        <v>49</v>
      </c>
    </row>
    <row r="3835" spans="1:18" x14ac:dyDescent="0.35">
      <c r="A3835" s="527" t="s">
        <v>6650</v>
      </c>
      <c r="B3835" s="526" t="s">
        <v>5410</v>
      </c>
      <c r="C3835" s="526" t="s">
        <v>6624</v>
      </c>
      <c r="D3835" s="526" t="s">
        <v>5407</v>
      </c>
      <c r="E3835" s="526"/>
      <c r="F3835" s="639">
        <f>ROUND(HLOOKUP(D3835,O3833:P3835,3,FALSE),2)</f>
        <v>5.13</v>
      </c>
      <c r="G3835" s="641">
        <f>ROUND(HLOOKUP(D3835,O3833:P3835,2,FALSE),2)</f>
        <v>5.33</v>
      </c>
      <c r="H3835" s="641">
        <f t="shared" si="1472"/>
        <v>4.26</v>
      </c>
      <c r="I3835" s="574"/>
      <c r="J3835" s="549">
        <v>44196</v>
      </c>
      <c r="N3835" s="322" t="s">
        <v>5881</v>
      </c>
      <c r="O3835" s="261">
        <f>O3834-0.2</f>
        <v>5.91</v>
      </c>
      <c r="P3835" s="261">
        <f>P3834-0.2</f>
        <v>5.13</v>
      </c>
      <c r="R3835" t="s">
        <v>50</v>
      </c>
    </row>
    <row r="3836" spans="1:18" x14ac:dyDescent="0.35">
      <c r="A3836" s="496"/>
      <c r="B3836" s="1"/>
      <c r="C3836" s="362"/>
      <c r="D3836" s="1"/>
      <c r="E3836" s="1"/>
      <c r="F3836" s="362"/>
      <c r="G3836" s="10"/>
      <c r="H3836" s="10" t="str">
        <f t="shared" si="1472"/>
        <v/>
      </c>
      <c r="I3836" s="566"/>
      <c r="J3836" s="549" t="s">
        <v>4179</v>
      </c>
      <c r="N3836" s="29" t="s">
        <v>5489</v>
      </c>
      <c r="O3836" t="s">
        <v>5406</v>
      </c>
      <c r="P3836" t="s">
        <v>5407</v>
      </c>
    </row>
    <row r="3837" spans="1:18" x14ac:dyDescent="0.35">
      <c r="A3837" s="527" t="str">
        <f>LEFT(A3834,12)&amp;RIGHT(M3837,2)</f>
        <v>KlK4121-----22</v>
      </c>
      <c r="B3837" s="526" t="s">
        <v>5410</v>
      </c>
      <c r="C3837" s="526" t="str">
        <f>"Inbetriebnahme 20" &amp; RIGHT(M3837,2)</f>
        <v>Inbetriebnahme 2022</v>
      </c>
      <c r="D3837" s="526" t="s">
        <v>5406</v>
      </c>
      <c r="E3837" s="526"/>
      <c r="F3837" s="639">
        <f>ROUND(HLOOKUP(D3837,O3836:P3838,3,FALSE),2)</f>
        <v>5.82</v>
      </c>
      <c r="G3837" s="641">
        <f>ROUND(HLOOKUP(D3837,O3836:P3838,2,FALSE),2)</f>
        <v>6.02</v>
      </c>
      <c r="H3837" s="641">
        <f t="shared" si="1472"/>
        <v>4.82</v>
      </c>
      <c r="I3837" s="574"/>
      <c r="J3837" s="549">
        <v>44536</v>
      </c>
      <c r="M3837" s="101">
        <v>2022</v>
      </c>
      <c r="N3837" s="322">
        <v>1.4999999999999999E-2</v>
      </c>
      <c r="O3837" s="261">
        <f>IF($N3837&lt;&gt;"",O3834*(100%-$N3837),"")</f>
        <v>6.0183499999999999</v>
      </c>
      <c r="P3837" s="261">
        <f>IF($N3837&lt;&gt;"",P3834*(100%-$N3837),"")</f>
        <v>5.2500499999999999</v>
      </c>
      <c r="R3837" t="s">
        <v>49</v>
      </c>
    </row>
    <row r="3838" spans="1:18" x14ac:dyDescent="0.35">
      <c r="A3838" s="527" t="str">
        <f>LEFT(A3835,12)&amp;RIGHT(M3837,2)</f>
        <v>KlK4122-----22</v>
      </c>
      <c r="B3838" s="526" t="s">
        <v>5410</v>
      </c>
      <c r="C3838" s="526" t="str">
        <f>"Inbetriebnahme 20" &amp; RIGHT(M3837,2)</f>
        <v>Inbetriebnahme 2022</v>
      </c>
      <c r="D3838" s="526" t="s">
        <v>5407</v>
      </c>
      <c r="E3838" s="526"/>
      <c r="F3838" s="639">
        <f>ROUND(HLOOKUP(D3838,O3836:P3838,3,FALSE),2)</f>
        <v>5.05</v>
      </c>
      <c r="G3838" s="641">
        <f>ROUND(HLOOKUP(D3838,O3836:P3838,2,FALSE),2)</f>
        <v>5.25</v>
      </c>
      <c r="H3838" s="641">
        <f t="shared" si="1472"/>
        <v>4.2</v>
      </c>
      <c r="I3838" s="574"/>
      <c r="J3838" s="549">
        <v>44536</v>
      </c>
      <c r="N3838" s="322"/>
      <c r="O3838" s="261">
        <f>O3837-0.2</f>
        <v>5.8183499999999997</v>
      </c>
      <c r="P3838" s="261">
        <f>P3837-0.2</f>
        <v>5.0500499999999997</v>
      </c>
      <c r="R3838" t="s">
        <v>50</v>
      </c>
    </row>
    <row r="3839" spans="1:18" x14ac:dyDescent="0.35">
      <c r="A3839" s="496"/>
      <c r="B3839" s="1"/>
      <c r="C3839" s="362"/>
      <c r="D3839" s="1"/>
      <c r="E3839" s="1"/>
      <c r="F3839" s="362"/>
      <c r="G3839" s="10"/>
      <c r="H3839" s="10" t="str">
        <f t="shared" si="1472"/>
        <v/>
      </c>
      <c r="I3839" s="566"/>
      <c r="J3839" s="549" t="s">
        <v>4179</v>
      </c>
      <c r="N3839" s="29" t="s">
        <v>5489</v>
      </c>
      <c r="O3839" t="s">
        <v>5406</v>
      </c>
      <c r="P3839" t="s">
        <v>5407</v>
      </c>
    </row>
    <row r="3840" spans="1:18" x14ac:dyDescent="0.35">
      <c r="A3840" s="527" t="str">
        <f>LEFT(A3837,12)&amp;RIGHT(M3840,2)</f>
        <v>KlK4121-----23</v>
      </c>
      <c r="B3840" s="526" t="s">
        <v>5410</v>
      </c>
      <c r="C3840" s="526" t="str">
        <f>"Inbetriebnahme 20" &amp; RIGHT(M3840,2)</f>
        <v>Inbetriebnahme 2023</v>
      </c>
      <c r="D3840" s="526" t="s">
        <v>5406</v>
      </c>
      <c r="E3840" s="526"/>
      <c r="F3840" s="639">
        <f>ROUND(HLOOKUP(D3840,O3839:P3841,3,FALSE),2)</f>
        <v>5.73</v>
      </c>
      <c r="G3840" s="641">
        <f>ROUND(HLOOKUP(D3840,O3839:P3841,2,FALSE),2)</f>
        <v>5.93</v>
      </c>
      <c r="H3840" s="641">
        <f t="shared" si="1472"/>
        <v>4.74</v>
      </c>
      <c r="I3840" s="574"/>
      <c r="J3840" s="549">
        <f>J$31</f>
        <v>44896</v>
      </c>
      <c r="M3840" s="101">
        <v>2023</v>
      </c>
      <c r="N3840" s="322" t="s">
        <v>5882</v>
      </c>
      <c r="O3840" s="261">
        <v>5.93</v>
      </c>
      <c r="P3840" s="261">
        <v>5.17</v>
      </c>
      <c r="R3840" t="s">
        <v>49</v>
      </c>
    </row>
    <row r="3841" spans="1:41" x14ac:dyDescent="0.35">
      <c r="A3841" s="527" t="str">
        <f>LEFT(A3838,12)&amp;RIGHT(M3840,2)</f>
        <v>KlK4122-----23</v>
      </c>
      <c r="B3841" s="526" t="s">
        <v>5410</v>
      </c>
      <c r="C3841" s="526" t="str">
        <f>"Inbetriebnahme 20" &amp; RIGHT(M3840,2)</f>
        <v>Inbetriebnahme 2023</v>
      </c>
      <c r="D3841" s="526" t="s">
        <v>5407</v>
      </c>
      <c r="E3841" s="526"/>
      <c r="F3841" s="639">
        <f>ROUND(HLOOKUP(D3841,O3839:P3841,3,FALSE),2)</f>
        <v>4.97</v>
      </c>
      <c r="G3841" s="641">
        <f>ROUND(HLOOKUP(D3841,O3839:P3841,2,FALSE),2)</f>
        <v>5.17</v>
      </c>
      <c r="H3841" s="641">
        <f t="shared" si="1472"/>
        <v>4.1399999999999997</v>
      </c>
      <c r="I3841" s="574"/>
      <c r="J3841" s="549">
        <f>J$31</f>
        <v>44896</v>
      </c>
      <c r="N3841" s="322" t="s">
        <v>5881</v>
      </c>
      <c r="O3841" s="261">
        <f>O3840-0.2</f>
        <v>5.7299999999999995</v>
      </c>
      <c r="P3841" s="261">
        <f>P3840-0.2</f>
        <v>4.97</v>
      </c>
      <c r="R3841" t="s">
        <v>50</v>
      </c>
    </row>
    <row r="3842" spans="1:41" x14ac:dyDescent="0.35">
      <c r="A3842" s="496"/>
      <c r="B3842" s="1"/>
      <c r="C3842" s="362"/>
      <c r="D3842" s="1"/>
      <c r="E3842" s="1"/>
      <c r="F3842" s="362"/>
      <c r="G3842" s="10"/>
      <c r="H3842" s="10" t="str">
        <f t="shared" si="1472"/>
        <v/>
      </c>
      <c r="I3842" s="566"/>
      <c r="J3842" s="549" t="s">
        <v>4179</v>
      </c>
      <c r="N3842" s="29" t="s">
        <v>5489</v>
      </c>
      <c r="O3842" t="s">
        <v>5406</v>
      </c>
      <c r="P3842" t="s">
        <v>5407</v>
      </c>
    </row>
    <row r="3843" spans="1:41" x14ac:dyDescent="0.35">
      <c r="A3843" s="527" t="str">
        <f>LEFT(A3840,12)&amp;RIGHT(M3843,2)</f>
        <v>KlK4121-----24</v>
      </c>
      <c r="B3843" s="526" t="s">
        <v>5410</v>
      </c>
      <c r="C3843" s="526" t="str">
        <f>"Inbetriebnahme 20" &amp; RIGHT(M3843,2)</f>
        <v>Inbetriebnahme 2024</v>
      </c>
      <c r="D3843" s="526" t="s">
        <v>5406</v>
      </c>
      <c r="E3843" s="526"/>
      <c r="F3843" s="639">
        <f>ROUND(HLOOKUP(D3843,O3842:P3844,3,FALSE),2)</f>
        <v>5.64</v>
      </c>
      <c r="G3843" s="641">
        <f>ROUND(HLOOKUP(D3843,O3842:P3844,2,FALSE),2)</f>
        <v>5.84</v>
      </c>
      <c r="H3843" s="641">
        <f t="shared" si="1472"/>
        <v>4.67</v>
      </c>
      <c r="I3843" s="574"/>
      <c r="J3843" s="549">
        <v>45268</v>
      </c>
      <c r="M3843" s="101">
        <v>2024</v>
      </c>
      <c r="N3843" s="322">
        <v>1.4999999999999999E-2</v>
      </c>
      <c r="O3843" s="261">
        <f>IF($N3843&lt;&gt;"",O3840*(100%-$N3843),"")</f>
        <v>5.8410500000000001</v>
      </c>
      <c r="P3843" s="261">
        <f>IF($N3843&lt;&gt;"",P3840*(100%-$N3843),"")</f>
        <v>5.0924499999999995</v>
      </c>
      <c r="R3843" t="s">
        <v>49</v>
      </c>
    </row>
    <row r="3844" spans="1:41" x14ac:dyDescent="0.35">
      <c r="A3844" s="527" t="str">
        <f>LEFT(A3841,12)&amp;RIGHT(M3843,2)</f>
        <v>KlK4122-----24</v>
      </c>
      <c r="B3844" s="526" t="s">
        <v>5410</v>
      </c>
      <c r="C3844" s="526" t="str">
        <f>"Inbetriebnahme 20" &amp; RIGHT(M3843,2)</f>
        <v>Inbetriebnahme 2024</v>
      </c>
      <c r="D3844" s="526" t="s">
        <v>5407</v>
      </c>
      <c r="E3844" s="526"/>
      <c r="F3844" s="639">
        <f>ROUND(HLOOKUP(D3844,O3842:P3844,3,FALSE),2)</f>
        <v>4.8899999999999997</v>
      </c>
      <c r="G3844" s="641">
        <f>ROUND(HLOOKUP(D3844,O3842:P3844,2,FALSE),2)</f>
        <v>5.09</v>
      </c>
      <c r="H3844" s="641">
        <f t="shared" si="1472"/>
        <v>4.07</v>
      </c>
      <c r="I3844" s="574"/>
      <c r="J3844" s="549">
        <v>45268</v>
      </c>
      <c r="N3844" s="322"/>
      <c r="O3844" s="261">
        <f>O3843-0.2</f>
        <v>5.6410499999999999</v>
      </c>
      <c r="P3844" s="261">
        <f>P3843-0.2</f>
        <v>4.8924499999999993</v>
      </c>
      <c r="R3844" t="s">
        <v>50</v>
      </c>
    </row>
    <row r="3845" spans="1:41" x14ac:dyDescent="0.35">
      <c r="A3845" s="496"/>
      <c r="B3845" s="1"/>
      <c r="C3845" s="1"/>
      <c r="D3845" s="1"/>
      <c r="E3845" s="1"/>
      <c r="F3845" s="375"/>
      <c r="G3845" s="76"/>
      <c r="H3845" s="401" t="str">
        <f t="shared" si="1472"/>
        <v/>
      </c>
      <c r="I3845" s="578"/>
      <c r="J3845" s="549" t="s">
        <v>4179</v>
      </c>
      <c r="K3845" s="11"/>
      <c r="L3845" s="55"/>
      <c r="M3845" s="37"/>
      <c r="N3845" s="29"/>
      <c r="O3845" s="202"/>
      <c r="P3845" s="22"/>
      <c r="AH3845" s="202"/>
      <c r="AO3845" s="203"/>
    </row>
    <row r="3846" spans="1:41" ht="15.5" x14ac:dyDescent="0.35">
      <c r="A3846" s="496"/>
      <c r="B3846" s="1"/>
      <c r="C3846" s="1"/>
      <c r="D3846" s="1"/>
      <c r="E3846" s="1"/>
      <c r="F3846" s="362"/>
      <c r="G3846" s="10"/>
      <c r="H3846" s="10" t="str">
        <f t="shared" si="1472"/>
        <v/>
      </c>
      <c r="I3846" s="566"/>
      <c r="J3846" s="549" t="s">
        <v>4179</v>
      </c>
      <c r="K3846" s="22"/>
      <c r="M3846" s="53" t="s">
        <v>5493</v>
      </c>
      <c r="N3846" s="27"/>
      <c r="O3846" s="22"/>
      <c r="P3846" s="22"/>
    </row>
    <row r="3847" spans="1:41" x14ac:dyDescent="0.35">
      <c r="A3847" s="496"/>
      <c r="B3847" s="1"/>
      <c r="C3847" s="18"/>
      <c r="D3847" s="18"/>
      <c r="E3847" s="1"/>
      <c r="F3847" s="362"/>
      <c r="G3847" s="10"/>
      <c r="H3847" s="10" t="str">
        <f t="shared" si="1472"/>
        <v/>
      </c>
      <c r="I3847" s="566"/>
      <c r="J3847" s="549" t="s">
        <v>4179</v>
      </c>
      <c r="K3847" s="22"/>
      <c r="L3847" s="22"/>
      <c r="M3847" s="22"/>
      <c r="N3847" s="85"/>
      <c r="O3847" s="86" t="s">
        <v>1205</v>
      </c>
      <c r="P3847" s="22"/>
      <c r="Q3847" s="38"/>
      <c r="S3847" s="22"/>
      <c r="AB3847" s="57"/>
    </row>
    <row r="3848" spans="1:41" ht="63.5" x14ac:dyDescent="0.35">
      <c r="A3848" s="496"/>
      <c r="B3848" s="1"/>
      <c r="C3848" s="18"/>
      <c r="D3848" s="18"/>
      <c r="E3848" s="1"/>
      <c r="F3848" s="362"/>
      <c r="G3848" s="10"/>
      <c r="H3848" s="10" t="str">
        <f t="shared" si="1472"/>
        <v/>
      </c>
      <c r="I3848" s="566"/>
      <c r="J3848" s="549" t="s">
        <v>4179</v>
      </c>
      <c r="K3848" s="22"/>
      <c r="L3848" s="22"/>
      <c r="M3848" s="36" t="s">
        <v>2913</v>
      </c>
      <c r="N3848" s="39" t="s">
        <v>5494</v>
      </c>
      <c r="O3848" s="30" t="s">
        <v>772</v>
      </c>
      <c r="P3848" s="30" t="s">
        <v>773</v>
      </c>
      <c r="Q3848" s="39" t="s">
        <v>774</v>
      </c>
      <c r="R3848" s="95" t="s">
        <v>5489</v>
      </c>
      <c r="S3848" s="30"/>
      <c r="T3848" s="30"/>
      <c r="U3848" s="30"/>
      <c r="V3848" s="64"/>
      <c r="W3848" s="64"/>
      <c r="X3848" s="64"/>
      <c r="Y3848" s="64"/>
      <c r="Z3848" s="64"/>
      <c r="AA3848" s="64"/>
      <c r="AB3848" s="30"/>
      <c r="AC3848" s="30"/>
      <c r="AD3848" s="30"/>
    </row>
    <row r="3849" spans="1:41" x14ac:dyDescent="0.35">
      <c r="A3849" s="496"/>
      <c r="B3849" s="1"/>
      <c r="C3849" s="18"/>
      <c r="D3849" s="18"/>
      <c r="E3849" s="1"/>
      <c r="F3849" s="362"/>
      <c r="G3849" s="10"/>
      <c r="H3849" s="10" t="str">
        <f t="shared" si="1472"/>
        <v/>
      </c>
      <c r="I3849" s="566"/>
      <c r="J3849" s="549" t="s">
        <v>4179</v>
      </c>
      <c r="K3849" s="22"/>
      <c r="L3849" s="22"/>
      <c r="M3849" s="34"/>
      <c r="N3849" s="39"/>
      <c r="O3849" s="30" t="s">
        <v>1032</v>
      </c>
      <c r="P3849" s="30" t="s">
        <v>1030</v>
      </c>
      <c r="Q3849" s="39" t="s">
        <v>1031</v>
      </c>
      <c r="R3849" s="293">
        <v>1.4999999999999999E-2</v>
      </c>
      <c r="S3849" s="30"/>
      <c r="T3849" s="30"/>
      <c r="U3849" s="30"/>
      <c r="V3849" s="30"/>
      <c r="W3849" s="30"/>
      <c r="X3849" s="30"/>
      <c r="Y3849" s="30"/>
      <c r="Z3849" s="30"/>
      <c r="AA3849" s="30"/>
      <c r="AB3849" s="30"/>
      <c r="AC3849" s="30"/>
      <c r="AD3849" s="30"/>
    </row>
    <row r="3850" spans="1:41" x14ac:dyDescent="0.35">
      <c r="A3850" s="496"/>
      <c r="B3850" s="1"/>
      <c r="C3850" s="1"/>
      <c r="D3850" s="1"/>
      <c r="E3850" s="1"/>
      <c r="F3850" s="362"/>
      <c r="G3850" s="10"/>
      <c r="H3850" s="10" t="str">
        <f t="shared" si="1472"/>
        <v/>
      </c>
      <c r="I3850" s="566"/>
      <c r="J3850" s="549" t="s">
        <v>4179</v>
      </c>
      <c r="L3850" s="56"/>
      <c r="M3850" s="35">
        <v>2009</v>
      </c>
      <c r="N3850" s="28"/>
      <c r="O3850" s="33"/>
      <c r="P3850" s="28"/>
      <c r="Q3850" s="40">
        <v>2</v>
      </c>
      <c r="R3850" s="29" t="str">
        <f>"Bonushöhe bei Inbetriebnahme in "&amp;M3850</f>
        <v>Bonushöhe bei Inbetriebnahme in 2009</v>
      </c>
      <c r="S3850" s="29"/>
      <c r="T3850" s="29"/>
      <c r="U3850" s="29"/>
      <c r="V3850" s="29"/>
      <c r="W3850" s="29"/>
      <c r="X3850" s="29"/>
      <c r="Y3850" s="29"/>
      <c r="Z3850" s="29"/>
      <c r="AA3850" s="29"/>
      <c r="AB3850" s="29"/>
      <c r="AC3850" s="29"/>
      <c r="AD3850" s="29"/>
    </row>
    <row r="3851" spans="1:41" x14ac:dyDescent="0.35">
      <c r="A3851" s="497" t="s">
        <v>3303</v>
      </c>
      <c r="B3851" s="13" t="s">
        <v>5411</v>
      </c>
      <c r="C3851" s="13" t="s">
        <v>5404</v>
      </c>
      <c r="D3851" s="13" t="s">
        <v>5412</v>
      </c>
      <c r="E3851" s="13"/>
      <c r="F3851" s="364">
        <v>7.16</v>
      </c>
      <c r="G3851" s="424">
        <v>7.16</v>
      </c>
      <c r="H3851" s="14">
        <f t="shared" si="1472"/>
        <v>5.73</v>
      </c>
      <c r="I3851" s="568"/>
      <c r="J3851" s="549" t="s">
        <v>5804</v>
      </c>
      <c r="L3851" s="55" t="str">
        <f>IF(F3851=M3851,"",FALSE)</f>
        <v/>
      </c>
      <c r="M3851" s="37">
        <f>N3851+SUMIF(O3851:Q3851,"x",O$3850:Q$3850)</f>
        <v>7.16</v>
      </c>
      <c r="N3851" s="91">
        <v>7.16</v>
      </c>
      <c r="O3851" s="97"/>
      <c r="P3851" s="97"/>
      <c r="Q3851" s="91"/>
    </row>
    <row r="3852" spans="1:41" x14ac:dyDescent="0.35">
      <c r="A3852" s="497" t="s">
        <v>3302</v>
      </c>
      <c r="B3852" s="13" t="s">
        <v>5411</v>
      </c>
      <c r="C3852" s="13" t="s">
        <v>5404</v>
      </c>
      <c r="D3852" s="13" t="s">
        <v>590</v>
      </c>
      <c r="E3852" s="13"/>
      <c r="F3852" s="364">
        <v>9.16</v>
      </c>
      <c r="G3852" s="424">
        <v>9.16</v>
      </c>
      <c r="H3852" s="14">
        <f t="shared" si="1472"/>
        <v>7.33</v>
      </c>
      <c r="I3852" s="568"/>
      <c r="J3852" s="549" t="s">
        <v>5804</v>
      </c>
      <c r="L3852" s="55" t="str">
        <f>IF(F3852=M3852,"",FALSE)</f>
        <v/>
      </c>
      <c r="M3852" s="37">
        <f>N3852+SUMIF(O3852:Q3852,"x",O$3850:Q$3850)</f>
        <v>9.16</v>
      </c>
      <c r="N3852" s="91">
        <v>7.16</v>
      </c>
      <c r="O3852" s="97"/>
      <c r="P3852" s="97"/>
      <c r="Q3852" s="91" t="s">
        <v>1017</v>
      </c>
    </row>
    <row r="3853" spans="1:41" x14ac:dyDescent="0.35">
      <c r="A3853" s="497" t="s">
        <v>3304</v>
      </c>
      <c r="B3853" s="13" t="s">
        <v>5411</v>
      </c>
      <c r="C3853" s="13" t="s">
        <v>5404</v>
      </c>
      <c r="D3853" s="13" t="s">
        <v>5413</v>
      </c>
      <c r="E3853" s="13"/>
      <c r="F3853" s="364">
        <v>5.16</v>
      </c>
      <c r="G3853" s="424">
        <v>5.16</v>
      </c>
      <c r="H3853" s="14">
        <f t="shared" si="1472"/>
        <v>4.13</v>
      </c>
      <c r="I3853" s="568"/>
      <c r="J3853" s="549" t="s">
        <v>5804</v>
      </c>
      <c r="L3853" s="55" t="str">
        <f>IF(F3853=M3853,"",FALSE)</f>
        <v/>
      </c>
      <c r="M3853" s="37">
        <f>N3853+SUMIF(O3853:Q3853,"x",O$3850:Q$3850)</f>
        <v>5.16</v>
      </c>
      <c r="N3853" s="91">
        <v>5.16</v>
      </c>
      <c r="O3853" s="97"/>
      <c r="P3853" s="97"/>
      <c r="Q3853" s="91"/>
    </row>
    <row r="3854" spans="1:41" x14ac:dyDescent="0.35">
      <c r="A3854" s="497" t="s">
        <v>591</v>
      </c>
      <c r="B3854" s="13" t="s">
        <v>5411</v>
      </c>
      <c r="C3854" s="13" t="s">
        <v>5404</v>
      </c>
      <c r="D3854" s="13" t="s">
        <v>592</v>
      </c>
      <c r="E3854" s="13"/>
      <c r="F3854" s="364">
        <v>7.16</v>
      </c>
      <c r="G3854" s="424">
        <v>7.16</v>
      </c>
      <c r="H3854" s="14">
        <f t="shared" si="1472"/>
        <v>5.73</v>
      </c>
      <c r="I3854" s="568"/>
      <c r="J3854" s="549" t="s">
        <v>5804</v>
      </c>
      <c r="L3854" s="55" t="str">
        <f>IF(F3854=M3854,"",FALSE)</f>
        <v/>
      </c>
      <c r="M3854" s="37">
        <f>N3854+SUMIF(O3854:Q3854,"x",O$3850:Q$3850)</f>
        <v>7.16</v>
      </c>
      <c r="N3854" s="91">
        <v>5.16</v>
      </c>
      <c r="O3854" s="97"/>
      <c r="P3854" s="97"/>
      <c r="Q3854" s="91" t="s">
        <v>1017</v>
      </c>
    </row>
    <row r="3855" spans="1:41" x14ac:dyDescent="0.35">
      <c r="A3855" s="497" t="s">
        <v>3305</v>
      </c>
      <c r="B3855" s="13" t="s">
        <v>5411</v>
      </c>
      <c r="C3855" s="13" t="s">
        <v>5404</v>
      </c>
      <c r="D3855" s="13" t="s">
        <v>7371</v>
      </c>
      <c r="E3855" s="13"/>
      <c r="F3855" s="364">
        <v>4.16</v>
      </c>
      <c r="G3855" s="424">
        <v>4.16</v>
      </c>
      <c r="H3855" s="14">
        <f t="shared" si="1472"/>
        <v>3.33</v>
      </c>
      <c r="I3855" s="568"/>
      <c r="J3855" s="549" t="s">
        <v>5804</v>
      </c>
      <c r="L3855" s="55" t="str">
        <f>IF(F3855=M3855,"",FALSE)</f>
        <v/>
      </c>
      <c r="M3855" s="45">
        <f>N3855+SUMIF(O3855:Q3855,"x",O$3850:Q$3850)</f>
        <v>4.16</v>
      </c>
      <c r="N3855" s="93">
        <v>4.16</v>
      </c>
      <c r="O3855" s="98"/>
      <c r="P3855" s="98"/>
      <c r="Q3855" s="93"/>
    </row>
    <row r="3856" spans="1:41" x14ac:dyDescent="0.35">
      <c r="A3856" s="496"/>
      <c r="B3856" s="1"/>
      <c r="C3856" s="1"/>
      <c r="D3856" s="1"/>
      <c r="E3856" s="1"/>
      <c r="F3856" s="362"/>
      <c r="G3856" s="425"/>
      <c r="H3856" s="10" t="str">
        <f t="shared" si="1472"/>
        <v/>
      </c>
      <c r="I3856" s="566"/>
      <c r="J3856" s="549" t="s">
        <v>4179</v>
      </c>
      <c r="M3856" s="35">
        <v>2010</v>
      </c>
      <c r="N3856" s="90"/>
      <c r="O3856" s="94"/>
      <c r="P3856" s="94"/>
      <c r="Q3856" s="93">
        <f>ROUND(Q$3850*(1-$R$3849)^($M3856-$M$3850),2)</f>
        <v>1.97</v>
      </c>
      <c r="R3856" s="29" t="str">
        <f>"Bonushöhe bei Inbetriebnahme in "&amp;M3856</f>
        <v>Bonushöhe bei Inbetriebnahme in 2010</v>
      </c>
    </row>
    <row r="3857" spans="1:24" x14ac:dyDescent="0.35">
      <c r="A3857" s="497" t="s">
        <v>5477</v>
      </c>
      <c r="B3857" s="13" t="s">
        <v>5411</v>
      </c>
      <c r="C3857" s="13" t="s">
        <v>2385</v>
      </c>
      <c r="D3857" s="13" t="s">
        <v>5412</v>
      </c>
      <c r="E3857" s="13"/>
      <c r="F3857" s="364">
        <f>ROUND(F3851*0.985,2)</f>
        <v>7.05</v>
      </c>
      <c r="G3857" s="424">
        <v>7.05</v>
      </c>
      <c r="H3857" s="14">
        <f t="shared" si="1472"/>
        <v>5.64</v>
      </c>
      <c r="I3857" s="568"/>
      <c r="J3857" s="549" t="s">
        <v>5804</v>
      </c>
      <c r="L3857" s="55" t="str">
        <f>IF(F3857=M3857,"",FALSE)</f>
        <v/>
      </c>
      <c r="M3857" s="37">
        <f>N3857+SUMIF(O3857:Q3857,"x",$O$3856:$Q$3856)</f>
        <v>7.05</v>
      </c>
      <c r="N3857" s="73">
        <f>ROUND(N3851*(1-$R$3849)^($M$3856-$M$3850),2)</f>
        <v>7.05</v>
      </c>
      <c r="O3857" s="97"/>
      <c r="P3857" s="97"/>
      <c r="Q3857" s="91"/>
    </row>
    <row r="3858" spans="1:24" x14ac:dyDescent="0.35">
      <c r="A3858" s="497" t="s">
        <v>5478</v>
      </c>
      <c r="B3858" s="13" t="s">
        <v>5411</v>
      </c>
      <c r="C3858" s="13" t="s">
        <v>2385</v>
      </c>
      <c r="D3858" s="13" t="s">
        <v>590</v>
      </c>
      <c r="E3858" s="13"/>
      <c r="F3858" s="364">
        <f>ROUND(F3852*0.985,2)</f>
        <v>9.02</v>
      </c>
      <c r="G3858" s="424">
        <v>9.02</v>
      </c>
      <c r="H3858" s="14">
        <f t="shared" si="1472"/>
        <v>7.22</v>
      </c>
      <c r="I3858" s="568"/>
      <c r="J3858" s="549" t="s">
        <v>5804</v>
      </c>
      <c r="L3858" s="55" t="str">
        <f>IF(F3858=M3858,"",FALSE)</f>
        <v/>
      </c>
      <c r="M3858" s="37">
        <f>N3858+SUMIF(O3858:Q3858,"x",$O$3856:$Q$3856)</f>
        <v>9.02</v>
      </c>
      <c r="N3858" s="73">
        <f>ROUND(N3852*(1-$R$3849)^($M$3856-$M$3850),2)</f>
        <v>7.05</v>
      </c>
      <c r="O3858" s="97"/>
      <c r="P3858" s="97"/>
      <c r="Q3858" s="91" t="s">
        <v>1017</v>
      </c>
    </row>
    <row r="3859" spans="1:24" x14ac:dyDescent="0.35">
      <c r="A3859" s="497" t="s">
        <v>5479</v>
      </c>
      <c r="B3859" s="13" t="s">
        <v>5411</v>
      </c>
      <c r="C3859" s="13" t="s">
        <v>2385</v>
      </c>
      <c r="D3859" s="13" t="s">
        <v>5413</v>
      </c>
      <c r="E3859" s="13"/>
      <c r="F3859" s="364">
        <f>ROUND(F3853*0.985,2)</f>
        <v>5.08</v>
      </c>
      <c r="G3859" s="424">
        <v>5.08</v>
      </c>
      <c r="H3859" s="14">
        <f t="shared" si="1472"/>
        <v>4.0599999999999996</v>
      </c>
      <c r="I3859" s="568"/>
      <c r="J3859" s="549" t="s">
        <v>5804</v>
      </c>
      <c r="L3859" s="55" t="str">
        <f>IF(F3859=M3859,"",FALSE)</f>
        <v/>
      </c>
      <c r="M3859" s="37">
        <f>N3859+SUMIF(O3859:Q3859,"x",$O$3856:$Q$3856)</f>
        <v>5.08</v>
      </c>
      <c r="N3859" s="73">
        <f>ROUND(N3853*(1-$R$3849)^($M$3856-$M$3850),2)</f>
        <v>5.08</v>
      </c>
      <c r="O3859" s="97"/>
      <c r="P3859" s="97"/>
      <c r="Q3859" s="91"/>
    </row>
    <row r="3860" spans="1:24" x14ac:dyDescent="0.35">
      <c r="A3860" s="497" t="s">
        <v>5480</v>
      </c>
      <c r="B3860" s="13" t="s">
        <v>5411</v>
      </c>
      <c r="C3860" s="13" t="s">
        <v>2385</v>
      </c>
      <c r="D3860" s="13" t="s">
        <v>592</v>
      </c>
      <c r="E3860" s="13"/>
      <c r="F3860" s="364">
        <f>ROUND(F3854*0.985,2)</f>
        <v>7.05</v>
      </c>
      <c r="G3860" s="424">
        <v>7.05</v>
      </c>
      <c r="H3860" s="14">
        <f t="shared" si="1472"/>
        <v>5.64</v>
      </c>
      <c r="I3860" s="568"/>
      <c r="J3860" s="549" t="s">
        <v>5804</v>
      </c>
      <c r="L3860" s="55" t="str">
        <f>IF(F3860=M3860,"",FALSE)</f>
        <v/>
      </c>
      <c r="M3860" s="37">
        <f>N3860+SUMIF(O3860:Q3860,"x",$O$3856:$Q$3856)</f>
        <v>7.05</v>
      </c>
      <c r="N3860" s="73">
        <f>ROUND(N3854*(1-$R$3849)^($M$3856-$M$3850),2)</f>
        <v>5.08</v>
      </c>
      <c r="O3860" s="99"/>
      <c r="P3860" s="97"/>
      <c r="Q3860" s="91" t="s">
        <v>1017</v>
      </c>
    </row>
    <row r="3861" spans="1:24" x14ac:dyDescent="0.35">
      <c r="A3861" s="497" t="s">
        <v>5481</v>
      </c>
      <c r="B3861" s="13" t="s">
        <v>5411</v>
      </c>
      <c r="C3861" s="13" t="s">
        <v>2385</v>
      </c>
      <c r="D3861" s="13" t="s">
        <v>7371</v>
      </c>
      <c r="E3861" s="13"/>
      <c r="F3861" s="364">
        <f>ROUND(F3855*0.985,2)</f>
        <v>4.0999999999999996</v>
      </c>
      <c r="G3861" s="424">
        <v>4.0999999999999996</v>
      </c>
      <c r="H3861" s="14">
        <f t="shared" si="1472"/>
        <v>3.28</v>
      </c>
      <c r="I3861" s="568"/>
      <c r="J3861" s="549" t="s">
        <v>5804</v>
      </c>
      <c r="L3861" s="55" t="str">
        <f>IF(F3861=M3861,"",FALSE)</f>
        <v/>
      </c>
      <c r="M3861" s="45">
        <f>N3861+SUMIF(O3861:Q3861,"x",$O$3856:$Q$3856)</f>
        <v>4.0999999999999996</v>
      </c>
      <c r="N3861" s="40">
        <f>ROUND(N3855*(1-$R$3849)^($M$3856-$M$3850),2)</f>
        <v>4.0999999999999996</v>
      </c>
      <c r="O3861" s="98"/>
      <c r="P3861" s="98"/>
      <c r="Q3861" s="93"/>
    </row>
    <row r="3862" spans="1:24" x14ac:dyDescent="0.35">
      <c r="A3862" s="496"/>
      <c r="B3862" s="1"/>
      <c r="C3862" s="1"/>
      <c r="D3862" s="1"/>
      <c r="E3862" s="1"/>
      <c r="F3862" s="362"/>
      <c r="G3862" s="425"/>
      <c r="H3862" s="10" t="str">
        <f t="shared" si="1472"/>
        <v/>
      </c>
      <c r="I3862" s="566"/>
      <c r="J3862" s="549" t="s">
        <v>4179</v>
      </c>
      <c r="M3862" s="35">
        <v>2011</v>
      </c>
      <c r="N3862" s="296"/>
      <c r="O3862" s="94"/>
      <c r="P3862" s="94"/>
      <c r="Q3862" s="93">
        <f>ROUND(Q$3850*(1-$R$3849)^($M3862-$M$3850),2)</f>
        <v>1.94</v>
      </c>
      <c r="R3862" s="29" t="str">
        <f>"Bonushöhe bei Inbetriebnahme in "&amp;M3862</f>
        <v>Bonushöhe bei Inbetriebnahme in 2011</v>
      </c>
    </row>
    <row r="3863" spans="1:24" x14ac:dyDescent="0.35">
      <c r="A3863" s="497" t="str">
        <f>LEFT(A3857,12)&amp;($M$3862-2000)</f>
        <v>GrK260------11</v>
      </c>
      <c r="B3863" s="13" t="s">
        <v>5411</v>
      </c>
      <c r="C3863" s="13" t="str">
        <f>"Inbetriebnahme "&amp;$M$3862</f>
        <v>Inbetriebnahme 2011</v>
      </c>
      <c r="D3863" s="13" t="s">
        <v>5412</v>
      </c>
      <c r="E3863" s="13"/>
      <c r="F3863" s="364">
        <f>M3863</f>
        <v>6.95</v>
      </c>
      <c r="G3863" s="424">
        <v>6.95</v>
      </c>
      <c r="H3863" s="14">
        <f t="shared" si="1472"/>
        <v>5.56</v>
      </c>
      <c r="I3863" s="568"/>
      <c r="J3863" s="549" t="s">
        <v>5804</v>
      </c>
      <c r="L3863" s="55" t="str">
        <f>IF(F3863=M3863,"",FALSE)</f>
        <v/>
      </c>
      <c r="M3863" s="37">
        <f>N3863+SUMIF(O3863:Q3863,"x",$O$3862:$Q$3862)</f>
        <v>6.95</v>
      </c>
      <c r="N3863" s="73">
        <f>ROUND(N3851*(1-$R$3849)^($M$3862-$M$3850),2)</f>
        <v>6.95</v>
      </c>
      <c r="O3863" s="97"/>
      <c r="P3863" s="97"/>
      <c r="Q3863" s="91"/>
    </row>
    <row r="3864" spans="1:24" x14ac:dyDescent="0.35">
      <c r="A3864" s="497" t="str">
        <f>LEFT(A3858,12)&amp;($M$3862-2000)</f>
        <v>GrK263------11</v>
      </c>
      <c r="B3864" s="13" t="s">
        <v>5411</v>
      </c>
      <c r="C3864" s="13" t="str">
        <f>"Inbetriebnahme "&amp;$M$3862</f>
        <v>Inbetriebnahme 2011</v>
      </c>
      <c r="D3864" s="13" t="s">
        <v>590</v>
      </c>
      <c r="E3864" s="13"/>
      <c r="F3864" s="364">
        <f>M3864</f>
        <v>8.89</v>
      </c>
      <c r="G3864" s="424">
        <v>8.89</v>
      </c>
      <c r="H3864" s="14">
        <f t="shared" si="1472"/>
        <v>7.11</v>
      </c>
      <c r="I3864" s="568"/>
      <c r="J3864" s="549" t="s">
        <v>5804</v>
      </c>
      <c r="L3864" s="55" t="str">
        <f>IF(F3864=M3864,"",FALSE)</f>
        <v/>
      </c>
      <c r="M3864" s="37">
        <f>N3864+SUMIF(O3864:Q3864,"x",$O$3862:$Q$3862)</f>
        <v>8.89</v>
      </c>
      <c r="N3864" s="73">
        <f>ROUND(N3852*(1-$R$3849)^($M$3862-$M$3850),2)</f>
        <v>6.95</v>
      </c>
      <c r="O3864" s="97"/>
      <c r="P3864" s="97"/>
      <c r="Q3864" s="91" t="s">
        <v>1017</v>
      </c>
    </row>
    <row r="3865" spans="1:24" x14ac:dyDescent="0.35">
      <c r="A3865" s="497" t="str">
        <f>LEFT(A3859,12)&amp;($M$3862-2000)</f>
        <v>GrK265------11</v>
      </c>
      <c r="B3865" s="13" t="s">
        <v>5411</v>
      </c>
      <c r="C3865" s="13" t="str">
        <f>"Inbetriebnahme "&amp;$M$3862</f>
        <v>Inbetriebnahme 2011</v>
      </c>
      <c r="D3865" s="13" t="s">
        <v>5413</v>
      </c>
      <c r="E3865" s="13"/>
      <c r="F3865" s="364">
        <f>M3865</f>
        <v>5.01</v>
      </c>
      <c r="G3865" s="424">
        <v>5.01</v>
      </c>
      <c r="H3865" s="14">
        <f t="shared" si="1472"/>
        <v>4.01</v>
      </c>
      <c r="I3865" s="568"/>
      <c r="J3865" s="549" t="s">
        <v>5804</v>
      </c>
      <c r="L3865" s="55" t="str">
        <f>IF(F3865=M3865,"",FALSE)</f>
        <v/>
      </c>
      <c r="M3865" s="37">
        <f>N3865+SUMIF(O3865:Q3865,"x",$O$3862:$Q$3862)</f>
        <v>5.01</v>
      </c>
      <c r="N3865" s="73">
        <f>ROUND(N3853*(1-$R$3849)^($M$3862-$M$3850),2)</f>
        <v>5.01</v>
      </c>
      <c r="O3865" s="97"/>
      <c r="P3865" s="97"/>
      <c r="Q3865" s="91"/>
    </row>
    <row r="3866" spans="1:24" x14ac:dyDescent="0.35">
      <c r="A3866" s="497" t="str">
        <f>LEFT(A3860,12)&amp;($M$3862-2000)</f>
        <v>GrK268------11</v>
      </c>
      <c r="B3866" s="13" t="s">
        <v>5411</v>
      </c>
      <c r="C3866" s="13" t="str">
        <f>"Inbetriebnahme "&amp;$M$3862</f>
        <v>Inbetriebnahme 2011</v>
      </c>
      <c r="D3866" s="13" t="s">
        <v>592</v>
      </c>
      <c r="E3866" s="13"/>
      <c r="F3866" s="364">
        <f>M3866</f>
        <v>6.9499999999999993</v>
      </c>
      <c r="G3866" s="424">
        <v>6.9499999999999993</v>
      </c>
      <c r="H3866" s="14">
        <f t="shared" ref="H3866:H3929" si="1480">IF(ISNUMBER(G3866),ROUND(0.8*G3866,2),"")</f>
        <v>5.56</v>
      </c>
      <c r="I3866" s="568"/>
      <c r="J3866" s="549" t="s">
        <v>5804</v>
      </c>
      <c r="L3866" s="55" t="str">
        <f>IF(F3866=M3866,"",FALSE)</f>
        <v/>
      </c>
      <c r="M3866" s="37">
        <f>N3866+SUMIF(O3866:Q3866,"x",$O$3862:$Q$3862)</f>
        <v>6.9499999999999993</v>
      </c>
      <c r="N3866" s="73">
        <f>ROUND(N3854*(1-$R$3849)^($M$3862-$M$3850),2)</f>
        <v>5.01</v>
      </c>
      <c r="O3866" s="99"/>
      <c r="P3866" s="97"/>
      <c r="Q3866" s="91" t="s">
        <v>1017</v>
      </c>
    </row>
    <row r="3867" spans="1:24" x14ac:dyDescent="0.35">
      <c r="A3867" s="497" t="str">
        <f>LEFT(A3861,12)&amp;($M$3862-2000)</f>
        <v>GrK2610-----11</v>
      </c>
      <c r="B3867" s="13" t="s">
        <v>5411</v>
      </c>
      <c r="C3867" s="13" t="str">
        <f>"Inbetriebnahme "&amp;$M$3862</f>
        <v>Inbetriebnahme 2011</v>
      </c>
      <c r="D3867" s="13" t="s">
        <v>7371</v>
      </c>
      <c r="E3867" s="13"/>
      <c r="F3867" s="364">
        <f>M3867</f>
        <v>4.04</v>
      </c>
      <c r="G3867" s="424">
        <v>4.04</v>
      </c>
      <c r="H3867" s="14">
        <f t="shared" si="1480"/>
        <v>3.23</v>
      </c>
      <c r="I3867" s="568"/>
      <c r="J3867" s="549" t="s">
        <v>5804</v>
      </c>
      <c r="L3867" s="55" t="str">
        <f>IF(F3867=M3867,"",FALSE)</f>
        <v/>
      </c>
      <c r="M3867" s="45">
        <f>N3867+SUMIF(O3867:Q3867,"x",$O$3862:$Q$3862)</f>
        <v>4.04</v>
      </c>
      <c r="N3867" s="40">
        <f>ROUND(N3855*(1-$R$3849)^($M$3862-$M$3850),2)</f>
        <v>4.04</v>
      </c>
      <c r="O3867" s="98"/>
      <c r="P3867" s="98"/>
      <c r="Q3867" s="93"/>
    </row>
    <row r="3868" spans="1:24" x14ac:dyDescent="0.35">
      <c r="A3868" s="496"/>
      <c r="B3868" s="1"/>
      <c r="C3868" s="1"/>
      <c r="D3868" s="1"/>
      <c r="E3868" s="1"/>
      <c r="F3868" s="362"/>
      <c r="G3868" s="425"/>
      <c r="H3868" s="10" t="str">
        <f t="shared" si="1480"/>
        <v/>
      </c>
      <c r="I3868" s="566"/>
      <c r="J3868" s="549" t="s">
        <v>4179</v>
      </c>
      <c r="K3868" s="9"/>
      <c r="M3868" s="22"/>
      <c r="N3868" s="11"/>
      <c r="O3868" s="11"/>
    </row>
    <row r="3869" spans="1:24" s="207" customFormat="1" ht="21.75" customHeight="1" x14ac:dyDescent="0.35">
      <c r="A3869" s="509"/>
      <c r="B3869" s="204"/>
      <c r="C3869" s="204"/>
      <c r="D3869" s="204"/>
      <c r="E3869" s="204"/>
      <c r="F3869" s="381"/>
      <c r="G3869" s="437"/>
      <c r="H3869" s="205" t="str">
        <f t="shared" si="1480"/>
        <v/>
      </c>
      <c r="I3869" s="583"/>
      <c r="J3869" s="549" t="s">
        <v>4179</v>
      </c>
      <c r="K3869" s="217"/>
      <c r="M3869" s="208" t="s">
        <v>492</v>
      </c>
      <c r="N3869" s="218"/>
      <c r="O3869" s="217"/>
      <c r="P3869" s="217"/>
    </row>
    <row r="3870" spans="1:24" s="187" customFormat="1" ht="57.75" customHeight="1" x14ac:dyDescent="0.2">
      <c r="A3870" s="508"/>
      <c r="B3870" s="181"/>
      <c r="C3870" s="182"/>
      <c r="D3870" s="182"/>
      <c r="E3870" s="181"/>
      <c r="F3870" s="380"/>
      <c r="G3870" s="436"/>
      <c r="H3870" s="404" t="str">
        <f t="shared" si="1480"/>
        <v/>
      </c>
      <c r="I3870" s="582"/>
      <c r="J3870" s="549" t="s">
        <v>4179</v>
      </c>
      <c r="K3870" s="184"/>
      <c r="L3870" s="184"/>
      <c r="M3870" s="191" t="s">
        <v>2913</v>
      </c>
      <c r="N3870" s="290" t="s">
        <v>503</v>
      </c>
      <c r="O3870" s="216" t="s">
        <v>496</v>
      </c>
      <c r="P3870" s="214"/>
      <c r="Q3870" s="295"/>
      <c r="R3870" s="95" t="s">
        <v>505</v>
      </c>
      <c r="S3870" s="214"/>
      <c r="T3870" s="214"/>
      <c r="U3870" s="214"/>
      <c r="V3870" s="214"/>
      <c r="W3870" s="214"/>
      <c r="X3870" s="214"/>
    </row>
    <row r="3871" spans="1:24" x14ac:dyDescent="0.35">
      <c r="A3871" s="496"/>
      <c r="B3871" s="1"/>
      <c r="C3871" s="1"/>
      <c r="D3871" s="1"/>
      <c r="E3871" s="1"/>
      <c r="F3871" s="362"/>
      <c r="G3871" s="425"/>
      <c r="H3871" s="10" t="str">
        <f t="shared" si="1480"/>
        <v/>
      </c>
      <c r="I3871" s="566"/>
      <c r="J3871" s="549" t="s">
        <v>4179</v>
      </c>
      <c r="K3871" s="9"/>
      <c r="M3871" s="35">
        <v>2012</v>
      </c>
      <c r="N3871" s="291"/>
      <c r="O3871" s="35"/>
      <c r="P3871" s="35"/>
      <c r="Q3871" s="90"/>
      <c r="R3871" s="96">
        <v>1.4999999999999999E-2</v>
      </c>
    </row>
    <row r="3872" spans="1:24" x14ac:dyDescent="0.35">
      <c r="A3872" s="500" t="s">
        <v>493</v>
      </c>
      <c r="B3872" s="225" t="s">
        <v>5411</v>
      </c>
      <c r="C3872" s="226" t="str">
        <f>"Inbetriebnahme "&amp;$M$3871</f>
        <v>Inbetriebnahme 2012</v>
      </c>
      <c r="D3872" s="225" t="s">
        <v>5412</v>
      </c>
      <c r="E3872" s="225"/>
      <c r="F3872" s="366">
        <v>6.84</v>
      </c>
      <c r="G3872" s="427">
        <v>6.84</v>
      </c>
      <c r="H3872" s="227">
        <f t="shared" si="1480"/>
        <v>5.47</v>
      </c>
      <c r="I3872" s="570"/>
      <c r="J3872" s="549" t="s">
        <v>5804</v>
      </c>
      <c r="L3872" s="215" t="str">
        <f>IF(F3872=M3872,"",FALSE)</f>
        <v/>
      </c>
      <c r="M3872" s="37">
        <f>N3872+SUMIF(O3872:Q3872,"x",O$3871:Q$3871)</f>
        <v>6.84</v>
      </c>
      <c r="N3872" s="73">
        <v>6.84</v>
      </c>
      <c r="O3872" s="92"/>
      <c r="P3872" s="92"/>
      <c r="Q3872" s="91"/>
    </row>
    <row r="3873" spans="1:19" x14ac:dyDescent="0.35">
      <c r="A3873" s="500" t="s">
        <v>494</v>
      </c>
      <c r="B3873" s="225" t="s">
        <v>5411</v>
      </c>
      <c r="C3873" s="226" t="str">
        <f>"Inbetriebnahme "&amp;$M$3871</f>
        <v>Inbetriebnahme 2012</v>
      </c>
      <c r="D3873" s="225" t="s">
        <v>5413</v>
      </c>
      <c r="E3873" s="225"/>
      <c r="F3873" s="366">
        <v>4.93</v>
      </c>
      <c r="G3873" s="427">
        <v>4.93</v>
      </c>
      <c r="H3873" s="227">
        <f t="shared" si="1480"/>
        <v>3.94</v>
      </c>
      <c r="I3873" s="570"/>
      <c r="J3873" s="549" t="s">
        <v>5804</v>
      </c>
      <c r="L3873" s="215" t="str">
        <f>IF(F3873=M3873,"",FALSE)</f>
        <v/>
      </c>
      <c r="M3873" s="37">
        <f>N3873+SUMIF(O3873:Q3873,"x",O$3871:Q$3871)</f>
        <v>4.93</v>
      </c>
      <c r="N3873" s="73">
        <v>4.93</v>
      </c>
      <c r="O3873" s="92"/>
      <c r="P3873" s="92"/>
      <c r="Q3873" s="91"/>
    </row>
    <row r="3874" spans="1:19" x14ac:dyDescent="0.35">
      <c r="A3874" s="500" t="s">
        <v>495</v>
      </c>
      <c r="B3874" s="225" t="s">
        <v>5411</v>
      </c>
      <c r="C3874" s="226" t="str">
        <f>"Inbetriebnahme "&amp;$M$3871</f>
        <v>Inbetriebnahme 2012</v>
      </c>
      <c r="D3874" s="225" t="s">
        <v>7371</v>
      </c>
      <c r="E3874" s="225"/>
      <c r="F3874" s="366">
        <v>3.98</v>
      </c>
      <c r="G3874" s="427">
        <v>3.98</v>
      </c>
      <c r="H3874" s="227">
        <f t="shared" si="1480"/>
        <v>3.18</v>
      </c>
      <c r="I3874" s="570"/>
      <c r="J3874" s="549" t="s">
        <v>5804</v>
      </c>
      <c r="L3874" s="215" t="str">
        <f>IF(F3874=M3874,"",FALSE)</f>
        <v/>
      </c>
      <c r="M3874" s="45">
        <f>N3874+SUMIF(O3874:Q3874,"x",O$3871:Q$3871)</f>
        <v>3.98</v>
      </c>
      <c r="N3874" s="40">
        <v>3.98</v>
      </c>
      <c r="O3874" s="94"/>
      <c r="P3874" s="94"/>
      <c r="Q3874" s="93"/>
    </row>
    <row r="3875" spans="1:19" x14ac:dyDescent="0.35">
      <c r="A3875" s="496"/>
      <c r="B3875" s="1"/>
      <c r="C3875" s="1"/>
      <c r="D3875" s="1"/>
      <c r="E3875" s="1"/>
      <c r="F3875" s="362"/>
      <c r="G3875" s="425"/>
      <c r="H3875" s="10" t="str">
        <f t="shared" si="1480"/>
        <v/>
      </c>
      <c r="I3875" s="566"/>
      <c r="J3875" s="549" t="s">
        <v>4179</v>
      </c>
      <c r="K3875" s="9"/>
      <c r="M3875" s="289">
        <v>2013</v>
      </c>
      <c r="N3875" s="292"/>
      <c r="O3875" s="289"/>
      <c r="P3875" s="289"/>
      <c r="Q3875" s="296"/>
      <c r="R3875" s="96">
        <v>1.4999999999999999E-2</v>
      </c>
    </row>
    <row r="3876" spans="1:19" x14ac:dyDescent="0.35">
      <c r="A3876" s="502" t="s">
        <v>4698</v>
      </c>
      <c r="B3876" s="301" t="s">
        <v>5411</v>
      </c>
      <c r="C3876" s="302" t="str">
        <f>"Inbetriebnahme "&amp;$M$3875</f>
        <v>Inbetriebnahme 2013</v>
      </c>
      <c r="D3876" s="301" t="s">
        <v>5412</v>
      </c>
      <c r="E3876" s="301"/>
      <c r="F3876" s="368">
        <f>M3876</f>
        <v>6.74</v>
      </c>
      <c r="G3876" s="429">
        <v>6.74</v>
      </c>
      <c r="H3876" s="303">
        <f t="shared" si="1480"/>
        <v>5.39</v>
      </c>
      <c r="I3876" s="572"/>
      <c r="J3876" s="549" t="s">
        <v>5804</v>
      </c>
      <c r="L3876" s="215" t="str">
        <f>IF(F3876=M3876,"",FALSE)</f>
        <v/>
      </c>
      <c r="M3876" s="37">
        <f>ROUND(N3876,2)+SUMIF(O3876:Q3876,"x",O$3875:Q$3875)</f>
        <v>6.74</v>
      </c>
      <c r="N3876" s="73">
        <f>N3872*(1-$R$3875)</f>
        <v>6.7374000000000001</v>
      </c>
      <c r="O3876" s="92"/>
      <c r="P3876" s="92"/>
      <c r="Q3876" s="91"/>
    </row>
    <row r="3877" spans="1:19" x14ac:dyDescent="0.35">
      <c r="A3877" s="502" t="s">
        <v>4699</v>
      </c>
      <c r="B3877" s="301" t="s">
        <v>5411</v>
      </c>
      <c r="C3877" s="302" t="str">
        <f>"Inbetriebnahme "&amp;$M$3875</f>
        <v>Inbetriebnahme 2013</v>
      </c>
      <c r="D3877" s="301" t="s">
        <v>5413</v>
      </c>
      <c r="E3877" s="301"/>
      <c r="F3877" s="368">
        <f>M3877</f>
        <v>4.8600000000000003</v>
      </c>
      <c r="G3877" s="429">
        <v>4.8600000000000003</v>
      </c>
      <c r="H3877" s="303">
        <f t="shared" si="1480"/>
        <v>3.89</v>
      </c>
      <c r="I3877" s="572"/>
      <c r="J3877" s="549" t="s">
        <v>5804</v>
      </c>
      <c r="L3877" s="215" t="str">
        <f>IF(F3877=M3877,"",FALSE)</f>
        <v/>
      </c>
      <c r="M3877" s="37">
        <f>ROUND(N3877,2)+SUMIF(O3877:Q3877,"x",O$3875:Q$3875)</f>
        <v>4.8600000000000003</v>
      </c>
      <c r="N3877" s="73">
        <f>N3873*(1-$R$3875)</f>
        <v>4.8560499999999998</v>
      </c>
      <c r="O3877" s="92"/>
      <c r="P3877" s="92"/>
      <c r="Q3877" s="91"/>
    </row>
    <row r="3878" spans="1:19" x14ac:dyDescent="0.35">
      <c r="A3878" s="502" t="s">
        <v>4700</v>
      </c>
      <c r="B3878" s="301" t="s">
        <v>5411</v>
      </c>
      <c r="C3878" s="302" t="str">
        <f>"Inbetriebnahme "&amp;$M$3875</f>
        <v>Inbetriebnahme 2013</v>
      </c>
      <c r="D3878" s="301" t="s">
        <v>7371</v>
      </c>
      <c r="E3878" s="301"/>
      <c r="F3878" s="368">
        <f>M3878</f>
        <v>3.92</v>
      </c>
      <c r="G3878" s="429">
        <v>3.92</v>
      </c>
      <c r="H3878" s="303">
        <f t="shared" si="1480"/>
        <v>3.14</v>
      </c>
      <c r="I3878" s="572"/>
      <c r="J3878" s="549" t="s">
        <v>5804</v>
      </c>
      <c r="L3878" s="215" t="str">
        <f>IF(F3878=M3878,"",FALSE)</f>
        <v/>
      </c>
      <c r="M3878" s="45">
        <f>ROUND(N3878,2)+SUMIF(O3878:Q3878,"x",O$3875:Q$3875)</f>
        <v>3.92</v>
      </c>
      <c r="N3878" s="40">
        <f>N3874*(1-$R$3875)</f>
        <v>3.9203000000000001</v>
      </c>
      <c r="O3878" s="94"/>
      <c r="P3878" s="94"/>
      <c r="Q3878" s="93"/>
    </row>
    <row r="3879" spans="1:19" x14ac:dyDescent="0.35">
      <c r="A3879" s="496"/>
      <c r="B3879" s="1"/>
      <c r="C3879" s="1"/>
      <c r="D3879" s="1"/>
      <c r="E3879" s="1"/>
      <c r="F3879" s="362"/>
      <c r="G3879" s="425"/>
      <c r="H3879" s="10" t="str">
        <f t="shared" si="1480"/>
        <v/>
      </c>
      <c r="I3879" s="566"/>
      <c r="J3879" s="549" t="s">
        <v>4179</v>
      </c>
      <c r="K3879" s="9"/>
      <c r="M3879" s="289">
        <v>2014</v>
      </c>
      <c r="N3879" s="292"/>
      <c r="O3879" s="289"/>
      <c r="P3879" s="289"/>
      <c r="Q3879" s="296"/>
      <c r="R3879" s="96">
        <v>1.4999999999999999E-2</v>
      </c>
    </row>
    <row r="3880" spans="1:19" x14ac:dyDescent="0.35">
      <c r="A3880" s="502" t="s">
        <v>1669</v>
      </c>
      <c r="B3880" s="301" t="s">
        <v>5411</v>
      </c>
      <c r="C3880" s="302" t="str">
        <f>"Inbetriebnahme "&amp;$M$3879</f>
        <v>Inbetriebnahme 2014</v>
      </c>
      <c r="D3880" s="301" t="s">
        <v>5412</v>
      </c>
      <c r="E3880" s="301"/>
      <c r="F3880" s="368">
        <f>M3880</f>
        <v>6.64</v>
      </c>
      <c r="G3880" s="429">
        <v>6.64</v>
      </c>
      <c r="H3880" s="303">
        <f t="shared" si="1480"/>
        <v>5.31</v>
      </c>
      <c r="I3880" s="572"/>
      <c r="J3880" s="549" t="s">
        <v>5804</v>
      </c>
      <c r="L3880" s="215" t="str">
        <f>IF(F3880=M3880,"",FALSE)</f>
        <v/>
      </c>
      <c r="M3880" s="37">
        <f>ROUND(N3880,2)+SUMIF(O3880:Q3880,"x",O$3879:Q$3879)</f>
        <v>6.64</v>
      </c>
      <c r="N3880" s="73">
        <f>N3876*(1-$R$3879)</f>
        <v>6.6363389999999995</v>
      </c>
      <c r="O3880" s="92"/>
      <c r="P3880" s="92"/>
      <c r="Q3880" s="91"/>
    </row>
    <row r="3881" spans="1:19" x14ac:dyDescent="0.35">
      <c r="A3881" s="502" t="s">
        <v>1670</v>
      </c>
      <c r="B3881" s="301" t="s">
        <v>5411</v>
      </c>
      <c r="C3881" s="302" t="str">
        <f>"Inbetriebnahme "&amp;$M$3879</f>
        <v>Inbetriebnahme 2014</v>
      </c>
      <c r="D3881" s="301" t="s">
        <v>5413</v>
      </c>
      <c r="E3881" s="301"/>
      <c r="F3881" s="368">
        <f>M3881</f>
        <v>4.78</v>
      </c>
      <c r="G3881" s="429">
        <v>4.78</v>
      </c>
      <c r="H3881" s="303">
        <f t="shared" si="1480"/>
        <v>3.82</v>
      </c>
      <c r="I3881" s="572"/>
      <c r="J3881" s="549" t="s">
        <v>5804</v>
      </c>
      <c r="L3881" s="215" t="str">
        <f>IF(F3881=M3881,"",FALSE)</f>
        <v/>
      </c>
      <c r="M3881" s="37">
        <f>ROUND(N3881,2)+SUMIF(O3881:Q3881,"x",O$3879:Q$3879)</f>
        <v>4.78</v>
      </c>
      <c r="N3881" s="73">
        <f>N3877*(1-$R$3879)</f>
        <v>4.7832092499999996</v>
      </c>
      <c r="O3881" s="92"/>
      <c r="P3881" s="92"/>
      <c r="Q3881" s="91"/>
    </row>
    <row r="3882" spans="1:19" x14ac:dyDescent="0.35">
      <c r="A3882" s="502" t="s">
        <v>1671</v>
      </c>
      <c r="B3882" s="301" t="s">
        <v>5411</v>
      </c>
      <c r="C3882" s="302" t="str">
        <f>"Inbetriebnahme "&amp;$M$3879</f>
        <v>Inbetriebnahme 2014</v>
      </c>
      <c r="D3882" s="301" t="s">
        <v>7371</v>
      </c>
      <c r="E3882" s="301"/>
      <c r="F3882" s="368">
        <f>M3882</f>
        <v>3.86</v>
      </c>
      <c r="G3882" s="429">
        <v>3.86</v>
      </c>
      <c r="H3882" s="303">
        <f t="shared" si="1480"/>
        <v>3.09</v>
      </c>
      <c r="I3882" s="572"/>
      <c r="J3882" s="549" t="s">
        <v>5804</v>
      </c>
      <c r="L3882" s="215" t="str">
        <f>IF(F3882=M3882,"",FALSE)</f>
        <v/>
      </c>
      <c r="M3882" s="45">
        <f>ROUND(N3882,2)+SUMIF(O3882:Q3882,"x",O$3879:Q$3879)</f>
        <v>3.86</v>
      </c>
      <c r="N3882" s="40">
        <f>N3878*(1-$R$3879)</f>
        <v>3.8614955000000002</v>
      </c>
      <c r="O3882" s="94"/>
      <c r="P3882" s="94"/>
      <c r="Q3882" s="93"/>
    </row>
    <row r="3883" spans="1:19" x14ac:dyDescent="0.35">
      <c r="A3883" s="503"/>
      <c r="B3883" s="1"/>
      <c r="C3883" s="1"/>
      <c r="D3883" s="1"/>
      <c r="E3883" s="1"/>
      <c r="F3883" s="362"/>
      <c r="G3883" s="10"/>
      <c r="H3883" s="10" t="str">
        <f t="shared" si="1480"/>
        <v/>
      </c>
      <c r="I3883" s="566"/>
      <c r="J3883" s="549" t="s">
        <v>4179</v>
      </c>
      <c r="L3883" s="215"/>
      <c r="M3883" s="37"/>
      <c r="N3883" s="29"/>
      <c r="O3883" s="92"/>
      <c r="P3883" s="92"/>
      <c r="Q3883" s="92"/>
    </row>
    <row r="3884" spans="1:19" s="207" customFormat="1" ht="20.25" customHeight="1" x14ac:dyDescent="0.35">
      <c r="A3884" s="504"/>
      <c r="B3884" s="204"/>
      <c r="C3884" s="204"/>
      <c r="D3884" s="204"/>
      <c r="E3884" s="204"/>
      <c r="F3884" s="381"/>
      <c r="G3884" s="205"/>
      <c r="H3884" s="205" t="str">
        <f t="shared" si="1480"/>
        <v/>
      </c>
      <c r="I3884" s="583"/>
      <c r="J3884" s="549" t="s">
        <v>4179</v>
      </c>
      <c r="K3884" s="206"/>
      <c r="M3884" s="208" t="s">
        <v>67</v>
      </c>
      <c r="N3884" s="209"/>
      <c r="O3884" s="209"/>
    </row>
    <row r="3885" spans="1:19" x14ac:dyDescent="0.35">
      <c r="A3885" s="496"/>
      <c r="B3885" s="1"/>
      <c r="C3885" s="1"/>
      <c r="D3885" s="1"/>
      <c r="E3885" s="1"/>
      <c r="F3885" s="362"/>
      <c r="G3885" s="10"/>
      <c r="H3885" s="10" t="str">
        <f t="shared" si="1480"/>
        <v/>
      </c>
      <c r="I3885" s="566"/>
      <c r="J3885" s="549" t="s">
        <v>4179</v>
      </c>
      <c r="N3885" s="29" t="s">
        <v>5489</v>
      </c>
      <c r="O3885" t="s">
        <v>5412</v>
      </c>
      <c r="P3885" t="s">
        <v>5413</v>
      </c>
      <c r="Q3885" t="s">
        <v>7371</v>
      </c>
    </row>
    <row r="3886" spans="1:19" x14ac:dyDescent="0.35">
      <c r="A3886" s="495" t="s">
        <v>65</v>
      </c>
      <c r="B3886" s="356" t="s">
        <v>5411</v>
      </c>
      <c r="C3886" s="356" t="s">
        <v>39</v>
      </c>
      <c r="D3886" s="356" t="s">
        <v>5412</v>
      </c>
      <c r="E3886" s="356"/>
      <c r="F3886" s="369">
        <f>ROUND(HLOOKUP(D3886,O3885:Q3887,3,FALSE),2)</f>
        <v>6.54</v>
      </c>
      <c r="G3886" s="357">
        <f>ROUND(HLOOKUP(D3886,O3885:Q3887,2,FALSE),2)</f>
        <v>6.74</v>
      </c>
      <c r="H3886" s="357">
        <f t="shared" si="1480"/>
        <v>5.39</v>
      </c>
      <c r="I3886" s="573"/>
      <c r="J3886" s="549" t="s">
        <v>5804</v>
      </c>
      <c r="M3886" s="101">
        <v>2014</v>
      </c>
      <c r="N3886" s="322" t="s">
        <v>88</v>
      </c>
      <c r="O3886" s="261">
        <v>6.74</v>
      </c>
      <c r="P3886" s="261">
        <v>4.3</v>
      </c>
      <c r="Q3886" s="261">
        <v>3.8</v>
      </c>
      <c r="S3886" t="s">
        <v>49</v>
      </c>
    </row>
    <row r="3887" spans="1:19" x14ac:dyDescent="0.35">
      <c r="A3887" s="495" t="s">
        <v>66</v>
      </c>
      <c r="B3887" s="356" t="s">
        <v>5411</v>
      </c>
      <c r="C3887" s="356" t="s">
        <v>39</v>
      </c>
      <c r="D3887" s="356" t="s">
        <v>5413</v>
      </c>
      <c r="E3887" s="356"/>
      <c r="F3887" s="369">
        <f>ROUND(HLOOKUP(D3887,O3885:Q3887,3,FALSE),2)</f>
        <v>4.0999999999999996</v>
      </c>
      <c r="G3887" s="357">
        <f>ROUND(HLOOKUP(D3887,O3885:Q3887,2,FALSE),2)</f>
        <v>4.3</v>
      </c>
      <c r="H3887" s="357">
        <f t="shared" si="1480"/>
        <v>3.44</v>
      </c>
      <c r="I3887" s="573"/>
      <c r="J3887" s="549" t="s">
        <v>5804</v>
      </c>
      <c r="N3887" s="322" t="s">
        <v>85</v>
      </c>
      <c r="O3887" s="261">
        <f>O3886-0.2</f>
        <v>6.54</v>
      </c>
      <c r="P3887" s="261">
        <f>P3886-0.2</f>
        <v>4.0999999999999996</v>
      </c>
      <c r="Q3887" s="261">
        <f>Q3886-0.2</f>
        <v>3.5999999999999996</v>
      </c>
      <c r="S3887" t="s">
        <v>50</v>
      </c>
    </row>
    <row r="3888" spans="1:19" x14ac:dyDescent="0.35">
      <c r="A3888" s="495" t="s">
        <v>68</v>
      </c>
      <c r="B3888" s="356" t="s">
        <v>5411</v>
      </c>
      <c r="C3888" s="356" t="s">
        <v>39</v>
      </c>
      <c r="D3888" s="356" t="s">
        <v>7371</v>
      </c>
      <c r="E3888" s="356"/>
      <c r="F3888" s="369">
        <f>ROUND(HLOOKUP(D3888,O3885:Q3887,3,FALSE),2)</f>
        <v>3.6</v>
      </c>
      <c r="G3888" s="357">
        <f>ROUND(HLOOKUP(D3888,O3885:Q3887,2,FALSE),2)</f>
        <v>3.8</v>
      </c>
      <c r="H3888" s="357">
        <f t="shared" si="1480"/>
        <v>3.04</v>
      </c>
      <c r="I3888" s="573"/>
      <c r="J3888" s="549" t="s">
        <v>5804</v>
      </c>
      <c r="N3888" s="322"/>
      <c r="O3888" s="261"/>
      <c r="P3888" s="261"/>
      <c r="Q3888" s="261"/>
    </row>
    <row r="3889" spans="1:19" x14ac:dyDescent="0.35">
      <c r="A3889" s="496"/>
      <c r="B3889" s="1"/>
      <c r="C3889" s="1"/>
      <c r="D3889" s="1"/>
      <c r="E3889" s="1"/>
      <c r="F3889" s="362"/>
      <c r="G3889" s="10"/>
      <c r="H3889" s="10" t="str">
        <f t="shared" si="1480"/>
        <v/>
      </c>
      <c r="I3889" s="566"/>
      <c r="J3889" s="549" t="s">
        <v>4179</v>
      </c>
      <c r="N3889" s="29" t="s">
        <v>5489</v>
      </c>
      <c r="O3889" t="s">
        <v>5412</v>
      </c>
      <c r="P3889" t="s">
        <v>5413</v>
      </c>
      <c r="Q3889" t="s">
        <v>7371</v>
      </c>
    </row>
    <row r="3890" spans="1:19" x14ac:dyDescent="0.35">
      <c r="A3890" s="495" t="s">
        <v>388</v>
      </c>
      <c r="B3890" s="356" t="s">
        <v>5411</v>
      </c>
      <c r="C3890" s="356" t="s">
        <v>380</v>
      </c>
      <c r="D3890" s="356" t="s">
        <v>5412</v>
      </c>
      <c r="E3890" s="356"/>
      <c r="F3890" s="369">
        <f>ROUND(HLOOKUP(D3890,O3889:Q3891,3,FALSE),2)</f>
        <v>6.54</v>
      </c>
      <c r="G3890" s="357">
        <f>ROUND(HLOOKUP(D3890,O3889:Q3891,2,FALSE),2)</f>
        <v>6.74</v>
      </c>
      <c r="H3890" s="357">
        <f t="shared" si="1480"/>
        <v>5.39</v>
      </c>
      <c r="I3890" s="573"/>
      <c r="J3890" s="549" t="s">
        <v>5804</v>
      </c>
      <c r="M3890" s="101">
        <v>2015</v>
      </c>
      <c r="N3890" s="322" t="s">
        <v>88</v>
      </c>
      <c r="O3890" s="261">
        <v>6.74</v>
      </c>
      <c r="P3890" s="261">
        <v>4.3</v>
      </c>
      <c r="Q3890" s="261">
        <v>3.8</v>
      </c>
      <c r="S3890" t="s">
        <v>49</v>
      </c>
    </row>
    <row r="3891" spans="1:19" x14ac:dyDescent="0.35">
      <c r="A3891" s="495" t="s">
        <v>389</v>
      </c>
      <c r="B3891" s="356" t="s">
        <v>5411</v>
      </c>
      <c r="C3891" s="356" t="s">
        <v>380</v>
      </c>
      <c r="D3891" s="356" t="s">
        <v>5413</v>
      </c>
      <c r="E3891" s="356"/>
      <c r="F3891" s="369">
        <f>ROUND(HLOOKUP(D3891,O3889:Q3891,3,FALSE),2)</f>
        <v>4.0999999999999996</v>
      </c>
      <c r="G3891" s="357">
        <f>ROUND(HLOOKUP(D3891,O3889:Q3891,2,FALSE),2)</f>
        <v>4.3</v>
      </c>
      <c r="H3891" s="357">
        <f t="shared" si="1480"/>
        <v>3.44</v>
      </c>
      <c r="I3891" s="573"/>
      <c r="J3891" s="549" t="s">
        <v>5804</v>
      </c>
      <c r="N3891" s="322" t="s">
        <v>85</v>
      </c>
      <c r="O3891" s="261">
        <f>O3890-0.2</f>
        <v>6.54</v>
      </c>
      <c r="P3891" s="261">
        <f>P3890-0.2</f>
        <v>4.0999999999999996</v>
      </c>
      <c r="Q3891" s="261">
        <f>Q3890-0.2</f>
        <v>3.5999999999999996</v>
      </c>
      <c r="S3891" t="s">
        <v>50</v>
      </c>
    </row>
    <row r="3892" spans="1:19" x14ac:dyDescent="0.35">
      <c r="A3892" s="495" t="s">
        <v>390</v>
      </c>
      <c r="B3892" s="356" t="s">
        <v>5411</v>
      </c>
      <c r="C3892" s="356" t="s">
        <v>380</v>
      </c>
      <c r="D3892" s="356" t="s">
        <v>7371</v>
      </c>
      <c r="E3892" s="356"/>
      <c r="F3892" s="369">
        <f>ROUND(HLOOKUP(D3892,O3889:Q3891,3,FALSE),2)</f>
        <v>3.6</v>
      </c>
      <c r="G3892" s="357">
        <f>ROUND(HLOOKUP(D3892,O3889:Q3891,2,FALSE),2)</f>
        <v>3.8</v>
      </c>
      <c r="H3892" s="357">
        <f t="shared" si="1480"/>
        <v>3.04</v>
      </c>
      <c r="I3892" s="573"/>
      <c r="J3892" s="549" t="s">
        <v>5804</v>
      </c>
      <c r="N3892" s="322"/>
      <c r="O3892" s="261"/>
      <c r="P3892" s="261"/>
      <c r="Q3892" s="261"/>
    </row>
    <row r="3893" spans="1:19" x14ac:dyDescent="0.35">
      <c r="A3893" s="496"/>
      <c r="B3893" s="1"/>
      <c r="C3893" s="1"/>
      <c r="D3893" s="1"/>
      <c r="E3893" s="1"/>
      <c r="F3893" s="362"/>
      <c r="G3893" s="10"/>
      <c r="H3893" s="10" t="str">
        <f t="shared" si="1480"/>
        <v/>
      </c>
      <c r="I3893" s="566"/>
      <c r="J3893" s="549" t="s">
        <v>4179</v>
      </c>
      <c r="N3893" s="29" t="s">
        <v>5489</v>
      </c>
      <c r="O3893" t="s">
        <v>5412</v>
      </c>
      <c r="P3893" t="s">
        <v>5413</v>
      </c>
      <c r="Q3893" t="s">
        <v>7371</v>
      </c>
    </row>
    <row r="3894" spans="1:19" x14ac:dyDescent="0.35">
      <c r="A3894" s="495" t="s">
        <v>5672</v>
      </c>
      <c r="B3894" s="356" t="s">
        <v>5411</v>
      </c>
      <c r="C3894" s="356" t="s">
        <v>5647</v>
      </c>
      <c r="D3894" s="356" t="s">
        <v>5412</v>
      </c>
      <c r="E3894" s="356"/>
      <c r="F3894" s="369">
        <f>ROUND(HLOOKUP(D3894,O3893:Q3895,3,FALSE),2)</f>
        <v>6.44</v>
      </c>
      <c r="G3894" s="357">
        <f>ROUND(HLOOKUP(D3894,O3893:Q3895,2,FALSE),2)</f>
        <v>6.64</v>
      </c>
      <c r="H3894" s="357">
        <f t="shared" si="1480"/>
        <v>5.31</v>
      </c>
      <c r="I3894" s="573"/>
      <c r="J3894" s="549" t="s">
        <v>5804</v>
      </c>
      <c r="M3894" s="101">
        <v>2016</v>
      </c>
      <c r="N3894" s="322">
        <v>1.4999999999999999E-2</v>
      </c>
      <c r="O3894" s="261">
        <f>IF($N3894&lt;&gt;"",O3890*(100%-$N3894),"")</f>
        <v>6.6389000000000005</v>
      </c>
      <c r="P3894" s="261">
        <f>IF($N3894&lt;&gt;"",P3890*(100%-$N3894),"")</f>
        <v>4.2355</v>
      </c>
      <c r="Q3894" s="261">
        <f>IF($N3894&lt;&gt;"",Q3890*(100%-$N3894),"")</f>
        <v>3.7429999999999999</v>
      </c>
      <c r="S3894" t="s">
        <v>49</v>
      </c>
    </row>
    <row r="3895" spans="1:19" x14ac:dyDescent="0.35">
      <c r="A3895" s="495" t="s">
        <v>5673</v>
      </c>
      <c r="B3895" s="356" t="s">
        <v>5411</v>
      </c>
      <c r="C3895" s="356" t="s">
        <v>5647</v>
      </c>
      <c r="D3895" s="356" t="s">
        <v>5413</v>
      </c>
      <c r="E3895" s="356"/>
      <c r="F3895" s="369">
        <f>ROUND(HLOOKUP(D3895,O3893:Q3895,3,FALSE),2)</f>
        <v>4.04</v>
      </c>
      <c r="G3895" s="357">
        <f>ROUND(HLOOKUP(D3895,O3893:Q3895,2,FALSE),2)</f>
        <v>4.24</v>
      </c>
      <c r="H3895" s="357">
        <f t="shared" si="1480"/>
        <v>3.39</v>
      </c>
      <c r="I3895" s="573"/>
      <c r="J3895" s="549" t="s">
        <v>5804</v>
      </c>
      <c r="N3895" s="322"/>
      <c r="O3895" s="261">
        <f>IF($N3894&lt;&gt;"",O3891*(100%-$N3894),"")</f>
        <v>6.4418999999999995</v>
      </c>
      <c r="P3895" s="261">
        <f>IF($N3894&lt;&gt;"",P3891*(100%-$N3894),"")</f>
        <v>4.0385</v>
      </c>
      <c r="Q3895" s="261">
        <f>IF($N3894&lt;&gt;"",Q3891*(100%-$N3894),"")</f>
        <v>3.5459999999999998</v>
      </c>
      <c r="S3895" t="s">
        <v>50</v>
      </c>
    </row>
    <row r="3896" spans="1:19" x14ac:dyDescent="0.35">
      <c r="A3896" s="495" t="s">
        <v>5674</v>
      </c>
      <c r="B3896" s="356" t="s">
        <v>5411</v>
      </c>
      <c r="C3896" s="356" t="s">
        <v>5647</v>
      </c>
      <c r="D3896" s="356" t="s">
        <v>7371</v>
      </c>
      <c r="E3896" s="356"/>
      <c r="F3896" s="369">
        <f>ROUND(HLOOKUP(D3896,O3893:Q3895,3,FALSE),2)</f>
        <v>3.55</v>
      </c>
      <c r="G3896" s="357">
        <f>ROUND(HLOOKUP(D3896,O3893:Q3895,2,FALSE),2)</f>
        <v>3.74</v>
      </c>
      <c r="H3896" s="357">
        <f t="shared" si="1480"/>
        <v>2.99</v>
      </c>
      <c r="I3896" s="573"/>
      <c r="J3896" s="549" t="s">
        <v>5804</v>
      </c>
      <c r="N3896" s="322"/>
      <c r="O3896" s="261"/>
      <c r="P3896" s="261"/>
      <c r="Q3896" s="261"/>
    </row>
    <row r="3897" spans="1:19" x14ac:dyDescent="0.35">
      <c r="A3897" s="496"/>
      <c r="B3897" s="1"/>
      <c r="C3897" s="1"/>
      <c r="D3897" s="1"/>
      <c r="E3897" s="1"/>
      <c r="F3897" s="362"/>
      <c r="G3897" s="10"/>
      <c r="H3897" s="10" t="str">
        <f t="shared" si="1480"/>
        <v/>
      </c>
      <c r="I3897" s="566"/>
      <c r="J3897" s="549" t="s">
        <v>4179</v>
      </c>
      <c r="N3897" s="29" t="s">
        <v>5489</v>
      </c>
      <c r="O3897" t="s">
        <v>5412</v>
      </c>
      <c r="P3897" t="s">
        <v>5413</v>
      </c>
      <c r="Q3897" t="s">
        <v>7371</v>
      </c>
    </row>
    <row r="3898" spans="1:19" x14ac:dyDescent="0.35">
      <c r="A3898" s="527" t="s">
        <v>5889</v>
      </c>
      <c r="B3898" s="526" t="s">
        <v>5411</v>
      </c>
      <c r="C3898" s="526" t="s">
        <v>5866</v>
      </c>
      <c r="D3898" s="526" t="s">
        <v>5412</v>
      </c>
      <c r="E3898" s="526"/>
      <c r="F3898" s="538">
        <f>ROUND(HLOOKUP(D3898,O3897:Q3899,3,FALSE),2)</f>
        <v>6.34</v>
      </c>
      <c r="G3898" s="537">
        <f>ROUND(HLOOKUP(D3898,O3897:Q3899,2,FALSE),2)</f>
        <v>6.54</v>
      </c>
      <c r="H3898" s="537">
        <f t="shared" si="1480"/>
        <v>5.23</v>
      </c>
      <c r="I3898" s="574"/>
      <c r="J3898" s="549">
        <v>42705</v>
      </c>
      <c r="M3898" s="101">
        <v>2017</v>
      </c>
      <c r="N3898" s="322" t="s">
        <v>5891</v>
      </c>
      <c r="O3898" s="261">
        <v>6.54</v>
      </c>
      <c r="P3898" s="261">
        <v>4.17</v>
      </c>
      <c r="Q3898" s="261">
        <v>3.69</v>
      </c>
      <c r="S3898" t="s">
        <v>49</v>
      </c>
    </row>
    <row r="3899" spans="1:19" x14ac:dyDescent="0.35">
      <c r="A3899" s="527" t="s">
        <v>5890</v>
      </c>
      <c r="B3899" s="526" t="s">
        <v>5411</v>
      </c>
      <c r="C3899" s="526" t="s">
        <v>5866</v>
      </c>
      <c r="D3899" s="526" t="s">
        <v>5413</v>
      </c>
      <c r="E3899" s="526"/>
      <c r="F3899" s="538">
        <f>ROUND(HLOOKUP(D3899,O3897:Q3899,3,FALSE),2)</f>
        <v>3.97</v>
      </c>
      <c r="G3899" s="537">
        <f>ROUND(HLOOKUP(D3899,O3897:Q3899,2,FALSE),2)</f>
        <v>4.17</v>
      </c>
      <c r="H3899" s="537">
        <f t="shared" si="1480"/>
        <v>3.34</v>
      </c>
      <c r="I3899" s="574"/>
      <c r="J3899" s="549">
        <v>42705</v>
      </c>
      <c r="N3899" s="322" t="s">
        <v>5881</v>
      </c>
      <c r="O3899" s="261">
        <f>O3898-0.2</f>
        <v>6.34</v>
      </c>
      <c r="P3899" s="261">
        <f>P3898-0.2</f>
        <v>3.9699999999999998</v>
      </c>
      <c r="Q3899" s="261">
        <f>Q3898-0.2</f>
        <v>3.4899999999999998</v>
      </c>
      <c r="S3899" t="s">
        <v>50</v>
      </c>
    </row>
    <row r="3900" spans="1:19" x14ac:dyDescent="0.35">
      <c r="A3900" s="527" t="s">
        <v>5888</v>
      </c>
      <c r="B3900" s="526" t="s">
        <v>5411</v>
      </c>
      <c r="C3900" s="526" t="s">
        <v>5866</v>
      </c>
      <c r="D3900" s="526" t="s">
        <v>7371</v>
      </c>
      <c r="E3900" s="526"/>
      <c r="F3900" s="538">
        <f>ROUND(HLOOKUP(D3900,O3897:Q3899,3,FALSE),2)</f>
        <v>3.49</v>
      </c>
      <c r="G3900" s="537">
        <f>ROUND(HLOOKUP(D3900,O3897:Q3899,2,FALSE),2)</f>
        <v>3.69</v>
      </c>
      <c r="H3900" s="537">
        <f t="shared" si="1480"/>
        <v>2.95</v>
      </c>
      <c r="I3900" s="574"/>
      <c r="J3900" s="549">
        <v>42705</v>
      </c>
      <c r="N3900" s="322"/>
      <c r="O3900" s="261"/>
      <c r="P3900" s="261"/>
      <c r="Q3900" s="261"/>
    </row>
    <row r="3901" spans="1:19" x14ac:dyDescent="0.35">
      <c r="A3901" s="496"/>
      <c r="B3901" s="1"/>
      <c r="C3901" s="1"/>
      <c r="D3901" s="1"/>
      <c r="E3901" s="1"/>
      <c r="F3901" s="362"/>
      <c r="G3901" s="10"/>
      <c r="H3901" s="10" t="str">
        <f t="shared" si="1480"/>
        <v/>
      </c>
      <c r="I3901" s="566"/>
      <c r="J3901" s="549" t="s">
        <v>4179</v>
      </c>
      <c r="N3901" s="29" t="s">
        <v>5489</v>
      </c>
      <c r="O3901" t="s">
        <v>5412</v>
      </c>
      <c r="P3901" t="s">
        <v>5413</v>
      </c>
      <c r="Q3901" t="s">
        <v>7371</v>
      </c>
    </row>
    <row r="3902" spans="1:19" x14ac:dyDescent="0.35">
      <c r="A3902" s="527" t="s">
        <v>6221</v>
      </c>
      <c r="B3902" s="526" t="s">
        <v>5411</v>
      </c>
      <c r="C3902" s="526" t="s">
        <v>6186</v>
      </c>
      <c r="D3902" s="526" t="s">
        <v>5412</v>
      </c>
      <c r="E3902" s="526"/>
      <c r="F3902" s="538">
        <f>ROUND(HLOOKUP(D3902,O3901:Q3903,3,FALSE),2)</f>
        <v>6.24</v>
      </c>
      <c r="G3902" s="537">
        <f>ROUND(HLOOKUP(D3902,O3901:Q3903,2,FALSE),2)</f>
        <v>6.44</v>
      </c>
      <c r="H3902" s="537">
        <f t="shared" si="1480"/>
        <v>5.15</v>
      </c>
      <c r="I3902" s="574"/>
      <c r="J3902" s="549">
        <v>43077</v>
      </c>
      <c r="M3902" s="101">
        <v>2018</v>
      </c>
      <c r="N3902" s="322">
        <v>1.4999999999999999E-2</v>
      </c>
      <c r="O3902" s="261">
        <f>IF($N3902&lt;&gt;"",O3898*(100%-$N3902),"")</f>
        <v>6.4418999999999995</v>
      </c>
      <c r="P3902" s="261">
        <f>IF($N3902&lt;&gt;"",P3898*(100%-$N3902),"")</f>
        <v>4.10745</v>
      </c>
      <c r="Q3902" s="261">
        <f>IF($N3902&lt;&gt;"",Q3898*(100%-$N3902),"")</f>
        <v>3.6346499999999997</v>
      </c>
      <c r="S3902" t="s">
        <v>49</v>
      </c>
    </row>
    <row r="3903" spans="1:19" x14ac:dyDescent="0.35">
      <c r="A3903" s="527" t="s">
        <v>6222</v>
      </c>
      <c r="B3903" s="526" t="s">
        <v>5411</v>
      </c>
      <c r="C3903" s="526" t="s">
        <v>6186</v>
      </c>
      <c r="D3903" s="526" t="s">
        <v>5413</v>
      </c>
      <c r="E3903" s="526"/>
      <c r="F3903" s="538">
        <f>ROUND(HLOOKUP(D3903,O3901:Q3903,3,FALSE),2)</f>
        <v>3.91</v>
      </c>
      <c r="G3903" s="537">
        <f>ROUND(HLOOKUP(D3903,O3901:Q3903,2,FALSE),2)</f>
        <v>4.1100000000000003</v>
      </c>
      <c r="H3903" s="537">
        <f t="shared" si="1480"/>
        <v>3.29</v>
      </c>
      <c r="I3903" s="574"/>
      <c r="J3903" s="549">
        <v>43077</v>
      </c>
      <c r="N3903" s="322"/>
      <c r="O3903" s="261">
        <f>O3902-0.2</f>
        <v>6.2418999999999993</v>
      </c>
      <c r="P3903" s="261">
        <f>P3902-0.2</f>
        <v>3.9074499999999999</v>
      </c>
      <c r="Q3903" s="261">
        <f>Q3902-0.2</f>
        <v>3.4346499999999995</v>
      </c>
      <c r="S3903" t="s">
        <v>50</v>
      </c>
    </row>
    <row r="3904" spans="1:19" x14ac:dyDescent="0.35">
      <c r="A3904" s="527" t="s">
        <v>6223</v>
      </c>
      <c r="B3904" s="526" t="s">
        <v>5411</v>
      </c>
      <c r="C3904" s="526" t="s">
        <v>6186</v>
      </c>
      <c r="D3904" s="526" t="s">
        <v>7371</v>
      </c>
      <c r="E3904" s="526"/>
      <c r="F3904" s="538">
        <f>ROUND(HLOOKUP(D3904,O3901:Q3903,3,FALSE),2)</f>
        <v>3.43</v>
      </c>
      <c r="G3904" s="537">
        <f>ROUND(HLOOKUP(D3904,O3901:Q3903,2,FALSE),2)</f>
        <v>3.63</v>
      </c>
      <c r="H3904" s="537">
        <f t="shared" si="1480"/>
        <v>2.9</v>
      </c>
      <c r="I3904" s="574"/>
      <c r="J3904" s="549">
        <v>43077</v>
      </c>
      <c r="N3904" s="322"/>
      <c r="O3904" s="261"/>
      <c r="P3904" s="261"/>
      <c r="Q3904" s="261"/>
    </row>
    <row r="3905" spans="1:19" x14ac:dyDescent="0.35">
      <c r="A3905" s="496"/>
      <c r="B3905" s="1"/>
      <c r="C3905" s="1"/>
      <c r="D3905" s="1"/>
      <c r="E3905" s="1"/>
      <c r="F3905" s="362"/>
      <c r="G3905" s="10"/>
      <c r="H3905" s="10" t="str">
        <f t="shared" si="1480"/>
        <v/>
      </c>
      <c r="I3905" s="566"/>
      <c r="J3905" s="549" t="s">
        <v>4179</v>
      </c>
      <c r="N3905" s="29" t="s">
        <v>5489</v>
      </c>
      <c r="O3905" t="s">
        <v>5412</v>
      </c>
      <c r="P3905" t="s">
        <v>5413</v>
      </c>
      <c r="Q3905" t="s">
        <v>7371</v>
      </c>
    </row>
    <row r="3906" spans="1:19" x14ac:dyDescent="0.35">
      <c r="A3906" s="527" t="s">
        <v>6409</v>
      </c>
      <c r="B3906" s="526" t="s">
        <v>5411</v>
      </c>
      <c r="C3906" s="526" t="s">
        <v>6404</v>
      </c>
      <c r="D3906" s="526" t="s">
        <v>5412</v>
      </c>
      <c r="E3906" s="526"/>
      <c r="F3906" s="538">
        <f>ROUND(HLOOKUP(D3906,O3905:Q3907,3,FALSE),2)</f>
        <v>6.15</v>
      </c>
      <c r="G3906" s="537">
        <f>ROUND(HLOOKUP(D3906,O3905:Q3907,2,FALSE),2)</f>
        <v>6.35</v>
      </c>
      <c r="H3906" s="537">
        <f t="shared" si="1480"/>
        <v>5.08</v>
      </c>
      <c r="I3906" s="574"/>
      <c r="J3906" s="549">
        <v>43419</v>
      </c>
      <c r="M3906" s="101">
        <v>2019</v>
      </c>
      <c r="N3906" s="322">
        <v>1.4999999999999999E-2</v>
      </c>
      <c r="O3906" s="261">
        <f>IF($N3906&lt;&gt;"",O3902*(100%-$N3906),"")</f>
        <v>6.3452714999999991</v>
      </c>
      <c r="P3906" s="261">
        <f>IF($N3906&lt;&gt;"",P3902*(100%-$N3906),"")</f>
        <v>4.0458382500000001</v>
      </c>
      <c r="Q3906" s="261">
        <f>IF($N3906&lt;&gt;"",Q3902*(100%-$N3906),"")</f>
        <v>3.5801302499999998</v>
      </c>
      <c r="S3906" t="s">
        <v>49</v>
      </c>
    </row>
    <row r="3907" spans="1:19" x14ac:dyDescent="0.35">
      <c r="A3907" s="527" t="s">
        <v>6410</v>
      </c>
      <c r="B3907" s="526" t="s">
        <v>5411</v>
      </c>
      <c r="C3907" s="526" t="s">
        <v>6404</v>
      </c>
      <c r="D3907" s="526" t="s">
        <v>5413</v>
      </c>
      <c r="E3907" s="526"/>
      <c r="F3907" s="538">
        <f>ROUND(HLOOKUP(D3907,O3905:Q3907,3,FALSE),2)</f>
        <v>3.85</v>
      </c>
      <c r="G3907" s="537">
        <f>ROUND(HLOOKUP(D3907,O3905:Q3907,2,FALSE),2)</f>
        <v>4.05</v>
      </c>
      <c r="H3907" s="537">
        <f t="shared" si="1480"/>
        <v>3.24</v>
      </c>
      <c r="I3907" s="574"/>
      <c r="J3907" s="549">
        <v>43419</v>
      </c>
      <c r="N3907" s="322"/>
      <c r="O3907" s="261">
        <f>O3906-0.2</f>
        <v>6.1452714999999989</v>
      </c>
      <c r="P3907" s="261">
        <f>P3906-0.2</f>
        <v>3.8458382499999999</v>
      </c>
      <c r="Q3907" s="261">
        <f>Q3906-0.2</f>
        <v>3.3801302499999997</v>
      </c>
      <c r="S3907" t="s">
        <v>50</v>
      </c>
    </row>
    <row r="3908" spans="1:19" x14ac:dyDescent="0.35">
      <c r="A3908" s="527" t="s">
        <v>6411</v>
      </c>
      <c r="B3908" s="526" t="s">
        <v>5411</v>
      </c>
      <c r="C3908" s="526" t="s">
        <v>6404</v>
      </c>
      <c r="D3908" s="526" t="s">
        <v>7371</v>
      </c>
      <c r="E3908" s="526"/>
      <c r="F3908" s="538">
        <f>ROUND(HLOOKUP(D3908,O3905:Q3907,3,FALSE),2)</f>
        <v>3.38</v>
      </c>
      <c r="G3908" s="537">
        <f>ROUND(HLOOKUP(D3908,O3905:Q3907,2,FALSE),2)</f>
        <v>3.58</v>
      </c>
      <c r="H3908" s="537">
        <f t="shared" si="1480"/>
        <v>2.86</v>
      </c>
      <c r="I3908" s="574"/>
      <c r="J3908" s="549">
        <v>43419</v>
      </c>
      <c r="N3908" s="322"/>
      <c r="O3908" s="261"/>
      <c r="P3908" s="261"/>
      <c r="Q3908" s="261"/>
    </row>
    <row r="3909" spans="1:19" x14ac:dyDescent="0.35">
      <c r="A3909" s="496"/>
      <c r="B3909" s="1"/>
      <c r="C3909" s="1"/>
      <c r="D3909" s="1"/>
      <c r="E3909" s="1"/>
      <c r="F3909" s="362"/>
      <c r="G3909" s="10"/>
      <c r="H3909" s="10" t="str">
        <f t="shared" si="1480"/>
        <v/>
      </c>
      <c r="I3909" s="566"/>
      <c r="J3909" s="549" t="s">
        <v>4179</v>
      </c>
      <c r="N3909" s="29" t="s">
        <v>5489</v>
      </c>
      <c r="O3909" t="s">
        <v>5412</v>
      </c>
      <c r="P3909" t="s">
        <v>5413</v>
      </c>
      <c r="Q3909" t="s">
        <v>7371</v>
      </c>
    </row>
    <row r="3910" spans="1:19" x14ac:dyDescent="0.35">
      <c r="A3910" s="527" t="s">
        <v>6550</v>
      </c>
      <c r="B3910" s="526" t="s">
        <v>5411</v>
      </c>
      <c r="C3910" s="526" t="s">
        <v>6505</v>
      </c>
      <c r="D3910" s="526" t="s">
        <v>5412</v>
      </c>
      <c r="E3910" s="526"/>
      <c r="F3910" s="538">
        <f>ROUND(HLOOKUP(D3910,O3909:Q3911,3,FALSE),2)</f>
        <v>6.05</v>
      </c>
      <c r="G3910" s="537">
        <f>ROUND(HLOOKUP(D3910,O3909:Q3911,2,FALSE),2)</f>
        <v>6.25</v>
      </c>
      <c r="H3910" s="537">
        <f t="shared" si="1480"/>
        <v>5</v>
      </c>
      <c r="I3910" s="574"/>
      <c r="J3910" s="549">
        <v>43796</v>
      </c>
      <c r="M3910" s="101">
        <v>2020</v>
      </c>
      <c r="N3910" s="322">
        <v>1.4999999999999999E-2</v>
      </c>
      <c r="O3910" s="261">
        <f>IF($N3910&lt;&gt;"",O3906*(100%-$N3910),"")</f>
        <v>6.2500924274999994</v>
      </c>
      <c r="P3910" s="261">
        <f>IF($N3910&lt;&gt;"",P3906*(100%-$N3910),"")</f>
        <v>3.98515067625</v>
      </c>
      <c r="Q3910" s="261">
        <f>IF($N3910&lt;&gt;"",Q3906*(100%-$N3910),"")</f>
        <v>3.5264282962499998</v>
      </c>
      <c r="S3910" t="s">
        <v>49</v>
      </c>
    </row>
    <row r="3911" spans="1:19" x14ac:dyDescent="0.35">
      <c r="A3911" s="527" t="s">
        <v>6551</v>
      </c>
      <c r="B3911" s="526" t="s">
        <v>5411</v>
      </c>
      <c r="C3911" s="526" t="s">
        <v>6505</v>
      </c>
      <c r="D3911" s="526" t="s">
        <v>5413</v>
      </c>
      <c r="E3911" s="526"/>
      <c r="F3911" s="538">
        <f>ROUND(HLOOKUP(D3911,O3909:Q3911,3,FALSE),2)</f>
        <v>3.79</v>
      </c>
      <c r="G3911" s="537">
        <f>ROUND(HLOOKUP(D3911,O3909:Q3911,2,FALSE),2)</f>
        <v>3.99</v>
      </c>
      <c r="H3911" s="537">
        <f t="shared" si="1480"/>
        <v>3.19</v>
      </c>
      <c r="I3911" s="574"/>
      <c r="J3911" s="549">
        <v>43796</v>
      </c>
      <c r="N3911" s="322"/>
      <c r="O3911" s="261">
        <f>O3910-0.2</f>
        <v>6.0500924274999992</v>
      </c>
      <c r="P3911" s="261">
        <f>P3910-0.2</f>
        <v>3.7851506762499998</v>
      </c>
      <c r="Q3911" s="261">
        <f>Q3910-0.2</f>
        <v>3.3264282962499996</v>
      </c>
      <c r="S3911" t="s">
        <v>50</v>
      </c>
    </row>
    <row r="3912" spans="1:19" x14ac:dyDescent="0.35">
      <c r="A3912" s="527" t="s">
        <v>6552</v>
      </c>
      <c r="B3912" s="526" t="s">
        <v>5411</v>
      </c>
      <c r="C3912" s="526" t="s">
        <v>6505</v>
      </c>
      <c r="D3912" s="526" t="s">
        <v>7371</v>
      </c>
      <c r="E3912" s="526"/>
      <c r="F3912" s="538">
        <f>ROUND(HLOOKUP(D3912,O3909:Q3911,3,FALSE),2)</f>
        <v>3.33</v>
      </c>
      <c r="G3912" s="537">
        <f>ROUND(HLOOKUP(D3912,O3909:Q3911,2,FALSE),2)</f>
        <v>3.53</v>
      </c>
      <c r="H3912" s="537">
        <f t="shared" si="1480"/>
        <v>2.82</v>
      </c>
      <c r="I3912" s="574"/>
      <c r="J3912" s="549">
        <v>43796</v>
      </c>
      <c r="N3912" s="322"/>
      <c r="O3912" s="261"/>
      <c r="P3912" s="261"/>
      <c r="Q3912" s="261"/>
    </row>
    <row r="3913" spans="1:19" x14ac:dyDescent="0.35">
      <c r="A3913" s="496"/>
      <c r="B3913" s="1"/>
      <c r="C3913" s="362"/>
      <c r="D3913" s="1"/>
      <c r="E3913" s="1"/>
      <c r="F3913" s="362"/>
      <c r="G3913" s="10"/>
      <c r="H3913" s="10" t="str">
        <f t="shared" si="1480"/>
        <v/>
      </c>
      <c r="I3913" s="566"/>
      <c r="J3913" s="549" t="s">
        <v>4179</v>
      </c>
      <c r="N3913" s="29" t="s">
        <v>5489</v>
      </c>
      <c r="O3913" t="s">
        <v>5412</v>
      </c>
      <c r="P3913" t="s">
        <v>5413</v>
      </c>
      <c r="Q3913" t="s">
        <v>7371</v>
      </c>
    </row>
    <row r="3914" spans="1:19" x14ac:dyDescent="0.35">
      <c r="A3914" s="527" t="s">
        <v>6651</v>
      </c>
      <c r="B3914" s="526" t="s">
        <v>5411</v>
      </c>
      <c r="C3914" s="526" t="s">
        <v>6624</v>
      </c>
      <c r="D3914" s="526" t="s">
        <v>5412</v>
      </c>
      <c r="E3914" s="526"/>
      <c r="F3914" s="639">
        <f>ROUND(HLOOKUP(D3914,O3913:Q3915,3,FALSE),2)</f>
        <v>5.96</v>
      </c>
      <c r="G3914" s="641">
        <f>ROUND(HLOOKUP(D3914,O3913:Q3915,2,FALSE),2)</f>
        <v>6.16</v>
      </c>
      <c r="H3914" s="641">
        <f t="shared" si="1480"/>
        <v>4.93</v>
      </c>
      <c r="I3914" s="638"/>
      <c r="J3914" s="549">
        <v>44196</v>
      </c>
      <c r="M3914" s="101">
        <v>2021</v>
      </c>
      <c r="N3914" s="322" t="s">
        <v>5891</v>
      </c>
      <c r="O3914" s="261">
        <v>6.16</v>
      </c>
      <c r="P3914" s="261">
        <v>3.93</v>
      </c>
      <c r="Q3914" s="261">
        <v>3.47</v>
      </c>
      <c r="S3914" t="s">
        <v>49</v>
      </c>
    </row>
    <row r="3915" spans="1:19" x14ac:dyDescent="0.35">
      <c r="A3915" s="527" t="s">
        <v>6652</v>
      </c>
      <c r="B3915" s="526" t="s">
        <v>5411</v>
      </c>
      <c r="C3915" s="526" t="s">
        <v>6624</v>
      </c>
      <c r="D3915" s="526" t="s">
        <v>5413</v>
      </c>
      <c r="E3915" s="526"/>
      <c r="F3915" s="639">
        <f>ROUND(HLOOKUP(D3915,O3913:Q3915,3,FALSE),2)</f>
        <v>3.73</v>
      </c>
      <c r="G3915" s="641">
        <f>ROUND(HLOOKUP(D3915,O3913:Q3915,2,FALSE),2)</f>
        <v>3.93</v>
      </c>
      <c r="H3915" s="641">
        <f t="shared" si="1480"/>
        <v>3.14</v>
      </c>
      <c r="I3915" s="638"/>
      <c r="J3915" s="549">
        <v>44196</v>
      </c>
      <c r="N3915" s="322" t="s">
        <v>5881</v>
      </c>
      <c r="O3915" s="261">
        <f>O3914-0.2</f>
        <v>5.96</v>
      </c>
      <c r="P3915" s="261">
        <f>P3914-0.2</f>
        <v>3.73</v>
      </c>
      <c r="Q3915" s="261">
        <f>Q3914-0.2</f>
        <v>3.27</v>
      </c>
      <c r="S3915" t="s">
        <v>50</v>
      </c>
    </row>
    <row r="3916" spans="1:19" x14ac:dyDescent="0.35">
      <c r="A3916" s="527" t="s">
        <v>6653</v>
      </c>
      <c r="B3916" s="526" t="s">
        <v>5411</v>
      </c>
      <c r="C3916" s="526" t="s">
        <v>6624</v>
      </c>
      <c r="D3916" s="526" t="s">
        <v>7371</v>
      </c>
      <c r="E3916" s="526"/>
      <c r="F3916" s="639">
        <f>ROUND(HLOOKUP(D3916,O3913:Q3915,3,FALSE),2)</f>
        <v>3.27</v>
      </c>
      <c r="G3916" s="641">
        <f>ROUND(HLOOKUP(D3916,O3913:Q3915,2,FALSE),2)</f>
        <v>3.47</v>
      </c>
      <c r="H3916" s="641">
        <f t="shared" si="1480"/>
        <v>2.78</v>
      </c>
      <c r="I3916" s="638"/>
      <c r="J3916" s="549">
        <v>44196</v>
      </c>
      <c r="N3916" s="322"/>
      <c r="O3916" s="261"/>
      <c r="P3916" s="261"/>
      <c r="Q3916" s="261"/>
    </row>
    <row r="3917" spans="1:19" x14ac:dyDescent="0.35">
      <c r="A3917" s="496"/>
      <c r="B3917" s="1"/>
      <c r="C3917" s="362"/>
      <c r="D3917" s="1"/>
      <c r="E3917" s="1"/>
      <c r="F3917" s="362"/>
      <c r="G3917" s="10"/>
      <c r="H3917" s="10" t="str">
        <f t="shared" si="1480"/>
        <v/>
      </c>
      <c r="I3917" s="566"/>
      <c r="J3917" s="549" t="s">
        <v>4179</v>
      </c>
      <c r="N3917" s="29" t="s">
        <v>5489</v>
      </c>
      <c r="O3917" t="s">
        <v>5412</v>
      </c>
      <c r="P3917" t="s">
        <v>5413</v>
      </c>
      <c r="Q3917" t="s">
        <v>7371</v>
      </c>
    </row>
    <row r="3918" spans="1:19" x14ac:dyDescent="0.35">
      <c r="A3918" s="527" t="str">
        <f>LEFT(A3914,12)&amp;RIGHT(M3918,2)</f>
        <v>GrK4131-----22</v>
      </c>
      <c r="B3918" s="526" t="s">
        <v>5411</v>
      </c>
      <c r="C3918" s="526" t="str">
        <f>"Inbetriebnahme 20" &amp; RIGHT(M3918,2)</f>
        <v>Inbetriebnahme 2022</v>
      </c>
      <c r="D3918" s="526" t="s">
        <v>5412</v>
      </c>
      <c r="E3918" s="526"/>
      <c r="F3918" s="639">
        <f>ROUND(HLOOKUP(D3918,O3917:Q3919,3,FALSE),2)</f>
        <v>5.87</v>
      </c>
      <c r="G3918" s="641">
        <f>ROUND(HLOOKUP(D3918,O3917:Q3919,2,FALSE),2)</f>
        <v>6.07</v>
      </c>
      <c r="H3918" s="641">
        <f t="shared" si="1480"/>
        <v>4.8600000000000003</v>
      </c>
      <c r="I3918" s="574"/>
      <c r="J3918" s="549">
        <v>44536</v>
      </c>
      <c r="M3918" s="101">
        <v>2022</v>
      </c>
      <c r="N3918" s="322">
        <v>1.4999999999999999E-2</v>
      </c>
      <c r="O3918" s="261">
        <f>IF($N3918&lt;&gt;"",O3914*(100%-$N3918),"")</f>
        <v>6.0675999999999997</v>
      </c>
      <c r="P3918" s="261">
        <f>IF($N3918&lt;&gt;"",P3914*(100%-$N3918),"")</f>
        <v>3.8710500000000003</v>
      </c>
      <c r="Q3918" s="261">
        <f>IF($N3918&lt;&gt;"",Q3914*(100%-$N3918),"")</f>
        <v>3.4179500000000003</v>
      </c>
      <c r="S3918" t="s">
        <v>49</v>
      </c>
    </row>
    <row r="3919" spans="1:19" x14ac:dyDescent="0.35">
      <c r="A3919" s="527" t="str">
        <f>LEFT(A3915,12)&amp;RIGHT(M3918,2)</f>
        <v>GrK4132-----22</v>
      </c>
      <c r="B3919" s="526" t="s">
        <v>5411</v>
      </c>
      <c r="C3919" s="526" t="str">
        <f>"Inbetriebnahme 20" &amp; RIGHT(M3918,2)</f>
        <v>Inbetriebnahme 2022</v>
      </c>
      <c r="D3919" s="526" t="s">
        <v>5413</v>
      </c>
      <c r="E3919" s="526"/>
      <c r="F3919" s="639">
        <f>ROUND(HLOOKUP(D3919,O3917:Q3919,3,FALSE),2)</f>
        <v>3.67</v>
      </c>
      <c r="G3919" s="641">
        <f>ROUND(HLOOKUP(D3919,O3917:Q3919,2,FALSE),2)</f>
        <v>3.87</v>
      </c>
      <c r="H3919" s="641">
        <f t="shared" si="1480"/>
        <v>3.1</v>
      </c>
      <c r="I3919" s="574"/>
      <c r="J3919" s="549">
        <v>44536</v>
      </c>
      <c r="N3919" s="322"/>
      <c r="O3919" s="261">
        <f>O3918-0.2</f>
        <v>5.8675999999999995</v>
      </c>
      <c r="P3919" s="261">
        <f>P3918-0.2</f>
        <v>3.6710500000000001</v>
      </c>
      <c r="Q3919" s="261">
        <f>Q3918-0.2</f>
        <v>3.2179500000000001</v>
      </c>
      <c r="S3919" t="s">
        <v>50</v>
      </c>
    </row>
    <row r="3920" spans="1:19" x14ac:dyDescent="0.35">
      <c r="A3920" s="527" t="str">
        <f>LEFT(A3916,12)&amp;RIGHT(M3918,2)</f>
        <v>GrK4133-----22</v>
      </c>
      <c r="B3920" s="526" t="s">
        <v>5411</v>
      </c>
      <c r="C3920" s="526" t="str">
        <f>"Inbetriebnahme 20" &amp; RIGHT(M3918,2)</f>
        <v>Inbetriebnahme 2022</v>
      </c>
      <c r="D3920" s="526" t="s">
        <v>7371</v>
      </c>
      <c r="E3920" s="526"/>
      <c r="F3920" s="639">
        <f>ROUND(HLOOKUP(D3920,O3917:Q3919,3,FALSE),2)</f>
        <v>3.22</v>
      </c>
      <c r="G3920" s="641">
        <f>ROUND(HLOOKUP(D3920,O3917:Q3919,2,FALSE),2)</f>
        <v>3.42</v>
      </c>
      <c r="H3920" s="641">
        <f t="shared" si="1480"/>
        <v>2.74</v>
      </c>
      <c r="I3920" s="574"/>
      <c r="J3920" s="549">
        <v>44536</v>
      </c>
      <c r="N3920" s="322"/>
      <c r="O3920" s="261"/>
      <c r="P3920" s="261"/>
    </row>
    <row r="3921" spans="1:41" x14ac:dyDescent="0.35">
      <c r="A3921" s="496"/>
      <c r="B3921" s="1"/>
      <c r="C3921" s="362"/>
      <c r="D3921" s="1"/>
      <c r="E3921" s="1"/>
      <c r="F3921" s="362"/>
      <c r="G3921" s="10"/>
      <c r="H3921" s="10" t="str">
        <f t="shared" si="1480"/>
        <v/>
      </c>
      <c r="I3921" s="566"/>
      <c r="J3921" s="549" t="s">
        <v>4179</v>
      </c>
      <c r="N3921" s="29" t="s">
        <v>5489</v>
      </c>
      <c r="O3921" t="s">
        <v>5412</v>
      </c>
      <c r="P3921" t="s">
        <v>5413</v>
      </c>
      <c r="Q3921" t="s">
        <v>7371</v>
      </c>
    </row>
    <row r="3922" spans="1:41" x14ac:dyDescent="0.35">
      <c r="A3922" s="527" t="str">
        <f>LEFT(A3918,12)&amp;RIGHT(M$3922,2)</f>
        <v>GrK4131-----23</v>
      </c>
      <c r="B3922" s="526" t="s">
        <v>5411</v>
      </c>
      <c r="C3922" s="526" t="str">
        <f>"Inbetriebnahme "&amp;$M$3922</f>
        <v>Inbetriebnahme 2023</v>
      </c>
      <c r="D3922" s="526" t="s">
        <v>5412</v>
      </c>
      <c r="E3922" s="526"/>
      <c r="F3922" s="639">
        <f>ROUND(HLOOKUP(D3922,O3921:Q3923,3,FALSE),2)</f>
        <v>5.78</v>
      </c>
      <c r="G3922" s="641">
        <f>ROUND(HLOOKUP(D3922,O3921:Q3923,2,FALSE),2)</f>
        <v>5.98</v>
      </c>
      <c r="H3922" s="641">
        <f t="shared" si="1480"/>
        <v>4.78</v>
      </c>
      <c r="I3922" s="638"/>
      <c r="J3922" s="549">
        <f>J$31</f>
        <v>44896</v>
      </c>
      <c r="M3922" s="101">
        <v>2023</v>
      </c>
      <c r="N3922" s="322" t="s">
        <v>5891</v>
      </c>
      <c r="O3922" s="261">
        <v>5.98</v>
      </c>
      <c r="P3922" s="261">
        <v>3.81</v>
      </c>
      <c r="Q3922" s="261">
        <v>3.37</v>
      </c>
      <c r="S3922" t="s">
        <v>49</v>
      </c>
    </row>
    <row r="3923" spans="1:41" x14ac:dyDescent="0.35">
      <c r="A3923" s="527" t="str">
        <f>LEFT(A3919,12)&amp;RIGHT(M$3922,2)</f>
        <v>GrK4132-----23</v>
      </c>
      <c r="B3923" s="526" t="s">
        <v>5411</v>
      </c>
      <c r="C3923" s="526" t="str">
        <f>"Inbetriebnahme "&amp;$M$3922</f>
        <v>Inbetriebnahme 2023</v>
      </c>
      <c r="D3923" s="526" t="s">
        <v>5413</v>
      </c>
      <c r="E3923" s="526"/>
      <c r="F3923" s="639">
        <f>ROUND(HLOOKUP(D3923,O3921:Q3923,3,FALSE),2)</f>
        <v>3.61</v>
      </c>
      <c r="G3923" s="641">
        <f>ROUND(HLOOKUP(D3923,O3921:Q3923,2,FALSE),2)</f>
        <v>3.81</v>
      </c>
      <c r="H3923" s="641">
        <f t="shared" si="1480"/>
        <v>3.05</v>
      </c>
      <c r="I3923" s="638"/>
      <c r="J3923" s="549">
        <f>J$31</f>
        <v>44896</v>
      </c>
      <c r="N3923" s="322" t="s">
        <v>5881</v>
      </c>
      <c r="O3923" s="261">
        <f>O3922-0.2</f>
        <v>5.78</v>
      </c>
      <c r="P3923" s="261">
        <f>P3922-0.2</f>
        <v>3.61</v>
      </c>
      <c r="Q3923" s="261">
        <f>Q3922-0.2</f>
        <v>3.17</v>
      </c>
      <c r="S3923" t="s">
        <v>50</v>
      </c>
    </row>
    <row r="3924" spans="1:41" x14ac:dyDescent="0.35">
      <c r="A3924" s="527" t="str">
        <f>LEFT(A3920,12)&amp;RIGHT(M$3922,2)</f>
        <v>GrK4133-----23</v>
      </c>
      <c r="B3924" s="526" t="s">
        <v>5411</v>
      </c>
      <c r="C3924" s="526" t="str">
        <f>"Inbetriebnahme "&amp;$M$3922</f>
        <v>Inbetriebnahme 2023</v>
      </c>
      <c r="D3924" s="526" t="s">
        <v>7371</v>
      </c>
      <c r="E3924" s="526"/>
      <c r="F3924" s="639">
        <f>ROUND(HLOOKUP(D3924,O3921:Q3923,3,FALSE),2)</f>
        <v>3.17</v>
      </c>
      <c r="G3924" s="641">
        <f>ROUND(HLOOKUP(D3924,O3921:Q3923,2,FALSE),2)</f>
        <v>3.37</v>
      </c>
      <c r="H3924" s="641">
        <f t="shared" si="1480"/>
        <v>2.7</v>
      </c>
      <c r="I3924" s="638"/>
      <c r="J3924" s="549">
        <f>J$31</f>
        <v>44896</v>
      </c>
      <c r="N3924" s="322"/>
      <c r="O3924" s="261"/>
      <c r="P3924" s="261"/>
      <c r="Q3924" s="261"/>
    </row>
    <row r="3925" spans="1:41" x14ac:dyDescent="0.35">
      <c r="A3925" s="496"/>
      <c r="B3925" s="1"/>
      <c r="C3925" s="362"/>
      <c r="D3925" s="1"/>
      <c r="E3925" s="1"/>
      <c r="F3925" s="362"/>
      <c r="G3925" s="10"/>
      <c r="H3925" s="10" t="str">
        <f t="shared" si="1480"/>
        <v/>
      </c>
      <c r="I3925" s="566"/>
      <c r="J3925" s="549" t="s">
        <v>4179</v>
      </c>
      <c r="N3925" s="29" t="s">
        <v>5489</v>
      </c>
      <c r="O3925" t="s">
        <v>5412</v>
      </c>
      <c r="P3925" t="s">
        <v>5413</v>
      </c>
      <c r="Q3925" t="s">
        <v>7371</v>
      </c>
    </row>
    <row r="3926" spans="1:41" x14ac:dyDescent="0.35">
      <c r="A3926" s="527" t="str">
        <f>LEFT(A3922,12)&amp;RIGHT(M3926,2)</f>
        <v>GrK4131-----24</v>
      </c>
      <c r="B3926" s="526" t="s">
        <v>5411</v>
      </c>
      <c r="C3926" s="526" t="str">
        <f>"Inbetriebnahme 20" &amp; RIGHT(M3926,2)</f>
        <v>Inbetriebnahme 2024</v>
      </c>
      <c r="D3926" s="526" t="s">
        <v>5412</v>
      </c>
      <c r="E3926" s="526"/>
      <c r="F3926" s="639">
        <f>ROUND(HLOOKUP(D3926,O3925:Q3927,3,FALSE),2)</f>
        <v>5.69</v>
      </c>
      <c r="G3926" s="641">
        <f>ROUND(HLOOKUP(D3926,O3925:Q3927,2,FALSE),2)</f>
        <v>5.89</v>
      </c>
      <c r="H3926" s="641">
        <f t="shared" si="1480"/>
        <v>4.71</v>
      </c>
      <c r="I3926" s="574"/>
      <c r="J3926" s="549">
        <v>45268</v>
      </c>
      <c r="M3926" s="101">
        <v>2024</v>
      </c>
      <c r="N3926" s="322">
        <v>1.4999999999999999E-2</v>
      </c>
      <c r="O3926" s="261">
        <f>IF($N3926&lt;&gt;"",O3922*(100%-$N3926),"")</f>
        <v>5.8903000000000008</v>
      </c>
      <c r="P3926" s="261">
        <f>IF($N3926&lt;&gt;"",P3922*(100%-$N3926),"")</f>
        <v>3.75285</v>
      </c>
      <c r="Q3926" s="261">
        <f>IF($N3926&lt;&gt;"",Q3922*(100%-$N3926),"")</f>
        <v>3.3194500000000002</v>
      </c>
      <c r="S3926" t="s">
        <v>49</v>
      </c>
    </row>
    <row r="3927" spans="1:41" x14ac:dyDescent="0.35">
      <c r="A3927" s="527" t="str">
        <f>LEFT(A3923,12)&amp;RIGHT(M3926,2)</f>
        <v>GrK4132-----24</v>
      </c>
      <c r="B3927" s="526" t="s">
        <v>5411</v>
      </c>
      <c r="C3927" s="526" t="str">
        <f>"Inbetriebnahme 20" &amp; RIGHT(M3926,2)</f>
        <v>Inbetriebnahme 2024</v>
      </c>
      <c r="D3927" s="526" t="s">
        <v>5413</v>
      </c>
      <c r="E3927" s="526"/>
      <c r="F3927" s="639">
        <f>ROUND(HLOOKUP(D3927,O3925:Q3927,3,FALSE),2)</f>
        <v>3.55</v>
      </c>
      <c r="G3927" s="641">
        <f>ROUND(HLOOKUP(D3927,O3925:Q3927,2,FALSE),2)</f>
        <v>3.75</v>
      </c>
      <c r="H3927" s="641">
        <f t="shared" si="1480"/>
        <v>3</v>
      </c>
      <c r="I3927" s="574"/>
      <c r="J3927" s="549">
        <v>45268</v>
      </c>
      <c r="N3927" s="322"/>
      <c r="O3927" s="261">
        <f>O3926-0.2</f>
        <v>5.6903000000000006</v>
      </c>
      <c r="P3927" s="261">
        <f>P3926-0.2</f>
        <v>3.5528499999999998</v>
      </c>
      <c r="Q3927" s="261">
        <f>Q3926-0.2</f>
        <v>3.1194500000000001</v>
      </c>
      <c r="S3927" t="s">
        <v>50</v>
      </c>
    </row>
    <row r="3928" spans="1:41" x14ac:dyDescent="0.35">
      <c r="A3928" s="527" t="str">
        <f>LEFT(A3924,12)&amp;RIGHT(M3926,2)</f>
        <v>GrK4133-----24</v>
      </c>
      <c r="B3928" s="526" t="s">
        <v>5411</v>
      </c>
      <c r="C3928" s="526" t="str">
        <f>"Inbetriebnahme 20" &amp; RIGHT(M3926,2)</f>
        <v>Inbetriebnahme 2024</v>
      </c>
      <c r="D3928" s="526" t="s">
        <v>7371</v>
      </c>
      <c r="E3928" s="526"/>
      <c r="F3928" s="639">
        <f>ROUND(HLOOKUP(D3928,O3925:Q3927,3,FALSE),2)</f>
        <v>3.12</v>
      </c>
      <c r="G3928" s="641">
        <f>ROUND(HLOOKUP(D3928,O3925:Q3927,2,FALSE),2)</f>
        <v>3.32</v>
      </c>
      <c r="H3928" s="641">
        <f t="shared" si="1480"/>
        <v>2.66</v>
      </c>
      <c r="I3928" s="574"/>
      <c r="J3928" s="549">
        <v>45268</v>
      </c>
      <c r="N3928" s="322"/>
      <c r="O3928" s="261"/>
      <c r="P3928" s="261"/>
    </row>
    <row r="3929" spans="1:41" x14ac:dyDescent="0.35">
      <c r="A3929" s="2"/>
      <c r="B3929" s="419"/>
      <c r="C3929" s="420"/>
      <c r="D3929" s="420"/>
      <c r="E3929" s="420"/>
      <c r="F3929" s="421"/>
      <c r="G3929" s="422"/>
      <c r="H3929" s="423" t="str">
        <f t="shared" si="1480"/>
        <v/>
      </c>
      <c r="I3929" s="589"/>
      <c r="J3929" s="549" t="s">
        <v>4179</v>
      </c>
      <c r="K3929" s="11"/>
      <c r="L3929" s="55"/>
      <c r="M3929" s="37"/>
      <c r="N3929" s="29"/>
      <c r="O3929" s="202"/>
      <c r="P3929" s="22"/>
      <c r="AH3929" s="202"/>
      <c r="AO3929" s="203"/>
    </row>
    <row r="3930" spans="1:41" ht="23.5" x14ac:dyDescent="0.55000000000000004">
      <c r="A3930" s="89" t="s">
        <v>2034</v>
      </c>
      <c r="B3930" s="50"/>
      <c r="C3930" s="50"/>
      <c r="D3930" s="50"/>
      <c r="E3930" s="62"/>
      <c r="F3930" s="363"/>
      <c r="G3930" s="50"/>
      <c r="H3930" s="59"/>
      <c r="I3930" s="567"/>
      <c r="J3930" s="549" t="s">
        <v>5804</v>
      </c>
    </row>
    <row r="3931" spans="1:41" ht="15.5" x14ac:dyDescent="0.35">
      <c r="A3931" s="496"/>
      <c r="B3931" s="1"/>
      <c r="C3931" s="1"/>
      <c r="D3931" s="1"/>
      <c r="E3931" s="1"/>
      <c r="F3931" s="362"/>
      <c r="G3931" s="10"/>
      <c r="H3931" s="10"/>
      <c r="I3931" s="566"/>
      <c r="J3931" s="549" t="s">
        <v>4179</v>
      </c>
      <c r="K3931" s="22"/>
      <c r="M3931" s="53" t="s">
        <v>1199</v>
      </c>
      <c r="N3931" s="27"/>
      <c r="O3931" s="22"/>
      <c r="P3931" s="22"/>
    </row>
    <row r="3932" spans="1:41" x14ac:dyDescent="0.35">
      <c r="A3932" s="496"/>
      <c r="B3932" s="1"/>
      <c r="C3932" s="18"/>
      <c r="D3932" s="18"/>
      <c r="E3932" s="1"/>
      <c r="F3932" s="362"/>
      <c r="G3932" s="10"/>
      <c r="H3932" s="10"/>
      <c r="I3932" s="566"/>
      <c r="J3932" s="549" t="s">
        <v>4179</v>
      </c>
      <c r="K3932" s="22"/>
      <c r="L3932" s="22"/>
      <c r="M3932" s="22"/>
      <c r="N3932" s="85"/>
      <c r="O3932" s="86" t="s">
        <v>1205</v>
      </c>
      <c r="P3932" s="22"/>
      <c r="Q3932" s="38"/>
      <c r="S3932" s="22"/>
      <c r="AB3932" s="57"/>
    </row>
    <row r="3933" spans="1:41" ht="41.5" x14ac:dyDescent="0.35">
      <c r="A3933" s="496"/>
      <c r="B3933" s="1"/>
      <c r="C3933" s="18"/>
      <c r="D3933" s="18"/>
      <c r="E3933" s="1"/>
      <c r="F3933" s="362"/>
      <c r="G3933" s="10"/>
      <c r="H3933" s="10"/>
      <c r="I3933" s="566"/>
      <c r="J3933" s="549" t="s">
        <v>4179</v>
      </c>
      <c r="K3933" s="22"/>
      <c r="L3933" s="22"/>
      <c r="M3933" s="36" t="s">
        <v>2913</v>
      </c>
      <c r="N3933" s="30" t="s">
        <v>1198</v>
      </c>
      <c r="O3933" s="32" t="s">
        <v>1200</v>
      </c>
      <c r="P3933" s="30" t="s">
        <v>5514</v>
      </c>
      <c r="Q3933" s="39" t="s">
        <v>1203</v>
      </c>
      <c r="R3933" s="64"/>
      <c r="S3933" s="30"/>
      <c r="T3933" s="30"/>
      <c r="U3933" s="30"/>
      <c r="V3933" s="64"/>
      <c r="W3933" s="64"/>
      <c r="X3933" s="64"/>
      <c r="Y3933" s="64"/>
      <c r="Z3933" s="64"/>
      <c r="AA3933" s="64"/>
      <c r="AB3933" s="30"/>
      <c r="AC3933" s="30"/>
      <c r="AD3933" s="30"/>
    </row>
    <row r="3934" spans="1:41" ht="31.5" x14ac:dyDescent="0.35">
      <c r="A3934" s="496"/>
      <c r="B3934" s="1"/>
      <c r="C3934" s="18"/>
      <c r="D3934" s="18"/>
      <c r="E3934" s="1"/>
      <c r="F3934" s="362"/>
      <c r="G3934" s="10"/>
      <c r="H3934" s="10"/>
      <c r="I3934" s="566"/>
      <c r="J3934" s="549" t="s">
        <v>4179</v>
      </c>
      <c r="K3934" s="22"/>
      <c r="L3934" s="22"/>
      <c r="M3934" s="34"/>
      <c r="N3934" s="30"/>
      <c r="O3934" s="32" t="s">
        <v>1201</v>
      </c>
      <c r="P3934" s="30" t="s">
        <v>1202</v>
      </c>
      <c r="Q3934" s="39" t="s">
        <v>1204</v>
      </c>
      <c r="R3934" s="30"/>
      <c r="S3934" s="30"/>
      <c r="T3934" s="30"/>
      <c r="U3934" s="30"/>
      <c r="V3934" s="30"/>
      <c r="W3934" s="30"/>
      <c r="X3934" s="30"/>
      <c r="Y3934" s="30"/>
      <c r="Z3934" s="30"/>
      <c r="AA3934" s="30"/>
      <c r="AB3934" s="30"/>
      <c r="AC3934" s="30"/>
      <c r="AD3934" s="30"/>
    </row>
    <row r="3935" spans="1:41" x14ac:dyDescent="0.35">
      <c r="A3935" s="496"/>
      <c r="B3935" s="1"/>
      <c r="C3935" s="1"/>
      <c r="D3935" s="1"/>
      <c r="E3935" s="1"/>
      <c r="F3935" s="362"/>
      <c r="G3935" s="10"/>
      <c r="H3935" s="10"/>
      <c r="I3935" s="566"/>
      <c r="J3935" s="549" t="s">
        <v>4179</v>
      </c>
      <c r="L3935" s="58"/>
      <c r="M3935" s="35"/>
      <c r="N3935" s="28"/>
      <c r="O3935" s="33">
        <v>4</v>
      </c>
      <c r="P3935" s="28">
        <v>3</v>
      </c>
      <c r="Q3935" s="40">
        <v>4</v>
      </c>
      <c r="R3935" s="29"/>
      <c r="S3935" s="29"/>
      <c r="T3935" s="29"/>
      <c r="U3935" s="29"/>
      <c r="V3935" s="29"/>
      <c r="W3935" s="29"/>
      <c r="X3935" s="29"/>
      <c r="Y3935" s="29"/>
      <c r="Z3935" s="29"/>
      <c r="AA3935" s="29"/>
      <c r="AB3935" s="29"/>
      <c r="AC3935" s="29"/>
      <c r="AD3935" s="29"/>
    </row>
    <row r="3936" spans="1:41" x14ac:dyDescent="0.35">
      <c r="A3936" s="496" t="s">
        <v>2041</v>
      </c>
      <c r="B3936" s="1" t="s">
        <v>2034</v>
      </c>
      <c r="C3936" s="1" t="s">
        <v>1272</v>
      </c>
      <c r="D3936" s="1" t="s">
        <v>2035</v>
      </c>
      <c r="E3936" s="1"/>
      <c r="F3936" s="362">
        <v>8.9499999999999993</v>
      </c>
      <c r="G3936" s="425">
        <v>8.9499999999999993</v>
      </c>
      <c r="H3936" s="10">
        <f t="shared" ref="H3936:H3967" si="1481">IF(ISNUMBER(G3936),ROUND(0.8*G3936,2),"")</f>
        <v>7.16</v>
      </c>
      <c r="I3936" s="566"/>
      <c r="J3936" s="549" t="s">
        <v>5804</v>
      </c>
      <c r="N3936" s="38"/>
      <c r="Q3936" s="38"/>
    </row>
    <row r="3937" spans="1:17" x14ac:dyDescent="0.35">
      <c r="A3937" s="496" t="s">
        <v>2042</v>
      </c>
      <c r="B3937" s="1" t="s">
        <v>2034</v>
      </c>
      <c r="C3937" s="1" t="s">
        <v>1272</v>
      </c>
      <c r="D3937" s="1" t="s">
        <v>7382</v>
      </c>
      <c r="E3937" s="1"/>
      <c r="F3937" s="362">
        <v>7.16</v>
      </c>
      <c r="G3937" s="425">
        <v>7.16</v>
      </c>
      <c r="H3937" s="10">
        <f t="shared" si="1481"/>
        <v>5.73</v>
      </c>
      <c r="I3937" s="566"/>
      <c r="J3937" s="549" t="s">
        <v>5804</v>
      </c>
      <c r="N3937" s="38"/>
      <c r="Q3937" s="38"/>
    </row>
    <row r="3938" spans="1:17" x14ac:dyDescent="0.35">
      <c r="A3938" s="496"/>
      <c r="B3938" s="1"/>
      <c r="C3938" s="1"/>
      <c r="D3938" s="1"/>
      <c r="E3938" s="1"/>
      <c r="F3938" s="362"/>
      <c r="G3938" s="425"/>
      <c r="H3938" s="10" t="str">
        <f t="shared" si="1481"/>
        <v/>
      </c>
      <c r="I3938" s="566"/>
      <c r="J3938" s="549" t="s">
        <v>4179</v>
      </c>
      <c r="N3938" s="38"/>
      <c r="Q3938" s="38"/>
    </row>
    <row r="3939" spans="1:17" x14ac:dyDescent="0.35">
      <c r="A3939" s="505" t="s">
        <v>2043</v>
      </c>
      <c r="B3939" s="23" t="s">
        <v>2034</v>
      </c>
      <c r="C3939" s="23" t="s">
        <v>1275</v>
      </c>
      <c r="D3939" s="23" t="s">
        <v>2044</v>
      </c>
      <c r="E3939" s="23"/>
      <c r="F3939" s="386">
        <v>19</v>
      </c>
      <c r="G3939" s="441">
        <v>19</v>
      </c>
      <c r="H3939" s="87">
        <f t="shared" si="1481"/>
        <v>15.2</v>
      </c>
      <c r="I3939" s="590"/>
      <c r="J3939" s="549" t="s">
        <v>5804</v>
      </c>
      <c r="L3939" s="55" t="str">
        <f t="shared" ref="L3939:L3948" si="1482">IF(F3939=M3939,"",FALSE)</f>
        <v/>
      </c>
      <c r="M3939" s="37">
        <f t="shared" ref="M3939:M3948" si="1483">N3939+SUMIF(O3939:Q3939,"x",O$3935:Q$3935)</f>
        <v>19</v>
      </c>
      <c r="N3939" s="38">
        <v>15</v>
      </c>
      <c r="O3939" t="s">
        <v>1017</v>
      </c>
      <c r="Q3939" s="38"/>
    </row>
    <row r="3940" spans="1:17" x14ac:dyDescent="0.35">
      <c r="A3940" s="497" t="s">
        <v>5004</v>
      </c>
      <c r="B3940" s="13" t="s">
        <v>2034</v>
      </c>
      <c r="C3940" s="13" t="s">
        <v>1275</v>
      </c>
      <c r="D3940" s="13" t="s">
        <v>5511</v>
      </c>
      <c r="E3940" s="13"/>
      <c r="F3940" s="364">
        <v>22</v>
      </c>
      <c r="G3940" s="424">
        <v>22</v>
      </c>
      <c r="H3940" s="14">
        <f t="shared" si="1481"/>
        <v>17.600000000000001</v>
      </c>
      <c r="I3940" s="568"/>
      <c r="J3940" s="549" t="s">
        <v>5804</v>
      </c>
      <c r="L3940" s="55" t="str">
        <f t="shared" si="1482"/>
        <v/>
      </c>
      <c r="M3940" s="37">
        <f t="shared" si="1483"/>
        <v>22</v>
      </c>
      <c r="N3940" s="38">
        <v>15</v>
      </c>
      <c r="O3940" t="s">
        <v>1017</v>
      </c>
      <c r="P3940" t="s">
        <v>1017</v>
      </c>
      <c r="Q3940" s="38"/>
    </row>
    <row r="3941" spans="1:17" x14ac:dyDescent="0.35">
      <c r="A3941" s="497" t="s">
        <v>5005</v>
      </c>
      <c r="B3941" s="13" t="s">
        <v>2034</v>
      </c>
      <c r="C3941" s="13" t="s">
        <v>1275</v>
      </c>
      <c r="D3941" s="13" t="s">
        <v>5512</v>
      </c>
      <c r="E3941" s="13"/>
      <c r="F3941" s="364">
        <v>23</v>
      </c>
      <c r="G3941" s="424">
        <v>23</v>
      </c>
      <c r="H3941" s="14">
        <f t="shared" si="1481"/>
        <v>18.399999999999999</v>
      </c>
      <c r="I3941" s="568"/>
      <c r="J3941" s="549" t="s">
        <v>5804</v>
      </c>
      <c r="L3941" s="55" t="str">
        <f t="shared" si="1482"/>
        <v/>
      </c>
      <c r="M3941" s="37">
        <f t="shared" si="1483"/>
        <v>23</v>
      </c>
      <c r="N3941" s="38">
        <v>15</v>
      </c>
      <c r="O3941" t="s">
        <v>1017</v>
      </c>
      <c r="Q3941" s="38" t="s">
        <v>1017</v>
      </c>
    </row>
    <row r="3942" spans="1:17" x14ac:dyDescent="0.35">
      <c r="A3942" s="497" t="s">
        <v>5006</v>
      </c>
      <c r="B3942" s="13" t="s">
        <v>2034</v>
      </c>
      <c r="C3942" s="13" t="s">
        <v>1275</v>
      </c>
      <c r="D3942" s="13" t="s">
        <v>5513</v>
      </c>
      <c r="E3942" s="13"/>
      <c r="F3942" s="364">
        <v>26</v>
      </c>
      <c r="G3942" s="424">
        <v>26</v>
      </c>
      <c r="H3942" s="14">
        <f t="shared" si="1481"/>
        <v>20.8</v>
      </c>
      <c r="I3942" s="568"/>
      <c r="J3942" s="549" t="s">
        <v>5804</v>
      </c>
      <c r="L3942" s="55" t="str">
        <f t="shared" si="1482"/>
        <v/>
      </c>
      <c r="M3942" s="37">
        <f t="shared" si="1483"/>
        <v>26</v>
      </c>
      <c r="N3942" s="38">
        <v>15</v>
      </c>
      <c r="O3942" t="s">
        <v>1017</v>
      </c>
      <c r="P3942" t="s">
        <v>1017</v>
      </c>
      <c r="Q3942" s="38" t="s">
        <v>1017</v>
      </c>
    </row>
    <row r="3943" spans="1:17" x14ac:dyDescent="0.35">
      <c r="A3943" s="505" t="s">
        <v>2045</v>
      </c>
      <c r="B3943" s="23" t="s">
        <v>2034</v>
      </c>
      <c r="C3943" s="23" t="s">
        <v>1275</v>
      </c>
      <c r="D3943" s="23" t="s">
        <v>2046</v>
      </c>
      <c r="E3943" s="23"/>
      <c r="F3943" s="386">
        <v>18</v>
      </c>
      <c r="G3943" s="441">
        <v>18</v>
      </c>
      <c r="H3943" s="87">
        <f t="shared" si="1481"/>
        <v>14.4</v>
      </c>
      <c r="I3943" s="590"/>
      <c r="J3943" s="549" t="s">
        <v>5804</v>
      </c>
      <c r="L3943" s="55" t="str">
        <f t="shared" si="1482"/>
        <v/>
      </c>
      <c r="M3943" s="37">
        <f t="shared" si="1483"/>
        <v>18</v>
      </c>
      <c r="N3943" s="38">
        <v>14</v>
      </c>
      <c r="O3943" t="s">
        <v>1017</v>
      </c>
      <c r="Q3943" s="38"/>
    </row>
    <row r="3944" spans="1:17" x14ac:dyDescent="0.35">
      <c r="A3944" s="497" t="s">
        <v>5007</v>
      </c>
      <c r="B3944" s="13" t="s">
        <v>2034</v>
      </c>
      <c r="C3944" s="13" t="s">
        <v>1275</v>
      </c>
      <c r="D3944" s="13" t="s">
        <v>1212</v>
      </c>
      <c r="E3944" s="13"/>
      <c r="F3944" s="364">
        <v>21</v>
      </c>
      <c r="G3944" s="424">
        <v>21</v>
      </c>
      <c r="H3944" s="14">
        <f t="shared" si="1481"/>
        <v>16.8</v>
      </c>
      <c r="I3944" s="568"/>
      <c r="J3944" s="549" t="s">
        <v>5804</v>
      </c>
      <c r="L3944" s="55" t="str">
        <f t="shared" si="1482"/>
        <v/>
      </c>
      <c r="M3944" s="37">
        <f t="shared" si="1483"/>
        <v>21</v>
      </c>
      <c r="N3944" s="38">
        <v>14</v>
      </c>
      <c r="O3944" t="s">
        <v>1017</v>
      </c>
      <c r="P3944" t="s">
        <v>1017</v>
      </c>
      <c r="Q3944" s="38"/>
    </row>
    <row r="3945" spans="1:17" x14ac:dyDescent="0.35">
      <c r="A3945" s="497" t="s">
        <v>5008</v>
      </c>
      <c r="B3945" s="13" t="s">
        <v>2034</v>
      </c>
      <c r="C3945" s="13" t="s">
        <v>1275</v>
      </c>
      <c r="D3945" s="13" t="s">
        <v>1213</v>
      </c>
      <c r="E3945" s="13"/>
      <c r="F3945" s="364">
        <v>22</v>
      </c>
      <c r="G3945" s="424">
        <v>22</v>
      </c>
      <c r="H3945" s="14">
        <f t="shared" si="1481"/>
        <v>17.600000000000001</v>
      </c>
      <c r="I3945" s="568"/>
      <c r="J3945" s="549" t="s">
        <v>5804</v>
      </c>
      <c r="L3945" s="55" t="str">
        <f t="shared" si="1482"/>
        <v/>
      </c>
      <c r="M3945" s="37">
        <f t="shared" si="1483"/>
        <v>22</v>
      </c>
      <c r="N3945" s="38">
        <v>14</v>
      </c>
      <c r="O3945" t="s">
        <v>1017</v>
      </c>
      <c r="Q3945" s="38" t="s">
        <v>1017</v>
      </c>
    </row>
    <row r="3946" spans="1:17" x14ac:dyDescent="0.35">
      <c r="A3946" s="497" t="s">
        <v>5009</v>
      </c>
      <c r="B3946" s="13" t="s">
        <v>2034</v>
      </c>
      <c r="C3946" s="13" t="s">
        <v>1275</v>
      </c>
      <c r="D3946" s="13" t="s">
        <v>1214</v>
      </c>
      <c r="E3946" s="13"/>
      <c r="F3946" s="364">
        <v>25</v>
      </c>
      <c r="G3946" s="424">
        <v>25</v>
      </c>
      <c r="H3946" s="14">
        <f t="shared" si="1481"/>
        <v>20</v>
      </c>
      <c r="I3946" s="568"/>
      <c r="J3946" s="549" t="s">
        <v>5804</v>
      </c>
      <c r="L3946" s="55" t="str">
        <f t="shared" si="1482"/>
        <v/>
      </c>
      <c r="M3946" s="37">
        <f t="shared" si="1483"/>
        <v>25</v>
      </c>
      <c r="N3946" s="38">
        <v>14</v>
      </c>
      <c r="O3946" t="s">
        <v>1017</v>
      </c>
      <c r="P3946" t="s">
        <v>1017</v>
      </c>
      <c r="Q3946" s="38" t="s">
        <v>1017</v>
      </c>
    </row>
    <row r="3947" spans="1:17" ht="15" customHeight="1" x14ac:dyDescent="0.35">
      <c r="A3947" s="505" t="s">
        <v>2047</v>
      </c>
      <c r="B3947" s="23" t="s">
        <v>2034</v>
      </c>
      <c r="C3947" s="23" t="s">
        <v>1275</v>
      </c>
      <c r="D3947" s="23" t="s">
        <v>2048</v>
      </c>
      <c r="E3947" s="23"/>
      <c r="F3947" s="386">
        <v>12.95</v>
      </c>
      <c r="G3947" s="441">
        <v>12.95</v>
      </c>
      <c r="H3947" s="87">
        <f t="shared" si="1481"/>
        <v>10.36</v>
      </c>
      <c r="I3947" s="590"/>
      <c r="J3947" s="549" t="s">
        <v>5804</v>
      </c>
      <c r="L3947" s="55" t="str">
        <f t="shared" si="1482"/>
        <v/>
      </c>
      <c r="M3947" s="37">
        <f t="shared" si="1483"/>
        <v>12.95</v>
      </c>
      <c r="N3947" s="38">
        <v>8.9499999999999993</v>
      </c>
      <c r="O3947" t="s">
        <v>1017</v>
      </c>
      <c r="Q3947" s="38"/>
    </row>
    <row r="3948" spans="1:17" x14ac:dyDescent="0.35">
      <c r="A3948" s="505" t="s">
        <v>2049</v>
      </c>
      <c r="B3948" s="23" t="s">
        <v>2034</v>
      </c>
      <c r="C3948" s="23" t="s">
        <v>1275</v>
      </c>
      <c r="D3948" s="23" t="s">
        <v>7382</v>
      </c>
      <c r="E3948" s="23"/>
      <c r="F3948" s="386">
        <v>11.16</v>
      </c>
      <c r="G3948" s="441">
        <v>11.16</v>
      </c>
      <c r="H3948" s="87">
        <f t="shared" si="1481"/>
        <v>8.93</v>
      </c>
      <c r="I3948" s="590"/>
      <c r="J3948" s="549" t="s">
        <v>5804</v>
      </c>
      <c r="L3948" s="55" t="str">
        <f t="shared" si="1482"/>
        <v/>
      </c>
      <c r="M3948" s="37">
        <f t="shared" si="1483"/>
        <v>11.16</v>
      </c>
      <c r="N3948" s="38">
        <v>7.16</v>
      </c>
      <c r="O3948" t="s">
        <v>1017</v>
      </c>
      <c r="Q3948" s="38"/>
    </row>
    <row r="3949" spans="1:17" ht="15" customHeight="1" x14ac:dyDescent="0.35">
      <c r="A3949" s="496"/>
      <c r="B3949" s="1"/>
      <c r="C3949" s="1"/>
      <c r="D3949" s="1"/>
      <c r="E3949" s="1"/>
      <c r="F3949" s="362"/>
      <c r="G3949" s="425"/>
      <c r="H3949" s="10" t="str">
        <f t="shared" si="1481"/>
        <v/>
      </c>
      <c r="I3949" s="566"/>
      <c r="J3949" s="549" t="s">
        <v>4179</v>
      </c>
      <c r="N3949" s="38"/>
      <c r="Q3949" s="38"/>
    </row>
    <row r="3950" spans="1:17" x14ac:dyDescent="0.35">
      <c r="A3950" s="505" t="s">
        <v>2050</v>
      </c>
      <c r="B3950" s="23" t="s">
        <v>2034</v>
      </c>
      <c r="C3950" s="23" t="s">
        <v>1288</v>
      </c>
      <c r="D3950" s="23" t="s">
        <v>2044</v>
      </c>
      <c r="E3950" s="23"/>
      <c r="F3950" s="386">
        <v>19</v>
      </c>
      <c r="G3950" s="441">
        <v>19</v>
      </c>
      <c r="H3950" s="87">
        <f t="shared" si="1481"/>
        <v>15.2</v>
      </c>
      <c r="I3950" s="590"/>
      <c r="J3950" s="549" t="s">
        <v>5804</v>
      </c>
      <c r="L3950" s="55" t="str">
        <f t="shared" ref="L3950:L3959" si="1484">IF(F3950=M3950,"",FALSE)</f>
        <v/>
      </c>
      <c r="M3950" s="37">
        <f t="shared" ref="M3950:M3959" si="1485">N3950+SUMIF(O3950:Q3950,"x",O$3935:Q$3935)</f>
        <v>19</v>
      </c>
      <c r="N3950" s="38">
        <v>15</v>
      </c>
      <c r="O3950" t="s">
        <v>1017</v>
      </c>
      <c r="Q3950" s="38"/>
    </row>
    <row r="3951" spans="1:17" ht="14.25" customHeight="1" x14ac:dyDescent="0.35">
      <c r="A3951" s="497" t="s">
        <v>5010</v>
      </c>
      <c r="B3951" s="13" t="s">
        <v>2034</v>
      </c>
      <c r="C3951" s="13" t="s">
        <v>1288</v>
      </c>
      <c r="D3951" s="13" t="s">
        <v>5511</v>
      </c>
      <c r="E3951" s="13"/>
      <c r="F3951" s="364">
        <v>22</v>
      </c>
      <c r="G3951" s="424">
        <v>22</v>
      </c>
      <c r="H3951" s="14">
        <f t="shared" si="1481"/>
        <v>17.600000000000001</v>
      </c>
      <c r="I3951" s="568"/>
      <c r="J3951" s="549" t="s">
        <v>5804</v>
      </c>
      <c r="L3951" s="55" t="str">
        <f t="shared" si="1484"/>
        <v/>
      </c>
      <c r="M3951" s="37">
        <f t="shared" si="1485"/>
        <v>22</v>
      </c>
      <c r="N3951" s="38">
        <v>15</v>
      </c>
      <c r="O3951" t="s">
        <v>1017</v>
      </c>
      <c r="P3951" t="s">
        <v>1017</v>
      </c>
      <c r="Q3951" s="38"/>
    </row>
    <row r="3952" spans="1:17" x14ac:dyDescent="0.35">
      <c r="A3952" s="497" t="s">
        <v>5011</v>
      </c>
      <c r="B3952" s="13" t="s">
        <v>2034</v>
      </c>
      <c r="C3952" s="13" t="s">
        <v>1288</v>
      </c>
      <c r="D3952" s="13" t="s">
        <v>5512</v>
      </c>
      <c r="E3952" s="13"/>
      <c r="F3952" s="364">
        <v>23</v>
      </c>
      <c r="G3952" s="424">
        <v>23</v>
      </c>
      <c r="H3952" s="14">
        <f t="shared" si="1481"/>
        <v>18.399999999999999</v>
      </c>
      <c r="I3952" s="568"/>
      <c r="J3952" s="549" t="s">
        <v>5804</v>
      </c>
      <c r="L3952" s="55" t="str">
        <f t="shared" si="1484"/>
        <v/>
      </c>
      <c r="M3952" s="37">
        <f t="shared" si="1485"/>
        <v>23</v>
      </c>
      <c r="N3952" s="38">
        <v>15</v>
      </c>
      <c r="O3952" t="s">
        <v>1017</v>
      </c>
      <c r="Q3952" s="38" t="s">
        <v>1017</v>
      </c>
    </row>
    <row r="3953" spans="1:17" x14ac:dyDescent="0.35">
      <c r="A3953" s="497" t="s">
        <v>5012</v>
      </c>
      <c r="B3953" s="13" t="s">
        <v>2034</v>
      </c>
      <c r="C3953" s="13" t="s">
        <v>1288</v>
      </c>
      <c r="D3953" s="13" t="s">
        <v>5513</v>
      </c>
      <c r="E3953" s="13"/>
      <c r="F3953" s="364">
        <v>26</v>
      </c>
      <c r="G3953" s="424">
        <v>26</v>
      </c>
      <c r="H3953" s="14">
        <f t="shared" si="1481"/>
        <v>20.8</v>
      </c>
      <c r="I3953" s="568"/>
      <c r="J3953" s="549" t="s">
        <v>5804</v>
      </c>
      <c r="L3953" s="55" t="str">
        <f t="shared" si="1484"/>
        <v/>
      </c>
      <c r="M3953" s="37">
        <f t="shared" si="1485"/>
        <v>26</v>
      </c>
      <c r="N3953" s="38">
        <v>15</v>
      </c>
      <c r="O3953" t="s">
        <v>1017</v>
      </c>
      <c r="P3953" t="s">
        <v>1017</v>
      </c>
      <c r="Q3953" s="38" t="s">
        <v>1017</v>
      </c>
    </row>
    <row r="3954" spans="1:17" x14ac:dyDescent="0.35">
      <c r="A3954" s="505" t="s">
        <v>2051</v>
      </c>
      <c r="B3954" s="23" t="s">
        <v>2034</v>
      </c>
      <c r="C3954" s="23" t="s">
        <v>1288</v>
      </c>
      <c r="D3954" s="23" t="s">
        <v>2046</v>
      </c>
      <c r="E3954" s="23"/>
      <c r="F3954" s="386">
        <v>18</v>
      </c>
      <c r="G3954" s="441">
        <v>18</v>
      </c>
      <c r="H3954" s="87">
        <f t="shared" si="1481"/>
        <v>14.4</v>
      </c>
      <c r="I3954" s="590"/>
      <c r="J3954" s="549" t="s">
        <v>5804</v>
      </c>
      <c r="L3954" s="55" t="str">
        <f t="shared" si="1484"/>
        <v/>
      </c>
      <c r="M3954" s="37">
        <f t="shared" si="1485"/>
        <v>18</v>
      </c>
      <c r="N3954" s="38">
        <v>14</v>
      </c>
      <c r="O3954" t="s">
        <v>1017</v>
      </c>
      <c r="Q3954" s="38"/>
    </row>
    <row r="3955" spans="1:17" ht="15" customHeight="1" x14ac:dyDescent="0.35">
      <c r="A3955" s="497" t="s">
        <v>5013</v>
      </c>
      <c r="B3955" s="13" t="s">
        <v>2034</v>
      </c>
      <c r="C3955" s="13" t="s">
        <v>1288</v>
      </c>
      <c r="D3955" s="13" t="s">
        <v>1212</v>
      </c>
      <c r="E3955" s="13"/>
      <c r="F3955" s="364">
        <v>21</v>
      </c>
      <c r="G3955" s="424">
        <v>21</v>
      </c>
      <c r="H3955" s="14">
        <f t="shared" si="1481"/>
        <v>16.8</v>
      </c>
      <c r="I3955" s="568"/>
      <c r="J3955" s="549" t="s">
        <v>5804</v>
      </c>
      <c r="L3955" s="55" t="str">
        <f t="shared" si="1484"/>
        <v/>
      </c>
      <c r="M3955" s="37">
        <f t="shared" si="1485"/>
        <v>21</v>
      </c>
      <c r="N3955" s="38">
        <v>14</v>
      </c>
      <c r="O3955" t="s">
        <v>1017</v>
      </c>
      <c r="P3955" t="s">
        <v>1017</v>
      </c>
      <c r="Q3955" s="38"/>
    </row>
    <row r="3956" spans="1:17" x14ac:dyDescent="0.35">
      <c r="A3956" s="497" t="s">
        <v>5014</v>
      </c>
      <c r="B3956" s="13" t="s">
        <v>2034</v>
      </c>
      <c r="C3956" s="13" t="s">
        <v>1288</v>
      </c>
      <c r="D3956" s="13" t="s">
        <v>1213</v>
      </c>
      <c r="E3956" s="13"/>
      <c r="F3956" s="364">
        <v>22</v>
      </c>
      <c r="G3956" s="424">
        <v>22</v>
      </c>
      <c r="H3956" s="14">
        <f t="shared" si="1481"/>
        <v>17.600000000000001</v>
      </c>
      <c r="I3956" s="568"/>
      <c r="J3956" s="549" t="s">
        <v>5804</v>
      </c>
      <c r="L3956" s="55" t="str">
        <f t="shared" si="1484"/>
        <v/>
      </c>
      <c r="M3956" s="37">
        <f t="shared" si="1485"/>
        <v>22</v>
      </c>
      <c r="N3956" s="38">
        <v>14</v>
      </c>
      <c r="O3956" t="s">
        <v>1017</v>
      </c>
      <c r="Q3956" s="38" t="s">
        <v>1017</v>
      </c>
    </row>
    <row r="3957" spans="1:17" x14ac:dyDescent="0.35">
      <c r="A3957" s="497" t="s">
        <v>5015</v>
      </c>
      <c r="B3957" s="13" t="s">
        <v>2034</v>
      </c>
      <c r="C3957" s="13" t="s">
        <v>1288</v>
      </c>
      <c r="D3957" s="13" t="s">
        <v>1214</v>
      </c>
      <c r="E3957" s="13"/>
      <c r="F3957" s="364">
        <v>25</v>
      </c>
      <c r="G3957" s="424">
        <v>25</v>
      </c>
      <c r="H3957" s="14">
        <f t="shared" si="1481"/>
        <v>20</v>
      </c>
      <c r="I3957" s="568"/>
      <c r="J3957" s="549" t="s">
        <v>5804</v>
      </c>
      <c r="L3957" s="55" t="str">
        <f t="shared" si="1484"/>
        <v/>
      </c>
      <c r="M3957" s="37">
        <f t="shared" si="1485"/>
        <v>25</v>
      </c>
      <c r="N3957" s="38">
        <v>14</v>
      </c>
      <c r="O3957" t="s">
        <v>1017</v>
      </c>
      <c r="P3957" t="s">
        <v>1017</v>
      </c>
      <c r="Q3957" s="38" t="s">
        <v>1017</v>
      </c>
    </row>
    <row r="3958" spans="1:17" x14ac:dyDescent="0.35">
      <c r="A3958" s="505" t="s">
        <v>2052</v>
      </c>
      <c r="B3958" s="23" t="s">
        <v>2034</v>
      </c>
      <c r="C3958" s="23" t="s">
        <v>1288</v>
      </c>
      <c r="D3958" s="23" t="s">
        <v>2048</v>
      </c>
      <c r="E3958" s="23"/>
      <c r="F3958" s="386">
        <v>12.95</v>
      </c>
      <c r="G3958" s="441">
        <v>12.95</v>
      </c>
      <c r="H3958" s="87">
        <f t="shared" si="1481"/>
        <v>10.36</v>
      </c>
      <c r="I3958" s="590"/>
      <c r="J3958" s="549" t="s">
        <v>5804</v>
      </c>
      <c r="L3958" s="55" t="str">
        <f t="shared" si="1484"/>
        <v/>
      </c>
      <c r="M3958" s="37">
        <f t="shared" si="1485"/>
        <v>12.95</v>
      </c>
      <c r="N3958" s="38">
        <v>8.9499999999999993</v>
      </c>
      <c r="O3958" t="s">
        <v>1017</v>
      </c>
      <c r="Q3958" s="38"/>
    </row>
    <row r="3959" spans="1:17" x14ac:dyDescent="0.35">
      <c r="A3959" s="505" t="s">
        <v>2053</v>
      </c>
      <c r="B3959" s="23" t="s">
        <v>2034</v>
      </c>
      <c r="C3959" s="23" t="s">
        <v>1288</v>
      </c>
      <c r="D3959" s="23" t="s">
        <v>7382</v>
      </c>
      <c r="E3959" s="23"/>
      <c r="F3959" s="386">
        <v>11.16</v>
      </c>
      <c r="G3959" s="441">
        <v>11.16</v>
      </c>
      <c r="H3959" s="87">
        <f t="shared" si="1481"/>
        <v>8.93</v>
      </c>
      <c r="I3959" s="590"/>
      <c r="J3959" s="549" t="s">
        <v>5804</v>
      </c>
      <c r="L3959" s="55" t="str">
        <f t="shared" si="1484"/>
        <v/>
      </c>
      <c r="M3959" s="37">
        <f t="shared" si="1485"/>
        <v>11.16</v>
      </c>
      <c r="N3959" s="38">
        <v>7.16</v>
      </c>
      <c r="O3959" t="s">
        <v>1017</v>
      </c>
      <c r="Q3959" s="38"/>
    </row>
    <row r="3960" spans="1:17" x14ac:dyDescent="0.35">
      <c r="A3960" s="496"/>
      <c r="B3960" s="1"/>
      <c r="C3960" s="1"/>
      <c r="D3960" s="1"/>
      <c r="E3960" s="1"/>
      <c r="F3960" s="362"/>
      <c r="G3960" s="425"/>
      <c r="H3960" s="10" t="str">
        <f t="shared" si="1481"/>
        <v/>
      </c>
      <c r="I3960" s="566"/>
      <c r="J3960" s="549" t="s">
        <v>4179</v>
      </c>
      <c r="N3960" s="38"/>
      <c r="Q3960" s="38"/>
    </row>
    <row r="3961" spans="1:17" x14ac:dyDescent="0.35">
      <c r="A3961" s="505" t="s">
        <v>2054</v>
      </c>
      <c r="B3961" s="23" t="s">
        <v>2034</v>
      </c>
      <c r="C3961" s="23" t="s">
        <v>1296</v>
      </c>
      <c r="D3961" s="23" t="s">
        <v>2044</v>
      </c>
      <c r="E3961" s="23"/>
      <c r="F3961" s="386">
        <v>19</v>
      </c>
      <c r="G3961" s="441">
        <v>19</v>
      </c>
      <c r="H3961" s="87">
        <f t="shared" si="1481"/>
        <v>15.2</v>
      </c>
      <c r="I3961" s="590"/>
      <c r="J3961" s="549" t="s">
        <v>5804</v>
      </c>
      <c r="L3961" s="55" t="str">
        <f t="shared" ref="L3961:L3970" si="1486">IF(F3961=M3961,"",FALSE)</f>
        <v/>
      </c>
      <c r="M3961" s="37">
        <f t="shared" ref="M3961:M3970" si="1487">N3961+SUMIF(O3961:Q3961,"x",O$3935:Q$3935)</f>
        <v>19</v>
      </c>
      <c r="N3961" s="38">
        <v>15</v>
      </c>
      <c r="O3961" t="s">
        <v>1017</v>
      </c>
      <c r="Q3961" s="38"/>
    </row>
    <row r="3962" spans="1:17" ht="15" customHeight="1" x14ac:dyDescent="0.35">
      <c r="A3962" s="497" t="s">
        <v>5016</v>
      </c>
      <c r="B3962" s="13" t="s">
        <v>2034</v>
      </c>
      <c r="C3962" s="13" t="s">
        <v>1296</v>
      </c>
      <c r="D3962" s="13" t="s">
        <v>5511</v>
      </c>
      <c r="E3962" s="13"/>
      <c r="F3962" s="364">
        <v>22</v>
      </c>
      <c r="G3962" s="424">
        <v>22</v>
      </c>
      <c r="H3962" s="14">
        <f t="shared" si="1481"/>
        <v>17.600000000000001</v>
      </c>
      <c r="I3962" s="568"/>
      <c r="J3962" s="549" t="s">
        <v>5804</v>
      </c>
      <c r="L3962" s="55" t="str">
        <f t="shared" si="1486"/>
        <v/>
      </c>
      <c r="M3962" s="37">
        <f t="shared" si="1487"/>
        <v>22</v>
      </c>
      <c r="N3962" s="38">
        <v>15</v>
      </c>
      <c r="O3962" t="s">
        <v>1017</v>
      </c>
      <c r="P3962" t="s">
        <v>1017</v>
      </c>
      <c r="Q3962" s="38"/>
    </row>
    <row r="3963" spans="1:17" x14ac:dyDescent="0.35">
      <c r="A3963" s="497" t="s">
        <v>5017</v>
      </c>
      <c r="B3963" s="13" t="s">
        <v>2034</v>
      </c>
      <c r="C3963" s="13" t="s">
        <v>1296</v>
      </c>
      <c r="D3963" s="13" t="s">
        <v>5512</v>
      </c>
      <c r="E3963" s="13"/>
      <c r="F3963" s="364">
        <v>23</v>
      </c>
      <c r="G3963" s="424">
        <v>23</v>
      </c>
      <c r="H3963" s="14">
        <f t="shared" si="1481"/>
        <v>18.399999999999999</v>
      </c>
      <c r="I3963" s="568"/>
      <c r="J3963" s="549" t="s">
        <v>5804</v>
      </c>
      <c r="L3963" s="55" t="str">
        <f t="shared" si="1486"/>
        <v/>
      </c>
      <c r="M3963" s="37">
        <f t="shared" si="1487"/>
        <v>23</v>
      </c>
      <c r="N3963" s="38">
        <v>15</v>
      </c>
      <c r="O3963" t="s">
        <v>1017</v>
      </c>
      <c r="Q3963" s="38" t="s">
        <v>1017</v>
      </c>
    </row>
    <row r="3964" spans="1:17" x14ac:dyDescent="0.35">
      <c r="A3964" s="497" t="s">
        <v>5018</v>
      </c>
      <c r="B3964" s="13" t="s">
        <v>2034</v>
      </c>
      <c r="C3964" s="13" t="s">
        <v>1296</v>
      </c>
      <c r="D3964" s="13" t="s">
        <v>5513</v>
      </c>
      <c r="E3964" s="13"/>
      <c r="F3964" s="364">
        <v>26</v>
      </c>
      <c r="G3964" s="424">
        <v>26</v>
      </c>
      <c r="H3964" s="14">
        <f t="shared" si="1481"/>
        <v>20.8</v>
      </c>
      <c r="I3964" s="568"/>
      <c r="J3964" s="549" t="s">
        <v>5804</v>
      </c>
      <c r="L3964" s="55" t="str">
        <f t="shared" si="1486"/>
        <v/>
      </c>
      <c r="M3964" s="37">
        <f t="shared" si="1487"/>
        <v>26</v>
      </c>
      <c r="N3964" s="38">
        <v>15</v>
      </c>
      <c r="O3964" t="s">
        <v>1017</v>
      </c>
      <c r="P3964" t="s">
        <v>1017</v>
      </c>
      <c r="Q3964" s="38" t="s">
        <v>1017</v>
      </c>
    </row>
    <row r="3965" spans="1:17" ht="15" customHeight="1" x14ac:dyDescent="0.35">
      <c r="A3965" s="505" t="s">
        <v>2055</v>
      </c>
      <c r="B3965" s="23" t="s">
        <v>2034</v>
      </c>
      <c r="C3965" s="23" t="s">
        <v>1296</v>
      </c>
      <c r="D3965" s="23" t="s">
        <v>2046</v>
      </c>
      <c r="E3965" s="23"/>
      <c r="F3965" s="386">
        <v>18</v>
      </c>
      <c r="G3965" s="441">
        <v>18</v>
      </c>
      <c r="H3965" s="87">
        <f t="shared" si="1481"/>
        <v>14.4</v>
      </c>
      <c r="I3965" s="590"/>
      <c r="J3965" s="549" t="s">
        <v>5804</v>
      </c>
      <c r="L3965" s="55" t="str">
        <f t="shared" si="1486"/>
        <v/>
      </c>
      <c r="M3965" s="37">
        <f t="shared" si="1487"/>
        <v>18</v>
      </c>
      <c r="N3965" s="38">
        <v>14</v>
      </c>
      <c r="O3965" t="s">
        <v>1017</v>
      </c>
      <c r="Q3965" s="38"/>
    </row>
    <row r="3966" spans="1:17" x14ac:dyDescent="0.35">
      <c r="A3966" s="497" t="s">
        <v>5019</v>
      </c>
      <c r="B3966" s="13" t="s">
        <v>2034</v>
      </c>
      <c r="C3966" s="13" t="s">
        <v>1296</v>
      </c>
      <c r="D3966" s="13" t="s">
        <v>1212</v>
      </c>
      <c r="E3966" s="13"/>
      <c r="F3966" s="364">
        <v>21</v>
      </c>
      <c r="G3966" s="424">
        <v>21</v>
      </c>
      <c r="H3966" s="14">
        <f t="shared" si="1481"/>
        <v>16.8</v>
      </c>
      <c r="I3966" s="568"/>
      <c r="J3966" s="549" t="s">
        <v>5804</v>
      </c>
      <c r="L3966" s="55" t="str">
        <f t="shared" si="1486"/>
        <v/>
      </c>
      <c r="M3966" s="37">
        <f t="shared" si="1487"/>
        <v>21</v>
      </c>
      <c r="N3966" s="38">
        <v>14</v>
      </c>
      <c r="O3966" t="s">
        <v>1017</v>
      </c>
      <c r="P3966" t="s">
        <v>1017</v>
      </c>
      <c r="Q3966" s="38"/>
    </row>
    <row r="3967" spans="1:17" x14ac:dyDescent="0.35">
      <c r="A3967" s="497" t="s">
        <v>5020</v>
      </c>
      <c r="B3967" s="13" t="s">
        <v>2034</v>
      </c>
      <c r="C3967" s="13" t="s">
        <v>1296</v>
      </c>
      <c r="D3967" s="13" t="s">
        <v>1213</v>
      </c>
      <c r="E3967" s="13"/>
      <c r="F3967" s="364">
        <v>22</v>
      </c>
      <c r="G3967" s="424">
        <v>22</v>
      </c>
      <c r="H3967" s="14">
        <f t="shared" si="1481"/>
        <v>17.600000000000001</v>
      </c>
      <c r="I3967" s="568"/>
      <c r="J3967" s="549" t="s">
        <v>5804</v>
      </c>
      <c r="L3967" s="55" t="str">
        <f t="shared" si="1486"/>
        <v/>
      </c>
      <c r="M3967" s="37">
        <f t="shared" si="1487"/>
        <v>22</v>
      </c>
      <c r="N3967" s="38">
        <v>14</v>
      </c>
      <c r="O3967" t="s">
        <v>1017</v>
      </c>
      <c r="Q3967" s="38" t="s">
        <v>1017</v>
      </c>
    </row>
    <row r="3968" spans="1:17" x14ac:dyDescent="0.35">
      <c r="A3968" s="497" t="s">
        <v>5021</v>
      </c>
      <c r="B3968" s="13" t="s">
        <v>2034</v>
      </c>
      <c r="C3968" s="13" t="s">
        <v>1296</v>
      </c>
      <c r="D3968" s="13" t="s">
        <v>1214</v>
      </c>
      <c r="E3968" s="13"/>
      <c r="F3968" s="364">
        <v>25</v>
      </c>
      <c r="G3968" s="424">
        <v>25</v>
      </c>
      <c r="H3968" s="14">
        <f t="shared" ref="H3968:H3999" si="1488">IF(ISNUMBER(G3968),ROUND(0.8*G3968,2),"")</f>
        <v>20</v>
      </c>
      <c r="I3968" s="568"/>
      <c r="J3968" s="549" t="s">
        <v>5804</v>
      </c>
      <c r="L3968" s="55" t="str">
        <f t="shared" si="1486"/>
        <v/>
      </c>
      <c r="M3968" s="37">
        <f t="shared" si="1487"/>
        <v>25</v>
      </c>
      <c r="N3968" s="38">
        <v>14</v>
      </c>
      <c r="O3968" t="s">
        <v>1017</v>
      </c>
      <c r="P3968" t="s">
        <v>1017</v>
      </c>
      <c r="Q3968" s="38" t="s">
        <v>1017</v>
      </c>
    </row>
    <row r="3969" spans="1:17" x14ac:dyDescent="0.35">
      <c r="A3969" s="505" t="s">
        <v>2056</v>
      </c>
      <c r="B3969" s="23" t="s">
        <v>2034</v>
      </c>
      <c r="C3969" s="23" t="s">
        <v>1296</v>
      </c>
      <c r="D3969" s="23" t="s">
        <v>2048</v>
      </c>
      <c r="E3969" s="23"/>
      <c r="F3969" s="386">
        <v>12.95</v>
      </c>
      <c r="G3969" s="441">
        <v>12.95</v>
      </c>
      <c r="H3969" s="87">
        <f t="shared" si="1488"/>
        <v>10.36</v>
      </c>
      <c r="I3969" s="590"/>
      <c r="J3969" s="549" t="s">
        <v>5804</v>
      </c>
      <c r="L3969" s="55" t="str">
        <f t="shared" si="1486"/>
        <v/>
      </c>
      <c r="M3969" s="37">
        <f t="shared" si="1487"/>
        <v>12.95</v>
      </c>
      <c r="N3969" s="38">
        <v>8.9499999999999993</v>
      </c>
      <c r="O3969" t="s">
        <v>1017</v>
      </c>
      <c r="Q3969" s="38"/>
    </row>
    <row r="3970" spans="1:17" x14ac:dyDescent="0.35">
      <c r="A3970" s="505" t="s">
        <v>2057</v>
      </c>
      <c r="B3970" s="23" t="s">
        <v>2034</v>
      </c>
      <c r="C3970" s="23" t="s">
        <v>1296</v>
      </c>
      <c r="D3970" s="23" t="s">
        <v>7382</v>
      </c>
      <c r="E3970" s="23"/>
      <c r="F3970" s="386">
        <v>11.16</v>
      </c>
      <c r="G3970" s="441">
        <v>11.16</v>
      </c>
      <c r="H3970" s="87">
        <f t="shared" si="1488"/>
        <v>8.93</v>
      </c>
      <c r="I3970" s="590"/>
      <c r="J3970" s="549" t="s">
        <v>5804</v>
      </c>
      <c r="L3970" s="55" t="str">
        <f t="shared" si="1486"/>
        <v/>
      </c>
      <c r="M3970" s="37">
        <f t="shared" si="1487"/>
        <v>11.16</v>
      </c>
      <c r="N3970" s="38">
        <v>7.16</v>
      </c>
      <c r="O3970" t="s">
        <v>1017</v>
      </c>
      <c r="Q3970" s="38"/>
    </row>
    <row r="3971" spans="1:17" x14ac:dyDescent="0.35">
      <c r="A3971" s="496"/>
      <c r="B3971" s="1"/>
      <c r="C3971" s="1"/>
      <c r="D3971" s="1"/>
      <c r="E3971" s="1"/>
      <c r="F3971" s="362"/>
      <c r="G3971" s="425"/>
      <c r="H3971" s="10" t="str">
        <f t="shared" si="1488"/>
        <v/>
      </c>
      <c r="I3971" s="566"/>
      <c r="J3971" s="549" t="s">
        <v>4179</v>
      </c>
      <c r="N3971" s="38"/>
      <c r="Q3971" s="38"/>
    </row>
    <row r="3972" spans="1:17" ht="15" customHeight="1" x14ac:dyDescent="0.35">
      <c r="A3972" s="505" t="s">
        <v>2058</v>
      </c>
      <c r="B3972" s="23" t="s">
        <v>2034</v>
      </c>
      <c r="C3972" s="23" t="s">
        <v>1304</v>
      </c>
      <c r="D3972" s="23" t="s">
        <v>2044</v>
      </c>
      <c r="E3972" s="23"/>
      <c r="F3972" s="386">
        <v>19</v>
      </c>
      <c r="G3972" s="441">
        <v>19</v>
      </c>
      <c r="H3972" s="87">
        <f t="shared" si="1488"/>
        <v>15.2</v>
      </c>
      <c r="I3972" s="590"/>
      <c r="J3972" s="549" t="s">
        <v>5804</v>
      </c>
      <c r="L3972" s="55" t="str">
        <f t="shared" ref="L3972:L3981" si="1489">IF(F3972=M3972,"",FALSE)</f>
        <v/>
      </c>
      <c r="M3972" s="37">
        <f t="shared" ref="M3972:M3981" si="1490">N3972+SUMIF(O3972:Q3972,"x",O$3935:Q$3935)</f>
        <v>19</v>
      </c>
      <c r="N3972" s="38">
        <v>15</v>
      </c>
      <c r="O3972" t="s">
        <v>1017</v>
      </c>
      <c r="Q3972" s="38"/>
    </row>
    <row r="3973" spans="1:17" x14ac:dyDescent="0.35">
      <c r="A3973" s="497" t="s">
        <v>5022</v>
      </c>
      <c r="B3973" s="13" t="s">
        <v>2034</v>
      </c>
      <c r="C3973" s="13" t="s">
        <v>1304</v>
      </c>
      <c r="D3973" s="13" t="s">
        <v>5511</v>
      </c>
      <c r="E3973" s="13"/>
      <c r="F3973" s="364">
        <v>22</v>
      </c>
      <c r="G3973" s="424">
        <v>22</v>
      </c>
      <c r="H3973" s="14">
        <f t="shared" si="1488"/>
        <v>17.600000000000001</v>
      </c>
      <c r="I3973" s="568"/>
      <c r="J3973" s="549" t="s">
        <v>5804</v>
      </c>
      <c r="L3973" s="55" t="str">
        <f t="shared" si="1489"/>
        <v/>
      </c>
      <c r="M3973" s="37">
        <f t="shared" si="1490"/>
        <v>22</v>
      </c>
      <c r="N3973" s="38">
        <v>15</v>
      </c>
      <c r="O3973" t="s">
        <v>1017</v>
      </c>
      <c r="P3973" t="s">
        <v>1017</v>
      </c>
      <c r="Q3973" s="38"/>
    </row>
    <row r="3974" spans="1:17" x14ac:dyDescent="0.35">
      <c r="A3974" s="497" t="s">
        <v>5023</v>
      </c>
      <c r="B3974" s="13" t="s">
        <v>2034</v>
      </c>
      <c r="C3974" s="13" t="s">
        <v>1304</v>
      </c>
      <c r="D3974" s="13" t="s">
        <v>5512</v>
      </c>
      <c r="E3974" s="13"/>
      <c r="F3974" s="364">
        <v>23</v>
      </c>
      <c r="G3974" s="424">
        <v>23</v>
      </c>
      <c r="H3974" s="14">
        <f t="shared" si="1488"/>
        <v>18.399999999999999</v>
      </c>
      <c r="I3974" s="568"/>
      <c r="J3974" s="549" t="s">
        <v>5804</v>
      </c>
      <c r="L3974" s="55" t="str">
        <f t="shared" si="1489"/>
        <v/>
      </c>
      <c r="M3974" s="37">
        <f t="shared" si="1490"/>
        <v>23</v>
      </c>
      <c r="N3974" s="38">
        <v>15</v>
      </c>
      <c r="O3974" t="s">
        <v>1017</v>
      </c>
      <c r="Q3974" s="38" t="s">
        <v>1017</v>
      </c>
    </row>
    <row r="3975" spans="1:17" x14ac:dyDescent="0.35">
      <c r="A3975" s="497" t="s">
        <v>5024</v>
      </c>
      <c r="B3975" s="13" t="s">
        <v>2034</v>
      </c>
      <c r="C3975" s="13" t="s">
        <v>1304</v>
      </c>
      <c r="D3975" s="13" t="s">
        <v>5513</v>
      </c>
      <c r="E3975" s="13"/>
      <c r="F3975" s="364">
        <v>26</v>
      </c>
      <c r="G3975" s="424">
        <v>26</v>
      </c>
      <c r="H3975" s="14">
        <f t="shared" si="1488"/>
        <v>20.8</v>
      </c>
      <c r="I3975" s="568"/>
      <c r="J3975" s="549" t="s">
        <v>5804</v>
      </c>
      <c r="L3975" s="55" t="str">
        <f t="shared" si="1489"/>
        <v/>
      </c>
      <c r="M3975" s="37">
        <f t="shared" si="1490"/>
        <v>26</v>
      </c>
      <c r="N3975" s="38">
        <v>15</v>
      </c>
      <c r="O3975" t="s">
        <v>1017</v>
      </c>
      <c r="P3975" t="s">
        <v>1017</v>
      </c>
      <c r="Q3975" s="38" t="s">
        <v>1017</v>
      </c>
    </row>
    <row r="3976" spans="1:17" x14ac:dyDescent="0.35">
      <c r="A3976" s="505" t="s">
        <v>2059</v>
      </c>
      <c r="B3976" s="23" t="s">
        <v>2034</v>
      </c>
      <c r="C3976" s="23" t="s">
        <v>1304</v>
      </c>
      <c r="D3976" s="23" t="s">
        <v>2046</v>
      </c>
      <c r="E3976" s="23"/>
      <c r="F3976" s="386">
        <v>18</v>
      </c>
      <c r="G3976" s="441">
        <v>18</v>
      </c>
      <c r="H3976" s="87">
        <f t="shared" si="1488"/>
        <v>14.4</v>
      </c>
      <c r="I3976" s="590"/>
      <c r="J3976" s="549" t="s">
        <v>5804</v>
      </c>
      <c r="L3976" s="55" t="str">
        <f t="shared" si="1489"/>
        <v/>
      </c>
      <c r="M3976" s="37">
        <f t="shared" si="1490"/>
        <v>18</v>
      </c>
      <c r="N3976" s="38">
        <v>14</v>
      </c>
      <c r="O3976" t="s">
        <v>1017</v>
      </c>
      <c r="Q3976" s="38"/>
    </row>
    <row r="3977" spans="1:17" x14ac:dyDescent="0.35">
      <c r="A3977" s="497" t="s">
        <v>5025</v>
      </c>
      <c r="B3977" s="13" t="s">
        <v>2034</v>
      </c>
      <c r="C3977" s="13" t="s">
        <v>1304</v>
      </c>
      <c r="D3977" s="13" t="s">
        <v>1212</v>
      </c>
      <c r="E3977" s="13"/>
      <c r="F3977" s="364">
        <v>21</v>
      </c>
      <c r="G3977" s="424">
        <v>21</v>
      </c>
      <c r="H3977" s="14">
        <f t="shared" si="1488"/>
        <v>16.8</v>
      </c>
      <c r="I3977" s="568"/>
      <c r="J3977" s="549" t="s">
        <v>5804</v>
      </c>
      <c r="L3977" s="55" t="str">
        <f t="shared" si="1489"/>
        <v/>
      </c>
      <c r="M3977" s="37">
        <f t="shared" si="1490"/>
        <v>21</v>
      </c>
      <c r="N3977" s="38">
        <v>14</v>
      </c>
      <c r="O3977" t="s">
        <v>1017</v>
      </c>
      <c r="P3977" t="s">
        <v>1017</v>
      </c>
      <c r="Q3977" s="38"/>
    </row>
    <row r="3978" spans="1:17" x14ac:dyDescent="0.35">
      <c r="A3978" s="497" t="s">
        <v>5026</v>
      </c>
      <c r="B3978" s="13" t="s">
        <v>2034</v>
      </c>
      <c r="C3978" s="13" t="s">
        <v>1304</v>
      </c>
      <c r="D3978" s="13" t="s">
        <v>1213</v>
      </c>
      <c r="E3978" s="13"/>
      <c r="F3978" s="364">
        <v>22</v>
      </c>
      <c r="G3978" s="424">
        <v>22</v>
      </c>
      <c r="H3978" s="14">
        <f t="shared" si="1488"/>
        <v>17.600000000000001</v>
      </c>
      <c r="I3978" s="568"/>
      <c r="J3978" s="549" t="s">
        <v>5804</v>
      </c>
      <c r="L3978" s="55" t="str">
        <f t="shared" si="1489"/>
        <v/>
      </c>
      <c r="M3978" s="37">
        <f t="shared" si="1490"/>
        <v>22</v>
      </c>
      <c r="N3978" s="38">
        <v>14</v>
      </c>
      <c r="O3978" t="s">
        <v>1017</v>
      </c>
      <c r="Q3978" s="38" t="s">
        <v>1017</v>
      </c>
    </row>
    <row r="3979" spans="1:17" ht="14.25" customHeight="1" x14ac:dyDescent="0.35">
      <c r="A3979" s="497" t="s">
        <v>5027</v>
      </c>
      <c r="B3979" s="13" t="s">
        <v>2034</v>
      </c>
      <c r="C3979" s="13" t="s">
        <v>1304</v>
      </c>
      <c r="D3979" s="13" t="s">
        <v>1214</v>
      </c>
      <c r="E3979" s="13"/>
      <c r="F3979" s="364">
        <v>25</v>
      </c>
      <c r="G3979" s="424">
        <v>25</v>
      </c>
      <c r="H3979" s="14">
        <f t="shared" si="1488"/>
        <v>20</v>
      </c>
      <c r="I3979" s="568"/>
      <c r="J3979" s="549" t="s">
        <v>5804</v>
      </c>
      <c r="L3979" s="55" t="str">
        <f t="shared" si="1489"/>
        <v/>
      </c>
      <c r="M3979" s="37">
        <f t="shared" si="1490"/>
        <v>25</v>
      </c>
      <c r="N3979" s="38">
        <v>14</v>
      </c>
      <c r="O3979" t="s">
        <v>1017</v>
      </c>
      <c r="P3979" t="s">
        <v>1017</v>
      </c>
      <c r="Q3979" s="38" t="s">
        <v>1017</v>
      </c>
    </row>
    <row r="3980" spans="1:17" x14ac:dyDescent="0.35">
      <c r="A3980" s="505" t="s">
        <v>2060</v>
      </c>
      <c r="B3980" s="23" t="s">
        <v>2034</v>
      </c>
      <c r="C3980" s="23" t="s">
        <v>1304</v>
      </c>
      <c r="D3980" s="23" t="s">
        <v>2048</v>
      </c>
      <c r="E3980" s="23"/>
      <c r="F3980" s="386">
        <v>12.95</v>
      </c>
      <c r="G3980" s="441">
        <v>12.95</v>
      </c>
      <c r="H3980" s="87">
        <f t="shared" si="1488"/>
        <v>10.36</v>
      </c>
      <c r="I3980" s="590"/>
      <c r="J3980" s="549" t="s">
        <v>5804</v>
      </c>
      <c r="L3980" s="55" t="str">
        <f t="shared" si="1489"/>
        <v/>
      </c>
      <c r="M3980" s="37">
        <f t="shared" si="1490"/>
        <v>12.95</v>
      </c>
      <c r="N3980" s="38">
        <v>8.9499999999999993</v>
      </c>
      <c r="O3980" t="s">
        <v>1017</v>
      </c>
      <c r="Q3980" s="38"/>
    </row>
    <row r="3981" spans="1:17" x14ac:dyDescent="0.35">
      <c r="A3981" s="505" t="s">
        <v>2061</v>
      </c>
      <c r="B3981" s="23" t="s">
        <v>2034</v>
      </c>
      <c r="C3981" s="23" t="s">
        <v>1304</v>
      </c>
      <c r="D3981" s="23" t="s">
        <v>7382</v>
      </c>
      <c r="E3981" s="23"/>
      <c r="F3981" s="386">
        <v>11.16</v>
      </c>
      <c r="G3981" s="441">
        <v>11.16</v>
      </c>
      <c r="H3981" s="87">
        <f t="shared" si="1488"/>
        <v>8.93</v>
      </c>
      <c r="I3981" s="590"/>
      <c r="J3981" s="549" t="s">
        <v>5804</v>
      </c>
      <c r="L3981" s="55" t="str">
        <f t="shared" si="1489"/>
        <v/>
      </c>
      <c r="M3981" s="37">
        <f t="shared" si="1490"/>
        <v>11.16</v>
      </c>
      <c r="N3981" s="38">
        <v>7.16</v>
      </c>
      <c r="O3981" t="s">
        <v>1017</v>
      </c>
      <c r="Q3981" s="38"/>
    </row>
    <row r="3982" spans="1:17" x14ac:dyDescent="0.35">
      <c r="A3982" s="496"/>
      <c r="B3982" s="1"/>
      <c r="C3982" s="1"/>
      <c r="D3982" s="1"/>
      <c r="E3982" s="1"/>
      <c r="F3982" s="362"/>
      <c r="G3982" s="425"/>
      <c r="H3982" s="10" t="str">
        <f t="shared" si="1488"/>
        <v/>
      </c>
      <c r="I3982" s="566"/>
      <c r="J3982" s="549" t="s">
        <v>4179</v>
      </c>
      <c r="N3982" s="38"/>
      <c r="Q3982" s="38"/>
    </row>
    <row r="3983" spans="1:17" x14ac:dyDescent="0.35">
      <c r="A3983" s="505" t="s">
        <v>2062</v>
      </c>
      <c r="B3983" s="23" t="s">
        <v>2034</v>
      </c>
      <c r="C3983" s="23" t="s">
        <v>5539</v>
      </c>
      <c r="D3983" s="23" t="s">
        <v>2044</v>
      </c>
      <c r="E3983" s="23"/>
      <c r="F3983" s="386">
        <v>19</v>
      </c>
      <c r="G3983" s="441">
        <v>19</v>
      </c>
      <c r="H3983" s="87">
        <f t="shared" si="1488"/>
        <v>15.2</v>
      </c>
      <c r="I3983" s="590"/>
      <c r="J3983" s="549" t="s">
        <v>5804</v>
      </c>
      <c r="L3983" s="55" t="str">
        <f t="shared" ref="L3983:L3992" si="1491">IF(F3983=M3983,"",FALSE)</f>
        <v/>
      </c>
      <c r="M3983" s="37">
        <f t="shared" ref="M3983:M3992" si="1492">N3983+SUMIF(O3983:Q3983,"x",O$3935:Q$3935)</f>
        <v>19</v>
      </c>
      <c r="N3983" s="38">
        <v>15</v>
      </c>
      <c r="O3983" t="s">
        <v>1017</v>
      </c>
      <c r="Q3983" s="38"/>
    </row>
    <row r="3984" spans="1:17" x14ac:dyDescent="0.35">
      <c r="A3984" s="497" t="s">
        <v>1206</v>
      </c>
      <c r="B3984" s="13" t="s">
        <v>2034</v>
      </c>
      <c r="C3984" s="13" t="s">
        <v>5539</v>
      </c>
      <c r="D3984" s="13" t="s">
        <v>5511</v>
      </c>
      <c r="E3984" s="13"/>
      <c r="F3984" s="364">
        <v>22</v>
      </c>
      <c r="G3984" s="424">
        <v>22</v>
      </c>
      <c r="H3984" s="14">
        <f t="shared" si="1488"/>
        <v>17.600000000000001</v>
      </c>
      <c r="I3984" s="568"/>
      <c r="J3984" s="549" t="s">
        <v>5804</v>
      </c>
      <c r="L3984" s="55" t="str">
        <f t="shared" si="1491"/>
        <v/>
      </c>
      <c r="M3984" s="37">
        <f t="shared" si="1492"/>
        <v>22</v>
      </c>
      <c r="N3984" s="38">
        <v>15</v>
      </c>
      <c r="O3984" t="s">
        <v>1017</v>
      </c>
      <c r="P3984" t="s">
        <v>1017</v>
      </c>
      <c r="Q3984" s="38"/>
    </row>
    <row r="3985" spans="1:30" x14ac:dyDescent="0.35">
      <c r="A3985" s="497" t="s">
        <v>1207</v>
      </c>
      <c r="B3985" s="13" t="s">
        <v>2034</v>
      </c>
      <c r="C3985" s="13" t="s">
        <v>5539</v>
      </c>
      <c r="D3985" s="13" t="s">
        <v>5512</v>
      </c>
      <c r="E3985" s="13"/>
      <c r="F3985" s="364">
        <v>23</v>
      </c>
      <c r="G3985" s="424">
        <v>23</v>
      </c>
      <c r="H3985" s="14">
        <f t="shared" si="1488"/>
        <v>18.399999999999999</v>
      </c>
      <c r="I3985" s="568"/>
      <c r="J3985" s="549" t="s">
        <v>5804</v>
      </c>
      <c r="L3985" s="55" t="str">
        <f t="shared" si="1491"/>
        <v/>
      </c>
      <c r="M3985" s="37">
        <f t="shared" si="1492"/>
        <v>23</v>
      </c>
      <c r="N3985" s="38">
        <v>15</v>
      </c>
      <c r="O3985" t="s">
        <v>1017</v>
      </c>
      <c r="Q3985" s="38" t="s">
        <v>1017</v>
      </c>
    </row>
    <row r="3986" spans="1:30" x14ac:dyDescent="0.35">
      <c r="A3986" s="497" t="s">
        <v>1208</v>
      </c>
      <c r="B3986" s="13" t="s">
        <v>2034</v>
      </c>
      <c r="C3986" s="13" t="s">
        <v>5539</v>
      </c>
      <c r="D3986" s="13" t="s">
        <v>5513</v>
      </c>
      <c r="E3986" s="13"/>
      <c r="F3986" s="364">
        <v>26</v>
      </c>
      <c r="G3986" s="424">
        <v>26</v>
      </c>
      <c r="H3986" s="14">
        <f t="shared" si="1488"/>
        <v>20.8</v>
      </c>
      <c r="I3986" s="568"/>
      <c r="J3986" s="549" t="s">
        <v>5804</v>
      </c>
      <c r="L3986" s="55" t="str">
        <f t="shared" si="1491"/>
        <v/>
      </c>
      <c r="M3986" s="37">
        <f t="shared" si="1492"/>
        <v>26</v>
      </c>
      <c r="N3986" s="38">
        <v>15</v>
      </c>
      <c r="O3986" t="s">
        <v>1017</v>
      </c>
      <c r="P3986" t="s">
        <v>1017</v>
      </c>
      <c r="Q3986" s="38" t="s">
        <v>1017</v>
      </c>
    </row>
    <row r="3987" spans="1:30" x14ac:dyDescent="0.35">
      <c r="A3987" s="505" t="s">
        <v>2063</v>
      </c>
      <c r="B3987" s="23" t="s">
        <v>2034</v>
      </c>
      <c r="C3987" s="23" t="s">
        <v>5539</v>
      </c>
      <c r="D3987" s="23" t="s">
        <v>2046</v>
      </c>
      <c r="E3987" s="23"/>
      <c r="F3987" s="386">
        <v>18</v>
      </c>
      <c r="G3987" s="441">
        <v>18</v>
      </c>
      <c r="H3987" s="87">
        <f t="shared" si="1488"/>
        <v>14.4</v>
      </c>
      <c r="I3987" s="590"/>
      <c r="J3987" s="549" t="s">
        <v>5804</v>
      </c>
      <c r="L3987" s="55" t="str">
        <f t="shared" si="1491"/>
        <v/>
      </c>
      <c r="M3987" s="37">
        <f t="shared" si="1492"/>
        <v>18</v>
      </c>
      <c r="N3987" s="38">
        <v>14</v>
      </c>
      <c r="O3987" t="s">
        <v>1017</v>
      </c>
      <c r="Q3987" s="38"/>
    </row>
    <row r="3988" spans="1:30" x14ac:dyDescent="0.35">
      <c r="A3988" s="497" t="s">
        <v>1209</v>
      </c>
      <c r="B3988" s="13" t="s">
        <v>2034</v>
      </c>
      <c r="C3988" s="13" t="s">
        <v>5539</v>
      </c>
      <c r="D3988" s="13" t="s">
        <v>1212</v>
      </c>
      <c r="E3988" s="13"/>
      <c r="F3988" s="364">
        <v>21</v>
      </c>
      <c r="G3988" s="424">
        <v>21</v>
      </c>
      <c r="H3988" s="14">
        <f t="shared" si="1488"/>
        <v>16.8</v>
      </c>
      <c r="I3988" s="568"/>
      <c r="J3988" s="549" t="s">
        <v>5804</v>
      </c>
      <c r="L3988" s="55" t="str">
        <f t="shared" si="1491"/>
        <v/>
      </c>
      <c r="M3988" s="37">
        <f t="shared" si="1492"/>
        <v>21</v>
      </c>
      <c r="N3988" s="38">
        <v>14</v>
      </c>
      <c r="O3988" t="s">
        <v>1017</v>
      </c>
      <c r="P3988" t="s">
        <v>1017</v>
      </c>
      <c r="Q3988" s="38"/>
    </row>
    <row r="3989" spans="1:30" x14ac:dyDescent="0.35">
      <c r="A3989" s="497" t="s">
        <v>1210</v>
      </c>
      <c r="B3989" s="13" t="s">
        <v>2034</v>
      </c>
      <c r="C3989" s="13" t="s">
        <v>5539</v>
      </c>
      <c r="D3989" s="13" t="s">
        <v>1213</v>
      </c>
      <c r="E3989" s="13"/>
      <c r="F3989" s="364">
        <v>22</v>
      </c>
      <c r="G3989" s="424">
        <v>22</v>
      </c>
      <c r="H3989" s="14">
        <f t="shared" si="1488"/>
        <v>17.600000000000001</v>
      </c>
      <c r="I3989" s="568"/>
      <c r="J3989" s="549" t="s">
        <v>5804</v>
      </c>
      <c r="L3989" s="55" t="str">
        <f t="shared" si="1491"/>
        <v/>
      </c>
      <c r="M3989" s="37">
        <f t="shared" si="1492"/>
        <v>22</v>
      </c>
      <c r="N3989" s="38">
        <v>14</v>
      </c>
      <c r="O3989" t="s">
        <v>1017</v>
      </c>
      <c r="Q3989" s="38" t="s">
        <v>1017</v>
      </c>
    </row>
    <row r="3990" spans="1:30" x14ac:dyDescent="0.35">
      <c r="A3990" s="497" t="s">
        <v>1211</v>
      </c>
      <c r="B3990" s="13" t="s">
        <v>2034</v>
      </c>
      <c r="C3990" s="13" t="s">
        <v>5539</v>
      </c>
      <c r="D3990" s="13" t="s">
        <v>1214</v>
      </c>
      <c r="E3990" s="13"/>
      <c r="F3990" s="364">
        <v>25</v>
      </c>
      <c r="G3990" s="424">
        <v>25</v>
      </c>
      <c r="H3990" s="14">
        <f t="shared" si="1488"/>
        <v>20</v>
      </c>
      <c r="I3990" s="568"/>
      <c r="J3990" s="549" t="s">
        <v>5804</v>
      </c>
      <c r="L3990" s="55" t="str">
        <f t="shared" si="1491"/>
        <v/>
      </c>
      <c r="M3990" s="37">
        <f t="shared" si="1492"/>
        <v>25</v>
      </c>
      <c r="N3990" s="38">
        <v>14</v>
      </c>
      <c r="O3990" t="s">
        <v>1017</v>
      </c>
      <c r="P3990" t="s">
        <v>1017</v>
      </c>
      <c r="Q3990" s="38" t="s">
        <v>1017</v>
      </c>
    </row>
    <row r="3991" spans="1:30" x14ac:dyDescent="0.35">
      <c r="A3991" s="505" t="s">
        <v>2064</v>
      </c>
      <c r="B3991" s="23" t="s">
        <v>2034</v>
      </c>
      <c r="C3991" s="23" t="s">
        <v>5539</v>
      </c>
      <c r="D3991" s="23" t="s">
        <v>2048</v>
      </c>
      <c r="E3991" s="23"/>
      <c r="F3991" s="386">
        <v>12.95</v>
      </c>
      <c r="G3991" s="441">
        <v>12.95</v>
      </c>
      <c r="H3991" s="87">
        <f t="shared" si="1488"/>
        <v>10.36</v>
      </c>
      <c r="I3991" s="590"/>
      <c r="J3991" s="549" t="s">
        <v>5804</v>
      </c>
      <c r="L3991" s="55" t="str">
        <f t="shared" si="1491"/>
        <v/>
      </c>
      <c r="M3991" s="37">
        <f t="shared" si="1492"/>
        <v>12.95</v>
      </c>
      <c r="N3991" s="38">
        <v>8.9499999999999993</v>
      </c>
      <c r="O3991" t="s">
        <v>1017</v>
      </c>
      <c r="Q3991" s="38"/>
    </row>
    <row r="3992" spans="1:30" x14ac:dyDescent="0.35">
      <c r="A3992" s="505" t="s">
        <v>2065</v>
      </c>
      <c r="B3992" s="23" t="s">
        <v>2034</v>
      </c>
      <c r="C3992" s="23" t="s">
        <v>5539</v>
      </c>
      <c r="D3992" s="23" t="s">
        <v>7382</v>
      </c>
      <c r="E3992" s="23"/>
      <c r="F3992" s="386">
        <v>11.16</v>
      </c>
      <c r="G3992" s="441">
        <v>11.16</v>
      </c>
      <c r="H3992" s="87">
        <f t="shared" si="1488"/>
        <v>8.93</v>
      </c>
      <c r="I3992" s="590"/>
      <c r="J3992" s="549" t="s">
        <v>5804</v>
      </c>
      <c r="L3992" s="55" t="str">
        <f t="shared" si="1491"/>
        <v/>
      </c>
      <c r="M3992" s="37">
        <f t="shared" si="1492"/>
        <v>11.16</v>
      </c>
      <c r="N3992" s="38">
        <v>7.16</v>
      </c>
      <c r="O3992" t="s">
        <v>1017</v>
      </c>
      <c r="Q3992" s="38"/>
    </row>
    <row r="3993" spans="1:30" ht="15" customHeight="1" x14ac:dyDescent="0.35">
      <c r="A3993" s="496"/>
      <c r="B3993" s="1"/>
      <c r="C3993" s="1"/>
      <c r="D3993" s="1"/>
      <c r="E3993" s="1"/>
      <c r="F3993" s="362"/>
      <c r="G3993" s="425"/>
      <c r="H3993" s="10" t="str">
        <f t="shared" si="1488"/>
        <v/>
      </c>
      <c r="I3993" s="566"/>
      <c r="J3993" s="549" t="s">
        <v>4179</v>
      </c>
    </row>
    <row r="3994" spans="1:30" ht="15.5" x14ac:dyDescent="0.35">
      <c r="A3994" s="496"/>
      <c r="B3994" s="1"/>
      <c r="C3994" s="1"/>
      <c r="D3994" s="1"/>
      <c r="E3994" s="1"/>
      <c r="F3994" s="362"/>
      <c r="G3994" s="425"/>
      <c r="H3994" s="10" t="str">
        <f t="shared" si="1488"/>
        <v/>
      </c>
      <c r="I3994" s="566"/>
      <c r="J3994" s="549" t="s">
        <v>4179</v>
      </c>
      <c r="K3994" s="22"/>
      <c r="M3994" s="53" t="s">
        <v>5487</v>
      </c>
      <c r="N3994" s="27"/>
      <c r="O3994" s="22"/>
      <c r="P3994" s="22"/>
    </row>
    <row r="3995" spans="1:30" x14ac:dyDescent="0.35">
      <c r="A3995" s="496"/>
      <c r="B3995" s="1"/>
      <c r="C3995" s="18"/>
      <c r="D3995" s="18"/>
      <c r="E3995" s="1"/>
      <c r="F3995" s="362"/>
      <c r="G3995" s="425"/>
      <c r="H3995" s="10" t="str">
        <f t="shared" si="1488"/>
        <v/>
      </c>
      <c r="I3995" s="566"/>
      <c r="J3995" s="549" t="s">
        <v>4179</v>
      </c>
      <c r="K3995" s="22"/>
      <c r="L3995" s="22"/>
      <c r="M3995" s="22"/>
      <c r="N3995" s="85"/>
      <c r="O3995" s="86" t="s">
        <v>1205</v>
      </c>
      <c r="P3995" s="22"/>
      <c r="Q3995" s="38"/>
      <c r="S3995" s="22"/>
      <c r="AB3995" s="57"/>
    </row>
    <row r="3996" spans="1:30" ht="41.5" x14ac:dyDescent="0.35">
      <c r="A3996" s="496"/>
      <c r="B3996" s="1"/>
      <c r="C3996" s="18"/>
      <c r="D3996" s="18"/>
      <c r="E3996" s="1"/>
      <c r="F3996" s="362"/>
      <c r="G3996" s="425"/>
      <c r="H3996" s="10" t="str">
        <f t="shared" si="1488"/>
        <v/>
      </c>
      <c r="I3996" s="566"/>
      <c r="J3996" s="549" t="s">
        <v>4179</v>
      </c>
      <c r="K3996" s="22"/>
      <c r="L3996" s="22"/>
      <c r="M3996" s="36" t="s">
        <v>2913</v>
      </c>
      <c r="N3996" s="30" t="s">
        <v>5495</v>
      </c>
      <c r="O3996" s="32" t="s">
        <v>1200</v>
      </c>
      <c r="P3996" s="30" t="s">
        <v>5514</v>
      </c>
      <c r="Q3996" s="39" t="s">
        <v>1203</v>
      </c>
      <c r="R3996" s="95" t="s">
        <v>5489</v>
      </c>
      <c r="S3996" s="30"/>
      <c r="T3996" s="30"/>
      <c r="U3996" s="30"/>
      <c r="V3996" s="64"/>
      <c r="W3996" s="64"/>
      <c r="X3996" s="64"/>
      <c r="Y3996" s="64"/>
      <c r="Z3996" s="64"/>
      <c r="AA3996" s="64"/>
      <c r="AB3996" s="30"/>
      <c r="AC3996" s="30"/>
      <c r="AD3996" s="30"/>
    </row>
    <row r="3997" spans="1:30" ht="31.5" x14ac:dyDescent="0.35">
      <c r="A3997" s="496"/>
      <c r="B3997" s="1"/>
      <c r="C3997" s="18"/>
      <c r="D3997" s="18"/>
      <c r="E3997" s="1"/>
      <c r="F3997" s="362"/>
      <c r="G3997" s="425"/>
      <c r="H3997" s="10" t="str">
        <f t="shared" si="1488"/>
        <v/>
      </c>
      <c r="I3997" s="566"/>
      <c r="J3997" s="549" t="s">
        <v>4179</v>
      </c>
      <c r="K3997" s="22"/>
      <c r="L3997" s="22"/>
      <c r="M3997" s="34"/>
      <c r="N3997" s="30"/>
      <c r="O3997" s="32" t="s">
        <v>1201</v>
      </c>
      <c r="P3997" s="30" t="s">
        <v>1202</v>
      </c>
      <c r="Q3997" s="39" t="s">
        <v>1204</v>
      </c>
      <c r="R3997" s="293">
        <v>0.01</v>
      </c>
      <c r="S3997" s="30"/>
      <c r="T3997" s="30"/>
      <c r="U3997" s="30"/>
      <c r="V3997" s="30"/>
      <c r="W3997" s="30"/>
      <c r="X3997" s="30"/>
      <c r="Y3997" s="30"/>
      <c r="Z3997" s="30"/>
      <c r="AA3997" s="30"/>
      <c r="AB3997" s="30"/>
      <c r="AC3997" s="30"/>
      <c r="AD3997" s="30"/>
    </row>
    <row r="3998" spans="1:30" x14ac:dyDescent="0.35">
      <c r="A3998" s="496"/>
      <c r="B3998" s="1"/>
      <c r="C3998" s="1"/>
      <c r="D3998" s="1"/>
      <c r="E3998" s="1"/>
      <c r="F3998" s="362"/>
      <c r="G3998" s="425"/>
      <c r="H3998" s="10" t="str">
        <f t="shared" si="1488"/>
        <v/>
      </c>
      <c r="I3998" s="566"/>
      <c r="J3998" s="549" t="s">
        <v>4179</v>
      </c>
      <c r="L3998" s="56"/>
      <c r="M3998" s="35">
        <v>2009</v>
      </c>
      <c r="N3998" s="28"/>
      <c r="O3998" s="33">
        <v>4</v>
      </c>
      <c r="P3998" s="28">
        <v>3</v>
      </c>
      <c r="Q3998" s="40">
        <v>4</v>
      </c>
      <c r="R3998" s="29" t="str">
        <f>"Bonushöhe bei Inbetriebnahme in "&amp;M3998</f>
        <v>Bonushöhe bei Inbetriebnahme in 2009</v>
      </c>
      <c r="S3998" s="29"/>
      <c r="T3998" s="29"/>
      <c r="U3998" s="29"/>
      <c r="V3998" s="29"/>
      <c r="W3998" s="29"/>
      <c r="X3998" s="29"/>
      <c r="Y3998" s="29"/>
      <c r="Z3998" s="29"/>
      <c r="AA3998" s="29"/>
      <c r="AB3998" s="29"/>
      <c r="AC3998" s="29"/>
      <c r="AD3998" s="29"/>
    </row>
    <row r="3999" spans="1:30" x14ac:dyDescent="0.35">
      <c r="A3999" s="497" t="s">
        <v>4749</v>
      </c>
      <c r="B3999" s="13" t="s">
        <v>2034</v>
      </c>
      <c r="C3999" s="13" t="s">
        <v>5404</v>
      </c>
      <c r="D3999" s="13" t="s">
        <v>3722</v>
      </c>
      <c r="E3999" s="13"/>
      <c r="F3999" s="364">
        <f>M3999</f>
        <v>20</v>
      </c>
      <c r="G3999" s="424">
        <v>20</v>
      </c>
      <c r="H3999" s="14">
        <f t="shared" si="1488"/>
        <v>16</v>
      </c>
      <c r="I3999" s="568"/>
      <c r="J3999" s="549" t="s">
        <v>5804</v>
      </c>
      <c r="L3999" s="55" t="str">
        <f>IF(F3999=M3999,"",FALSE)</f>
        <v/>
      </c>
      <c r="M3999" s="37">
        <f>N3999+SUMIF(O3999:Q3999,"x",O$3998:Q$3998)</f>
        <v>20</v>
      </c>
      <c r="N3999" s="91">
        <v>16</v>
      </c>
      <c r="O3999" s="92" t="s">
        <v>1017</v>
      </c>
      <c r="P3999" s="92"/>
      <c r="Q3999" s="91"/>
    </row>
    <row r="4000" spans="1:30" x14ac:dyDescent="0.35">
      <c r="A4000" s="497" t="s">
        <v>4751</v>
      </c>
      <c r="B4000" s="13" t="s">
        <v>2034</v>
      </c>
      <c r="C4000" s="13" t="s">
        <v>5404</v>
      </c>
      <c r="D4000" s="13" t="s">
        <v>4746</v>
      </c>
      <c r="E4000" s="13"/>
      <c r="F4000" s="364">
        <f>M4000</f>
        <v>23</v>
      </c>
      <c r="G4000" s="424">
        <v>23</v>
      </c>
      <c r="H4000" s="14">
        <f t="shared" ref="H4000:H4031" si="1493">IF(ISNUMBER(G4000),ROUND(0.8*G4000,2),"")</f>
        <v>18.399999999999999</v>
      </c>
      <c r="I4000" s="568"/>
      <c r="J4000" s="549" t="s">
        <v>5804</v>
      </c>
      <c r="L4000" s="55" t="str">
        <f>IF(F4000=M4000,"",FALSE)</f>
        <v/>
      </c>
      <c r="M4000" s="37">
        <f>N4000+SUMIF(O4000:Q4000,"x",O$3998:Q$3998)</f>
        <v>23</v>
      </c>
      <c r="N4000" s="91">
        <v>16</v>
      </c>
      <c r="O4000" s="92" t="s">
        <v>1017</v>
      </c>
      <c r="P4000" s="92" t="s">
        <v>1017</v>
      </c>
      <c r="Q4000" s="91"/>
    </row>
    <row r="4001" spans="1:18" x14ac:dyDescent="0.35">
      <c r="A4001" s="497" t="s">
        <v>4752</v>
      </c>
      <c r="B4001" s="13" t="s">
        <v>2034</v>
      </c>
      <c r="C4001" s="13" t="s">
        <v>5404</v>
      </c>
      <c r="D4001" s="13" t="s">
        <v>4747</v>
      </c>
      <c r="E4001" s="13"/>
      <c r="F4001" s="364">
        <f>M4001</f>
        <v>24</v>
      </c>
      <c r="G4001" s="424">
        <v>24</v>
      </c>
      <c r="H4001" s="14">
        <f t="shared" si="1493"/>
        <v>19.2</v>
      </c>
      <c r="I4001" s="568"/>
      <c r="J4001" s="549" t="s">
        <v>5804</v>
      </c>
      <c r="L4001" s="55" t="str">
        <f>IF(F4001=M4001,"",FALSE)</f>
        <v/>
      </c>
      <c r="M4001" s="37">
        <f>N4001+SUMIF(O4001:Q4001,"x",O$3998:Q$3998)</f>
        <v>24</v>
      </c>
      <c r="N4001" s="91">
        <v>16</v>
      </c>
      <c r="O4001" s="92" t="s">
        <v>1017</v>
      </c>
      <c r="P4001" s="92"/>
      <c r="Q4001" s="91" t="s">
        <v>1017</v>
      </c>
    </row>
    <row r="4002" spans="1:18" x14ac:dyDescent="0.35">
      <c r="A4002" s="497" t="s">
        <v>4753</v>
      </c>
      <c r="B4002" s="13" t="s">
        <v>2034</v>
      </c>
      <c r="C4002" s="13" t="s">
        <v>5404</v>
      </c>
      <c r="D4002" s="13" t="s">
        <v>4748</v>
      </c>
      <c r="E4002" s="13"/>
      <c r="F4002" s="364">
        <f>M4002</f>
        <v>27</v>
      </c>
      <c r="G4002" s="424">
        <v>27</v>
      </c>
      <c r="H4002" s="14">
        <f t="shared" si="1493"/>
        <v>21.6</v>
      </c>
      <c r="I4002" s="568"/>
      <c r="J4002" s="549" t="s">
        <v>5804</v>
      </c>
      <c r="L4002" s="55" t="str">
        <f>IF(F4002=M4002,"",FALSE)</f>
        <v/>
      </c>
      <c r="M4002" s="37">
        <f>N4002+SUMIF(O4002:Q4002,"x",O$3998:Q$3998)</f>
        <v>27</v>
      </c>
      <c r="N4002" s="91">
        <v>16</v>
      </c>
      <c r="O4002" s="92" t="s">
        <v>1017</v>
      </c>
      <c r="P4002" s="92" t="s">
        <v>1017</v>
      </c>
      <c r="Q4002" s="91" t="s">
        <v>1017</v>
      </c>
    </row>
    <row r="4003" spans="1:18" x14ac:dyDescent="0.35">
      <c r="A4003" s="497" t="s">
        <v>4750</v>
      </c>
      <c r="B4003" s="13" t="s">
        <v>2034</v>
      </c>
      <c r="C4003" s="13" t="s">
        <v>5404</v>
      </c>
      <c r="D4003" s="13" t="s">
        <v>2257</v>
      </c>
      <c r="E4003" s="13"/>
      <c r="F4003" s="364">
        <f>M4003</f>
        <v>14.5</v>
      </c>
      <c r="G4003" s="424">
        <v>14.5</v>
      </c>
      <c r="H4003" s="14">
        <f t="shared" si="1493"/>
        <v>11.6</v>
      </c>
      <c r="I4003" s="568"/>
      <c r="J4003" s="549" t="s">
        <v>5804</v>
      </c>
      <c r="L4003" s="55" t="str">
        <f>IF(F4003=M4003,"",FALSE)</f>
        <v/>
      </c>
      <c r="M4003" s="45">
        <f>N4003+SUMIF(O4003:Q4003,"x",O$3998:Q$3998)</f>
        <v>14.5</v>
      </c>
      <c r="N4003" s="93">
        <v>10.5</v>
      </c>
      <c r="O4003" s="94" t="s">
        <v>1017</v>
      </c>
      <c r="P4003" s="94"/>
      <c r="Q4003" s="93"/>
    </row>
    <row r="4004" spans="1:18" x14ac:dyDescent="0.35">
      <c r="A4004" s="496"/>
      <c r="B4004" s="1"/>
      <c r="C4004" s="1"/>
      <c r="D4004" s="1"/>
      <c r="E4004" s="1"/>
      <c r="F4004" s="362"/>
      <c r="G4004" s="425"/>
      <c r="H4004" s="10" t="str">
        <f t="shared" si="1493"/>
        <v/>
      </c>
      <c r="I4004" s="566"/>
      <c r="J4004" s="549" t="s">
        <v>4179</v>
      </c>
      <c r="M4004" s="289">
        <v>2010</v>
      </c>
      <c r="N4004" s="289"/>
      <c r="O4004" s="284">
        <f>ROUND(O$3998*(1-$R$3997)^($M4004-$M$3998),2)</f>
        <v>3.96</v>
      </c>
      <c r="P4004" s="283">
        <f>ROUND(P$3998*(1-$R$3997)^($M4004-$M$3998),2)</f>
        <v>2.97</v>
      </c>
      <c r="Q4004" s="285">
        <f>ROUND(Q$3998*(1-$R$3997)^($M4004-$M$3998),2)</f>
        <v>3.96</v>
      </c>
      <c r="R4004" s="29" t="str">
        <f>"Bonushöhe bei Inbetriebnahme in "&amp;M4004</f>
        <v>Bonushöhe bei Inbetriebnahme in 2010</v>
      </c>
    </row>
    <row r="4005" spans="1:18" x14ac:dyDescent="0.35">
      <c r="A4005" s="497" t="s">
        <v>5482</v>
      </c>
      <c r="B4005" s="13" t="s">
        <v>2034</v>
      </c>
      <c r="C4005" s="13" t="s">
        <v>2385</v>
      </c>
      <c r="D4005" s="13" t="s">
        <v>3722</v>
      </c>
      <c r="E4005" s="13"/>
      <c r="F4005" s="364">
        <f>M4005</f>
        <v>19.8</v>
      </c>
      <c r="G4005" s="424">
        <v>19.8</v>
      </c>
      <c r="H4005" s="14">
        <f t="shared" si="1493"/>
        <v>15.84</v>
      </c>
      <c r="I4005" s="568"/>
      <c r="J4005" s="549" t="s">
        <v>5804</v>
      </c>
      <c r="L4005" s="55" t="str">
        <f>IF(F4005=M4005,"",FALSE)</f>
        <v/>
      </c>
      <c r="M4005" s="37">
        <f>N4005+SUMIF(O4005:Q4005,"x",O$4004:Q$4004)</f>
        <v>19.8</v>
      </c>
      <c r="N4005" s="73">
        <f>ROUND(N3999*(1-$R$3997)^($M$4004-$M$3998),2)</f>
        <v>15.84</v>
      </c>
      <c r="O4005" t="s">
        <v>1017</v>
      </c>
      <c r="Q4005" s="38"/>
    </row>
    <row r="4006" spans="1:18" x14ac:dyDescent="0.35">
      <c r="A4006" s="497" t="s">
        <v>5483</v>
      </c>
      <c r="B4006" s="13" t="s">
        <v>2034</v>
      </c>
      <c r="C4006" s="13" t="s">
        <v>2385</v>
      </c>
      <c r="D4006" s="13" t="s">
        <v>4746</v>
      </c>
      <c r="E4006" s="13"/>
      <c r="F4006" s="364">
        <f>M4006</f>
        <v>22.77</v>
      </c>
      <c r="G4006" s="424">
        <v>22.77</v>
      </c>
      <c r="H4006" s="14">
        <f t="shared" si="1493"/>
        <v>18.22</v>
      </c>
      <c r="I4006" s="568"/>
      <c r="J4006" s="549" t="s">
        <v>5804</v>
      </c>
      <c r="L4006" s="55" t="str">
        <f>IF(F4006=M4006,"",FALSE)</f>
        <v/>
      </c>
      <c r="M4006" s="37">
        <f>N4006+SUMIF(O4006:Q4006,"x",O$4004:Q$4004)</f>
        <v>22.77</v>
      </c>
      <c r="N4006" s="73">
        <f>ROUND(N4000*(1-$R$3997)^($M$4004-$M$3998),2)</f>
        <v>15.84</v>
      </c>
      <c r="O4006" t="s">
        <v>1017</v>
      </c>
      <c r="P4006" t="s">
        <v>1017</v>
      </c>
      <c r="Q4006" s="38"/>
    </row>
    <row r="4007" spans="1:18" ht="15" customHeight="1" x14ac:dyDescent="0.35">
      <c r="A4007" s="497" t="s">
        <v>5484</v>
      </c>
      <c r="B4007" s="13" t="s">
        <v>2034</v>
      </c>
      <c r="C4007" s="13" t="s">
        <v>2385</v>
      </c>
      <c r="D4007" s="13" t="s">
        <v>4747</v>
      </c>
      <c r="E4007" s="13"/>
      <c r="F4007" s="364">
        <f>M4007</f>
        <v>23.759999999999998</v>
      </c>
      <c r="G4007" s="424">
        <v>23.759999999999998</v>
      </c>
      <c r="H4007" s="14">
        <f t="shared" si="1493"/>
        <v>19.010000000000002</v>
      </c>
      <c r="I4007" s="568"/>
      <c r="J4007" s="549" t="s">
        <v>5804</v>
      </c>
      <c r="L4007" s="55" t="str">
        <f>IF(F4007=M4007,"",FALSE)</f>
        <v/>
      </c>
      <c r="M4007" s="37">
        <f>N4007+SUMIF(O4007:Q4007,"x",O$4004:Q$4004)</f>
        <v>23.759999999999998</v>
      </c>
      <c r="N4007" s="73">
        <f>ROUND(N4001*(1-$R$3997)^($M$4004-$M$3998),2)</f>
        <v>15.84</v>
      </c>
      <c r="O4007" t="s">
        <v>1017</v>
      </c>
      <c r="Q4007" s="38" t="s">
        <v>1017</v>
      </c>
    </row>
    <row r="4008" spans="1:18" x14ac:dyDescent="0.35">
      <c r="A4008" s="497" t="s">
        <v>5485</v>
      </c>
      <c r="B4008" s="13" t="s">
        <v>2034</v>
      </c>
      <c r="C4008" s="13" t="s">
        <v>2385</v>
      </c>
      <c r="D4008" s="13" t="s">
        <v>4748</v>
      </c>
      <c r="E4008" s="13"/>
      <c r="F4008" s="364">
        <f>M4008</f>
        <v>26.73</v>
      </c>
      <c r="G4008" s="424">
        <v>26.73</v>
      </c>
      <c r="H4008" s="14">
        <f t="shared" si="1493"/>
        <v>21.38</v>
      </c>
      <c r="I4008" s="568"/>
      <c r="J4008" s="549" t="s">
        <v>5804</v>
      </c>
      <c r="L4008" s="55" t="str">
        <f>IF(F4008=M4008,"",FALSE)</f>
        <v/>
      </c>
      <c r="M4008" s="37">
        <f>N4008+SUMIF(O4008:Q4008,"x",O$4004:Q$4004)</f>
        <v>26.73</v>
      </c>
      <c r="N4008" s="73">
        <f>ROUND(N4002*(1-$R$3997)^($M$4004-$M$3998),2)</f>
        <v>15.84</v>
      </c>
      <c r="O4008" t="s">
        <v>1017</v>
      </c>
      <c r="P4008" t="s">
        <v>1017</v>
      </c>
      <c r="Q4008" s="38" t="s">
        <v>1017</v>
      </c>
    </row>
    <row r="4009" spans="1:18" x14ac:dyDescent="0.35">
      <c r="A4009" s="497" t="s">
        <v>5486</v>
      </c>
      <c r="B4009" s="13" t="s">
        <v>2034</v>
      </c>
      <c r="C4009" s="13" t="s">
        <v>2385</v>
      </c>
      <c r="D4009" s="13" t="s">
        <v>2257</v>
      </c>
      <c r="E4009" s="13"/>
      <c r="F4009" s="364">
        <f>M4009</f>
        <v>14.36</v>
      </c>
      <c r="G4009" s="424">
        <v>14.36</v>
      </c>
      <c r="H4009" s="14">
        <f t="shared" si="1493"/>
        <v>11.49</v>
      </c>
      <c r="I4009" s="568"/>
      <c r="J4009" s="549" t="s">
        <v>5804</v>
      </c>
      <c r="L4009" s="55" t="str">
        <f>IF(F4009=M4009,"",FALSE)</f>
        <v/>
      </c>
      <c r="M4009" s="45">
        <f>N4009+SUMIF(O4009:Q4009,"x",O$4004:Q$4004)</f>
        <v>14.36</v>
      </c>
      <c r="N4009" s="73">
        <f>ROUND(N4003*(1-$R$3997)^($M$4004-$M$3998),2)</f>
        <v>10.4</v>
      </c>
      <c r="O4009" s="35" t="s">
        <v>1017</v>
      </c>
      <c r="P4009" s="35"/>
      <c r="Q4009" s="90"/>
    </row>
    <row r="4010" spans="1:18" x14ac:dyDescent="0.35">
      <c r="A4010" s="496"/>
      <c r="B4010" s="1"/>
      <c r="C4010" s="1"/>
      <c r="D4010" s="1"/>
      <c r="E4010" s="1"/>
      <c r="F4010" s="362"/>
      <c r="G4010" s="425"/>
      <c r="H4010" s="10" t="str">
        <f t="shared" si="1493"/>
        <v/>
      </c>
      <c r="I4010" s="566"/>
      <c r="J4010" s="549" t="s">
        <v>4179</v>
      </c>
      <c r="L4010" s="55"/>
      <c r="M4010" s="289">
        <v>2011</v>
      </c>
      <c r="N4010" s="296"/>
      <c r="O4010" s="284">
        <f>ROUND(O$3998*(1-$R$3997)^($M4010-$M$3998),2)</f>
        <v>3.92</v>
      </c>
      <c r="P4010" s="283">
        <f>ROUND(P$3998*(1-$R$3997)^($M4010-$M$3998),2)</f>
        <v>2.94</v>
      </c>
      <c r="Q4010" s="285">
        <f>ROUND(Q$3998*(1-$R$3997)^($M4010-$M$3998),2)</f>
        <v>3.92</v>
      </c>
      <c r="R4010" s="29" t="str">
        <f>"Bonushöhe bei Inbetriebnahme in "&amp;M4010</f>
        <v>Bonushöhe bei Inbetriebnahme in 2011</v>
      </c>
    </row>
    <row r="4011" spans="1:18" x14ac:dyDescent="0.35">
      <c r="A4011" s="497" t="str">
        <f>LEFT(A4005,12)&amp;($M$4010-2000)</f>
        <v>GeK280------11</v>
      </c>
      <c r="B4011" s="13" t="s">
        <v>2034</v>
      </c>
      <c r="C4011" s="13" t="str">
        <f>"Inbetriebnahme "&amp;$M$4010</f>
        <v>Inbetriebnahme 2011</v>
      </c>
      <c r="D4011" s="13" t="s">
        <v>3722</v>
      </c>
      <c r="E4011" s="13"/>
      <c r="F4011" s="364">
        <f>M4011</f>
        <v>19.600000000000001</v>
      </c>
      <c r="G4011" s="424">
        <v>19.600000000000001</v>
      </c>
      <c r="H4011" s="14">
        <f t="shared" si="1493"/>
        <v>15.68</v>
      </c>
      <c r="I4011" s="568"/>
      <c r="J4011" s="549" t="s">
        <v>5804</v>
      </c>
      <c r="L4011" s="55" t="str">
        <f>IF(F4011=M4011,"",FALSE)</f>
        <v/>
      </c>
      <c r="M4011" s="37">
        <f>N4011+SUMIF(O4011:Q4011,"x",$O$4010:$Q$4010)</f>
        <v>19.600000000000001</v>
      </c>
      <c r="N4011" s="73">
        <f>ROUND(N3999*(1-$R$3997)^($M$4010-$M$3998),2)</f>
        <v>15.68</v>
      </c>
      <c r="O4011" t="s">
        <v>1017</v>
      </c>
      <c r="Q4011" s="38"/>
    </row>
    <row r="4012" spans="1:18" x14ac:dyDescent="0.35">
      <c r="A4012" s="497" t="str">
        <f>LEFT(A4006,12)&amp;($M$4010-2000)</f>
        <v>GeK280W-----11</v>
      </c>
      <c r="B4012" s="13" t="s">
        <v>2034</v>
      </c>
      <c r="C4012" s="13" t="str">
        <f>"Inbetriebnahme "&amp;$M$4010</f>
        <v>Inbetriebnahme 2011</v>
      </c>
      <c r="D4012" s="13" t="s">
        <v>4746</v>
      </c>
      <c r="E4012" s="13"/>
      <c r="F4012" s="364">
        <f>M4012</f>
        <v>22.54</v>
      </c>
      <c r="G4012" s="424">
        <v>22.54</v>
      </c>
      <c r="H4012" s="14">
        <f t="shared" si="1493"/>
        <v>18.03</v>
      </c>
      <c r="I4012" s="568"/>
      <c r="J4012" s="549" t="s">
        <v>5804</v>
      </c>
      <c r="L4012" s="55" t="str">
        <f>IF(F4012=M4012,"",FALSE)</f>
        <v/>
      </c>
      <c r="M4012" s="37">
        <f>N4012+SUMIF(O4012:Q4012,"x",$O$4010:$Q$4010)</f>
        <v>22.54</v>
      </c>
      <c r="N4012" s="73">
        <f>ROUND(N4000*(1-$R$3997)^($M$4010-$M$3998),2)</f>
        <v>15.68</v>
      </c>
      <c r="O4012" t="s">
        <v>1017</v>
      </c>
      <c r="P4012" t="s">
        <v>1017</v>
      </c>
      <c r="Q4012" s="38"/>
    </row>
    <row r="4013" spans="1:18" x14ac:dyDescent="0.35">
      <c r="A4013" s="497" t="str">
        <f>LEFT(A4007,12)&amp;($M$4010-2000)</f>
        <v>GeK280P-----11</v>
      </c>
      <c r="B4013" s="13" t="s">
        <v>2034</v>
      </c>
      <c r="C4013" s="13" t="str">
        <f>"Inbetriebnahme "&amp;$M$4010</f>
        <v>Inbetriebnahme 2011</v>
      </c>
      <c r="D4013" s="13" t="s">
        <v>4747</v>
      </c>
      <c r="E4013" s="13"/>
      <c r="F4013" s="364">
        <f>M4013</f>
        <v>23.52</v>
      </c>
      <c r="G4013" s="424">
        <v>23.52</v>
      </c>
      <c r="H4013" s="14">
        <f t="shared" si="1493"/>
        <v>18.82</v>
      </c>
      <c r="I4013" s="568"/>
      <c r="J4013" s="549" t="s">
        <v>5804</v>
      </c>
      <c r="L4013" s="55" t="str">
        <f>IF(F4013=M4013,"",FALSE)</f>
        <v/>
      </c>
      <c r="M4013" s="37">
        <f>N4013+SUMIF(O4013:Q4013,"x",$O$4010:$Q$4010)</f>
        <v>23.52</v>
      </c>
      <c r="N4013" s="73">
        <f>ROUND(N4001*(1-$R$3997)^($M$4010-$M$3998),2)</f>
        <v>15.68</v>
      </c>
      <c r="O4013" t="s">
        <v>1017</v>
      </c>
      <c r="Q4013" s="38" t="s">
        <v>1017</v>
      </c>
    </row>
    <row r="4014" spans="1:18" x14ac:dyDescent="0.35">
      <c r="A4014" s="497" t="str">
        <f>LEFT(A4008,12)&amp;($M$4010-2000)</f>
        <v>GeK280WP----11</v>
      </c>
      <c r="B4014" s="13" t="s">
        <v>2034</v>
      </c>
      <c r="C4014" s="13" t="str">
        <f>"Inbetriebnahme "&amp;$M$4010</f>
        <v>Inbetriebnahme 2011</v>
      </c>
      <c r="D4014" s="13" t="s">
        <v>4748</v>
      </c>
      <c r="E4014" s="13"/>
      <c r="F4014" s="364">
        <f>M4014</f>
        <v>26.46</v>
      </c>
      <c r="G4014" s="424">
        <v>26.46</v>
      </c>
      <c r="H4014" s="14">
        <f t="shared" si="1493"/>
        <v>21.17</v>
      </c>
      <c r="I4014" s="568"/>
      <c r="J4014" s="549" t="s">
        <v>5804</v>
      </c>
      <c r="L4014" s="55" t="str">
        <f>IF(F4014=M4014,"",FALSE)</f>
        <v/>
      </c>
      <c r="M4014" s="37">
        <f>N4014+SUMIF(O4014:Q4014,"x",$O$4010:$Q$4010)</f>
        <v>26.46</v>
      </c>
      <c r="N4014" s="73">
        <f>ROUND(N4002*(1-$R$3997)^($M$4010-$M$3998),2)</f>
        <v>15.68</v>
      </c>
      <c r="O4014" t="s">
        <v>1017</v>
      </c>
      <c r="P4014" t="s">
        <v>1017</v>
      </c>
      <c r="Q4014" s="38" t="s">
        <v>1017</v>
      </c>
    </row>
    <row r="4015" spans="1:18" x14ac:dyDescent="0.35">
      <c r="A4015" s="497" t="str">
        <f>LEFT(A4009,12)&amp;($M$4010-2000)</f>
        <v>GeK281------11</v>
      </c>
      <c r="B4015" s="13" t="s">
        <v>2034</v>
      </c>
      <c r="C4015" s="13" t="str">
        <f>"Inbetriebnahme "&amp;$M$4010</f>
        <v>Inbetriebnahme 2011</v>
      </c>
      <c r="D4015" s="13" t="s">
        <v>2257</v>
      </c>
      <c r="E4015" s="13"/>
      <c r="F4015" s="364">
        <f>M4015</f>
        <v>14.209999999999999</v>
      </c>
      <c r="G4015" s="424">
        <v>14.209999999999999</v>
      </c>
      <c r="H4015" s="14">
        <f t="shared" si="1493"/>
        <v>11.37</v>
      </c>
      <c r="I4015" s="568"/>
      <c r="J4015" s="549" t="s">
        <v>5804</v>
      </c>
      <c r="L4015" s="55" t="str">
        <f>IF(F4015=M4015,"",FALSE)</f>
        <v/>
      </c>
      <c r="M4015" s="45">
        <f>N4015+SUMIF(O4015:Q4015,"x",$O$4010:$Q$4010)</f>
        <v>14.209999999999999</v>
      </c>
      <c r="N4015" s="40">
        <f>ROUND(N4003*(1-$R$3997)^($M$4010-$M$3998),2)</f>
        <v>10.29</v>
      </c>
      <c r="O4015" s="35" t="s">
        <v>1017</v>
      </c>
      <c r="P4015" s="35"/>
      <c r="Q4015" s="90"/>
    </row>
    <row r="4016" spans="1:18" ht="15" customHeight="1" x14ac:dyDescent="0.35">
      <c r="A4016" s="496"/>
      <c r="B4016" s="1"/>
      <c r="C4016" s="1"/>
      <c r="D4016" s="1"/>
      <c r="E4016" s="1"/>
      <c r="F4016" s="362"/>
      <c r="G4016" s="425"/>
      <c r="H4016" s="10" t="str">
        <f t="shared" si="1493"/>
        <v/>
      </c>
      <c r="I4016" s="566"/>
      <c r="J4016" s="549" t="s">
        <v>4179</v>
      </c>
    </row>
    <row r="4017" spans="1:30" ht="15.5" x14ac:dyDescent="0.35">
      <c r="A4017" s="496"/>
      <c r="B4017" s="1"/>
      <c r="C4017" s="1"/>
      <c r="D4017" s="1"/>
      <c r="E4017" s="1"/>
      <c r="F4017" s="362"/>
      <c r="G4017" s="425"/>
      <c r="H4017" s="10" t="str">
        <f t="shared" si="1493"/>
        <v/>
      </c>
      <c r="I4017" s="566"/>
      <c r="J4017" s="549" t="s">
        <v>4179</v>
      </c>
      <c r="K4017" s="22"/>
      <c r="M4017" s="53" t="s">
        <v>497</v>
      </c>
      <c r="N4017" s="27"/>
      <c r="O4017" s="22"/>
      <c r="P4017" s="22"/>
    </row>
    <row r="4018" spans="1:30" x14ac:dyDescent="0.35">
      <c r="A4018" s="496"/>
      <c r="B4018" s="1"/>
      <c r="C4018" s="18"/>
      <c r="D4018" s="18"/>
      <c r="E4018" s="1"/>
      <c r="F4018" s="362"/>
      <c r="G4018" s="425"/>
      <c r="H4018" s="10" t="str">
        <f t="shared" si="1493"/>
        <v/>
      </c>
      <c r="I4018" s="566"/>
      <c r="J4018" s="549" t="s">
        <v>4179</v>
      </c>
      <c r="K4018" s="22"/>
      <c r="L4018" s="22"/>
      <c r="M4018" s="22"/>
      <c r="N4018" s="85"/>
      <c r="O4018" s="86" t="s">
        <v>1205</v>
      </c>
      <c r="P4018" s="22"/>
      <c r="Q4018" s="38"/>
      <c r="S4018" s="22"/>
      <c r="AB4018" s="57"/>
    </row>
    <row r="4019" spans="1:30" ht="31.5" x14ac:dyDescent="0.35">
      <c r="A4019" s="496"/>
      <c r="B4019" s="1"/>
      <c r="C4019" s="18"/>
      <c r="D4019" s="18"/>
      <c r="E4019" s="1"/>
      <c r="F4019" s="362"/>
      <c r="G4019" s="425"/>
      <c r="H4019" s="10" t="str">
        <f t="shared" si="1493"/>
        <v/>
      </c>
      <c r="I4019" s="566"/>
      <c r="J4019" s="549" t="s">
        <v>4179</v>
      </c>
      <c r="K4019" s="22"/>
      <c r="L4019" s="22"/>
      <c r="M4019" s="36" t="s">
        <v>2913</v>
      </c>
      <c r="N4019" s="30" t="s">
        <v>498</v>
      </c>
      <c r="O4019" s="931" t="s">
        <v>1203</v>
      </c>
      <c r="P4019" s="932"/>
      <c r="Q4019" s="933"/>
      <c r="R4019" s="95" t="s">
        <v>5489</v>
      </c>
      <c r="S4019" s="30"/>
      <c r="T4019" s="30"/>
      <c r="U4019" s="30"/>
      <c r="V4019" s="64"/>
      <c r="W4019" s="64"/>
      <c r="X4019" s="64"/>
      <c r="Y4019" s="64"/>
      <c r="Z4019" s="64"/>
      <c r="AA4019" s="64"/>
      <c r="AB4019" s="30"/>
      <c r="AC4019" s="30"/>
      <c r="AD4019" s="30"/>
    </row>
    <row r="4020" spans="1:30" x14ac:dyDescent="0.35">
      <c r="A4020" s="496"/>
      <c r="B4020" s="1"/>
      <c r="C4020" s="18"/>
      <c r="D4020" s="18"/>
      <c r="E4020" s="1"/>
      <c r="F4020" s="362"/>
      <c r="G4020" s="425"/>
      <c r="H4020" s="10" t="str">
        <f t="shared" si="1493"/>
        <v/>
      </c>
      <c r="I4020" s="566"/>
      <c r="J4020" s="549" t="s">
        <v>4179</v>
      </c>
      <c r="K4020" s="22"/>
      <c r="L4020" s="22"/>
      <c r="M4020" s="34"/>
      <c r="N4020" s="39"/>
      <c r="O4020" s="925" t="s">
        <v>1204</v>
      </c>
      <c r="P4020" s="926"/>
      <c r="Q4020" s="927"/>
      <c r="R4020" s="96">
        <v>0</v>
      </c>
      <c r="S4020" s="29" t="s">
        <v>504</v>
      </c>
      <c r="T4020" s="30"/>
      <c r="U4020" s="30"/>
      <c r="V4020" s="30"/>
      <c r="W4020" s="30"/>
      <c r="X4020" s="30"/>
      <c r="Y4020" s="30"/>
      <c r="Z4020" s="30"/>
      <c r="AA4020" s="30"/>
      <c r="AB4020" s="30"/>
      <c r="AC4020" s="30"/>
      <c r="AD4020" s="30"/>
    </row>
    <row r="4021" spans="1:30" x14ac:dyDescent="0.35">
      <c r="A4021" s="496"/>
      <c r="B4021" s="1"/>
      <c r="C4021" s="1"/>
      <c r="D4021" s="1"/>
      <c r="E4021" s="1"/>
      <c r="F4021" s="362"/>
      <c r="G4021" s="425"/>
      <c r="H4021" s="10" t="str">
        <f t="shared" si="1493"/>
        <v/>
      </c>
      <c r="I4021" s="566"/>
      <c r="J4021" s="549" t="s">
        <v>4179</v>
      </c>
      <c r="L4021" s="56"/>
      <c r="M4021" s="35">
        <v>2012</v>
      </c>
      <c r="N4021" s="40"/>
      <c r="O4021" s="916">
        <v>5</v>
      </c>
      <c r="P4021" s="917"/>
      <c r="Q4021" s="918"/>
      <c r="R4021" s="29" t="str">
        <f>"Bonushöhe bei Inbetriebnahme in "&amp;M4021</f>
        <v>Bonushöhe bei Inbetriebnahme in 2012</v>
      </c>
      <c r="S4021" s="29"/>
      <c r="T4021" s="29"/>
      <c r="U4021" s="29"/>
      <c r="V4021" s="29"/>
      <c r="W4021" s="29"/>
      <c r="X4021" s="29"/>
      <c r="Y4021" s="29"/>
      <c r="Z4021" s="29"/>
      <c r="AA4021" s="29"/>
      <c r="AB4021" s="29"/>
      <c r="AC4021" s="29"/>
      <c r="AD4021" s="29"/>
    </row>
    <row r="4022" spans="1:30" x14ac:dyDescent="0.35">
      <c r="A4022" s="500" t="s">
        <v>499</v>
      </c>
      <c r="B4022" s="225" t="s">
        <v>2034</v>
      </c>
      <c r="C4022" s="225" t="s">
        <v>1984</v>
      </c>
      <c r="D4022" s="225" t="s">
        <v>6595</v>
      </c>
      <c r="E4022" s="225"/>
      <c r="F4022" s="366">
        <f>M4022</f>
        <v>25</v>
      </c>
      <c r="G4022" s="427">
        <v>25</v>
      </c>
      <c r="H4022" s="227">
        <f t="shared" si="1493"/>
        <v>20</v>
      </c>
      <c r="I4022" s="570"/>
      <c r="J4022" s="549" t="s">
        <v>5804</v>
      </c>
      <c r="L4022" s="55" t="str">
        <f>IF(F4022=M4022,"",FALSE)</f>
        <v/>
      </c>
      <c r="M4022" s="286">
        <f>ROUND(N4022,2)+SUMIF(O4022:Q4022,"x",O$4021:Q$4021)</f>
        <v>25</v>
      </c>
      <c r="N4022" s="73">
        <v>25</v>
      </c>
      <c r="O4022" s="899"/>
      <c r="P4022" s="900"/>
      <c r="Q4022" s="901"/>
    </row>
    <row r="4023" spans="1:30" x14ac:dyDescent="0.35">
      <c r="A4023" s="500" t="s">
        <v>501</v>
      </c>
      <c r="B4023" s="225" t="s">
        <v>2034</v>
      </c>
      <c r="C4023" s="225" t="s">
        <v>1984</v>
      </c>
      <c r="D4023" s="225" t="s">
        <v>500</v>
      </c>
      <c r="E4023" s="225"/>
      <c r="F4023" s="366">
        <f>M4023</f>
        <v>30</v>
      </c>
      <c r="G4023" s="427">
        <v>30</v>
      </c>
      <c r="H4023" s="227">
        <f t="shared" si="1493"/>
        <v>24</v>
      </c>
      <c r="I4023" s="570"/>
      <c r="J4023" s="549" t="s">
        <v>5804</v>
      </c>
      <c r="L4023" s="55" t="str">
        <f>IF(F4023=M4023,"",FALSE)</f>
        <v/>
      </c>
      <c r="M4023" s="45">
        <f>ROUND(N4023,2)+SUMIF(O4023:Q4023,"x",O$4021:Q$4021)</f>
        <v>30</v>
      </c>
      <c r="N4023" s="40">
        <v>25</v>
      </c>
      <c r="O4023" s="902" t="s">
        <v>1017</v>
      </c>
      <c r="P4023" s="903"/>
      <c r="Q4023" s="904"/>
    </row>
    <row r="4024" spans="1:30" x14ac:dyDescent="0.35">
      <c r="A4024" s="496"/>
      <c r="B4024" s="1"/>
      <c r="C4024" s="1"/>
      <c r="D4024" s="1"/>
      <c r="E4024" s="1"/>
      <c r="F4024" s="362"/>
      <c r="G4024" s="425"/>
      <c r="H4024" s="10" t="str">
        <f t="shared" si="1493"/>
        <v/>
      </c>
      <c r="I4024" s="566"/>
      <c r="J4024" s="549" t="s">
        <v>4179</v>
      </c>
      <c r="L4024" s="56"/>
      <c r="M4024" s="35">
        <v>2013</v>
      </c>
      <c r="N4024" s="40"/>
      <c r="O4024" s="916">
        <v>5</v>
      </c>
      <c r="P4024" s="917"/>
      <c r="Q4024" s="918"/>
      <c r="R4024" s="29" t="str">
        <f>"Bonushöhe bei Inbetriebnahme in "&amp;M4024</f>
        <v>Bonushöhe bei Inbetriebnahme in 2013</v>
      </c>
      <c r="S4024" s="29"/>
      <c r="T4024" s="29"/>
      <c r="U4024" s="29"/>
      <c r="V4024" s="29"/>
      <c r="W4024" s="29"/>
      <c r="X4024" s="29"/>
      <c r="Y4024" s="29"/>
      <c r="Z4024" s="29"/>
      <c r="AA4024" s="29"/>
      <c r="AB4024" s="29"/>
      <c r="AC4024" s="29"/>
      <c r="AD4024" s="29"/>
    </row>
    <row r="4025" spans="1:30" x14ac:dyDescent="0.35">
      <c r="A4025" s="502" t="s">
        <v>4701</v>
      </c>
      <c r="B4025" s="301" t="s">
        <v>2034</v>
      </c>
      <c r="C4025" s="301" t="s">
        <v>4675</v>
      </c>
      <c r="D4025" s="301" t="s">
        <v>6595</v>
      </c>
      <c r="E4025" s="301"/>
      <c r="F4025" s="368">
        <f>M4025</f>
        <v>25</v>
      </c>
      <c r="G4025" s="429">
        <v>25</v>
      </c>
      <c r="H4025" s="303">
        <f t="shared" si="1493"/>
        <v>20</v>
      </c>
      <c r="I4025" s="572"/>
      <c r="J4025" s="549" t="s">
        <v>5804</v>
      </c>
      <c r="L4025" s="55" t="str">
        <f>IF(F4025=M4025,"",FALSE)</f>
        <v/>
      </c>
      <c r="M4025" s="37">
        <f>ROUND(N4025,2)+SUMIF(O4025:Q4025,"x",O$4024:Q$4024)</f>
        <v>25</v>
      </c>
      <c r="N4025" s="73">
        <f>N4022*(1-$R$4020)</f>
        <v>25</v>
      </c>
      <c r="O4025" s="899"/>
      <c r="P4025" s="900"/>
      <c r="Q4025" s="901"/>
    </row>
    <row r="4026" spans="1:30" x14ac:dyDescent="0.35">
      <c r="A4026" s="502" t="s">
        <v>4702</v>
      </c>
      <c r="B4026" s="301" t="s">
        <v>2034</v>
      </c>
      <c r="C4026" s="301" t="s">
        <v>4675</v>
      </c>
      <c r="D4026" s="301" t="s">
        <v>500</v>
      </c>
      <c r="E4026" s="301"/>
      <c r="F4026" s="368">
        <f>M4026</f>
        <v>30</v>
      </c>
      <c r="G4026" s="429">
        <v>30</v>
      </c>
      <c r="H4026" s="303">
        <f t="shared" si="1493"/>
        <v>24</v>
      </c>
      <c r="I4026" s="572"/>
      <c r="J4026" s="549" t="s">
        <v>5804</v>
      </c>
      <c r="L4026" s="55" t="str">
        <f>IF(F4026=M4026,"",FALSE)</f>
        <v/>
      </c>
      <c r="M4026" s="45">
        <f>ROUND(N4026,2)+SUMIF(O4026:Q4026,"x",O$4024:Q$4024)</f>
        <v>30</v>
      </c>
      <c r="N4026" s="40">
        <f>N4023*(1-$R$4020)</f>
        <v>25</v>
      </c>
      <c r="O4026" s="902" t="s">
        <v>1017</v>
      </c>
      <c r="P4026" s="903"/>
      <c r="Q4026" s="904"/>
    </row>
    <row r="4027" spans="1:30" x14ac:dyDescent="0.35">
      <c r="A4027" s="496"/>
      <c r="B4027" s="1"/>
      <c r="C4027" s="1"/>
      <c r="D4027" s="1"/>
      <c r="E4027" s="1"/>
      <c r="F4027" s="362"/>
      <c r="G4027" s="425"/>
      <c r="H4027" s="10" t="str">
        <f t="shared" si="1493"/>
        <v/>
      </c>
      <c r="I4027" s="566"/>
      <c r="J4027" s="549" t="s">
        <v>4179</v>
      </c>
      <c r="L4027" s="327"/>
      <c r="M4027" s="35">
        <v>2014</v>
      </c>
      <c r="N4027" s="40"/>
      <c r="O4027" s="916">
        <v>5</v>
      </c>
      <c r="P4027" s="917"/>
      <c r="Q4027" s="918"/>
      <c r="R4027" s="29" t="str">
        <f>"Bonushöhe bei Inbetriebnahme in "&amp;M4027</f>
        <v>Bonushöhe bei Inbetriebnahme in 2014</v>
      </c>
      <c r="S4027" s="29"/>
      <c r="T4027" s="29"/>
      <c r="U4027" s="29"/>
      <c r="V4027" s="29"/>
      <c r="W4027" s="29"/>
      <c r="X4027" s="29"/>
      <c r="Y4027" s="29"/>
      <c r="Z4027" s="29"/>
      <c r="AA4027" s="29"/>
      <c r="AB4027" s="29"/>
      <c r="AC4027" s="29"/>
      <c r="AD4027" s="29"/>
    </row>
    <row r="4028" spans="1:30" x14ac:dyDescent="0.35">
      <c r="A4028" s="502" t="str">
        <f>"GeK280------"&amp;RIGHT($M$4027,2)</f>
        <v>GeK280------14</v>
      </c>
      <c r="B4028" s="301" t="s">
        <v>2034</v>
      </c>
      <c r="C4028" s="301" t="str">
        <f>"Inbetriebnahme "&amp;$M$4027</f>
        <v>Inbetriebnahme 2014</v>
      </c>
      <c r="D4028" s="301" t="s">
        <v>6595</v>
      </c>
      <c r="E4028" s="301"/>
      <c r="F4028" s="368">
        <f>M4028</f>
        <v>25</v>
      </c>
      <c r="G4028" s="429">
        <v>25</v>
      </c>
      <c r="H4028" s="303">
        <f t="shared" si="1493"/>
        <v>20</v>
      </c>
      <c r="I4028" s="572"/>
      <c r="J4028" s="549" t="s">
        <v>5804</v>
      </c>
      <c r="L4028" s="55" t="str">
        <f>IF(F4028=M4028,"",FALSE)</f>
        <v/>
      </c>
      <c r="M4028" s="315">
        <f>ROUND(N4028,2)+SUMIF(O4028:Q4028,"x",O$4017:Q$4017)</f>
        <v>25</v>
      </c>
      <c r="N4028" s="73">
        <f>N4025*(1-$R$4020)</f>
        <v>25</v>
      </c>
      <c r="O4028" s="899"/>
      <c r="P4028" s="900"/>
      <c r="Q4028" s="901"/>
    </row>
    <row r="4029" spans="1:30" x14ac:dyDescent="0.35">
      <c r="A4029" s="502" t="str">
        <f>"GeK280P-----"&amp;RIGHT($M$4027,2)</f>
        <v>GeK280P-----14</v>
      </c>
      <c r="B4029" s="301" t="s">
        <v>2034</v>
      </c>
      <c r="C4029" s="301" t="str">
        <f>"Inbetriebnahme "&amp;$M$4027</f>
        <v>Inbetriebnahme 2014</v>
      </c>
      <c r="D4029" s="301" t="s">
        <v>500</v>
      </c>
      <c r="E4029" s="301"/>
      <c r="F4029" s="368">
        <f>M4029</f>
        <v>30</v>
      </c>
      <c r="G4029" s="429">
        <v>30</v>
      </c>
      <c r="H4029" s="303">
        <f t="shared" si="1493"/>
        <v>24</v>
      </c>
      <c r="I4029" s="572"/>
      <c r="J4029" s="549" t="s">
        <v>5804</v>
      </c>
      <c r="L4029" s="55" t="str">
        <f>IF(F4029=M4029,"",FALSE)</f>
        <v/>
      </c>
      <c r="M4029" s="333">
        <f>ROUND(N4029,2)+SUMIF(O4029:Q4029,"x",O$4027:Q$4027)</f>
        <v>30</v>
      </c>
      <c r="N4029" s="40">
        <f>N4026*(1-$R$4020)</f>
        <v>25</v>
      </c>
      <c r="O4029" s="902" t="s">
        <v>1017</v>
      </c>
      <c r="P4029" s="903"/>
      <c r="Q4029" s="904"/>
    </row>
    <row r="4030" spans="1:30" x14ac:dyDescent="0.35">
      <c r="A4030" s="503"/>
      <c r="B4030" s="1"/>
      <c r="C4030" s="1"/>
      <c r="D4030" s="1"/>
      <c r="E4030" s="1"/>
      <c r="F4030" s="362"/>
      <c r="G4030" s="10"/>
      <c r="H4030" s="10" t="str">
        <f t="shared" si="1493"/>
        <v/>
      </c>
      <c r="I4030" s="566"/>
      <c r="J4030" s="549" t="s">
        <v>4179</v>
      </c>
      <c r="L4030" s="215"/>
      <c r="M4030" s="37"/>
      <c r="N4030" s="29"/>
      <c r="O4030" s="92"/>
      <c r="P4030" s="92"/>
      <c r="Q4030" s="92"/>
    </row>
    <row r="4031" spans="1:30" s="207" customFormat="1" ht="20.25" customHeight="1" x14ac:dyDescent="0.35">
      <c r="A4031" s="504"/>
      <c r="B4031" s="204"/>
      <c r="C4031" s="204"/>
      <c r="D4031" s="204"/>
      <c r="E4031" s="204"/>
      <c r="F4031" s="381"/>
      <c r="G4031" s="205"/>
      <c r="H4031" s="205" t="str">
        <f t="shared" si="1493"/>
        <v/>
      </c>
      <c r="I4031" s="583"/>
      <c r="J4031" s="549" t="s">
        <v>4179</v>
      </c>
      <c r="K4031" s="206"/>
      <c r="M4031" s="208" t="s">
        <v>93</v>
      </c>
      <c r="N4031" s="209"/>
      <c r="O4031" s="209"/>
    </row>
    <row r="4032" spans="1:30" x14ac:dyDescent="0.35">
      <c r="A4032" s="496"/>
      <c r="B4032" s="1"/>
      <c r="C4032" s="1"/>
      <c r="D4032" s="1"/>
      <c r="E4032" s="1"/>
      <c r="F4032" s="362"/>
      <c r="G4032" s="10"/>
      <c r="H4032" s="10" t="str">
        <f t="shared" ref="H4032:H4037" si="1494">IF(ISNUMBER(G4032),ROUND(0.8*G4032,2),"")</f>
        <v/>
      </c>
      <c r="I4032" s="566"/>
      <c r="J4032" s="549" t="s">
        <v>4179</v>
      </c>
      <c r="M4032" s="626"/>
      <c r="N4032" s="29" t="s">
        <v>5489</v>
      </c>
      <c r="O4032" s="626" t="s">
        <v>6466</v>
      </c>
      <c r="Q4032" s="626" t="s">
        <v>6467</v>
      </c>
    </row>
    <row r="4033" spans="1:17" x14ac:dyDescent="0.35">
      <c r="A4033" s="495" t="s">
        <v>94</v>
      </c>
      <c r="B4033" s="356" t="s">
        <v>2034</v>
      </c>
      <c r="C4033" s="356" t="s">
        <v>39</v>
      </c>
      <c r="D4033" s="356" t="s">
        <v>6595</v>
      </c>
      <c r="E4033" s="356"/>
      <c r="F4033" s="369">
        <f>Q4033</f>
        <v>25</v>
      </c>
      <c r="G4033" s="357">
        <f>O4033</f>
        <v>25.2</v>
      </c>
      <c r="H4033" s="357">
        <f t="shared" si="1494"/>
        <v>20.16</v>
      </c>
      <c r="I4033" s="573"/>
      <c r="J4033" s="549" t="s">
        <v>5804</v>
      </c>
      <c r="M4033" s="627">
        <v>2014</v>
      </c>
      <c r="N4033" s="322" t="s">
        <v>6468</v>
      </c>
      <c r="O4033" s="628">
        <v>25.2</v>
      </c>
      <c r="Q4033" s="628">
        <f>O4033-0.2</f>
        <v>25</v>
      </c>
    </row>
    <row r="4034" spans="1:17" x14ac:dyDescent="0.35">
      <c r="A4034" s="496"/>
      <c r="B4034" s="1"/>
      <c r="C4034" s="1"/>
      <c r="D4034" s="1"/>
      <c r="E4034" s="1"/>
      <c r="F4034" s="362"/>
      <c r="G4034" s="10"/>
      <c r="H4034" s="10" t="str">
        <f t="shared" si="1494"/>
        <v/>
      </c>
      <c r="I4034" s="566"/>
      <c r="J4034" s="549" t="s">
        <v>4179</v>
      </c>
      <c r="M4034" s="626"/>
      <c r="N4034" s="29"/>
      <c r="O4034" s="626" t="s">
        <v>6466</v>
      </c>
      <c r="Q4034" s="626" t="s">
        <v>6467</v>
      </c>
    </row>
    <row r="4035" spans="1:17" x14ac:dyDescent="0.35">
      <c r="A4035" s="495" t="s">
        <v>387</v>
      </c>
      <c r="B4035" s="356" t="s">
        <v>2034</v>
      </c>
      <c r="C4035" s="356" t="s">
        <v>380</v>
      </c>
      <c r="D4035" s="356" t="s">
        <v>6595</v>
      </c>
      <c r="E4035" s="356"/>
      <c r="F4035" s="369">
        <f>Q4035</f>
        <v>25</v>
      </c>
      <c r="G4035" s="357">
        <f>O4035</f>
        <v>25.2</v>
      </c>
      <c r="H4035" s="357">
        <f t="shared" si="1494"/>
        <v>20.16</v>
      </c>
      <c r="I4035" s="573"/>
      <c r="J4035" s="549" t="s">
        <v>5804</v>
      </c>
      <c r="M4035" s="627">
        <v>2015</v>
      </c>
      <c r="N4035" s="626" t="s">
        <v>384</v>
      </c>
      <c r="O4035" s="628">
        <v>25.2</v>
      </c>
      <c r="Q4035" s="628">
        <f>O4035-0.2</f>
        <v>25</v>
      </c>
    </row>
    <row r="4036" spans="1:17" x14ac:dyDescent="0.35">
      <c r="A4036" s="496"/>
      <c r="B4036" s="1"/>
      <c r="C4036" s="1"/>
      <c r="D4036" s="1"/>
      <c r="E4036" s="1"/>
      <c r="F4036" s="362"/>
      <c r="G4036" s="10"/>
      <c r="H4036" s="10" t="str">
        <f t="shared" si="1494"/>
        <v/>
      </c>
      <c r="I4036" s="566"/>
      <c r="J4036" s="549" t="s">
        <v>4179</v>
      </c>
      <c r="M4036" s="626"/>
      <c r="N4036" s="29"/>
      <c r="O4036" s="626" t="s">
        <v>6466</v>
      </c>
      <c r="Q4036" s="626" t="s">
        <v>6467</v>
      </c>
    </row>
    <row r="4037" spans="1:17" x14ac:dyDescent="0.35">
      <c r="A4037" s="495" t="s">
        <v>5675</v>
      </c>
      <c r="B4037" s="356" t="s">
        <v>2034</v>
      </c>
      <c r="C4037" s="356" t="s">
        <v>5647</v>
      </c>
      <c r="D4037" s="356" t="s">
        <v>6595</v>
      </c>
      <c r="E4037" s="356"/>
      <c r="F4037" s="369">
        <f>Q4037</f>
        <v>25</v>
      </c>
      <c r="G4037" s="357">
        <f>O4037</f>
        <v>25.2</v>
      </c>
      <c r="H4037" s="357">
        <f t="shared" si="1494"/>
        <v>20.16</v>
      </c>
      <c r="I4037" s="573"/>
      <c r="J4037" s="549" t="s">
        <v>5804</v>
      </c>
      <c r="M4037" s="627">
        <v>2016</v>
      </c>
      <c r="N4037" s="626" t="s">
        <v>384</v>
      </c>
      <c r="O4037" s="628">
        <v>25.2</v>
      </c>
      <c r="Q4037" s="628">
        <f>O4037-0.2</f>
        <v>25</v>
      </c>
    </row>
    <row r="4038" spans="1:17" x14ac:dyDescent="0.35">
      <c r="A4038" s="12"/>
      <c r="B4038" s="9"/>
      <c r="C4038" s="9"/>
      <c r="D4038" s="9"/>
      <c r="E4038" s="9"/>
      <c r="F4038" s="27"/>
      <c r="G4038" s="22"/>
      <c r="H4038" s="22"/>
      <c r="I4038" s="591"/>
      <c r="J4038" s="549" t="s">
        <v>4179</v>
      </c>
      <c r="M4038" s="626"/>
      <c r="N4038" s="322"/>
      <c r="O4038" s="626" t="s">
        <v>6466</v>
      </c>
      <c r="Q4038" s="626" t="s">
        <v>6469</v>
      </c>
    </row>
    <row r="4039" spans="1:17" x14ac:dyDescent="0.35">
      <c r="A4039" s="527" t="s">
        <v>5926</v>
      </c>
      <c r="B4039" s="526" t="s">
        <v>2034</v>
      </c>
      <c r="C4039" s="526" t="s">
        <v>5866</v>
      </c>
      <c r="D4039" s="526" t="s">
        <v>6595</v>
      </c>
      <c r="E4039" s="526"/>
      <c r="F4039" s="538">
        <f>Q4039</f>
        <v>25</v>
      </c>
      <c r="G4039" s="537">
        <f>O4039</f>
        <v>25.2</v>
      </c>
      <c r="H4039" s="537">
        <f>IF(ISNUMBER(G4039),ROUND(0.8*G4039,2),"")</f>
        <v>20.16</v>
      </c>
      <c r="I4039" s="574"/>
      <c r="J4039" s="549">
        <v>42705</v>
      </c>
      <c r="M4039" s="627">
        <v>2017</v>
      </c>
      <c r="N4039" s="626" t="s">
        <v>6470</v>
      </c>
      <c r="O4039" s="628">
        <v>25.2</v>
      </c>
      <c r="Q4039" s="628">
        <f>O4039-0.2</f>
        <v>25</v>
      </c>
    </row>
    <row r="4040" spans="1:17" x14ac:dyDescent="0.35">
      <c r="A4040" s="12"/>
      <c r="B4040" s="9"/>
      <c r="C4040" s="9"/>
      <c r="D4040" s="9"/>
      <c r="E4040" s="9"/>
      <c r="F4040" s="27"/>
      <c r="G4040" s="22"/>
      <c r="H4040" s="22"/>
      <c r="I4040" s="591"/>
      <c r="J4040" s="549" t="s">
        <v>4179</v>
      </c>
      <c r="M4040" s="626"/>
      <c r="N4040" s="322"/>
      <c r="O4040" s="626" t="s">
        <v>6466</v>
      </c>
      <c r="Q4040" s="626" t="s">
        <v>6469</v>
      </c>
    </row>
    <row r="4041" spans="1:17" x14ac:dyDescent="0.35">
      <c r="A4041" s="527" t="s">
        <v>6224</v>
      </c>
      <c r="B4041" s="526" t="s">
        <v>2034</v>
      </c>
      <c r="C4041" s="526" t="s">
        <v>6186</v>
      </c>
      <c r="D4041" s="526" t="s">
        <v>6595</v>
      </c>
      <c r="E4041" s="526"/>
      <c r="F4041" s="538">
        <f>Q4041</f>
        <v>25</v>
      </c>
      <c r="G4041" s="537">
        <f>O4041</f>
        <v>25.2</v>
      </c>
      <c r="H4041" s="537">
        <f>IF(ISNUMBER(G4041),ROUND(0.8*G4041,2),"")</f>
        <v>20.16</v>
      </c>
      <c r="I4041" s="574"/>
      <c r="J4041" s="549">
        <v>43077</v>
      </c>
      <c r="M4041" s="627">
        <v>2018</v>
      </c>
      <c r="N4041" s="626" t="s">
        <v>5927</v>
      </c>
      <c r="O4041" s="628">
        <v>25.2</v>
      </c>
      <c r="Q4041" s="628">
        <f>O4041-0.2</f>
        <v>25</v>
      </c>
    </row>
    <row r="4042" spans="1:17" x14ac:dyDescent="0.35">
      <c r="A4042" s="12"/>
      <c r="B4042" s="9"/>
      <c r="C4042" s="9"/>
      <c r="D4042" s="9"/>
      <c r="E4042" s="9"/>
      <c r="F4042" s="27"/>
      <c r="G4042" s="22"/>
      <c r="H4042" s="22"/>
      <c r="I4042" s="591"/>
      <c r="J4042" s="549" t="s">
        <v>4179</v>
      </c>
      <c r="M4042" s="626"/>
      <c r="N4042" s="322"/>
      <c r="O4042" s="626" t="s">
        <v>6466</v>
      </c>
      <c r="Q4042" s="626" t="s">
        <v>6469</v>
      </c>
    </row>
    <row r="4043" spans="1:17" x14ac:dyDescent="0.35">
      <c r="A4043" s="527" t="s">
        <v>6412</v>
      </c>
      <c r="B4043" s="526" t="s">
        <v>2034</v>
      </c>
      <c r="C4043" s="526" t="s">
        <v>6404</v>
      </c>
      <c r="D4043" s="526" t="s">
        <v>6595</v>
      </c>
      <c r="E4043" s="526"/>
      <c r="F4043" s="538">
        <f>Q4043</f>
        <v>25</v>
      </c>
      <c r="G4043" s="537">
        <f>O4043</f>
        <v>25.2</v>
      </c>
      <c r="H4043" s="537">
        <f>IF(ISNUMBER(G4043),ROUND(0.8*G4043,2),"")</f>
        <v>20.16</v>
      </c>
      <c r="I4043" s="574"/>
      <c r="J4043" s="549">
        <v>43419</v>
      </c>
      <c r="M4043" s="627">
        <v>2019</v>
      </c>
      <c r="N4043" s="626" t="s">
        <v>5927</v>
      </c>
      <c r="O4043" s="628">
        <v>25.2</v>
      </c>
      <c r="Q4043" s="628">
        <f>O4043-0.2</f>
        <v>25</v>
      </c>
    </row>
    <row r="4044" spans="1:17" x14ac:dyDescent="0.35">
      <c r="A4044" s="12"/>
      <c r="B4044" s="9"/>
      <c r="C4044" s="9"/>
      <c r="D4044" s="9"/>
      <c r="E4044" s="9"/>
      <c r="F4044" s="27"/>
      <c r="G4044" s="22"/>
      <c r="H4044" s="22"/>
      <c r="I4044" s="591"/>
      <c r="J4044" s="549" t="s">
        <v>4179</v>
      </c>
      <c r="M4044" s="626"/>
      <c r="N4044" s="322"/>
      <c r="O4044" s="626" t="s">
        <v>6466</v>
      </c>
      <c r="Q4044" s="626" t="s">
        <v>6469</v>
      </c>
    </row>
    <row r="4045" spans="1:17" x14ac:dyDescent="0.35">
      <c r="A4045" s="527" t="s">
        <v>6553</v>
      </c>
      <c r="B4045" s="526" t="s">
        <v>2034</v>
      </c>
      <c r="C4045" s="526" t="s">
        <v>6505</v>
      </c>
      <c r="D4045" s="526" t="s">
        <v>6595</v>
      </c>
      <c r="E4045" s="526"/>
      <c r="F4045" s="538">
        <f>Q4045</f>
        <v>25</v>
      </c>
      <c r="G4045" s="537">
        <f>O4045</f>
        <v>25.2</v>
      </c>
      <c r="H4045" s="537">
        <f>IF(ISNUMBER(G4045),ROUND(0.8*G4045,2),"")</f>
        <v>20.16</v>
      </c>
      <c r="I4045" s="574"/>
      <c r="J4045" s="549">
        <v>43796</v>
      </c>
      <c r="M4045" s="627">
        <v>2020</v>
      </c>
      <c r="N4045" s="626" t="s">
        <v>5927</v>
      </c>
      <c r="O4045" s="628">
        <v>25.2</v>
      </c>
      <c r="Q4045" s="628">
        <f>O4045-0.2</f>
        <v>25</v>
      </c>
    </row>
    <row r="4046" spans="1:17" x14ac:dyDescent="0.35">
      <c r="A4046" s="12"/>
      <c r="B4046" s="9"/>
      <c r="C4046" s="9"/>
      <c r="D4046" s="9"/>
      <c r="E4046" s="9"/>
      <c r="F4046" s="27"/>
      <c r="G4046" s="22"/>
      <c r="H4046" s="22"/>
      <c r="I4046" s="591"/>
      <c r="J4046" s="549" t="s">
        <v>4179</v>
      </c>
      <c r="M4046" s="626"/>
      <c r="N4046" s="322"/>
      <c r="O4046" s="626" t="s">
        <v>6466</v>
      </c>
      <c r="Q4046" s="626" t="s">
        <v>6469</v>
      </c>
    </row>
    <row r="4047" spans="1:17" x14ac:dyDescent="0.35">
      <c r="A4047" s="527" t="s">
        <v>6654</v>
      </c>
      <c r="B4047" s="526" t="s">
        <v>2034</v>
      </c>
      <c r="C4047" s="526" t="s">
        <v>6624</v>
      </c>
      <c r="D4047" s="526" t="s">
        <v>6595</v>
      </c>
      <c r="E4047" s="526"/>
      <c r="F4047" s="639">
        <f>Q4047</f>
        <v>25</v>
      </c>
      <c r="G4047" s="641">
        <f>O4047</f>
        <v>25.2</v>
      </c>
      <c r="H4047" s="641">
        <f>IF(ISNUMBER(G4047),ROUND(0.8*G4047,2),"")</f>
        <v>20.16</v>
      </c>
      <c r="I4047" s="574"/>
      <c r="J4047" s="549">
        <v>44196</v>
      </c>
      <c r="M4047" s="627">
        <v>2021</v>
      </c>
      <c r="N4047" s="626" t="s">
        <v>5927</v>
      </c>
      <c r="O4047" s="628">
        <v>25.2</v>
      </c>
      <c r="Q4047" s="628">
        <f>O4047-0.2</f>
        <v>25</v>
      </c>
    </row>
    <row r="4048" spans="1:17" x14ac:dyDescent="0.35">
      <c r="A4048" s="12"/>
      <c r="B4048" s="9"/>
      <c r="C4048" s="9"/>
      <c r="D4048" s="9"/>
      <c r="E4048" s="9"/>
      <c r="F4048" s="27"/>
      <c r="G4048" s="22"/>
      <c r="H4048" s="22"/>
      <c r="I4048" s="591"/>
      <c r="J4048" s="549" t="s">
        <v>4179</v>
      </c>
      <c r="M4048" s="626"/>
      <c r="N4048" s="322"/>
      <c r="O4048" s="626" t="s">
        <v>6466</v>
      </c>
      <c r="Q4048" s="626" t="s">
        <v>6469</v>
      </c>
    </row>
    <row r="4049" spans="1:17" x14ac:dyDescent="0.35">
      <c r="A4049" s="527" t="str">
        <f>LEFT(A4047,12)&amp;RIGHT(M4049,2)</f>
        <v>GeK450------22</v>
      </c>
      <c r="B4049" s="526" t="s">
        <v>2034</v>
      </c>
      <c r="C4049" s="526" t="str">
        <f>"Inbetriebnahme 20" &amp; RIGHT(M4049,2)</f>
        <v>Inbetriebnahme 2022</v>
      </c>
      <c r="D4049" s="526" t="s">
        <v>6595</v>
      </c>
      <c r="E4049" s="526"/>
      <c r="F4049" s="538">
        <f>Q4049</f>
        <v>25</v>
      </c>
      <c r="G4049" s="537">
        <f>O4049</f>
        <v>25.2</v>
      </c>
      <c r="H4049" s="537">
        <f>IF(ISNUMBER(G4049),ROUND(0.8*G4049,2),"")</f>
        <v>20.16</v>
      </c>
      <c r="I4049" s="574"/>
      <c r="J4049" s="549">
        <v>44536</v>
      </c>
      <c r="M4049" s="627">
        <v>2022</v>
      </c>
      <c r="N4049" s="626" t="s">
        <v>5927</v>
      </c>
      <c r="O4049" s="628">
        <v>25.2</v>
      </c>
      <c r="Q4049" s="628">
        <f>O4049-0.2</f>
        <v>25</v>
      </c>
    </row>
    <row r="4050" spans="1:17" x14ac:dyDescent="0.35">
      <c r="A4050" s="12"/>
      <c r="B4050" s="9"/>
      <c r="C4050" s="9"/>
      <c r="D4050" s="9"/>
      <c r="E4050" s="9"/>
      <c r="F4050" s="27"/>
      <c r="G4050" s="22"/>
      <c r="H4050" s="22"/>
      <c r="I4050" s="591"/>
      <c r="J4050" s="549" t="s">
        <v>4179</v>
      </c>
      <c r="M4050" s="626"/>
      <c r="N4050" s="322"/>
      <c r="O4050" s="626" t="s">
        <v>6466</v>
      </c>
      <c r="Q4050" s="626" t="s">
        <v>6469</v>
      </c>
    </row>
    <row r="4051" spans="1:17" x14ac:dyDescent="0.35">
      <c r="A4051" s="527" t="str">
        <f>LEFT(A4049,12)&amp;RIGHT(M4051,2)</f>
        <v>GeK450------23</v>
      </c>
      <c r="B4051" s="526" t="s">
        <v>2034</v>
      </c>
      <c r="C4051" s="526" t="str">
        <f>"Inbetriebnahme 20" &amp; RIGHT(M4051,2)</f>
        <v>Inbetriebnahme 2023</v>
      </c>
      <c r="D4051" s="526" t="s">
        <v>6595</v>
      </c>
      <c r="E4051" s="526"/>
      <c r="F4051" s="538">
        <f>Q4051</f>
        <v>25</v>
      </c>
      <c r="G4051" s="537">
        <f>O4051</f>
        <v>25.2</v>
      </c>
      <c r="H4051" s="537">
        <f>IF(ISNUMBER(G4051),ROUND(0.8*G4051,2),"")</f>
        <v>20.16</v>
      </c>
      <c r="I4051" s="574"/>
      <c r="J4051" s="549">
        <f>J$31</f>
        <v>44896</v>
      </c>
      <c r="M4051" s="627">
        <v>2023</v>
      </c>
      <c r="N4051" s="626" t="s">
        <v>5927</v>
      </c>
      <c r="O4051" s="628">
        <v>25.2</v>
      </c>
      <c r="Q4051" s="628">
        <f>O4051-0.2</f>
        <v>25</v>
      </c>
    </row>
    <row r="4052" spans="1:17" x14ac:dyDescent="0.35">
      <c r="A4052" s="12"/>
      <c r="B4052" s="9"/>
      <c r="C4052" s="9"/>
      <c r="D4052" s="9"/>
      <c r="E4052" s="9"/>
      <c r="F4052" s="27"/>
      <c r="G4052" s="22"/>
      <c r="H4052" s="22"/>
      <c r="I4052" s="591"/>
      <c r="J4052" s="549" t="s">
        <v>4179</v>
      </c>
      <c r="M4052" s="626"/>
      <c r="N4052" s="322"/>
      <c r="O4052" s="626" t="s">
        <v>6466</v>
      </c>
      <c r="Q4052" s="626" t="s">
        <v>6469</v>
      </c>
    </row>
    <row r="4053" spans="1:17" x14ac:dyDescent="0.35">
      <c r="A4053" s="527" t="str">
        <f>LEFT(A4051,12)&amp;RIGHT(M4053,2)</f>
        <v>GeK450------24</v>
      </c>
      <c r="B4053" s="526" t="s">
        <v>2034</v>
      </c>
      <c r="C4053" s="526" t="str">
        <f>"Inbetriebnahme 20" &amp; RIGHT(M4053,2)</f>
        <v>Inbetriebnahme 2024</v>
      </c>
      <c r="D4053" s="526" t="s">
        <v>6595</v>
      </c>
      <c r="E4053" s="526"/>
      <c r="F4053" s="538">
        <f>ROUND(Q4053,2)</f>
        <v>24.87</v>
      </c>
      <c r="G4053" s="537">
        <f>ROUND(O4053,2)</f>
        <v>25.07</v>
      </c>
      <c r="H4053" s="537">
        <f>IF(ISNUMBER(G4053),ROUND(0.8*G4053,2),"")</f>
        <v>20.059999999999999</v>
      </c>
      <c r="I4053" s="574"/>
      <c r="J4053" s="549">
        <v>45268</v>
      </c>
      <c r="M4053" s="627">
        <v>2024</v>
      </c>
      <c r="N4053" s="322">
        <v>5.0000000000000001E-3</v>
      </c>
      <c r="O4053" s="628">
        <f>IF($N4053&lt;&gt;"",O4051*(100%-$N4053),"")</f>
        <v>25.073999999999998</v>
      </c>
      <c r="Q4053" s="628">
        <f>O4053-0.2</f>
        <v>24.873999999999999</v>
      </c>
    </row>
    <row r="4054" spans="1:17" x14ac:dyDescent="0.35">
      <c r="A4054" s="12"/>
      <c r="B4054" s="9"/>
      <c r="C4054" s="9"/>
      <c r="D4054" s="9"/>
      <c r="E4054" s="9"/>
      <c r="F4054" s="27"/>
      <c r="G4054" s="22"/>
      <c r="H4054" s="22"/>
      <c r="I4054" s="591"/>
      <c r="J4054" s="549" t="s">
        <v>4179</v>
      </c>
    </row>
    <row r="4055" spans="1:17" ht="23.5" x14ac:dyDescent="0.55000000000000004">
      <c r="A4055" s="89" t="s">
        <v>106</v>
      </c>
      <c r="B4055" s="50"/>
      <c r="C4055" s="50"/>
      <c r="D4055" s="50"/>
      <c r="E4055" s="50"/>
      <c r="F4055" s="363"/>
      <c r="G4055" s="50"/>
      <c r="H4055" s="59"/>
      <c r="I4055" s="567"/>
      <c r="J4055" s="549" t="s">
        <v>5804</v>
      </c>
    </row>
    <row r="4056" spans="1:17" x14ac:dyDescent="0.35">
      <c r="A4056" s="496" t="s">
        <v>2075</v>
      </c>
      <c r="B4056" s="1" t="s">
        <v>2067</v>
      </c>
      <c r="C4056" s="1" t="s">
        <v>1272</v>
      </c>
      <c r="D4056" s="1" t="s">
        <v>2068</v>
      </c>
      <c r="E4056" s="1"/>
      <c r="F4056" s="362">
        <v>8.8000000000000007</v>
      </c>
      <c r="G4056" s="425">
        <v>8.8000000000000007</v>
      </c>
      <c r="H4056" s="10">
        <f t="shared" ref="H4056:H4087" si="1495">IF(ISNUMBER(G4056),ROUND(0.8*G4056,2),"")</f>
        <v>7.04</v>
      </c>
      <c r="I4056" s="566"/>
      <c r="J4056" s="549" t="s">
        <v>5804</v>
      </c>
    </row>
    <row r="4057" spans="1:17" x14ac:dyDescent="0.35">
      <c r="A4057" s="496" t="s">
        <v>2076</v>
      </c>
      <c r="B4057" s="1" t="s">
        <v>2067</v>
      </c>
      <c r="C4057" s="1" t="s">
        <v>1272</v>
      </c>
      <c r="D4057" s="1" t="s">
        <v>2070</v>
      </c>
      <c r="E4057" s="1"/>
      <c r="F4057" s="362">
        <v>5.9</v>
      </c>
      <c r="G4057" s="425">
        <v>5.9</v>
      </c>
      <c r="H4057" s="10">
        <f t="shared" si="1495"/>
        <v>4.72</v>
      </c>
      <c r="I4057" s="566"/>
      <c r="J4057" s="549" t="s">
        <v>5804</v>
      </c>
    </row>
    <row r="4058" spans="1:17" x14ac:dyDescent="0.35">
      <c r="A4058" s="497" t="s">
        <v>5526</v>
      </c>
      <c r="B4058" s="13" t="s">
        <v>2067</v>
      </c>
      <c r="C4058" s="13" t="s">
        <v>1272</v>
      </c>
      <c r="D4058" s="17" t="s">
        <v>5528</v>
      </c>
      <c r="E4058" s="13"/>
      <c r="F4058" s="364">
        <v>9.5</v>
      </c>
      <c r="G4058" s="424">
        <v>9.5</v>
      </c>
      <c r="H4058" s="14">
        <f t="shared" si="1495"/>
        <v>7.6</v>
      </c>
      <c r="I4058" s="568"/>
      <c r="J4058" s="549" t="s">
        <v>5804</v>
      </c>
    </row>
    <row r="4059" spans="1:17" x14ac:dyDescent="0.35">
      <c r="A4059" s="497" t="s">
        <v>5527</v>
      </c>
      <c r="B4059" s="13" t="s">
        <v>2067</v>
      </c>
      <c r="C4059" s="13" t="s">
        <v>1272</v>
      </c>
      <c r="D4059" s="17" t="s">
        <v>5529</v>
      </c>
      <c r="E4059" s="13"/>
      <c r="F4059" s="364">
        <v>6.6</v>
      </c>
      <c r="G4059" s="424">
        <v>6.6</v>
      </c>
      <c r="H4059" s="14">
        <f t="shared" si="1495"/>
        <v>5.28</v>
      </c>
      <c r="I4059" s="568"/>
      <c r="J4059" s="549" t="s">
        <v>5804</v>
      </c>
    </row>
    <row r="4060" spans="1:17" x14ac:dyDescent="0.35">
      <c r="A4060" s="496"/>
      <c r="B4060" s="1"/>
      <c r="C4060" s="1"/>
      <c r="D4060" s="1"/>
      <c r="E4060" s="1"/>
      <c r="F4060" s="362"/>
      <c r="G4060" s="425"/>
      <c r="H4060" s="10" t="str">
        <f t="shared" si="1495"/>
        <v/>
      </c>
      <c r="I4060" s="566"/>
      <c r="J4060" s="549" t="s">
        <v>4179</v>
      </c>
    </row>
    <row r="4061" spans="1:17" x14ac:dyDescent="0.35">
      <c r="A4061" s="496" t="s">
        <v>2077</v>
      </c>
      <c r="B4061" s="1" t="s">
        <v>2067</v>
      </c>
      <c r="C4061" s="1" t="s">
        <v>1275</v>
      </c>
      <c r="D4061" s="1" t="s">
        <v>4384</v>
      </c>
      <c r="E4061" s="1"/>
      <c r="F4061" s="362">
        <v>8.6999999999999993</v>
      </c>
      <c r="G4061" s="425">
        <v>8.6999999999999993</v>
      </c>
      <c r="H4061" s="10">
        <f t="shared" si="1495"/>
        <v>6.96</v>
      </c>
      <c r="I4061" s="566"/>
      <c r="J4061" s="549" t="s">
        <v>5804</v>
      </c>
    </row>
    <row r="4062" spans="1:17" x14ac:dyDescent="0.35">
      <c r="A4062" s="496" t="s">
        <v>2078</v>
      </c>
      <c r="B4062" s="1" t="s">
        <v>2067</v>
      </c>
      <c r="C4062" s="1" t="s">
        <v>1275</v>
      </c>
      <c r="D4062" s="1" t="s">
        <v>4386</v>
      </c>
      <c r="E4062" s="1"/>
      <c r="F4062" s="362">
        <v>5.5</v>
      </c>
      <c r="G4062" s="425">
        <v>5.5</v>
      </c>
      <c r="H4062" s="10">
        <f t="shared" si="1495"/>
        <v>4.4000000000000004</v>
      </c>
      <c r="I4062" s="566"/>
      <c r="J4062" s="549" t="s">
        <v>5804</v>
      </c>
    </row>
    <row r="4063" spans="1:17" x14ac:dyDescent="0.35">
      <c r="A4063" s="497" t="s">
        <v>5530</v>
      </c>
      <c r="B4063" s="13" t="s">
        <v>2067</v>
      </c>
      <c r="C4063" s="13" t="s">
        <v>1275</v>
      </c>
      <c r="D4063" s="17" t="s">
        <v>4385</v>
      </c>
      <c r="E4063" s="13"/>
      <c r="F4063" s="364">
        <v>9.4</v>
      </c>
      <c r="G4063" s="424">
        <v>9.4</v>
      </c>
      <c r="H4063" s="14">
        <f t="shared" si="1495"/>
        <v>7.52</v>
      </c>
      <c r="I4063" s="568"/>
      <c r="J4063" s="549" t="s">
        <v>5804</v>
      </c>
    </row>
    <row r="4064" spans="1:17" x14ac:dyDescent="0.35">
      <c r="A4064" s="497" t="s">
        <v>5531</v>
      </c>
      <c r="B4064" s="13" t="s">
        <v>2067</v>
      </c>
      <c r="C4064" s="13" t="s">
        <v>1275</v>
      </c>
      <c r="D4064" s="17" t="s">
        <v>929</v>
      </c>
      <c r="E4064" s="13"/>
      <c r="F4064" s="364">
        <v>6.2</v>
      </c>
      <c r="G4064" s="424">
        <v>6.2</v>
      </c>
      <c r="H4064" s="14">
        <f t="shared" si="1495"/>
        <v>4.96</v>
      </c>
      <c r="I4064" s="568"/>
      <c r="J4064" s="549" t="s">
        <v>5804</v>
      </c>
    </row>
    <row r="4065" spans="1:10" x14ac:dyDescent="0.35">
      <c r="A4065" s="496"/>
      <c r="B4065" s="1"/>
      <c r="C4065" s="1"/>
      <c r="D4065" s="1"/>
      <c r="E4065" s="1"/>
      <c r="F4065" s="362"/>
      <c r="G4065" s="425"/>
      <c r="H4065" s="10" t="str">
        <f t="shared" si="1495"/>
        <v/>
      </c>
      <c r="I4065" s="566"/>
      <c r="J4065" s="549" t="s">
        <v>4179</v>
      </c>
    </row>
    <row r="4066" spans="1:10" x14ac:dyDescent="0.35">
      <c r="A4066" s="496" t="s">
        <v>2081</v>
      </c>
      <c r="B4066" s="1" t="s">
        <v>2067</v>
      </c>
      <c r="C4066" s="1" t="s">
        <v>1288</v>
      </c>
      <c r="D4066" s="1" t="s">
        <v>4384</v>
      </c>
      <c r="E4066" s="1"/>
      <c r="F4066" s="362">
        <v>8.5299999999999994</v>
      </c>
      <c r="G4066" s="425">
        <v>8.5299999999999994</v>
      </c>
      <c r="H4066" s="10">
        <f t="shared" si="1495"/>
        <v>6.82</v>
      </c>
      <c r="I4066" s="566"/>
      <c r="J4066" s="549" t="s">
        <v>5804</v>
      </c>
    </row>
    <row r="4067" spans="1:10" x14ac:dyDescent="0.35">
      <c r="A4067" s="496" t="s">
        <v>2082</v>
      </c>
      <c r="B4067" s="1" t="s">
        <v>2067</v>
      </c>
      <c r="C4067" s="1" t="s">
        <v>1288</v>
      </c>
      <c r="D4067" s="1" t="s">
        <v>4386</v>
      </c>
      <c r="E4067" s="1"/>
      <c r="F4067" s="362">
        <v>5.39</v>
      </c>
      <c r="G4067" s="425">
        <v>5.39</v>
      </c>
      <c r="H4067" s="10">
        <f t="shared" si="1495"/>
        <v>4.3099999999999996</v>
      </c>
      <c r="I4067" s="566"/>
      <c r="J4067" s="549" t="s">
        <v>5804</v>
      </c>
    </row>
    <row r="4068" spans="1:10" x14ac:dyDescent="0.35">
      <c r="A4068" s="497" t="s">
        <v>5532</v>
      </c>
      <c r="B4068" s="13" t="s">
        <v>2067</v>
      </c>
      <c r="C4068" s="13" t="s">
        <v>1288</v>
      </c>
      <c r="D4068" s="17" t="s">
        <v>4385</v>
      </c>
      <c r="E4068" s="13"/>
      <c r="F4068" s="364">
        <v>9.23</v>
      </c>
      <c r="G4068" s="424">
        <v>9.23</v>
      </c>
      <c r="H4068" s="14">
        <f t="shared" si="1495"/>
        <v>7.38</v>
      </c>
      <c r="I4068" s="568"/>
      <c r="J4068" s="549" t="s">
        <v>5804</v>
      </c>
    </row>
    <row r="4069" spans="1:10" x14ac:dyDescent="0.35">
      <c r="A4069" s="497" t="s">
        <v>5533</v>
      </c>
      <c r="B4069" s="13" t="s">
        <v>2067</v>
      </c>
      <c r="C4069" s="13" t="s">
        <v>1288</v>
      </c>
      <c r="D4069" s="17" t="s">
        <v>929</v>
      </c>
      <c r="E4069" s="13"/>
      <c r="F4069" s="364">
        <v>6.09</v>
      </c>
      <c r="G4069" s="424">
        <v>6.09</v>
      </c>
      <c r="H4069" s="14">
        <f t="shared" si="1495"/>
        <v>4.87</v>
      </c>
      <c r="I4069" s="568"/>
      <c r="J4069" s="549" t="s">
        <v>5804</v>
      </c>
    </row>
    <row r="4070" spans="1:10" x14ac:dyDescent="0.35">
      <c r="A4070" s="496"/>
      <c r="B4070" s="1"/>
      <c r="C4070" s="1"/>
      <c r="D4070" s="1"/>
      <c r="E4070" s="1"/>
      <c r="F4070" s="362"/>
      <c r="G4070" s="425"/>
      <c r="H4070" s="10" t="str">
        <f t="shared" si="1495"/>
        <v/>
      </c>
      <c r="I4070" s="566"/>
      <c r="J4070" s="549" t="s">
        <v>4179</v>
      </c>
    </row>
    <row r="4071" spans="1:10" x14ac:dyDescent="0.35">
      <c r="A4071" s="496" t="s">
        <v>4585</v>
      </c>
      <c r="B4071" s="1" t="s">
        <v>2067</v>
      </c>
      <c r="C4071" s="1" t="s">
        <v>1296</v>
      </c>
      <c r="D4071" s="1" t="s">
        <v>4384</v>
      </c>
      <c r="E4071" s="1"/>
      <c r="F4071" s="362">
        <v>8.36</v>
      </c>
      <c r="G4071" s="425">
        <v>8.36</v>
      </c>
      <c r="H4071" s="10">
        <f t="shared" si="1495"/>
        <v>6.69</v>
      </c>
      <c r="I4071" s="566"/>
      <c r="J4071" s="549" t="s">
        <v>5804</v>
      </c>
    </row>
    <row r="4072" spans="1:10" x14ac:dyDescent="0.35">
      <c r="A4072" s="496" t="s">
        <v>4586</v>
      </c>
      <c r="B4072" s="1" t="s">
        <v>2067</v>
      </c>
      <c r="C4072" s="1" t="s">
        <v>1296</v>
      </c>
      <c r="D4072" s="1" t="s">
        <v>4386</v>
      </c>
      <c r="E4072" s="1"/>
      <c r="F4072" s="362">
        <v>5.28</v>
      </c>
      <c r="G4072" s="425">
        <v>5.28</v>
      </c>
      <c r="H4072" s="10">
        <f t="shared" si="1495"/>
        <v>4.22</v>
      </c>
      <c r="I4072" s="566"/>
      <c r="J4072" s="549" t="s">
        <v>5804</v>
      </c>
    </row>
    <row r="4073" spans="1:10" x14ac:dyDescent="0.35">
      <c r="A4073" s="497" t="s">
        <v>5534</v>
      </c>
      <c r="B4073" s="13" t="s">
        <v>2067</v>
      </c>
      <c r="C4073" s="13" t="s">
        <v>1296</v>
      </c>
      <c r="D4073" s="17" t="s">
        <v>4385</v>
      </c>
      <c r="E4073" s="13"/>
      <c r="F4073" s="364">
        <v>9.06</v>
      </c>
      <c r="G4073" s="424">
        <v>9.06</v>
      </c>
      <c r="H4073" s="14">
        <f t="shared" si="1495"/>
        <v>7.25</v>
      </c>
      <c r="I4073" s="568"/>
      <c r="J4073" s="549" t="s">
        <v>5804</v>
      </c>
    </row>
    <row r="4074" spans="1:10" x14ac:dyDescent="0.35">
      <c r="A4074" s="497" t="s">
        <v>5535</v>
      </c>
      <c r="B4074" s="13" t="s">
        <v>2067</v>
      </c>
      <c r="C4074" s="13" t="s">
        <v>1296</v>
      </c>
      <c r="D4074" s="17" t="s">
        <v>929</v>
      </c>
      <c r="E4074" s="13"/>
      <c r="F4074" s="364">
        <v>5.98</v>
      </c>
      <c r="G4074" s="424">
        <v>5.98</v>
      </c>
      <c r="H4074" s="14">
        <f t="shared" si="1495"/>
        <v>4.78</v>
      </c>
      <c r="I4074" s="568"/>
      <c r="J4074" s="549" t="s">
        <v>5804</v>
      </c>
    </row>
    <row r="4075" spans="1:10" x14ac:dyDescent="0.35">
      <c r="A4075" s="496"/>
      <c r="B4075" s="1"/>
      <c r="C4075" s="1"/>
      <c r="D4075" s="1"/>
      <c r="E4075" s="1"/>
      <c r="F4075" s="362"/>
      <c r="G4075" s="425"/>
      <c r="H4075" s="10" t="str">
        <f t="shared" si="1495"/>
        <v/>
      </c>
      <c r="I4075" s="566"/>
      <c r="J4075" s="549" t="s">
        <v>4179</v>
      </c>
    </row>
    <row r="4076" spans="1:10" x14ac:dyDescent="0.35">
      <c r="A4076" s="496" t="s">
        <v>925</v>
      </c>
      <c r="B4076" s="1" t="s">
        <v>2067</v>
      </c>
      <c r="C4076" s="1" t="s">
        <v>1304</v>
      </c>
      <c r="D4076" s="1" t="s">
        <v>4384</v>
      </c>
      <c r="E4076" s="1"/>
      <c r="F4076" s="362">
        <v>8.19</v>
      </c>
      <c r="G4076" s="425">
        <v>8.19</v>
      </c>
      <c r="H4076" s="10">
        <f t="shared" si="1495"/>
        <v>6.55</v>
      </c>
      <c r="I4076" s="566"/>
      <c r="J4076" s="549" t="s">
        <v>5804</v>
      </c>
    </row>
    <row r="4077" spans="1:10" x14ac:dyDescent="0.35">
      <c r="A4077" s="496" t="s">
        <v>926</v>
      </c>
      <c r="B4077" s="1" t="s">
        <v>2067</v>
      </c>
      <c r="C4077" s="1" t="s">
        <v>1304</v>
      </c>
      <c r="D4077" s="1" t="s">
        <v>4386</v>
      </c>
      <c r="E4077" s="1"/>
      <c r="F4077" s="362">
        <v>5.17</v>
      </c>
      <c r="G4077" s="425">
        <v>5.17</v>
      </c>
      <c r="H4077" s="10">
        <f t="shared" si="1495"/>
        <v>4.1399999999999997</v>
      </c>
      <c r="I4077" s="566"/>
      <c r="J4077" s="549" t="s">
        <v>5804</v>
      </c>
    </row>
    <row r="4078" spans="1:10" x14ac:dyDescent="0.35">
      <c r="A4078" s="497" t="s">
        <v>5536</v>
      </c>
      <c r="B4078" s="13" t="s">
        <v>2067</v>
      </c>
      <c r="C4078" s="13" t="s">
        <v>1304</v>
      </c>
      <c r="D4078" s="17" t="s">
        <v>4385</v>
      </c>
      <c r="E4078" s="13"/>
      <c r="F4078" s="364">
        <v>8.89</v>
      </c>
      <c r="G4078" s="424">
        <v>8.89</v>
      </c>
      <c r="H4078" s="14">
        <f t="shared" si="1495"/>
        <v>7.11</v>
      </c>
      <c r="I4078" s="568"/>
      <c r="J4078" s="549" t="s">
        <v>5804</v>
      </c>
    </row>
    <row r="4079" spans="1:10" x14ac:dyDescent="0.35">
      <c r="A4079" s="497" t="s">
        <v>5537</v>
      </c>
      <c r="B4079" s="13" t="s">
        <v>2067</v>
      </c>
      <c r="C4079" s="13" t="s">
        <v>1304</v>
      </c>
      <c r="D4079" s="17" t="s">
        <v>929</v>
      </c>
      <c r="E4079" s="13"/>
      <c r="F4079" s="364">
        <v>5.87</v>
      </c>
      <c r="G4079" s="424">
        <v>5.87</v>
      </c>
      <c r="H4079" s="14">
        <f t="shared" si="1495"/>
        <v>4.7</v>
      </c>
      <c r="I4079" s="568"/>
      <c r="J4079" s="549" t="s">
        <v>5804</v>
      </c>
    </row>
    <row r="4080" spans="1:10" x14ac:dyDescent="0.35">
      <c r="A4080" s="496"/>
      <c r="B4080" s="1"/>
      <c r="C4080" s="1"/>
      <c r="D4080" s="1"/>
      <c r="E4080" s="1"/>
      <c r="F4080" s="362"/>
      <c r="G4080" s="425"/>
      <c r="H4080" s="10" t="str">
        <f t="shared" si="1495"/>
        <v/>
      </c>
      <c r="I4080" s="566"/>
      <c r="J4080" s="549" t="s">
        <v>4179</v>
      </c>
    </row>
    <row r="4081" spans="1:30" x14ac:dyDescent="0.35">
      <c r="A4081" s="496" t="s">
        <v>735</v>
      </c>
      <c r="B4081" s="1" t="s">
        <v>2067</v>
      </c>
      <c r="C4081" s="1" t="s">
        <v>5539</v>
      </c>
      <c r="D4081" s="1" t="s">
        <v>4384</v>
      </c>
      <c r="E4081" s="1"/>
      <c r="F4081" s="362">
        <v>8.0299999999999994</v>
      </c>
      <c r="G4081" s="425">
        <v>8.0299999999999994</v>
      </c>
      <c r="H4081" s="10">
        <f t="shared" si="1495"/>
        <v>6.42</v>
      </c>
      <c r="I4081" s="566"/>
      <c r="J4081" s="549" t="s">
        <v>5804</v>
      </c>
    </row>
    <row r="4082" spans="1:30" x14ac:dyDescent="0.35">
      <c r="A4082" s="496" t="s">
        <v>736</v>
      </c>
      <c r="B4082" s="1" t="s">
        <v>2067</v>
      </c>
      <c r="C4082" s="1" t="s">
        <v>5539</v>
      </c>
      <c r="D4082" s="1" t="s">
        <v>4386</v>
      </c>
      <c r="E4082" s="1"/>
      <c r="F4082" s="362">
        <v>5.07</v>
      </c>
      <c r="G4082" s="425">
        <v>5.07</v>
      </c>
      <c r="H4082" s="10">
        <f t="shared" si="1495"/>
        <v>4.0599999999999996</v>
      </c>
      <c r="I4082" s="566"/>
      <c r="J4082" s="549" t="s">
        <v>5804</v>
      </c>
    </row>
    <row r="4083" spans="1:30" x14ac:dyDescent="0.35">
      <c r="A4083" s="497" t="s">
        <v>5538</v>
      </c>
      <c r="B4083" s="13" t="s">
        <v>2067</v>
      </c>
      <c r="C4083" s="13" t="s">
        <v>5539</v>
      </c>
      <c r="D4083" s="17" t="s">
        <v>4385</v>
      </c>
      <c r="E4083" s="13"/>
      <c r="F4083" s="364">
        <v>8.73</v>
      </c>
      <c r="G4083" s="424">
        <v>8.73</v>
      </c>
      <c r="H4083" s="14">
        <f t="shared" si="1495"/>
        <v>6.98</v>
      </c>
      <c r="I4083" s="568"/>
      <c r="J4083" s="549" t="s">
        <v>5804</v>
      </c>
    </row>
    <row r="4084" spans="1:30" x14ac:dyDescent="0.35">
      <c r="A4084" s="497" t="s">
        <v>2262</v>
      </c>
      <c r="B4084" s="13" t="s">
        <v>2067</v>
      </c>
      <c r="C4084" s="13" t="s">
        <v>5539</v>
      </c>
      <c r="D4084" s="17" t="s">
        <v>929</v>
      </c>
      <c r="E4084" s="13"/>
      <c r="F4084" s="364">
        <v>5.77</v>
      </c>
      <c r="G4084" s="424">
        <v>5.77</v>
      </c>
      <c r="H4084" s="14">
        <f t="shared" si="1495"/>
        <v>4.62</v>
      </c>
      <c r="I4084" s="568"/>
      <c r="J4084" s="549" t="s">
        <v>5804</v>
      </c>
    </row>
    <row r="4085" spans="1:30" x14ac:dyDescent="0.35">
      <c r="A4085" s="496"/>
      <c r="B4085" s="1"/>
      <c r="C4085" s="1"/>
      <c r="D4085" s="1"/>
      <c r="E4085" s="1"/>
      <c r="F4085" s="362"/>
      <c r="G4085" s="425"/>
      <c r="H4085" s="10" t="str">
        <f t="shared" si="1495"/>
        <v/>
      </c>
      <c r="I4085" s="566"/>
      <c r="J4085" s="549" t="s">
        <v>4179</v>
      </c>
    </row>
    <row r="4086" spans="1:30" ht="15.5" x14ac:dyDescent="0.35">
      <c r="A4086" s="496"/>
      <c r="B4086" s="1"/>
      <c r="C4086" s="1"/>
      <c r="D4086" s="1"/>
      <c r="E4086" s="1"/>
      <c r="F4086" s="362"/>
      <c r="G4086" s="425"/>
      <c r="H4086" s="10" t="str">
        <f t="shared" si="1495"/>
        <v/>
      </c>
      <c r="I4086" s="566"/>
      <c r="J4086" s="549" t="s">
        <v>4179</v>
      </c>
      <c r="K4086" s="22"/>
      <c r="M4086" s="53" t="s">
        <v>5497</v>
      </c>
      <c r="N4086" s="27"/>
      <c r="O4086" s="22"/>
      <c r="P4086" s="22"/>
    </row>
    <row r="4087" spans="1:30" x14ac:dyDescent="0.35">
      <c r="A4087" s="496"/>
      <c r="B4087" s="1"/>
      <c r="C4087" s="18"/>
      <c r="D4087" s="18"/>
      <c r="E4087" s="1"/>
      <c r="F4087" s="362"/>
      <c r="G4087" s="425"/>
      <c r="H4087" s="10" t="str">
        <f t="shared" si="1495"/>
        <v/>
      </c>
      <c r="I4087" s="566"/>
      <c r="J4087" s="549" t="s">
        <v>4179</v>
      </c>
      <c r="K4087" s="22"/>
      <c r="L4087" s="22"/>
      <c r="M4087" s="22"/>
      <c r="N4087" s="85"/>
      <c r="O4087" s="86" t="s">
        <v>1205</v>
      </c>
      <c r="P4087" s="85"/>
      <c r="S4087" s="22"/>
      <c r="AB4087" s="57"/>
    </row>
    <row r="4088" spans="1:30" ht="31.5" x14ac:dyDescent="0.35">
      <c r="A4088" s="496"/>
      <c r="B4088" s="1"/>
      <c r="C4088" s="18"/>
      <c r="D4088" s="18"/>
      <c r="E4088" s="1"/>
      <c r="F4088" s="362"/>
      <c r="G4088" s="425"/>
      <c r="H4088" s="10" t="str">
        <f t="shared" ref="H4088:H4119" si="1496">IF(ISNUMBER(G4088),ROUND(0.8*G4088,2),"")</f>
        <v/>
      </c>
      <c r="I4088" s="566"/>
      <c r="J4088" s="549" t="s">
        <v>4179</v>
      </c>
      <c r="K4088" s="22"/>
      <c r="L4088" s="22"/>
      <c r="M4088" s="36" t="s">
        <v>2913</v>
      </c>
      <c r="N4088" s="39" t="s">
        <v>5498</v>
      </c>
      <c r="O4088" s="30" t="s">
        <v>558</v>
      </c>
      <c r="P4088" s="39" t="s">
        <v>560</v>
      </c>
      <c r="Q4088" s="95" t="s">
        <v>5489</v>
      </c>
      <c r="R4088" s="95"/>
      <c r="S4088" s="30"/>
      <c r="T4088" s="30"/>
      <c r="U4088" s="30"/>
      <c r="V4088" s="64"/>
      <c r="W4088" s="64"/>
      <c r="X4088" s="64"/>
      <c r="Y4088" s="64"/>
      <c r="Z4088" s="64"/>
      <c r="AA4088" s="64"/>
      <c r="AB4088" s="30"/>
      <c r="AC4088" s="30"/>
      <c r="AD4088" s="30"/>
    </row>
    <row r="4089" spans="1:30" x14ac:dyDescent="0.35">
      <c r="A4089" s="496"/>
      <c r="B4089" s="1"/>
      <c r="C4089" s="18"/>
      <c r="D4089" s="18"/>
      <c r="E4089" s="1"/>
      <c r="F4089" s="362"/>
      <c r="G4089" s="425"/>
      <c r="H4089" s="10" t="str">
        <f t="shared" si="1496"/>
        <v/>
      </c>
      <c r="I4089" s="566"/>
      <c r="J4089" s="549" t="s">
        <v>4179</v>
      </c>
      <c r="K4089" s="22"/>
      <c r="L4089" s="22"/>
      <c r="M4089" s="34"/>
      <c r="N4089" s="39"/>
      <c r="O4089" s="30" t="s">
        <v>559</v>
      </c>
      <c r="P4089" s="39"/>
      <c r="Q4089" s="293">
        <v>0.01</v>
      </c>
      <c r="R4089" s="96"/>
      <c r="S4089" s="30"/>
      <c r="T4089" s="30"/>
      <c r="U4089" s="30"/>
      <c r="V4089" s="30"/>
      <c r="W4089" s="30"/>
      <c r="X4089" s="30"/>
      <c r="Y4089" s="30"/>
      <c r="Z4089" s="30"/>
      <c r="AA4089" s="30"/>
      <c r="AB4089" s="30"/>
      <c r="AC4089" s="30"/>
      <c r="AD4089" s="30"/>
    </row>
    <row r="4090" spans="1:30" x14ac:dyDescent="0.35">
      <c r="A4090" s="496"/>
      <c r="B4090" s="1"/>
      <c r="C4090" s="1"/>
      <c r="D4090" s="1"/>
      <c r="E4090" s="1"/>
      <c r="F4090" s="362"/>
      <c r="G4090" s="425"/>
      <c r="H4090" s="10" t="str">
        <f t="shared" si="1496"/>
        <v/>
      </c>
      <c r="I4090" s="566"/>
      <c r="J4090" s="549" t="s">
        <v>4179</v>
      </c>
      <c r="L4090" s="56"/>
      <c r="M4090" s="35">
        <v>2009</v>
      </c>
      <c r="N4090" s="28"/>
      <c r="O4090" s="33">
        <v>0.5</v>
      </c>
      <c r="P4090" s="40">
        <v>0.5</v>
      </c>
      <c r="Q4090" s="74"/>
      <c r="R4090" s="29" t="str">
        <f>"Bonushöhe bei Inbetriebnahme in "&amp;M4090</f>
        <v>Bonushöhe bei Inbetriebnahme in 2009</v>
      </c>
      <c r="S4090" s="29"/>
      <c r="T4090" s="29"/>
      <c r="U4090" s="29"/>
      <c r="V4090" s="29"/>
      <c r="W4090" s="29"/>
      <c r="X4090" s="29"/>
      <c r="Y4090" s="29"/>
      <c r="Z4090" s="29"/>
      <c r="AA4090" s="29"/>
      <c r="AB4090" s="29"/>
      <c r="AC4090" s="29"/>
      <c r="AD4090" s="29"/>
    </row>
    <row r="4091" spans="1:30" x14ac:dyDescent="0.35">
      <c r="A4091" s="497" t="s">
        <v>4754</v>
      </c>
      <c r="B4091" s="13" t="s">
        <v>3373</v>
      </c>
      <c r="C4091" s="13" t="s">
        <v>5404</v>
      </c>
      <c r="D4091" s="13" t="s">
        <v>4384</v>
      </c>
      <c r="E4091" s="13"/>
      <c r="F4091" s="364">
        <v>9.1999999999999993</v>
      </c>
      <c r="G4091" s="424">
        <v>9.1999999999999993</v>
      </c>
      <c r="H4091" s="14">
        <f t="shared" si="1496"/>
        <v>7.36</v>
      </c>
      <c r="I4091" s="568"/>
      <c r="J4091" s="549" t="s">
        <v>5804</v>
      </c>
      <c r="L4091" s="55" t="str">
        <f>IF(F4091=M4091,"",FALSE)</f>
        <v/>
      </c>
      <c r="M4091" s="37">
        <f>N4091+SUMIF(O4091:Q4091,"x",O$4090:Q$4090)</f>
        <v>9.1999999999999993</v>
      </c>
      <c r="N4091" s="91">
        <v>9.1999999999999993</v>
      </c>
      <c r="O4091" s="92"/>
      <c r="P4091" s="91"/>
      <c r="Q4091" s="75"/>
    </row>
    <row r="4092" spans="1:30" x14ac:dyDescent="0.35">
      <c r="A4092" s="497" t="s">
        <v>4755</v>
      </c>
      <c r="B4092" s="13" t="s">
        <v>3373</v>
      </c>
      <c r="C4092" s="13" t="s">
        <v>5404</v>
      </c>
      <c r="D4092" s="13" t="s">
        <v>4385</v>
      </c>
      <c r="E4092" s="13"/>
      <c r="F4092" s="364">
        <v>9.6999999999999993</v>
      </c>
      <c r="G4092" s="424">
        <v>9.6999999999999993</v>
      </c>
      <c r="H4092" s="14">
        <f t="shared" si="1496"/>
        <v>7.76</v>
      </c>
      <c r="I4092" s="568"/>
      <c r="J4092" s="549" t="s">
        <v>5804</v>
      </c>
      <c r="L4092" s="55" t="str">
        <f>IF(F4092=M4092,"",FALSE)</f>
        <v/>
      </c>
      <c r="M4092" s="37">
        <f>N4092+SUMIF(O4092:Q4092,"x",O$4090:Q$4090)</f>
        <v>9.6999999999999993</v>
      </c>
      <c r="N4092" s="91">
        <v>9.1999999999999993</v>
      </c>
      <c r="O4092" s="92" t="s">
        <v>1017</v>
      </c>
      <c r="P4092" s="91"/>
    </row>
    <row r="4093" spans="1:30" x14ac:dyDescent="0.35">
      <c r="A4093" s="497" t="s">
        <v>4756</v>
      </c>
      <c r="B4093" s="13" t="s">
        <v>3373</v>
      </c>
      <c r="C4093" s="13" t="s">
        <v>5404</v>
      </c>
      <c r="D4093" s="13" t="s">
        <v>4386</v>
      </c>
      <c r="E4093" s="13"/>
      <c r="F4093" s="364">
        <v>5.0199999999999996</v>
      </c>
      <c r="G4093" s="424">
        <v>5.0199999999999996</v>
      </c>
      <c r="H4093" s="14">
        <f t="shared" si="1496"/>
        <v>4.0199999999999996</v>
      </c>
      <c r="I4093" s="568"/>
      <c r="J4093" s="549" t="s">
        <v>5804</v>
      </c>
      <c r="L4093" s="55" t="str">
        <f>IF(F4093=M4093,"",FALSE)</f>
        <v/>
      </c>
      <c r="M4093" s="37">
        <f>N4093+SUMIF(O4093:Q4093,"x",O$4090:Q$4090)</f>
        <v>5.0199999999999996</v>
      </c>
      <c r="N4093" s="91">
        <v>5.0199999999999996</v>
      </c>
      <c r="O4093" s="92"/>
      <c r="P4093" s="91"/>
      <c r="Q4093" s="75"/>
    </row>
    <row r="4094" spans="1:30" x14ac:dyDescent="0.35">
      <c r="A4094" s="496"/>
      <c r="B4094" s="1"/>
      <c r="C4094" s="1"/>
      <c r="D4094" s="1"/>
      <c r="E4094" s="1"/>
      <c r="F4094" s="362"/>
      <c r="G4094" s="425"/>
      <c r="H4094" s="10" t="str">
        <f t="shared" si="1496"/>
        <v/>
      </c>
      <c r="I4094" s="566"/>
      <c r="J4094" s="549" t="s">
        <v>4179</v>
      </c>
      <c r="L4094" s="56"/>
      <c r="M4094" s="289">
        <v>2010</v>
      </c>
      <c r="N4094" s="283"/>
      <c r="O4094" s="284">
        <f>ROUND(O$4090*(1-$Q$4089)^($M4094-$M$4090),2)</f>
        <v>0.5</v>
      </c>
      <c r="P4094" s="283">
        <f>ROUND(P$4090*(1-$Q$4089)^($M4094-$M$4090),2)</f>
        <v>0.5</v>
      </c>
      <c r="Q4094" s="74"/>
      <c r="R4094" s="29" t="str">
        <f>"Bonushöhe bei Inbetriebnahme in "&amp;M4094</f>
        <v>Bonushöhe bei Inbetriebnahme in 2010</v>
      </c>
      <c r="S4094" s="29"/>
      <c r="T4094" s="29"/>
      <c r="U4094" s="29"/>
      <c r="V4094" s="29"/>
      <c r="W4094" s="29"/>
      <c r="X4094" s="29"/>
      <c r="Y4094" s="29"/>
      <c r="Z4094" s="29"/>
      <c r="AA4094" s="29"/>
      <c r="AB4094" s="29"/>
      <c r="AC4094" s="29"/>
      <c r="AD4094" s="29"/>
    </row>
    <row r="4095" spans="1:30" x14ac:dyDescent="0.35">
      <c r="A4095" s="497" t="s">
        <v>561</v>
      </c>
      <c r="B4095" s="13" t="s">
        <v>3373</v>
      </c>
      <c r="C4095" s="13" t="s">
        <v>2385</v>
      </c>
      <c r="D4095" s="13" t="s">
        <v>4384</v>
      </c>
      <c r="E4095" s="13"/>
      <c r="F4095" s="364">
        <v>9.11</v>
      </c>
      <c r="G4095" s="424">
        <v>9.11</v>
      </c>
      <c r="H4095" s="14">
        <f t="shared" si="1496"/>
        <v>7.29</v>
      </c>
      <c r="I4095" s="568"/>
      <c r="J4095" s="549" t="s">
        <v>5804</v>
      </c>
      <c r="L4095" s="55" t="str">
        <f>IF(F4095=M4095,"",FALSE)</f>
        <v/>
      </c>
      <c r="M4095" s="37">
        <f>N4095+SUMIF(O4095:Q4095,"x",O$4090:Q$4090)</f>
        <v>9.11</v>
      </c>
      <c r="N4095" s="91">
        <f>ROUND(N4091*(1-$Q$4089),2)</f>
        <v>9.11</v>
      </c>
      <c r="O4095" s="92"/>
      <c r="P4095" s="91"/>
      <c r="Q4095" s="75"/>
    </row>
    <row r="4096" spans="1:30" x14ac:dyDescent="0.35">
      <c r="A4096" s="497" t="s">
        <v>562</v>
      </c>
      <c r="B4096" s="13" t="s">
        <v>3373</v>
      </c>
      <c r="C4096" s="13" t="s">
        <v>2385</v>
      </c>
      <c r="D4096" s="13" t="s">
        <v>4385</v>
      </c>
      <c r="E4096" s="13"/>
      <c r="F4096" s="364">
        <v>9.61</v>
      </c>
      <c r="G4096" s="424">
        <v>9.61</v>
      </c>
      <c r="H4096" s="14">
        <f t="shared" si="1496"/>
        <v>7.69</v>
      </c>
      <c r="I4096" s="568"/>
      <c r="J4096" s="549" t="s">
        <v>5804</v>
      </c>
      <c r="L4096" s="55" t="str">
        <f>IF(F4096=M4096,"",FALSE)</f>
        <v/>
      </c>
      <c r="M4096" s="37">
        <f>N4096+SUMIF(O4096:Q4096,"x",O$4090:Q$4090)</f>
        <v>9.61</v>
      </c>
      <c r="N4096" s="91">
        <f>ROUND(N4092*(1-$Q$4089),2)</f>
        <v>9.11</v>
      </c>
      <c r="O4096" s="92" t="s">
        <v>1017</v>
      </c>
      <c r="P4096" s="91"/>
    </row>
    <row r="4097" spans="1:30" x14ac:dyDescent="0.35">
      <c r="A4097" s="497" t="s">
        <v>563</v>
      </c>
      <c r="B4097" s="13" t="s">
        <v>3373</v>
      </c>
      <c r="C4097" s="13" t="s">
        <v>2385</v>
      </c>
      <c r="D4097" s="13" t="s">
        <v>4386</v>
      </c>
      <c r="E4097" s="13"/>
      <c r="F4097" s="364">
        <v>4.97</v>
      </c>
      <c r="G4097" s="424">
        <v>4.97</v>
      </c>
      <c r="H4097" s="14">
        <f t="shared" si="1496"/>
        <v>3.98</v>
      </c>
      <c r="I4097" s="568"/>
      <c r="J4097" s="549" t="s">
        <v>5804</v>
      </c>
      <c r="L4097" s="55" t="str">
        <f>IF(F4097=M4097,"",FALSE)</f>
        <v/>
      </c>
      <c r="M4097" s="45">
        <f>N4097+SUMIF(O4097:Q4097,"x",O$4090:Q$4090)</f>
        <v>4.97</v>
      </c>
      <c r="N4097" s="93">
        <f>ROUND(N4093*(1-$Q$4089),2)</f>
        <v>4.97</v>
      </c>
      <c r="O4097" s="92"/>
      <c r="P4097" s="91"/>
      <c r="Q4097" s="75"/>
    </row>
    <row r="4098" spans="1:30" x14ac:dyDescent="0.35">
      <c r="A4098" s="496"/>
      <c r="B4098" s="1"/>
      <c r="C4098" s="1"/>
      <c r="D4098" s="1"/>
      <c r="E4098" s="1"/>
      <c r="F4098" s="362"/>
      <c r="G4098" s="425"/>
      <c r="H4098" s="10" t="str">
        <f t="shared" si="1496"/>
        <v/>
      </c>
      <c r="I4098" s="566"/>
      <c r="J4098" s="549" t="s">
        <v>4179</v>
      </c>
      <c r="M4098" s="289">
        <v>2011</v>
      </c>
      <c r="N4098" s="289"/>
      <c r="O4098" s="284">
        <f>ROUND(O$4090*(1-$Q$4089)^($M4098-$M$4090),2)</f>
        <v>0.49</v>
      </c>
      <c r="P4098" s="285">
        <f>ROUND(P$4090*(1-$Q$4089)^($M4098-$M$4090),2)</f>
        <v>0.49</v>
      </c>
      <c r="Q4098" s="75"/>
      <c r="R4098" s="29" t="str">
        <f>"Bonushöhe bei Inbetriebnahme in "&amp;M4098</f>
        <v>Bonushöhe bei Inbetriebnahme in 2011</v>
      </c>
    </row>
    <row r="4099" spans="1:30" x14ac:dyDescent="0.35">
      <c r="A4099" s="497" t="str">
        <f>LEFT(A4095,12)&amp;($M$4098-2000)</f>
        <v>WnK290------11</v>
      </c>
      <c r="B4099" s="13" t="s">
        <v>3373</v>
      </c>
      <c r="C4099" s="13" t="str">
        <f>"Inbetriebnahme "&amp;$M$4098</f>
        <v>Inbetriebnahme 2011</v>
      </c>
      <c r="D4099" s="13" t="s">
        <v>4384</v>
      </c>
      <c r="E4099" s="13"/>
      <c r="F4099" s="364">
        <f>M4099</f>
        <v>9.02</v>
      </c>
      <c r="G4099" s="424">
        <v>9.02</v>
      </c>
      <c r="H4099" s="14">
        <f t="shared" si="1496"/>
        <v>7.22</v>
      </c>
      <c r="I4099" s="568"/>
      <c r="J4099" s="549" t="s">
        <v>5804</v>
      </c>
      <c r="L4099" s="55" t="str">
        <f>IF(F4099=M4099,"",FALSE)</f>
        <v/>
      </c>
      <c r="M4099" s="37">
        <f>N4099+SUMIF(O4099:Q4099,"x",O$4098:Q$4098)</f>
        <v>9.02</v>
      </c>
      <c r="N4099" s="91">
        <f>ROUND(N4091*(1-$Q$4089)^($M$4098-$M$4090),2)</f>
        <v>9.02</v>
      </c>
      <c r="O4099" s="92"/>
      <c r="P4099" s="91"/>
      <c r="Q4099" s="75"/>
    </row>
    <row r="4100" spans="1:30" x14ac:dyDescent="0.35">
      <c r="A4100" s="497" t="str">
        <f>LEFT(A4096,12)&amp;($M$4098-2000)</f>
        <v>WnK290S-----11</v>
      </c>
      <c r="B4100" s="13" t="s">
        <v>3373</v>
      </c>
      <c r="C4100" s="13" t="str">
        <f>"Inbetriebnahme "&amp;$M$4098</f>
        <v>Inbetriebnahme 2011</v>
      </c>
      <c r="D4100" s="13" t="s">
        <v>4385</v>
      </c>
      <c r="E4100" s="13"/>
      <c r="F4100" s="364">
        <f>M4100</f>
        <v>9.51</v>
      </c>
      <c r="G4100" s="424">
        <v>9.51</v>
      </c>
      <c r="H4100" s="14">
        <f t="shared" si="1496"/>
        <v>7.61</v>
      </c>
      <c r="I4100" s="568"/>
      <c r="J4100" s="549" t="s">
        <v>5804</v>
      </c>
      <c r="L4100" s="55" t="str">
        <f>IF(F4100=M4100,"",FALSE)</f>
        <v/>
      </c>
      <c r="M4100" s="37">
        <f>N4100+SUMIF(O4100:Q4100,"x",O$4098:Q$4098)</f>
        <v>9.51</v>
      </c>
      <c r="N4100" s="91">
        <f>ROUND(N4092*(1-$Q$4089)^($M$4098-$M$4090),2)</f>
        <v>9.02</v>
      </c>
      <c r="O4100" s="92" t="s">
        <v>1017</v>
      </c>
      <c r="P4100" s="91"/>
    </row>
    <row r="4101" spans="1:30" x14ac:dyDescent="0.35">
      <c r="A4101" s="497" t="str">
        <f>LEFT(A4097,12)&amp;($M$4098-2000)</f>
        <v>WnK291------11</v>
      </c>
      <c r="B4101" s="13" t="s">
        <v>3373</v>
      </c>
      <c r="C4101" s="13" t="str">
        <f>"Inbetriebnahme "&amp;$M$4098</f>
        <v>Inbetriebnahme 2011</v>
      </c>
      <c r="D4101" s="13" t="s">
        <v>4386</v>
      </c>
      <c r="E4101" s="13"/>
      <c r="F4101" s="364">
        <f>M4101</f>
        <v>4.92</v>
      </c>
      <c r="G4101" s="424">
        <v>4.92</v>
      </c>
      <c r="H4101" s="14">
        <f t="shared" si="1496"/>
        <v>3.94</v>
      </c>
      <c r="I4101" s="568"/>
      <c r="J4101" s="549" t="s">
        <v>5804</v>
      </c>
      <c r="L4101" s="55" t="str">
        <f>IF(F4101=M4101,"",FALSE)</f>
        <v/>
      </c>
      <c r="M4101" s="45">
        <f>N4101+SUMIF(O4101:Q4101,"x",O$4098:Q$4098)</f>
        <v>4.92</v>
      </c>
      <c r="N4101" s="93">
        <f>ROUND(N4093*(1-$Q$4089)^($M$4098-$M$4090),2)</f>
        <v>4.92</v>
      </c>
      <c r="O4101" s="94"/>
      <c r="P4101" s="93"/>
      <c r="Q4101" s="75"/>
    </row>
    <row r="4102" spans="1:30" x14ac:dyDescent="0.35">
      <c r="A4102" s="496"/>
      <c r="B4102" s="1"/>
      <c r="C4102" s="1"/>
      <c r="D4102" s="1"/>
      <c r="E4102" s="1"/>
      <c r="F4102" s="362"/>
      <c r="G4102" s="425"/>
      <c r="H4102" s="10" t="str">
        <f t="shared" si="1496"/>
        <v/>
      </c>
      <c r="I4102" s="566"/>
      <c r="J4102" s="549" t="s">
        <v>4179</v>
      </c>
    </row>
    <row r="4103" spans="1:30" ht="15.5" x14ac:dyDescent="0.35">
      <c r="A4103" s="496"/>
      <c r="B4103" s="1"/>
      <c r="C4103" s="1"/>
      <c r="D4103" s="1"/>
      <c r="E4103" s="1"/>
      <c r="F4103" s="362"/>
      <c r="G4103" s="425"/>
      <c r="H4103" s="10" t="str">
        <f t="shared" si="1496"/>
        <v/>
      </c>
      <c r="I4103" s="566"/>
      <c r="J4103" s="549" t="s">
        <v>4179</v>
      </c>
      <c r="K4103" s="22"/>
      <c r="M4103" s="53" t="s">
        <v>506</v>
      </c>
      <c r="N4103" s="27"/>
      <c r="O4103" s="22"/>
      <c r="P4103" s="22"/>
    </row>
    <row r="4104" spans="1:30" x14ac:dyDescent="0.35">
      <c r="A4104" s="496"/>
      <c r="B4104" s="1"/>
      <c r="C4104" s="18"/>
      <c r="D4104" s="18"/>
      <c r="E4104" s="1"/>
      <c r="F4104" s="362"/>
      <c r="G4104" s="425"/>
      <c r="H4104" s="10" t="str">
        <f t="shared" si="1496"/>
        <v/>
      </c>
      <c r="I4104" s="566"/>
      <c r="J4104" s="549" t="s">
        <v>4179</v>
      </c>
      <c r="K4104" s="22"/>
      <c r="L4104" s="22"/>
      <c r="M4104" s="22"/>
      <c r="N4104" s="85"/>
      <c r="O4104" s="86" t="s">
        <v>1205</v>
      </c>
      <c r="P4104" s="85"/>
      <c r="S4104" s="22"/>
      <c r="AB4104" s="57"/>
    </row>
    <row r="4105" spans="1:30" ht="31.5" x14ac:dyDescent="0.35">
      <c r="A4105" s="496"/>
      <c r="B4105" s="1"/>
      <c r="C4105" s="18"/>
      <c r="D4105" s="18"/>
      <c r="E4105" s="1"/>
      <c r="F4105" s="362"/>
      <c r="G4105" s="425"/>
      <c r="H4105" s="10" t="str">
        <f t="shared" si="1496"/>
        <v/>
      </c>
      <c r="I4105" s="566"/>
      <c r="J4105" s="549" t="s">
        <v>4179</v>
      </c>
      <c r="K4105" s="22"/>
      <c r="L4105" s="22"/>
      <c r="M4105" s="36" t="s">
        <v>2913</v>
      </c>
      <c r="N4105" s="39" t="s">
        <v>507</v>
      </c>
      <c r="O4105" s="30" t="s">
        <v>558</v>
      </c>
      <c r="P4105" s="39" t="s">
        <v>560</v>
      </c>
      <c r="Q4105" s="95" t="s">
        <v>5489</v>
      </c>
      <c r="R4105" s="95"/>
      <c r="S4105" s="30"/>
      <c r="T4105" s="30"/>
      <c r="U4105" s="30"/>
      <c r="V4105" s="64"/>
      <c r="W4105" s="64"/>
      <c r="X4105" s="64"/>
      <c r="Y4105" s="64"/>
      <c r="Z4105" s="64"/>
      <c r="AA4105" s="64"/>
      <c r="AB4105" s="30"/>
      <c r="AC4105" s="30"/>
      <c r="AD4105" s="30"/>
    </row>
    <row r="4106" spans="1:30" x14ac:dyDescent="0.35">
      <c r="A4106" s="496"/>
      <c r="B4106" s="1"/>
      <c r="C4106" s="18"/>
      <c r="D4106" s="18"/>
      <c r="E4106" s="1"/>
      <c r="F4106" s="362"/>
      <c r="G4106" s="425"/>
      <c r="H4106" s="10" t="str">
        <f t="shared" si="1496"/>
        <v/>
      </c>
      <c r="I4106" s="566"/>
      <c r="J4106" s="549" t="s">
        <v>4179</v>
      </c>
      <c r="K4106" s="22"/>
      <c r="L4106" s="22"/>
      <c r="M4106" s="34"/>
      <c r="N4106" s="39"/>
      <c r="O4106" s="30" t="s">
        <v>559</v>
      </c>
      <c r="P4106" s="30"/>
      <c r="Q4106" s="293">
        <v>1.4999999999999999E-2</v>
      </c>
      <c r="R4106" s="96"/>
      <c r="S4106" s="30"/>
      <c r="T4106" s="30"/>
      <c r="U4106" s="30"/>
      <c r="V4106" s="30"/>
      <c r="W4106" s="30"/>
      <c r="X4106" s="30"/>
      <c r="Y4106" s="30"/>
      <c r="Z4106" s="30"/>
      <c r="AA4106" s="30"/>
      <c r="AB4106" s="30"/>
      <c r="AC4106" s="30"/>
      <c r="AD4106" s="30"/>
    </row>
    <row r="4107" spans="1:30" x14ac:dyDescent="0.35">
      <c r="A4107" s="496"/>
      <c r="B4107" s="1"/>
      <c r="C4107" s="1"/>
      <c r="D4107" s="1"/>
      <c r="E4107" s="1"/>
      <c r="F4107" s="362"/>
      <c r="G4107" s="425"/>
      <c r="H4107" s="10" t="str">
        <f t="shared" si="1496"/>
        <v/>
      </c>
      <c r="I4107" s="566"/>
      <c r="J4107" s="549" t="s">
        <v>4179</v>
      </c>
      <c r="L4107" s="56"/>
      <c r="M4107" s="35">
        <v>2012</v>
      </c>
      <c r="N4107" s="28"/>
      <c r="O4107" s="33">
        <v>0.48</v>
      </c>
      <c r="P4107" s="28">
        <v>0.5</v>
      </c>
      <c r="Q4107" s="74"/>
      <c r="S4107" s="29"/>
      <c r="T4107" s="29" t="str">
        <f>"Bonushöhe bei Inbetriebnahme in "&amp;M4107</f>
        <v>Bonushöhe bei Inbetriebnahme in 2012</v>
      </c>
      <c r="U4107" s="29"/>
      <c r="V4107" s="29"/>
      <c r="W4107" s="29"/>
      <c r="X4107" s="29"/>
      <c r="Y4107" s="29"/>
      <c r="Z4107" s="29"/>
      <c r="AA4107" s="29"/>
      <c r="AB4107" s="29"/>
      <c r="AC4107" s="29"/>
      <c r="AD4107" s="29"/>
    </row>
    <row r="4108" spans="1:30" x14ac:dyDescent="0.35">
      <c r="A4108" s="500" t="s">
        <v>4234</v>
      </c>
      <c r="B4108" s="225" t="s">
        <v>3373</v>
      </c>
      <c r="C4108" s="225" t="str">
        <f>"Inbetriebnahme "&amp;$M$4107</f>
        <v>Inbetriebnahme 2012</v>
      </c>
      <c r="D4108" s="225" t="s">
        <v>4384</v>
      </c>
      <c r="E4108" s="225"/>
      <c r="F4108" s="366">
        <f>M4108</f>
        <v>8.93</v>
      </c>
      <c r="G4108" s="427">
        <v>8.93</v>
      </c>
      <c r="H4108" s="227">
        <f t="shared" si="1496"/>
        <v>7.14</v>
      </c>
      <c r="I4108" s="570"/>
      <c r="J4108" s="549" t="s">
        <v>5804</v>
      </c>
      <c r="L4108" s="55" t="str">
        <f>IF(F4108=M4108,"",FALSE)</f>
        <v/>
      </c>
      <c r="M4108" s="37">
        <f>N4108+SUMIF(O4108:Q4108,"x",O$4107:Q$4107)</f>
        <v>8.93</v>
      </c>
      <c r="N4108" s="91">
        <v>8.93</v>
      </c>
      <c r="O4108" s="92"/>
      <c r="P4108" s="91"/>
      <c r="Q4108" s="75"/>
    </row>
    <row r="4109" spans="1:30" x14ac:dyDescent="0.35">
      <c r="A4109" s="500" t="s">
        <v>4235</v>
      </c>
      <c r="B4109" s="225" t="s">
        <v>3373</v>
      </c>
      <c r="C4109" s="225" t="str">
        <f>"Inbetriebnahme "&amp;$M$4107</f>
        <v>Inbetriebnahme 2012</v>
      </c>
      <c r="D4109" s="225" t="s">
        <v>4385</v>
      </c>
      <c r="E4109" s="225"/>
      <c r="F4109" s="366">
        <f>M4109</f>
        <v>9.41</v>
      </c>
      <c r="G4109" s="427">
        <v>9.41</v>
      </c>
      <c r="H4109" s="227">
        <f t="shared" si="1496"/>
        <v>7.53</v>
      </c>
      <c r="I4109" s="570"/>
      <c r="J4109" s="549" t="s">
        <v>5804</v>
      </c>
      <c r="L4109" s="55" t="str">
        <f>IF(F4109=M4109,"",FALSE)</f>
        <v/>
      </c>
      <c r="M4109" s="37">
        <f>N4109+SUMIF(O4109:Q4109,"x",O$4107:Q$4107)</f>
        <v>9.41</v>
      </c>
      <c r="N4109" s="91">
        <v>8.93</v>
      </c>
      <c r="O4109" s="92" t="s">
        <v>1017</v>
      </c>
      <c r="P4109" s="91"/>
    </row>
    <row r="4110" spans="1:30" x14ac:dyDescent="0.35">
      <c r="A4110" s="500" t="s">
        <v>4236</v>
      </c>
      <c r="B4110" s="225" t="s">
        <v>3373</v>
      </c>
      <c r="C4110" s="225" t="str">
        <f>"Inbetriebnahme "&amp;$M$4107</f>
        <v>Inbetriebnahme 2012</v>
      </c>
      <c r="D4110" s="225" t="s">
        <v>4386</v>
      </c>
      <c r="E4110" s="225"/>
      <c r="F4110" s="366">
        <f>M4110</f>
        <v>4.87</v>
      </c>
      <c r="G4110" s="427">
        <v>4.87</v>
      </c>
      <c r="H4110" s="227">
        <f t="shared" si="1496"/>
        <v>3.9</v>
      </c>
      <c r="I4110" s="570"/>
      <c r="J4110" s="549" t="s">
        <v>5804</v>
      </c>
      <c r="L4110" s="55" t="str">
        <f>IF(F4110=M4110,"",FALSE)</f>
        <v/>
      </c>
      <c r="M4110" s="37">
        <f>N4110+SUMIF(O4110:Q4110,"x",O$4107:Q$4107)</f>
        <v>4.87</v>
      </c>
      <c r="N4110" s="91">
        <v>4.87</v>
      </c>
      <c r="O4110" s="92"/>
      <c r="P4110" s="91"/>
      <c r="Q4110" s="75"/>
    </row>
    <row r="4111" spans="1:30" x14ac:dyDescent="0.35">
      <c r="A4111" s="496"/>
      <c r="B4111" s="1"/>
      <c r="C4111" s="1"/>
      <c r="D4111" s="1"/>
      <c r="E4111" s="1"/>
      <c r="F4111" s="362"/>
      <c r="G4111" s="425"/>
      <c r="H4111" s="10" t="str">
        <f t="shared" si="1496"/>
        <v/>
      </c>
      <c r="I4111" s="566"/>
      <c r="J4111" s="549" t="s">
        <v>4179</v>
      </c>
      <c r="L4111" s="56"/>
      <c r="M4111" s="289">
        <v>2013</v>
      </c>
      <c r="N4111" s="283"/>
      <c r="O4111" s="284">
        <f>ROUND(R4111,2)</f>
        <v>0.47</v>
      </c>
      <c r="P4111" s="285">
        <f>ROUND(S4111,2)</f>
        <v>0.49</v>
      </c>
      <c r="Q4111" s="74"/>
      <c r="R4111" s="341">
        <f>O4107*(1-$Q$4106)</f>
        <v>0.4728</v>
      </c>
      <c r="S4111" s="341">
        <f>P4107*(1-$Q$4106)</f>
        <v>0.49249999999999999</v>
      </c>
      <c r="T4111" s="29" t="str">
        <f>"Bonushöhe bei Inbetriebnahme in "&amp;M4111</f>
        <v>Bonushöhe bei Inbetriebnahme in 2013</v>
      </c>
      <c r="U4111" s="29"/>
      <c r="V4111" s="29"/>
      <c r="W4111" s="29"/>
      <c r="X4111" s="29"/>
      <c r="Y4111" s="29"/>
      <c r="Z4111" s="29"/>
      <c r="AA4111" s="29"/>
      <c r="AB4111" s="29"/>
      <c r="AC4111" s="29"/>
      <c r="AD4111" s="29"/>
    </row>
    <row r="4112" spans="1:30" x14ac:dyDescent="0.35">
      <c r="A4112" s="502" t="s">
        <v>4703</v>
      </c>
      <c r="B4112" s="301" t="s">
        <v>3373</v>
      </c>
      <c r="C4112" s="301" t="str">
        <f>"Inbetriebnahme "&amp;$M$4111</f>
        <v>Inbetriebnahme 2013</v>
      </c>
      <c r="D4112" s="301" t="s">
        <v>4384</v>
      </c>
      <c r="E4112" s="301"/>
      <c r="F4112" s="368">
        <f>M4112</f>
        <v>8.8000000000000007</v>
      </c>
      <c r="G4112" s="429">
        <v>8.8000000000000007</v>
      </c>
      <c r="H4112" s="303">
        <f t="shared" si="1496"/>
        <v>7.04</v>
      </c>
      <c r="I4112" s="572"/>
      <c r="J4112" s="549" t="s">
        <v>5804</v>
      </c>
      <c r="L4112" s="55" t="str">
        <f>IF(F4112=M4112,"",FALSE)</f>
        <v/>
      </c>
      <c r="M4112" s="37">
        <f>ROUND(N4112,2)+SUMIF(O4112:Q4112,"x",O$4111:Q$4111)</f>
        <v>8.8000000000000007</v>
      </c>
      <c r="N4112" s="281">
        <f>N4108*(1-$Q$4106)</f>
        <v>8.7960499999999993</v>
      </c>
      <c r="O4112" s="92"/>
      <c r="P4112" s="91"/>
      <c r="Q4112" s="75"/>
    </row>
    <row r="4113" spans="1:30" x14ac:dyDescent="0.35">
      <c r="A4113" s="502" t="s">
        <v>2188</v>
      </c>
      <c r="B4113" s="301" t="s">
        <v>3373</v>
      </c>
      <c r="C4113" s="301" t="str">
        <f>"Inbetriebnahme "&amp;$M$4111</f>
        <v>Inbetriebnahme 2013</v>
      </c>
      <c r="D4113" s="301" t="s">
        <v>4385</v>
      </c>
      <c r="E4113" s="301"/>
      <c r="F4113" s="368">
        <f>M4113</f>
        <v>9.2700000000000014</v>
      </c>
      <c r="G4113" s="429">
        <v>9.2700000000000014</v>
      </c>
      <c r="H4113" s="303">
        <f t="shared" si="1496"/>
        <v>7.42</v>
      </c>
      <c r="I4113" s="572"/>
      <c r="J4113" s="549" t="s">
        <v>5804</v>
      </c>
      <c r="L4113" s="55" t="str">
        <f>IF(F4113=M4113,"",FALSE)</f>
        <v/>
      </c>
      <c r="M4113" s="37">
        <f>ROUND(N4113,2)+SUMIF(O4113:Q4113,"x",O$4111:Q$4111)</f>
        <v>9.2700000000000014</v>
      </c>
      <c r="N4113" s="281">
        <f>N4109*(1-$Q$4106)</f>
        <v>8.7960499999999993</v>
      </c>
      <c r="O4113" s="92" t="s">
        <v>1017</v>
      </c>
      <c r="P4113" s="91"/>
    </row>
    <row r="4114" spans="1:30" x14ac:dyDescent="0.35">
      <c r="A4114" s="502" t="s">
        <v>2189</v>
      </c>
      <c r="B4114" s="301" t="s">
        <v>3373</v>
      </c>
      <c r="C4114" s="301" t="str">
        <f>"Inbetriebnahme "&amp;$M$4111</f>
        <v>Inbetriebnahme 2013</v>
      </c>
      <c r="D4114" s="301" t="s">
        <v>4386</v>
      </c>
      <c r="E4114" s="301"/>
      <c r="F4114" s="368">
        <f>M4114</f>
        <v>4.8</v>
      </c>
      <c r="G4114" s="429">
        <v>4.8</v>
      </c>
      <c r="H4114" s="303">
        <f t="shared" si="1496"/>
        <v>3.84</v>
      </c>
      <c r="I4114" s="572"/>
      <c r="J4114" s="549" t="s">
        <v>5804</v>
      </c>
      <c r="L4114" s="55" t="str">
        <f>IF(F4114=M4114,"",FALSE)</f>
        <v/>
      </c>
      <c r="M4114" s="45">
        <f>ROUND(N4114,2)+SUMIF(O4114:Q4114,"x",O$4111:Q$4111)</f>
        <v>4.8</v>
      </c>
      <c r="N4114" s="297">
        <f>N4110*(1-$Q$4106)</f>
        <v>4.7969499999999998</v>
      </c>
      <c r="O4114" s="94"/>
      <c r="P4114" s="93"/>
    </row>
    <row r="4115" spans="1:30" x14ac:dyDescent="0.35">
      <c r="A4115" s="496"/>
      <c r="B4115" s="1"/>
      <c r="C4115" s="1"/>
      <c r="D4115" s="1"/>
      <c r="E4115" s="1"/>
      <c r="F4115" s="362"/>
      <c r="G4115" s="425"/>
      <c r="H4115" s="10" t="str">
        <f t="shared" si="1496"/>
        <v/>
      </c>
      <c r="I4115" s="566"/>
      <c r="J4115" s="549" t="s">
        <v>4179</v>
      </c>
      <c r="L4115" s="56"/>
      <c r="M4115" s="289">
        <v>2014</v>
      </c>
      <c r="N4115" s="283"/>
      <c r="O4115" s="284">
        <f>ROUND(R4115,2)</f>
        <v>0.47</v>
      </c>
      <c r="P4115" s="285">
        <f>ROUND(S4115,2)</f>
        <v>0.49</v>
      </c>
      <c r="Q4115" s="74"/>
      <c r="R4115" s="341">
        <f>R4111*(1-$Q$4106)</f>
        <v>0.46570800000000001</v>
      </c>
      <c r="S4115" s="341">
        <f>S4111*(1-$Q$4106)</f>
        <v>0.4851125</v>
      </c>
      <c r="T4115" s="29" t="str">
        <f>"Bonushöhe bei Inbetriebnahme in "&amp;M4115</f>
        <v>Bonushöhe bei Inbetriebnahme in 2014</v>
      </c>
      <c r="U4115" s="29"/>
      <c r="V4115" s="29"/>
      <c r="W4115" s="29"/>
      <c r="X4115" s="29"/>
      <c r="Y4115" s="29"/>
      <c r="Z4115" s="29"/>
      <c r="AA4115" s="29"/>
      <c r="AB4115" s="29"/>
      <c r="AC4115" s="29"/>
      <c r="AD4115" s="29"/>
    </row>
    <row r="4116" spans="1:30" x14ac:dyDescent="0.35">
      <c r="A4116" s="502" t="s">
        <v>1672</v>
      </c>
      <c r="B4116" s="301" t="s">
        <v>3373</v>
      </c>
      <c r="C4116" s="301" t="str">
        <f>"Inbetriebnahme "&amp;$M$4115</f>
        <v>Inbetriebnahme 2014</v>
      </c>
      <c r="D4116" s="301" t="s">
        <v>4384</v>
      </c>
      <c r="E4116" s="301"/>
      <c r="F4116" s="368">
        <f>M4116</f>
        <v>8.66</v>
      </c>
      <c r="G4116" s="429">
        <v>8.66</v>
      </c>
      <c r="H4116" s="303">
        <f t="shared" si="1496"/>
        <v>6.93</v>
      </c>
      <c r="I4116" s="572"/>
      <c r="J4116" s="549" t="s">
        <v>5804</v>
      </c>
      <c r="L4116" s="55" t="str">
        <f>IF(F4116=M4116,"",FALSE)</f>
        <v/>
      </c>
      <c r="M4116" s="37">
        <f>ROUND(N4116,2)+SUMIF(O4116:Q4116,"x",O$4111:Q$4111)</f>
        <v>8.66</v>
      </c>
      <c r="N4116" s="281">
        <f>N4112*(1-$Q$4106)</f>
        <v>8.6641092499999992</v>
      </c>
      <c r="O4116" s="92"/>
      <c r="P4116" s="91"/>
      <c r="Q4116" s="75"/>
    </row>
    <row r="4117" spans="1:30" x14ac:dyDescent="0.35">
      <c r="A4117" s="502" t="s">
        <v>1673</v>
      </c>
      <c r="B4117" s="301" t="s">
        <v>3373</v>
      </c>
      <c r="C4117" s="301" t="str">
        <f>"Inbetriebnahme "&amp;$M$4115</f>
        <v>Inbetriebnahme 2014</v>
      </c>
      <c r="D4117" s="301" t="s">
        <v>4385</v>
      </c>
      <c r="E4117" s="301"/>
      <c r="F4117" s="368">
        <f>M4117</f>
        <v>9.1300000000000008</v>
      </c>
      <c r="G4117" s="429">
        <v>9.1300000000000008</v>
      </c>
      <c r="H4117" s="303">
        <f t="shared" si="1496"/>
        <v>7.3</v>
      </c>
      <c r="I4117" s="572"/>
      <c r="J4117" s="549" t="s">
        <v>5804</v>
      </c>
      <c r="L4117" s="55" t="str">
        <f>IF(F4117=M4117,"",FALSE)</f>
        <v/>
      </c>
      <c r="M4117" s="37">
        <f>ROUND(N4117,2)+SUMIF(O4117:Q4117,"x",O$4111:Q$4111)</f>
        <v>9.1300000000000008</v>
      </c>
      <c r="N4117" s="281">
        <f>N4113*(1-$Q$4106)</f>
        <v>8.6641092499999992</v>
      </c>
      <c r="O4117" s="92" t="s">
        <v>1017</v>
      </c>
      <c r="P4117" s="91"/>
    </row>
    <row r="4118" spans="1:30" x14ac:dyDescent="0.35">
      <c r="A4118" s="502" t="s">
        <v>1674</v>
      </c>
      <c r="B4118" s="301" t="s">
        <v>3373</v>
      </c>
      <c r="C4118" s="301" t="str">
        <f>"Inbetriebnahme "&amp;$M$4115</f>
        <v>Inbetriebnahme 2014</v>
      </c>
      <c r="D4118" s="301" t="s">
        <v>4386</v>
      </c>
      <c r="E4118" s="301"/>
      <c r="F4118" s="368">
        <f>M4118</f>
        <v>4.72</v>
      </c>
      <c r="G4118" s="429">
        <v>4.72</v>
      </c>
      <c r="H4118" s="303">
        <f t="shared" si="1496"/>
        <v>3.78</v>
      </c>
      <c r="I4118" s="572"/>
      <c r="J4118" s="549" t="s">
        <v>5804</v>
      </c>
      <c r="L4118" s="55" t="str">
        <f>IF(F4118=M4118,"",FALSE)</f>
        <v/>
      </c>
      <c r="M4118" s="45">
        <f>ROUND(N4118,2)+SUMIF(O4118:Q4118,"x",O$4111:Q$4111)</f>
        <v>4.72</v>
      </c>
      <c r="N4118" s="297">
        <f>N4114*(1-$Q$4106)</f>
        <v>4.7249957499999997</v>
      </c>
      <c r="O4118" s="94"/>
      <c r="P4118" s="93"/>
    </row>
    <row r="4119" spans="1:30" x14ac:dyDescent="0.35">
      <c r="A4119" s="503"/>
      <c r="B4119" s="1"/>
      <c r="C4119" s="1"/>
      <c r="D4119" s="1"/>
      <c r="E4119" s="1"/>
      <c r="F4119" s="362"/>
      <c r="G4119" s="10"/>
      <c r="H4119" s="10" t="str">
        <f t="shared" si="1496"/>
        <v/>
      </c>
      <c r="I4119" s="566"/>
      <c r="J4119" s="549" t="s">
        <v>4179</v>
      </c>
      <c r="L4119" s="215"/>
      <c r="M4119" s="37"/>
      <c r="N4119" s="29"/>
      <c r="O4119" s="92"/>
      <c r="P4119" s="92"/>
      <c r="Q4119" s="92"/>
    </row>
    <row r="4120" spans="1:30" s="207" customFormat="1" ht="20.25" customHeight="1" x14ac:dyDescent="0.35">
      <c r="A4120" s="504"/>
      <c r="B4120" s="204"/>
      <c r="C4120" s="204"/>
      <c r="D4120" s="204"/>
      <c r="E4120" s="204"/>
      <c r="F4120" s="381"/>
      <c r="G4120" s="205"/>
      <c r="H4120" s="205" t="str">
        <f t="shared" ref="H4120:H4136" si="1497">IF(ISNUMBER(G4120),ROUND(0.8*G4120,2),"")</f>
        <v/>
      </c>
      <c r="I4120" s="583"/>
      <c r="J4120" s="549" t="s">
        <v>4179</v>
      </c>
      <c r="K4120" s="206"/>
      <c r="M4120" s="208" t="s">
        <v>95</v>
      </c>
      <c r="N4120" s="209"/>
      <c r="O4120" s="209"/>
    </row>
    <row r="4121" spans="1:30" x14ac:dyDescent="0.35">
      <c r="A4121" s="496"/>
      <c r="B4121" s="1"/>
      <c r="C4121" s="1"/>
      <c r="D4121" s="1"/>
      <c r="E4121" s="1"/>
      <c r="F4121" s="362"/>
      <c r="G4121" s="10"/>
      <c r="H4121" s="10" t="str">
        <f t="shared" si="1497"/>
        <v/>
      </c>
      <c r="I4121" s="566"/>
      <c r="J4121" s="549" t="s">
        <v>4179</v>
      </c>
      <c r="N4121" s="29" t="s">
        <v>5489</v>
      </c>
      <c r="O4121" t="s">
        <v>4384</v>
      </c>
      <c r="P4121" t="s">
        <v>4386</v>
      </c>
    </row>
    <row r="4122" spans="1:30" x14ac:dyDescent="0.35">
      <c r="A4122" s="495" t="s">
        <v>96</v>
      </c>
      <c r="B4122" s="356" t="s">
        <v>3373</v>
      </c>
      <c r="C4122" s="356" t="s">
        <v>39</v>
      </c>
      <c r="D4122" s="356" t="s">
        <v>4384</v>
      </c>
      <c r="E4122" s="356"/>
      <c r="F4122" s="369">
        <f>ROUND(HLOOKUP(D4122,O4121:P4123,3,FALSE),2)</f>
        <v>8.5</v>
      </c>
      <c r="G4122" s="357">
        <f>ROUND(HLOOKUP(D4122,O4121:P4123,2,FALSE),2)</f>
        <v>8.9</v>
      </c>
      <c r="H4122" s="357">
        <f t="shared" si="1497"/>
        <v>7.12</v>
      </c>
      <c r="I4122" s="573"/>
      <c r="J4122" s="549" t="s">
        <v>5804</v>
      </c>
      <c r="M4122" s="101">
        <v>2014</v>
      </c>
      <c r="N4122" s="322" t="s">
        <v>98</v>
      </c>
      <c r="O4122" s="261">
        <v>8.9</v>
      </c>
      <c r="P4122" s="261">
        <v>4.95</v>
      </c>
      <c r="R4122" t="s">
        <v>49</v>
      </c>
    </row>
    <row r="4123" spans="1:30" x14ac:dyDescent="0.35">
      <c r="A4123" s="495" t="s">
        <v>97</v>
      </c>
      <c r="B4123" s="356" t="s">
        <v>3373</v>
      </c>
      <c r="C4123" s="356" t="s">
        <v>39</v>
      </c>
      <c r="D4123" s="356" t="s">
        <v>4386</v>
      </c>
      <c r="E4123" s="356"/>
      <c r="F4123" s="369">
        <f>ROUND(HLOOKUP(D4123,O4121:P4123,3,FALSE),2)</f>
        <v>4.55</v>
      </c>
      <c r="G4123" s="357">
        <f>ROUND(HLOOKUP(D4123,O4121:P4123,2,FALSE),2)</f>
        <v>4.95</v>
      </c>
      <c r="H4123" s="357">
        <f t="shared" si="1497"/>
        <v>3.96</v>
      </c>
      <c r="I4123" s="573"/>
      <c r="J4123" s="549" t="s">
        <v>5804</v>
      </c>
      <c r="N4123" s="322" t="s">
        <v>85</v>
      </c>
      <c r="O4123" s="261">
        <f>O4122-0.4</f>
        <v>8.5</v>
      </c>
      <c r="P4123" s="261">
        <f>P4122-0.4</f>
        <v>4.55</v>
      </c>
      <c r="R4123" t="s">
        <v>50</v>
      </c>
    </row>
    <row r="4124" spans="1:30" x14ac:dyDescent="0.35">
      <c r="A4124" s="496"/>
      <c r="B4124" s="1"/>
      <c r="C4124" s="1"/>
      <c r="D4124" s="1"/>
      <c r="E4124" s="1"/>
      <c r="F4124" s="362"/>
      <c r="G4124" s="10"/>
      <c r="H4124" s="10" t="str">
        <f t="shared" si="1497"/>
        <v/>
      </c>
      <c r="I4124" s="566"/>
      <c r="J4124" s="549" t="s">
        <v>4179</v>
      </c>
      <c r="N4124" s="29" t="s">
        <v>5489</v>
      </c>
      <c r="O4124" t="s">
        <v>4384</v>
      </c>
      <c r="P4124" t="s">
        <v>4386</v>
      </c>
    </row>
    <row r="4125" spans="1:30" x14ac:dyDescent="0.35">
      <c r="A4125" s="495" t="s">
        <v>385</v>
      </c>
      <c r="B4125" s="356" t="s">
        <v>3373</v>
      </c>
      <c r="C4125" s="356" t="s">
        <v>380</v>
      </c>
      <c r="D4125" s="356" t="s">
        <v>4384</v>
      </c>
      <c r="E4125" s="356"/>
      <c r="F4125" s="369">
        <f>ROUND(HLOOKUP(D4125,O4124:P4126,3,FALSE),2)</f>
        <v>8.5</v>
      </c>
      <c r="G4125" s="357">
        <f>ROUND(HLOOKUP(D4125,O4124:P4126,2,FALSE),2)</f>
        <v>8.9</v>
      </c>
      <c r="H4125" s="357">
        <f t="shared" si="1497"/>
        <v>7.12</v>
      </c>
      <c r="I4125" s="573"/>
      <c r="J4125" s="549" t="s">
        <v>5804</v>
      </c>
      <c r="M4125" s="101">
        <v>2015</v>
      </c>
      <c r="N4125" s="322" t="s">
        <v>98</v>
      </c>
      <c r="O4125" s="261">
        <v>8.9</v>
      </c>
      <c r="P4125" s="261">
        <v>4.95</v>
      </c>
      <c r="R4125" t="s">
        <v>49</v>
      </c>
    </row>
    <row r="4126" spans="1:30" x14ac:dyDescent="0.35">
      <c r="A4126" s="495" t="s">
        <v>386</v>
      </c>
      <c r="B4126" s="356" t="s">
        <v>3373</v>
      </c>
      <c r="C4126" s="356" t="s">
        <v>380</v>
      </c>
      <c r="D4126" s="356" t="s">
        <v>4386</v>
      </c>
      <c r="E4126" s="356"/>
      <c r="F4126" s="369">
        <f>ROUND(HLOOKUP(D4126,O4124:P4126,3,FALSE),2)</f>
        <v>4.55</v>
      </c>
      <c r="G4126" s="357">
        <f>ROUND(HLOOKUP(D4126,O4124:P4126,2,FALSE),2)</f>
        <v>4.95</v>
      </c>
      <c r="H4126" s="357">
        <f t="shared" si="1497"/>
        <v>3.96</v>
      </c>
      <c r="I4126" s="573"/>
      <c r="J4126" s="549" t="s">
        <v>5804</v>
      </c>
      <c r="N4126" s="322" t="s">
        <v>85</v>
      </c>
      <c r="O4126" s="261">
        <f>O4125-0.4</f>
        <v>8.5</v>
      </c>
      <c r="P4126" s="261">
        <f>P4125-0.4</f>
        <v>4.55</v>
      </c>
      <c r="R4126" t="s">
        <v>50</v>
      </c>
    </row>
    <row r="4127" spans="1:30" x14ac:dyDescent="0.35">
      <c r="A4127" s="12"/>
      <c r="B4127" s="9"/>
      <c r="C4127" s="1"/>
      <c r="D4127" s="1"/>
      <c r="E4127" s="1"/>
      <c r="F4127" s="362"/>
      <c r="G4127" s="10"/>
      <c r="H4127" s="10" t="str">
        <f t="shared" si="1497"/>
        <v/>
      </c>
      <c r="I4127" s="566"/>
      <c r="J4127" s="549" t="s">
        <v>4179</v>
      </c>
      <c r="N4127" s="29" t="s">
        <v>5489</v>
      </c>
      <c r="P4127" t="s">
        <v>4384</v>
      </c>
      <c r="Q4127" t="s">
        <v>4386</v>
      </c>
      <c r="R4127" t="s">
        <v>49</v>
      </c>
      <c r="S4127" s="101" t="s">
        <v>2883</v>
      </c>
      <c r="T4127" t="s">
        <v>4384</v>
      </c>
      <c r="U4127" t="s">
        <v>4386</v>
      </c>
      <c r="V4127" t="s">
        <v>50</v>
      </c>
    </row>
    <row r="4128" spans="1:30" x14ac:dyDescent="0.35">
      <c r="A4128" s="495" t="s">
        <v>5712</v>
      </c>
      <c r="B4128" s="356" t="s">
        <v>3373</v>
      </c>
      <c r="C4128" s="356" t="s">
        <v>5676</v>
      </c>
      <c r="D4128" s="356" t="s">
        <v>4384</v>
      </c>
      <c r="E4128" s="356"/>
      <c r="F4128" s="369">
        <f t="shared" ref="F4128:F4135" si="1498">IF(HLOOKUP($D4128,$T$4127:$U$4131,MATCH(MID($A4128,11,2),$N$4127:$N$4131,0),FALSE)&lt;&gt;"",ROUND(HLOOKUP($D4128,$T$4127:$U$4131,MATCH(MID($A4128,11,2),$N$4127:$N$4131,0),FALSE),2),"")</f>
        <v>8.4</v>
      </c>
      <c r="G4128" s="357">
        <f t="shared" ref="G4128:G4135" si="1499">IF(HLOOKUP($D4128,$P$4127:$Q$4131,MATCH(MID($A4128,11,2),$N$4127:$N$4131,0),FALSE)&lt;&gt;"",ROUND(HLOOKUP($D4128,$P$4127:$Q$4131,MATCH(MID($A4128,11,2),$N$4127:$N$4131,0),FALSE),2),"")</f>
        <v>8.7899999999999991</v>
      </c>
      <c r="H4128" s="357">
        <f t="shared" si="1497"/>
        <v>7.03</v>
      </c>
      <c r="I4128" s="573"/>
      <c r="J4128" s="549" t="s">
        <v>5804</v>
      </c>
      <c r="M4128" s="101">
        <v>2016</v>
      </c>
      <c r="N4128" s="519" t="s">
        <v>5758</v>
      </c>
      <c r="O4128" s="461">
        <v>1.2E-2</v>
      </c>
      <c r="P4128" s="261">
        <f>IF($O4128&lt;&gt;"",(1-$O4128)*O4125,"")</f>
        <v>8.7932000000000006</v>
      </c>
      <c r="Q4128" s="261">
        <f>IF($O4128&lt;&gt;"",(1-$O4128)*P4125,"")</f>
        <v>4.8906000000000001</v>
      </c>
      <c r="T4128" s="261">
        <f>IF($O4128&lt;&gt;"",(1-$O4128)*O4126,"")</f>
        <v>8.3979999999999997</v>
      </c>
      <c r="U4128" s="261">
        <f>IF($O4128&lt;&gt;"",(1-$O4128)*P4126,"")</f>
        <v>4.4954000000000001</v>
      </c>
    </row>
    <row r="4129" spans="1:21" x14ac:dyDescent="0.35">
      <c r="A4129" s="495" t="s">
        <v>5713</v>
      </c>
      <c r="B4129" s="356" t="s">
        <v>3373</v>
      </c>
      <c r="C4129" s="356" t="s">
        <v>5676</v>
      </c>
      <c r="D4129" s="356" t="s">
        <v>4386</v>
      </c>
      <c r="E4129" s="356"/>
      <c r="F4129" s="369">
        <f t="shared" si="1498"/>
        <v>4.5</v>
      </c>
      <c r="G4129" s="357">
        <f t="shared" si="1499"/>
        <v>4.8899999999999997</v>
      </c>
      <c r="H4129" s="357">
        <f t="shared" si="1497"/>
        <v>3.91</v>
      </c>
      <c r="I4129" s="573"/>
      <c r="J4129" s="549" t="s">
        <v>5804</v>
      </c>
      <c r="M4129" s="37"/>
      <c r="N4129" s="519" t="s">
        <v>5759</v>
      </c>
      <c r="O4129" s="461">
        <v>1.2E-2</v>
      </c>
      <c r="P4129" s="261">
        <f t="shared" ref="P4129:Q4131" si="1500">IF($O4129&lt;&gt;"",(1-$O4129)*P4128,"")</f>
        <v>8.6876816000000012</v>
      </c>
      <c r="Q4129" s="261">
        <f t="shared" si="1500"/>
        <v>4.8319127999999996</v>
      </c>
      <c r="T4129" s="261">
        <f t="shared" ref="T4129:U4131" si="1501">IF($O4129&lt;&gt;"",(1-$O4129)*T4128,"")</f>
        <v>8.2972239999999999</v>
      </c>
      <c r="U4129" s="261">
        <f t="shared" si="1501"/>
        <v>4.4414552</v>
      </c>
    </row>
    <row r="4130" spans="1:21" x14ac:dyDescent="0.35">
      <c r="A4130" s="495" t="s">
        <v>5714</v>
      </c>
      <c r="B4130" s="356" t="s">
        <v>3373</v>
      </c>
      <c r="C4130" s="356" t="s">
        <v>5694</v>
      </c>
      <c r="D4130" s="356" t="s">
        <v>4384</v>
      </c>
      <c r="E4130" s="356"/>
      <c r="F4130" s="369">
        <f t="shared" si="1498"/>
        <v>8.3000000000000007</v>
      </c>
      <c r="G4130" s="357">
        <f t="shared" si="1499"/>
        <v>8.69</v>
      </c>
      <c r="H4130" s="357">
        <f t="shared" si="1497"/>
        <v>6.95</v>
      </c>
      <c r="I4130" s="573"/>
      <c r="J4130" s="549" t="s">
        <v>5804</v>
      </c>
      <c r="M4130" s="37"/>
      <c r="N4130" s="519" t="s">
        <v>5760</v>
      </c>
      <c r="O4130" s="461">
        <v>1.2E-2</v>
      </c>
      <c r="P4130" s="261">
        <f t="shared" si="1500"/>
        <v>8.5834294208000017</v>
      </c>
      <c r="Q4130" s="261">
        <f t="shared" si="1500"/>
        <v>4.7739298463999997</v>
      </c>
      <c r="T4130" s="261">
        <f t="shared" si="1501"/>
        <v>8.1976573120000005</v>
      </c>
      <c r="U4130" s="261">
        <f t="shared" si="1501"/>
        <v>4.3881577376000003</v>
      </c>
    </row>
    <row r="4131" spans="1:21" x14ac:dyDescent="0.35">
      <c r="A4131" s="495" t="s">
        <v>5715</v>
      </c>
      <c r="B4131" s="356" t="s">
        <v>3373</v>
      </c>
      <c r="C4131" s="356" t="s">
        <v>5694</v>
      </c>
      <c r="D4131" s="356" t="s">
        <v>4386</v>
      </c>
      <c r="E4131" s="356"/>
      <c r="F4131" s="369">
        <f t="shared" si="1498"/>
        <v>4.4400000000000004</v>
      </c>
      <c r="G4131" s="357">
        <f t="shared" si="1499"/>
        <v>4.83</v>
      </c>
      <c r="H4131" s="357">
        <f t="shared" si="1497"/>
        <v>3.86</v>
      </c>
      <c r="I4131" s="573"/>
      <c r="J4131" s="549" t="s">
        <v>5804</v>
      </c>
      <c r="M4131" s="37"/>
      <c r="N4131" s="519" t="s">
        <v>5761</v>
      </c>
      <c r="O4131" s="461">
        <v>1.2E-2</v>
      </c>
      <c r="P4131" s="261">
        <f t="shared" si="1500"/>
        <v>8.4804282677504013</v>
      </c>
      <c r="Q4131" s="261">
        <f t="shared" si="1500"/>
        <v>4.7166426882431995</v>
      </c>
      <c r="T4131" s="261">
        <f t="shared" si="1501"/>
        <v>8.0992854242560011</v>
      </c>
      <c r="U4131" s="261">
        <f t="shared" si="1501"/>
        <v>4.3354998447488002</v>
      </c>
    </row>
    <row r="4132" spans="1:21" x14ac:dyDescent="0.35">
      <c r="A4132" s="495" t="s">
        <v>5716</v>
      </c>
      <c r="B4132" s="356" t="s">
        <v>3373</v>
      </c>
      <c r="C4132" s="356" t="s">
        <v>5695</v>
      </c>
      <c r="D4132" s="356" t="s">
        <v>4384</v>
      </c>
      <c r="E4132" s="356"/>
      <c r="F4132" s="369">
        <f t="shared" si="1498"/>
        <v>8.1999999999999993</v>
      </c>
      <c r="G4132" s="357">
        <f t="shared" si="1499"/>
        <v>8.58</v>
      </c>
      <c r="H4132" s="357">
        <f t="shared" si="1497"/>
        <v>6.86</v>
      </c>
      <c r="I4132" s="573"/>
      <c r="J4132" s="549" t="s">
        <v>5804</v>
      </c>
      <c r="N4132" s="322"/>
    </row>
    <row r="4133" spans="1:21" x14ac:dyDescent="0.35">
      <c r="A4133" s="495" t="s">
        <v>5717</v>
      </c>
      <c r="B4133" s="356" t="s">
        <v>3373</v>
      </c>
      <c r="C4133" s="356" t="s">
        <v>5695</v>
      </c>
      <c r="D4133" s="356" t="s">
        <v>4386</v>
      </c>
      <c r="E4133" s="356"/>
      <c r="F4133" s="369">
        <f t="shared" si="1498"/>
        <v>4.3899999999999997</v>
      </c>
      <c r="G4133" s="357">
        <f t="shared" si="1499"/>
        <v>4.7699999999999996</v>
      </c>
      <c r="H4133" s="357">
        <f t="shared" si="1497"/>
        <v>3.82</v>
      </c>
      <c r="I4133" s="573"/>
      <c r="J4133" s="549" t="s">
        <v>5804</v>
      </c>
      <c r="N4133" s="322"/>
    </row>
    <row r="4134" spans="1:21" x14ac:dyDescent="0.35">
      <c r="A4134" s="495" t="s">
        <v>5718</v>
      </c>
      <c r="B4134" s="356" t="s">
        <v>3373</v>
      </c>
      <c r="C4134" s="356" t="s">
        <v>5696</v>
      </c>
      <c r="D4134" s="356" t="s">
        <v>4384</v>
      </c>
      <c r="E4134" s="356"/>
      <c r="F4134" s="369">
        <f t="shared" si="1498"/>
        <v>8.1</v>
      </c>
      <c r="G4134" s="357">
        <f t="shared" si="1499"/>
        <v>8.48</v>
      </c>
      <c r="H4134" s="357">
        <f t="shared" si="1497"/>
        <v>6.78</v>
      </c>
      <c r="I4134" s="573"/>
      <c r="J4134" s="549" t="s">
        <v>5804</v>
      </c>
      <c r="N4134" s="322"/>
    </row>
    <row r="4135" spans="1:21" x14ac:dyDescent="0.35">
      <c r="A4135" s="495" t="s">
        <v>5719</v>
      </c>
      <c r="B4135" s="356" t="s">
        <v>3373</v>
      </c>
      <c r="C4135" s="356" t="s">
        <v>5696</v>
      </c>
      <c r="D4135" s="356" t="s">
        <v>4386</v>
      </c>
      <c r="E4135" s="356"/>
      <c r="F4135" s="369">
        <f t="shared" si="1498"/>
        <v>4.34</v>
      </c>
      <c r="G4135" s="357">
        <f t="shared" si="1499"/>
        <v>4.72</v>
      </c>
      <c r="H4135" s="357">
        <f t="shared" si="1497"/>
        <v>3.78</v>
      </c>
      <c r="I4135" s="573"/>
      <c r="J4135" s="549" t="s">
        <v>5804</v>
      </c>
      <c r="N4135" s="322"/>
    </row>
    <row r="4136" spans="1:21" x14ac:dyDescent="0.35">
      <c r="A4136" s="12"/>
      <c r="B4136" s="9"/>
      <c r="C4136" s="1"/>
      <c r="D4136" s="1"/>
      <c r="E4136" s="1"/>
      <c r="F4136" s="362"/>
      <c r="G4136" s="10"/>
      <c r="H4136" s="10" t="str">
        <f t="shared" si="1497"/>
        <v/>
      </c>
      <c r="I4136" s="566"/>
      <c r="J4136" s="549" t="s">
        <v>4179</v>
      </c>
    </row>
    <row r="4137" spans="1:21" ht="15.5" x14ac:dyDescent="0.35">
      <c r="A4137" s="12"/>
      <c r="B4137" s="9"/>
      <c r="C4137" s="1"/>
      <c r="D4137" s="1"/>
      <c r="E4137" s="1"/>
      <c r="F4137" s="362"/>
      <c r="G4137" s="10"/>
      <c r="H4137" s="10"/>
      <c r="I4137" s="566"/>
      <c r="J4137" s="549"/>
      <c r="M4137" s="208" t="s">
        <v>5928</v>
      </c>
      <c r="N4137" s="29"/>
      <c r="S4137" s="101"/>
    </row>
    <row r="4138" spans="1:21" x14ac:dyDescent="0.35">
      <c r="A4138" s="12"/>
      <c r="B4138" s="9"/>
      <c r="C4138" s="1"/>
      <c r="D4138" s="1"/>
      <c r="E4138" s="1"/>
      <c r="F4138" s="362"/>
      <c r="G4138" s="10"/>
      <c r="H4138" s="10"/>
      <c r="I4138" s="566"/>
      <c r="J4138" s="549"/>
      <c r="N4138" s="29" t="s">
        <v>5489</v>
      </c>
      <c r="P4138" t="s">
        <v>4384</v>
      </c>
      <c r="Q4138" t="s">
        <v>4386</v>
      </c>
      <c r="R4138" t="s">
        <v>49</v>
      </c>
      <c r="S4138" s="101" t="s">
        <v>2883</v>
      </c>
      <c r="T4138" t="s">
        <v>4384</v>
      </c>
      <c r="U4138" t="s">
        <v>4386</v>
      </c>
    </row>
    <row r="4139" spans="1:21" x14ac:dyDescent="0.35">
      <c r="A4139" s="527" t="s">
        <v>5951</v>
      </c>
      <c r="B4139" s="526" t="s">
        <v>3373</v>
      </c>
      <c r="C4139" s="526" t="s">
        <v>5954</v>
      </c>
      <c r="D4139" s="526" t="s">
        <v>4384</v>
      </c>
      <c r="E4139" s="526"/>
      <c r="F4139" s="538">
        <f t="shared" ref="F4139:F4162" si="1502">IF(HLOOKUP($D4139,$T$4138:$U$4150,MATCH(MID($A4139,10,3),$N$4138:$N$4150,0),FALSE)&lt;&gt;"",ROUND(HLOOKUP($D4139,$T$4138:$U$4150,MATCH(MID($A4139,10,3),$N$4138:$N$4150,0),FALSE),2),"")</f>
        <v>7.98</v>
      </c>
      <c r="G4139" s="537">
        <f t="shared" ref="G4139:G4162" si="1503">IF(HLOOKUP($D4139,$P$4138:$Q$4150,MATCH(MID($A4139,10,3),$N$4138:$N$4150,0),FALSE)&lt;&gt;"",ROUND(HLOOKUP($D4139,$P$4138:$Q$4150,MATCH(MID($A4139,10,3),$N$4138:$N$4150,0),FALSE),2),"")</f>
        <v>8.3800000000000008</v>
      </c>
      <c r="H4139" s="537">
        <f t="shared" ref="H4139:H4162" si="1504">IF(ISNUMBER(G4139),ROUND(0.8*G4139,2),"")</f>
        <v>6.7</v>
      </c>
      <c r="I4139" s="574"/>
      <c r="J4139" s="549">
        <v>42705</v>
      </c>
      <c r="M4139" s="101">
        <v>2017</v>
      </c>
      <c r="N4139" s="540" t="s">
        <v>5950</v>
      </c>
      <c r="O4139" s="461"/>
      <c r="P4139" s="261">
        <v>8.3800000000000008</v>
      </c>
      <c r="Q4139" s="261">
        <v>4.66</v>
      </c>
      <c r="T4139" s="261">
        <f>P4139-0.4</f>
        <v>7.98</v>
      </c>
      <c r="U4139" s="261">
        <f>Q4139-0.4</f>
        <v>4.26</v>
      </c>
    </row>
    <row r="4140" spans="1:21" x14ac:dyDescent="0.35">
      <c r="A4140" s="527" t="s">
        <v>5952</v>
      </c>
      <c r="B4140" s="526" t="s">
        <v>3373</v>
      </c>
      <c r="C4140" s="526" t="s">
        <v>5954</v>
      </c>
      <c r="D4140" s="526" t="s">
        <v>4386</v>
      </c>
      <c r="E4140" s="526"/>
      <c r="F4140" s="538">
        <f t="shared" si="1502"/>
        <v>4.26</v>
      </c>
      <c r="G4140" s="537">
        <f t="shared" si="1503"/>
        <v>4.66</v>
      </c>
      <c r="H4140" s="537">
        <f t="shared" si="1504"/>
        <v>3.73</v>
      </c>
      <c r="I4140" s="574"/>
      <c r="J4140" s="549">
        <v>42705</v>
      </c>
      <c r="M4140" s="37"/>
      <c r="N4140" s="540" t="s">
        <v>5932</v>
      </c>
      <c r="O4140" s="461">
        <v>0</v>
      </c>
      <c r="P4140" s="261">
        <f t="shared" ref="P4140:P4150" si="1505">IF($O4140&lt;&gt;"",(1-$O4140)*P4139,"")</f>
        <v>8.3800000000000008</v>
      </c>
      <c r="Q4140" s="261">
        <f t="shared" ref="Q4140:Q4150" si="1506">IF($O4140&lt;&gt;"",(1-$O4140)*Q4139,"")</f>
        <v>4.66</v>
      </c>
      <c r="T4140" s="261">
        <f t="shared" ref="T4140:T4150" si="1507">IF($O4140&lt;&gt;"",P4140-0.4,"")</f>
        <v>7.98</v>
      </c>
      <c r="U4140" s="261">
        <f t="shared" ref="U4140:U4150" si="1508">IF($O4140&lt;&gt;"",Q4140-0.4,"")</f>
        <v>4.26</v>
      </c>
    </row>
    <row r="4141" spans="1:21" x14ac:dyDescent="0.35">
      <c r="A4141" s="527" t="s">
        <v>5955</v>
      </c>
      <c r="B4141" s="526" t="s">
        <v>3373</v>
      </c>
      <c r="C4141" s="526" t="s">
        <v>5953</v>
      </c>
      <c r="D4141" s="526" t="s">
        <v>4384</v>
      </c>
      <c r="E4141" s="526"/>
      <c r="F4141" s="538">
        <f t="shared" si="1502"/>
        <v>7.98</v>
      </c>
      <c r="G4141" s="537">
        <f t="shared" si="1503"/>
        <v>8.3800000000000008</v>
      </c>
      <c r="H4141" s="537">
        <f t="shared" si="1504"/>
        <v>6.7</v>
      </c>
      <c r="I4141" s="574"/>
      <c r="J4141" s="549">
        <v>42705</v>
      </c>
      <c r="M4141" s="37"/>
      <c r="N4141" s="540" t="s">
        <v>5933</v>
      </c>
      <c r="O4141" s="461">
        <v>1.0500000000000001E-2</v>
      </c>
      <c r="P4141" s="261">
        <f t="shared" si="1505"/>
        <v>8.2920100000000012</v>
      </c>
      <c r="Q4141" s="261">
        <f t="shared" si="1506"/>
        <v>4.6110700000000007</v>
      </c>
      <c r="T4141" s="261">
        <f t="shared" si="1507"/>
        <v>7.8920100000000009</v>
      </c>
      <c r="U4141" s="261">
        <f t="shared" si="1508"/>
        <v>4.2110700000000003</v>
      </c>
    </row>
    <row r="4142" spans="1:21" x14ac:dyDescent="0.35">
      <c r="A4142" s="527" t="s">
        <v>5956</v>
      </c>
      <c r="B4142" s="526" t="s">
        <v>3373</v>
      </c>
      <c r="C4142" s="526" t="s">
        <v>5953</v>
      </c>
      <c r="D4142" s="526" t="s">
        <v>4386</v>
      </c>
      <c r="E4142" s="526"/>
      <c r="F4142" s="538">
        <f t="shared" si="1502"/>
        <v>4.26</v>
      </c>
      <c r="G4142" s="537">
        <f t="shared" si="1503"/>
        <v>4.66</v>
      </c>
      <c r="H4142" s="537">
        <f t="shared" si="1504"/>
        <v>3.73</v>
      </c>
      <c r="I4142" s="574"/>
      <c r="J4142" s="549">
        <v>42705</v>
      </c>
      <c r="M4142" s="37"/>
      <c r="N4142" s="540" t="s">
        <v>5934</v>
      </c>
      <c r="O4142" s="461">
        <v>1.0500000000000001E-2</v>
      </c>
      <c r="P4142" s="261">
        <f t="shared" si="1505"/>
        <v>8.2049438950000013</v>
      </c>
      <c r="Q4142" s="261">
        <f t="shared" si="1506"/>
        <v>4.5626537650000012</v>
      </c>
      <c r="T4142" s="261">
        <f t="shared" si="1507"/>
        <v>7.804943895000001</v>
      </c>
      <c r="U4142" s="261">
        <f t="shared" si="1508"/>
        <v>4.1626537650000008</v>
      </c>
    </row>
    <row r="4143" spans="1:21" x14ac:dyDescent="0.35">
      <c r="A4143" s="527" t="s">
        <v>5957</v>
      </c>
      <c r="B4143" s="526" t="s">
        <v>3373</v>
      </c>
      <c r="C4143" s="526" t="s">
        <v>5943</v>
      </c>
      <c r="D4143" s="526" t="s">
        <v>4384</v>
      </c>
      <c r="E4143" s="526"/>
      <c r="F4143" s="538">
        <f t="shared" si="1502"/>
        <v>7.89</v>
      </c>
      <c r="G4143" s="537">
        <f t="shared" si="1503"/>
        <v>8.2899999999999991</v>
      </c>
      <c r="H4143" s="537">
        <f t="shared" si="1504"/>
        <v>6.63</v>
      </c>
      <c r="I4143" s="574"/>
      <c r="J4143" s="549">
        <v>42705</v>
      </c>
      <c r="N4143" s="541" t="s">
        <v>5935</v>
      </c>
      <c r="O4143" s="461">
        <v>1.0500000000000001E-2</v>
      </c>
      <c r="P4143" s="261">
        <f t="shared" si="1505"/>
        <v>8.1187919841025025</v>
      </c>
      <c r="Q4143" s="261">
        <f t="shared" si="1506"/>
        <v>4.514745900467501</v>
      </c>
      <c r="T4143" s="261">
        <f t="shared" si="1507"/>
        <v>7.7187919841025021</v>
      </c>
      <c r="U4143" s="261">
        <f t="shared" si="1508"/>
        <v>4.1147459004675007</v>
      </c>
    </row>
    <row r="4144" spans="1:21" x14ac:dyDescent="0.35">
      <c r="A4144" s="527" t="s">
        <v>5958</v>
      </c>
      <c r="B4144" s="526" t="s">
        <v>3373</v>
      </c>
      <c r="C4144" s="526" t="s">
        <v>5943</v>
      </c>
      <c r="D4144" s="526" t="s">
        <v>4386</v>
      </c>
      <c r="E4144" s="526"/>
      <c r="F4144" s="538">
        <f t="shared" si="1502"/>
        <v>4.21</v>
      </c>
      <c r="G4144" s="537">
        <f t="shared" si="1503"/>
        <v>4.6100000000000003</v>
      </c>
      <c r="H4144" s="537">
        <f t="shared" si="1504"/>
        <v>3.69</v>
      </c>
      <c r="I4144" s="574"/>
      <c r="J4144" s="549">
        <v>42705</v>
      </c>
      <c r="N4144" s="540" t="s">
        <v>5936</v>
      </c>
      <c r="O4144" s="461">
        <v>1.0500000000000001E-2</v>
      </c>
      <c r="P4144" s="261">
        <f t="shared" si="1505"/>
        <v>8.0335446682694265</v>
      </c>
      <c r="Q4144" s="261">
        <f t="shared" si="1506"/>
        <v>4.4673410685125923</v>
      </c>
      <c r="T4144" s="261">
        <f t="shared" si="1507"/>
        <v>7.6335446682694261</v>
      </c>
      <c r="U4144" s="261">
        <f t="shared" si="1508"/>
        <v>4.0673410685125919</v>
      </c>
    </row>
    <row r="4145" spans="1:21" x14ac:dyDescent="0.35">
      <c r="A4145" s="527" t="s">
        <v>5959</v>
      </c>
      <c r="B4145" s="526" t="s">
        <v>3373</v>
      </c>
      <c r="C4145" s="526" t="s">
        <v>5929</v>
      </c>
      <c r="D4145" s="526" t="s">
        <v>4384</v>
      </c>
      <c r="E4145" s="526"/>
      <c r="F4145" s="538">
        <f t="shared" si="1502"/>
        <v>7.8</v>
      </c>
      <c r="G4145" s="537">
        <f t="shared" si="1503"/>
        <v>8.1999999999999993</v>
      </c>
      <c r="H4145" s="537">
        <f t="shared" si="1504"/>
        <v>6.56</v>
      </c>
      <c r="I4145" s="574"/>
      <c r="J4145" s="549">
        <v>42705</v>
      </c>
      <c r="N4145" s="541" t="s">
        <v>5937</v>
      </c>
      <c r="O4145" s="461">
        <v>1.0500000000000001E-2</v>
      </c>
      <c r="P4145" s="261">
        <f t="shared" si="1505"/>
        <v>7.9491924492525978</v>
      </c>
      <c r="Q4145" s="261">
        <f t="shared" si="1506"/>
        <v>4.4204339872932099</v>
      </c>
      <c r="T4145" s="261">
        <f t="shared" si="1507"/>
        <v>7.5491924492525975</v>
      </c>
      <c r="U4145" s="261">
        <f t="shared" si="1508"/>
        <v>4.0204339872932096</v>
      </c>
    </row>
    <row r="4146" spans="1:21" x14ac:dyDescent="0.35">
      <c r="A4146" s="527" t="s">
        <v>5960</v>
      </c>
      <c r="B4146" s="526" t="s">
        <v>3373</v>
      </c>
      <c r="C4146" s="526" t="s">
        <v>5929</v>
      </c>
      <c r="D4146" s="526" t="s">
        <v>4386</v>
      </c>
      <c r="E4146" s="526"/>
      <c r="F4146" s="538">
        <f t="shared" si="1502"/>
        <v>4.16</v>
      </c>
      <c r="G4146" s="537">
        <f t="shared" si="1503"/>
        <v>4.5599999999999996</v>
      </c>
      <c r="H4146" s="537">
        <f t="shared" si="1504"/>
        <v>3.65</v>
      </c>
      <c r="I4146" s="574"/>
      <c r="J4146" s="549">
        <v>42705</v>
      </c>
      <c r="N4146" s="540" t="s">
        <v>5938</v>
      </c>
      <c r="O4146" s="461">
        <v>1.0500000000000001E-2</v>
      </c>
      <c r="P4146" s="261">
        <f t="shared" si="1505"/>
        <v>7.8657259285354462</v>
      </c>
      <c r="Q4146" s="261">
        <f t="shared" si="1506"/>
        <v>4.3740194304266318</v>
      </c>
      <c r="T4146" s="261">
        <f t="shared" si="1507"/>
        <v>7.4657259285354458</v>
      </c>
      <c r="U4146" s="261">
        <f t="shared" si="1508"/>
        <v>3.9740194304266319</v>
      </c>
    </row>
    <row r="4147" spans="1:21" x14ac:dyDescent="0.35">
      <c r="A4147" s="527" t="s">
        <v>5961</v>
      </c>
      <c r="B4147" s="526" t="s">
        <v>3373</v>
      </c>
      <c r="C4147" s="526" t="s">
        <v>5930</v>
      </c>
      <c r="D4147" s="526" t="s">
        <v>4384</v>
      </c>
      <c r="E4147" s="526"/>
      <c r="F4147" s="538">
        <f t="shared" si="1502"/>
        <v>7.72</v>
      </c>
      <c r="G4147" s="537">
        <f t="shared" si="1503"/>
        <v>8.1199999999999992</v>
      </c>
      <c r="H4147" s="537">
        <f t="shared" si="1504"/>
        <v>6.5</v>
      </c>
      <c r="I4147" s="574"/>
      <c r="J4147" s="549">
        <v>42705</v>
      </c>
      <c r="N4147" s="541" t="s">
        <v>5939</v>
      </c>
      <c r="O4147" s="461">
        <v>0</v>
      </c>
      <c r="P4147" s="261">
        <f t="shared" si="1505"/>
        <v>7.8657259285354462</v>
      </c>
      <c r="Q4147" s="261">
        <f t="shared" si="1506"/>
        <v>4.3740194304266318</v>
      </c>
      <c r="T4147" s="261">
        <f t="shared" si="1507"/>
        <v>7.4657259285354458</v>
      </c>
      <c r="U4147" s="261">
        <f t="shared" si="1508"/>
        <v>3.9740194304266319</v>
      </c>
    </row>
    <row r="4148" spans="1:21" x14ac:dyDescent="0.35">
      <c r="A4148" s="527" t="s">
        <v>6072</v>
      </c>
      <c r="B4148" s="526" t="s">
        <v>3373</v>
      </c>
      <c r="C4148" s="526" t="s">
        <v>5930</v>
      </c>
      <c r="D4148" s="526" t="s">
        <v>4386</v>
      </c>
      <c r="E4148" s="526"/>
      <c r="F4148" s="538">
        <f t="shared" si="1502"/>
        <v>4.1100000000000003</v>
      </c>
      <c r="G4148" s="537">
        <f t="shared" si="1503"/>
        <v>4.51</v>
      </c>
      <c r="H4148" s="537">
        <f t="shared" si="1504"/>
        <v>3.61</v>
      </c>
      <c r="I4148" s="574"/>
      <c r="J4148" s="549">
        <v>42705</v>
      </c>
      <c r="N4148" s="540" t="s">
        <v>5940</v>
      </c>
      <c r="O4148" s="461">
        <v>2.4E-2</v>
      </c>
      <c r="P4148" s="261">
        <f t="shared" si="1505"/>
        <v>7.6769485062505955</v>
      </c>
      <c r="Q4148" s="261">
        <f t="shared" si="1506"/>
        <v>4.2690429640963927</v>
      </c>
      <c r="T4148" s="261">
        <f t="shared" si="1507"/>
        <v>7.2769485062505952</v>
      </c>
      <c r="U4148" s="261">
        <f t="shared" si="1508"/>
        <v>3.8690429640963928</v>
      </c>
    </row>
    <row r="4149" spans="1:21" x14ac:dyDescent="0.35">
      <c r="A4149" s="527" t="s">
        <v>5962</v>
      </c>
      <c r="B4149" s="526" t="s">
        <v>3373</v>
      </c>
      <c r="C4149" s="526" t="s">
        <v>5931</v>
      </c>
      <c r="D4149" s="526" t="s">
        <v>4384</v>
      </c>
      <c r="E4149" s="526"/>
      <c r="F4149" s="538">
        <f t="shared" si="1502"/>
        <v>7.63</v>
      </c>
      <c r="G4149" s="537">
        <f t="shared" si="1503"/>
        <v>8.0299999999999994</v>
      </c>
      <c r="H4149" s="537">
        <f t="shared" si="1504"/>
        <v>6.42</v>
      </c>
      <c r="I4149" s="574"/>
      <c r="J4149" s="549">
        <v>42705</v>
      </c>
      <c r="N4149" s="541" t="s">
        <v>5941</v>
      </c>
      <c r="O4149" s="461">
        <v>0</v>
      </c>
      <c r="P4149" s="261">
        <f t="shared" si="1505"/>
        <v>7.6769485062505955</v>
      </c>
      <c r="Q4149" s="261">
        <f t="shared" si="1506"/>
        <v>4.2690429640963927</v>
      </c>
      <c r="T4149" s="261">
        <f t="shared" si="1507"/>
        <v>7.2769485062505952</v>
      </c>
      <c r="U4149" s="261">
        <f t="shared" si="1508"/>
        <v>3.8690429640963928</v>
      </c>
    </row>
    <row r="4150" spans="1:21" x14ac:dyDescent="0.35">
      <c r="A4150" s="527" t="s">
        <v>5963</v>
      </c>
      <c r="B4150" s="526" t="s">
        <v>3373</v>
      </c>
      <c r="C4150" s="526" t="s">
        <v>5931</v>
      </c>
      <c r="D4150" s="526" t="s">
        <v>4386</v>
      </c>
      <c r="E4150" s="526"/>
      <c r="F4150" s="538">
        <f t="shared" si="1502"/>
        <v>4.07</v>
      </c>
      <c r="G4150" s="537">
        <f t="shared" si="1503"/>
        <v>4.47</v>
      </c>
      <c r="H4150" s="537">
        <f t="shared" si="1504"/>
        <v>3.58</v>
      </c>
      <c r="I4150" s="574"/>
      <c r="J4150" s="549">
        <v>42705</v>
      </c>
      <c r="N4150" s="540" t="s">
        <v>5942</v>
      </c>
      <c r="O4150" s="461">
        <v>0</v>
      </c>
      <c r="P4150" s="261">
        <f t="shared" si="1505"/>
        <v>7.6769485062505955</v>
      </c>
      <c r="Q4150" s="261">
        <f t="shared" si="1506"/>
        <v>4.2690429640963927</v>
      </c>
      <c r="T4150" s="261">
        <f t="shared" si="1507"/>
        <v>7.2769485062505952</v>
      </c>
      <c r="U4150" s="261">
        <f t="shared" si="1508"/>
        <v>3.8690429640963928</v>
      </c>
    </row>
    <row r="4151" spans="1:21" x14ac:dyDescent="0.35">
      <c r="A4151" s="527" t="s">
        <v>5964</v>
      </c>
      <c r="B4151" s="526" t="s">
        <v>3373</v>
      </c>
      <c r="C4151" s="526" t="s">
        <v>5944</v>
      </c>
      <c r="D4151" s="526" t="s">
        <v>4384</v>
      </c>
      <c r="E4151" s="526"/>
      <c r="F4151" s="538">
        <f t="shared" si="1502"/>
        <v>7.55</v>
      </c>
      <c r="G4151" s="537">
        <f t="shared" si="1503"/>
        <v>7.95</v>
      </c>
      <c r="H4151" s="537">
        <f t="shared" si="1504"/>
        <v>6.36</v>
      </c>
      <c r="I4151" s="574"/>
      <c r="J4151" s="549">
        <v>42705</v>
      </c>
      <c r="N4151" s="539"/>
    </row>
    <row r="4152" spans="1:21" x14ac:dyDescent="0.35">
      <c r="A4152" s="527" t="s">
        <v>5965</v>
      </c>
      <c r="B4152" s="526" t="s">
        <v>3373</v>
      </c>
      <c r="C4152" s="526" t="s">
        <v>5944</v>
      </c>
      <c r="D4152" s="526" t="s">
        <v>4386</v>
      </c>
      <c r="E4152" s="526"/>
      <c r="F4152" s="538">
        <f t="shared" si="1502"/>
        <v>4.0199999999999996</v>
      </c>
      <c r="G4152" s="537">
        <f t="shared" si="1503"/>
        <v>4.42</v>
      </c>
      <c r="H4152" s="537">
        <f t="shared" si="1504"/>
        <v>3.54</v>
      </c>
      <c r="I4152" s="574"/>
      <c r="J4152" s="549">
        <v>42705</v>
      </c>
      <c r="N4152" s="539"/>
    </row>
    <row r="4153" spans="1:21" x14ac:dyDescent="0.35">
      <c r="A4153" s="527" t="s">
        <v>5966</v>
      </c>
      <c r="B4153" s="526" t="s">
        <v>3373</v>
      </c>
      <c r="C4153" s="526" t="s">
        <v>5945</v>
      </c>
      <c r="D4153" s="526" t="s">
        <v>4384</v>
      </c>
      <c r="E4153" s="526"/>
      <c r="F4153" s="538">
        <f t="shared" si="1502"/>
        <v>7.47</v>
      </c>
      <c r="G4153" s="537">
        <f t="shared" si="1503"/>
        <v>7.87</v>
      </c>
      <c r="H4153" s="537">
        <f t="shared" si="1504"/>
        <v>6.3</v>
      </c>
      <c r="I4153" s="574"/>
      <c r="J4153" s="549">
        <v>42705</v>
      </c>
      <c r="N4153" s="539"/>
    </row>
    <row r="4154" spans="1:21" x14ac:dyDescent="0.35">
      <c r="A4154" s="527" t="s">
        <v>5967</v>
      </c>
      <c r="B4154" s="526" t="s">
        <v>3373</v>
      </c>
      <c r="C4154" s="526" t="s">
        <v>5945</v>
      </c>
      <c r="D4154" s="526" t="s">
        <v>4386</v>
      </c>
      <c r="E4154" s="526"/>
      <c r="F4154" s="538">
        <f t="shared" si="1502"/>
        <v>3.97</v>
      </c>
      <c r="G4154" s="537">
        <f t="shared" si="1503"/>
        <v>4.37</v>
      </c>
      <c r="H4154" s="537">
        <f t="shared" si="1504"/>
        <v>3.5</v>
      </c>
      <c r="I4154" s="574"/>
      <c r="J4154" s="549">
        <v>42705</v>
      </c>
      <c r="N4154" s="539"/>
    </row>
    <row r="4155" spans="1:21" x14ac:dyDescent="0.35">
      <c r="A4155" s="527" t="s">
        <v>5968</v>
      </c>
      <c r="B4155" s="526" t="s">
        <v>3373</v>
      </c>
      <c r="C4155" s="526" t="s">
        <v>5946</v>
      </c>
      <c r="D4155" s="526" t="s">
        <v>4384</v>
      </c>
      <c r="E4155" s="526"/>
      <c r="F4155" s="538">
        <f t="shared" si="1502"/>
        <v>7.47</v>
      </c>
      <c r="G4155" s="537">
        <f t="shared" si="1503"/>
        <v>7.87</v>
      </c>
      <c r="H4155" s="537">
        <f t="shared" si="1504"/>
        <v>6.3</v>
      </c>
      <c r="I4155" s="574"/>
      <c r="J4155" s="549">
        <v>42705</v>
      </c>
      <c r="N4155" s="539"/>
    </row>
    <row r="4156" spans="1:21" x14ac:dyDescent="0.35">
      <c r="A4156" s="527" t="s">
        <v>5969</v>
      </c>
      <c r="B4156" s="526" t="s">
        <v>3373</v>
      </c>
      <c r="C4156" s="526" t="s">
        <v>5946</v>
      </c>
      <c r="D4156" s="526" t="s">
        <v>4386</v>
      </c>
      <c r="E4156" s="526"/>
      <c r="F4156" s="538">
        <f t="shared" si="1502"/>
        <v>3.97</v>
      </c>
      <c r="G4156" s="537">
        <f t="shared" si="1503"/>
        <v>4.37</v>
      </c>
      <c r="H4156" s="537">
        <f t="shared" si="1504"/>
        <v>3.5</v>
      </c>
      <c r="I4156" s="574"/>
      <c r="J4156" s="549">
        <v>42705</v>
      </c>
      <c r="N4156" s="539"/>
    </row>
    <row r="4157" spans="1:21" x14ac:dyDescent="0.35">
      <c r="A4157" s="527" t="s">
        <v>5970</v>
      </c>
      <c r="B4157" s="526" t="s">
        <v>3373</v>
      </c>
      <c r="C4157" s="526" t="s">
        <v>5947</v>
      </c>
      <c r="D4157" s="526" t="s">
        <v>4384</v>
      </c>
      <c r="E4157" s="526"/>
      <c r="F4157" s="538">
        <f t="shared" si="1502"/>
        <v>7.28</v>
      </c>
      <c r="G4157" s="537">
        <f t="shared" si="1503"/>
        <v>7.68</v>
      </c>
      <c r="H4157" s="537">
        <f t="shared" si="1504"/>
        <v>6.14</v>
      </c>
      <c r="I4157" s="574"/>
      <c r="J4157" s="549">
        <v>42919</v>
      </c>
      <c r="N4157" s="539"/>
    </row>
    <row r="4158" spans="1:21" x14ac:dyDescent="0.35">
      <c r="A4158" s="527" t="s">
        <v>5971</v>
      </c>
      <c r="B4158" s="526" t="s">
        <v>3373</v>
      </c>
      <c r="C4158" s="526" t="s">
        <v>5947</v>
      </c>
      <c r="D4158" s="526" t="s">
        <v>4386</v>
      </c>
      <c r="E4158" s="526"/>
      <c r="F4158" s="538">
        <f t="shared" si="1502"/>
        <v>3.87</v>
      </c>
      <c r="G4158" s="537">
        <f t="shared" si="1503"/>
        <v>4.2699999999999996</v>
      </c>
      <c r="H4158" s="537">
        <f t="shared" si="1504"/>
        <v>3.42</v>
      </c>
      <c r="I4158" s="574"/>
      <c r="J4158" s="549">
        <v>42919</v>
      </c>
      <c r="N4158" s="539"/>
    </row>
    <row r="4159" spans="1:21" x14ac:dyDescent="0.35">
      <c r="A4159" s="527" t="s">
        <v>5972</v>
      </c>
      <c r="B4159" s="526" t="s">
        <v>3373</v>
      </c>
      <c r="C4159" s="526" t="s">
        <v>5948</v>
      </c>
      <c r="D4159" s="526" t="s">
        <v>4384</v>
      </c>
      <c r="E4159" s="526"/>
      <c r="F4159" s="538">
        <f t="shared" si="1502"/>
        <v>7.28</v>
      </c>
      <c r="G4159" s="537">
        <f t="shared" si="1503"/>
        <v>7.68</v>
      </c>
      <c r="H4159" s="537">
        <f t="shared" si="1504"/>
        <v>6.14</v>
      </c>
      <c r="I4159" s="574"/>
      <c r="J4159" s="549">
        <v>42919</v>
      </c>
      <c r="N4159" s="539"/>
    </row>
    <row r="4160" spans="1:21" x14ac:dyDescent="0.35">
      <c r="A4160" s="527" t="s">
        <v>5973</v>
      </c>
      <c r="B4160" s="526" t="s">
        <v>3373</v>
      </c>
      <c r="C4160" s="526" t="s">
        <v>5948</v>
      </c>
      <c r="D4160" s="526" t="s">
        <v>4386</v>
      </c>
      <c r="E4160" s="526"/>
      <c r="F4160" s="538">
        <f t="shared" si="1502"/>
        <v>3.87</v>
      </c>
      <c r="G4160" s="537">
        <f t="shared" si="1503"/>
        <v>4.2699999999999996</v>
      </c>
      <c r="H4160" s="537">
        <f t="shared" si="1504"/>
        <v>3.42</v>
      </c>
      <c r="I4160" s="574"/>
      <c r="J4160" s="549">
        <v>42919</v>
      </c>
      <c r="N4160" s="539"/>
    </row>
    <row r="4161" spans="1:21" x14ac:dyDescent="0.35">
      <c r="A4161" s="527" t="s">
        <v>5974</v>
      </c>
      <c r="B4161" s="526" t="s">
        <v>3373</v>
      </c>
      <c r="C4161" s="526" t="s">
        <v>5949</v>
      </c>
      <c r="D4161" s="526" t="s">
        <v>4384</v>
      </c>
      <c r="E4161" s="526"/>
      <c r="F4161" s="538">
        <f t="shared" si="1502"/>
        <v>7.28</v>
      </c>
      <c r="G4161" s="537">
        <f t="shared" si="1503"/>
        <v>7.68</v>
      </c>
      <c r="H4161" s="537">
        <f t="shared" si="1504"/>
        <v>6.14</v>
      </c>
      <c r="I4161" s="574"/>
      <c r="J4161" s="549">
        <v>42919</v>
      </c>
      <c r="N4161" s="539"/>
    </row>
    <row r="4162" spans="1:21" x14ac:dyDescent="0.35">
      <c r="A4162" s="527" t="s">
        <v>5975</v>
      </c>
      <c r="B4162" s="526" t="s">
        <v>3373</v>
      </c>
      <c r="C4162" s="526" t="s">
        <v>5949</v>
      </c>
      <c r="D4162" s="526" t="s">
        <v>4386</v>
      </c>
      <c r="E4162" s="526"/>
      <c r="F4162" s="538">
        <f t="shared" si="1502"/>
        <v>3.87</v>
      </c>
      <c r="G4162" s="537">
        <f t="shared" si="1503"/>
        <v>4.2699999999999996</v>
      </c>
      <c r="H4162" s="537">
        <f t="shared" si="1504"/>
        <v>3.42</v>
      </c>
      <c r="I4162" s="574"/>
      <c r="J4162" s="549">
        <v>42919</v>
      </c>
      <c r="N4162" s="539"/>
    </row>
    <row r="4163" spans="1:21" x14ac:dyDescent="0.35">
      <c r="A4163" s="12"/>
      <c r="B4163" s="9"/>
      <c r="C4163" s="1"/>
      <c r="D4163" s="1"/>
      <c r="E4163" s="1"/>
      <c r="F4163" s="362"/>
      <c r="G4163" s="10"/>
      <c r="H4163" s="10"/>
      <c r="I4163" s="566"/>
      <c r="J4163" s="549"/>
      <c r="N4163" s="29" t="s">
        <v>5489</v>
      </c>
      <c r="P4163" t="s">
        <v>4384</v>
      </c>
      <c r="Q4163" t="s">
        <v>4386</v>
      </c>
      <c r="R4163" t="s">
        <v>49</v>
      </c>
      <c r="S4163" s="101" t="s">
        <v>2883</v>
      </c>
      <c r="T4163" t="s">
        <v>4384</v>
      </c>
      <c r="U4163" t="s">
        <v>4386</v>
      </c>
    </row>
    <row r="4164" spans="1:21" x14ac:dyDescent="0.35">
      <c r="A4164" s="527" t="s">
        <v>6227</v>
      </c>
      <c r="B4164" s="526" t="s">
        <v>3373</v>
      </c>
      <c r="C4164" s="526" t="str">
        <f t="shared" ref="C4164:C4187" si="1509">"Inbetriebnahme "&amp;TEXT(DATEVALUE(RIGHT(A4164,5)),"MM/JJJJ")</f>
        <v>Inbetriebnahme 01/2018</v>
      </c>
      <c r="D4164" s="526" t="s">
        <v>4384</v>
      </c>
      <c r="E4164" s="526"/>
      <c r="F4164" s="538">
        <f t="shared" ref="F4164:F4187" si="1510">IF(HLOOKUP($D4164,$T$4163:$U$4175,MATCH(MID($A4164,10,3),$N$4163:$N$4175,0),FALSE)&lt;&gt;"",ROUND(HLOOKUP($D4164,$T$4163:$U$4175,MATCH(MID($A4164,10,3),$N$4163:$N$4175,0),FALSE),2),"")</f>
        <v>7.09</v>
      </c>
      <c r="G4164" s="537">
        <f t="shared" ref="G4164:G4187" si="1511">IF(HLOOKUP($D4164,$P$4163:$Q$4175,MATCH(MID($A4164,10,3),$N$4163:$N$4175,0),FALSE)&lt;&gt;"",ROUND(HLOOKUP($D4164,$P$4163:$Q$4175,MATCH(MID($A4164,10,3),$N$4163:$N$4175,0),FALSE),2),"")</f>
        <v>7.49</v>
      </c>
      <c r="H4164" s="537">
        <f t="shared" ref="H4164:H4187" si="1512">IF(ISNUMBER(G4164),ROUND(0.8*G4164,2),"")</f>
        <v>5.99</v>
      </c>
      <c r="I4164" s="574"/>
      <c r="J4164" s="549">
        <v>43077</v>
      </c>
      <c r="M4164" s="101">
        <v>2018</v>
      </c>
      <c r="N4164" s="540" t="s">
        <v>5950</v>
      </c>
      <c r="O4164" s="461">
        <v>2.4E-2</v>
      </c>
      <c r="P4164" s="261">
        <f>IF($O4164&lt;&gt;"",(1-$O4164)*P4150,"")</f>
        <v>7.4927017421005813</v>
      </c>
      <c r="Q4164" s="261">
        <f>IF($O4164&lt;&gt;"",(1-$O4164)*Q4150,"")</f>
        <v>4.1665859329580792</v>
      </c>
      <c r="T4164" s="261">
        <f>P4164-0.4</f>
        <v>7.0927017421005809</v>
      </c>
      <c r="U4164" s="261">
        <f>Q4164-0.4</f>
        <v>3.7665859329580793</v>
      </c>
    </row>
    <row r="4165" spans="1:21" x14ac:dyDescent="0.35">
      <c r="A4165" s="527" t="s">
        <v>6228</v>
      </c>
      <c r="B4165" s="526" t="s">
        <v>3373</v>
      </c>
      <c r="C4165" s="526" t="str">
        <f t="shared" si="1509"/>
        <v>Inbetriebnahme 01/2018</v>
      </c>
      <c r="D4165" s="526" t="s">
        <v>4386</v>
      </c>
      <c r="E4165" s="526"/>
      <c r="F4165" s="538">
        <f t="shared" si="1510"/>
        <v>3.77</v>
      </c>
      <c r="G4165" s="537">
        <f t="shared" si="1511"/>
        <v>4.17</v>
      </c>
      <c r="H4165" s="537">
        <f t="shared" si="1512"/>
        <v>3.34</v>
      </c>
      <c r="I4165" s="574"/>
      <c r="J4165" s="549">
        <v>43077</v>
      </c>
      <c r="M4165" s="37"/>
      <c r="N4165" s="540" t="s">
        <v>5932</v>
      </c>
      <c r="O4165" s="461">
        <v>0</v>
      </c>
      <c r="P4165" s="261">
        <f t="shared" ref="P4165:P4175" si="1513">IF($O4165&lt;&gt;"",(1-$O4165)*P4164,"")</f>
        <v>7.4927017421005813</v>
      </c>
      <c r="Q4165" s="261">
        <f t="shared" ref="Q4165:Q4175" si="1514">IF($O4165&lt;&gt;"",(1-$O4165)*Q4164,"")</f>
        <v>4.1665859329580792</v>
      </c>
      <c r="T4165" s="261">
        <f t="shared" ref="T4165:T4175" si="1515">IF($O4165&lt;&gt;"",P4165-0.4,"")</f>
        <v>7.0927017421005809</v>
      </c>
      <c r="U4165" s="261">
        <f t="shared" ref="U4165:U4175" si="1516">IF($O4165&lt;&gt;"",Q4165-0.4,"")</f>
        <v>3.7665859329580793</v>
      </c>
    </row>
    <row r="4166" spans="1:21" x14ac:dyDescent="0.35">
      <c r="A4166" s="527" t="s">
        <v>6229</v>
      </c>
      <c r="B4166" s="526" t="s">
        <v>3373</v>
      </c>
      <c r="C4166" s="526" t="str">
        <f t="shared" si="1509"/>
        <v>Inbetriebnahme 02/2018</v>
      </c>
      <c r="D4166" s="526" t="s">
        <v>4384</v>
      </c>
      <c r="E4166" s="526"/>
      <c r="F4166" s="538">
        <f t="shared" si="1510"/>
        <v>7.09</v>
      </c>
      <c r="G4166" s="537">
        <f t="shared" si="1511"/>
        <v>7.49</v>
      </c>
      <c r="H4166" s="537">
        <f t="shared" si="1512"/>
        <v>5.99</v>
      </c>
      <c r="I4166" s="574"/>
      <c r="J4166" s="549">
        <v>43077</v>
      </c>
      <c r="M4166" s="37"/>
      <c r="N4166" s="540" t="s">
        <v>6305</v>
      </c>
      <c r="O4166" s="461">
        <v>0</v>
      </c>
      <c r="P4166" s="261">
        <f t="shared" si="1513"/>
        <v>7.4927017421005813</v>
      </c>
      <c r="Q4166" s="261">
        <f t="shared" si="1514"/>
        <v>4.1665859329580792</v>
      </c>
      <c r="T4166" s="261">
        <f t="shared" si="1515"/>
        <v>7.0927017421005809</v>
      </c>
      <c r="U4166" s="261">
        <f t="shared" si="1516"/>
        <v>3.7665859329580793</v>
      </c>
    </row>
    <row r="4167" spans="1:21" x14ac:dyDescent="0.35">
      <c r="A4167" s="527" t="s">
        <v>6230</v>
      </c>
      <c r="B4167" s="526" t="s">
        <v>3373</v>
      </c>
      <c r="C4167" s="526" t="str">
        <f t="shared" si="1509"/>
        <v>Inbetriebnahme 02/2018</v>
      </c>
      <c r="D4167" s="526" t="s">
        <v>4386</v>
      </c>
      <c r="E4167" s="526"/>
      <c r="F4167" s="538">
        <f t="shared" si="1510"/>
        <v>3.77</v>
      </c>
      <c r="G4167" s="537">
        <f t="shared" si="1511"/>
        <v>4.17</v>
      </c>
      <c r="H4167" s="537">
        <f t="shared" si="1512"/>
        <v>3.34</v>
      </c>
      <c r="I4167" s="574"/>
      <c r="J4167" s="549">
        <v>43077</v>
      </c>
      <c r="M4167" s="37"/>
      <c r="N4167" s="540" t="s">
        <v>5934</v>
      </c>
      <c r="O4167" s="461">
        <v>2.4E-2</v>
      </c>
      <c r="P4167" s="261">
        <f t="shared" si="1513"/>
        <v>7.312876900290167</v>
      </c>
      <c r="Q4167" s="261">
        <f t="shared" si="1514"/>
        <v>4.0665878705670853</v>
      </c>
      <c r="T4167" s="261">
        <f t="shared" si="1515"/>
        <v>6.9128769002901667</v>
      </c>
      <c r="U4167" s="261">
        <f t="shared" si="1516"/>
        <v>3.6665878705670853</v>
      </c>
    </row>
    <row r="4168" spans="1:21" x14ac:dyDescent="0.35">
      <c r="A4168" s="527" t="s">
        <v>6289</v>
      </c>
      <c r="B4168" s="526" t="s">
        <v>3373</v>
      </c>
      <c r="C4168" s="526" t="str">
        <f t="shared" si="1509"/>
        <v>Inbetriebnahme 03/2018</v>
      </c>
      <c r="D4168" s="526" t="s">
        <v>4384</v>
      </c>
      <c r="E4168" s="526"/>
      <c r="F4168" s="538">
        <f t="shared" si="1510"/>
        <v>7.09</v>
      </c>
      <c r="G4168" s="537">
        <f t="shared" si="1511"/>
        <v>7.49</v>
      </c>
      <c r="H4168" s="537">
        <f t="shared" si="1512"/>
        <v>5.99</v>
      </c>
      <c r="I4168" s="574"/>
      <c r="J4168" s="549">
        <v>43077</v>
      </c>
      <c r="N4168" s="541" t="s">
        <v>5935</v>
      </c>
      <c r="O4168" s="461">
        <v>0</v>
      </c>
      <c r="P4168" s="261">
        <f t="shared" si="1513"/>
        <v>7.312876900290167</v>
      </c>
      <c r="Q4168" s="261">
        <f t="shared" si="1514"/>
        <v>4.0665878705670853</v>
      </c>
      <c r="T4168" s="261">
        <f t="shared" si="1515"/>
        <v>6.9128769002901667</v>
      </c>
      <c r="U4168" s="261">
        <f t="shared" si="1516"/>
        <v>3.6665878705670853</v>
      </c>
    </row>
    <row r="4169" spans="1:21" x14ac:dyDescent="0.35">
      <c r="A4169" s="527" t="s">
        <v>6290</v>
      </c>
      <c r="B4169" s="526" t="s">
        <v>3373</v>
      </c>
      <c r="C4169" s="526" t="str">
        <f t="shared" si="1509"/>
        <v>Inbetriebnahme 03/2018</v>
      </c>
      <c r="D4169" s="526" t="s">
        <v>4386</v>
      </c>
      <c r="E4169" s="526"/>
      <c r="F4169" s="538">
        <f t="shared" si="1510"/>
        <v>3.77</v>
      </c>
      <c r="G4169" s="537">
        <f t="shared" si="1511"/>
        <v>4.17</v>
      </c>
      <c r="H4169" s="537">
        <f t="shared" si="1512"/>
        <v>3.34</v>
      </c>
      <c r="I4169" s="574"/>
      <c r="J4169" s="549">
        <v>43077</v>
      </c>
      <c r="N4169" s="540" t="s">
        <v>5936</v>
      </c>
      <c r="O4169" s="461">
        <v>0</v>
      </c>
      <c r="P4169" s="261">
        <f t="shared" si="1513"/>
        <v>7.312876900290167</v>
      </c>
      <c r="Q4169" s="261">
        <f t="shared" si="1514"/>
        <v>4.0665878705670853</v>
      </c>
      <c r="T4169" s="261">
        <f t="shared" si="1515"/>
        <v>6.9128769002901667</v>
      </c>
      <c r="U4169" s="261">
        <f t="shared" si="1516"/>
        <v>3.6665878705670853</v>
      </c>
    </row>
    <row r="4170" spans="1:21" x14ac:dyDescent="0.35">
      <c r="A4170" s="527" t="s">
        <v>6231</v>
      </c>
      <c r="B4170" s="526" t="s">
        <v>3373</v>
      </c>
      <c r="C4170" s="526" t="str">
        <f t="shared" si="1509"/>
        <v>Inbetriebnahme 04/2018</v>
      </c>
      <c r="D4170" s="526" t="s">
        <v>4384</v>
      </c>
      <c r="E4170" s="526"/>
      <c r="F4170" s="538">
        <f t="shared" si="1510"/>
        <v>6.91</v>
      </c>
      <c r="G4170" s="537">
        <f t="shared" si="1511"/>
        <v>7.31</v>
      </c>
      <c r="H4170" s="537">
        <f t="shared" si="1512"/>
        <v>5.85</v>
      </c>
      <c r="I4170" s="574"/>
      <c r="J4170" s="549">
        <v>43077</v>
      </c>
      <c r="N4170" s="541" t="s">
        <v>5937</v>
      </c>
      <c r="O4170" s="461">
        <v>2.4E-2</v>
      </c>
      <c r="P4170" s="261">
        <f t="shared" si="1513"/>
        <v>7.1373678546832027</v>
      </c>
      <c r="Q4170" s="261">
        <f t="shared" si="1514"/>
        <v>3.9689897616734751</v>
      </c>
      <c r="T4170" s="261">
        <f t="shared" si="1515"/>
        <v>6.7373678546832023</v>
      </c>
      <c r="U4170" s="261">
        <f t="shared" si="1516"/>
        <v>3.5689897616734751</v>
      </c>
    </row>
    <row r="4171" spans="1:21" x14ac:dyDescent="0.35">
      <c r="A4171" s="527" t="s">
        <v>6232</v>
      </c>
      <c r="B4171" s="526" t="s">
        <v>3373</v>
      </c>
      <c r="C4171" s="526" t="str">
        <f t="shared" si="1509"/>
        <v>Inbetriebnahme 04/2018</v>
      </c>
      <c r="D4171" s="526" t="s">
        <v>4386</v>
      </c>
      <c r="E4171" s="526"/>
      <c r="F4171" s="538">
        <f t="shared" si="1510"/>
        <v>3.67</v>
      </c>
      <c r="G4171" s="537">
        <f t="shared" si="1511"/>
        <v>4.07</v>
      </c>
      <c r="H4171" s="537">
        <f t="shared" si="1512"/>
        <v>3.26</v>
      </c>
      <c r="I4171" s="574"/>
      <c r="J4171" s="549">
        <v>43077</v>
      </c>
      <c r="N4171" s="540" t="s">
        <v>5938</v>
      </c>
      <c r="O4171" s="461">
        <v>0</v>
      </c>
      <c r="P4171" s="261">
        <f t="shared" si="1513"/>
        <v>7.1373678546832027</v>
      </c>
      <c r="Q4171" s="261">
        <f t="shared" si="1514"/>
        <v>3.9689897616734751</v>
      </c>
      <c r="T4171" s="261">
        <f t="shared" si="1515"/>
        <v>6.7373678546832023</v>
      </c>
      <c r="U4171" s="261">
        <f t="shared" si="1516"/>
        <v>3.5689897616734751</v>
      </c>
    </row>
    <row r="4172" spans="1:21" x14ac:dyDescent="0.35">
      <c r="A4172" s="527" t="s">
        <v>6233</v>
      </c>
      <c r="B4172" s="526" t="s">
        <v>3373</v>
      </c>
      <c r="C4172" s="526" t="str">
        <f t="shared" si="1509"/>
        <v>Inbetriebnahme 05/2018</v>
      </c>
      <c r="D4172" s="526" t="s">
        <v>4384</v>
      </c>
      <c r="E4172" s="526"/>
      <c r="F4172" s="538">
        <f t="shared" si="1510"/>
        <v>6.91</v>
      </c>
      <c r="G4172" s="537">
        <f t="shared" si="1511"/>
        <v>7.31</v>
      </c>
      <c r="H4172" s="537">
        <f t="shared" si="1512"/>
        <v>5.85</v>
      </c>
      <c r="I4172" s="574"/>
      <c r="J4172" s="549">
        <v>43077</v>
      </c>
      <c r="N4172" s="541" t="s">
        <v>5939</v>
      </c>
      <c r="O4172" s="461">
        <v>0</v>
      </c>
      <c r="P4172" s="261">
        <f t="shared" si="1513"/>
        <v>7.1373678546832027</v>
      </c>
      <c r="Q4172" s="261">
        <f t="shared" si="1514"/>
        <v>3.9689897616734751</v>
      </c>
      <c r="T4172" s="261">
        <f t="shared" si="1515"/>
        <v>6.7373678546832023</v>
      </c>
      <c r="U4172" s="261">
        <f t="shared" si="1516"/>
        <v>3.5689897616734751</v>
      </c>
    </row>
    <row r="4173" spans="1:21" x14ac:dyDescent="0.35">
      <c r="A4173" s="527" t="s">
        <v>6234</v>
      </c>
      <c r="B4173" s="526" t="s">
        <v>3373</v>
      </c>
      <c r="C4173" s="526" t="str">
        <f t="shared" si="1509"/>
        <v>Inbetriebnahme 05/2018</v>
      </c>
      <c r="D4173" s="526" t="s">
        <v>4386</v>
      </c>
      <c r="E4173" s="526"/>
      <c r="F4173" s="538">
        <f t="shared" si="1510"/>
        <v>3.67</v>
      </c>
      <c r="G4173" s="537">
        <f t="shared" si="1511"/>
        <v>4.07</v>
      </c>
      <c r="H4173" s="537">
        <f t="shared" si="1512"/>
        <v>3.26</v>
      </c>
      <c r="I4173" s="574"/>
      <c r="J4173" s="549">
        <v>43077</v>
      </c>
      <c r="N4173" s="540" t="s">
        <v>5940</v>
      </c>
      <c r="O4173" s="461">
        <v>2.4E-2</v>
      </c>
      <c r="P4173" s="261">
        <f t="shared" si="1513"/>
        <v>6.9660710261708054</v>
      </c>
      <c r="Q4173" s="261">
        <f t="shared" si="1514"/>
        <v>3.8737340073933115</v>
      </c>
      <c r="T4173" s="261">
        <f t="shared" si="1515"/>
        <v>6.5660710261708051</v>
      </c>
      <c r="U4173" s="261">
        <f t="shared" si="1516"/>
        <v>3.4737340073933116</v>
      </c>
    </row>
    <row r="4174" spans="1:21" x14ac:dyDescent="0.35">
      <c r="A4174" s="527" t="s">
        <v>6235</v>
      </c>
      <c r="B4174" s="526" t="s">
        <v>3373</v>
      </c>
      <c r="C4174" s="526" t="str">
        <f t="shared" si="1509"/>
        <v>Inbetriebnahme 06/2018</v>
      </c>
      <c r="D4174" s="526" t="s">
        <v>4384</v>
      </c>
      <c r="E4174" s="526"/>
      <c r="F4174" s="538">
        <f t="shared" si="1510"/>
        <v>6.91</v>
      </c>
      <c r="G4174" s="537">
        <f t="shared" si="1511"/>
        <v>7.31</v>
      </c>
      <c r="H4174" s="537">
        <f t="shared" si="1512"/>
        <v>5.85</v>
      </c>
      <c r="I4174" s="574"/>
      <c r="J4174" s="549">
        <v>43077</v>
      </c>
      <c r="N4174" s="541" t="s">
        <v>5941</v>
      </c>
      <c r="O4174" s="461">
        <v>0</v>
      </c>
      <c r="P4174" s="261">
        <f t="shared" si="1513"/>
        <v>6.9660710261708054</v>
      </c>
      <c r="Q4174" s="261">
        <f t="shared" si="1514"/>
        <v>3.8737340073933115</v>
      </c>
      <c r="T4174" s="261">
        <f t="shared" si="1515"/>
        <v>6.5660710261708051</v>
      </c>
      <c r="U4174" s="261">
        <f t="shared" si="1516"/>
        <v>3.4737340073933116</v>
      </c>
    </row>
    <row r="4175" spans="1:21" x14ac:dyDescent="0.35">
      <c r="A4175" s="527" t="s">
        <v>6236</v>
      </c>
      <c r="B4175" s="526" t="s">
        <v>3373</v>
      </c>
      <c r="C4175" s="526" t="str">
        <f t="shared" si="1509"/>
        <v>Inbetriebnahme 06/2018</v>
      </c>
      <c r="D4175" s="526" t="s">
        <v>4386</v>
      </c>
      <c r="E4175" s="526"/>
      <c r="F4175" s="538">
        <f t="shared" si="1510"/>
        <v>3.67</v>
      </c>
      <c r="G4175" s="537">
        <f t="shared" si="1511"/>
        <v>4.07</v>
      </c>
      <c r="H4175" s="537">
        <f t="shared" si="1512"/>
        <v>3.26</v>
      </c>
      <c r="I4175" s="574"/>
      <c r="J4175" s="549">
        <v>43077</v>
      </c>
      <c r="N4175" s="540" t="s">
        <v>5942</v>
      </c>
      <c r="O4175" s="461">
        <v>0</v>
      </c>
      <c r="P4175" s="261">
        <f t="shared" si="1513"/>
        <v>6.9660710261708054</v>
      </c>
      <c r="Q4175" s="261">
        <f t="shared" si="1514"/>
        <v>3.8737340073933115</v>
      </c>
      <c r="T4175" s="261">
        <f t="shared" si="1515"/>
        <v>6.5660710261708051</v>
      </c>
      <c r="U4175" s="261">
        <f t="shared" si="1516"/>
        <v>3.4737340073933116</v>
      </c>
    </row>
    <row r="4176" spans="1:21" x14ac:dyDescent="0.35">
      <c r="A4176" s="527" t="s">
        <v>6237</v>
      </c>
      <c r="B4176" s="526" t="s">
        <v>3373</v>
      </c>
      <c r="C4176" s="526" t="str">
        <f t="shared" si="1509"/>
        <v>Inbetriebnahme 07/2018</v>
      </c>
      <c r="D4176" s="526" t="s">
        <v>4384</v>
      </c>
      <c r="E4176" s="526"/>
      <c r="F4176" s="538">
        <f t="shared" si="1510"/>
        <v>6.74</v>
      </c>
      <c r="G4176" s="537">
        <f t="shared" si="1511"/>
        <v>7.14</v>
      </c>
      <c r="H4176" s="537">
        <f t="shared" si="1512"/>
        <v>5.71</v>
      </c>
      <c r="I4176" s="574"/>
      <c r="J4176" s="549">
        <v>43168</v>
      </c>
      <c r="N4176" s="539"/>
    </row>
    <row r="4177" spans="1:19" x14ac:dyDescent="0.35">
      <c r="A4177" s="527" t="s">
        <v>6238</v>
      </c>
      <c r="B4177" s="526" t="s">
        <v>3373</v>
      </c>
      <c r="C4177" s="526" t="str">
        <f t="shared" si="1509"/>
        <v>Inbetriebnahme 07/2018</v>
      </c>
      <c r="D4177" s="526" t="s">
        <v>4386</v>
      </c>
      <c r="E4177" s="526"/>
      <c r="F4177" s="538">
        <f t="shared" si="1510"/>
        <v>3.57</v>
      </c>
      <c r="G4177" s="537">
        <f t="shared" si="1511"/>
        <v>3.97</v>
      </c>
      <c r="H4177" s="537">
        <f t="shared" si="1512"/>
        <v>3.18</v>
      </c>
      <c r="I4177" s="574"/>
      <c r="J4177" s="549">
        <v>43168</v>
      </c>
      <c r="N4177" s="539"/>
    </row>
    <row r="4178" spans="1:19" x14ac:dyDescent="0.35">
      <c r="A4178" s="527" t="s">
        <v>6239</v>
      </c>
      <c r="B4178" s="526" t="s">
        <v>3373</v>
      </c>
      <c r="C4178" s="526" t="str">
        <f t="shared" si="1509"/>
        <v>Inbetriebnahme 08/2018</v>
      </c>
      <c r="D4178" s="526" t="s">
        <v>4384</v>
      </c>
      <c r="E4178" s="526"/>
      <c r="F4178" s="538">
        <f t="shared" si="1510"/>
        <v>6.74</v>
      </c>
      <c r="G4178" s="537">
        <f t="shared" si="1511"/>
        <v>7.14</v>
      </c>
      <c r="H4178" s="537">
        <f t="shared" si="1512"/>
        <v>5.71</v>
      </c>
      <c r="I4178" s="574"/>
      <c r="J4178" s="549">
        <v>43168</v>
      </c>
      <c r="N4178" s="539"/>
    </row>
    <row r="4179" spans="1:19" x14ac:dyDescent="0.35">
      <c r="A4179" s="527" t="s">
        <v>6240</v>
      </c>
      <c r="B4179" s="526" t="s">
        <v>3373</v>
      </c>
      <c r="C4179" s="526" t="str">
        <f t="shared" si="1509"/>
        <v>Inbetriebnahme 08/2018</v>
      </c>
      <c r="D4179" s="526" t="s">
        <v>4386</v>
      </c>
      <c r="E4179" s="526"/>
      <c r="F4179" s="538">
        <f t="shared" si="1510"/>
        <v>3.57</v>
      </c>
      <c r="G4179" s="537">
        <f t="shared" si="1511"/>
        <v>3.97</v>
      </c>
      <c r="H4179" s="537">
        <f t="shared" si="1512"/>
        <v>3.18</v>
      </c>
      <c r="I4179" s="574"/>
      <c r="J4179" s="549">
        <v>43168</v>
      </c>
      <c r="N4179" s="539"/>
    </row>
    <row r="4180" spans="1:19" x14ac:dyDescent="0.35">
      <c r="A4180" s="527" t="s">
        <v>6241</v>
      </c>
      <c r="B4180" s="526" t="s">
        <v>3373</v>
      </c>
      <c r="C4180" s="526" t="str">
        <f t="shared" si="1509"/>
        <v>Inbetriebnahme 09/2018</v>
      </c>
      <c r="D4180" s="526" t="s">
        <v>4384</v>
      </c>
      <c r="E4180" s="526"/>
      <c r="F4180" s="538">
        <f t="shared" si="1510"/>
        <v>6.74</v>
      </c>
      <c r="G4180" s="537">
        <f t="shared" si="1511"/>
        <v>7.14</v>
      </c>
      <c r="H4180" s="537">
        <f t="shared" si="1512"/>
        <v>5.71</v>
      </c>
      <c r="I4180" s="574"/>
      <c r="J4180" s="549">
        <v>43168</v>
      </c>
      <c r="N4180" s="539"/>
    </row>
    <row r="4181" spans="1:19" x14ac:dyDescent="0.35">
      <c r="A4181" s="527" t="s">
        <v>6242</v>
      </c>
      <c r="B4181" s="526" t="s">
        <v>3373</v>
      </c>
      <c r="C4181" s="526" t="str">
        <f t="shared" si="1509"/>
        <v>Inbetriebnahme 09/2018</v>
      </c>
      <c r="D4181" s="526" t="s">
        <v>4386</v>
      </c>
      <c r="E4181" s="526"/>
      <c r="F4181" s="538">
        <f t="shared" si="1510"/>
        <v>3.57</v>
      </c>
      <c r="G4181" s="537">
        <f t="shared" si="1511"/>
        <v>3.97</v>
      </c>
      <c r="H4181" s="537">
        <f t="shared" si="1512"/>
        <v>3.18</v>
      </c>
      <c r="I4181" s="574"/>
      <c r="J4181" s="549">
        <v>43168</v>
      </c>
      <c r="N4181" s="539"/>
    </row>
    <row r="4182" spans="1:19" x14ac:dyDescent="0.35">
      <c r="A4182" s="527" t="s">
        <v>6243</v>
      </c>
      <c r="B4182" s="526" t="s">
        <v>3373</v>
      </c>
      <c r="C4182" s="526" t="str">
        <f t="shared" si="1509"/>
        <v>Inbetriebnahme 10/2018</v>
      </c>
      <c r="D4182" s="526" t="s">
        <v>4384</v>
      </c>
      <c r="E4182" s="526"/>
      <c r="F4182" s="538">
        <f t="shared" si="1510"/>
        <v>6.57</v>
      </c>
      <c r="G4182" s="537">
        <f t="shared" si="1511"/>
        <v>6.97</v>
      </c>
      <c r="H4182" s="537">
        <f t="shared" si="1512"/>
        <v>5.58</v>
      </c>
      <c r="I4182" s="574"/>
      <c r="J4182" s="549">
        <v>43318</v>
      </c>
      <c r="N4182" s="539"/>
    </row>
    <row r="4183" spans="1:19" x14ac:dyDescent="0.35">
      <c r="A4183" s="527" t="s">
        <v>6244</v>
      </c>
      <c r="B4183" s="526" t="s">
        <v>3373</v>
      </c>
      <c r="C4183" s="526" t="str">
        <f t="shared" si="1509"/>
        <v>Inbetriebnahme 10/2018</v>
      </c>
      <c r="D4183" s="526" t="s">
        <v>4386</v>
      </c>
      <c r="E4183" s="526"/>
      <c r="F4183" s="538">
        <f t="shared" si="1510"/>
        <v>3.47</v>
      </c>
      <c r="G4183" s="537">
        <f t="shared" si="1511"/>
        <v>3.87</v>
      </c>
      <c r="H4183" s="537">
        <f t="shared" si="1512"/>
        <v>3.1</v>
      </c>
      <c r="I4183" s="574"/>
      <c r="J4183" s="549">
        <v>43318</v>
      </c>
      <c r="N4183" s="539" t="s">
        <v>7394</v>
      </c>
    </row>
    <row r="4184" spans="1:19" x14ac:dyDescent="0.35">
      <c r="A4184" s="527" t="s">
        <v>6245</v>
      </c>
      <c r="B4184" s="526" t="s">
        <v>3373</v>
      </c>
      <c r="C4184" s="526" t="str">
        <f t="shared" si="1509"/>
        <v>Inbetriebnahme 11/2018</v>
      </c>
      <c r="D4184" s="526" t="s">
        <v>4384</v>
      </c>
      <c r="E4184" s="526"/>
      <c r="F4184" s="538">
        <f t="shared" si="1510"/>
        <v>6.57</v>
      </c>
      <c r="G4184" s="537">
        <f t="shared" si="1511"/>
        <v>6.97</v>
      </c>
      <c r="H4184" s="537">
        <f t="shared" si="1512"/>
        <v>5.58</v>
      </c>
      <c r="I4184" s="574"/>
      <c r="J4184" s="549">
        <v>43318</v>
      </c>
      <c r="N4184" s="539"/>
    </row>
    <row r="4185" spans="1:19" x14ac:dyDescent="0.35">
      <c r="A4185" s="527" t="s">
        <v>6246</v>
      </c>
      <c r="B4185" s="526" t="s">
        <v>3373</v>
      </c>
      <c r="C4185" s="526" t="str">
        <f t="shared" si="1509"/>
        <v>Inbetriebnahme 11/2018</v>
      </c>
      <c r="D4185" s="526" t="s">
        <v>4386</v>
      </c>
      <c r="E4185" s="526"/>
      <c r="F4185" s="538">
        <f t="shared" si="1510"/>
        <v>3.47</v>
      </c>
      <c r="G4185" s="537">
        <f t="shared" si="1511"/>
        <v>3.87</v>
      </c>
      <c r="H4185" s="537">
        <f t="shared" si="1512"/>
        <v>3.1</v>
      </c>
      <c r="I4185" s="574"/>
      <c r="J4185" s="549">
        <v>43318</v>
      </c>
      <c r="N4185" s="539"/>
    </row>
    <row r="4186" spans="1:19" x14ac:dyDescent="0.35">
      <c r="A4186" s="527" t="s">
        <v>6247</v>
      </c>
      <c r="B4186" s="526" t="s">
        <v>3373</v>
      </c>
      <c r="C4186" s="526" t="str">
        <f t="shared" si="1509"/>
        <v>Inbetriebnahme 12/2018</v>
      </c>
      <c r="D4186" s="526" t="s">
        <v>4384</v>
      </c>
      <c r="E4186" s="526"/>
      <c r="F4186" s="538">
        <f t="shared" si="1510"/>
        <v>6.57</v>
      </c>
      <c r="G4186" s="537">
        <f t="shared" si="1511"/>
        <v>6.97</v>
      </c>
      <c r="H4186" s="537">
        <f t="shared" si="1512"/>
        <v>5.58</v>
      </c>
      <c r="I4186" s="574"/>
      <c r="J4186" s="549">
        <v>43318</v>
      </c>
      <c r="N4186" s="539"/>
    </row>
    <row r="4187" spans="1:19" x14ac:dyDescent="0.35">
      <c r="A4187" s="527" t="s">
        <v>6248</v>
      </c>
      <c r="B4187" s="526" t="s">
        <v>3373</v>
      </c>
      <c r="C4187" s="526" t="str">
        <f t="shared" si="1509"/>
        <v>Inbetriebnahme 12/2018</v>
      </c>
      <c r="D4187" s="526" t="s">
        <v>4386</v>
      </c>
      <c r="E4187" s="526"/>
      <c r="F4187" s="538">
        <f t="shared" si="1510"/>
        <v>3.47</v>
      </c>
      <c r="G4187" s="537">
        <f t="shared" si="1511"/>
        <v>3.87</v>
      </c>
      <c r="H4187" s="537">
        <f t="shared" si="1512"/>
        <v>3.1</v>
      </c>
      <c r="I4187" s="574"/>
      <c r="J4187" s="549">
        <v>43318</v>
      </c>
      <c r="N4187" s="539"/>
    </row>
    <row r="4188" spans="1:19" x14ac:dyDescent="0.35">
      <c r="A4188" s="12"/>
      <c r="B4188" s="9"/>
      <c r="C4188" s="1"/>
      <c r="D4188" s="1"/>
      <c r="E4188" s="1"/>
      <c r="F4188" s="362"/>
      <c r="G4188" s="10"/>
      <c r="H4188" s="10"/>
      <c r="I4188" s="566"/>
      <c r="J4188" s="549"/>
      <c r="N4188" s="29"/>
      <c r="S4188" s="101"/>
    </row>
    <row r="4189" spans="1:19" ht="96.65" customHeight="1" x14ac:dyDescent="0.35">
      <c r="A4189" s="906" t="s">
        <v>7927</v>
      </c>
      <c r="B4189" s="906"/>
      <c r="C4189" s="906"/>
      <c r="D4189" s="906"/>
      <c r="E4189" s="906"/>
      <c r="F4189" s="906"/>
      <c r="G4189" s="545"/>
      <c r="H4189" s="546"/>
      <c r="I4189" s="594"/>
      <c r="J4189" s="549">
        <v>43419</v>
      </c>
      <c r="N4189" s="29"/>
      <c r="S4189" s="101"/>
    </row>
    <row r="4190" spans="1:19" x14ac:dyDescent="0.35">
      <c r="A4190" s="12"/>
      <c r="B4190" s="9"/>
      <c r="C4190" s="1"/>
      <c r="D4190" s="1"/>
      <c r="E4190" s="1"/>
      <c r="F4190" s="362"/>
      <c r="G4190" s="10"/>
      <c r="H4190" s="10"/>
      <c r="I4190" s="566"/>
      <c r="J4190" s="549"/>
      <c r="N4190" s="29"/>
      <c r="S4190" s="101"/>
    </row>
    <row r="4191" spans="1:19" x14ac:dyDescent="0.35">
      <c r="A4191" s="527" t="s">
        <v>6417</v>
      </c>
      <c r="B4191" s="526" t="s">
        <v>3373</v>
      </c>
      <c r="C4191" s="526" t="s">
        <v>6404</v>
      </c>
      <c r="D4191" s="526" t="s">
        <v>6416</v>
      </c>
      <c r="E4191" s="526"/>
      <c r="F4191" s="538"/>
      <c r="G4191" s="537">
        <v>4.63</v>
      </c>
      <c r="H4191" s="538"/>
      <c r="I4191" s="574"/>
      <c r="J4191" s="549">
        <v>43419</v>
      </c>
      <c r="N4191" s="322"/>
    </row>
    <row r="4192" spans="1:19" x14ac:dyDescent="0.35">
      <c r="A4192" s="12"/>
      <c r="B4192" s="9"/>
      <c r="C4192" s="1"/>
      <c r="D4192" s="1"/>
      <c r="E4192" s="1"/>
      <c r="F4192" s="362"/>
      <c r="G4192" s="10"/>
      <c r="H4192" s="10"/>
      <c r="I4192" s="566"/>
      <c r="J4192" s="549"/>
      <c r="N4192" s="29"/>
      <c r="S4192" s="101"/>
    </row>
    <row r="4193" spans="1:30" x14ac:dyDescent="0.35">
      <c r="A4193" s="527" t="s">
        <v>6554</v>
      </c>
      <c r="B4193" s="526" t="s">
        <v>3373</v>
      </c>
      <c r="C4193" s="526" t="s">
        <v>6505</v>
      </c>
      <c r="D4193" s="526" t="s">
        <v>6416</v>
      </c>
      <c r="E4193" s="526"/>
      <c r="F4193" s="538"/>
      <c r="G4193" s="537">
        <v>6.04</v>
      </c>
      <c r="H4193" s="538"/>
      <c r="I4193" s="574"/>
      <c r="J4193" s="549">
        <v>43796</v>
      </c>
      <c r="N4193" s="632"/>
    </row>
    <row r="4194" spans="1:30" x14ac:dyDescent="0.35">
      <c r="A4194" s="12"/>
      <c r="B4194" s="9"/>
      <c r="C4194" s="1"/>
      <c r="D4194" s="653"/>
      <c r="E4194" s="1"/>
      <c r="F4194" s="362"/>
      <c r="G4194" s="10"/>
      <c r="H4194" s="10"/>
      <c r="I4194" s="566"/>
      <c r="J4194" s="549"/>
      <c r="S4194" s="101"/>
    </row>
    <row r="4195" spans="1:30" x14ac:dyDescent="0.35">
      <c r="A4195" s="527" t="s">
        <v>7400</v>
      </c>
      <c r="B4195" s="526" t="s">
        <v>3373</v>
      </c>
      <c r="C4195" s="526" t="s">
        <v>6624</v>
      </c>
      <c r="D4195" s="526" t="s">
        <v>6682</v>
      </c>
      <c r="E4195" s="526"/>
      <c r="F4195" s="538"/>
      <c r="G4195" s="537">
        <v>6.2</v>
      </c>
      <c r="H4195" s="538"/>
      <c r="I4195" s="574"/>
      <c r="J4195" s="549">
        <v>44196</v>
      </c>
      <c r="N4195" s="632"/>
    </row>
    <row r="4196" spans="1:30" x14ac:dyDescent="0.35">
      <c r="A4196" s="12"/>
      <c r="B4196" s="9"/>
      <c r="C4196" s="1"/>
      <c r="D4196" s="653"/>
      <c r="E4196" s="1"/>
      <c r="F4196" s="362"/>
      <c r="G4196" s="10"/>
      <c r="H4196" s="10"/>
      <c r="I4196" s="566"/>
      <c r="J4196" s="549"/>
      <c r="N4196" s="29"/>
      <c r="S4196" s="101"/>
    </row>
    <row r="4197" spans="1:30" x14ac:dyDescent="0.35">
      <c r="A4197" s="527" t="s">
        <v>7657</v>
      </c>
      <c r="B4197" s="526" t="s">
        <v>3373</v>
      </c>
      <c r="C4197" s="526" t="s">
        <v>7658</v>
      </c>
      <c r="D4197" s="526" t="s">
        <v>6682</v>
      </c>
      <c r="E4197" s="526"/>
      <c r="F4197" s="538"/>
      <c r="G4197" s="537">
        <v>6.18</v>
      </c>
      <c r="H4197" s="538"/>
      <c r="I4197" s="574"/>
      <c r="J4197" s="549">
        <v>44536</v>
      </c>
      <c r="N4197" s="698"/>
    </row>
    <row r="4198" spans="1:30" x14ac:dyDescent="0.35">
      <c r="A4198" s="12"/>
      <c r="B4198" s="9"/>
      <c r="C4198" s="1"/>
      <c r="D4198" s="653"/>
      <c r="E4198" s="1"/>
      <c r="F4198" s="362"/>
      <c r="G4198" s="10"/>
      <c r="H4198" s="10"/>
      <c r="I4198" s="566"/>
      <c r="J4198" s="549"/>
      <c r="N4198" s="29"/>
      <c r="S4198" s="101"/>
    </row>
    <row r="4199" spans="1:30" x14ac:dyDescent="0.35">
      <c r="A4199" s="527" t="s">
        <v>7902</v>
      </c>
      <c r="B4199" s="526" t="s">
        <v>3373</v>
      </c>
      <c r="C4199" s="526" t="s">
        <v>7894</v>
      </c>
      <c r="D4199" s="526" t="s">
        <v>7903</v>
      </c>
      <c r="E4199" s="526"/>
      <c r="F4199" s="538"/>
      <c r="G4199" s="537">
        <v>5.97</v>
      </c>
      <c r="H4199" s="538"/>
      <c r="I4199" s="574"/>
      <c r="J4199" s="549">
        <f>J$31</f>
        <v>44896</v>
      </c>
      <c r="N4199" s="698" t="s">
        <v>8238</v>
      </c>
    </row>
    <row r="4200" spans="1:30" x14ac:dyDescent="0.35">
      <c r="A4200" s="12"/>
      <c r="B4200" s="9"/>
      <c r="C4200" s="1"/>
      <c r="D4200" s="653"/>
      <c r="E4200" s="1"/>
      <c r="F4200" s="362"/>
      <c r="G4200" s="10"/>
      <c r="H4200" s="10"/>
      <c r="I4200" s="566"/>
      <c r="J4200" s="549"/>
      <c r="N4200" s="29"/>
      <c r="S4200" s="101"/>
    </row>
    <row r="4201" spans="1:30" x14ac:dyDescent="0.35">
      <c r="A4201" s="527" t="s">
        <v>8235</v>
      </c>
      <c r="B4201" s="526" t="s">
        <v>3373</v>
      </c>
      <c r="C4201" s="526" t="s">
        <v>8236</v>
      </c>
      <c r="D4201" s="526" t="s">
        <v>7903</v>
      </c>
      <c r="E4201" s="526"/>
      <c r="F4201" s="538"/>
      <c r="G4201" s="537">
        <v>5.88</v>
      </c>
      <c r="H4201" s="538"/>
      <c r="I4201" s="574"/>
      <c r="J4201" s="549">
        <v>45268</v>
      </c>
      <c r="N4201" s="698" t="s">
        <v>8265</v>
      </c>
    </row>
    <row r="4202" spans="1:30" x14ac:dyDescent="0.35">
      <c r="A4202" s="12"/>
      <c r="B4202" s="9"/>
      <c r="C4202" s="9"/>
      <c r="D4202" s="9"/>
      <c r="E4202" s="9"/>
      <c r="F4202" s="27"/>
      <c r="G4202" s="22"/>
      <c r="H4202" s="22"/>
      <c r="I4202" s="591"/>
      <c r="J4202" s="549"/>
    </row>
    <row r="4203" spans="1:30" ht="23.5" x14ac:dyDescent="0.55000000000000004">
      <c r="A4203" s="89" t="s">
        <v>2845</v>
      </c>
      <c r="B4203" s="50"/>
      <c r="C4203" s="50"/>
      <c r="D4203" s="50"/>
      <c r="E4203" s="50"/>
      <c r="F4203" s="363"/>
      <c r="G4203" s="50"/>
      <c r="H4203" s="59"/>
      <c r="I4203" s="567"/>
      <c r="J4203" s="549" t="s">
        <v>5804</v>
      </c>
      <c r="K4203" s="22"/>
      <c r="M4203" s="53" t="s">
        <v>861</v>
      </c>
      <c r="N4203" s="27"/>
      <c r="O4203" s="22"/>
      <c r="P4203" s="85"/>
    </row>
    <row r="4204" spans="1:30" x14ac:dyDescent="0.35">
      <c r="A4204" s="496"/>
      <c r="B4204" s="1"/>
      <c r="C4204" s="1"/>
      <c r="D4204" s="1"/>
      <c r="E4204" s="1"/>
      <c r="F4204" s="362"/>
      <c r="G4204" s="10"/>
      <c r="H4204" s="10"/>
      <c r="I4204" s="566"/>
      <c r="J4204" s="549"/>
      <c r="K4204" s="22"/>
      <c r="L4204" s="22"/>
      <c r="M4204" s="22"/>
      <c r="N4204" s="85"/>
      <c r="O4204" s="86" t="s">
        <v>1205</v>
      </c>
      <c r="P4204" s="85"/>
      <c r="S4204" s="22"/>
      <c r="AB4204" s="57"/>
    </row>
    <row r="4205" spans="1:30" ht="31.5" x14ac:dyDescent="0.35">
      <c r="A4205" s="496"/>
      <c r="B4205" s="1"/>
      <c r="C4205" s="18"/>
      <c r="D4205" s="18"/>
      <c r="E4205" s="1"/>
      <c r="F4205" s="362"/>
      <c r="G4205" s="10"/>
      <c r="H4205" s="10"/>
      <c r="I4205" s="566"/>
      <c r="J4205" s="549"/>
      <c r="K4205" s="22"/>
      <c r="L4205" s="22"/>
      <c r="M4205" s="36" t="s">
        <v>2913</v>
      </c>
      <c r="N4205" s="39" t="s">
        <v>5498</v>
      </c>
      <c r="O4205" s="30" t="s">
        <v>558</v>
      </c>
      <c r="P4205" s="39" t="s">
        <v>560</v>
      </c>
      <c r="Q4205" s="95" t="s">
        <v>5489</v>
      </c>
      <c r="R4205" s="95"/>
      <c r="S4205" s="30"/>
      <c r="T4205" s="30"/>
      <c r="U4205" s="30"/>
      <c r="V4205" s="64"/>
      <c r="W4205" s="64"/>
      <c r="X4205" s="64"/>
      <c r="Y4205" s="64"/>
      <c r="Z4205" s="64"/>
      <c r="AA4205" s="64"/>
      <c r="AB4205" s="30"/>
      <c r="AC4205" s="30"/>
      <c r="AD4205" s="30"/>
    </row>
    <row r="4206" spans="1:30" x14ac:dyDescent="0.35">
      <c r="A4206" s="496"/>
      <c r="B4206" s="1"/>
      <c r="C4206" s="18"/>
      <c r="D4206" s="18"/>
      <c r="E4206" s="1"/>
      <c r="F4206" s="362"/>
      <c r="G4206" s="10"/>
      <c r="H4206" s="10"/>
      <c r="I4206" s="566"/>
      <c r="J4206" s="549"/>
      <c r="K4206" s="22"/>
      <c r="L4206" s="22"/>
      <c r="M4206" s="34"/>
      <c r="N4206" s="39"/>
      <c r="O4206" s="30" t="s">
        <v>559</v>
      </c>
      <c r="P4206" s="39"/>
      <c r="Q4206" s="293">
        <v>0.01</v>
      </c>
      <c r="R4206" s="96"/>
      <c r="S4206" s="30"/>
      <c r="T4206" s="30"/>
      <c r="U4206" s="30"/>
      <c r="V4206" s="30"/>
      <c r="W4206" s="30"/>
      <c r="X4206" s="30"/>
      <c r="Y4206" s="30"/>
      <c r="Z4206" s="30"/>
      <c r="AA4206" s="30"/>
      <c r="AB4206" s="30"/>
      <c r="AC4206" s="30"/>
      <c r="AD4206" s="30"/>
    </row>
    <row r="4207" spans="1:30" x14ac:dyDescent="0.35">
      <c r="A4207" s="496"/>
      <c r="B4207" s="1"/>
      <c r="C4207" s="18"/>
      <c r="D4207" s="18"/>
      <c r="E4207" s="1"/>
      <c r="F4207" s="362"/>
      <c r="G4207" s="10"/>
      <c r="H4207" s="10"/>
      <c r="I4207" s="566"/>
      <c r="J4207" s="549"/>
      <c r="L4207" s="56"/>
      <c r="M4207" s="35">
        <v>2009</v>
      </c>
      <c r="N4207" s="28"/>
      <c r="O4207" s="33">
        <v>0.5</v>
      </c>
      <c r="P4207" s="40">
        <v>0.5</v>
      </c>
      <c r="Q4207" s="74"/>
      <c r="R4207" s="29" t="str">
        <f>"Bonushöhe bei Inbetriebnahme in "&amp;M4207</f>
        <v>Bonushöhe bei Inbetriebnahme in 2009</v>
      </c>
      <c r="S4207" s="29"/>
      <c r="T4207" s="29"/>
      <c r="U4207" s="29"/>
      <c r="V4207" s="29"/>
      <c r="W4207" s="29"/>
      <c r="X4207" s="29"/>
      <c r="Y4207" s="29"/>
      <c r="Z4207" s="29"/>
      <c r="AA4207" s="29"/>
      <c r="AB4207" s="29"/>
      <c r="AC4207" s="29"/>
      <c r="AD4207" s="29"/>
    </row>
    <row r="4208" spans="1:30" x14ac:dyDescent="0.35">
      <c r="A4208" s="496"/>
      <c r="B4208" s="1"/>
      <c r="C4208" s="1"/>
      <c r="D4208" s="1"/>
      <c r="E4208" s="1"/>
      <c r="F4208" s="362"/>
      <c r="G4208" s="10"/>
      <c r="H4208" s="10"/>
      <c r="I4208" s="566"/>
      <c r="J4208" s="549"/>
      <c r="L4208" s="55" t="str">
        <f>IF(F4209=M4208,"",FALSE)</f>
        <v/>
      </c>
      <c r="M4208" s="37">
        <f>N4208+SUMIF(O4208:Q4208,"x",O$4207:Q$4207)</f>
        <v>9.6999999999999993</v>
      </c>
      <c r="N4208" s="91">
        <v>9.1999999999999993</v>
      </c>
      <c r="O4208" s="92"/>
      <c r="P4208" s="91" t="s">
        <v>1017</v>
      </c>
    </row>
    <row r="4209" spans="1:30" x14ac:dyDescent="0.35">
      <c r="A4209" s="497" t="s">
        <v>4757</v>
      </c>
      <c r="B4209" s="13" t="s">
        <v>3381</v>
      </c>
      <c r="C4209" s="13" t="s">
        <v>5404</v>
      </c>
      <c r="D4209" s="13" t="s">
        <v>5430</v>
      </c>
      <c r="E4209" s="13"/>
      <c r="F4209" s="364">
        <v>9.6999999999999993</v>
      </c>
      <c r="G4209" s="424">
        <v>9.6999999999999993</v>
      </c>
      <c r="H4209" s="14">
        <f t="shared" ref="H4209:H4237" si="1517">IF(ISNUMBER(G4209),ROUND(0.8*G4209,2),"")</f>
        <v>7.76</v>
      </c>
      <c r="I4209" s="568"/>
      <c r="J4209" s="549" t="s">
        <v>5804</v>
      </c>
      <c r="L4209" s="55" t="str">
        <f>IF(F4210=M4209,"",FALSE)</f>
        <v/>
      </c>
      <c r="M4209" s="37">
        <f>N4209+SUMIF(O4209:Q4209,"x",O$4207:Q$4207)</f>
        <v>10.199999999999999</v>
      </c>
      <c r="N4209" s="91">
        <v>9.1999999999999993</v>
      </c>
      <c r="O4209" s="92" t="s">
        <v>1017</v>
      </c>
      <c r="P4209" s="91" t="s">
        <v>1017</v>
      </c>
    </row>
    <row r="4210" spans="1:30" x14ac:dyDescent="0.35">
      <c r="A4210" s="497" t="s">
        <v>4758</v>
      </c>
      <c r="B4210" s="13" t="s">
        <v>3381</v>
      </c>
      <c r="C4210" s="13" t="s">
        <v>5404</v>
      </c>
      <c r="D4210" s="13" t="s">
        <v>5431</v>
      </c>
      <c r="E4210" s="13"/>
      <c r="F4210" s="364">
        <v>10.199999999999999</v>
      </c>
      <c r="G4210" s="424">
        <v>10.199999999999999</v>
      </c>
      <c r="H4210" s="14">
        <f t="shared" si="1517"/>
        <v>8.16</v>
      </c>
      <c r="I4210" s="568"/>
      <c r="J4210" s="549" t="s">
        <v>5804</v>
      </c>
      <c r="L4210" s="55" t="str">
        <f>IF(F4211=M4210,"",FALSE)</f>
        <v/>
      </c>
      <c r="M4210" s="45">
        <f>N4210+SUMIF(O4210:Q4210,"x",O$4207:Q$4207)</f>
        <v>5.0199999999999996</v>
      </c>
      <c r="N4210" s="93">
        <v>5.0199999999999996</v>
      </c>
      <c r="O4210" s="92"/>
      <c r="P4210" s="91"/>
      <c r="Q4210" s="75"/>
    </row>
    <row r="4211" spans="1:30" x14ac:dyDescent="0.35">
      <c r="A4211" s="497" t="s">
        <v>4760</v>
      </c>
      <c r="B4211" s="13" t="s">
        <v>3381</v>
      </c>
      <c r="C4211" s="13" t="s">
        <v>5404</v>
      </c>
      <c r="D4211" s="13" t="s">
        <v>4759</v>
      </c>
      <c r="E4211" s="13"/>
      <c r="F4211" s="364">
        <v>5.0199999999999996</v>
      </c>
      <c r="G4211" s="424">
        <v>5.0199999999999996</v>
      </c>
      <c r="H4211" s="14">
        <f t="shared" si="1517"/>
        <v>4.0199999999999996</v>
      </c>
      <c r="I4211" s="568"/>
      <c r="J4211" s="549" t="s">
        <v>5804</v>
      </c>
      <c r="L4211" s="56"/>
      <c r="M4211" s="289">
        <v>2010</v>
      </c>
      <c r="N4211" s="289"/>
      <c r="O4211" s="284">
        <f>ROUND(O$4207*(1-$Q$4206)^($M4211-$M$4207),2)</f>
        <v>0.5</v>
      </c>
      <c r="P4211" s="285">
        <f>ROUND(P$4207*(1-$Q$4206)^($M4211-$M$4207),2)</f>
        <v>0.5</v>
      </c>
      <c r="Q4211" s="74"/>
      <c r="R4211" s="29" t="str">
        <f>"Bonushöhe bei Inbetriebnahme in "&amp;M4211</f>
        <v>Bonushöhe bei Inbetriebnahme in 2010</v>
      </c>
      <c r="S4211" s="29"/>
      <c r="T4211" s="29"/>
      <c r="U4211" s="29"/>
      <c r="V4211" s="29"/>
      <c r="W4211" s="29"/>
      <c r="X4211" s="29"/>
      <c r="Y4211" s="29"/>
      <c r="Z4211" s="29"/>
      <c r="AA4211" s="29"/>
      <c r="AB4211" s="29"/>
      <c r="AC4211" s="29"/>
      <c r="AD4211" s="29"/>
    </row>
    <row r="4212" spans="1:30" x14ac:dyDescent="0.35">
      <c r="A4212" s="496"/>
      <c r="B4212" s="1"/>
      <c r="C4212" s="1"/>
      <c r="D4212" s="1"/>
      <c r="E4212" s="1"/>
      <c r="F4212" s="362"/>
      <c r="G4212" s="425"/>
      <c r="H4212" s="10" t="str">
        <f t="shared" si="1517"/>
        <v/>
      </c>
      <c r="I4212" s="566"/>
      <c r="J4212" s="549" t="s">
        <v>4179</v>
      </c>
      <c r="L4212" s="55" t="str">
        <f>IF(F4213=M4212,"",FALSE)</f>
        <v/>
      </c>
      <c r="M4212" s="37">
        <f>N4212+SUMIF(O4212:Q4212,"x",$O$4211:$Q$4211)</f>
        <v>9.61</v>
      </c>
      <c r="N4212" s="91">
        <f>ROUND(N4208*(1-$Q$4206)^($M$4211-$M$4207),2)</f>
        <v>9.11</v>
      </c>
      <c r="O4212" s="92"/>
      <c r="P4212" s="91" t="s">
        <v>1017</v>
      </c>
    </row>
    <row r="4213" spans="1:30" x14ac:dyDescent="0.35">
      <c r="A4213" s="497" t="s">
        <v>862</v>
      </c>
      <c r="B4213" s="13" t="s">
        <v>3381</v>
      </c>
      <c r="C4213" s="13" t="s">
        <v>2385</v>
      </c>
      <c r="D4213" s="13" t="s">
        <v>5430</v>
      </c>
      <c r="E4213" s="13"/>
      <c r="F4213" s="364">
        <v>9.61</v>
      </c>
      <c r="G4213" s="424">
        <v>9.61</v>
      </c>
      <c r="H4213" s="14">
        <f t="shared" si="1517"/>
        <v>7.69</v>
      </c>
      <c r="I4213" s="568"/>
      <c r="J4213" s="549" t="s">
        <v>5804</v>
      </c>
      <c r="L4213" s="55" t="str">
        <f>IF(F4214=M4213,"",FALSE)</f>
        <v/>
      </c>
      <c r="M4213" s="37">
        <f>N4213+SUMIF(O4213:Q4213,"x",O$4090:Q$4090)</f>
        <v>10.11</v>
      </c>
      <c r="N4213" s="91">
        <f>ROUND(N4209*(1-$Q$4206)^($M$4211-$M$4207),2)</f>
        <v>9.11</v>
      </c>
      <c r="O4213" s="92" t="s">
        <v>1017</v>
      </c>
      <c r="P4213" s="91" t="s">
        <v>1017</v>
      </c>
    </row>
    <row r="4214" spans="1:30" x14ac:dyDescent="0.35">
      <c r="A4214" s="497" t="s">
        <v>863</v>
      </c>
      <c r="B4214" s="13" t="s">
        <v>3381</v>
      </c>
      <c r="C4214" s="13" t="s">
        <v>2385</v>
      </c>
      <c r="D4214" s="13" t="s">
        <v>5431</v>
      </c>
      <c r="E4214" s="13"/>
      <c r="F4214" s="364">
        <v>10.11</v>
      </c>
      <c r="G4214" s="424">
        <v>10.11</v>
      </c>
      <c r="H4214" s="14">
        <f t="shared" si="1517"/>
        <v>8.09</v>
      </c>
      <c r="I4214" s="568"/>
      <c r="J4214" s="549" t="s">
        <v>5804</v>
      </c>
      <c r="L4214" s="55" t="str">
        <f>IF(F4215=M4214,"",FALSE)</f>
        <v/>
      </c>
      <c r="M4214" s="45">
        <f>N4214+SUMIF(O4214:Q4214,"x",O$4090:Q$4090)</f>
        <v>4.97</v>
      </c>
      <c r="N4214" s="93">
        <f>ROUND(N4210*(1-$Q$4206)^($M$4211-$M$4207),2)</f>
        <v>4.97</v>
      </c>
      <c r="O4214" s="94"/>
      <c r="P4214" s="91"/>
      <c r="Q4214" s="75"/>
    </row>
    <row r="4215" spans="1:30" x14ac:dyDescent="0.35">
      <c r="A4215" s="497" t="s">
        <v>864</v>
      </c>
      <c r="B4215" s="13" t="s">
        <v>3381</v>
      </c>
      <c r="C4215" s="13" t="s">
        <v>2385</v>
      </c>
      <c r="D4215" s="13" t="s">
        <v>4759</v>
      </c>
      <c r="E4215" s="13"/>
      <c r="F4215" s="364">
        <v>4.97</v>
      </c>
      <c r="G4215" s="424">
        <v>4.97</v>
      </c>
      <c r="H4215" s="14">
        <f t="shared" si="1517"/>
        <v>3.98</v>
      </c>
      <c r="I4215" s="568"/>
      <c r="J4215" s="549" t="s">
        <v>5804</v>
      </c>
      <c r="M4215" s="289">
        <v>2011</v>
      </c>
      <c r="N4215" s="289"/>
      <c r="O4215" s="284">
        <f>ROUND(O$4207*(1-$Q$4206)^($M4215-$M$4207),2)</f>
        <v>0.49</v>
      </c>
      <c r="P4215" s="285">
        <f>ROUND(P$4207*(1-$Q$4206)^($M4215-$M$4207),2)</f>
        <v>0.49</v>
      </c>
      <c r="R4215" s="29" t="str">
        <f>"Bonushöhe bei Inbetriebnahme in "&amp;M4215</f>
        <v>Bonushöhe bei Inbetriebnahme in 2011</v>
      </c>
    </row>
    <row r="4216" spans="1:30" x14ac:dyDescent="0.35">
      <c r="A4216" s="496"/>
      <c r="B4216" s="1"/>
      <c r="C4216" s="1"/>
      <c r="D4216" s="1"/>
      <c r="E4216" s="1"/>
      <c r="F4216" s="362"/>
      <c r="G4216" s="425"/>
      <c r="H4216" s="10" t="str">
        <f t="shared" si="1517"/>
        <v/>
      </c>
      <c r="I4216" s="566"/>
      <c r="J4216" s="549" t="s">
        <v>4179</v>
      </c>
      <c r="L4216" s="55" t="str">
        <f>IF(F4217=M4216,"",FALSE)</f>
        <v/>
      </c>
      <c r="M4216" s="37">
        <f>N4216+SUMIF(O4216:Q4216,"x",$O$4215:$Q$4215)</f>
        <v>9.51</v>
      </c>
      <c r="N4216" s="91">
        <f>ROUND(N4208*(1-$Q$4206)^($M$4215-$M$4207),2)</f>
        <v>9.02</v>
      </c>
      <c r="O4216" s="92"/>
      <c r="P4216" s="91" t="s">
        <v>1017</v>
      </c>
      <c r="Q4216" s="75"/>
    </row>
    <row r="4217" spans="1:30" x14ac:dyDescent="0.35">
      <c r="A4217" s="497" t="str">
        <f>LEFT(A4213,12)&amp;($M$4215-2000)</f>
        <v>WrK300------11</v>
      </c>
      <c r="B4217" s="13" t="s">
        <v>3381</v>
      </c>
      <c r="C4217" s="13" t="str">
        <f>"Inbetriebnahme "&amp;$M$4215</f>
        <v>Inbetriebnahme 2011</v>
      </c>
      <c r="D4217" s="13" t="s">
        <v>5430</v>
      </c>
      <c r="E4217" s="13"/>
      <c r="F4217" s="364">
        <f>M4216</f>
        <v>9.51</v>
      </c>
      <c r="G4217" s="424">
        <v>9.51</v>
      </c>
      <c r="H4217" s="14">
        <f t="shared" si="1517"/>
        <v>7.61</v>
      </c>
      <c r="I4217" s="568"/>
      <c r="J4217" s="549" t="s">
        <v>5804</v>
      </c>
      <c r="L4217" s="55" t="str">
        <f>IF(F4218=M4217,"",FALSE)</f>
        <v/>
      </c>
      <c r="M4217" s="37">
        <f>N4217+SUMIF(O4217:Q4217,"x",$O$4215:$Q$4215)</f>
        <v>10</v>
      </c>
      <c r="N4217" s="91">
        <f>ROUND(N4209*(1-$Q$4206)^($M$4215-$M$4207),2)</f>
        <v>9.02</v>
      </c>
      <c r="O4217" s="92" t="s">
        <v>1017</v>
      </c>
      <c r="P4217" s="91" t="s">
        <v>1017</v>
      </c>
    </row>
    <row r="4218" spans="1:30" x14ac:dyDescent="0.35">
      <c r="A4218" s="497" t="str">
        <f>LEFT(A4214,12)&amp;($M$4215-2000)</f>
        <v>WrK300S-----11</v>
      </c>
      <c r="B4218" s="13" t="s">
        <v>3381</v>
      </c>
      <c r="C4218" s="13" t="str">
        <f>"Inbetriebnahme "&amp;$M$4215</f>
        <v>Inbetriebnahme 2011</v>
      </c>
      <c r="D4218" s="13" t="s">
        <v>5431</v>
      </c>
      <c r="E4218" s="13"/>
      <c r="F4218" s="364">
        <f>M4217</f>
        <v>10</v>
      </c>
      <c r="G4218" s="424">
        <v>10</v>
      </c>
      <c r="H4218" s="14">
        <f t="shared" si="1517"/>
        <v>8</v>
      </c>
      <c r="I4218" s="568"/>
      <c r="J4218" s="549" t="s">
        <v>5804</v>
      </c>
      <c r="L4218" s="55" t="str">
        <f>IF(F4219=M4218,"",FALSE)</f>
        <v/>
      </c>
      <c r="M4218" s="45">
        <f>N4218+SUMIF(O4218:Q4218,"x",$O$4215:$Q$4215)</f>
        <v>4.92</v>
      </c>
      <c r="N4218" s="93">
        <f>ROUND(N4210*(1-$Q$4206)^($M$4215-$M$4207),2)</f>
        <v>4.92</v>
      </c>
      <c r="O4218" s="94"/>
      <c r="P4218" s="93"/>
    </row>
    <row r="4219" spans="1:30" x14ac:dyDescent="0.35">
      <c r="A4219" s="497" t="str">
        <f>LEFT(A4215,12)&amp;($M$4215-2000)</f>
        <v>WrK301------11</v>
      </c>
      <c r="B4219" s="13" t="s">
        <v>3381</v>
      </c>
      <c r="C4219" s="13" t="str">
        <f>"Inbetriebnahme "&amp;$M$4215</f>
        <v>Inbetriebnahme 2011</v>
      </c>
      <c r="D4219" s="13" t="s">
        <v>4759</v>
      </c>
      <c r="E4219" s="13"/>
      <c r="F4219" s="364">
        <f>M4218</f>
        <v>4.92</v>
      </c>
      <c r="G4219" s="424">
        <v>4.92</v>
      </c>
      <c r="H4219" s="14">
        <f t="shared" si="1517"/>
        <v>3.94</v>
      </c>
      <c r="I4219" s="568"/>
      <c r="J4219" s="549" t="s">
        <v>5804</v>
      </c>
    </row>
    <row r="4220" spans="1:30" ht="15.5" x14ac:dyDescent="0.35">
      <c r="A4220" s="496"/>
      <c r="B4220" s="1"/>
      <c r="C4220" s="1"/>
      <c r="D4220" s="1"/>
      <c r="E4220" s="1"/>
      <c r="F4220" s="362"/>
      <c r="G4220" s="425"/>
      <c r="H4220" s="10" t="str">
        <f t="shared" si="1517"/>
        <v/>
      </c>
      <c r="I4220" s="566"/>
      <c r="J4220" s="549" t="s">
        <v>4179</v>
      </c>
      <c r="K4220" s="22"/>
      <c r="M4220" s="53" t="s">
        <v>4238</v>
      </c>
      <c r="N4220" s="27"/>
      <c r="O4220" s="22"/>
      <c r="P4220" s="22"/>
    </row>
    <row r="4221" spans="1:30" x14ac:dyDescent="0.35">
      <c r="A4221" s="496"/>
      <c r="B4221" s="1"/>
      <c r="C4221" s="1"/>
      <c r="D4221" s="1"/>
      <c r="E4221" s="1"/>
      <c r="F4221" s="362"/>
      <c r="G4221" s="425"/>
      <c r="H4221" s="10" t="str">
        <f t="shared" si="1517"/>
        <v/>
      </c>
      <c r="I4221" s="566"/>
      <c r="J4221" s="549" t="s">
        <v>4179</v>
      </c>
      <c r="K4221" s="22"/>
      <c r="L4221" s="22"/>
      <c r="M4221" s="22"/>
      <c r="N4221" s="85"/>
      <c r="O4221" s="86" t="s">
        <v>1205</v>
      </c>
      <c r="P4221" s="85"/>
      <c r="S4221" s="22"/>
      <c r="AB4221" s="57"/>
    </row>
    <row r="4222" spans="1:30" ht="31.5" x14ac:dyDescent="0.35">
      <c r="A4222" s="496"/>
      <c r="B4222" s="1"/>
      <c r="C4222" s="18"/>
      <c r="D4222" s="18"/>
      <c r="E4222" s="1"/>
      <c r="F4222" s="362"/>
      <c r="G4222" s="425"/>
      <c r="H4222" s="10" t="str">
        <f t="shared" si="1517"/>
        <v/>
      </c>
      <c r="I4222" s="566"/>
      <c r="J4222" s="549" t="s">
        <v>4179</v>
      </c>
      <c r="K4222" s="22"/>
      <c r="L4222" s="22"/>
      <c r="M4222" s="36" t="s">
        <v>2913</v>
      </c>
      <c r="N4222" s="39" t="s">
        <v>507</v>
      </c>
      <c r="O4222" s="30" t="s">
        <v>558</v>
      </c>
      <c r="P4222" s="39" t="s">
        <v>560</v>
      </c>
      <c r="Q4222" s="95" t="s">
        <v>505</v>
      </c>
      <c r="R4222" s="95"/>
      <c r="S4222" s="30"/>
      <c r="T4222" s="30"/>
      <c r="U4222" s="30"/>
      <c r="V4222" s="64"/>
      <c r="W4222" s="64"/>
      <c r="X4222" s="64"/>
      <c r="Y4222" s="64"/>
      <c r="Z4222" s="64"/>
      <c r="AA4222" s="64"/>
      <c r="AB4222" s="30"/>
      <c r="AC4222" s="30"/>
      <c r="AD4222" s="30"/>
    </row>
    <row r="4223" spans="1:30" x14ac:dyDescent="0.35">
      <c r="A4223" s="496"/>
      <c r="B4223" s="1"/>
      <c r="C4223" s="18"/>
      <c r="D4223" s="18"/>
      <c r="E4223" s="1"/>
      <c r="F4223" s="362"/>
      <c r="G4223" s="425"/>
      <c r="H4223" s="10" t="str">
        <f t="shared" si="1517"/>
        <v/>
      </c>
      <c r="I4223" s="566"/>
      <c r="J4223" s="549" t="s">
        <v>4179</v>
      </c>
      <c r="K4223" s="22"/>
      <c r="L4223" s="22"/>
      <c r="M4223" s="34"/>
      <c r="N4223" s="39"/>
      <c r="O4223" s="30" t="s">
        <v>559</v>
      </c>
      <c r="P4223" s="39"/>
      <c r="Q4223" s="293">
        <v>1.4999999999999999E-2</v>
      </c>
      <c r="R4223" s="96"/>
      <c r="S4223" s="30"/>
      <c r="T4223" s="30"/>
      <c r="U4223" s="30"/>
      <c r="V4223" s="30"/>
      <c r="W4223" s="30"/>
      <c r="X4223" s="30"/>
      <c r="Y4223" s="30"/>
      <c r="Z4223" s="30"/>
      <c r="AA4223" s="30"/>
      <c r="AB4223" s="30"/>
      <c r="AC4223" s="30"/>
      <c r="AD4223" s="30"/>
    </row>
    <row r="4224" spans="1:30" x14ac:dyDescent="0.35">
      <c r="A4224" s="496"/>
      <c r="B4224" s="1"/>
      <c r="C4224" s="18"/>
      <c r="D4224" s="18"/>
      <c r="E4224" s="1"/>
      <c r="F4224" s="362"/>
      <c r="G4224" s="425"/>
      <c r="H4224" s="10" t="str">
        <f t="shared" si="1517"/>
        <v/>
      </c>
      <c r="I4224" s="566"/>
      <c r="J4224" s="549" t="s">
        <v>4179</v>
      </c>
      <c r="L4224" s="56"/>
      <c r="M4224" s="35">
        <v>2012</v>
      </c>
      <c r="N4224" s="28"/>
      <c r="O4224" s="33">
        <v>0.48</v>
      </c>
      <c r="P4224" s="40">
        <v>0.5</v>
      </c>
      <c r="Q4224" s="74"/>
      <c r="R4224" s="29" t="str">
        <f>"Bonushöhe bei Inbetriebnahme in "&amp;M4224</f>
        <v>Bonushöhe bei Inbetriebnahme in 2012</v>
      </c>
      <c r="S4224" s="29"/>
      <c r="T4224" s="29"/>
      <c r="U4224" s="29"/>
      <c r="V4224" s="29"/>
      <c r="W4224" s="29"/>
      <c r="X4224" s="29"/>
      <c r="Y4224" s="29"/>
      <c r="Z4224" s="29"/>
      <c r="AA4224" s="29"/>
      <c r="AB4224" s="29"/>
      <c r="AC4224" s="29"/>
      <c r="AD4224" s="29"/>
    </row>
    <row r="4225" spans="1:30" x14ac:dyDescent="0.35">
      <c r="A4225" s="496"/>
      <c r="B4225" s="1"/>
      <c r="C4225" s="1"/>
      <c r="D4225" s="1"/>
      <c r="E4225" s="1"/>
      <c r="F4225" s="362"/>
      <c r="G4225" s="425"/>
      <c r="H4225" s="10" t="str">
        <f t="shared" si="1517"/>
        <v/>
      </c>
      <c r="I4225" s="566"/>
      <c r="J4225" s="549" t="s">
        <v>4179</v>
      </c>
      <c r="L4225" s="55" t="str">
        <f>IF(F4226=M4225,"",FALSE)</f>
        <v/>
      </c>
      <c r="M4225" s="37">
        <f>N4225+SUMIF(O4225:Q4225,"x",O$4224:Q$4224)</f>
        <v>9.43</v>
      </c>
      <c r="N4225" s="91">
        <v>8.93</v>
      </c>
      <c r="O4225" s="92"/>
      <c r="P4225" s="91" t="s">
        <v>1017</v>
      </c>
      <c r="Q4225" s="75"/>
    </row>
    <row r="4226" spans="1:30" x14ac:dyDescent="0.35">
      <c r="A4226" s="506" t="s">
        <v>2557</v>
      </c>
      <c r="B4226" s="225" t="s">
        <v>3381</v>
      </c>
      <c r="C4226" s="225" t="str">
        <f>"Inbetriebnahme "&amp;$M$4107</f>
        <v>Inbetriebnahme 2012</v>
      </c>
      <c r="D4226" s="225" t="s">
        <v>5430</v>
      </c>
      <c r="E4226" s="225"/>
      <c r="F4226" s="366">
        <f>M4225</f>
        <v>9.43</v>
      </c>
      <c r="G4226" s="427">
        <v>9.43</v>
      </c>
      <c r="H4226" s="227">
        <f t="shared" si="1517"/>
        <v>7.54</v>
      </c>
      <c r="I4226" s="570"/>
      <c r="J4226" s="549" t="s">
        <v>5804</v>
      </c>
      <c r="L4226" s="55" t="str">
        <f>IF(F4227=M4226,"",FALSE)</f>
        <v/>
      </c>
      <c r="M4226" s="37">
        <f>N4226+SUMIF(O4226:Q4226,"x",O$4224:Q$4224)</f>
        <v>9.91</v>
      </c>
      <c r="N4226" s="91">
        <v>8.93</v>
      </c>
      <c r="O4226" s="92" t="s">
        <v>1017</v>
      </c>
      <c r="P4226" s="91" t="s">
        <v>1017</v>
      </c>
    </row>
    <row r="4227" spans="1:30" x14ac:dyDescent="0.35">
      <c r="A4227" s="506" t="s">
        <v>2558</v>
      </c>
      <c r="B4227" s="225" t="s">
        <v>3381</v>
      </c>
      <c r="C4227" s="225" t="str">
        <f>"Inbetriebnahme "&amp;$M$4107</f>
        <v>Inbetriebnahme 2012</v>
      </c>
      <c r="D4227" s="225" t="s">
        <v>5431</v>
      </c>
      <c r="E4227" s="225"/>
      <c r="F4227" s="366">
        <f>M4226</f>
        <v>9.91</v>
      </c>
      <c r="G4227" s="427">
        <v>9.91</v>
      </c>
      <c r="H4227" s="227">
        <f t="shared" si="1517"/>
        <v>7.93</v>
      </c>
      <c r="I4227" s="570"/>
      <c r="J4227" s="549" t="s">
        <v>5804</v>
      </c>
      <c r="L4227" s="55" t="str">
        <f>IF(F4228=M4227,"",FALSE)</f>
        <v/>
      </c>
      <c r="M4227" s="37">
        <f>N4227+SUMIF(O4227:Q4227,"x",O$4224:Q$4224)</f>
        <v>4.87</v>
      </c>
      <c r="N4227" s="91">
        <v>4.87</v>
      </c>
      <c r="O4227" s="92"/>
      <c r="P4227" s="91"/>
      <c r="Q4227" s="75"/>
    </row>
    <row r="4228" spans="1:30" x14ac:dyDescent="0.35">
      <c r="A4228" s="506" t="s">
        <v>2559</v>
      </c>
      <c r="B4228" s="225" t="s">
        <v>3381</v>
      </c>
      <c r="C4228" s="225" t="str">
        <f>"Inbetriebnahme "&amp;$M$4107</f>
        <v>Inbetriebnahme 2012</v>
      </c>
      <c r="D4228" s="225" t="s">
        <v>4759</v>
      </c>
      <c r="E4228" s="225"/>
      <c r="F4228" s="366">
        <f>M4227</f>
        <v>4.87</v>
      </c>
      <c r="G4228" s="427">
        <v>4.87</v>
      </c>
      <c r="H4228" s="227">
        <f t="shared" si="1517"/>
        <v>3.9</v>
      </c>
      <c r="I4228" s="570"/>
      <c r="J4228" s="549" t="s">
        <v>5804</v>
      </c>
      <c r="L4228" s="56"/>
      <c r="M4228" s="289">
        <v>2013</v>
      </c>
      <c r="N4228" s="283"/>
      <c r="O4228" s="284">
        <f>ROUND(R4228,2)</f>
        <v>0.47</v>
      </c>
      <c r="P4228" s="285">
        <f>ROUND(S4228,2)</f>
        <v>0.49</v>
      </c>
      <c r="Q4228" s="74"/>
      <c r="R4228" s="341">
        <f>O4224*(1-$Q$4223)</f>
        <v>0.4728</v>
      </c>
      <c r="S4228" s="341">
        <f>P4224*(1-$Q$4223)</f>
        <v>0.49249999999999999</v>
      </c>
      <c r="T4228" s="29" t="str">
        <f>"Bonushöhe bei Inbetriebnahme in "&amp;M4228</f>
        <v>Bonushöhe bei Inbetriebnahme in 2013</v>
      </c>
      <c r="U4228" s="29"/>
      <c r="V4228" s="29"/>
      <c r="W4228" s="29"/>
      <c r="X4228" s="29"/>
      <c r="Y4228" s="29"/>
      <c r="Z4228" s="29"/>
      <c r="AA4228" s="29"/>
      <c r="AB4228" s="29"/>
      <c r="AC4228" s="29"/>
      <c r="AD4228" s="29"/>
    </row>
    <row r="4229" spans="1:30" x14ac:dyDescent="0.35">
      <c r="A4229" s="496"/>
      <c r="B4229" s="1"/>
      <c r="C4229" s="1"/>
      <c r="D4229" s="1"/>
      <c r="E4229" s="1"/>
      <c r="F4229" s="362"/>
      <c r="G4229" s="425"/>
      <c r="H4229" s="10" t="str">
        <f t="shared" si="1517"/>
        <v/>
      </c>
      <c r="I4229" s="566"/>
      <c r="J4229" s="549" t="s">
        <v>4179</v>
      </c>
      <c r="L4229" s="55" t="str">
        <f>IF(F4230=M4229,"",FALSE)</f>
        <v/>
      </c>
      <c r="M4229" s="37">
        <f>ROUND(N4229,2)+SUMIF(O4229:Q4229,"x",O$4228:Q$4228)</f>
        <v>9.2900000000000009</v>
      </c>
      <c r="N4229" s="281">
        <f>N4225*(1-$Q$4223)</f>
        <v>8.7960499999999993</v>
      </c>
      <c r="O4229" s="92"/>
      <c r="P4229" s="91" t="s">
        <v>1017</v>
      </c>
      <c r="Q4229" s="75"/>
    </row>
    <row r="4230" spans="1:30" x14ac:dyDescent="0.35">
      <c r="A4230" s="507" t="s">
        <v>2190</v>
      </c>
      <c r="B4230" s="301" t="s">
        <v>3381</v>
      </c>
      <c r="C4230" s="301" t="str">
        <f>"Inbetriebnahme "&amp;$M$4111</f>
        <v>Inbetriebnahme 2013</v>
      </c>
      <c r="D4230" s="301" t="s">
        <v>5430</v>
      </c>
      <c r="E4230" s="301"/>
      <c r="F4230" s="368">
        <f>M4229</f>
        <v>9.2900000000000009</v>
      </c>
      <c r="G4230" s="429">
        <v>9.2900000000000009</v>
      </c>
      <c r="H4230" s="303">
        <f t="shared" si="1517"/>
        <v>7.43</v>
      </c>
      <c r="I4230" s="572"/>
      <c r="J4230" s="549" t="s">
        <v>5804</v>
      </c>
      <c r="L4230" s="55" t="str">
        <f>IF(F4231=M4230,"",FALSE)</f>
        <v/>
      </c>
      <c r="M4230" s="37">
        <f>ROUND(N4230,2)+SUMIF(O4230:Q4230,"x",O$4228:Q$4228)</f>
        <v>9.7600000000000016</v>
      </c>
      <c r="N4230" s="281">
        <f>N4226*(1-$Q$4223)</f>
        <v>8.7960499999999993</v>
      </c>
      <c r="O4230" s="92" t="s">
        <v>1017</v>
      </c>
      <c r="P4230" s="91" t="s">
        <v>1017</v>
      </c>
    </row>
    <row r="4231" spans="1:30" x14ac:dyDescent="0.35">
      <c r="A4231" s="507" t="s">
        <v>2191</v>
      </c>
      <c r="B4231" s="301" t="s">
        <v>3381</v>
      </c>
      <c r="C4231" s="301" t="str">
        <f>"Inbetriebnahme "&amp;$M$4111</f>
        <v>Inbetriebnahme 2013</v>
      </c>
      <c r="D4231" s="301" t="s">
        <v>5431</v>
      </c>
      <c r="E4231" s="301"/>
      <c r="F4231" s="368">
        <f>M4230</f>
        <v>9.7600000000000016</v>
      </c>
      <c r="G4231" s="429">
        <v>9.7600000000000016</v>
      </c>
      <c r="H4231" s="303">
        <f t="shared" si="1517"/>
        <v>7.81</v>
      </c>
      <c r="I4231" s="572"/>
      <c r="J4231" s="549" t="s">
        <v>5804</v>
      </c>
      <c r="L4231" s="55" t="str">
        <f>IF(F4232=M4231,"",FALSE)</f>
        <v/>
      </c>
      <c r="M4231" s="45">
        <f>ROUND(N4231,2)+SUMIF(O4231:Q4231,"x",O$4228:Q$4228)</f>
        <v>4.8</v>
      </c>
      <c r="N4231" s="297">
        <f>N4227*(1-$Q$4223)</f>
        <v>4.7969499999999998</v>
      </c>
      <c r="O4231" s="94"/>
      <c r="P4231" s="93"/>
    </row>
    <row r="4232" spans="1:30" x14ac:dyDescent="0.35">
      <c r="A4232" s="507" t="s">
        <v>2192</v>
      </c>
      <c r="B4232" s="301" t="s">
        <v>3381</v>
      </c>
      <c r="C4232" s="301" t="str">
        <f>"Inbetriebnahme "&amp;$M$4111</f>
        <v>Inbetriebnahme 2013</v>
      </c>
      <c r="D4232" s="301" t="s">
        <v>4759</v>
      </c>
      <c r="E4232" s="301"/>
      <c r="F4232" s="368">
        <f>M4231</f>
        <v>4.8</v>
      </c>
      <c r="G4232" s="429">
        <v>4.8</v>
      </c>
      <c r="H4232" s="303">
        <f t="shared" si="1517"/>
        <v>3.84</v>
      </c>
      <c r="I4232" s="572"/>
      <c r="J4232" s="549" t="s">
        <v>5804</v>
      </c>
      <c r="L4232" s="56"/>
      <c r="M4232" s="289">
        <v>2014</v>
      </c>
      <c r="N4232" s="283"/>
      <c r="O4232" s="284">
        <f>ROUND(R4232,2)</f>
        <v>0.47</v>
      </c>
      <c r="P4232" s="285">
        <f>ROUND(S4232,2)</f>
        <v>0.49</v>
      </c>
      <c r="Q4232" s="74"/>
      <c r="R4232" s="341">
        <f>R4228*(1-$Q$4223)</f>
        <v>0.46570800000000001</v>
      </c>
      <c r="S4232" s="341">
        <f>S4228*(1-$Q$4223)</f>
        <v>0.4851125</v>
      </c>
      <c r="T4232" s="29" t="str">
        <f>"Bonushöhe bei Inbetriebnahme in "&amp;M4232</f>
        <v>Bonushöhe bei Inbetriebnahme in 2014</v>
      </c>
      <c r="U4232" s="29"/>
      <c r="V4232" s="29"/>
      <c r="W4232" s="29"/>
      <c r="X4232" s="29"/>
      <c r="Y4232" s="29"/>
      <c r="Z4232" s="29"/>
      <c r="AA4232" s="29"/>
      <c r="AB4232" s="29"/>
      <c r="AC4232" s="29"/>
      <c r="AD4232" s="29"/>
    </row>
    <row r="4233" spans="1:30" x14ac:dyDescent="0.35">
      <c r="A4233" s="496"/>
      <c r="B4233" s="1"/>
      <c r="C4233" s="1"/>
      <c r="D4233" s="1"/>
      <c r="E4233" s="1"/>
      <c r="F4233" s="362"/>
      <c r="G4233" s="425"/>
      <c r="H4233" s="10" t="str">
        <f t="shared" si="1517"/>
        <v/>
      </c>
      <c r="I4233" s="566"/>
      <c r="J4233" s="549" t="s">
        <v>4179</v>
      </c>
      <c r="L4233" s="55" t="str">
        <f>IF(F4234=M4233,"",FALSE)</f>
        <v/>
      </c>
      <c r="M4233" s="37">
        <f>ROUND(N4233,2)+SUMIF(O4233:Q4233,"x",O$4228:Q$4228)</f>
        <v>9.15</v>
      </c>
      <c r="N4233" s="281">
        <f>N4229*(1-$Q$4223)</f>
        <v>8.6641092499999992</v>
      </c>
      <c r="O4233" s="92"/>
      <c r="P4233" s="91" t="s">
        <v>1017</v>
      </c>
      <c r="Q4233" s="75"/>
    </row>
    <row r="4234" spans="1:30" x14ac:dyDescent="0.35">
      <c r="A4234" s="507" t="s">
        <v>1675</v>
      </c>
      <c r="B4234" s="301" t="s">
        <v>3381</v>
      </c>
      <c r="C4234" s="301" t="str">
        <f>"Inbetriebnahme "&amp;$M$4115</f>
        <v>Inbetriebnahme 2014</v>
      </c>
      <c r="D4234" s="301" t="s">
        <v>5430</v>
      </c>
      <c r="E4234" s="301"/>
      <c r="F4234" s="368">
        <f>M4233</f>
        <v>9.15</v>
      </c>
      <c r="G4234" s="429">
        <v>9.15</v>
      </c>
      <c r="H4234" s="303">
        <f t="shared" si="1517"/>
        <v>7.32</v>
      </c>
      <c r="I4234" s="572"/>
      <c r="J4234" s="549" t="s">
        <v>5804</v>
      </c>
      <c r="L4234" s="55" t="str">
        <f>IF(F4235=M4234,"",FALSE)</f>
        <v/>
      </c>
      <c r="M4234" s="37">
        <f>ROUND(N4234,2)+SUMIF(O4234:Q4234,"x",O$4228:Q$4228)</f>
        <v>9.620000000000001</v>
      </c>
      <c r="N4234" s="281">
        <f>N4230*(1-$Q$4223)</f>
        <v>8.6641092499999992</v>
      </c>
      <c r="O4234" s="92" t="s">
        <v>1017</v>
      </c>
      <c r="P4234" s="91" t="s">
        <v>1017</v>
      </c>
    </row>
    <row r="4235" spans="1:30" x14ac:dyDescent="0.35">
      <c r="A4235" s="507" t="s">
        <v>1676</v>
      </c>
      <c r="B4235" s="301" t="s">
        <v>3381</v>
      </c>
      <c r="C4235" s="301" t="str">
        <f>"Inbetriebnahme "&amp;$M$4115</f>
        <v>Inbetriebnahme 2014</v>
      </c>
      <c r="D4235" s="301" t="s">
        <v>5431</v>
      </c>
      <c r="E4235" s="301"/>
      <c r="F4235" s="368">
        <f>M4234</f>
        <v>9.620000000000001</v>
      </c>
      <c r="G4235" s="429">
        <v>9.620000000000001</v>
      </c>
      <c r="H4235" s="303">
        <f t="shared" si="1517"/>
        <v>7.7</v>
      </c>
      <c r="I4235" s="572"/>
      <c r="J4235" s="549" t="s">
        <v>5804</v>
      </c>
      <c r="L4235" s="55" t="str">
        <f>IF(F4236=M4235,"",FALSE)</f>
        <v/>
      </c>
      <c r="M4235" s="45">
        <f>ROUND(N4235,2)+SUMIF(O4235:Q4235,"x",O$4228:Q$4228)</f>
        <v>4.72</v>
      </c>
      <c r="N4235" s="297">
        <f>N4231*(1-$Q$4223)</f>
        <v>4.7249957499999997</v>
      </c>
      <c r="O4235" s="94"/>
      <c r="P4235" s="93"/>
    </row>
    <row r="4236" spans="1:30" x14ac:dyDescent="0.35">
      <c r="A4236" s="507" t="s">
        <v>1677</v>
      </c>
      <c r="B4236" s="301" t="s">
        <v>3381</v>
      </c>
      <c r="C4236" s="301" t="str">
        <f>"Inbetriebnahme "&amp;$M$4115</f>
        <v>Inbetriebnahme 2014</v>
      </c>
      <c r="D4236" s="301" t="s">
        <v>4759</v>
      </c>
      <c r="E4236" s="301"/>
      <c r="F4236" s="368">
        <f>M4235</f>
        <v>4.72</v>
      </c>
      <c r="G4236" s="429">
        <v>4.72</v>
      </c>
      <c r="H4236" s="303">
        <f t="shared" si="1517"/>
        <v>3.78</v>
      </c>
      <c r="I4236" s="572"/>
      <c r="J4236" s="549" t="s">
        <v>5804</v>
      </c>
    </row>
    <row r="4237" spans="1:30" x14ac:dyDescent="0.35">
      <c r="A4237" s="12"/>
      <c r="B4237" s="9"/>
      <c r="C4237" s="9"/>
      <c r="D4237" s="9"/>
      <c r="E4237" s="9"/>
      <c r="F4237" s="27"/>
      <c r="G4237" s="442"/>
      <c r="H4237" s="22" t="str">
        <f t="shared" si="1517"/>
        <v/>
      </c>
      <c r="I4237" s="591"/>
      <c r="J4237" s="549" t="s">
        <v>4179</v>
      </c>
    </row>
    <row r="4238" spans="1:30" ht="23.5" x14ac:dyDescent="0.55000000000000004">
      <c r="A4238" s="89" t="s">
        <v>105</v>
      </c>
      <c r="B4238" s="50"/>
      <c r="C4238" s="50"/>
      <c r="D4238" s="50"/>
      <c r="E4238" s="50"/>
      <c r="F4238" s="363"/>
      <c r="G4238" s="443"/>
      <c r="H4238" s="59"/>
      <c r="I4238" s="567"/>
      <c r="J4238" s="549" t="s">
        <v>4179</v>
      </c>
    </row>
    <row r="4239" spans="1:30" x14ac:dyDescent="0.35">
      <c r="A4239" s="505" t="s">
        <v>2079</v>
      </c>
      <c r="B4239" s="23" t="s">
        <v>2067</v>
      </c>
      <c r="C4239" s="23" t="s">
        <v>1275</v>
      </c>
      <c r="D4239" s="23" t="s">
        <v>5432</v>
      </c>
      <c r="E4239" s="23"/>
      <c r="F4239" s="386">
        <v>15</v>
      </c>
      <c r="G4239" s="441">
        <v>15</v>
      </c>
      <c r="H4239" s="87">
        <f t="shared" ref="H4239:H4270" si="1518">IF(ISNUMBER(G4239),ROUND(0.8*G4239,2),"")</f>
        <v>12</v>
      </c>
      <c r="I4239" s="590"/>
      <c r="J4239" s="549" t="s">
        <v>5804</v>
      </c>
    </row>
    <row r="4240" spans="1:30" x14ac:dyDescent="0.35">
      <c r="A4240" s="505" t="s">
        <v>2080</v>
      </c>
      <c r="B4240" s="23" t="s">
        <v>2067</v>
      </c>
      <c r="C4240" s="23" t="s">
        <v>1275</v>
      </c>
      <c r="D4240" s="23" t="s">
        <v>5433</v>
      </c>
      <c r="E4240" s="23"/>
      <c r="F4240" s="386">
        <v>3.5</v>
      </c>
      <c r="G4240" s="441">
        <v>3.5</v>
      </c>
      <c r="H4240" s="87">
        <f t="shared" si="1518"/>
        <v>2.8</v>
      </c>
      <c r="I4240" s="590"/>
      <c r="J4240" s="549" t="s">
        <v>5804</v>
      </c>
    </row>
    <row r="4241" spans="1:10" x14ac:dyDescent="0.35">
      <c r="A4241" s="496"/>
      <c r="B4241" s="1"/>
      <c r="C4241" s="1"/>
      <c r="D4241" s="1"/>
      <c r="E4241" s="1"/>
      <c r="F4241" s="362"/>
      <c r="G4241" s="425"/>
      <c r="H4241" s="10" t="str">
        <f t="shared" si="1518"/>
        <v/>
      </c>
      <c r="I4241" s="566"/>
      <c r="J4241" s="549" t="s">
        <v>4179</v>
      </c>
    </row>
    <row r="4242" spans="1:10" x14ac:dyDescent="0.35">
      <c r="A4242" s="505" t="s">
        <v>2083</v>
      </c>
      <c r="B4242" s="23" t="s">
        <v>2067</v>
      </c>
      <c r="C4242" s="23" t="s">
        <v>1288</v>
      </c>
      <c r="D4242" s="23" t="s">
        <v>5432</v>
      </c>
      <c r="E4242" s="23"/>
      <c r="F4242" s="386">
        <v>15</v>
      </c>
      <c r="G4242" s="441">
        <v>15</v>
      </c>
      <c r="H4242" s="87">
        <f t="shared" si="1518"/>
        <v>12</v>
      </c>
      <c r="I4242" s="590"/>
      <c r="J4242" s="549" t="s">
        <v>5804</v>
      </c>
    </row>
    <row r="4243" spans="1:10" x14ac:dyDescent="0.35">
      <c r="A4243" s="505" t="s">
        <v>2084</v>
      </c>
      <c r="B4243" s="23" t="s">
        <v>2067</v>
      </c>
      <c r="C4243" s="23" t="s">
        <v>1288</v>
      </c>
      <c r="D4243" s="23" t="s">
        <v>5433</v>
      </c>
      <c r="E4243" s="23"/>
      <c r="F4243" s="386">
        <v>3.5</v>
      </c>
      <c r="G4243" s="441">
        <v>3.5</v>
      </c>
      <c r="H4243" s="87">
        <f t="shared" si="1518"/>
        <v>2.8</v>
      </c>
      <c r="I4243" s="590"/>
      <c r="J4243" s="549" t="s">
        <v>5804</v>
      </c>
    </row>
    <row r="4244" spans="1:10" x14ac:dyDescent="0.35">
      <c r="A4244" s="496"/>
      <c r="B4244" s="1"/>
      <c r="C4244" s="1"/>
      <c r="D4244" s="1"/>
      <c r="E4244" s="1"/>
      <c r="F4244" s="362"/>
      <c r="G4244" s="425"/>
      <c r="H4244" s="10" t="str">
        <f t="shared" si="1518"/>
        <v/>
      </c>
      <c r="I4244" s="566"/>
      <c r="J4244" s="549" t="s">
        <v>4179</v>
      </c>
    </row>
    <row r="4245" spans="1:10" x14ac:dyDescent="0.35">
      <c r="A4245" s="505" t="s">
        <v>4587</v>
      </c>
      <c r="B4245" s="23" t="s">
        <v>2067</v>
      </c>
      <c r="C4245" s="23" t="s">
        <v>1296</v>
      </c>
      <c r="D4245" s="23" t="s">
        <v>5432</v>
      </c>
      <c r="E4245" s="23"/>
      <c r="F4245" s="386">
        <v>15</v>
      </c>
      <c r="G4245" s="441">
        <v>15</v>
      </c>
      <c r="H4245" s="87">
        <f t="shared" si="1518"/>
        <v>12</v>
      </c>
      <c r="I4245" s="590"/>
      <c r="J4245" s="549" t="s">
        <v>5804</v>
      </c>
    </row>
    <row r="4246" spans="1:10" x14ac:dyDescent="0.35">
      <c r="A4246" s="505" t="s">
        <v>4588</v>
      </c>
      <c r="B4246" s="23" t="s">
        <v>2067</v>
      </c>
      <c r="C4246" s="23" t="s">
        <v>1296</v>
      </c>
      <c r="D4246" s="23" t="s">
        <v>5433</v>
      </c>
      <c r="E4246" s="23"/>
      <c r="F4246" s="386">
        <v>3.5</v>
      </c>
      <c r="G4246" s="441">
        <v>3.5</v>
      </c>
      <c r="H4246" s="87">
        <f t="shared" si="1518"/>
        <v>2.8</v>
      </c>
      <c r="I4246" s="590"/>
      <c r="J4246" s="549" t="s">
        <v>5804</v>
      </c>
    </row>
    <row r="4247" spans="1:10" x14ac:dyDescent="0.35">
      <c r="A4247" s="496"/>
      <c r="B4247" s="1"/>
      <c r="C4247" s="1"/>
      <c r="D4247" s="1"/>
      <c r="E4247" s="1"/>
      <c r="F4247" s="362"/>
      <c r="G4247" s="425"/>
      <c r="H4247" s="10" t="str">
        <f t="shared" si="1518"/>
        <v/>
      </c>
      <c r="I4247" s="566"/>
      <c r="J4247" s="549" t="s">
        <v>4179</v>
      </c>
    </row>
    <row r="4248" spans="1:10" x14ac:dyDescent="0.35">
      <c r="A4248" s="505" t="s">
        <v>927</v>
      </c>
      <c r="B4248" s="23" t="s">
        <v>2067</v>
      </c>
      <c r="C4248" s="23" t="s">
        <v>1304</v>
      </c>
      <c r="D4248" s="23" t="s">
        <v>5432</v>
      </c>
      <c r="E4248" s="23"/>
      <c r="F4248" s="386">
        <v>15</v>
      </c>
      <c r="G4248" s="441">
        <v>15</v>
      </c>
      <c r="H4248" s="87">
        <f t="shared" si="1518"/>
        <v>12</v>
      </c>
      <c r="I4248" s="590"/>
      <c r="J4248" s="549" t="s">
        <v>5804</v>
      </c>
    </row>
    <row r="4249" spans="1:10" x14ac:dyDescent="0.35">
      <c r="A4249" s="505" t="s">
        <v>928</v>
      </c>
      <c r="B4249" s="23" t="s">
        <v>2067</v>
      </c>
      <c r="C4249" s="23" t="s">
        <v>1304</v>
      </c>
      <c r="D4249" s="23" t="s">
        <v>5433</v>
      </c>
      <c r="E4249" s="23"/>
      <c r="F4249" s="386">
        <v>3.5</v>
      </c>
      <c r="G4249" s="441">
        <v>3.5</v>
      </c>
      <c r="H4249" s="87">
        <f t="shared" si="1518"/>
        <v>2.8</v>
      </c>
      <c r="I4249" s="590"/>
      <c r="J4249" s="549" t="s">
        <v>5804</v>
      </c>
    </row>
    <row r="4250" spans="1:10" x14ac:dyDescent="0.35">
      <c r="A4250" s="496"/>
      <c r="B4250" s="1"/>
      <c r="C4250" s="1"/>
      <c r="D4250" s="1"/>
      <c r="E4250" s="1"/>
      <c r="F4250" s="362"/>
      <c r="G4250" s="425"/>
      <c r="H4250" s="10" t="str">
        <f t="shared" si="1518"/>
        <v/>
      </c>
      <c r="I4250" s="566"/>
      <c r="J4250" s="549" t="s">
        <v>4179</v>
      </c>
    </row>
    <row r="4251" spans="1:10" x14ac:dyDescent="0.35">
      <c r="A4251" s="505" t="s">
        <v>737</v>
      </c>
      <c r="B4251" s="23" t="s">
        <v>2067</v>
      </c>
      <c r="C4251" s="23" t="s">
        <v>5539</v>
      </c>
      <c r="D4251" s="23" t="s">
        <v>5432</v>
      </c>
      <c r="E4251" s="23"/>
      <c r="F4251" s="386">
        <v>15</v>
      </c>
      <c r="G4251" s="441">
        <v>15</v>
      </c>
      <c r="H4251" s="87">
        <f t="shared" si="1518"/>
        <v>12</v>
      </c>
      <c r="I4251" s="590"/>
      <c r="J4251" s="549" t="s">
        <v>5804</v>
      </c>
    </row>
    <row r="4252" spans="1:10" x14ac:dyDescent="0.35">
      <c r="A4252" s="505" t="s">
        <v>738</v>
      </c>
      <c r="B4252" s="23" t="s">
        <v>2067</v>
      </c>
      <c r="C4252" s="23" t="s">
        <v>5539</v>
      </c>
      <c r="D4252" s="23" t="s">
        <v>5433</v>
      </c>
      <c r="E4252" s="23"/>
      <c r="F4252" s="386">
        <v>3.5</v>
      </c>
      <c r="G4252" s="441">
        <v>3.5</v>
      </c>
      <c r="H4252" s="87">
        <f t="shared" si="1518"/>
        <v>2.8</v>
      </c>
      <c r="I4252" s="590"/>
      <c r="J4252" s="549" t="s">
        <v>5804</v>
      </c>
    </row>
    <row r="4253" spans="1:10" x14ac:dyDescent="0.35">
      <c r="A4253" s="496"/>
      <c r="B4253" s="1"/>
      <c r="C4253" s="1"/>
      <c r="D4253" s="1"/>
      <c r="E4253" s="1"/>
      <c r="F4253" s="362"/>
      <c r="G4253" s="425"/>
      <c r="H4253" s="10" t="str">
        <f t="shared" si="1518"/>
        <v/>
      </c>
      <c r="I4253" s="566"/>
      <c r="J4253" s="549" t="s">
        <v>4179</v>
      </c>
    </row>
    <row r="4254" spans="1:10" x14ac:dyDescent="0.35">
      <c r="A4254" s="497" t="s">
        <v>4761</v>
      </c>
      <c r="B4254" s="13" t="s">
        <v>3389</v>
      </c>
      <c r="C4254" s="13" t="s">
        <v>5404</v>
      </c>
      <c r="D4254" s="13" t="s">
        <v>5432</v>
      </c>
      <c r="E4254" s="13"/>
      <c r="F4254" s="364">
        <v>15</v>
      </c>
      <c r="G4254" s="424">
        <v>15</v>
      </c>
      <c r="H4254" s="14">
        <f t="shared" si="1518"/>
        <v>12</v>
      </c>
      <c r="I4254" s="568"/>
      <c r="J4254" s="549" t="s">
        <v>5804</v>
      </c>
    </row>
    <row r="4255" spans="1:10" x14ac:dyDescent="0.35">
      <c r="A4255" s="497" t="s">
        <v>3294</v>
      </c>
      <c r="B4255" s="13" t="s">
        <v>3389</v>
      </c>
      <c r="C4255" s="13" t="s">
        <v>5404</v>
      </c>
      <c r="D4255" s="13" t="s">
        <v>5433</v>
      </c>
      <c r="E4255" s="13"/>
      <c r="F4255" s="364">
        <v>3.5</v>
      </c>
      <c r="G4255" s="424">
        <v>3.5</v>
      </c>
      <c r="H4255" s="14">
        <f t="shared" si="1518"/>
        <v>2.8</v>
      </c>
      <c r="I4255" s="568"/>
      <c r="J4255" s="549" t="s">
        <v>5804</v>
      </c>
    </row>
    <row r="4256" spans="1:10" x14ac:dyDescent="0.35">
      <c r="A4256" s="496"/>
      <c r="B4256" s="1"/>
      <c r="C4256" s="1"/>
      <c r="D4256" s="1"/>
      <c r="E4256" s="1"/>
      <c r="F4256" s="362"/>
      <c r="G4256" s="425"/>
      <c r="H4256" s="10" t="str">
        <f t="shared" si="1518"/>
        <v/>
      </c>
      <c r="I4256" s="566"/>
      <c r="J4256" s="549" t="s">
        <v>4179</v>
      </c>
    </row>
    <row r="4257" spans="1:16" x14ac:dyDescent="0.35">
      <c r="A4257" s="497" t="s">
        <v>865</v>
      </c>
      <c r="B4257" s="13" t="s">
        <v>3389</v>
      </c>
      <c r="C4257" s="13" t="s">
        <v>2385</v>
      </c>
      <c r="D4257" s="13" t="s">
        <v>5432</v>
      </c>
      <c r="E4257" s="13"/>
      <c r="F4257" s="364">
        <v>15</v>
      </c>
      <c r="G4257" s="424">
        <v>15</v>
      </c>
      <c r="H4257" s="14">
        <f t="shared" si="1518"/>
        <v>12</v>
      </c>
      <c r="I4257" s="568"/>
      <c r="J4257" s="549" t="s">
        <v>5804</v>
      </c>
    </row>
    <row r="4258" spans="1:16" x14ac:dyDescent="0.35">
      <c r="A4258" s="497" t="s">
        <v>4274</v>
      </c>
      <c r="B4258" s="13" t="s">
        <v>3389</v>
      </c>
      <c r="C4258" s="13" t="s">
        <v>2385</v>
      </c>
      <c r="D4258" s="13" t="s">
        <v>5433</v>
      </c>
      <c r="E4258" s="13"/>
      <c r="F4258" s="364">
        <v>3.5</v>
      </c>
      <c r="G4258" s="424">
        <v>3.5</v>
      </c>
      <c r="H4258" s="14">
        <f t="shared" si="1518"/>
        <v>2.8</v>
      </c>
      <c r="I4258" s="568"/>
      <c r="J4258" s="549" t="s">
        <v>5804</v>
      </c>
      <c r="M4258" s="36" t="s">
        <v>5639</v>
      </c>
      <c r="N4258" s="73" t="s">
        <v>5642</v>
      </c>
    </row>
    <row r="4259" spans="1:16" ht="15" customHeight="1" x14ac:dyDescent="0.35">
      <c r="A4259" s="496"/>
      <c r="B4259" s="1"/>
      <c r="C4259" s="1"/>
      <c r="D4259" s="1"/>
      <c r="E4259" s="1"/>
      <c r="F4259" s="362"/>
      <c r="G4259" s="425"/>
      <c r="H4259" s="10" t="str">
        <f t="shared" si="1518"/>
        <v/>
      </c>
      <c r="I4259" s="566"/>
      <c r="J4259" s="549" t="s">
        <v>4179</v>
      </c>
      <c r="M4259" s="36" t="s">
        <v>5640</v>
      </c>
      <c r="N4259" s="73" t="s">
        <v>5641</v>
      </c>
      <c r="O4259" s="518" t="s">
        <v>5489</v>
      </c>
    </row>
    <row r="4260" spans="1:16" x14ac:dyDescent="0.35">
      <c r="A4260" s="497" t="s">
        <v>1477</v>
      </c>
      <c r="B4260" s="13" t="s">
        <v>3389</v>
      </c>
      <c r="C4260" s="13" t="s">
        <v>1467</v>
      </c>
      <c r="D4260" s="13" t="s">
        <v>5432</v>
      </c>
      <c r="E4260" s="13"/>
      <c r="F4260" s="364">
        <v>15</v>
      </c>
      <c r="G4260" s="424">
        <v>15</v>
      </c>
      <c r="H4260" s="14">
        <f t="shared" si="1518"/>
        <v>12</v>
      </c>
      <c r="I4260" s="568"/>
      <c r="J4260" s="549" t="s">
        <v>5804</v>
      </c>
      <c r="M4260" s="34"/>
      <c r="N4260" s="39"/>
      <c r="O4260" s="96">
        <v>0</v>
      </c>
      <c r="P4260" s="29" t="s">
        <v>2195</v>
      </c>
    </row>
    <row r="4261" spans="1:16" x14ac:dyDescent="0.35">
      <c r="A4261" s="497" t="s">
        <v>1478</v>
      </c>
      <c r="B4261" s="13" t="s">
        <v>3389</v>
      </c>
      <c r="C4261" s="13" t="s">
        <v>1467</v>
      </c>
      <c r="D4261" s="13" t="s">
        <v>5433</v>
      </c>
      <c r="E4261" s="13"/>
      <c r="F4261" s="364">
        <v>3.5</v>
      </c>
      <c r="G4261" s="424">
        <v>3.5</v>
      </c>
      <c r="H4261" s="14">
        <f t="shared" si="1518"/>
        <v>2.8</v>
      </c>
      <c r="I4261" s="568"/>
      <c r="J4261" s="549" t="s">
        <v>5804</v>
      </c>
      <c r="M4261" s="35">
        <v>2012</v>
      </c>
      <c r="N4261" s="40"/>
      <c r="O4261" s="29"/>
    </row>
    <row r="4262" spans="1:16" x14ac:dyDescent="0.35">
      <c r="A4262" s="496"/>
      <c r="B4262" s="1"/>
      <c r="C4262" s="1"/>
      <c r="D4262" s="1"/>
      <c r="E4262" s="1"/>
      <c r="F4262" s="362"/>
      <c r="G4262" s="425"/>
      <c r="H4262" s="10" t="str">
        <f t="shared" si="1518"/>
        <v/>
      </c>
      <c r="I4262" s="566"/>
      <c r="J4262" s="549" t="s">
        <v>4179</v>
      </c>
      <c r="M4262" s="37">
        <f>N4262</f>
        <v>15</v>
      </c>
      <c r="N4262" s="73">
        <v>15</v>
      </c>
    </row>
    <row r="4263" spans="1:16" x14ac:dyDescent="0.35">
      <c r="A4263" s="500" t="s">
        <v>4239</v>
      </c>
      <c r="B4263" s="225" t="s">
        <v>3389</v>
      </c>
      <c r="C4263" s="226" t="s">
        <v>1984</v>
      </c>
      <c r="D4263" s="225" t="s">
        <v>5432</v>
      </c>
      <c r="E4263" s="225"/>
      <c r="F4263" s="366">
        <f>M4262</f>
        <v>15</v>
      </c>
      <c r="G4263" s="427">
        <v>15</v>
      </c>
      <c r="H4263" s="227">
        <f t="shared" si="1518"/>
        <v>12</v>
      </c>
      <c r="I4263" s="570"/>
      <c r="J4263" s="549" t="s">
        <v>5804</v>
      </c>
      <c r="M4263" s="37">
        <f>N4263</f>
        <v>19</v>
      </c>
      <c r="N4263" s="73">
        <v>19</v>
      </c>
    </row>
    <row r="4264" spans="1:16" x14ac:dyDescent="0.35">
      <c r="A4264" s="500" t="s">
        <v>4240</v>
      </c>
      <c r="B4264" s="225" t="s">
        <v>3389</v>
      </c>
      <c r="C4264" s="226" t="s">
        <v>1984</v>
      </c>
      <c r="D4264" s="225" t="s">
        <v>4242</v>
      </c>
      <c r="E4264" s="225"/>
      <c r="F4264" s="366">
        <f>M4263</f>
        <v>19</v>
      </c>
      <c r="G4264" s="427">
        <v>19</v>
      </c>
      <c r="H4264" s="227">
        <f t="shared" si="1518"/>
        <v>15.2</v>
      </c>
      <c r="I4264" s="570"/>
      <c r="J4264" s="549" t="s">
        <v>5804</v>
      </c>
      <c r="M4264" s="45">
        <f>N4264</f>
        <v>3.5</v>
      </c>
      <c r="N4264" s="190">
        <v>3.5</v>
      </c>
      <c r="O4264" s="29"/>
    </row>
    <row r="4265" spans="1:16" x14ac:dyDescent="0.35">
      <c r="A4265" s="500" t="s">
        <v>4241</v>
      </c>
      <c r="B4265" s="226" t="s">
        <v>3389</v>
      </c>
      <c r="C4265" s="226" t="s">
        <v>1984</v>
      </c>
      <c r="D4265" s="225" t="s">
        <v>5433</v>
      </c>
      <c r="E4265" s="225"/>
      <c r="F4265" s="366">
        <f>M4264</f>
        <v>3.5</v>
      </c>
      <c r="G4265" s="427">
        <v>3.5</v>
      </c>
      <c r="H4265" s="227">
        <f t="shared" si="1518"/>
        <v>2.8</v>
      </c>
      <c r="I4265" s="570"/>
      <c r="J4265" s="549" t="s">
        <v>5804</v>
      </c>
      <c r="M4265" s="35">
        <v>2013</v>
      </c>
      <c r="N4265" s="40"/>
    </row>
    <row r="4266" spans="1:16" x14ac:dyDescent="0.35">
      <c r="A4266" s="496"/>
      <c r="B4266" s="1"/>
      <c r="C4266" s="1"/>
      <c r="D4266" s="1"/>
      <c r="E4266" s="1"/>
      <c r="F4266" s="362"/>
      <c r="G4266" s="425"/>
      <c r="H4266" s="10" t="str">
        <f t="shared" si="1518"/>
        <v/>
      </c>
      <c r="I4266" s="566"/>
      <c r="J4266" s="549" t="s">
        <v>4179</v>
      </c>
      <c r="M4266" s="37">
        <f>ROUND(N4266,2)</f>
        <v>15</v>
      </c>
      <c r="N4266" s="73">
        <f>N4262*(1-$O$4260)</f>
        <v>15</v>
      </c>
    </row>
    <row r="4267" spans="1:16" x14ac:dyDescent="0.35">
      <c r="A4267" s="502" t="s">
        <v>2193</v>
      </c>
      <c r="B4267" s="301" t="s">
        <v>3389</v>
      </c>
      <c r="C4267" s="302" t="s">
        <v>4675</v>
      </c>
      <c r="D4267" s="301" t="s">
        <v>5432</v>
      </c>
      <c r="E4267" s="301"/>
      <c r="F4267" s="368">
        <f>M4266</f>
        <v>15</v>
      </c>
      <c r="G4267" s="429">
        <v>15</v>
      </c>
      <c r="H4267" s="303">
        <f t="shared" si="1518"/>
        <v>12</v>
      </c>
      <c r="I4267" s="572"/>
      <c r="J4267" s="549" t="s">
        <v>5804</v>
      </c>
      <c r="M4267" s="37">
        <f>ROUND(N4267,2)</f>
        <v>19</v>
      </c>
      <c r="N4267" s="73">
        <f>N4263*(1-$O$4260)</f>
        <v>19</v>
      </c>
    </row>
    <row r="4268" spans="1:16" x14ac:dyDescent="0.35">
      <c r="A4268" s="502" t="s">
        <v>2194</v>
      </c>
      <c r="B4268" s="301" t="s">
        <v>3389</v>
      </c>
      <c r="C4268" s="302" t="s">
        <v>4675</v>
      </c>
      <c r="D4268" s="301" t="s">
        <v>4242</v>
      </c>
      <c r="E4268" s="301"/>
      <c r="F4268" s="368">
        <f>M4267</f>
        <v>19</v>
      </c>
      <c r="G4268" s="429">
        <v>19</v>
      </c>
      <c r="H4268" s="303">
        <f t="shared" si="1518"/>
        <v>15.2</v>
      </c>
      <c r="I4268" s="572"/>
      <c r="J4268" s="549" t="s">
        <v>5804</v>
      </c>
      <c r="M4268" s="45">
        <f>ROUND(N4268,2)</f>
        <v>3.5</v>
      </c>
      <c r="N4268" s="40">
        <f>N4264*(1-$O$4260)</f>
        <v>3.5</v>
      </c>
    </row>
    <row r="4269" spans="1:16" x14ac:dyDescent="0.35">
      <c r="A4269" s="502" t="s">
        <v>1680</v>
      </c>
      <c r="B4269" s="302" t="s">
        <v>3389</v>
      </c>
      <c r="C4269" s="302" t="s">
        <v>4675</v>
      </c>
      <c r="D4269" s="301" t="s">
        <v>5433</v>
      </c>
      <c r="E4269" s="301"/>
      <c r="F4269" s="368">
        <f>M4268</f>
        <v>3.5</v>
      </c>
      <c r="G4269" s="429">
        <v>3.5</v>
      </c>
      <c r="H4269" s="303">
        <f t="shared" si="1518"/>
        <v>2.8</v>
      </c>
      <c r="I4269" s="572"/>
      <c r="J4269" s="549" t="s">
        <v>5804</v>
      </c>
      <c r="M4269" s="35">
        <v>2014</v>
      </c>
      <c r="N4269" s="40"/>
    </row>
    <row r="4270" spans="1:16" x14ac:dyDescent="0.35">
      <c r="A4270" s="496"/>
      <c r="B4270" s="1"/>
      <c r="C4270" s="1"/>
      <c r="D4270" s="1"/>
      <c r="E4270" s="1"/>
      <c r="F4270" s="362"/>
      <c r="G4270" s="425"/>
      <c r="H4270" s="10" t="str">
        <f t="shared" si="1518"/>
        <v/>
      </c>
      <c r="I4270" s="566"/>
      <c r="J4270" s="549" t="s">
        <v>4179</v>
      </c>
      <c r="M4270" s="37">
        <f>ROUND(N4270,2)</f>
        <v>15</v>
      </c>
      <c r="N4270" s="73">
        <f>N4266*(1-$O$4260)</f>
        <v>15</v>
      </c>
    </row>
    <row r="4271" spans="1:16" x14ac:dyDescent="0.35">
      <c r="A4271" s="502" t="s">
        <v>1678</v>
      </c>
      <c r="B4271" s="301" t="s">
        <v>3389</v>
      </c>
      <c r="C4271" s="302" t="s">
        <v>1647</v>
      </c>
      <c r="D4271" s="301" t="s">
        <v>5432</v>
      </c>
      <c r="E4271" s="301"/>
      <c r="F4271" s="368">
        <f>M4270</f>
        <v>15</v>
      </c>
      <c r="G4271" s="429">
        <v>15</v>
      </c>
      <c r="H4271" s="303">
        <f t="shared" ref="H4271:H4302" si="1519">IF(ISNUMBER(G4271),ROUND(0.8*G4271,2),"")</f>
        <v>12</v>
      </c>
      <c r="I4271" s="572"/>
      <c r="J4271" s="549" t="s">
        <v>5804</v>
      </c>
      <c r="M4271" s="37">
        <f>ROUND(N4271,2)</f>
        <v>19</v>
      </c>
      <c r="N4271" s="73">
        <f>N4267*(1-$O$4260)</f>
        <v>19</v>
      </c>
    </row>
    <row r="4272" spans="1:16" x14ac:dyDescent="0.35">
      <c r="A4272" s="502" t="s">
        <v>1679</v>
      </c>
      <c r="B4272" s="301" t="s">
        <v>3389</v>
      </c>
      <c r="C4272" s="302" t="s">
        <v>1647</v>
      </c>
      <c r="D4272" s="301" t="s">
        <v>4242</v>
      </c>
      <c r="E4272" s="301"/>
      <c r="F4272" s="368">
        <f>M4271</f>
        <v>19</v>
      </c>
      <c r="G4272" s="429">
        <v>19</v>
      </c>
      <c r="H4272" s="303">
        <f t="shared" si="1519"/>
        <v>15.2</v>
      </c>
      <c r="I4272" s="572"/>
      <c r="J4272" s="549" t="s">
        <v>5804</v>
      </c>
      <c r="M4272" s="45">
        <f>ROUND(N4272,2)</f>
        <v>3.5</v>
      </c>
      <c r="N4272" s="40">
        <f>N4268*(1-$O$4260)</f>
        <v>3.5</v>
      </c>
    </row>
    <row r="4273" spans="1:19" x14ac:dyDescent="0.35">
      <c r="A4273" s="502" t="s">
        <v>1681</v>
      </c>
      <c r="B4273" s="302" t="s">
        <v>3389</v>
      </c>
      <c r="C4273" s="302" t="s">
        <v>1647</v>
      </c>
      <c r="D4273" s="301" t="s">
        <v>5433</v>
      </c>
      <c r="E4273" s="301"/>
      <c r="F4273" s="368">
        <f>M4272</f>
        <v>3.5</v>
      </c>
      <c r="G4273" s="429">
        <v>3.5</v>
      </c>
      <c r="H4273" s="303">
        <f t="shared" si="1519"/>
        <v>2.8</v>
      </c>
      <c r="I4273" s="572"/>
      <c r="J4273" s="549" t="s">
        <v>5804</v>
      </c>
      <c r="L4273" s="215"/>
      <c r="M4273" s="37"/>
      <c r="N4273" s="29"/>
      <c r="O4273" s="92"/>
      <c r="P4273" s="92"/>
      <c r="Q4273" s="92"/>
    </row>
    <row r="4274" spans="1:19" s="207" customFormat="1" ht="20.25" customHeight="1" x14ac:dyDescent="0.35">
      <c r="A4274" s="503"/>
      <c r="B4274" s="1"/>
      <c r="C4274" s="1"/>
      <c r="D4274" s="1"/>
      <c r="E4274" s="1"/>
      <c r="F4274" s="362"/>
      <c r="G4274" s="10"/>
      <c r="H4274" s="10" t="str">
        <f t="shared" si="1519"/>
        <v/>
      </c>
      <c r="I4274" s="566"/>
      <c r="J4274" s="549" t="s">
        <v>4179</v>
      </c>
      <c r="K4274" s="206"/>
      <c r="M4274" s="208" t="s">
        <v>104</v>
      </c>
      <c r="N4274" s="209"/>
      <c r="O4274" s="209"/>
    </row>
    <row r="4275" spans="1:19" ht="15" x14ac:dyDescent="0.35">
      <c r="A4275" s="504"/>
      <c r="B4275" s="204"/>
      <c r="C4275" s="204"/>
      <c r="D4275" s="204"/>
      <c r="E4275" s="204"/>
      <c r="F4275" s="381"/>
      <c r="G4275" s="205"/>
      <c r="H4275" s="205" t="str">
        <f t="shared" si="1519"/>
        <v/>
      </c>
      <c r="I4275" s="583"/>
      <c r="J4275" s="549" t="s">
        <v>4179</v>
      </c>
      <c r="N4275" s="29" t="s">
        <v>5489</v>
      </c>
      <c r="O4275" t="s">
        <v>5432</v>
      </c>
      <c r="P4275" t="s">
        <v>102</v>
      </c>
      <c r="Q4275" t="s">
        <v>5433</v>
      </c>
    </row>
    <row r="4276" spans="1:19" x14ac:dyDescent="0.35">
      <c r="A4276" s="496"/>
      <c r="B4276" s="1"/>
      <c r="C4276" s="1"/>
      <c r="D4276" s="1"/>
      <c r="E4276" s="1"/>
      <c r="F4276" s="362"/>
      <c r="G4276" s="10"/>
      <c r="H4276" s="10" t="str">
        <f t="shared" si="1519"/>
        <v/>
      </c>
      <c r="I4276" s="566"/>
      <c r="J4276" s="549" t="s">
        <v>4179</v>
      </c>
      <c r="M4276" s="101">
        <v>2014</v>
      </c>
      <c r="N4276" s="322" t="s">
        <v>103</v>
      </c>
      <c r="O4276" s="261">
        <v>15.4</v>
      </c>
      <c r="P4276" s="261">
        <v>19.399999999999999</v>
      </c>
      <c r="Q4276" s="261">
        <v>3.9</v>
      </c>
      <c r="S4276" t="s">
        <v>49</v>
      </c>
    </row>
    <row r="4277" spans="1:19" x14ac:dyDescent="0.35">
      <c r="A4277" s="495" t="s">
        <v>99</v>
      </c>
      <c r="B4277" s="356" t="s">
        <v>3389</v>
      </c>
      <c r="C4277" s="356" t="s">
        <v>39</v>
      </c>
      <c r="D4277" s="356" t="s">
        <v>5432</v>
      </c>
      <c r="E4277" s="356"/>
      <c r="F4277" s="369">
        <f>ROUND(HLOOKUP(D4277,O4275:Q4277,3,FALSE),2)</f>
        <v>15</v>
      </c>
      <c r="G4277" s="357">
        <f>ROUND(HLOOKUP(D4277,O4275:Q4277,2,FALSE),2)</f>
        <v>15.4</v>
      </c>
      <c r="H4277" s="357">
        <f t="shared" si="1519"/>
        <v>12.32</v>
      </c>
      <c r="I4277" s="573"/>
      <c r="J4277" s="549" t="s">
        <v>5804</v>
      </c>
      <c r="N4277" s="322" t="s">
        <v>85</v>
      </c>
      <c r="O4277" s="261">
        <f>O4276-0.4</f>
        <v>15</v>
      </c>
      <c r="P4277" s="261">
        <f>P4276-0.4</f>
        <v>19</v>
      </c>
      <c r="Q4277" s="261">
        <f>Q4276-0.4</f>
        <v>3.5</v>
      </c>
      <c r="S4277" t="s">
        <v>50</v>
      </c>
    </row>
    <row r="4278" spans="1:19" x14ac:dyDescent="0.35">
      <c r="A4278" s="495" t="s">
        <v>100</v>
      </c>
      <c r="B4278" s="356" t="s">
        <v>3389</v>
      </c>
      <c r="C4278" s="356" t="s">
        <v>39</v>
      </c>
      <c r="D4278" s="356" t="s">
        <v>102</v>
      </c>
      <c r="E4278" s="356"/>
      <c r="F4278" s="369">
        <f>ROUND(HLOOKUP(D4278,O4275:Q4277,3,FALSE),2)</f>
        <v>19</v>
      </c>
      <c r="G4278" s="357">
        <f>ROUND(HLOOKUP(D4278,O4275:Q4277,2,FALSE),2)</f>
        <v>19.399999999999999</v>
      </c>
      <c r="H4278" s="357">
        <f t="shared" si="1519"/>
        <v>15.52</v>
      </c>
      <c r="I4278" s="573"/>
      <c r="J4278" s="549" t="s">
        <v>5804</v>
      </c>
      <c r="N4278" s="322"/>
      <c r="O4278" s="261"/>
      <c r="P4278" s="261"/>
      <c r="Q4278" s="261"/>
    </row>
    <row r="4279" spans="1:19" x14ac:dyDescent="0.35">
      <c r="A4279" s="495" t="s">
        <v>101</v>
      </c>
      <c r="B4279" s="356" t="s">
        <v>3389</v>
      </c>
      <c r="C4279" s="356" t="s">
        <v>39</v>
      </c>
      <c r="D4279" s="356" t="s">
        <v>5433</v>
      </c>
      <c r="E4279" s="356"/>
      <c r="F4279" s="369">
        <f>ROUND(HLOOKUP(D4279,O4275:Q4277,3,FALSE),2)</f>
        <v>3.5</v>
      </c>
      <c r="G4279" s="357">
        <f>ROUND(HLOOKUP(D4279,O4275:Q4277,2,FALSE),2)</f>
        <v>3.9</v>
      </c>
      <c r="H4279" s="357">
        <f t="shared" si="1519"/>
        <v>3.12</v>
      </c>
      <c r="I4279" s="573"/>
      <c r="J4279" s="549" t="s">
        <v>5804</v>
      </c>
      <c r="N4279" s="29" t="s">
        <v>5489</v>
      </c>
      <c r="O4279" t="s">
        <v>5432</v>
      </c>
      <c r="P4279" t="s">
        <v>102</v>
      </c>
      <c r="Q4279" t="s">
        <v>5433</v>
      </c>
    </row>
    <row r="4280" spans="1:19" x14ac:dyDescent="0.35">
      <c r="A4280" s="496"/>
      <c r="B4280" s="1"/>
      <c r="C4280" s="1"/>
      <c r="D4280" s="1"/>
      <c r="E4280" s="1"/>
      <c r="F4280" s="362"/>
      <c r="G4280" s="10"/>
      <c r="H4280" s="10" t="str">
        <f t="shared" si="1519"/>
        <v/>
      </c>
      <c r="I4280" s="566"/>
      <c r="J4280" s="549" t="s">
        <v>4179</v>
      </c>
      <c r="M4280" s="101">
        <v>2015</v>
      </c>
      <c r="N4280" s="322" t="s">
        <v>103</v>
      </c>
      <c r="O4280" s="261">
        <v>15.4</v>
      </c>
      <c r="P4280" s="261">
        <v>19.399999999999999</v>
      </c>
      <c r="Q4280" s="261">
        <v>3.9</v>
      </c>
      <c r="S4280" t="s">
        <v>49</v>
      </c>
    </row>
    <row r="4281" spans="1:19" x14ac:dyDescent="0.35">
      <c r="A4281" s="495" t="s">
        <v>381</v>
      </c>
      <c r="B4281" s="356" t="s">
        <v>3389</v>
      </c>
      <c r="C4281" s="356" t="s">
        <v>380</v>
      </c>
      <c r="D4281" s="356" t="s">
        <v>5432</v>
      </c>
      <c r="E4281" s="356"/>
      <c r="F4281" s="369">
        <f>ROUND(HLOOKUP(D4281,O4279:Q4281,3,FALSE),2)</f>
        <v>15</v>
      </c>
      <c r="G4281" s="357">
        <f>ROUND(HLOOKUP(D4281,O4279:Q4281,2,FALSE),2)</f>
        <v>15.4</v>
      </c>
      <c r="H4281" s="357">
        <f t="shared" si="1519"/>
        <v>12.32</v>
      </c>
      <c r="I4281" s="573"/>
      <c r="J4281" s="549" t="s">
        <v>5804</v>
      </c>
      <c r="N4281" s="322" t="s">
        <v>85</v>
      </c>
      <c r="O4281" s="261">
        <f>O4280-0.4</f>
        <v>15</v>
      </c>
      <c r="P4281" s="261">
        <f>P4280-0.4</f>
        <v>19</v>
      </c>
      <c r="Q4281" s="261">
        <f>Q4280-0.4</f>
        <v>3.5</v>
      </c>
      <c r="S4281" t="s">
        <v>50</v>
      </c>
    </row>
    <row r="4282" spans="1:19" x14ac:dyDescent="0.35">
      <c r="A4282" s="495" t="s">
        <v>382</v>
      </c>
      <c r="B4282" s="356" t="s">
        <v>3389</v>
      </c>
      <c r="C4282" s="356" t="s">
        <v>380</v>
      </c>
      <c r="D4282" s="356" t="s">
        <v>102</v>
      </c>
      <c r="E4282" s="356"/>
      <c r="F4282" s="369">
        <f>ROUND(HLOOKUP(D4282,O4279:Q4281,3,FALSE),2)</f>
        <v>19</v>
      </c>
      <c r="G4282" s="357">
        <f>ROUND(HLOOKUP(D4282,O4279:Q4281,2,FALSE),2)</f>
        <v>19.399999999999999</v>
      </c>
      <c r="H4282" s="357">
        <f t="shared" si="1519"/>
        <v>15.52</v>
      </c>
      <c r="I4282" s="573"/>
      <c r="J4282" s="549" t="s">
        <v>5804</v>
      </c>
      <c r="N4282" s="322"/>
      <c r="O4282" s="261"/>
      <c r="P4282" s="261"/>
      <c r="Q4282" s="261"/>
    </row>
    <row r="4283" spans="1:19" x14ac:dyDescent="0.35">
      <c r="A4283" s="495" t="s">
        <v>383</v>
      </c>
      <c r="B4283" s="356" t="s">
        <v>3389</v>
      </c>
      <c r="C4283" s="356" t="s">
        <v>380</v>
      </c>
      <c r="D4283" s="356" t="s">
        <v>5433</v>
      </c>
      <c r="E4283" s="356"/>
      <c r="F4283" s="369">
        <f>ROUND(HLOOKUP(D4283,O4279:Q4281,3,FALSE),2)</f>
        <v>3.5</v>
      </c>
      <c r="G4283" s="357">
        <f>ROUND(HLOOKUP(D4283,O4279:Q4281,2,FALSE),2)</f>
        <v>3.9</v>
      </c>
      <c r="H4283" s="357">
        <f t="shared" si="1519"/>
        <v>3.12</v>
      </c>
      <c r="I4283" s="573"/>
      <c r="J4283" s="549" t="s">
        <v>5804</v>
      </c>
      <c r="N4283" s="29" t="s">
        <v>5489</v>
      </c>
      <c r="O4283" t="s">
        <v>5432</v>
      </c>
      <c r="P4283" t="s">
        <v>102</v>
      </c>
      <c r="Q4283" t="s">
        <v>5433</v>
      </c>
    </row>
    <row r="4284" spans="1:19" x14ac:dyDescent="0.35">
      <c r="A4284" s="496"/>
      <c r="B4284" s="1"/>
      <c r="C4284" s="1"/>
      <c r="D4284" s="1"/>
      <c r="E4284" s="1"/>
      <c r="F4284" s="362"/>
      <c r="G4284" s="10"/>
      <c r="H4284" s="10" t="str">
        <f t="shared" si="1519"/>
        <v/>
      </c>
      <c r="I4284" s="566"/>
      <c r="J4284" s="549" t="s">
        <v>4179</v>
      </c>
      <c r="M4284" s="101">
        <v>2016</v>
      </c>
      <c r="N4284" s="322" t="s">
        <v>103</v>
      </c>
      <c r="O4284" s="261">
        <v>15.4</v>
      </c>
      <c r="P4284" s="261">
        <v>19.399999999999999</v>
      </c>
      <c r="Q4284" s="261">
        <v>3.9</v>
      </c>
      <c r="S4284" t="s">
        <v>49</v>
      </c>
    </row>
    <row r="4285" spans="1:19" x14ac:dyDescent="0.35">
      <c r="A4285" s="495" t="s">
        <v>5709</v>
      </c>
      <c r="B4285" s="356" t="s">
        <v>3389</v>
      </c>
      <c r="C4285" s="356" t="s">
        <v>5647</v>
      </c>
      <c r="D4285" s="356" t="s">
        <v>5432</v>
      </c>
      <c r="E4285" s="356"/>
      <c r="F4285" s="369">
        <f>ROUND(HLOOKUP(D4285,O4283:Q4285,3,FALSE),2)</f>
        <v>15</v>
      </c>
      <c r="G4285" s="357">
        <f>ROUND(HLOOKUP(D4285,O4283:Q4285,2,FALSE),2)</f>
        <v>15.4</v>
      </c>
      <c r="H4285" s="357">
        <f t="shared" si="1519"/>
        <v>12.32</v>
      </c>
      <c r="I4285" s="573"/>
      <c r="J4285" s="549" t="s">
        <v>5804</v>
      </c>
      <c r="N4285" s="322" t="s">
        <v>85</v>
      </c>
      <c r="O4285" s="261">
        <f>O4284-0.4</f>
        <v>15</v>
      </c>
      <c r="P4285" s="261">
        <f>P4284-0.4</f>
        <v>19</v>
      </c>
      <c r="Q4285" s="261">
        <f>Q4284-0.4</f>
        <v>3.5</v>
      </c>
      <c r="S4285" t="s">
        <v>50</v>
      </c>
    </row>
    <row r="4286" spans="1:19" x14ac:dyDescent="0.35">
      <c r="A4286" s="495" t="s">
        <v>5710</v>
      </c>
      <c r="B4286" s="356" t="s">
        <v>3389</v>
      </c>
      <c r="C4286" s="356" t="s">
        <v>5647</v>
      </c>
      <c r="D4286" s="356" t="s">
        <v>102</v>
      </c>
      <c r="E4286" s="356"/>
      <c r="F4286" s="369">
        <f>ROUND(HLOOKUP(D4286,O4283:Q4285,3,FALSE),2)</f>
        <v>19</v>
      </c>
      <c r="G4286" s="357">
        <f>ROUND(HLOOKUP(D4286,O4283:Q4285,2,FALSE),2)</f>
        <v>19.399999999999999</v>
      </c>
      <c r="H4286" s="357">
        <f t="shared" si="1519"/>
        <v>15.52</v>
      </c>
      <c r="I4286" s="573"/>
      <c r="J4286" s="549" t="s">
        <v>5804</v>
      </c>
      <c r="N4286" s="322" t="s">
        <v>384</v>
      </c>
      <c r="O4286" s="261"/>
      <c r="P4286" s="261"/>
      <c r="Q4286" s="261"/>
    </row>
    <row r="4287" spans="1:19" x14ac:dyDescent="0.35">
      <c r="A4287" s="495" t="s">
        <v>5711</v>
      </c>
      <c r="B4287" s="356" t="s">
        <v>3389</v>
      </c>
      <c r="C4287" s="356" t="s">
        <v>5647</v>
      </c>
      <c r="D4287" s="356" t="s">
        <v>5433</v>
      </c>
      <c r="E4287" s="356"/>
      <c r="F4287" s="369">
        <f>ROUND(HLOOKUP(D4287,O4283:Q4285,3,FALSE),2)</f>
        <v>3.5</v>
      </c>
      <c r="G4287" s="357">
        <f>ROUND(HLOOKUP(D4287,O4283:Q4285,2,FALSE),2)</f>
        <v>3.9</v>
      </c>
      <c r="H4287" s="357">
        <f t="shared" si="1519"/>
        <v>3.12</v>
      </c>
      <c r="I4287" s="573"/>
      <c r="J4287" s="549" t="s">
        <v>5804</v>
      </c>
      <c r="L4287" s="215"/>
      <c r="M4287" s="37"/>
      <c r="N4287" s="29"/>
      <c r="O4287" s="92"/>
      <c r="P4287" s="261"/>
      <c r="Q4287" s="261"/>
    </row>
    <row r="4288" spans="1:19" ht="15.5" x14ac:dyDescent="0.35">
      <c r="A4288" s="503"/>
      <c r="B4288" s="1"/>
      <c r="C4288" s="1"/>
      <c r="D4288" s="1"/>
      <c r="E4288" s="1"/>
      <c r="F4288" s="362"/>
      <c r="G4288" s="10"/>
      <c r="H4288" s="10" t="str">
        <f t="shared" si="1519"/>
        <v/>
      </c>
      <c r="I4288" s="566"/>
      <c r="J4288" s="549" t="s">
        <v>4179</v>
      </c>
      <c r="K4288" s="206"/>
      <c r="L4288" s="207"/>
      <c r="M4288" s="208" t="s">
        <v>5976</v>
      </c>
      <c r="N4288" s="209"/>
      <c r="O4288" s="209"/>
      <c r="P4288" s="261"/>
      <c r="Q4288" s="261"/>
    </row>
    <row r="4289" spans="1:19" ht="15" x14ac:dyDescent="0.35">
      <c r="A4289" s="504"/>
      <c r="B4289" s="204"/>
      <c r="C4289" s="204"/>
      <c r="D4289" s="204"/>
      <c r="E4289" s="204"/>
      <c r="F4289" s="381"/>
      <c r="G4289" s="205"/>
      <c r="H4289" s="205" t="str">
        <f t="shared" si="1519"/>
        <v/>
      </c>
      <c r="I4289" s="583"/>
      <c r="J4289" s="549" t="s">
        <v>4179</v>
      </c>
    </row>
    <row r="4290" spans="1:19" x14ac:dyDescent="0.35">
      <c r="A4290" s="496"/>
      <c r="B4290" s="1"/>
      <c r="C4290" s="1"/>
      <c r="D4290" s="1"/>
      <c r="E4290" s="1"/>
      <c r="F4290" s="362"/>
      <c r="G4290" s="10"/>
      <c r="H4290" s="10" t="str">
        <f t="shared" si="1519"/>
        <v/>
      </c>
      <c r="I4290" s="566"/>
      <c r="J4290" s="549" t="s">
        <v>4179</v>
      </c>
      <c r="N4290" s="29" t="s">
        <v>5489</v>
      </c>
      <c r="O4290" t="s">
        <v>5432</v>
      </c>
      <c r="P4290" t="s">
        <v>6076</v>
      </c>
      <c r="Q4290" t="s">
        <v>5433</v>
      </c>
    </row>
    <row r="4291" spans="1:19" x14ac:dyDescent="0.35">
      <c r="A4291" s="527" t="s">
        <v>5978</v>
      </c>
      <c r="B4291" s="526" t="s">
        <v>3389</v>
      </c>
      <c r="C4291" s="526" t="s">
        <v>5866</v>
      </c>
      <c r="D4291" s="526" t="s">
        <v>5432</v>
      </c>
      <c r="E4291" s="526"/>
      <c r="F4291" s="538">
        <f>ROUND(HLOOKUP(D4291,O4290:Q4292,3,FALSE),2)</f>
        <v>15</v>
      </c>
      <c r="G4291" s="537">
        <f>ROUND(HLOOKUP(D4291,O4290:Q4292,2,FALSE),2)</f>
        <v>15.4</v>
      </c>
      <c r="H4291" s="537">
        <f t="shared" si="1519"/>
        <v>12.32</v>
      </c>
      <c r="I4291" s="574"/>
      <c r="J4291" s="549">
        <v>42705</v>
      </c>
      <c r="M4291" s="101">
        <v>2017</v>
      </c>
      <c r="N4291" s="322" t="s">
        <v>5977</v>
      </c>
      <c r="O4291" s="261">
        <v>15.4</v>
      </c>
      <c r="P4291" s="261">
        <v>19.399999999999999</v>
      </c>
      <c r="Q4291" s="261">
        <v>3.9</v>
      </c>
      <c r="S4291" t="s">
        <v>49</v>
      </c>
    </row>
    <row r="4292" spans="1:19" x14ac:dyDescent="0.35">
      <c r="A4292" s="527" t="s">
        <v>5979</v>
      </c>
      <c r="B4292" s="526" t="s">
        <v>3389</v>
      </c>
      <c r="C4292" s="526" t="s">
        <v>5866</v>
      </c>
      <c r="D4292" s="526" t="s">
        <v>6076</v>
      </c>
      <c r="E4292" s="526"/>
      <c r="F4292" s="538">
        <f>ROUND(HLOOKUP(D4292,O4290:Q4292,3,FALSE),2)</f>
        <v>19</v>
      </c>
      <c r="G4292" s="537">
        <f>ROUND(HLOOKUP(D4292,O4290:Q4292,2,FALSE),2)</f>
        <v>19.399999999999999</v>
      </c>
      <c r="H4292" s="537">
        <f t="shared" si="1519"/>
        <v>15.52</v>
      </c>
      <c r="I4292" s="574"/>
      <c r="J4292" s="549">
        <v>42705</v>
      </c>
      <c r="N4292" s="322" t="s">
        <v>5881</v>
      </c>
      <c r="O4292" s="261">
        <f>O4291-0.4</f>
        <v>15</v>
      </c>
      <c r="P4292" s="261">
        <f>P4291-0.4</f>
        <v>19</v>
      </c>
      <c r="Q4292" s="261">
        <f>Q4291-0.4</f>
        <v>3.5</v>
      </c>
      <c r="S4292" t="s">
        <v>50</v>
      </c>
    </row>
    <row r="4293" spans="1:19" x14ac:dyDescent="0.35">
      <c r="A4293" s="527" t="s">
        <v>5980</v>
      </c>
      <c r="B4293" s="526" t="s">
        <v>3389</v>
      </c>
      <c r="C4293" s="526" t="s">
        <v>5866</v>
      </c>
      <c r="D4293" s="526" t="s">
        <v>5433</v>
      </c>
      <c r="E4293" s="526"/>
      <c r="F4293" s="538">
        <f>ROUND(HLOOKUP(D4293,O4290:Q4292,3,FALSE),2)</f>
        <v>3.5</v>
      </c>
      <c r="G4293" s="537">
        <f>ROUND(HLOOKUP(D4293,O4290:Q4292,2,FALSE),2)</f>
        <v>3.9</v>
      </c>
      <c r="H4293" s="537">
        <f t="shared" si="1519"/>
        <v>3.12</v>
      </c>
      <c r="I4293" s="574"/>
      <c r="J4293" s="549">
        <v>42705</v>
      </c>
      <c r="N4293" s="322"/>
      <c r="O4293" s="261"/>
      <c r="P4293" s="261"/>
      <c r="Q4293" s="261"/>
    </row>
    <row r="4294" spans="1:19" x14ac:dyDescent="0.35">
      <c r="A4294" s="496"/>
      <c r="B4294" s="1"/>
      <c r="C4294" s="1"/>
      <c r="D4294" s="1"/>
      <c r="E4294" s="1"/>
      <c r="F4294" s="362"/>
      <c r="G4294" s="10"/>
      <c r="H4294" s="10" t="str">
        <f t="shared" si="1519"/>
        <v/>
      </c>
      <c r="I4294" s="566"/>
      <c r="J4294" s="549" t="s">
        <v>4179</v>
      </c>
      <c r="N4294" s="29"/>
      <c r="O4294" t="s">
        <v>5432</v>
      </c>
      <c r="P4294" t="s">
        <v>6076</v>
      </c>
      <c r="Q4294" t="s">
        <v>5433</v>
      </c>
    </row>
    <row r="4295" spans="1:19" x14ac:dyDescent="0.35">
      <c r="A4295" s="527" t="s">
        <v>6263</v>
      </c>
      <c r="B4295" s="526" t="s">
        <v>3389</v>
      </c>
      <c r="C4295" s="526" t="s">
        <v>6186</v>
      </c>
      <c r="D4295" s="526" t="s">
        <v>5432</v>
      </c>
      <c r="E4295" s="526"/>
      <c r="F4295" s="538">
        <f>ROUND(HLOOKUP(D4295,O4294:Q4296,3,FALSE),2)</f>
        <v>14.5</v>
      </c>
      <c r="G4295" s="537">
        <f>ROUND(HLOOKUP(D4295,O4294:Q4296,2,FALSE),2)</f>
        <v>14.9</v>
      </c>
      <c r="H4295" s="537">
        <f t="shared" si="1519"/>
        <v>11.92</v>
      </c>
      <c r="I4295" s="574"/>
      <c r="J4295" s="549">
        <v>43077</v>
      </c>
      <c r="M4295" s="101">
        <v>2018</v>
      </c>
      <c r="N4295" s="563"/>
      <c r="O4295" s="261">
        <f>O4291-O4297</f>
        <v>14.9</v>
      </c>
      <c r="P4295" s="261">
        <f>P4291-P4297</f>
        <v>18.399999999999999</v>
      </c>
      <c r="Q4295" s="261">
        <f>Q4291-Q4297</f>
        <v>3.9</v>
      </c>
      <c r="S4295" t="s">
        <v>49</v>
      </c>
    </row>
    <row r="4296" spans="1:19" x14ac:dyDescent="0.35">
      <c r="A4296" s="527" t="s">
        <v>6261</v>
      </c>
      <c r="B4296" s="526" t="s">
        <v>3389</v>
      </c>
      <c r="C4296" s="526" t="s">
        <v>6186</v>
      </c>
      <c r="D4296" s="526" t="s">
        <v>6076</v>
      </c>
      <c r="E4296" s="526"/>
      <c r="F4296" s="538">
        <f>ROUND(HLOOKUP(D4296,O4294:Q4296,3,FALSE),2)</f>
        <v>18</v>
      </c>
      <c r="G4296" s="537">
        <f>ROUND(HLOOKUP(D4296,O4294:Q4296,2,FALSE),2)</f>
        <v>18.399999999999999</v>
      </c>
      <c r="H4296" s="537">
        <f t="shared" si="1519"/>
        <v>14.72</v>
      </c>
      <c r="I4296" s="574"/>
      <c r="J4296" s="549">
        <v>43077</v>
      </c>
      <c r="N4296" s="563"/>
      <c r="O4296" s="261">
        <f>O4295-0.4</f>
        <v>14.5</v>
      </c>
      <c r="P4296" s="261">
        <f>P4295-0.4</f>
        <v>18</v>
      </c>
      <c r="Q4296" s="261">
        <f>Q4295-0.4</f>
        <v>3.5</v>
      </c>
      <c r="S4296" t="s">
        <v>50</v>
      </c>
    </row>
    <row r="4297" spans="1:19" x14ac:dyDescent="0.35">
      <c r="A4297" s="527" t="s">
        <v>6262</v>
      </c>
      <c r="B4297" s="526" t="s">
        <v>3389</v>
      </c>
      <c r="C4297" s="526" t="s">
        <v>6186</v>
      </c>
      <c r="D4297" s="526" t="s">
        <v>5433</v>
      </c>
      <c r="E4297" s="526"/>
      <c r="F4297" s="538">
        <f>ROUND(HLOOKUP(D4297,O4294:Q4296,3,FALSE),2)</f>
        <v>3.5</v>
      </c>
      <c r="G4297" s="537">
        <f>ROUND(HLOOKUP(D4297,O4294:Q4296,2,FALSE),2)</f>
        <v>3.9</v>
      </c>
      <c r="H4297" s="537">
        <f t="shared" si="1519"/>
        <v>3.12</v>
      </c>
      <c r="I4297" s="574"/>
      <c r="J4297" s="549">
        <v>43077</v>
      </c>
      <c r="N4297" s="29" t="s">
        <v>5489</v>
      </c>
      <c r="O4297" s="29">
        <v>0.5</v>
      </c>
      <c r="P4297" s="29">
        <v>1</v>
      </c>
      <c r="Q4297" s="29">
        <v>0</v>
      </c>
    </row>
    <row r="4298" spans="1:19" x14ac:dyDescent="0.35">
      <c r="A4298" s="496"/>
      <c r="B4298" s="1"/>
      <c r="C4298" s="1"/>
      <c r="D4298" s="1"/>
      <c r="E4298" s="1"/>
      <c r="F4298" s="362"/>
      <c r="G4298" s="10"/>
      <c r="H4298" s="10" t="str">
        <f t="shared" si="1519"/>
        <v/>
      </c>
      <c r="I4298" s="566"/>
      <c r="J4298" s="549" t="s">
        <v>4179</v>
      </c>
      <c r="N4298" s="29"/>
      <c r="O4298" t="s">
        <v>5432</v>
      </c>
      <c r="P4298" t="s">
        <v>6076</v>
      </c>
      <c r="Q4298" t="s">
        <v>5433</v>
      </c>
    </row>
    <row r="4299" spans="1:19" x14ac:dyDescent="0.35">
      <c r="A4299" s="527" t="s">
        <v>6413</v>
      </c>
      <c r="B4299" s="526" t="s">
        <v>3389</v>
      </c>
      <c r="C4299" s="526" t="s">
        <v>6404</v>
      </c>
      <c r="D4299" s="526" t="s">
        <v>5432</v>
      </c>
      <c r="E4299" s="526"/>
      <c r="F4299" s="538">
        <f>ROUND(HLOOKUP(D4299,O4298:Q4300,3,FALSE),2)</f>
        <v>14.5</v>
      </c>
      <c r="G4299" s="537">
        <f>ROUND(HLOOKUP(D4299,O4298:Q4300,2,FALSE),2)</f>
        <v>14.9</v>
      </c>
      <c r="H4299" s="537">
        <f t="shared" si="1519"/>
        <v>11.92</v>
      </c>
      <c r="I4299" s="574"/>
      <c r="J4299" s="549">
        <v>43419</v>
      </c>
      <c r="M4299" s="101">
        <v>2019</v>
      </c>
      <c r="N4299" s="563"/>
      <c r="O4299" s="261">
        <f>O4295-O4301</f>
        <v>14.9</v>
      </c>
      <c r="P4299" s="261">
        <f>P4295-P4301</f>
        <v>18.399999999999999</v>
      </c>
      <c r="Q4299" s="261">
        <f>Q4295-Q4301</f>
        <v>3.9</v>
      </c>
      <c r="S4299" t="s">
        <v>49</v>
      </c>
    </row>
    <row r="4300" spans="1:19" x14ac:dyDescent="0.35">
      <c r="A4300" s="527" t="s">
        <v>6415</v>
      </c>
      <c r="B4300" s="526" t="s">
        <v>3389</v>
      </c>
      <c r="C4300" s="526" t="s">
        <v>6404</v>
      </c>
      <c r="D4300" s="526" t="s">
        <v>6076</v>
      </c>
      <c r="E4300" s="526"/>
      <c r="F4300" s="538">
        <f>ROUND(HLOOKUP(D4300,O4298:Q4300,3,FALSE),2)</f>
        <v>18</v>
      </c>
      <c r="G4300" s="537">
        <f>ROUND(HLOOKUP(D4300,O4298:Q4300,2,FALSE),2)</f>
        <v>18.399999999999999</v>
      </c>
      <c r="H4300" s="537">
        <f t="shared" si="1519"/>
        <v>14.72</v>
      </c>
      <c r="I4300" s="574"/>
      <c r="J4300" s="549">
        <v>43419</v>
      </c>
      <c r="N4300" s="563"/>
      <c r="O4300" s="261">
        <f>O4299-0.4</f>
        <v>14.5</v>
      </c>
      <c r="P4300" s="261">
        <f>P4299-0.4</f>
        <v>18</v>
      </c>
      <c r="Q4300" s="261">
        <f>Q4299-0.4</f>
        <v>3.5</v>
      </c>
      <c r="S4300" t="s">
        <v>50</v>
      </c>
    </row>
    <row r="4301" spans="1:19" x14ac:dyDescent="0.35">
      <c r="A4301" s="527" t="s">
        <v>6414</v>
      </c>
      <c r="B4301" s="526" t="s">
        <v>3389</v>
      </c>
      <c r="C4301" s="526" t="s">
        <v>6404</v>
      </c>
      <c r="D4301" s="526" t="s">
        <v>5433</v>
      </c>
      <c r="E4301" s="526"/>
      <c r="F4301" s="538">
        <f>ROUND(HLOOKUP(D4301,O4298:Q4300,3,FALSE),2)</f>
        <v>3.5</v>
      </c>
      <c r="G4301" s="537">
        <f>ROUND(HLOOKUP(D4301,O4298:Q4300,2,FALSE),2)</f>
        <v>3.9</v>
      </c>
      <c r="H4301" s="537">
        <f t="shared" si="1519"/>
        <v>3.12</v>
      </c>
      <c r="I4301" s="574"/>
      <c r="J4301" s="549">
        <v>43419</v>
      </c>
      <c r="N4301" s="29" t="s">
        <v>5489</v>
      </c>
      <c r="O4301" s="29">
        <v>0</v>
      </c>
      <c r="P4301" s="29">
        <v>0</v>
      </c>
      <c r="Q4301" s="29">
        <v>0</v>
      </c>
      <c r="R4301" t="s">
        <v>6594</v>
      </c>
    </row>
    <row r="4302" spans="1:19" x14ac:dyDescent="0.35">
      <c r="A4302" s="496"/>
      <c r="B4302" s="1"/>
      <c r="C4302" s="1"/>
      <c r="D4302" s="1"/>
      <c r="E4302" s="1"/>
      <c r="F4302" s="362"/>
      <c r="G4302" s="10"/>
      <c r="H4302" s="10" t="str">
        <f t="shared" si="1519"/>
        <v/>
      </c>
      <c r="I4302" s="566"/>
      <c r="J4302" s="549" t="s">
        <v>4179</v>
      </c>
      <c r="N4302" s="29"/>
      <c r="O4302" t="s">
        <v>5432</v>
      </c>
      <c r="Q4302" t="s">
        <v>5433</v>
      </c>
    </row>
    <row r="4303" spans="1:19" x14ac:dyDescent="0.35">
      <c r="A4303" s="527" t="s">
        <v>6555</v>
      </c>
      <c r="B4303" s="526" t="s">
        <v>3389</v>
      </c>
      <c r="C4303" s="526" t="s">
        <v>6505</v>
      </c>
      <c r="D4303" s="526" t="s">
        <v>5432</v>
      </c>
      <c r="E4303" s="526"/>
      <c r="F4303" s="538">
        <f>ROUND(HLOOKUP(D4303,O4302:Q4304,3,FALSE),2)</f>
        <v>13.5</v>
      </c>
      <c r="G4303" s="537">
        <f>ROUND(HLOOKUP(D4303,O4302:Q4304,2,FALSE),2)</f>
        <v>13.9</v>
      </c>
      <c r="H4303" s="537">
        <f t="shared" ref="H4303:H4304" si="1520">IF(ISNUMBER(G4303),ROUND(0.8*G4303,2),"")</f>
        <v>11.12</v>
      </c>
      <c r="I4303" s="574"/>
      <c r="J4303" s="549">
        <v>43796</v>
      </c>
      <c r="M4303" s="101">
        <v>2020</v>
      </c>
      <c r="N4303" s="563"/>
      <c r="O4303" s="261">
        <f>O4299-O4305</f>
        <v>13.9</v>
      </c>
      <c r="P4303" s="261"/>
      <c r="Q4303" s="261">
        <f>Q4299-Q4305</f>
        <v>3.9</v>
      </c>
      <c r="S4303" t="s">
        <v>49</v>
      </c>
    </row>
    <row r="4304" spans="1:19" x14ac:dyDescent="0.35">
      <c r="A4304" s="527" t="s">
        <v>6556</v>
      </c>
      <c r="B4304" s="526" t="s">
        <v>3389</v>
      </c>
      <c r="C4304" s="526" t="s">
        <v>6505</v>
      </c>
      <c r="D4304" s="526" t="s">
        <v>5433</v>
      </c>
      <c r="E4304" s="526"/>
      <c r="F4304" s="538">
        <f>ROUND(HLOOKUP(D4304,O4302:Q4304,3,FALSE),2)</f>
        <v>3.5</v>
      </c>
      <c r="G4304" s="537">
        <f>ROUND(HLOOKUP(D4304,O4302:Q4304,2,FALSE),2)</f>
        <v>3.9</v>
      </c>
      <c r="H4304" s="537">
        <f t="shared" si="1520"/>
        <v>3.12</v>
      </c>
      <c r="I4304" s="574"/>
      <c r="J4304" s="549">
        <v>43796</v>
      </c>
      <c r="N4304" s="563"/>
      <c r="O4304" s="261">
        <f>O4303-0.4</f>
        <v>13.5</v>
      </c>
      <c r="P4304" s="261"/>
      <c r="Q4304" s="261">
        <f>Q4303-0.4</f>
        <v>3.5</v>
      </c>
      <c r="S4304" t="s">
        <v>50</v>
      </c>
    </row>
    <row r="4305" spans="1:17" x14ac:dyDescent="0.35">
      <c r="A4305" s="2"/>
      <c r="B4305" s="1"/>
      <c r="C4305" s="1"/>
      <c r="D4305" s="1"/>
      <c r="E4305" s="1"/>
      <c r="F4305" s="362"/>
      <c r="G4305" s="10"/>
      <c r="H4305" s="10"/>
      <c r="I4305" s="566"/>
      <c r="J4305" s="549"/>
      <c r="N4305" s="29" t="s">
        <v>5489</v>
      </c>
      <c r="O4305" s="29">
        <v>1</v>
      </c>
      <c r="P4305" s="29"/>
      <c r="Q4305" s="29">
        <v>0</v>
      </c>
    </row>
    <row r="4306" spans="1:17" ht="23.5" x14ac:dyDescent="0.55000000000000004">
      <c r="A4306" s="89" t="s">
        <v>2846</v>
      </c>
      <c r="B4306" s="50"/>
      <c r="C4306" s="50"/>
      <c r="D4306" s="50"/>
      <c r="E4306" s="50"/>
      <c r="F4306" s="363"/>
      <c r="G4306" s="50"/>
      <c r="H4306" s="59" t="str">
        <f t="shared" ref="H4306:H4369" si="1521">IF(ISNUMBER(G4306),ROUND(0.8*G4306,2),"")</f>
        <v/>
      </c>
      <c r="I4306" s="567"/>
      <c r="J4306" s="549" t="s">
        <v>5804</v>
      </c>
    </row>
    <row r="4307" spans="1:17" x14ac:dyDescent="0.35">
      <c r="A4307" s="496" t="s">
        <v>743</v>
      </c>
      <c r="B4307" s="1" t="s">
        <v>740</v>
      </c>
      <c r="C4307" s="1" t="s">
        <v>4808</v>
      </c>
      <c r="D4307" s="1" t="s">
        <v>5379</v>
      </c>
      <c r="E4307" s="1"/>
      <c r="F4307" s="362">
        <v>57.4</v>
      </c>
      <c r="G4307" s="425">
        <v>57.4</v>
      </c>
      <c r="H4307" s="10">
        <f t="shared" si="1521"/>
        <v>45.92</v>
      </c>
      <c r="I4307" s="566"/>
      <c r="J4307" s="549" t="s">
        <v>5804</v>
      </c>
    </row>
    <row r="4308" spans="1:17" x14ac:dyDescent="0.35">
      <c r="A4308" s="496" t="s">
        <v>745</v>
      </c>
      <c r="B4308" s="1" t="s">
        <v>740</v>
      </c>
      <c r="C4308" s="1" t="s">
        <v>4808</v>
      </c>
      <c r="D4308" s="1" t="s">
        <v>5380</v>
      </c>
      <c r="E4308" s="1"/>
      <c r="F4308" s="362">
        <v>54.6</v>
      </c>
      <c r="G4308" s="425">
        <v>54.6</v>
      </c>
      <c r="H4308" s="10">
        <f t="shared" si="1521"/>
        <v>43.68</v>
      </c>
      <c r="I4308" s="566"/>
      <c r="J4308" s="549" t="s">
        <v>5804</v>
      </c>
    </row>
    <row r="4309" spans="1:17" x14ac:dyDescent="0.35">
      <c r="A4309" s="496" t="s">
        <v>747</v>
      </c>
      <c r="B4309" s="1" t="s">
        <v>740</v>
      </c>
      <c r="C4309" s="1" t="s">
        <v>4808</v>
      </c>
      <c r="D4309" s="1" t="s">
        <v>7396</v>
      </c>
      <c r="E4309" s="1"/>
      <c r="F4309" s="362">
        <v>54</v>
      </c>
      <c r="G4309" s="425">
        <v>54</v>
      </c>
      <c r="H4309" s="10">
        <f t="shared" si="1521"/>
        <v>43.2</v>
      </c>
      <c r="I4309" s="566"/>
      <c r="J4309" s="549" t="s">
        <v>5804</v>
      </c>
    </row>
    <row r="4310" spans="1:17" x14ac:dyDescent="0.35">
      <c r="A4310" s="496" t="s">
        <v>748</v>
      </c>
      <c r="B4310" s="1" t="s">
        <v>740</v>
      </c>
      <c r="C4310" s="1" t="s">
        <v>4808</v>
      </c>
      <c r="D4310" s="1" t="s">
        <v>5392</v>
      </c>
      <c r="E4310" s="1"/>
      <c r="F4310" s="362">
        <v>62.4</v>
      </c>
      <c r="G4310" s="425">
        <v>62.4</v>
      </c>
      <c r="H4310" s="10">
        <f t="shared" si="1521"/>
        <v>49.92</v>
      </c>
      <c r="I4310" s="566"/>
      <c r="J4310" s="549" t="s">
        <v>5804</v>
      </c>
    </row>
    <row r="4311" spans="1:17" x14ac:dyDescent="0.35">
      <c r="A4311" s="496" t="s">
        <v>749</v>
      </c>
      <c r="B4311" s="1" t="s">
        <v>740</v>
      </c>
      <c r="C4311" s="1" t="s">
        <v>4808</v>
      </c>
      <c r="D4311" s="1" t="s">
        <v>5393</v>
      </c>
      <c r="E4311" s="1"/>
      <c r="F4311" s="362">
        <v>59.6</v>
      </c>
      <c r="G4311" s="425">
        <v>59.6</v>
      </c>
      <c r="H4311" s="10">
        <f t="shared" si="1521"/>
        <v>47.68</v>
      </c>
      <c r="I4311" s="566"/>
      <c r="J4311" s="549" t="s">
        <v>5804</v>
      </c>
    </row>
    <row r="4312" spans="1:17" x14ac:dyDescent="0.35">
      <c r="A4312" s="496" t="s">
        <v>750</v>
      </c>
      <c r="B4312" s="1" t="s">
        <v>740</v>
      </c>
      <c r="C4312" s="1" t="s">
        <v>4808</v>
      </c>
      <c r="D4312" s="1" t="s">
        <v>7397</v>
      </c>
      <c r="E4312" s="1"/>
      <c r="F4312" s="362">
        <v>59</v>
      </c>
      <c r="G4312" s="425">
        <v>59</v>
      </c>
      <c r="H4312" s="10">
        <f t="shared" si="1521"/>
        <v>47.2</v>
      </c>
      <c r="I4312" s="566"/>
      <c r="J4312" s="549" t="s">
        <v>5804</v>
      </c>
    </row>
    <row r="4313" spans="1:17" x14ac:dyDescent="0.35">
      <c r="A4313" s="496" t="s">
        <v>751</v>
      </c>
      <c r="B4313" s="1" t="s">
        <v>740</v>
      </c>
      <c r="C4313" s="1" t="s">
        <v>4808</v>
      </c>
      <c r="D4313" s="1" t="s">
        <v>5394</v>
      </c>
      <c r="E4313" s="1"/>
      <c r="F4313" s="362">
        <v>45.7</v>
      </c>
      <c r="G4313" s="425">
        <v>45.7</v>
      </c>
      <c r="H4313" s="10">
        <f t="shared" si="1521"/>
        <v>36.56</v>
      </c>
      <c r="I4313" s="566"/>
      <c r="J4313" s="549" t="s">
        <v>5804</v>
      </c>
    </row>
    <row r="4314" spans="1:17" x14ac:dyDescent="0.35">
      <c r="A4314" s="496"/>
      <c r="B4314" s="1"/>
      <c r="C4314" s="1"/>
      <c r="D4314" s="1"/>
      <c r="E4314" s="1"/>
      <c r="F4314" s="362"/>
      <c r="G4314" s="425"/>
      <c r="H4314" s="10" t="str">
        <f t="shared" si="1521"/>
        <v/>
      </c>
      <c r="I4314" s="566"/>
      <c r="J4314" s="549" t="s">
        <v>4179</v>
      </c>
    </row>
    <row r="4315" spans="1:17" x14ac:dyDescent="0.35">
      <c r="A4315" s="496" t="s">
        <v>752</v>
      </c>
      <c r="B4315" s="1" t="s">
        <v>740</v>
      </c>
      <c r="C4315" s="1" t="s">
        <v>1288</v>
      </c>
      <c r="D4315" s="1" t="s">
        <v>5379</v>
      </c>
      <c r="E4315" s="1"/>
      <c r="F4315" s="362">
        <v>54.53</v>
      </c>
      <c r="G4315" s="425">
        <v>54.53</v>
      </c>
      <c r="H4315" s="10">
        <f t="shared" si="1521"/>
        <v>43.62</v>
      </c>
      <c r="I4315" s="566"/>
      <c r="J4315" s="549" t="s">
        <v>5804</v>
      </c>
    </row>
    <row r="4316" spans="1:17" x14ac:dyDescent="0.35">
      <c r="A4316" s="496" t="s">
        <v>753</v>
      </c>
      <c r="B4316" s="1" t="s">
        <v>740</v>
      </c>
      <c r="C4316" s="1" t="s">
        <v>1288</v>
      </c>
      <c r="D4316" s="1" t="s">
        <v>5380</v>
      </c>
      <c r="E4316" s="1"/>
      <c r="F4316" s="362">
        <v>51.87</v>
      </c>
      <c r="G4316" s="425">
        <v>51.87</v>
      </c>
      <c r="H4316" s="10">
        <f t="shared" si="1521"/>
        <v>41.5</v>
      </c>
      <c r="I4316" s="566"/>
      <c r="J4316" s="549" t="s">
        <v>5804</v>
      </c>
    </row>
    <row r="4317" spans="1:17" x14ac:dyDescent="0.35">
      <c r="A4317" s="496" t="s">
        <v>754</v>
      </c>
      <c r="B4317" s="1" t="s">
        <v>740</v>
      </c>
      <c r="C4317" s="1" t="s">
        <v>1288</v>
      </c>
      <c r="D4317" s="1" t="s">
        <v>7396</v>
      </c>
      <c r="E4317" s="1"/>
      <c r="F4317" s="362">
        <v>51.3</v>
      </c>
      <c r="G4317" s="425">
        <v>51.3</v>
      </c>
      <c r="H4317" s="10">
        <f t="shared" si="1521"/>
        <v>41.04</v>
      </c>
      <c r="I4317" s="566"/>
      <c r="J4317" s="549" t="s">
        <v>5804</v>
      </c>
    </row>
    <row r="4318" spans="1:17" x14ac:dyDescent="0.35">
      <c r="A4318" s="496" t="s">
        <v>755</v>
      </c>
      <c r="B4318" s="1" t="s">
        <v>740</v>
      </c>
      <c r="C4318" s="1" t="s">
        <v>1288</v>
      </c>
      <c r="D4318" s="1" t="s">
        <v>5392</v>
      </c>
      <c r="E4318" s="1"/>
      <c r="F4318" s="362">
        <v>59.53</v>
      </c>
      <c r="G4318" s="425">
        <v>59.53</v>
      </c>
      <c r="H4318" s="10">
        <f t="shared" si="1521"/>
        <v>47.62</v>
      </c>
      <c r="I4318" s="566"/>
      <c r="J4318" s="549" t="s">
        <v>5804</v>
      </c>
    </row>
    <row r="4319" spans="1:17" x14ac:dyDescent="0.35">
      <c r="A4319" s="496" t="s">
        <v>756</v>
      </c>
      <c r="B4319" s="1" t="s">
        <v>740</v>
      </c>
      <c r="C4319" s="1" t="s">
        <v>1288</v>
      </c>
      <c r="D4319" s="1" t="s">
        <v>5393</v>
      </c>
      <c r="E4319" s="1"/>
      <c r="F4319" s="362">
        <v>56.87</v>
      </c>
      <c r="G4319" s="425">
        <v>56.87</v>
      </c>
      <c r="H4319" s="10">
        <f t="shared" si="1521"/>
        <v>45.5</v>
      </c>
      <c r="I4319" s="566"/>
      <c r="J4319" s="549" t="s">
        <v>5804</v>
      </c>
    </row>
    <row r="4320" spans="1:17" x14ac:dyDescent="0.35">
      <c r="A4320" s="496" t="s">
        <v>757</v>
      </c>
      <c r="B4320" s="1" t="s">
        <v>740</v>
      </c>
      <c r="C4320" s="1" t="s">
        <v>1288</v>
      </c>
      <c r="D4320" s="1" t="s">
        <v>7397</v>
      </c>
      <c r="E4320" s="1"/>
      <c r="F4320" s="362">
        <v>56.3</v>
      </c>
      <c r="G4320" s="425">
        <v>56.3</v>
      </c>
      <c r="H4320" s="10">
        <f t="shared" si="1521"/>
        <v>45.04</v>
      </c>
      <c r="I4320" s="566"/>
      <c r="J4320" s="549" t="s">
        <v>5804</v>
      </c>
    </row>
    <row r="4321" spans="1:10" x14ac:dyDescent="0.35">
      <c r="A4321" s="496" t="s">
        <v>758</v>
      </c>
      <c r="B4321" s="1" t="s">
        <v>740</v>
      </c>
      <c r="C4321" s="1" t="s">
        <v>1288</v>
      </c>
      <c r="D4321" s="1" t="s">
        <v>5394</v>
      </c>
      <c r="E4321" s="1"/>
      <c r="F4321" s="362">
        <v>43.42</v>
      </c>
      <c r="G4321" s="425">
        <v>43.42</v>
      </c>
      <c r="H4321" s="10">
        <f t="shared" si="1521"/>
        <v>34.74</v>
      </c>
      <c r="I4321" s="566"/>
      <c r="J4321" s="549" t="s">
        <v>5804</v>
      </c>
    </row>
    <row r="4322" spans="1:10" x14ac:dyDescent="0.35">
      <c r="A4322" s="496"/>
      <c r="B4322" s="1"/>
      <c r="C4322" s="1"/>
      <c r="D4322" s="1"/>
      <c r="E4322" s="1"/>
      <c r="F4322" s="362"/>
      <c r="G4322" s="425"/>
      <c r="H4322" s="10" t="str">
        <f t="shared" si="1521"/>
        <v/>
      </c>
      <c r="I4322" s="566"/>
      <c r="J4322" s="549" t="s">
        <v>4179</v>
      </c>
    </row>
    <row r="4323" spans="1:10" x14ac:dyDescent="0.35">
      <c r="A4323" s="496" t="s">
        <v>759</v>
      </c>
      <c r="B4323" s="1" t="s">
        <v>740</v>
      </c>
      <c r="C4323" s="1" t="s">
        <v>1296</v>
      </c>
      <c r="D4323" s="1" t="s">
        <v>5379</v>
      </c>
      <c r="E4323" s="1"/>
      <c r="F4323" s="362">
        <v>51.8</v>
      </c>
      <c r="G4323" s="425">
        <v>51.8</v>
      </c>
      <c r="H4323" s="10">
        <f t="shared" si="1521"/>
        <v>41.44</v>
      </c>
      <c r="I4323" s="566"/>
      <c r="J4323" s="549" t="s">
        <v>5804</v>
      </c>
    </row>
    <row r="4324" spans="1:10" x14ac:dyDescent="0.35">
      <c r="A4324" s="496" t="s">
        <v>760</v>
      </c>
      <c r="B4324" s="1" t="s">
        <v>740</v>
      </c>
      <c r="C4324" s="1" t="s">
        <v>1296</v>
      </c>
      <c r="D4324" s="1" t="s">
        <v>5380</v>
      </c>
      <c r="E4324" s="1"/>
      <c r="F4324" s="362">
        <v>49.28</v>
      </c>
      <c r="G4324" s="425">
        <v>49.28</v>
      </c>
      <c r="H4324" s="10">
        <f t="shared" si="1521"/>
        <v>39.42</v>
      </c>
      <c r="I4324" s="566"/>
      <c r="J4324" s="549" t="s">
        <v>5804</v>
      </c>
    </row>
    <row r="4325" spans="1:10" x14ac:dyDescent="0.35">
      <c r="A4325" s="496" t="s">
        <v>761</v>
      </c>
      <c r="B4325" s="1" t="s">
        <v>740</v>
      </c>
      <c r="C4325" s="1" t="s">
        <v>1296</v>
      </c>
      <c r="D4325" s="1" t="s">
        <v>7396</v>
      </c>
      <c r="E4325" s="1"/>
      <c r="F4325" s="362">
        <v>48.74</v>
      </c>
      <c r="G4325" s="425">
        <v>48.74</v>
      </c>
      <c r="H4325" s="10">
        <f t="shared" si="1521"/>
        <v>38.99</v>
      </c>
      <c r="I4325" s="566"/>
      <c r="J4325" s="549" t="s">
        <v>5804</v>
      </c>
    </row>
    <row r="4326" spans="1:10" x14ac:dyDescent="0.35">
      <c r="A4326" s="496" t="s">
        <v>762</v>
      </c>
      <c r="B4326" s="1" t="s">
        <v>740</v>
      </c>
      <c r="C4326" s="1" t="s">
        <v>1296</v>
      </c>
      <c r="D4326" s="1" t="s">
        <v>5392</v>
      </c>
      <c r="E4326" s="1"/>
      <c r="F4326" s="362">
        <v>56.8</v>
      </c>
      <c r="G4326" s="425">
        <v>56.8</v>
      </c>
      <c r="H4326" s="10">
        <f t="shared" si="1521"/>
        <v>45.44</v>
      </c>
      <c r="I4326" s="566"/>
      <c r="J4326" s="549" t="s">
        <v>5804</v>
      </c>
    </row>
    <row r="4327" spans="1:10" x14ac:dyDescent="0.35">
      <c r="A4327" s="496" t="s">
        <v>763</v>
      </c>
      <c r="B4327" s="1" t="s">
        <v>740</v>
      </c>
      <c r="C4327" s="1" t="s">
        <v>1296</v>
      </c>
      <c r="D4327" s="1" t="s">
        <v>5393</v>
      </c>
      <c r="E4327" s="1"/>
      <c r="F4327" s="362">
        <v>54.28</v>
      </c>
      <c r="G4327" s="425">
        <v>54.28</v>
      </c>
      <c r="H4327" s="10">
        <f t="shared" si="1521"/>
        <v>43.42</v>
      </c>
      <c r="I4327" s="566"/>
      <c r="J4327" s="549" t="s">
        <v>5804</v>
      </c>
    </row>
    <row r="4328" spans="1:10" x14ac:dyDescent="0.35">
      <c r="A4328" s="496" t="s">
        <v>764</v>
      </c>
      <c r="B4328" s="1" t="s">
        <v>740</v>
      </c>
      <c r="C4328" s="1" t="s">
        <v>1296</v>
      </c>
      <c r="D4328" s="1" t="s">
        <v>7397</v>
      </c>
      <c r="E4328" s="1"/>
      <c r="F4328" s="362">
        <v>53.74</v>
      </c>
      <c r="G4328" s="425">
        <v>53.74</v>
      </c>
      <c r="H4328" s="10">
        <f t="shared" si="1521"/>
        <v>42.99</v>
      </c>
      <c r="I4328" s="566"/>
      <c r="J4328" s="549" t="s">
        <v>5804</v>
      </c>
    </row>
    <row r="4329" spans="1:10" x14ac:dyDescent="0.35">
      <c r="A4329" s="496" t="s">
        <v>765</v>
      </c>
      <c r="B4329" s="1" t="s">
        <v>740</v>
      </c>
      <c r="C4329" s="1" t="s">
        <v>1296</v>
      </c>
      <c r="D4329" s="1" t="s">
        <v>5394</v>
      </c>
      <c r="E4329" s="1"/>
      <c r="F4329" s="362">
        <v>40.6</v>
      </c>
      <c r="G4329" s="425">
        <v>40.6</v>
      </c>
      <c r="H4329" s="10">
        <f t="shared" si="1521"/>
        <v>32.479999999999997</v>
      </c>
      <c r="I4329" s="566"/>
      <c r="J4329" s="549" t="s">
        <v>5804</v>
      </c>
    </row>
    <row r="4330" spans="1:10" x14ac:dyDescent="0.35">
      <c r="A4330" s="496"/>
      <c r="B4330" s="1"/>
      <c r="C4330" s="1"/>
      <c r="D4330" s="1"/>
      <c r="E4330" s="1"/>
      <c r="F4330" s="362"/>
      <c r="G4330" s="425"/>
      <c r="H4330" s="10" t="str">
        <f t="shared" si="1521"/>
        <v/>
      </c>
      <c r="I4330" s="566"/>
      <c r="J4330" s="549" t="s">
        <v>4179</v>
      </c>
    </row>
    <row r="4331" spans="1:10" x14ac:dyDescent="0.35">
      <c r="A4331" s="496" t="s">
        <v>766</v>
      </c>
      <c r="B4331" s="1" t="s">
        <v>740</v>
      </c>
      <c r="C4331" s="1" t="s">
        <v>1304</v>
      </c>
      <c r="D4331" s="1" t="s">
        <v>5379</v>
      </c>
      <c r="E4331" s="1"/>
      <c r="F4331" s="362">
        <v>49.21</v>
      </c>
      <c r="G4331" s="425">
        <v>49.21</v>
      </c>
      <c r="H4331" s="10">
        <f t="shared" si="1521"/>
        <v>39.369999999999997</v>
      </c>
      <c r="I4331" s="566"/>
      <c r="J4331" s="549" t="s">
        <v>5804</v>
      </c>
    </row>
    <row r="4332" spans="1:10" x14ac:dyDescent="0.35">
      <c r="A4332" s="496" t="s">
        <v>767</v>
      </c>
      <c r="B4332" s="1" t="s">
        <v>740</v>
      </c>
      <c r="C4332" s="1" t="s">
        <v>1304</v>
      </c>
      <c r="D4332" s="1" t="s">
        <v>5380</v>
      </c>
      <c r="E4332" s="1"/>
      <c r="F4332" s="362">
        <v>46.82</v>
      </c>
      <c r="G4332" s="425">
        <v>46.82</v>
      </c>
      <c r="H4332" s="10">
        <f t="shared" si="1521"/>
        <v>37.46</v>
      </c>
      <c r="I4332" s="566"/>
      <c r="J4332" s="549" t="s">
        <v>5804</v>
      </c>
    </row>
    <row r="4333" spans="1:10" x14ac:dyDescent="0.35">
      <c r="A4333" s="496" t="s">
        <v>768</v>
      </c>
      <c r="B4333" s="1" t="s">
        <v>740</v>
      </c>
      <c r="C4333" s="1" t="s">
        <v>1304</v>
      </c>
      <c r="D4333" s="1" t="s">
        <v>7396</v>
      </c>
      <c r="E4333" s="1"/>
      <c r="F4333" s="362">
        <v>46.3</v>
      </c>
      <c r="G4333" s="425">
        <v>46.3</v>
      </c>
      <c r="H4333" s="10">
        <f t="shared" si="1521"/>
        <v>37.04</v>
      </c>
      <c r="I4333" s="566"/>
      <c r="J4333" s="549" t="s">
        <v>5804</v>
      </c>
    </row>
    <row r="4334" spans="1:10" x14ac:dyDescent="0.35">
      <c r="A4334" s="496" t="s">
        <v>769</v>
      </c>
      <c r="B4334" s="1" t="s">
        <v>740</v>
      </c>
      <c r="C4334" s="1" t="s">
        <v>1304</v>
      </c>
      <c r="D4334" s="1" t="s">
        <v>5392</v>
      </c>
      <c r="E4334" s="1"/>
      <c r="F4334" s="362">
        <v>54.21</v>
      </c>
      <c r="G4334" s="425">
        <v>54.21</v>
      </c>
      <c r="H4334" s="10">
        <f t="shared" si="1521"/>
        <v>43.37</v>
      </c>
      <c r="I4334" s="566"/>
      <c r="J4334" s="549" t="s">
        <v>5804</v>
      </c>
    </row>
    <row r="4335" spans="1:10" x14ac:dyDescent="0.35">
      <c r="A4335" s="496" t="s">
        <v>810</v>
      </c>
      <c r="B4335" s="1" t="s">
        <v>740</v>
      </c>
      <c r="C4335" s="1" t="s">
        <v>1304</v>
      </c>
      <c r="D4335" s="1" t="s">
        <v>5393</v>
      </c>
      <c r="E4335" s="1"/>
      <c r="F4335" s="362">
        <v>51.82</v>
      </c>
      <c r="G4335" s="425">
        <v>51.82</v>
      </c>
      <c r="H4335" s="10">
        <f t="shared" si="1521"/>
        <v>41.46</v>
      </c>
      <c r="I4335" s="566"/>
      <c r="J4335" s="549" t="s">
        <v>5804</v>
      </c>
    </row>
    <row r="4336" spans="1:10" x14ac:dyDescent="0.35">
      <c r="A4336" s="496" t="s">
        <v>811</v>
      </c>
      <c r="B4336" s="1" t="s">
        <v>740</v>
      </c>
      <c r="C4336" s="1" t="s">
        <v>1304</v>
      </c>
      <c r="D4336" s="1" t="s">
        <v>7397</v>
      </c>
      <c r="E4336" s="1"/>
      <c r="F4336" s="362">
        <v>51.3</v>
      </c>
      <c r="G4336" s="425">
        <v>51.3</v>
      </c>
      <c r="H4336" s="10">
        <f t="shared" si="1521"/>
        <v>41.04</v>
      </c>
      <c r="I4336" s="566"/>
      <c r="J4336" s="549" t="s">
        <v>5804</v>
      </c>
    </row>
    <row r="4337" spans="1:18" x14ac:dyDescent="0.35">
      <c r="A4337" s="496" t="s">
        <v>812</v>
      </c>
      <c r="B4337" s="1" t="s">
        <v>740</v>
      </c>
      <c r="C4337" s="1" t="s">
        <v>1304</v>
      </c>
      <c r="D4337" s="1" t="s">
        <v>5394</v>
      </c>
      <c r="E4337" s="1"/>
      <c r="F4337" s="362">
        <v>37.96</v>
      </c>
      <c r="G4337" s="425">
        <v>37.96</v>
      </c>
      <c r="H4337" s="10">
        <f t="shared" si="1521"/>
        <v>30.37</v>
      </c>
      <c r="I4337" s="566"/>
      <c r="J4337" s="549" t="s">
        <v>5804</v>
      </c>
    </row>
    <row r="4338" spans="1:18" x14ac:dyDescent="0.35">
      <c r="A4338" s="496"/>
      <c r="B4338" s="1"/>
      <c r="C4338" s="1"/>
      <c r="D4338" s="1"/>
      <c r="E4338" s="1"/>
      <c r="F4338" s="362"/>
      <c r="G4338" s="425"/>
      <c r="H4338" s="10" t="str">
        <f t="shared" si="1521"/>
        <v/>
      </c>
      <c r="I4338" s="566"/>
      <c r="J4338" s="549" t="s">
        <v>4179</v>
      </c>
    </row>
    <row r="4339" spans="1:18" x14ac:dyDescent="0.35">
      <c r="A4339" s="496" t="s">
        <v>813</v>
      </c>
      <c r="B4339" s="1" t="s">
        <v>740</v>
      </c>
      <c r="C4339" s="1" t="s">
        <v>5539</v>
      </c>
      <c r="D4339" s="1" t="s">
        <v>5379</v>
      </c>
      <c r="E4339" s="1"/>
      <c r="F4339" s="362">
        <v>46.75</v>
      </c>
      <c r="G4339" s="425">
        <v>46.75</v>
      </c>
      <c r="H4339" s="10">
        <f t="shared" si="1521"/>
        <v>37.4</v>
      </c>
      <c r="I4339" s="566"/>
      <c r="J4339" s="549" t="s">
        <v>5804</v>
      </c>
    </row>
    <row r="4340" spans="1:18" x14ac:dyDescent="0.35">
      <c r="A4340" s="496" t="s">
        <v>814</v>
      </c>
      <c r="B4340" s="1" t="s">
        <v>740</v>
      </c>
      <c r="C4340" s="1" t="s">
        <v>5539</v>
      </c>
      <c r="D4340" s="1" t="s">
        <v>5380</v>
      </c>
      <c r="E4340" s="1"/>
      <c r="F4340" s="362">
        <v>44.48</v>
      </c>
      <c r="G4340" s="425">
        <v>44.48</v>
      </c>
      <c r="H4340" s="10">
        <f t="shared" si="1521"/>
        <v>35.58</v>
      </c>
      <c r="I4340" s="566"/>
      <c r="J4340" s="549" t="s">
        <v>5804</v>
      </c>
    </row>
    <row r="4341" spans="1:18" x14ac:dyDescent="0.35">
      <c r="A4341" s="496" t="s">
        <v>815</v>
      </c>
      <c r="B4341" s="1" t="s">
        <v>740</v>
      </c>
      <c r="C4341" s="1" t="s">
        <v>5539</v>
      </c>
      <c r="D4341" s="1" t="s">
        <v>7396</v>
      </c>
      <c r="E4341" s="1"/>
      <c r="F4341" s="362">
        <v>43.99</v>
      </c>
      <c r="G4341" s="425">
        <v>43.99</v>
      </c>
      <c r="H4341" s="10">
        <f t="shared" si="1521"/>
        <v>35.19</v>
      </c>
      <c r="I4341" s="566"/>
      <c r="J4341" s="549" t="s">
        <v>5804</v>
      </c>
    </row>
    <row r="4342" spans="1:18" x14ac:dyDescent="0.35">
      <c r="A4342" s="496" t="s">
        <v>816</v>
      </c>
      <c r="B4342" s="1" t="s">
        <v>740</v>
      </c>
      <c r="C4342" s="1" t="s">
        <v>5539</v>
      </c>
      <c r="D4342" s="1" t="s">
        <v>5392</v>
      </c>
      <c r="E4342" s="1"/>
      <c r="F4342" s="362">
        <v>51.75</v>
      </c>
      <c r="G4342" s="425">
        <v>51.75</v>
      </c>
      <c r="H4342" s="10">
        <f t="shared" si="1521"/>
        <v>41.4</v>
      </c>
      <c r="I4342" s="566"/>
      <c r="J4342" s="549" t="s">
        <v>5804</v>
      </c>
    </row>
    <row r="4343" spans="1:18" x14ac:dyDescent="0.35">
      <c r="A4343" s="496" t="s">
        <v>817</v>
      </c>
      <c r="B4343" s="1" t="s">
        <v>740</v>
      </c>
      <c r="C4343" s="1" t="s">
        <v>5539</v>
      </c>
      <c r="D4343" s="1" t="s">
        <v>5393</v>
      </c>
      <c r="E4343" s="1"/>
      <c r="F4343" s="362">
        <v>49.48</v>
      </c>
      <c r="G4343" s="425">
        <v>49.48</v>
      </c>
      <c r="H4343" s="10">
        <f t="shared" si="1521"/>
        <v>39.58</v>
      </c>
      <c r="I4343" s="566"/>
      <c r="J4343" s="549" t="s">
        <v>5804</v>
      </c>
    </row>
    <row r="4344" spans="1:18" x14ac:dyDescent="0.35">
      <c r="A4344" s="496" t="s">
        <v>818</v>
      </c>
      <c r="B4344" s="1" t="s">
        <v>740</v>
      </c>
      <c r="C4344" s="1" t="s">
        <v>5539</v>
      </c>
      <c r="D4344" s="1" t="s">
        <v>7397</v>
      </c>
      <c r="E4344" s="1"/>
      <c r="F4344" s="362">
        <v>48.99</v>
      </c>
      <c r="G4344" s="425">
        <v>48.99</v>
      </c>
      <c r="H4344" s="10">
        <f t="shared" si="1521"/>
        <v>39.19</v>
      </c>
      <c r="I4344" s="566"/>
      <c r="J4344" s="549" t="s">
        <v>5804</v>
      </c>
    </row>
    <row r="4345" spans="1:18" x14ac:dyDescent="0.35">
      <c r="A4345" s="496" t="s">
        <v>819</v>
      </c>
      <c r="B4345" s="1" t="s">
        <v>740</v>
      </c>
      <c r="C4345" s="1" t="s">
        <v>5539</v>
      </c>
      <c r="D4345" s="1" t="s">
        <v>5394</v>
      </c>
      <c r="E4345" s="1"/>
      <c r="F4345" s="362">
        <v>35.49</v>
      </c>
      <c r="G4345" s="425">
        <v>35.49</v>
      </c>
      <c r="H4345" s="10">
        <f t="shared" si="1521"/>
        <v>28.39</v>
      </c>
      <c r="I4345" s="566"/>
      <c r="J4345" s="549" t="s">
        <v>5804</v>
      </c>
    </row>
    <row r="4346" spans="1:18" x14ac:dyDescent="0.35">
      <c r="A4346" s="496"/>
      <c r="B4346" s="1"/>
      <c r="C4346" s="1"/>
      <c r="D4346" s="1"/>
      <c r="E4346" s="1"/>
      <c r="F4346" s="362"/>
      <c r="G4346" s="425"/>
      <c r="H4346" s="10" t="str">
        <f t="shared" si="1521"/>
        <v/>
      </c>
      <c r="I4346" s="566"/>
      <c r="J4346" s="549" t="s">
        <v>4179</v>
      </c>
    </row>
    <row r="4347" spans="1:18" x14ac:dyDescent="0.35">
      <c r="A4347" s="497" t="s">
        <v>4278</v>
      </c>
      <c r="B4347" s="13" t="s">
        <v>740</v>
      </c>
      <c r="C4347" s="13" t="s">
        <v>5404</v>
      </c>
      <c r="D4347" s="13"/>
      <c r="E4347" s="13"/>
      <c r="F4347" s="364">
        <v>31.94</v>
      </c>
      <c r="G4347" s="424">
        <v>31.94</v>
      </c>
      <c r="H4347" s="14">
        <f t="shared" si="1521"/>
        <v>25.55</v>
      </c>
      <c r="I4347" s="568"/>
      <c r="J4347" s="549" t="s">
        <v>5804</v>
      </c>
    </row>
    <row r="4348" spans="1:18" x14ac:dyDescent="0.35">
      <c r="A4348" s="496"/>
      <c r="B4348" s="1"/>
      <c r="C4348" s="1"/>
      <c r="D4348" s="1"/>
      <c r="E4348" s="1"/>
      <c r="F4348" s="362"/>
      <c r="G4348" s="425"/>
      <c r="H4348" s="10" t="str">
        <f t="shared" si="1521"/>
        <v/>
      </c>
      <c r="I4348" s="566"/>
      <c r="J4348" s="549" t="s">
        <v>4179</v>
      </c>
      <c r="M4348" s="106" t="s">
        <v>4547</v>
      </c>
      <c r="N4348" s="106" t="s">
        <v>5489</v>
      </c>
      <c r="O4348" s="104"/>
      <c r="P4348" s="105"/>
      <c r="Q4348" s="105"/>
      <c r="R4348" s="105"/>
    </row>
    <row r="4349" spans="1:18" x14ac:dyDescent="0.35">
      <c r="A4349" s="497" t="s">
        <v>2378</v>
      </c>
      <c r="B4349" s="13" t="s">
        <v>740</v>
      </c>
      <c r="C4349" s="13" t="s">
        <v>4550</v>
      </c>
      <c r="D4349" s="13"/>
      <c r="E4349" s="13"/>
      <c r="F4349" s="364">
        <f>ROUND(M4349,2)</f>
        <v>28.43</v>
      </c>
      <c r="G4349" s="424">
        <v>28.43</v>
      </c>
      <c r="H4349" s="14">
        <f t="shared" si="1521"/>
        <v>22.74</v>
      </c>
      <c r="I4349" s="568"/>
      <c r="J4349" s="549" t="s">
        <v>5804</v>
      </c>
      <c r="M4349" s="107">
        <f>F4347*(1-N4349)</f>
        <v>28.426600000000001</v>
      </c>
      <c r="N4349" s="108">
        <v>0.11</v>
      </c>
      <c r="O4349" s="92" t="s">
        <v>2386</v>
      </c>
      <c r="P4349" s="105"/>
      <c r="Q4349" s="105"/>
      <c r="R4349" s="105"/>
    </row>
    <row r="4350" spans="1:18" x14ac:dyDescent="0.35">
      <c r="A4350" s="496"/>
      <c r="B4350" s="1"/>
      <c r="C4350" s="1"/>
      <c r="D4350" s="1"/>
      <c r="E4350" s="1"/>
      <c r="F4350" s="362"/>
      <c r="G4350" s="425"/>
      <c r="H4350" s="10" t="str">
        <f t="shared" si="1521"/>
        <v/>
      </c>
      <c r="I4350" s="566"/>
      <c r="J4350" s="549" t="s">
        <v>4179</v>
      </c>
      <c r="M4350" s="92"/>
      <c r="N4350" s="92"/>
      <c r="O4350" s="92"/>
      <c r="P4350" s="105"/>
      <c r="Q4350" s="105"/>
      <c r="R4350" s="105"/>
    </row>
    <row r="4351" spans="1:18" x14ac:dyDescent="0.35">
      <c r="A4351" s="497" t="s">
        <v>4137</v>
      </c>
      <c r="B4351" s="13" t="s">
        <v>740</v>
      </c>
      <c r="C4351" s="13" t="s">
        <v>4549</v>
      </c>
      <c r="D4351" s="13" t="s">
        <v>4548</v>
      </c>
      <c r="E4351" s="13"/>
      <c r="F4351" s="364">
        <f>ROUND(M4351,2)</f>
        <v>28.43</v>
      </c>
      <c r="G4351" s="424">
        <v>28.43</v>
      </c>
      <c r="H4351" s="14">
        <f t="shared" si="1521"/>
        <v>22.74</v>
      </c>
      <c r="I4351" s="568"/>
      <c r="J4351" s="549" t="s">
        <v>5804</v>
      </c>
      <c r="M4351" s="107">
        <f>M4349*(1-N4351)</f>
        <v>28.426600000000001</v>
      </c>
      <c r="N4351" s="108">
        <v>0</v>
      </c>
      <c r="O4351" s="109" t="s">
        <v>4138</v>
      </c>
      <c r="P4351" s="105"/>
      <c r="Q4351" s="105"/>
      <c r="R4351" s="105"/>
    </row>
    <row r="4352" spans="1:18" x14ac:dyDescent="0.35">
      <c r="A4352" s="497" t="s">
        <v>4139</v>
      </c>
      <c r="B4352" s="13" t="s">
        <v>740</v>
      </c>
      <c r="C4352" s="13" t="s">
        <v>4549</v>
      </c>
      <c r="D4352" s="13" t="s">
        <v>5378</v>
      </c>
      <c r="E4352" s="13"/>
      <c r="F4352" s="364">
        <f>ROUND(M4352,2)</f>
        <v>25.02</v>
      </c>
      <c r="G4352" s="424">
        <v>25.02</v>
      </c>
      <c r="H4352" s="14">
        <f t="shared" si="1521"/>
        <v>20.02</v>
      </c>
      <c r="I4352" s="568"/>
      <c r="J4352" s="549" t="s">
        <v>5804</v>
      </c>
      <c r="M4352" s="92">
        <f>M4349*(1-N4352)</f>
        <v>25.015408000000001</v>
      </c>
      <c r="N4352" s="108">
        <v>0.12</v>
      </c>
      <c r="O4352" s="109" t="s">
        <v>4140</v>
      </c>
      <c r="P4352" s="105"/>
      <c r="Q4352" s="105"/>
      <c r="R4352" s="105"/>
    </row>
    <row r="4353" spans="1:18" x14ac:dyDescent="0.35">
      <c r="A4353" s="497" t="s">
        <v>4141</v>
      </c>
      <c r="B4353" s="13" t="s">
        <v>740</v>
      </c>
      <c r="C4353" s="13" t="s">
        <v>4549</v>
      </c>
      <c r="D4353" s="13" t="s">
        <v>4551</v>
      </c>
      <c r="E4353" s="13"/>
      <c r="F4353" s="364">
        <f>ROUND(M4353,2)</f>
        <v>26.15</v>
      </c>
      <c r="G4353" s="424">
        <v>26.15</v>
      </c>
      <c r="H4353" s="14">
        <f t="shared" si="1521"/>
        <v>20.92</v>
      </c>
      <c r="I4353" s="568"/>
      <c r="J4353" s="549" t="s">
        <v>5804</v>
      </c>
      <c r="K4353" s="11"/>
      <c r="M4353" s="92">
        <f>M4349*(1-N4353)</f>
        <v>26.152472000000003</v>
      </c>
      <c r="N4353" s="108">
        <v>0.08</v>
      </c>
      <c r="O4353" s="109" t="s">
        <v>4142</v>
      </c>
      <c r="P4353" s="105"/>
      <c r="Q4353" s="105"/>
      <c r="R4353" s="105"/>
    </row>
    <row r="4354" spans="1:18" x14ac:dyDescent="0.35">
      <c r="A4354" s="203"/>
      <c r="G4354" s="435"/>
      <c r="H4354" s="11" t="str">
        <f t="shared" si="1521"/>
        <v/>
      </c>
      <c r="J4354" s="549" t="s">
        <v>4179</v>
      </c>
      <c r="K4354" s="11"/>
    </row>
    <row r="4355" spans="1:18" x14ac:dyDescent="0.35">
      <c r="A4355" s="497" t="s">
        <v>617</v>
      </c>
      <c r="B4355" s="13" t="s">
        <v>740</v>
      </c>
      <c r="C4355" s="13" t="s">
        <v>4443</v>
      </c>
      <c r="D4355" s="13" t="s">
        <v>4548</v>
      </c>
      <c r="E4355" s="13"/>
      <c r="F4355" s="364">
        <f>ROUND(M4355,2)</f>
        <v>28.43</v>
      </c>
      <c r="G4355" s="424">
        <v>28.43</v>
      </c>
      <c r="H4355" s="14">
        <f t="shared" si="1521"/>
        <v>22.74</v>
      </c>
      <c r="I4355" s="568"/>
      <c r="J4355" s="549" t="s">
        <v>5804</v>
      </c>
      <c r="K4355" s="11"/>
      <c r="M4355" s="107">
        <f>M4349*(1-N4355)</f>
        <v>28.426600000000001</v>
      </c>
      <c r="N4355" s="108">
        <v>0</v>
      </c>
      <c r="O4355" s="109" t="s">
        <v>618</v>
      </c>
    </row>
    <row r="4356" spans="1:18" x14ac:dyDescent="0.35">
      <c r="A4356" s="497" t="s">
        <v>619</v>
      </c>
      <c r="B4356" s="13" t="s">
        <v>740</v>
      </c>
      <c r="C4356" s="13" t="s">
        <v>4443</v>
      </c>
      <c r="D4356" s="13" t="s">
        <v>5378</v>
      </c>
      <c r="E4356" s="13"/>
      <c r="F4356" s="364">
        <f>ROUND(M4356,2)</f>
        <v>24.26</v>
      </c>
      <c r="G4356" s="424">
        <v>24.26</v>
      </c>
      <c r="H4356" s="14">
        <f t="shared" si="1521"/>
        <v>19.41</v>
      </c>
      <c r="I4356" s="568"/>
      <c r="J4356" s="549" t="s">
        <v>5804</v>
      </c>
      <c r="K4356" s="11"/>
      <c r="M4356" s="107">
        <f>M4352*(1-N4356)</f>
        <v>24.26494576</v>
      </c>
      <c r="N4356" s="108">
        <v>0.03</v>
      </c>
      <c r="O4356" s="109" t="s">
        <v>4445</v>
      </c>
    </row>
    <row r="4357" spans="1:18" x14ac:dyDescent="0.35">
      <c r="A4357" s="497" t="s">
        <v>620</v>
      </c>
      <c r="B4357" s="13" t="s">
        <v>740</v>
      </c>
      <c r="C4357" s="13" t="s">
        <v>4444</v>
      </c>
      <c r="D4357" s="13" t="s">
        <v>4551</v>
      </c>
      <c r="E4357" s="13"/>
      <c r="F4357" s="364">
        <f>ROUND(M4357,2)</f>
        <v>25.37</v>
      </c>
      <c r="G4357" s="424">
        <v>25.37</v>
      </c>
      <c r="H4357" s="14">
        <f t="shared" si="1521"/>
        <v>20.3</v>
      </c>
      <c r="I4357" s="568"/>
      <c r="J4357" s="549" t="s">
        <v>5804</v>
      </c>
      <c r="K4357" s="11"/>
      <c r="M4357" s="107">
        <f>M4353*(1-N4357)</f>
        <v>25.367897840000001</v>
      </c>
      <c r="N4357" s="108">
        <v>0.03</v>
      </c>
      <c r="O4357" s="109" t="s">
        <v>4446</v>
      </c>
    </row>
    <row r="4358" spans="1:18" x14ac:dyDescent="0.35">
      <c r="A4358" s="203"/>
      <c r="G4358" s="435"/>
      <c r="H4358" s="11" t="str">
        <f t="shared" si="1521"/>
        <v/>
      </c>
      <c r="J4358" s="549" t="s">
        <v>4179</v>
      </c>
      <c r="K4358" s="11"/>
      <c r="M4358">
        <v>2011</v>
      </c>
    </row>
    <row r="4359" spans="1:18" x14ac:dyDescent="0.35">
      <c r="A4359" s="497" t="str">
        <f>LEFT(A4356,9)&amp;"---"&amp;($M$4358-2000)</f>
        <v>SoK320------11</v>
      </c>
      <c r="B4359" s="13" t="s">
        <v>740</v>
      </c>
      <c r="C4359" s="13" t="s">
        <v>1467</v>
      </c>
      <c r="D4359" s="13" t="s">
        <v>1216</v>
      </c>
      <c r="E4359" s="13"/>
      <c r="F4359" s="364">
        <f>ROUND(M4359,2)</f>
        <v>21.11</v>
      </c>
      <c r="G4359" s="424">
        <v>21.11</v>
      </c>
      <c r="H4359" s="14">
        <f t="shared" si="1521"/>
        <v>16.89</v>
      </c>
      <c r="I4359" s="568"/>
      <c r="J4359" s="549" t="s">
        <v>5804</v>
      </c>
      <c r="K4359" s="11"/>
      <c r="M4359" s="107">
        <f>M4356*(1-N4359)</f>
        <v>21.1105028112</v>
      </c>
      <c r="N4359" s="108">
        <v>0.13</v>
      </c>
      <c r="O4359" s="109" t="s">
        <v>5505</v>
      </c>
    </row>
    <row r="4360" spans="1:18" x14ac:dyDescent="0.35">
      <c r="A4360" s="497" t="str">
        <f>LEFT(A4357,9)&amp;"---"&amp;($M$4358-2000)</f>
        <v>SoK321------11</v>
      </c>
      <c r="B4360" s="13" t="s">
        <v>740</v>
      </c>
      <c r="C4360" s="13" t="s">
        <v>1467</v>
      </c>
      <c r="D4360" s="13" t="s">
        <v>4551</v>
      </c>
      <c r="E4360" s="13"/>
      <c r="F4360" s="364">
        <f>ROUND(M4360,2)</f>
        <v>22.07</v>
      </c>
      <c r="G4360" s="424">
        <v>22.07</v>
      </c>
      <c r="H4360" s="14">
        <f t="shared" si="1521"/>
        <v>17.66</v>
      </c>
      <c r="I4360" s="568"/>
      <c r="J4360" s="549" t="s">
        <v>5804</v>
      </c>
      <c r="K4360" s="11"/>
      <c r="M4360" s="107">
        <f>M4357*(1-N4360)</f>
        <v>22.070071120800002</v>
      </c>
      <c r="N4360" s="108">
        <v>0.13</v>
      </c>
      <c r="O4360" s="109" t="s">
        <v>5506</v>
      </c>
    </row>
    <row r="4361" spans="1:18" x14ac:dyDescent="0.35">
      <c r="A4361" s="203"/>
      <c r="G4361" s="435"/>
      <c r="H4361" s="11" t="str">
        <f t="shared" si="1521"/>
        <v/>
      </c>
      <c r="J4361" s="549" t="s">
        <v>4179</v>
      </c>
      <c r="K4361" s="11"/>
    </row>
    <row r="4362" spans="1:18" x14ac:dyDescent="0.35">
      <c r="A4362" s="500" t="s">
        <v>4243</v>
      </c>
      <c r="B4362" s="225" t="s">
        <v>740</v>
      </c>
      <c r="C4362" s="257" t="s">
        <v>3916</v>
      </c>
      <c r="D4362" s="257" t="s">
        <v>3913</v>
      </c>
      <c r="E4362" s="257"/>
      <c r="F4362" s="366">
        <f>ROUND(M4362,2)</f>
        <v>17.940000000000001</v>
      </c>
      <c r="G4362" s="427">
        <v>17.940000000000001</v>
      </c>
      <c r="H4362" s="227">
        <f t="shared" si="1521"/>
        <v>14.35</v>
      </c>
      <c r="I4362" s="570"/>
      <c r="J4362" s="549" t="s">
        <v>5804</v>
      </c>
      <c r="K4362" s="11"/>
      <c r="M4362" s="107">
        <f>21.11*(1-N4362)</f>
        <v>17.9435</v>
      </c>
      <c r="N4362" s="108">
        <v>0.15</v>
      </c>
      <c r="O4362" s="109" t="s">
        <v>4244</v>
      </c>
    </row>
    <row r="4363" spans="1:18" x14ac:dyDescent="0.35">
      <c r="A4363" s="500" t="s">
        <v>4246</v>
      </c>
      <c r="B4363" s="225" t="s">
        <v>740</v>
      </c>
      <c r="C4363" s="257" t="s">
        <v>3916</v>
      </c>
      <c r="D4363" s="257" t="s">
        <v>3914</v>
      </c>
      <c r="E4363" s="257"/>
      <c r="F4363" s="366">
        <f>ROUND(M4363,2)</f>
        <v>18.760000000000002</v>
      </c>
      <c r="G4363" s="427">
        <v>18.760000000000002</v>
      </c>
      <c r="H4363" s="227">
        <f t="shared" si="1521"/>
        <v>15.01</v>
      </c>
      <c r="I4363" s="570"/>
      <c r="J4363" s="549" t="s">
        <v>5804</v>
      </c>
      <c r="K4363" s="11"/>
      <c r="M4363" s="107">
        <f>22.07*(1-N4363)</f>
        <v>18.759499999999999</v>
      </c>
      <c r="N4363" s="108">
        <v>0.15</v>
      </c>
      <c r="O4363" s="109" t="s">
        <v>4245</v>
      </c>
    </row>
    <row r="4364" spans="1:18" x14ac:dyDescent="0.35">
      <c r="A4364" s="203"/>
      <c r="G4364" s="435"/>
      <c r="H4364" s="11" t="str">
        <f t="shared" si="1521"/>
        <v/>
      </c>
      <c r="J4364" s="549" t="s">
        <v>4179</v>
      </c>
      <c r="K4364" s="11"/>
    </row>
    <row r="4365" spans="1:18" x14ac:dyDescent="0.35">
      <c r="A4365" s="501" t="s">
        <v>3892</v>
      </c>
      <c r="B4365" s="257" t="s">
        <v>740</v>
      </c>
      <c r="C4365" s="257" t="s">
        <v>3917</v>
      </c>
      <c r="D4365" s="257" t="s">
        <v>3893</v>
      </c>
      <c r="E4365" s="257"/>
      <c r="F4365" s="388">
        <f>ROUND(M4365,2)</f>
        <v>17.940000000000001</v>
      </c>
      <c r="G4365" s="444">
        <v>17.940000000000001</v>
      </c>
      <c r="H4365" s="258">
        <f t="shared" si="1521"/>
        <v>14.35</v>
      </c>
      <c r="I4365" s="592"/>
      <c r="J4365" s="549" t="s">
        <v>5804</v>
      </c>
      <c r="K4365" s="11"/>
      <c r="M4365" s="107">
        <f>21.11*(1-N4365)</f>
        <v>17.9435</v>
      </c>
      <c r="N4365" s="108">
        <v>0.15</v>
      </c>
      <c r="O4365" s="109" t="s">
        <v>3894</v>
      </c>
    </row>
    <row r="4366" spans="1:18" x14ac:dyDescent="0.35">
      <c r="A4366" s="501" t="s">
        <v>3895</v>
      </c>
      <c r="B4366" s="257" t="s">
        <v>740</v>
      </c>
      <c r="C4366" s="257" t="s">
        <v>3917</v>
      </c>
      <c r="D4366" s="257" t="s">
        <v>3896</v>
      </c>
      <c r="E4366" s="257"/>
      <c r="F4366" s="388">
        <f>ROUND(M4366,2)</f>
        <v>18.760000000000002</v>
      </c>
      <c r="G4366" s="444">
        <v>18.760000000000002</v>
      </c>
      <c r="H4366" s="258">
        <f t="shared" si="1521"/>
        <v>15.01</v>
      </c>
      <c r="I4366" s="592"/>
      <c r="J4366" s="549" t="s">
        <v>5804</v>
      </c>
      <c r="K4366" s="11"/>
      <c r="M4366" s="107">
        <f>22.07*(1-N4366)</f>
        <v>18.759499999999999</v>
      </c>
      <c r="N4366" s="108">
        <v>0.15</v>
      </c>
      <c r="O4366" s="109" t="s">
        <v>3897</v>
      </c>
    </row>
    <row r="4367" spans="1:18" x14ac:dyDescent="0.35">
      <c r="A4367" s="501" t="s">
        <v>3898</v>
      </c>
      <c r="B4367" s="257" t="s">
        <v>740</v>
      </c>
      <c r="C4367" s="257" t="s">
        <v>30</v>
      </c>
      <c r="D4367" s="257" t="s">
        <v>3899</v>
      </c>
      <c r="E4367" s="257"/>
      <c r="F4367" s="388">
        <f>ROUND(M4367,2)</f>
        <v>15.95</v>
      </c>
      <c r="G4367" s="444">
        <v>15.95</v>
      </c>
      <c r="H4367" s="258">
        <f t="shared" si="1521"/>
        <v>12.76</v>
      </c>
      <c r="I4367" s="592"/>
      <c r="J4367" s="549" t="s">
        <v>5804</v>
      </c>
      <c r="K4367" s="11"/>
      <c r="M4367" s="107">
        <v>15.95</v>
      </c>
      <c r="N4367" s="108">
        <v>0</v>
      </c>
      <c r="O4367" s="109" t="s">
        <v>3900</v>
      </c>
    </row>
    <row r="4368" spans="1:18" x14ac:dyDescent="0.35">
      <c r="A4368" s="203"/>
      <c r="G4368" s="435"/>
      <c r="H4368" s="11" t="str">
        <f t="shared" si="1521"/>
        <v/>
      </c>
      <c r="J4368" s="549" t="s">
        <v>4179</v>
      </c>
      <c r="K4368" s="11"/>
      <c r="M4368">
        <v>2012</v>
      </c>
      <c r="N4368" s="108"/>
      <c r="O4368" s="109" t="s">
        <v>3901</v>
      </c>
      <c r="P4368" t="s">
        <v>3902</v>
      </c>
      <c r="Q4368" t="s">
        <v>3903</v>
      </c>
    </row>
    <row r="4369" spans="1:18" x14ac:dyDescent="0.35">
      <c r="A4369" s="501" t="s">
        <v>3904</v>
      </c>
      <c r="B4369" s="257" t="s">
        <v>740</v>
      </c>
      <c r="C4369" s="257" t="str">
        <f t="shared" ref="C4369:C4377" si="1522">"Inbetriebnahme "&amp;TEXT(DATEVALUE(RIGHT(A4369,5)),"MM/JJJJ")</f>
        <v>Inbetriebnahme 04/2012</v>
      </c>
      <c r="D4369" s="257" t="str">
        <f>$Q$4368</f>
        <v>Freiflächenanlage 0 - 10 MW</v>
      </c>
      <c r="E4369" s="257"/>
      <c r="F4369" s="388">
        <f t="shared" ref="F4369:F4377" si="1523">ROUND(HLOOKUP(D4369,$Q$4368:$Q$4513,MATCH(RIGHT($A4369,5),$O$4368:$O$4513,0),FALSE),2)</f>
        <v>13.5</v>
      </c>
      <c r="G4369" s="444">
        <v>13.5</v>
      </c>
      <c r="H4369" s="258">
        <f t="shared" si="1521"/>
        <v>10.8</v>
      </c>
      <c r="I4369" s="592"/>
      <c r="J4369" s="549" t="s">
        <v>5804</v>
      </c>
      <c r="K4369" s="11"/>
      <c r="M4369" s="92"/>
      <c r="N4369" s="108"/>
      <c r="O4369" s="259" t="s">
        <v>3915</v>
      </c>
      <c r="P4369" s="260"/>
      <c r="Q4369" s="261">
        <v>13.5</v>
      </c>
    </row>
    <row r="4370" spans="1:18" x14ac:dyDescent="0.35">
      <c r="A4370" s="501" t="s">
        <v>3905</v>
      </c>
      <c r="B4370" s="257" t="str">
        <f t="shared" ref="B4370:B4377" si="1524">B4369</f>
        <v>Solar</v>
      </c>
      <c r="C4370" s="257" t="str">
        <f t="shared" si="1522"/>
        <v>Inbetriebnahme 05/2012</v>
      </c>
      <c r="D4370" s="257" t="str">
        <f t="shared" ref="D4370:D4377" si="1525">D4369</f>
        <v>Freiflächenanlage 0 - 10 MW</v>
      </c>
      <c r="E4370" s="257"/>
      <c r="F4370" s="388">
        <f t="shared" si="1523"/>
        <v>13.37</v>
      </c>
      <c r="G4370" s="444">
        <v>13.37</v>
      </c>
      <c r="H4370" s="258">
        <f t="shared" ref="H4370:H4433" si="1526">IF(ISNUMBER(G4370),ROUND(0.8*G4370,2),"")</f>
        <v>10.7</v>
      </c>
      <c r="I4370" s="592"/>
      <c r="J4370" s="549" t="s">
        <v>5804</v>
      </c>
      <c r="K4370" s="11"/>
      <c r="M4370" s="92"/>
      <c r="N4370" s="108"/>
      <c r="O4370" s="266" t="str">
        <f t="shared" ref="O4370:O4377" si="1527">TEXT(DATE(YEAR(DATEVALUE(O4369)),MONTH(DATEVALUE(O4369))+1,1),"MMMJJ")</f>
        <v>Mai12</v>
      </c>
      <c r="P4370" s="277">
        <v>0.01</v>
      </c>
      <c r="Q4370" s="261">
        <f t="shared" ref="Q4370:Q4377" si="1528">IF(P4370&lt;&gt;"",Q4369*(100%-$P4370),"")</f>
        <v>13.365</v>
      </c>
    </row>
    <row r="4371" spans="1:18" x14ac:dyDescent="0.35">
      <c r="A4371" s="501" t="s">
        <v>3906</v>
      </c>
      <c r="B4371" s="257" t="str">
        <f t="shared" si="1524"/>
        <v>Solar</v>
      </c>
      <c r="C4371" s="257" t="str">
        <f t="shared" si="1522"/>
        <v>Inbetriebnahme 06/2012</v>
      </c>
      <c r="D4371" s="257" t="str">
        <f t="shared" si="1525"/>
        <v>Freiflächenanlage 0 - 10 MW</v>
      </c>
      <c r="E4371" s="257"/>
      <c r="F4371" s="388">
        <f t="shared" si="1523"/>
        <v>13.23</v>
      </c>
      <c r="G4371" s="444">
        <v>13.23</v>
      </c>
      <c r="H4371" s="258">
        <f t="shared" si="1526"/>
        <v>10.58</v>
      </c>
      <c r="I4371" s="592"/>
      <c r="J4371" s="549" t="s">
        <v>5804</v>
      </c>
      <c r="K4371" s="11"/>
      <c r="M4371" s="92"/>
      <c r="N4371" s="108"/>
      <c r="O4371" s="266" t="str">
        <f t="shared" si="1527"/>
        <v>Jun12</v>
      </c>
      <c r="P4371" s="277">
        <v>0.01</v>
      </c>
      <c r="Q4371" s="261">
        <f t="shared" si="1528"/>
        <v>13.231350000000001</v>
      </c>
    </row>
    <row r="4372" spans="1:18" x14ac:dyDescent="0.35">
      <c r="A4372" s="501" t="s">
        <v>3907</v>
      </c>
      <c r="B4372" s="257" t="str">
        <f t="shared" si="1524"/>
        <v>Solar</v>
      </c>
      <c r="C4372" s="257" t="str">
        <f t="shared" si="1522"/>
        <v>Inbetriebnahme 07/2012</v>
      </c>
      <c r="D4372" s="257" t="str">
        <f t="shared" si="1525"/>
        <v>Freiflächenanlage 0 - 10 MW</v>
      </c>
      <c r="E4372" s="257"/>
      <c r="F4372" s="388">
        <f t="shared" si="1523"/>
        <v>13.1</v>
      </c>
      <c r="G4372" s="444">
        <v>13.1</v>
      </c>
      <c r="H4372" s="258">
        <f t="shared" si="1526"/>
        <v>10.48</v>
      </c>
      <c r="I4372" s="592"/>
      <c r="J4372" s="549" t="s">
        <v>5804</v>
      </c>
      <c r="K4372" s="11"/>
      <c r="M4372" s="92"/>
      <c r="N4372" s="108"/>
      <c r="O4372" s="266" t="str">
        <f t="shared" si="1527"/>
        <v>Jul12</v>
      </c>
      <c r="P4372" s="277">
        <v>0.01</v>
      </c>
      <c r="Q4372" s="261">
        <f t="shared" si="1528"/>
        <v>13.0990365</v>
      </c>
    </row>
    <row r="4373" spans="1:18" x14ac:dyDescent="0.35">
      <c r="A4373" s="501" t="s">
        <v>3908</v>
      </c>
      <c r="B4373" s="257" t="str">
        <f t="shared" si="1524"/>
        <v>Solar</v>
      </c>
      <c r="C4373" s="257" t="str">
        <f t="shared" si="1522"/>
        <v>Inbetriebnahme 08/2012</v>
      </c>
      <c r="D4373" s="257" t="str">
        <f t="shared" si="1525"/>
        <v>Freiflächenanlage 0 - 10 MW</v>
      </c>
      <c r="E4373" s="257"/>
      <c r="F4373" s="388">
        <f t="shared" si="1523"/>
        <v>12.97</v>
      </c>
      <c r="G4373" s="444">
        <v>12.97</v>
      </c>
      <c r="H4373" s="258">
        <f t="shared" si="1526"/>
        <v>10.38</v>
      </c>
      <c r="I4373" s="592"/>
      <c r="J4373" s="549" t="s">
        <v>5804</v>
      </c>
      <c r="K4373" s="11"/>
      <c r="M4373" s="92"/>
      <c r="N4373" s="108"/>
      <c r="O4373" s="266" t="str">
        <f t="shared" si="1527"/>
        <v>Aug12</v>
      </c>
      <c r="P4373" s="277">
        <v>0.01</v>
      </c>
      <c r="Q4373" s="261">
        <f t="shared" si="1528"/>
        <v>12.968046135</v>
      </c>
    </row>
    <row r="4374" spans="1:18" x14ac:dyDescent="0.35">
      <c r="A4374" s="501" t="s">
        <v>3909</v>
      </c>
      <c r="B4374" s="257" t="str">
        <f t="shared" si="1524"/>
        <v>Solar</v>
      </c>
      <c r="C4374" s="257" t="str">
        <f t="shared" si="1522"/>
        <v>Inbetriebnahme 09/2012</v>
      </c>
      <c r="D4374" s="257" t="str">
        <f t="shared" si="1525"/>
        <v>Freiflächenanlage 0 - 10 MW</v>
      </c>
      <c r="E4374" s="257"/>
      <c r="F4374" s="388">
        <f t="shared" si="1523"/>
        <v>12.84</v>
      </c>
      <c r="G4374" s="444">
        <v>12.84</v>
      </c>
      <c r="H4374" s="258">
        <f t="shared" si="1526"/>
        <v>10.27</v>
      </c>
      <c r="I4374" s="592"/>
      <c r="J4374" s="549" t="s">
        <v>5804</v>
      </c>
      <c r="K4374" s="11"/>
      <c r="M4374" s="92"/>
      <c r="N4374" s="108"/>
      <c r="O4374" s="266" t="str">
        <f t="shared" si="1527"/>
        <v>Sep12</v>
      </c>
      <c r="P4374" s="277">
        <v>0.01</v>
      </c>
      <c r="Q4374" s="261">
        <f t="shared" si="1528"/>
        <v>12.838365673649999</v>
      </c>
    </row>
    <row r="4375" spans="1:18" x14ac:dyDescent="0.35">
      <c r="A4375" s="501" t="s">
        <v>3910</v>
      </c>
      <c r="B4375" s="257" t="str">
        <f t="shared" si="1524"/>
        <v>Solar</v>
      </c>
      <c r="C4375" s="257" t="str">
        <f t="shared" si="1522"/>
        <v>Inbetriebnahme 10/2012</v>
      </c>
      <c r="D4375" s="257" t="str">
        <f t="shared" si="1525"/>
        <v>Freiflächenanlage 0 - 10 MW</v>
      </c>
      <c r="E4375" s="257"/>
      <c r="F4375" s="388">
        <f t="shared" si="1523"/>
        <v>12.71</v>
      </c>
      <c r="G4375" s="444">
        <v>12.71</v>
      </c>
      <c r="H4375" s="258">
        <f t="shared" si="1526"/>
        <v>10.17</v>
      </c>
      <c r="I4375" s="592"/>
      <c r="J4375" s="549" t="s">
        <v>5804</v>
      </c>
      <c r="K4375" s="11"/>
      <c r="M4375" s="92"/>
      <c r="N4375" s="108"/>
      <c r="O4375" s="266" t="str">
        <f t="shared" si="1527"/>
        <v>Okt12</v>
      </c>
      <c r="P4375" s="277">
        <v>0.01</v>
      </c>
      <c r="Q4375" s="261">
        <f t="shared" si="1528"/>
        <v>12.7099820169135</v>
      </c>
    </row>
    <row r="4376" spans="1:18" x14ac:dyDescent="0.35">
      <c r="A4376" s="501" t="s">
        <v>3911</v>
      </c>
      <c r="B4376" s="257" t="str">
        <f t="shared" si="1524"/>
        <v>Solar</v>
      </c>
      <c r="C4376" s="257" t="str">
        <f t="shared" si="1522"/>
        <v>Inbetriebnahme 11/2012</v>
      </c>
      <c r="D4376" s="257" t="str">
        <f t="shared" si="1525"/>
        <v>Freiflächenanlage 0 - 10 MW</v>
      </c>
      <c r="E4376" s="257"/>
      <c r="F4376" s="388">
        <f t="shared" si="1523"/>
        <v>12.39</v>
      </c>
      <c r="G4376" s="444">
        <v>12.39</v>
      </c>
      <c r="H4376" s="258">
        <f t="shared" si="1526"/>
        <v>9.91</v>
      </c>
      <c r="I4376" s="592"/>
      <c r="J4376" s="549" t="s">
        <v>5804</v>
      </c>
      <c r="K4376" s="11"/>
      <c r="M4376" s="92"/>
      <c r="N4376" s="108"/>
      <c r="O4376" s="266" t="str">
        <f t="shared" si="1527"/>
        <v>Nov12</v>
      </c>
      <c r="P4376" s="277">
        <v>2.5000000000000001E-2</v>
      </c>
      <c r="Q4376" s="261">
        <f t="shared" si="1528"/>
        <v>12.392232466490663</v>
      </c>
      <c r="R4376" s="262"/>
    </row>
    <row r="4377" spans="1:18" x14ac:dyDescent="0.35">
      <c r="A4377" s="501" t="s">
        <v>3912</v>
      </c>
      <c r="B4377" s="257" t="str">
        <f t="shared" si="1524"/>
        <v>Solar</v>
      </c>
      <c r="C4377" s="257" t="str">
        <f t="shared" si="1522"/>
        <v>Inbetriebnahme 12/2012</v>
      </c>
      <c r="D4377" s="257" t="str">
        <f t="shared" si="1525"/>
        <v>Freiflächenanlage 0 - 10 MW</v>
      </c>
      <c r="E4377" s="257"/>
      <c r="F4377" s="388">
        <f t="shared" si="1523"/>
        <v>12.08</v>
      </c>
      <c r="G4377" s="444">
        <v>12.08</v>
      </c>
      <c r="H4377" s="258">
        <f t="shared" si="1526"/>
        <v>9.66</v>
      </c>
      <c r="I4377" s="592"/>
      <c r="J4377" s="549" t="s">
        <v>5804</v>
      </c>
      <c r="K4377" s="11"/>
      <c r="M4377" s="92"/>
      <c r="N4377" s="108"/>
      <c r="O4377" s="266" t="str">
        <f t="shared" si="1527"/>
        <v>Dez12</v>
      </c>
      <c r="P4377" s="277">
        <v>2.5000000000000001E-2</v>
      </c>
      <c r="Q4377" s="261">
        <f t="shared" si="1528"/>
        <v>12.082426654828396</v>
      </c>
      <c r="R4377" s="262"/>
    </row>
    <row r="4378" spans="1:18" x14ac:dyDescent="0.35">
      <c r="A4378" s="203"/>
      <c r="G4378" s="435"/>
      <c r="H4378" s="11" t="str">
        <f t="shared" si="1526"/>
        <v/>
      </c>
      <c r="J4378" s="549" t="s">
        <v>4179</v>
      </c>
      <c r="K4378" s="11"/>
      <c r="M4378">
        <v>2013</v>
      </c>
      <c r="N4378" s="108"/>
      <c r="O4378" s="109" t="s">
        <v>3901</v>
      </c>
      <c r="P4378" t="s">
        <v>3902</v>
      </c>
      <c r="Q4378" t="s">
        <v>3903</v>
      </c>
    </row>
    <row r="4379" spans="1:18" x14ac:dyDescent="0.35">
      <c r="A4379" s="502" t="s">
        <v>4671</v>
      </c>
      <c r="B4379" s="301" t="s">
        <v>740</v>
      </c>
      <c r="C4379" s="301" t="str">
        <f t="shared" ref="C4379:C4390" si="1529">"Inbetriebnahme "&amp;TEXT(DATEVALUE(RIGHT(A4379,5)),"MM/JJJJ")</f>
        <v>Inbetriebnahme 01/2013</v>
      </c>
      <c r="D4379" s="301" t="str">
        <f>$Q$4368</f>
        <v>Freiflächenanlage 0 - 10 MW</v>
      </c>
      <c r="E4379" s="301"/>
      <c r="F4379" s="368">
        <f t="shared" ref="F4379:F4390" si="1530">IF(P4379&lt;&gt;"",ROUND(HLOOKUP(D4379,$Q$4368:$Q$4513,MATCH(RIGHT($A4379,5),$O$4368:$O$4513,0),FALSE),2),"")</f>
        <v>11.78</v>
      </c>
      <c r="G4379" s="429">
        <v>11.78</v>
      </c>
      <c r="H4379" s="303">
        <f t="shared" si="1526"/>
        <v>9.42</v>
      </c>
      <c r="I4379" s="572"/>
      <c r="J4379" s="549" t="s">
        <v>5804</v>
      </c>
      <c r="K4379" s="11"/>
      <c r="N4379" s="108"/>
      <c r="O4379" s="259" t="s">
        <v>4661</v>
      </c>
      <c r="P4379" s="277">
        <v>2.5000000000000001E-2</v>
      </c>
      <c r="Q4379" s="261">
        <f>IF(P4379&lt;&gt;"",Q4377*(100%-$P4379),"")</f>
        <v>11.780365988457685</v>
      </c>
    </row>
    <row r="4380" spans="1:18" x14ac:dyDescent="0.35">
      <c r="A4380" s="502" t="s">
        <v>4672</v>
      </c>
      <c r="B4380" s="301" t="str">
        <f>B4379</f>
        <v>Solar</v>
      </c>
      <c r="C4380" s="301" t="str">
        <f t="shared" si="1529"/>
        <v>Inbetriebnahme 02/2013</v>
      </c>
      <c r="D4380" s="301" t="str">
        <f>D4379</f>
        <v>Freiflächenanlage 0 - 10 MW</v>
      </c>
      <c r="E4380" s="301"/>
      <c r="F4380" s="368">
        <f t="shared" si="1530"/>
        <v>11.52</v>
      </c>
      <c r="G4380" s="429">
        <v>11.52</v>
      </c>
      <c r="H4380" s="303">
        <f t="shared" si="1526"/>
        <v>9.2200000000000006</v>
      </c>
      <c r="I4380" s="572"/>
      <c r="J4380" s="549" t="s">
        <v>5804</v>
      </c>
      <c r="K4380" s="11"/>
      <c r="N4380" s="108"/>
      <c r="O4380" s="266" t="str">
        <f t="shared" ref="O4380:O4390" si="1531">TEXT(DATE(YEAR(DATEVALUE(O4379)),MONTH(DATEVALUE(O4379))+1,1),"MMMJJ")</f>
        <v>Feb13</v>
      </c>
      <c r="P4380" s="277">
        <v>2.1999999999999999E-2</v>
      </c>
      <c r="Q4380" s="261">
        <f t="shared" ref="Q4380:Q4390" si="1532">IF(P4380&lt;&gt;"",Q4379*(100%-$P4380),"")</f>
        <v>11.521197936711616</v>
      </c>
    </row>
    <row r="4381" spans="1:18" x14ac:dyDescent="0.35">
      <c r="A4381" s="502" t="s">
        <v>4673</v>
      </c>
      <c r="B4381" s="301" t="str">
        <f>B4380</f>
        <v>Solar</v>
      </c>
      <c r="C4381" s="301" t="str">
        <f t="shared" si="1529"/>
        <v>Inbetriebnahme 03/2013</v>
      </c>
      <c r="D4381" s="301" t="str">
        <f>D4380</f>
        <v>Freiflächenanlage 0 - 10 MW</v>
      </c>
      <c r="E4381" s="301"/>
      <c r="F4381" s="368">
        <f t="shared" si="1530"/>
        <v>11.27</v>
      </c>
      <c r="G4381" s="429">
        <v>11.27</v>
      </c>
      <c r="H4381" s="303">
        <f t="shared" si="1526"/>
        <v>9.02</v>
      </c>
      <c r="I4381" s="572"/>
      <c r="J4381" s="549" t="s">
        <v>5804</v>
      </c>
      <c r="K4381" s="11"/>
      <c r="N4381" s="108"/>
      <c r="O4381" s="266" t="str">
        <f t="shared" si="1531"/>
        <v>Mrz13</v>
      </c>
      <c r="P4381" s="277">
        <v>2.1999999999999999E-2</v>
      </c>
      <c r="Q4381" s="261">
        <f t="shared" si="1532"/>
        <v>11.267731582103959</v>
      </c>
    </row>
    <row r="4382" spans="1:18" x14ac:dyDescent="0.35">
      <c r="A4382" s="502" t="s">
        <v>4662</v>
      </c>
      <c r="B4382" s="301" t="s">
        <v>740</v>
      </c>
      <c r="C4382" s="301" t="str">
        <f t="shared" si="1529"/>
        <v>Inbetriebnahme 04/2013</v>
      </c>
      <c r="D4382" s="301" t="str">
        <f>$Q$4368</f>
        <v>Freiflächenanlage 0 - 10 MW</v>
      </c>
      <c r="E4382" s="301"/>
      <c r="F4382" s="368">
        <f t="shared" si="1530"/>
        <v>11.02</v>
      </c>
      <c r="G4382" s="429">
        <v>11.02</v>
      </c>
      <c r="H4382" s="303">
        <f t="shared" si="1526"/>
        <v>8.82</v>
      </c>
      <c r="I4382" s="572"/>
      <c r="J4382" s="549" t="s">
        <v>5804</v>
      </c>
      <c r="K4382" s="11"/>
      <c r="M4382" s="92"/>
      <c r="N4382" s="108"/>
      <c r="O4382" s="266" t="str">
        <f t="shared" si="1531"/>
        <v>Apr13</v>
      </c>
      <c r="P4382" s="277">
        <v>2.1999999999999999E-2</v>
      </c>
      <c r="Q4382" s="261">
        <f t="shared" si="1532"/>
        <v>11.019841487297672</v>
      </c>
    </row>
    <row r="4383" spans="1:18" x14ac:dyDescent="0.35">
      <c r="A4383" s="502" t="s">
        <v>4663</v>
      </c>
      <c r="B4383" s="301" t="str">
        <f t="shared" ref="B4383:B4390" si="1533">B4382</f>
        <v>Solar</v>
      </c>
      <c r="C4383" s="301" t="str">
        <f t="shared" si="1529"/>
        <v>Inbetriebnahme 05/2013</v>
      </c>
      <c r="D4383" s="301" t="str">
        <f t="shared" ref="D4383:D4390" si="1534">D4382</f>
        <v>Freiflächenanlage 0 - 10 MW</v>
      </c>
      <c r="E4383" s="301"/>
      <c r="F4383" s="368">
        <f t="shared" si="1530"/>
        <v>10.82</v>
      </c>
      <c r="G4383" s="429">
        <v>10.82</v>
      </c>
      <c r="H4383" s="303">
        <f t="shared" si="1526"/>
        <v>8.66</v>
      </c>
      <c r="I4383" s="572"/>
      <c r="J4383" s="549" t="s">
        <v>5804</v>
      </c>
      <c r="K4383" s="11"/>
      <c r="M4383" s="92"/>
      <c r="N4383" s="108"/>
      <c r="O4383" s="266" t="str">
        <f t="shared" si="1531"/>
        <v>Mai13</v>
      </c>
      <c r="P4383" s="277">
        <v>1.7999999999999999E-2</v>
      </c>
      <c r="Q4383" s="261">
        <f t="shared" si="1532"/>
        <v>10.821484340526315</v>
      </c>
    </row>
    <row r="4384" spans="1:18" x14ac:dyDescent="0.35">
      <c r="A4384" s="502" t="s">
        <v>4664</v>
      </c>
      <c r="B4384" s="301" t="str">
        <f t="shared" si="1533"/>
        <v>Solar</v>
      </c>
      <c r="C4384" s="301" t="str">
        <f t="shared" si="1529"/>
        <v>Inbetriebnahme 06/2013</v>
      </c>
      <c r="D4384" s="301" t="str">
        <f t="shared" si="1534"/>
        <v>Freiflächenanlage 0 - 10 MW</v>
      </c>
      <c r="E4384" s="301"/>
      <c r="F4384" s="368">
        <f t="shared" si="1530"/>
        <v>10.63</v>
      </c>
      <c r="G4384" s="429">
        <v>10.63</v>
      </c>
      <c r="H4384" s="303">
        <f t="shared" si="1526"/>
        <v>8.5</v>
      </c>
      <c r="I4384" s="572"/>
      <c r="J4384" s="549" t="s">
        <v>5804</v>
      </c>
      <c r="K4384" s="11"/>
      <c r="M4384" s="92"/>
      <c r="N4384" s="108"/>
      <c r="O4384" s="266" t="str">
        <f t="shared" si="1531"/>
        <v>Jun13</v>
      </c>
      <c r="P4384" s="277">
        <v>1.7999999999999999E-2</v>
      </c>
      <c r="Q4384" s="261">
        <f t="shared" si="1532"/>
        <v>10.62669762239684</v>
      </c>
    </row>
    <row r="4385" spans="1:24" x14ac:dyDescent="0.35">
      <c r="A4385" s="502" t="s">
        <v>4665</v>
      </c>
      <c r="B4385" s="301" t="str">
        <f t="shared" si="1533"/>
        <v>Solar</v>
      </c>
      <c r="C4385" s="301" t="str">
        <f t="shared" si="1529"/>
        <v>Inbetriebnahme 07/2013</v>
      </c>
      <c r="D4385" s="301" t="str">
        <f t="shared" si="1534"/>
        <v>Freiflächenanlage 0 - 10 MW</v>
      </c>
      <c r="E4385" s="301"/>
      <c r="F4385" s="368">
        <f t="shared" si="1530"/>
        <v>10.44</v>
      </c>
      <c r="G4385" s="429">
        <v>10.44</v>
      </c>
      <c r="H4385" s="303">
        <f t="shared" si="1526"/>
        <v>8.35</v>
      </c>
      <c r="I4385" s="572"/>
      <c r="J4385" s="549" t="s">
        <v>5804</v>
      </c>
      <c r="K4385" s="11"/>
      <c r="M4385" s="92"/>
      <c r="N4385" s="108"/>
      <c r="O4385" s="266" t="str">
        <f t="shared" si="1531"/>
        <v>Jul13</v>
      </c>
      <c r="P4385" s="277">
        <v>1.7999999999999999E-2</v>
      </c>
      <c r="Q4385" s="261">
        <f t="shared" si="1532"/>
        <v>10.435417065193697</v>
      </c>
    </row>
    <row r="4386" spans="1:24" x14ac:dyDescent="0.35">
      <c r="A4386" s="502" t="s">
        <v>4666</v>
      </c>
      <c r="B4386" s="301" t="str">
        <f t="shared" si="1533"/>
        <v>Solar</v>
      </c>
      <c r="C4386" s="301" t="str">
        <f t="shared" si="1529"/>
        <v>Inbetriebnahme 08/2013</v>
      </c>
      <c r="D4386" s="301" t="str">
        <f t="shared" si="1534"/>
        <v>Freiflächenanlage 0 - 10 MW</v>
      </c>
      <c r="E4386" s="301"/>
      <c r="F4386" s="368">
        <f t="shared" si="1530"/>
        <v>10.25</v>
      </c>
      <c r="G4386" s="429">
        <v>10.25</v>
      </c>
      <c r="H4386" s="303">
        <f t="shared" si="1526"/>
        <v>8.1999999999999993</v>
      </c>
      <c r="I4386" s="572"/>
      <c r="J4386" s="549" t="s">
        <v>5804</v>
      </c>
      <c r="K4386" s="11"/>
      <c r="M4386" s="92"/>
      <c r="N4386" s="108"/>
      <c r="O4386" s="266" t="str">
        <f t="shared" si="1531"/>
        <v>Aug13</v>
      </c>
      <c r="P4386" s="277">
        <v>1.7999999999999999E-2</v>
      </c>
      <c r="Q4386" s="261">
        <f t="shared" si="1532"/>
        <v>10.24757955802021</v>
      </c>
    </row>
    <row r="4387" spans="1:24" x14ac:dyDescent="0.35">
      <c r="A4387" s="502" t="s">
        <v>4667</v>
      </c>
      <c r="B4387" s="301" t="str">
        <f t="shared" si="1533"/>
        <v>Solar</v>
      </c>
      <c r="C4387" s="301" t="str">
        <f t="shared" si="1529"/>
        <v>Inbetriebnahme 09/2013</v>
      </c>
      <c r="D4387" s="301" t="str">
        <f t="shared" si="1534"/>
        <v>Freiflächenanlage 0 - 10 MW</v>
      </c>
      <c r="E4387" s="301"/>
      <c r="F4387" s="368">
        <f t="shared" si="1530"/>
        <v>10.06</v>
      </c>
      <c r="G4387" s="429">
        <v>10.06</v>
      </c>
      <c r="H4387" s="303">
        <f t="shared" si="1526"/>
        <v>8.0500000000000007</v>
      </c>
      <c r="I4387" s="572"/>
      <c r="J4387" s="549" t="s">
        <v>5804</v>
      </c>
      <c r="K4387" s="11"/>
      <c r="M4387" s="92"/>
      <c r="N4387" s="108"/>
      <c r="O4387" s="266" t="str">
        <f t="shared" si="1531"/>
        <v>Sep13</v>
      </c>
      <c r="P4387" s="277">
        <v>1.7999999999999999E-2</v>
      </c>
      <c r="Q4387" s="261">
        <f t="shared" si="1532"/>
        <v>10.063123125975846</v>
      </c>
    </row>
    <row r="4388" spans="1:24" x14ac:dyDescent="0.35">
      <c r="A4388" s="502" t="s">
        <v>4668</v>
      </c>
      <c r="B4388" s="301" t="str">
        <f t="shared" si="1533"/>
        <v>Solar</v>
      </c>
      <c r="C4388" s="301" t="str">
        <f t="shared" si="1529"/>
        <v>Inbetriebnahme 10/2013</v>
      </c>
      <c r="D4388" s="301" t="str">
        <f t="shared" si="1534"/>
        <v>Freiflächenanlage 0 - 10 MW</v>
      </c>
      <c r="E4388" s="301"/>
      <c r="F4388" s="368">
        <f t="shared" si="1530"/>
        <v>9.8800000000000008</v>
      </c>
      <c r="G4388" s="429">
        <v>9.8800000000000008</v>
      </c>
      <c r="H4388" s="303">
        <f t="shared" si="1526"/>
        <v>7.9</v>
      </c>
      <c r="I4388" s="572"/>
      <c r="J4388" s="549" t="s">
        <v>5804</v>
      </c>
      <c r="K4388" s="11"/>
      <c r="M4388" s="92"/>
      <c r="N4388" s="108"/>
      <c r="O4388" s="266" t="str">
        <f t="shared" si="1531"/>
        <v>Okt13</v>
      </c>
      <c r="P4388" s="277">
        <v>1.7999999999999999E-2</v>
      </c>
      <c r="Q4388" s="261">
        <f t="shared" si="1532"/>
        <v>9.8819869097082798</v>
      </c>
    </row>
    <row r="4389" spans="1:24" x14ac:dyDescent="0.35">
      <c r="A4389" s="502" t="s">
        <v>4669</v>
      </c>
      <c r="B4389" s="301" t="str">
        <f t="shared" si="1533"/>
        <v>Solar</v>
      </c>
      <c r="C4389" s="301" t="str">
        <f t="shared" si="1529"/>
        <v>Inbetriebnahme 11/2013</v>
      </c>
      <c r="D4389" s="301" t="str">
        <f t="shared" si="1534"/>
        <v>Freiflächenanlage 0 - 10 MW</v>
      </c>
      <c r="E4389" s="301"/>
      <c r="F4389" s="368">
        <f t="shared" si="1530"/>
        <v>9.74</v>
      </c>
      <c r="G4389" s="429">
        <v>9.74</v>
      </c>
      <c r="H4389" s="303">
        <f t="shared" si="1526"/>
        <v>7.79</v>
      </c>
      <c r="I4389" s="572"/>
      <c r="J4389" s="549" t="s">
        <v>5804</v>
      </c>
      <c r="K4389" s="11"/>
      <c r="M4389" s="92"/>
      <c r="N4389" s="108"/>
      <c r="O4389" s="266" t="str">
        <f t="shared" si="1531"/>
        <v>Nov13</v>
      </c>
      <c r="P4389" s="277">
        <v>1.4E-2</v>
      </c>
      <c r="Q4389" s="261">
        <f t="shared" si="1532"/>
        <v>9.743639092972364</v>
      </c>
      <c r="R4389" s="262"/>
    </row>
    <row r="4390" spans="1:24" x14ac:dyDescent="0.35">
      <c r="A4390" s="502" t="s">
        <v>4670</v>
      </c>
      <c r="B4390" s="301" t="str">
        <f t="shared" si="1533"/>
        <v>Solar</v>
      </c>
      <c r="C4390" s="301" t="str">
        <f t="shared" si="1529"/>
        <v>Inbetriebnahme 12/2013</v>
      </c>
      <c r="D4390" s="301" t="str">
        <f t="shared" si="1534"/>
        <v>Freiflächenanlage 0 - 10 MW</v>
      </c>
      <c r="E4390" s="301"/>
      <c r="F4390" s="368">
        <f t="shared" si="1530"/>
        <v>9.61</v>
      </c>
      <c r="G4390" s="429">
        <v>9.61</v>
      </c>
      <c r="H4390" s="303">
        <f t="shared" si="1526"/>
        <v>7.69</v>
      </c>
      <c r="I4390" s="572"/>
      <c r="J4390" s="549" t="s">
        <v>5804</v>
      </c>
      <c r="K4390" s="11"/>
      <c r="M4390" s="92"/>
      <c r="N4390" s="108"/>
      <c r="O4390" s="266" t="str">
        <f t="shared" si="1531"/>
        <v>Dez13</v>
      </c>
      <c r="P4390" s="277">
        <v>1.4E-2</v>
      </c>
      <c r="Q4390" s="261">
        <f t="shared" si="1532"/>
        <v>9.6072281456707511</v>
      </c>
      <c r="R4390" s="262"/>
    </row>
    <row r="4391" spans="1:24" x14ac:dyDescent="0.35">
      <c r="A4391" s="203"/>
      <c r="G4391" s="435"/>
      <c r="H4391" s="11" t="str">
        <f t="shared" si="1526"/>
        <v/>
      </c>
      <c r="J4391" s="549" t="s">
        <v>4179</v>
      </c>
      <c r="K4391" s="11"/>
      <c r="M4391">
        <v>2014</v>
      </c>
      <c r="N4391" s="108"/>
      <c r="O4391" s="109" t="s">
        <v>3901</v>
      </c>
      <c r="P4391" t="s">
        <v>3902</v>
      </c>
      <c r="Q4391" t="s">
        <v>3903</v>
      </c>
    </row>
    <row r="4392" spans="1:24" x14ac:dyDescent="0.35">
      <c r="A4392" s="502" t="s">
        <v>1682</v>
      </c>
      <c r="B4392" s="301" t="s">
        <v>740</v>
      </c>
      <c r="C4392" s="301" t="str">
        <f t="shared" ref="C4392:C4398" si="1535">"Inbetriebnahme "&amp;TEXT(DATEVALUE(RIGHT(A4392,5)),"MM/JJJJ")</f>
        <v>Inbetriebnahme 01/2014</v>
      </c>
      <c r="D4392" s="301" t="str">
        <f>$Q$4391</f>
        <v>Freiflächenanlage 0 - 10 MW</v>
      </c>
      <c r="E4392" s="301"/>
      <c r="F4392" s="368">
        <f t="shared" ref="F4392:F4398" si="1536">IF(P4392&lt;&gt;"",ROUND(HLOOKUP(D4392,$Q$4368:$Q$4513,MATCH(RIGHT($A4392,5),$O$4368:$O$4513,0),FALSE),2),"")</f>
        <v>9.4700000000000006</v>
      </c>
      <c r="G4392" s="429">
        <v>9.4700000000000006</v>
      </c>
      <c r="H4392" s="303">
        <f t="shared" si="1526"/>
        <v>7.58</v>
      </c>
      <c r="I4392" s="572"/>
      <c r="J4392" s="549" t="s">
        <v>5804</v>
      </c>
      <c r="K4392" s="11"/>
      <c r="N4392" s="108"/>
      <c r="O4392" s="259" t="s">
        <v>1683</v>
      </c>
      <c r="P4392" s="277">
        <v>1.4E-2</v>
      </c>
      <c r="Q4392" s="261">
        <f>IF(P4392&lt;&gt;"",Q4390*(100%-$P4392),"")</f>
        <v>9.4727269516313601</v>
      </c>
    </row>
    <row r="4393" spans="1:24" x14ac:dyDescent="0.35">
      <c r="A4393" s="502" t="s">
        <v>1684</v>
      </c>
      <c r="B4393" s="301" t="str">
        <f>B4392</f>
        <v>Solar</v>
      </c>
      <c r="C4393" s="301" t="str">
        <f t="shared" si="1535"/>
        <v>Inbetriebnahme 02/2014</v>
      </c>
      <c r="D4393" s="301" t="str">
        <f t="shared" ref="D4393:D4398" si="1537">D4392</f>
        <v>Freiflächenanlage 0 - 10 MW</v>
      </c>
      <c r="E4393" s="301"/>
      <c r="F4393" s="368">
        <f t="shared" si="1536"/>
        <v>9.3800000000000008</v>
      </c>
      <c r="G4393" s="429">
        <v>9.3800000000000008</v>
      </c>
      <c r="H4393" s="303">
        <f t="shared" si="1526"/>
        <v>7.5</v>
      </c>
      <c r="I4393" s="572"/>
      <c r="J4393" s="549" t="s">
        <v>5804</v>
      </c>
      <c r="K4393" s="11"/>
      <c r="N4393" s="108"/>
      <c r="O4393" s="266" t="str">
        <f t="shared" ref="O4393:O4398" si="1538">TEXT(DATE(YEAR(DATEVALUE(O4392)),MONTH(DATEVALUE(O4392))+1,1),"MMMJJ")</f>
        <v>Feb14</v>
      </c>
      <c r="P4393" s="277">
        <v>0.01</v>
      </c>
      <c r="Q4393" s="261">
        <f t="shared" ref="Q4393:Q4398" si="1539">IF(P4393&lt;&gt;"",Q4392*(100%-$P4393),"")</f>
        <v>9.3779996821150462</v>
      </c>
    </row>
    <row r="4394" spans="1:24" x14ac:dyDescent="0.35">
      <c r="A4394" s="502" t="s">
        <v>1685</v>
      </c>
      <c r="B4394" s="301" t="str">
        <f>B4393</f>
        <v>Solar</v>
      </c>
      <c r="C4394" s="301" t="str">
        <f t="shared" si="1535"/>
        <v>Inbetriebnahme 03/2014</v>
      </c>
      <c r="D4394" s="301" t="str">
        <f t="shared" si="1537"/>
        <v>Freiflächenanlage 0 - 10 MW</v>
      </c>
      <c r="E4394" s="301"/>
      <c r="F4394" s="368">
        <f t="shared" si="1536"/>
        <v>9.2799999999999994</v>
      </c>
      <c r="G4394" s="429">
        <v>9.2799999999999994</v>
      </c>
      <c r="H4394" s="303">
        <f t="shared" si="1526"/>
        <v>7.42</v>
      </c>
      <c r="I4394" s="572"/>
      <c r="J4394" s="549" t="s">
        <v>5804</v>
      </c>
      <c r="K4394" s="11"/>
      <c r="N4394" s="108"/>
      <c r="O4394" s="266" t="str">
        <f t="shared" si="1538"/>
        <v>Mrz14</v>
      </c>
      <c r="P4394" s="277">
        <v>0.01</v>
      </c>
      <c r="Q4394" s="261">
        <f t="shared" si="1539"/>
        <v>9.2842196852938965</v>
      </c>
    </row>
    <row r="4395" spans="1:24" x14ac:dyDescent="0.35">
      <c r="A4395" s="502" t="s">
        <v>1686</v>
      </c>
      <c r="B4395" s="301" t="s">
        <v>740</v>
      </c>
      <c r="C4395" s="301" t="str">
        <f t="shared" si="1535"/>
        <v>Inbetriebnahme 04/2014</v>
      </c>
      <c r="D4395" s="301" t="str">
        <f t="shared" si="1537"/>
        <v>Freiflächenanlage 0 - 10 MW</v>
      </c>
      <c r="E4395" s="301"/>
      <c r="F4395" s="368">
        <f t="shared" si="1536"/>
        <v>9.19</v>
      </c>
      <c r="G4395" s="429">
        <v>9.19</v>
      </c>
      <c r="H4395" s="303">
        <f t="shared" si="1526"/>
        <v>7.35</v>
      </c>
      <c r="I4395" s="572"/>
      <c r="J4395" s="549" t="s">
        <v>5804</v>
      </c>
      <c r="K4395" s="11"/>
      <c r="M4395" s="92"/>
      <c r="N4395" s="108"/>
      <c r="O4395" s="266" t="str">
        <f t="shared" si="1538"/>
        <v>Apr14</v>
      </c>
      <c r="P4395" s="277">
        <v>0.01</v>
      </c>
      <c r="Q4395" s="261">
        <f t="shared" si="1539"/>
        <v>9.191377488440958</v>
      </c>
    </row>
    <row r="4396" spans="1:24" x14ac:dyDescent="0.35">
      <c r="A4396" s="502" t="s">
        <v>1687</v>
      </c>
      <c r="B4396" s="301" t="str">
        <f>B4395</f>
        <v>Solar</v>
      </c>
      <c r="C4396" s="301" t="str">
        <f t="shared" si="1535"/>
        <v>Inbetriebnahme 05/2014</v>
      </c>
      <c r="D4396" s="301" t="str">
        <f t="shared" si="1537"/>
        <v>Freiflächenanlage 0 - 10 MW</v>
      </c>
      <c r="E4396" s="301"/>
      <c r="F4396" s="368">
        <f t="shared" si="1536"/>
        <v>9.1</v>
      </c>
      <c r="G4396" s="429">
        <v>9.1</v>
      </c>
      <c r="H4396" s="303">
        <f t="shared" si="1526"/>
        <v>7.28</v>
      </c>
      <c r="I4396" s="572"/>
      <c r="J4396" s="549" t="s">
        <v>5804</v>
      </c>
      <c r="K4396" s="11"/>
      <c r="M4396" s="92"/>
      <c r="N4396" s="108"/>
      <c r="O4396" s="266" t="str">
        <f t="shared" si="1538"/>
        <v>Mai14</v>
      </c>
      <c r="P4396" s="277">
        <v>0.01</v>
      </c>
      <c r="Q4396" s="261">
        <f t="shared" si="1539"/>
        <v>9.099463713556549</v>
      </c>
    </row>
    <row r="4397" spans="1:24" x14ac:dyDescent="0.35">
      <c r="A4397" s="502" t="s">
        <v>1688</v>
      </c>
      <c r="B4397" s="301" t="str">
        <f>B4396</f>
        <v>Solar</v>
      </c>
      <c r="C4397" s="301" t="str">
        <f t="shared" si="1535"/>
        <v>Inbetriebnahme 06/2014</v>
      </c>
      <c r="D4397" s="301" t="str">
        <f t="shared" si="1537"/>
        <v>Freiflächenanlage 0 - 10 MW</v>
      </c>
      <c r="E4397" s="301"/>
      <c r="F4397" s="368">
        <f t="shared" si="1536"/>
        <v>9.01</v>
      </c>
      <c r="G4397" s="429">
        <v>9.01</v>
      </c>
      <c r="H4397" s="303">
        <f t="shared" si="1526"/>
        <v>7.21</v>
      </c>
      <c r="I4397" s="572"/>
      <c r="J4397" s="549" t="s">
        <v>5804</v>
      </c>
      <c r="K4397" s="11"/>
      <c r="M4397" s="92"/>
      <c r="N4397" s="108"/>
      <c r="O4397" s="266" t="str">
        <f t="shared" si="1538"/>
        <v>Jun14</v>
      </c>
      <c r="P4397" s="277">
        <v>0.01</v>
      </c>
      <c r="Q4397" s="261">
        <f t="shared" si="1539"/>
        <v>9.0084690764209832</v>
      </c>
    </row>
    <row r="4398" spans="1:24" x14ac:dyDescent="0.35">
      <c r="A4398" s="502" t="s">
        <v>1689</v>
      </c>
      <c r="B4398" s="301" t="str">
        <f>B4397</f>
        <v>Solar</v>
      </c>
      <c r="C4398" s="301" t="str">
        <f t="shared" si="1535"/>
        <v>Inbetriebnahme 07/2014</v>
      </c>
      <c r="D4398" s="301" t="str">
        <f t="shared" si="1537"/>
        <v>Freiflächenanlage 0 - 10 MW</v>
      </c>
      <c r="E4398" s="301"/>
      <c r="F4398" s="368">
        <f t="shared" si="1536"/>
        <v>8.92</v>
      </c>
      <c r="G4398" s="429">
        <v>8.92</v>
      </c>
      <c r="H4398" s="303">
        <f t="shared" si="1526"/>
        <v>7.14</v>
      </c>
      <c r="I4398" s="572"/>
      <c r="J4398" s="549" t="s">
        <v>5804</v>
      </c>
      <c r="L4398" s="215"/>
      <c r="M4398" s="92"/>
      <c r="N4398" s="108"/>
      <c r="O4398" s="266" t="str">
        <f t="shared" si="1538"/>
        <v>Jul14</v>
      </c>
      <c r="P4398" s="277">
        <v>0.01</v>
      </c>
      <c r="Q4398" s="261">
        <f t="shared" si="1539"/>
        <v>8.9183843856567737</v>
      </c>
    </row>
    <row r="4399" spans="1:24" s="207" customFormat="1" ht="20.25" customHeight="1" x14ac:dyDescent="0.35">
      <c r="A4399" s="503"/>
      <c r="B4399" s="1"/>
      <c r="C4399" s="1"/>
      <c r="D4399" s="1"/>
      <c r="E4399" s="1"/>
      <c r="F4399" s="362"/>
      <c r="G4399" s="10"/>
      <c r="H4399" s="10" t="str">
        <f t="shared" si="1526"/>
        <v/>
      </c>
      <c r="I4399" s="566"/>
      <c r="J4399" s="549" t="s">
        <v>4179</v>
      </c>
      <c r="K4399" s="206"/>
      <c r="M4399" s="37"/>
      <c r="N4399" s="29"/>
      <c r="O4399" s="92"/>
      <c r="P4399" s="92"/>
      <c r="Q4399" s="92"/>
      <c r="R4399"/>
      <c r="S4399"/>
      <c r="T4399"/>
      <c r="U4399"/>
      <c r="V4399"/>
      <c r="W4399"/>
      <c r="X4399"/>
    </row>
    <row r="4400" spans="1:24" ht="15.5" x14ac:dyDescent="0.35">
      <c r="A4400" s="504"/>
      <c r="B4400" s="204"/>
      <c r="C4400" s="204"/>
      <c r="D4400" s="204"/>
      <c r="E4400" s="204"/>
      <c r="F4400" s="381"/>
      <c r="G4400" s="205"/>
      <c r="H4400" s="205" t="str">
        <f t="shared" si="1526"/>
        <v/>
      </c>
      <c r="I4400" s="583"/>
      <c r="J4400" s="549" t="s">
        <v>4179</v>
      </c>
      <c r="M4400" s="208" t="s">
        <v>107</v>
      </c>
      <c r="N4400" s="209"/>
      <c r="O4400" s="209"/>
      <c r="P4400" s="207"/>
      <c r="Q4400" s="207"/>
      <c r="R4400" s="207"/>
      <c r="S4400" s="207"/>
      <c r="T4400" s="207"/>
      <c r="U4400" s="207"/>
      <c r="V4400" s="207"/>
      <c r="W4400" s="207"/>
      <c r="X4400" s="207"/>
    </row>
    <row r="4401" spans="1:18" x14ac:dyDescent="0.35">
      <c r="A4401" s="496"/>
      <c r="B4401" s="1"/>
      <c r="C4401" s="1"/>
      <c r="D4401" s="1"/>
      <c r="E4401" s="1"/>
      <c r="F4401" s="362"/>
      <c r="G4401" s="10"/>
      <c r="H4401" s="10" t="str">
        <f t="shared" si="1526"/>
        <v/>
      </c>
      <c r="I4401" s="566"/>
      <c r="J4401" s="549" t="s">
        <v>4179</v>
      </c>
      <c r="N4401" s="109" t="s">
        <v>3901</v>
      </c>
      <c r="O4401" s="29" t="s">
        <v>5489</v>
      </c>
      <c r="P4401" t="s">
        <v>49</v>
      </c>
      <c r="Q4401" t="s">
        <v>50</v>
      </c>
    </row>
    <row r="4402" spans="1:18" x14ac:dyDescent="0.35">
      <c r="A4402" s="495" t="s">
        <v>111</v>
      </c>
      <c r="B4402" s="356" t="s">
        <v>740</v>
      </c>
      <c r="C4402" s="356" t="s">
        <v>108</v>
      </c>
      <c r="D4402" s="356" t="s">
        <v>3903</v>
      </c>
      <c r="E4402" s="357"/>
      <c r="F4402" s="369">
        <f>IF($O4402&lt;&gt;"",ROUND(Q4402,2),"")</f>
        <v>8.83</v>
      </c>
      <c r="G4402" s="369">
        <f>IF($O4402&lt;&gt;"",ROUND(P4402,2),"")</f>
        <v>9.23</v>
      </c>
      <c r="H4402" s="357">
        <f t="shared" si="1526"/>
        <v>7.38</v>
      </c>
      <c r="I4402" s="573"/>
      <c r="J4402" s="549" t="s">
        <v>5804</v>
      </c>
      <c r="M4402" s="101">
        <v>2014</v>
      </c>
      <c r="N4402" s="101" t="s">
        <v>114</v>
      </c>
      <c r="O4402" s="322" t="s">
        <v>123</v>
      </c>
      <c r="P4402" s="261">
        <v>9.23</v>
      </c>
      <c r="Q4402" s="261">
        <f>P4402-0.4</f>
        <v>8.83</v>
      </c>
      <c r="R4402" s="261"/>
    </row>
    <row r="4403" spans="1:18" x14ac:dyDescent="0.35">
      <c r="A4403" s="495" t="s">
        <v>112</v>
      </c>
      <c r="B4403" s="356" t="s">
        <v>740</v>
      </c>
      <c r="C4403" s="356" t="s">
        <v>109</v>
      </c>
      <c r="D4403" s="356" t="s">
        <v>3903</v>
      </c>
      <c r="E4403" s="357"/>
      <c r="F4403" s="369">
        <f>IF($O4403&lt;&gt;"",ROUND(Q4403,2),"")</f>
        <v>8.7899999999999991</v>
      </c>
      <c r="G4403" s="369">
        <f>IF($O4403&lt;&gt;"",ROUND(P4403,2),"")</f>
        <v>9.18</v>
      </c>
      <c r="H4403" s="357">
        <f t="shared" si="1526"/>
        <v>7.34</v>
      </c>
      <c r="I4403" s="573"/>
      <c r="J4403" s="549" t="s">
        <v>5804</v>
      </c>
      <c r="N4403" t="s">
        <v>115</v>
      </c>
      <c r="O4403" s="461">
        <v>5.0000000000000001E-3</v>
      </c>
      <c r="P4403" s="261">
        <f t="shared" ref="P4403:Q4406" si="1540">IF($O4403&lt;&gt;"",(1-$O4403)*P4402,"")</f>
        <v>9.1838499999999996</v>
      </c>
      <c r="Q4403" s="261">
        <f t="shared" si="1540"/>
        <v>8.7858499999999999</v>
      </c>
      <c r="R4403" s="261"/>
    </row>
    <row r="4404" spans="1:18" x14ac:dyDescent="0.35">
      <c r="A4404" s="495" t="s">
        <v>113</v>
      </c>
      <c r="B4404" s="356" t="s">
        <v>740</v>
      </c>
      <c r="C4404" s="356" t="s">
        <v>110</v>
      </c>
      <c r="D4404" s="356" t="s">
        <v>3903</v>
      </c>
      <c r="E4404" s="357"/>
      <c r="F4404" s="369">
        <f>IF($O4404&lt;&gt;"",ROUND(Q4404,2),"")</f>
        <v>8.76</v>
      </c>
      <c r="G4404" s="369">
        <f>IF($O4404&lt;&gt;"",ROUND(P4404,2),"")</f>
        <v>9.16</v>
      </c>
      <c r="H4404" s="357">
        <f t="shared" si="1526"/>
        <v>7.33</v>
      </c>
      <c r="I4404" s="573"/>
      <c r="J4404" s="549" t="s">
        <v>5804</v>
      </c>
      <c r="N4404" t="s">
        <v>116</v>
      </c>
      <c r="O4404" s="461">
        <v>2.5000000000000001E-3</v>
      </c>
      <c r="P4404" s="261">
        <f t="shared" si="1540"/>
        <v>9.1608903749999993</v>
      </c>
      <c r="Q4404" s="261">
        <f t="shared" si="1540"/>
        <v>8.763885375000001</v>
      </c>
      <c r="R4404" s="261"/>
    </row>
    <row r="4405" spans="1:18" x14ac:dyDescent="0.35">
      <c r="A4405" s="495" t="s">
        <v>119</v>
      </c>
      <c r="B4405" s="356" t="s">
        <v>740</v>
      </c>
      <c r="C4405" s="356" t="s">
        <v>117</v>
      </c>
      <c r="D4405" s="356" t="s">
        <v>3903</v>
      </c>
      <c r="E4405" s="357"/>
      <c r="F4405" s="369">
        <f>IF($O4405&lt;&gt;"",ROUND(Q4405,2),"")</f>
        <v>8.74</v>
      </c>
      <c r="G4405" s="369">
        <f>IF($O4405&lt;&gt;"",ROUND(P4405,2),"")</f>
        <v>9.14</v>
      </c>
      <c r="H4405" s="357">
        <f t="shared" si="1526"/>
        <v>7.31</v>
      </c>
      <c r="I4405" s="573"/>
      <c r="J4405" s="549" t="s">
        <v>5804</v>
      </c>
      <c r="N4405" t="s">
        <v>121</v>
      </c>
      <c r="O4405" s="461">
        <v>2.5000000000000001E-3</v>
      </c>
      <c r="P4405" s="261">
        <f t="shared" si="1540"/>
        <v>9.1379881490624992</v>
      </c>
      <c r="Q4405" s="261">
        <f t="shared" si="1540"/>
        <v>8.7419756615625008</v>
      </c>
      <c r="R4405" s="261"/>
    </row>
    <row r="4406" spans="1:18" x14ac:dyDescent="0.35">
      <c r="A4406" s="495" t="s">
        <v>120</v>
      </c>
      <c r="B4406" s="356" t="s">
        <v>740</v>
      </c>
      <c r="C4406" s="356" t="s">
        <v>118</v>
      </c>
      <c r="D4406" s="356" t="s">
        <v>3903</v>
      </c>
      <c r="E4406" s="357"/>
      <c r="F4406" s="369">
        <f>IF($O4406&lt;&gt;"",ROUND(Q4406,2),"")</f>
        <v>8.7200000000000006</v>
      </c>
      <c r="G4406" s="369">
        <f>IF($O4406&lt;&gt;"",ROUND(P4406,2),"")</f>
        <v>9.1199999999999992</v>
      </c>
      <c r="H4406" s="357">
        <f t="shared" si="1526"/>
        <v>7.3</v>
      </c>
      <c r="I4406" s="573"/>
      <c r="J4406" s="549" t="s">
        <v>5804</v>
      </c>
      <c r="N4406" t="s">
        <v>122</v>
      </c>
      <c r="O4406" s="461">
        <v>2.5000000000000001E-3</v>
      </c>
      <c r="P4406" s="261">
        <f t="shared" si="1540"/>
        <v>9.1151431786898431</v>
      </c>
      <c r="Q4406" s="261">
        <f t="shared" si="1540"/>
        <v>8.7201207224085948</v>
      </c>
      <c r="R4406" s="261"/>
    </row>
    <row r="4407" spans="1:18" x14ac:dyDescent="0.35">
      <c r="A4407" s="496"/>
      <c r="B4407" s="1"/>
      <c r="C4407" s="1"/>
      <c r="D4407" s="1"/>
      <c r="E4407" s="1"/>
      <c r="F4407" s="362"/>
      <c r="G4407" s="10"/>
      <c r="H4407" s="10" t="str">
        <f t="shared" si="1526"/>
        <v/>
      </c>
      <c r="I4407" s="566"/>
      <c r="J4407" s="549" t="s">
        <v>4179</v>
      </c>
      <c r="N4407" s="109" t="s">
        <v>3901</v>
      </c>
      <c r="O4407" s="29" t="s">
        <v>5489</v>
      </c>
      <c r="P4407" t="s">
        <v>49</v>
      </c>
      <c r="Q4407" t="s">
        <v>50</v>
      </c>
    </row>
    <row r="4408" spans="1:18" x14ac:dyDescent="0.35">
      <c r="A4408" s="495" t="s">
        <v>361</v>
      </c>
      <c r="B4408" s="356" t="s">
        <v>740</v>
      </c>
      <c r="C4408" s="356" t="s">
        <v>363</v>
      </c>
      <c r="D4408" s="356" t="s">
        <v>3903</v>
      </c>
      <c r="E4408" s="357"/>
      <c r="F4408" s="369">
        <f t="shared" ref="F4408:F4419" si="1541">IF($O4408&lt;&gt;"",ROUND(Q4408,2),"")</f>
        <v>8.6999999999999993</v>
      </c>
      <c r="G4408" s="369">
        <f t="shared" ref="G4408:G4419" si="1542">IF($O4408&lt;&gt;"",ROUND(P4408,2),"")</f>
        <v>9.09</v>
      </c>
      <c r="H4408" s="357">
        <f t="shared" si="1526"/>
        <v>7.27</v>
      </c>
      <c r="I4408" s="573"/>
      <c r="J4408" s="549" t="s">
        <v>5804</v>
      </c>
      <c r="M4408" s="101">
        <v>2015</v>
      </c>
      <c r="N4408" s="463" t="s">
        <v>353</v>
      </c>
      <c r="O4408" s="461">
        <v>2.5000000000000001E-3</v>
      </c>
      <c r="P4408" s="11">
        <f>IF($O4408&lt;&gt;"",P4406*(100%-$O4408),"")</f>
        <v>9.0923553207431187</v>
      </c>
      <c r="Q4408" s="261">
        <f>IF($O4408&lt;&gt;"",(1-$O4408)*Q4406,"")</f>
        <v>8.6983204206025739</v>
      </c>
      <c r="R4408" s="261"/>
    </row>
    <row r="4409" spans="1:18" x14ac:dyDescent="0.35">
      <c r="A4409" s="495" t="s">
        <v>362</v>
      </c>
      <c r="B4409" s="356" t="s">
        <v>740</v>
      </c>
      <c r="C4409" s="356" t="s">
        <v>364</v>
      </c>
      <c r="D4409" s="356" t="s">
        <v>3903</v>
      </c>
      <c r="E4409" s="357"/>
      <c r="F4409" s="369">
        <f t="shared" si="1541"/>
        <v>8.68</v>
      </c>
      <c r="G4409" s="369">
        <f t="shared" si="1542"/>
        <v>9.07</v>
      </c>
      <c r="H4409" s="357">
        <f t="shared" si="1526"/>
        <v>7.26</v>
      </c>
      <c r="I4409" s="573"/>
      <c r="J4409" s="549" t="s">
        <v>5804</v>
      </c>
      <c r="M4409" s="339"/>
      <c r="N4409" s="266" t="str">
        <f t="shared" ref="N4409:N4419" si="1543">TEXT(DATE(YEAR(DATEVALUE(N4408)),MONTH(DATEVALUE(N4408))+1,1),"MMMJJ")</f>
        <v>Feb15</v>
      </c>
      <c r="O4409" s="461">
        <v>2.5000000000000001E-3</v>
      </c>
      <c r="P4409" s="11">
        <f t="shared" ref="P4409:P4419" si="1544">IF($O4409&lt;&gt;"",P4408*(100%-$O4409),"")</f>
        <v>9.0696244324412607</v>
      </c>
      <c r="Q4409" s="261">
        <f t="shared" ref="Q4409:Q4419" si="1545">IF($O4409&lt;&gt;"",(1-$O4409)*Q4408,"")</f>
        <v>8.6765746195510687</v>
      </c>
      <c r="R4409" s="261"/>
    </row>
    <row r="4410" spans="1:18" x14ac:dyDescent="0.35">
      <c r="A4410" s="495" t="s">
        <v>370</v>
      </c>
      <c r="B4410" s="356" t="s">
        <v>740</v>
      </c>
      <c r="C4410" s="356" t="s">
        <v>365</v>
      </c>
      <c r="D4410" s="356" t="s">
        <v>3903</v>
      </c>
      <c r="E4410" s="357"/>
      <c r="F4410" s="369">
        <f t="shared" si="1541"/>
        <v>8.65</v>
      </c>
      <c r="G4410" s="369">
        <f t="shared" si="1542"/>
        <v>9.0500000000000007</v>
      </c>
      <c r="H4410" s="357">
        <f t="shared" si="1526"/>
        <v>7.24</v>
      </c>
      <c r="I4410" s="573"/>
      <c r="J4410" s="549" t="s">
        <v>5804</v>
      </c>
      <c r="M4410" s="339"/>
      <c r="N4410" s="266" t="str">
        <f t="shared" si="1543"/>
        <v>Mrz15</v>
      </c>
      <c r="O4410" s="461">
        <v>2.5000000000000001E-3</v>
      </c>
      <c r="P4410" s="11">
        <f t="shared" si="1544"/>
        <v>9.0469503713601576</v>
      </c>
      <c r="Q4410" s="261">
        <f t="shared" si="1545"/>
        <v>8.6548831830021911</v>
      </c>
      <c r="R4410" s="261"/>
    </row>
    <row r="4411" spans="1:18" x14ac:dyDescent="0.35">
      <c r="A4411" s="495" t="s">
        <v>371</v>
      </c>
      <c r="B4411" s="356" t="s">
        <v>740</v>
      </c>
      <c r="C4411" s="356" t="s">
        <v>366</v>
      </c>
      <c r="D4411" s="356" t="s">
        <v>3903</v>
      </c>
      <c r="E4411" s="357"/>
      <c r="F4411" s="369">
        <f t="shared" si="1541"/>
        <v>8.6300000000000008</v>
      </c>
      <c r="G4411" s="369">
        <f t="shared" si="1542"/>
        <v>9.02</v>
      </c>
      <c r="H4411" s="357">
        <f t="shared" si="1526"/>
        <v>7.22</v>
      </c>
      <c r="I4411" s="573"/>
      <c r="J4411" s="549" t="s">
        <v>5804</v>
      </c>
      <c r="M4411" s="339"/>
      <c r="N4411" s="266" t="str">
        <f t="shared" si="1543"/>
        <v>Apr15</v>
      </c>
      <c r="O4411" s="461">
        <v>2.5000000000000001E-3</v>
      </c>
      <c r="P4411" s="11">
        <f t="shared" si="1544"/>
        <v>9.0243329954317577</v>
      </c>
      <c r="Q4411" s="261">
        <f t="shared" si="1545"/>
        <v>8.6332459750446855</v>
      </c>
      <c r="R4411" s="261"/>
    </row>
    <row r="4412" spans="1:18" x14ac:dyDescent="0.35">
      <c r="A4412" s="495" t="s">
        <v>372</v>
      </c>
      <c r="B4412" s="356" t="s">
        <v>740</v>
      </c>
      <c r="C4412" s="356" t="s">
        <v>367</v>
      </c>
      <c r="D4412" s="356" t="s">
        <v>3903</v>
      </c>
      <c r="E4412" s="357"/>
      <c r="F4412" s="369">
        <f t="shared" si="1541"/>
        <v>8.61</v>
      </c>
      <c r="G4412" s="369">
        <f t="shared" si="1542"/>
        <v>9</v>
      </c>
      <c r="H4412" s="357">
        <f t="shared" si="1526"/>
        <v>7.2</v>
      </c>
      <c r="I4412" s="573"/>
      <c r="J4412" s="549" t="s">
        <v>5804</v>
      </c>
      <c r="M4412" s="339"/>
      <c r="N4412" s="266" t="str">
        <f t="shared" si="1543"/>
        <v>Mai15</v>
      </c>
      <c r="O4412" s="461">
        <v>2.5000000000000001E-3</v>
      </c>
      <c r="P4412" s="11">
        <f t="shared" si="1544"/>
        <v>9.0017721629431779</v>
      </c>
      <c r="Q4412" s="261">
        <f t="shared" si="1545"/>
        <v>8.6116628601070744</v>
      </c>
      <c r="R4412" s="261"/>
    </row>
    <row r="4413" spans="1:18" x14ac:dyDescent="0.35">
      <c r="A4413" s="495" t="s">
        <v>373</v>
      </c>
      <c r="B4413" s="356" t="s">
        <v>740</v>
      </c>
      <c r="C4413" s="356" t="s">
        <v>368</v>
      </c>
      <c r="D4413" s="356" t="s">
        <v>3903</v>
      </c>
      <c r="E4413" s="357"/>
      <c r="F4413" s="369">
        <f t="shared" si="1541"/>
        <v>8.59</v>
      </c>
      <c r="G4413" s="369">
        <f t="shared" si="1542"/>
        <v>8.98</v>
      </c>
      <c r="H4413" s="357">
        <f t="shared" si="1526"/>
        <v>7.18</v>
      </c>
      <c r="I4413" s="573"/>
      <c r="J4413" s="549" t="s">
        <v>5804</v>
      </c>
      <c r="M4413" s="339"/>
      <c r="N4413" s="266" t="str">
        <f t="shared" si="1543"/>
        <v>Jun15</v>
      </c>
      <c r="O4413" s="461">
        <v>2.5000000000000001E-3</v>
      </c>
      <c r="P4413" s="11">
        <f t="shared" si="1544"/>
        <v>8.9792677325358206</v>
      </c>
      <c r="Q4413" s="261">
        <f t="shared" si="1545"/>
        <v>8.5901337029568072</v>
      </c>
      <c r="R4413" s="261"/>
    </row>
    <row r="4414" spans="1:18" x14ac:dyDescent="0.35">
      <c r="A4414" s="495" t="s">
        <v>374</v>
      </c>
      <c r="B4414" s="356" t="s">
        <v>740</v>
      </c>
      <c r="C4414" s="356" t="s">
        <v>369</v>
      </c>
      <c r="D4414" s="356" t="s">
        <v>3903</v>
      </c>
      <c r="E4414" s="357"/>
      <c r="F4414" s="369">
        <f t="shared" si="1541"/>
        <v>8.57</v>
      </c>
      <c r="G4414" s="369">
        <f t="shared" si="1542"/>
        <v>8.9600000000000009</v>
      </c>
      <c r="H4414" s="357">
        <f t="shared" si="1526"/>
        <v>7.17</v>
      </c>
      <c r="I4414" s="573"/>
      <c r="J4414" s="549" t="s">
        <v>5804</v>
      </c>
      <c r="M4414" s="339"/>
      <c r="N4414" s="266" t="str">
        <f t="shared" si="1543"/>
        <v>Jul15</v>
      </c>
      <c r="O4414" s="461">
        <v>2.5000000000000001E-3</v>
      </c>
      <c r="P4414" s="11">
        <f t="shared" si="1544"/>
        <v>8.9568195632044816</v>
      </c>
      <c r="Q4414" s="261">
        <f t="shared" si="1545"/>
        <v>8.5686583686994151</v>
      </c>
      <c r="R4414" s="261"/>
    </row>
    <row r="4415" spans="1:18" x14ac:dyDescent="0.35">
      <c r="A4415" s="495" t="s">
        <v>375</v>
      </c>
      <c r="B4415" s="356" t="s">
        <v>740</v>
      </c>
      <c r="C4415" s="356" t="s">
        <v>344</v>
      </c>
      <c r="D4415" s="356" t="s">
        <v>3903</v>
      </c>
      <c r="E4415" s="357"/>
      <c r="F4415" s="369">
        <f t="shared" si="1541"/>
        <v>8.5500000000000007</v>
      </c>
      <c r="G4415" s="369">
        <f t="shared" si="1542"/>
        <v>8.93</v>
      </c>
      <c r="H4415" s="357">
        <f t="shared" si="1526"/>
        <v>7.14</v>
      </c>
      <c r="I4415" s="573"/>
      <c r="J4415" s="549" t="s">
        <v>5804</v>
      </c>
      <c r="M4415" s="101"/>
      <c r="N4415" s="266" t="str">
        <f t="shared" si="1543"/>
        <v>Aug15</v>
      </c>
      <c r="O4415" s="461">
        <v>2.5000000000000001E-3</v>
      </c>
      <c r="P4415" s="11">
        <f t="shared" si="1544"/>
        <v>8.9344275142964715</v>
      </c>
      <c r="Q4415" s="261">
        <f t="shared" si="1545"/>
        <v>8.5472367227776669</v>
      </c>
      <c r="R4415" s="261"/>
    </row>
    <row r="4416" spans="1:18" x14ac:dyDescent="0.35">
      <c r="A4416" s="495" t="s">
        <v>376</v>
      </c>
      <c r="B4416" s="356" t="s">
        <v>740</v>
      </c>
      <c r="C4416" s="356" t="s">
        <v>346</v>
      </c>
      <c r="D4416" s="356" t="s">
        <v>5625</v>
      </c>
      <c r="E4416" s="357"/>
      <c r="F4416" s="369">
        <f t="shared" si="1541"/>
        <v>8.5299999999999994</v>
      </c>
      <c r="G4416" s="369">
        <f t="shared" si="1542"/>
        <v>8.91</v>
      </c>
      <c r="H4416" s="357">
        <f t="shared" si="1526"/>
        <v>7.13</v>
      </c>
      <c r="I4416" s="573"/>
      <c r="J4416" s="549" t="s">
        <v>5804</v>
      </c>
      <c r="N4416" s="266" t="str">
        <f t="shared" si="1543"/>
        <v>Sep15</v>
      </c>
      <c r="O4416" s="461">
        <v>2.5000000000000001E-3</v>
      </c>
      <c r="P4416" s="11">
        <f t="shared" si="1544"/>
        <v>8.9120914455107307</v>
      </c>
      <c r="Q4416" s="261">
        <f t="shared" si="1545"/>
        <v>8.5258686309707237</v>
      </c>
      <c r="R4416" s="261"/>
    </row>
    <row r="4417" spans="1:18" x14ac:dyDescent="0.35">
      <c r="A4417" s="495" t="s">
        <v>377</v>
      </c>
      <c r="B4417" s="356" t="s">
        <v>740</v>
      </c>
      <c r="C4417" s="356" t="s">
        <v>348</v>
      </c>
      <c r="D4417" s="356" t="s">
        <v>5625</v>
      </c>
      <c r="E4417" s="357"/>
      <c r="F4417" s="369">
        <f t="shared" si="1541"/>
        <v>8.5299999999999994</v>
      </c>
      <c r="G4417" s="369">
        <f t="shared" si="1542"/>
        <v>8.91</v>
      </c>
      <c r="H4417" s="357">
        <f t="shared" si="1526"/>
        <v>7.13</v>
      </c>
      <c r="I4417" s="573"/>
      <c r="J4417" s="549" t="s">
        <v>5804</v>
      </c>
      <c r="N4417" s="266" t="str">
        <f t="shared" si="1543"/>
        <v>Okt15</v>
      </c>
      <c r="O4417" s="461">
        <v>0</v>
      </c>
      <c r="P4417" s="11">
        <f t="shared" si="1544"/>
        <v>8.9120914455107307</v>
      </c>
      <c r="Q4417" s="261">
        <f t="shared" si="1545"/>
        <v>8.5258686309707237</v>
      </c>
      <c r="R4417" s="261"/>
    </row>
    <row r="4418" spans="1:18" x14ac:dyDescent="0.35">
      <c r="A4418" s="495" t="s">
        <v>378</v>
      </c>
      <c r="B4418" s="356" t="s">
        <v>740</v>
      </c>
      <c r="C4418" s="356" t="s">
        <v>350</v>
      </c>
      <c r="D4418" s="356" t="s">
        <v>5625</v>
      </c>
      <c r="E4418" s="357"/>
      <c r="F4418" s="369">
        <f t="shared" si="1541"/>
        <v>8.5299999999999994</v>
      </c>
      <c r="G4418" s="369">
        <f t="shared" si="1542"/>
        <v>8.91</v>
      </c>
      <c r="H4418" s="357">
        <f t="shared" si="1526"/>
        <v>7.13</v>
      </c>
      <c r="I4418" s="573"/>
      <c r="J4418" s="549" t="s">
        <v>5804</v>
      </c>
      <c r="N4418" s="266" t="str">
        <f t="shared" si="1543"/>
        <v>Nov15</v>
      </c>
      <c r="O4418" s="461">
        <v>0</v>
      </c>
      <c r="P4418" s="11">
        <f t="shared" si="1544"/>
        <v>8.9120914455107307</v>
      </c>
      <c r="Q4418" s="261">
        <f t="shared" si="1545"/>
        <v>8.5258686309707237</v>
      </c>
      <c r="R4418" s="261"/>
    </row>
    <row r="4419" spans="1:18" x14ac:dyDescent="0.35">
      <c r="A4419" s="495" t="s">
        <v>379</v>
      </c>
      <c r="B4419" s="356" t="s">
        <v>740</v>
      </c>
      <c r="C4419" s="356" t="s">
        <v>352</v>
      </c>
      <c r="D4419" s="356" t="s">
        <v>5625</v>
      </c>
      <c r="E4419" s="357"/>
      <c r="F4419" s="369">
        <f t="shared" si="1541"/>
        <v>8.5299999999999994</v>
      </c>
      <c r="G4419" s="369">
        <f t="shared" si="1542"/>
        <v>8.91</v>
      </c>
      <c r="H4419" s="357">
        <f t="shared" si="1526"/>
        <v>7.13</v>
      </c>
      <c r="I4419" s="573"/>
      <c r="J4419" s="549" t="s">
        <v>5804</v>
      </c>
      <c r="N4419" s="266" t="str">
        <f t="shared" si="1543"/>
        <v>Dez15</v>
      </c>
      <c r="O4419" s="461">
        <v>0</v>
      </c>
      <c r="P4419" s="11">
        <f t="shared" si="1544"/>
        <v>8.9120914455107307</v>
      </c>
      <c r="Q4419" s="261">
        <f t="shared" si="1545"/>
        <v>8.5258686309707237</v>
      </c>
      <c r="R4419" s="261"/>
    </row>
    <row r="4420" spans="1:18" x14ac:dyDescent="0.35">
      <c r="A4420" s="496"/>
      <c r="B4420" s="1"/>
      <c r="C4420" s="1"/>
      <c r="D4420" s="1"/>
      <c r="E4420" s="1"/>
      <c r="F4420" s="362"/>
      <c r="G4420" s="10"/>
      <c r="H4420" s="10" t="str">
        <f t="shared" si="1526"/>
        <v/>
      </c>
      <c r="I4420" s="566"/>
      <c r="J4420" s="549" t="s">
        <v>4179</v>
      </c>
      <c r="N4420" s="109" t="s">
        <v>3901</v>
      </c>
      <c r="O4420" s="29" t="s">
        <v>5489</v>
      </c>
      <c r="P4420" s="11" t="s">
        <v>49</v>
      </c>
      <c r="Q4420" t="s">
        <v>50</v>
      </c>
    </row>
    <row r="4421" spans="1:18" x14ac:dyDescent="0.35">
      <c r="A4421" s="495" t="s">
        <v>5733</v>
      </c>
      <c r="B4421" s="356" t="s">
        <v>740</v>
      </c>
      <c r="C4421" s="356" t="s">
        <v>5734</v>
      </c>
      <c r="D4421" s="356" t="s">
        <v>5625</v>
      </c>
      <c r="E4421" s="357"/>
      <c r="F4421" s="369">
        <f t="shared" ref="F4421:F4432" si="1546">IF($O4421&lt;&gt;"",ROUND(Q4421,2),"")</f>
        <v>8.5299999999999994</v>
      </c>
      <c r="G4421" s="369">
        <f t="shared" ref="G4421:G4432" si="1547">IF($O4421&lt;&gt;"",ROUND(P4421,2),"")</f>
        <v>8.91</v>
      </c>
      <c r="H4421" s="357">
        <f t="shared" si="1526"/>
        <v>7.13</v>
      </c>
      <c r="I4421" s="573"/>
      <c r="J4421" s="549" t="s">
        <v>5804</v>
      </c>
      <c r="M4421" s="101">
        <v>2016</v>
      </c>
      <c r="N4421" s="463" t="s">
        <v>5720</v>
      </c>
      <c r="O4421" s="461">
        <v>0</v>
      </c>
      <c r="P4421" s="11">
        <f>IF($O4421&lt;&gt;"",P4419*(100%-$O4421),"")</f>
        <v>8.9120914455107307</v>
      </c>
      <c r="Q4421" s="261">
        <f>IF($O4421&lt;&gt;"",(1-$O4421)*Q4419,"")</f>
        <v>8.5258686309707237</v>
      </c>
      <c r="R4421" s="261"/>
    </row>
    <row r="4422" spans="1:18" x14ac:dyDescent="0.35">
      <c r="A4422" s="495" t="s">
        <v>5735</v>
      </c>
      <c r="B4422" s="356" t="s">
        <v>740</v>
      </c>
      <c r="C4422" s="356" t="s">
        <v>5736</v>
      </c>
      <c r="D4422" s="356" t="s">
        <v>5625</v>
      </c>
      <c r="E4422" s="357"/>
      <c r="F4422" s="369">
        <f t="shared" si="1546"/>
        <v>8.5299999999999994</v>
      </c>
      <c r="G4422" s="369">
        <f t="shared" si="1547"/>
        <v>8.91</v>
      </c>
      <c r="H4422" s="357">
        <f t="shared" si="1526"/>
        <v>7.13</v>
      </c>
      <c r="I4422" s="573"/>
      <c r="J4422" s="549" t="s">
        <v>5804</v>
      </c>
      <c r="M4422" s="339"/>
      <c r="N4422" s="266" t="str">
        <f t="shared" ref="N4422:N4432" si="1548">TEXT(DATE(YEAR(DATEVALUE(N4421)),MONTH(DATEVALUE(N4421))+1,1),"MMMJJ")</f>
        <v>Feb16</v>
      </c>
      <c r="O4422" s="461">
        <v>0</v>
      </c>
      <c r="P4422" s="11">
        <f t="shared" ref="P4422:P4432" si="1549">IF($O4422&lt;&gt;"",P4421*(100%-$O4422),"")</f>
        <v>8.9120914455107307</v>
      </c>
      <c r="Q4422" s="261">
        <f t="shared" ref="Q4422:Q4432" si="1550">IF($O4422&lt;&gt;"",(1-$O4422)*Q4421,"")</f>
        <v>8.5258686309707237</v>
      </c>
      <c r="R4422" s="261"/>
    </row>
    <row r="4423" spans="1:18" x14ac:dyDescent="0.35">
      <c r="A4423" s="495" t="s">
        <v>5737</v>
      </c>
      <c r="B4423" s="356" t="s">
        <v>740</v>
      </c>
      <c r="C4423" s="356" t="s">
        <v>5738</v>
      </c>
      <c r="D4423" s="356" t="s">
        <v>5625</v>
      </c>
      <c r="E4423" s="357"/>
      <c r="F4423" s="369">
        <f t="shared" si="1546"/>
        <v>8.5299999999999994</v>
      </c>
      <c r="G4423" s="369">
        <f t="shared" si="1547"/>
        <v>8.91</v>
      </c>
      <c r="H4423" s="357">
        <f t="shared" si="1526"/>
        <v>7.13</v>
      </c>
      <c r="I4423" s="573"/>
      <c r="J4423" s="549" t="s">
        <v>5804</v>
      </c>
      <c r="M4423" s="339"/>
      <c r="N4423" s="266" t="str">
        <f t="shared" si="1548"/>
        <v>Mrz16</v>
      </c>
      <c r="O4423" s="461">
        <v>0</v>
      </c>
      <c r="P4423" s="11">
        <f t="shared" si="1549"/>
        <v>8.9120914455107307</v>
      </c>
      <c r="Q4423" s="261">
        <f t="shared" si="1550"/>
        <v>8.5258686309707237</v>
      </c>
      <c r="R4423" s="261"/>
    </row>
    <row r="4424" spans="1:18" x14ac:dyDescent="0.35">
      <c r="A4424" s="495" t="s">
        <v>5739</v>
      </c>
      <c r="B4424" s="356" t="s">
        <v>740</v>
      </c>
      <c r="C4424" s="356" t="s">
        <v>5740</v>
      </c>
      <c r="D4424" s="356" t="s">
        <v>5625</v>
      </c>
      <c r="E4424" s="357"/>
      <c r="F4424" s="369">
        <f t="shared" si="1546"/>
        <v>8.5299999999999994</v>
      </c>
      <c r="G4424" s="369">
        <f t="shared" si="1547"/>
        <v>8.91</v>
      </c>
      <c r="H4424" s="357">
        <f t="shared" si="1526"/>
        <v>7.13</v>
      </c>
      <c r="I4424" s="573"/>
      <c r="J4424" s="549" t="s">
        <v>5804</v>
      </c>
      <c r="M4424" s="339"/>
      <c r="N4424" s="266" t="str">
        <f t="shared" si="1548"/>
        <v>Apr16</v>
      </c>
      <c r="O4424" s="461">
        <v>0</v>
      </c>
      <c r="P4424" s="11">
        <f t="shared" si="1549"/>
        <v>8.9120914455107307</v>
      </c>
      <c r="Q4424" s="261">
        <f t="shared" si="1550"/>
        <v>8.5258686309707237</v>
      </c>
      <c r="R4424" s="261"/>
    </row>
    <row r="4425" spans="1:18" x14ac:dyDescent="0.35">
      <c r="A4425" s="495" t="s">
        <v>5741</v>
      </c>
      <c r="B4425" s="356" t="s">
        <v>740</v>
      </c>
      <c r="C4425" s="356" t="s">
        <v>5742</v>
      </c>
      <c r="D4425" s="356" t="s">
        <v>5625</v>
      </c>
      <c r="E4425" s="357"/>
      <c r="F4425" s="369">
        <f t="shared" si="1546"/>
        <v>8.5299999999999994</v>
      </c>
      <c r="G4425" s="369">
        <f t="shared" si="1547"/>
        <v>8.91</v>
      </c>
      <c r="H4425" s="357">
        <f t="shared" si="1526"/>
        <v>7.13</v>
      </c>
      <c r="I4425" s="573"/>
      <c r="J4425" s="549" t="s">
        <v>5804</v>
      </c>
      <c r="M4425" s="339"/>
      <c r="N4425" s="266" t="str">
        <f t="shared" si="1548"/>
        <v>Mai16</v>
      </c>
      <c r="O4425" s="461">
        <v>0</v>
      </c>
      <c r="P4425" s="11">
        <f t="shared" si="1549"/>
        <v>8.9120914455107307</v>
      </c>
      <c r="Q4425" s="261">
        <f t="shared" si="1550"/>
        <v>8.5258686309707237</v>
      </c>
      <c r="R4425" s="261"/>
    </row>
    <row r="4426" spans="1:18" x14ac:dyDescent="0.35">
      <c r="A4426" s="495" t="s">
        <v>5743</v>
      </c>
      <c r="B4426" s="356" t="s">
        <v>740</v>
      </c>
      <c r="C4426" s="356" t="s">
        <v>5744</v>
      </c>
      <c r="D4426" s="356" t="s">
        <v>5625</v>
      </c>
      <c r="E4426" s="357"/>
      <c r="F4426" s="369">
        <f t="shared" si="1546"/>
        <v>8.5299999999999994</v>
      </c>
      <c r="G4426" s="369">
        <f t="shared" si="1547"/>
        <v>8.91</v>
      </c>
      <c r="H4426" s="357">
        <f t="shared" si="1526"/>
        <v>7.13</v>
      </c>
      <c r="I4426" s="573"/>
      <c r="J4426" s="549" t="s">
        <v>5804</v>
      </c>
      <c r="M4426" s="339"/>
      <c r="N4426" s="266" t="str">
        <f t="shared" si="1548"/>
        <v>Jun16</v>
      </c>
      <c r="O4426" s="461">
        <v>0</v>
      </c>
      <c r="P4426" s="11">
        <f t="shared" si="1549"/>
        <v>8.9120914455107307</v>
      </c>
      <c r="Q4426" s="261">
        <f t="shared" si="1550"/>
        <v>8.5258686309707237</v>
      </c>
      <c r="R4426" s="261"/>
    </row>
    <row r="4427" spans="1:18" x14ac:dyDescent="0.35">
      <c r="A4427" s="495" t="s">
        <v>5745</v>
      </c>
      <c r="B4427" s="356" t="s">
        <v>740</v>
      </c>
      <c r="C4427" s="356" t="s">
        <v>5746</v>
      </c>
      <c r="D4427" s="356" t="s">
        <v>5625</v>
      </c>
      <c r="E4427" s="357"/>
      <c r="F4427" s="369">
        <f t="shared" si="1546"/>
        <v>8.5299999999999994</v>
      </c>
      <c r="G4427" s="369">
        <f t="shared" si="1547"/>
        <v>8.91</v>
      </c>
      <c r="H4427" s="357">
        <f t="shared" si="1526"/>
        <v>7.13</v>
      </c>
      <c r="I4427" s="573"/>
      <c r="J4427" s="549" t="s">
        <v>5804</v>
      </c>
      <c r="M4427" s="339"/>
      <c r="N4427" s="266" t="str">
        <f t="shared" si="1548"/>
        <v>Jul16</v>
      </c>
      <c r="O4427" s="461">
        <v>0</v>
      </c>
      <c r="P4427" s="11">
        <f t="shared" si="1549"/>
        <v>8.9120914455107307</v>
      </c>
      <c r="Q4427" s="261">
        <f t="shared" si="1550"/>
        <v>8.5258686309707237</v>
      </c>
      <c r="R4427" s="261"/>
    </row>
    <row r="4428" spans="1:18" x14ac:dyDescent="0.35">
      <c r="A4428" s="495" t="s">
        <v>5747</v>
      </c>
      <c r="B4428" s="356" t="s">
        <v>740</v>
      </c>
      <c r="C4428" s="356" t="s">
        <v>5748</v>
      </c>
      <c r="D4428" s="356" t="s">
        <v>5625</v>
      </c>
      <c r="E4428" s="357"/>
      <c r="F4428" s="369">
        <f t="shared" si="1546"/>
        <v>8.5299999999999994</v>
      </c>
      <c r="G4428" s="369">
        <f t="shared" si="1547"/>
        <v>8.91</v>
      </c>
      <c r="H4428" s="357">
        <f t="shared" si="1526"/>
        <v>7.13</v>
      </c>
      <c r="I4428" s="573"/>
      <c r="J4428" s="549" t="s">
        <v>5804</v>
      </c>
      <c r="M4428" s="101"/>
      <c r="N4428" s="266" t="str">
        <f t="shared" si="1548"/>
        <v>Aug16</v>
      </c>
      <c r="O4428" s="461">
        <v>0</v>
      </c>
      <c r="P4428" s="11">
        <f t="shared" si="1549"/>
        <v>8.9120914455107307</v>
      </c>
      <c r="Q4428" s="261">
        <f t="shared" si="1550"/>
        <v>8.5258686309707237</v>
      </c>
      <c r="R4428" s="261"/>
    </row>
    <row r="4429" spans="1:18" x14ac:dyDescent="0.35">
      <c r="A4429" s="495" t="s">
        <v>5749</v>
      </c>
      <c r="B4429" s="356" t="s">
        <v>740</v>
      </c>
      <c r="C4429" s="356" t="s">
        <v>5750</v>
      </c>
      <c r="D4429" s="356" t="s">
        <v>5625</v>
      </c>
      <c r="E4429" s="357"/>
      <c r="F4429" s="369">
        <f t="shared" si="1546"/>
        <v>8.5299999999999994</v>
      </c>
      <c r="G4429" s="369">
        <f t="shared" si="1547"/>
        <v>8.91</v>
      </c>
      <c r="H4429" s="357">
        <f t="shared" si="1526"/>
        <v>7.13</v>
      </c>
      <c r="I4429" s="573"/>
      <c r="J4429" s="549" t="s">
        <v>5804</v>
      </c>
      <c r="N4429" s="266" t="str">
        <f t="shared" si="1548"/>
        <v>Sep16</v>
      </c>
      <c r="O4429" s="461">
        <v>0</v>
      </c>
      <c r="P4429" s="11">
        <f t="shared" si="1549"/>
        <v>8.9120914455107307</v>
      </c>
      <c r="Q4429" s="261">
        <f t="shared" si="1550"/>
        <v>8.5258686309707237</v>
      </c>
      <c r="R4429" s="261"/>
    </row>
    <row r="4430" spans="1:18" x14ac:dyDescent="0.35">
      <c r="A4430" s="495" t="s">
        <v>5751</v>
      </c>
      <c r="B4430" s="356" t="s">
        <v>740</v>
      </c>
      <c r="C4430" s="356" t="s">
        <v>5752</v>
      </c>
      <c r="D4430" s="356" t="s">
        <v>5625</v>
      </c>
      <c r="E4430" s="357"/>
      <c r="F4430" s="369">
        <f t="shared" si="1546"/>
        <v>8.5299999999999994</v>
      </c>
      <c r="G4430" s="369">
        <f t="shared" si="1547"/>
        <v>8.91</v>
      </c>
      <c r="H4430" s="357">
        <f t="shared" si="1526"/>
        <v>7.13</v>
      </c>
      <c r="I4430" s="573"/>
      <c r="J4430" s="549">
        <v>42644</v>
      </c>
      <c r="N4430" s="266" t="str">
        <f t="shared" si="1548"/>
        <v>Okt16</v>
      </c>
      <c r="O4430" s="461">
        <v>0</v>
      </c>
      <c r="P4430" s="11">
        <f t="shared" si="1549"/>
        <v>8.9120914455107307</v>
      </c>
      <c r="Q4430" s="261">
        <f t="shared" si="1550"/>
        <v>8.5258686309707237</v>
      </c>
      <c r="R4430" s="261"/>
    </row>
    <row r="4431" spans="1:18" x14ac:dyDescent="0.35">
      <c r="A4431" s="495" t="s">
        <v>5753</v>
      </c>
      <c r="B4431" s="356" t="s">
        <v>740</v>
      </c>
      <c r="C4431" s="356" t="s">
        <v>5754</v>
      </c>
      <c r="D4431" s="356" t="s">
        <v>5625</v>
      </c>
      <c r="E4431" s="357"/>
      <c r="F4431" s="369">
        <f t="shared" si="1546"/>
        <v>8.5299999999999994</v>
      </c>
      <c r="G4431" s="369">
        <f t="shared" si="1547"/>
        <v>8.91</v>
      </c>
      <c r="H4431" s="357">
        <f t="shared" si="1526"/>
        <v>7.13</v>
      </c>
      <c r="I4431" s="573"/>
      <c r="J4431" s="549">
        <v>42644</v>
      </c>
      <c r="N4431" s="266" t="str">
        <f t="shared" si="1548"/>
        <v>Nov16</v>
      </c>
      <c r="O4431" s="461">
        <v>0</v>
      </c>
      <c r="P4431" s="11">
        <f t="shared" si="1549"/>
        <v>8.9120914455107307</v>
      </c>
      <c r="Q4431" s="261">
        <f t="shared" si="1550"/>
        <v>8.5258686309707237</v>
      </c>
      <c r="R4431" s="261"/>
    </row>
    <row r="4432" spans="1:18" x14ac:dyDescent="0.35">
      <c r="A4432" s="495" t="s">
        <v>5755</v>
      </c>
      <c r="B4432" s="356" t="s">
        <v>740</v>
      </c>
      <c r="C4432" s="356" t="s">
        <v>5756</v>
      </c>
      <c r="D4432" s="356" t="s">
        <v>5625</v>
      </c>
      <c r="E4432" s="357"/>
      <c r="F4432" s="369">
        <f t="shared" si="1546"/>
        <v>8.5299999999999994</v>
      </c>
      <c r="G4432" s="369">
        <f t="shared" si="1547"/>
        <v>8.91</v>
      </c>
      <c r="H4432" s="357">
        <f t="shared" si="1526"/>
        <v>7.13</v>
      </c>
      <c r="I4432" s="573"/>
      <c r="J4432" s="549">
        <v>42644</v>
      </c>
      <c r="N4432" s="266" t="str">
        <f t="shared" si="1548"/>
        <v>Dez16</v>
      </c>
      <c r="O4432" s="461">
        <v>0</v>
      </c>
      <c r="P4432" s="11">
        <f t="shared" si="1549"/>
        <v>8.9120914455107307</v>
      </c>
      <c r="Q4432" s="261">
        <f t="shared" si="1550"/>
        <v>8.5258686309707237</v>
      </c>
      <c r="R4432" s="261"/>
    </row>
    <row r="4433" spans="1:18" x14ac:dyDescent="0.35">
      <c r="A4433" s="496"/>
      <c r="B4433" s="1"/>
      <c r="C4433" s="1"/>
      <c r="D4433" s="1"/>
      <c r="E4433" s="1"/>
      <c r="F4433" s="362"/>
      <c r="G4433" s="10"/>
      <c r="H4433" s="10" t="str">
        <f t="shared" si="1526"/>
        <v/>
      </c>
      <c r="I4433" s="566"/>
      <c r="J4433" s="549" t="s">
        <v>4179</v>
      </c>
      <c r="N4433" s="109" t="s">
        <v>3901</v>
      </c>
      <c r="O4433" s="29" t="s">
        <v>5489</v>
      </c>
      <c r="P4433" s="11" t="s">
        <v>49</v>
      </c>
      <c r="Q4433" t="s">
        <v>50</v>
      </c>
      <c r="R4433" s="261"/>
    </row>
    <row r="4434" spans="1:18" x14ac:dyDescent="0.35">
      <c r="A4434" s="527" t="s">
        <v>5983</v>
      </c>
      <c r="B4434" s="526" t="s">
        <v>740</v>
      </c>
      <c r="C4434" s="526" t="s">
        <v>5954</v>
      </c>
      <c r="D4434" s="526" t="s">
        <v>6112</v>
      </c>
      <c r="E4434" s="537"/>
      <c r="F4434" s="538">
        <f t="shared" ref="F4434:F4445" si="1551">IF($O4434&lt;&gt;"",ROUND(Q4434,2),"")</f>
        <v>8.51</v>
      </c>
      <c r="G4434" s="538">
        <f t="shared" ref="G4434:G4445" si="1552">IF($O4434&lt;&gt;"",ROUND(P4434,2),"")</f>
        <v>8.91</v>
      </c>
      <c r="H4434" s="537">
        <f t="shared" ref="H4434:H4497" si="1553">IF(ISNUMBER(G4434),ROUND(0.8*G4434,2),"")</f>
        <v>7.13</v>
      </c>
      <c r="I4434" s="574"/>
      <c r="J4434" s="549">
        <v>42705</v>
      </c>
      <c r="M4434" s="101">
        <v>2017</v>
      </c>
      <c r="N4434" s="463" t="s">
        <v>5982</v>
      </c>
      <c r="O4434" s="461" t="s">
        <v>5981</v>
      </c>
      <c r="P4434" s="11">
        <v>8.91</v>
      </c>
      <c r="Q4434" s="11">
        <f>P4434-0.4</f>
        <v>8.51</v>
      </c>
      <c r="R4434" s="462"/>
    </row>
    <row r="4435" spans="1:18" x14ac:dyDescent="0.35">
      <c r="A4435" s="527" t="s">
        <v>5984</v>
      </c>
      <c r="B4435" s="526" t="s">
        <v>740</v>
      </c>
      <c r="C4435" s="526" t="s">
        <v>5953</v>
      </c>
      <c r="D4435" s="526" t="s">
        <v>6112</v>
      </c>
      <c r="E4435" s="537"/>
      <c r="F4435" s="538">
        <f t="shared" si="1551"/>
        <v>8.51</v>
      </c>
      <c r="G4435" s="538">
        <f t="shared" si="1552"/>
        <v>8.91</v>
      </c>
      <c r="H4435" s="537">
        <f t="shared" si="1553"/>
        <v>7.13</v>
      </c>
      <c r="I4435" s="574"/>
      <c r="J4435" s="549">
        <v>42766</v>
      </c>
      <c r="M4435" s="339"/>
      <c r="N4435" s="266" t="str">
        <f t="shared" ref="N4435:N4445" si="1554">TEXT(DATE(YEAR(DATEVALUE(N4434)),MONTH(DATEVALUE(N4434))+1,1),"MMMJJ")</f>
        <v>Feb17</v>
      </c>
      <c r="O4435" s="461">
        <v>0</v>
      </c>
      <c r="P4435" s="11">
        <f t="shared" ref="P4435:P4445" si="1555">IF($O4435&lt;&gt;"",P4434*(100%-$O4435),"")</f>
        <v>8.91</v>
      </c>
      <c r="Q4435" s="11">
        <f t="shared" ref="Q4435:Q4445" si="1556">IF($O4435&lt;&gt;"",P4435-0.4,"")</f>
        <v>8.51</v>
      </c>
      <c r="R4435" s="462"/>
    </row>
    <row r="4436" spans="1:18" x14ac:dyDescent="0.35">
      <c r="A4436" s="527" t="s">
        <v>5985</v>
      </c>
      <c r="B4436" s="526" t="s">
        <v>740</v>
      </c>
      <c r="C4436" s="526" t="s">
        <v>5943</v>
      </c>
      <c r="D4436" s="526" t="s">
        <v>6112</v>
      </c>
      <c r="E4436" s="537"/>
      <c r="F4436" s="538">
        <f t="shared" si="1551"/>
        <v>8.51</v>
      </c>
      <c r="G4436" s="538">
        <f t="shared" si="1552"/>
        <v>8.91</v>
      </c>
      <c r="H4436" s="537">
        <f t="shared" si="1553"/>
        <v>7.13</v>
      </c>
      <c r="I4436" s="574"/>
      <c r="J4436" s="549">
        <v>42766</v>
      </c>
      <c r="M4436" s="339"/>
      <c r="N4436" s="266" t="str">
        <f t="shared" si="1554"/>
        <v>Mrz17</v>
      </c>
      <c r="O4436" s="461">
        <v>0</v>
      </c>
      <c r="P4436" s="11">
        <f t="shared" si="1555"/>
        <v>8.91</v>
      </c>
      <c r="Q4436" s="11">
        <f t="shared" si="1556"/>
        <v>8.51</v>
      </c>
      <c r="R4436" s="462"/>
    </row>
    <row r="4437" spans="1:18" x14ac:dyDescent="0.35">
      <c r="A4437" s="527" t="s">
        <v>5986</v>
      </c>
      <c r="B4437" s="526" t="s">
        <v>740</v>
      </c>
      <c r="C4437" s="526" t="s">
        <v>5929</v>
      </c>
      <c r="D4437" s="526" t="s">
        <v>6112</v>
      </c>
      <c r="E4437" s="537"/>
      <c r="F4437" s="538">
        <f t="shared" si="1551"/>
        <v>8.51</v>
      </c>
      <c r="G4437" s="538">
        <f t="shared" si="1552"/>
        <v>8.91</v>
      </c>
      <c r="H4437" s="537">
        <f t="shared" si="1553"/>
        <v>7.13</v>
      </c>
      <c r="I4437" s="574"/>
      <c r="J4437" s="549">
        <v>42766</v>
      </c>
      <c r="M4437" s="339"/>
      <c r="N4437" s="266" t="str">
        <f t="shared" si="1554"/>
        <v>Apr17</v>
      </c>
      <c r="O4437" s="461">
        <v>0</v>
      </c>
      <c r="P4437" s="11">
        <f t="shared" si="1555"/>
        <v>8.91</v>
      </c>
      <c r="Q4437" s="11">
        <f t="shared" si="1556"/>
        <v>8.51</v>
      </c>
      <c r="R4437" s="462"/>
    </row>
    <row r="4438" spans="1:18" x14ac:dyDescent="0.35">
      <c r="A4438" s="527" t="s">
        <v>5987</v>
      </c>
      <c r="B4438" s="526" t="s">
        <v>740</v>
      </c>
      <c r="C4438" s="526" t="s">
        <v>5930</v>
      </c>
      <c r="D4438" s="526" t="s">
        <v>6112</v>
      </c>
      <c r="E4438" s="537"/>
      <c r="F4438" s="538">
        <f t="shared" si="1551"/>
        <v>8.49</v>
      </c>
      <c r="G4438" s="538">
        <f t="shared" si="1552"/>
        <v>8.89</v>
      </c>
      <c r="H4438" s="537">
        <f t="shared" si="1553"/>
        <v>7.11</v>
      </c>
      <c r="I4438" s="574"/>
      <c r="J4438" s="549">
        <v>42877</v>
      </c>
      <c r="M4438" s="339"/>
      <c r="N4438" s="266" t="str">
        <f t="shared" si="1554"/>
        <v>Mai17</v>
      </c>
      <c r="O4438" s="558">
        <v>2.5000000000000001E-3</v>
      </c>
      <c r="P4438" s="11">
        <f t="shared" si="1555"/>
        <v>8.8877250000000014</v>
      </c>
      <c r="Q4438" s="11">
        <f t="shared" si="1556"/>
        <v>8.4877250000000011</v>
      </c>
      <c r="R4438" s="462"/>
    </row>
    <row r="4439" spans="1:18" x14ac:dyDescent="0.35">
      <c r="A4439" s="527" t="s">
        <v>5988</v>
      </c>
      <c r="B4439" s="526" t="s">
        <v>740</v>
      </c>
      <c r="C4439" s="526" t="s">
        <v>5931</v>
      </c>
      <c r="D4439" s="526" t="s">
        <v>6112</v>
      </c>
      <c r="E4439" s="537"/>
      <c r="F4439" s="538">
        <f t="shared" si="1551"/>
        <v>8.4700000000000006</v>
      </c>
      <c r="G4439" s="538">
        <f t="shared" si="1552"/>
        <v>8.8699999999999992</v>
      </c>
      <c r="H4439" s="537">
        <f t="shared" si="1553"/>
        <v>7.1</v>
      </c>
      <c r="I4439" s="574"/>
      <c r="J4439" s="549">
        <v>42877</v>
      </c>
      <c r="M4439" s="339"/>
      <c r="N4439" s="266" t="str">
        <f t="shared" si="1554"/>
        <v>Jun17</v>
      </c>
      <c r="O4439" s="558">
        <v>2.5000000000000001E-3</v>
      </c>
      <c r="P4439" s="11">
        <f t="shared" si="1555"/>
        <v>8.8655056875000025</v>
      </c>
      <c r="Q4439" s="11">
        <f t="shared" si="1556"/>
        <v>8.4655056875000021</v>
      </c>
      <c r="R4439" s="462"/>
    </row>
    <row r="4440" spans="1:18" x14ac:dyDescent="0.35">
      <c r="A4440" s="527" t="s">
        <v>5989</v>
      </c>
      <c r="B4440" s="526" t="s">
        <v>740</v>
      </c>
      <c r="C4440" s="526" t="s">
        <v>5944</v>
      </c>
      <c r="D4440" s="526" t="s">
        <v>6112</v>
      </c>
      <c r="E4440" s="537"/>
      <c r="F4440" s="538">
        <f t="shared" si="1551"/>
        <v>8.44</v>
      </c>
      <c r="G4440" s="538">
        <f t="shared" si="1552"/>
        <v>8.84</v>
      </c>
      <c r="H4440" s="537">
        <f t="shared" si="1553"/>
        <v>7.07</v>
      </c>
      <c r="I4440" s="574"/>
      <c r="J4440" s="549">
        <v>42919</v>
      </c>
      <c r="M4440" s="339"/>
      <c r="N4440" s="266" t="str">
        <f t="shared" si="1554"/>
        <v>Jul17</v>
      </c>
      <c r="O4440" s="558">
        <v>2.5000000000000001E-3</v>
      </c>
      <c r="P4440" s="11">
        <f t="shared" si="1555"/>
        <v>8.8433419232812529</v>
      </c>
      <c r="Q4440" s="11">
        <f t="shared" si="1556"/>
        <v>8.4433419232812525</v>
      </c>
      <c r="R4440" s="462"/>
    </row>
    <row r="4441" spans="1:18" x14ac:dyDescent="0.35">
      <c r="A4441" s="527" t="s">
        <v>5990</v>
      </c>
      <c r="B4441" s="526" t="s">
        <v>740</v>
      </c>
      <c r="C4441" s="526" t="s">
        <v>5945</v>
      </c>
      <c r="D4441" s="526" t="s">
        <v>6112</v>
      </c>
      <c r="E4441" s="537"/>
      <c r="F4441" s="538">
        <f t="shared" si="1551"/>
        <v>8.44</v>
      </c>
      <c r="G4441" s="538">
        <f t="shared" si="1552"/>
        <v>8.84</v>
      </c>
      <c r="H4441" s="537">
        <f t="shared" si="1553"/>
        <v>7.07</v>
      </c>
      <c r="I4441" s="574"/>
      <c r="J4441" s="549">
        <v>42947</v>
      </c>
      <c r="M4441" s="101"/>
      <c r="N4441" s="266" t="str">
        <f t="shared" si="1554"/>
        <v>Aug17</v>
      </c>
      <c r="O4441" s="461">
        <v>0</v>
      </c>
      <c r="P4441" s="11">
        <f t="shared" si="1555"/>
        <v>8.8433419232812529</v>
      </c>
      <c r="Q4441" s="11">
        <f t="shared" si="1556"/>
        <v>8.4433419232812525</v>
      </c>
      <c r="R4441" s="462"/>
    </row>
    <row r="4442" spans="1:18" x14ac:dyDescent="0.35">
      <c r="A4442" s="527" t="s">
        <v>5991</v>
      </c>
      <c r="B4442" s="526" t="s">
        <v>740</v>
      </c>
      <c r="C4442" s="526" t="s">
        <v>5946</v>
      </c>
      <c r="D4442" s="526" t="s">
        <v>6112</v>
      </c>
      <c r="E4442" s="537"/>
      <c r="F4442" s="538">
        <f t="shared" si="1551"/>
        <v>8.44</v>
      </c>
      <c r="G4442" s="538">
        <f t="shared" si="1552"/>
        <v>8.84</v>
      </c>
      <c r="H4442" s="537">
        <f t="shared" si="1553"/>
        <v>7.07</v>
      </c>
      <c r="I4442" s="574"/>
      <c r="J4442" s="549">
        <v>42947</v>
      </c>
      <c r="N4442" s="266" t="str">
        <f t="shared" si="1554"/>
        <v>Sep17</v>
      </c>
      <c r="O4442" s="461">
        <v>0</v>
      </c>
      <c r="P4442" s="11">
        <f t="shared" si="1555"/>
        <v>8.8433419232812529</v>
      </c>
      <c r="Q4442" s="11">
        <f t="shared" si="1556"/>
        <v>8.4433419232812525</v>
      </c>
      <c r="R4442" s="462"/>
    </row>
    <row r="4443" spans="1:18" x14ac:dyDescent="0.35">
      <c r="A4443" s="527" t="s">
        <v>5992</v>
      </c>
      <c r="B4443" s="526" t="s">
        <v>740</v>
      </c>
      <c r="C4443" s="526" t="s">
        <v>5947</v>
      </c>
      <c r="D4443" s="526" t="s">
        <v>6112</v>
      </c>
      <c r="E4443" s="537"/>
      <c r="F4443" s="538">
        <f t="shared" si="1551"/>
        <v>8.44</v>
      </c>
      <c r="G4443" s="538">
        <f t="shared" si="1552"/>
        <v>8.84</v>
      </c>
      <c r="H4443" s="537">
        <f t="shared" si="1553"/>
        <v>7.07</v>
      </c>
      <c r="I4443" s="574"/>
      <c r="J4443" s="549">
        <v>42947</v>
      </c>
      <c r="N4443" s="266" t="str">
        <f t="shared" si="1554"/>
        <v>Okt17</v>
      </c>
      <c r="O4443" s="461">
        <v>0</v>
      </c>
      <c r="P4443" s="11">
        <f t="shared" si="1555"/>
        <v>8.8433419232812529</v>
      </c>
      <c r="Q4443" s="11">
        <f t="shared" si="1556"/>
        <v>8.4433419232812525</v>
      </c>
      <c r="R4443" s="462"/>
    </row>
    <row r="4444" spans="1:18" x14ac:dyDescent="0.35">
      <c r="A4444" s="527" t="s">
        <v>5993</v>
      </c>
      <c r="B4444" s="526" t="s">
        <v>740</v>
      </c>
      <c r="C4444" s="526" t="s">
        <v>5948</v>
      </c>
      <c r="D4444" s="526" t="s">
        <v>6112</v>
      </c>
      <c r="E4444" s="537"/>
      <c r="F4444" s="538">
        <f t="shared" si="1551"/>
        <v>8.44</v>
      </c>
      <c r="G4444" s="538">
        <f t="shared" si="1552"/>
        <v>8.84</v>
      </c>
      <c r="H4444" s="537">
        <f t="shared" si="1553"/>
        <v>7.07</v>
      </c>
      <c r="I4444" s="574"/>
      <c r="J4444" s="549">
        <v>42705</v>
      </c>
      <c r="N4444" s="266" t="str">
        <f t="shared" si="1554"/>
        <v>Nov17</v>
      </c>
      <c r="O4444" s="461">
        <v>0</v>
      </c>
      <c r="P4444" s="11">
        <f t="shared" si="1555"/>
        <v>8.8433419232812529</v>
      </c>
      <c r="Q4444" s="11">
        <f t="shared" si="1556"/>
        <v>8.4433419232812525</v>
      </c>
      <c r="R4444" s="11"/>
    </row>
    <row r="4445" spans="1:18" x14ac:dyDescent="0.35">
      <c r="A4445" s="527" t="s">
        <v>5994</v>
      </c>
      <c r="B4445" s="526" t="s">
        <v>740</v>
      </c>
      <c r="C4445" s="526" t="s">
        <v>5949</v>
      </c>
      <c r="D4445" s="526" t="s">
        <v>6112</v>
      </c>
      <c r="E4445" s="537"/>
      <c r="F4445" s="538">
        <f t="shared" si="1551"/>
        <v>8.44</v>
      </c>
      <c r="G4445" s="538">
        <f t="shared" si="1552"/>
        <v>8.84</v>
      </c>
      <c r="H4445" s="537">
        <f t="shared" si="1553"/>
        <v>7.07</v>
      </c>
      <c r="I4445" s="574"/>
      <c r="J4445" s="549">
        <v>42705</v>
      </c>
      <c r="N4445" s="266" t="str">
        <f t="shared" si="1554"/>
        <v>Dez17</v>
      </c>
      <c r="O4445" s="461">
        <v>0</v>
      </c>
      <c r="P4445" s="11">
        <f t="shared" si="1555"/>
        <v>8.8433419232812529</v>
      </c>
      <c r="Q4445" s="11">
        <f t="shared" si="1556"/>
        <v>8.4433419232812525</v>
      </c>
      <c r="R4445" s="11"/>
    </row>
    <row r="4446" spans="1:18" x14ac:dyDescent="0.35">
      <c r="A4446" s="496"/>
      <c r="B4446" s="1"/>
      <c r="C4446" s="1"/>
      <c r="D4446" s="1"/>
      <c r="E4446" s="1"/>
      <c r="F4446" s="362"/>
      <c r="G4446" s="10"/>
      <c r="H4446" s="10" t="str">
        <f t="shared" si="1553"/>
        <v/>
      </c>
      <c r="I4446" s="566"/>
      <c r="J4446" s="549" t="s">
        <v>4179</v>
      </c>
      <c r="N4446" s="109" t="s">
        <v>3901</v>
      </c>
      <c r="O4446" s="29" t="s">
        <v>5489</v>
      </c>
      <c r="P4446" s="11" t="s">
        <v>49</v>
      </c>
      <c r="Q4446" s="11" t="s">
        <v>50</v>
      </c>
      <c r="R4446" s="11"/>
    </row>
    <row r="4447" spans="1:18" x14ac:dyDescent="0.35">
      <c r="A4447" s="527" t="s">
        <v>6264</v>
      </c>
      <c r="B4447" s="526" t="s">
        <v>740</v>
      </c>
      <c r="C4447" s="526" t="s">
        <v>6249</v>
      </c>
      <c r="D4447" s="526" t="s">
        <v>6112</v>
      </c>
      <c r="E4447" s="537"/>
      <c r="F4447" s="538">
        <f t="shared" ref="F4447:F4458" si="1557">IF($O4447&lt;&gt;"",ROUND(Q4447,2),"")</f>
        <v>8.44</v>
      </c>
      <c r="G4447" s="538">
        <f t="shared" ref="G4447:G4458" si="1558">IF($O4447&lt;&gt;"",ROUND(P4447,2),"")</f>
        <v>8.84</v>
      </c>
      <c r="H4447" s="537">
        <f t="shared" si="1553"/>
        <v>7.07</v>
      </c>
      <c r="I4447" s="574"/>
      <c r="J4447" s="549">
        <v>43077</v>
      </c>
      <c r="M4447" s="101">
        <v>2018</v>
      </c>
      <c r="N4447" s="463" t="s">
        <v>6276</v>
      </c>
      <c r="O4447" s="461">
        <v>0</v>
      </c>
      <c r="P4447" s="11">
        <f>IF($O4447&lt;&gt;"",P4445*(100%-$O4447),"")</f>
        <v>8.8433419232812529</v>
      </c>
      <c r="Q4447" s="11">
        <f t="shared" ref="Q4447:Q4458" si="1559">IF($O4447&lt;&gt;"",P4447-0.4,"")</f>
        <v>8.4433419232812525</v>
      </c>
      <c r="R4447" s="11"/>
    </row>
    <row r="4448" spans="1:18" x14ac:dyDescent="0.35">
      <c r="A4448" s="527" t="s">
        <v>6265</v>
      </c>
      <c r="B4448" s="526" t="s">
        <v>740</v>
      </c>
      <c r="C4448" s="526" t="s">
        <v>6250</v>
      </c>
      <c r="D4448" s="526" t="s">
        <v>6112</v>
      </c>
      <c r="E4448" s="537"/>
      <c r="F4448" s="538">
        <f t="shared" si="1557"/>
        <v>8.44</v>
      </c>
      <c r="G4448" s="538">
        <f t="shared" si="1558"/>
        <v>8.84</v>
      </c>
      <c r="H4448" s="537">
        <f t="shared" si="1553"/>
        <v>7.07</v>
      </c>
      <c r="I4448" s="574"/>
      <c r="J4448" s="549">
        <v>43131</v>
      </c>
      <c r="M4448" s="339"/>
      <c r="N4448" s="266" t="str">
        <f t="shared" ref="N4448:N4458" si="1560">TEXT(DATE(YEAR(DATEVALUE(N4447)),MONTH(DATEVALUE(N4447))+1,1),"MMMJJ")</f>
        <v>Feb18</v>
      </c>
      <c r="O4448" s="461">
        <v>0</v>
      </c>
      <c r="P4448" s="11">
        <f t="shared" ref="P4448:P4458" si="1561">IF($O4448&lt;&gt;"",P4447*(100%-$O4448),"")</f>
        <v>8.8433419232812529</v>
      </c>
      <c r="Q4448" s="11">
        <f t="shared" si="1559"/>
        <v>8.4433419232812525</v>
      </c>
      <c r="R4448" s="11"/>
    </row>
    <row r="4449" spans="1:18" x14ac:dyDescent="0.35">
      <c r="A4449" s="527" t="s">
        <v>6266</v>
      </c>
      <c r="B4449" s="526" t="s">
        <v>740</v>
      </c>
      <c r="C4449" s="526" t="s">
        <v>6251</v>
      </c>
      <c r="D4449" s="526" t="s">
        <v>6112</v>
      </c>
      <c r="E4449" s="537"/>
      <c r="F4449" s="538">
        <f t="shared" si="1557"/>
        <v>8.44</v>
      </c>
      <c r="G4449" s="538">
        <f t="shared" si="1558"/>
        <v>8.84</v>
      </c>
      <c r="H4449" s="537">
        <f t="shared" si="1553"/>
        <v>7.07</v>
      </c>
      <c r="I4449" s="574"/>
      <c r="J4449" s="549">
        <v>43131</v>
      </c>
      <c r="M4449" s="339"/>
      <c r="N4449" s="266" t="str">
        <f t="shared" si="1560"/>
        <v>Mrz18</v>
      </c>
      <c r="O4449" s="461">
        <v>0</v>
      </c>
      <c r="P4449" s="11">
        <f t="shared" si="1561"/>
        <v>8.8433419232812529</v>
      </c>
      <c r="Q4449" s="11">
        <f t="shared" si="1559"/>
        <v>8.4433419232812525</v>
      </c>
      <c r="R4449" s="11"/>
    </row>
    <row r="4450" spans="1:18" x14ac:dyDescent="0.35">
      <c r="A4450" s="527" t="s">
        <v>6267</v>
      </c>
      <c r="B4450" s="526" t="s">
        <v>740</v>
      </c>
      <c r="C4450" s="526" t="s">
        <v>6252</v>
      </c>
      <c r="D4450" s="526" t="s">
        <v>6112</v>
      </c>
      <c r="E4450" s="537"/>
      <c r="F4450" s="538">
        <f t="shared" si="1557"/>
        <v>8.44</v>
      </c>
      <c r="G4450" s="538">
        <f t="shared" si="1558"/>
        <v>8.84</v>
      </c>
      <c r="H4450" s="537">
        <f t="shared" si="1553"/>
        <v>7.07</v>
      </c>
      <c r="I4450" s="574"/>
      <c r="J4450" s="549">
        <v>43131</v>
      </c>
      <c r="M4450" s="339"/>
      <c r="N4450" s="266" t="str">
        <f t="shared" si="1560"/>
        <v>Apr18</v>
      </c>
      <c r="O4450" s="461">
        <v>0</v>
      </c>
      <c r="P4450" s="11">
        <f t="shared" si="1561"/>
        <v>8.8433419232812529</v>
      </c>
      <c r="Q4450" s="11">
        <f t="shared" si="1559"/>
        <v>8.4433419232812525</v>
      </c>
      <c r="R4450" s="11"/>
    </row>
    <row r="4451" spans="1:18" x14ac:dyDescent="0.35">
      <c r="A4451" s="527" t="s">
        <v>6268</v>
      </c>
      <c r="B4451" s="526" t="s">
        <v>740</v>
      </c>
      <c r="C4451" s="526" t="s">
        <v>6253</v>
      </c>
      <c r="D4451" s="526" t="s">
        <v>6112</v>
      </c>
      <c r="E4451" s="537"/>
      <c r="F4451" s="538">
        <f t="shared" si="1557"/>
        <v>8.44</v>
      </c>
      <c r="G4451" s="538">
        <f t="shared" si="1558"/>
        <v>8.84</v>
      </c>
      <c r="H4451" s="537">
        <f t="shared" si="1553"/>
        <v>7.07</v>
      </c>
      <c r="I4451" s="574"/>
      <c r="J4451" s="549">
        <v>43222</v>
      </c>
      <c r="M4451" s="339"/>
      <c r="N4451" s="266" t="str">
        <f t="shared" si="1560"/>
        <v>Mai18</v>
      </c>
      <c r="O4451" s="558">
        <v>0</v>
      </c>
      <c r="P4451" s="11">
        <f t="shared" si="1561"/>
        <v>8.8433419232812529</v>
      </c>
      <c r="Q4451" s="11">
        <f t="shared" si="1559"/>
        <v>8.4433419232812525</v>
      </c>
      <c r="R4451" s="11"/>
    </row>
    <row r="4452" spans="1:18" x14ac:dyDescent="0.35">
      <c r="A4452" s="527" t="s">
        <v>6269</v>
      </c>
      <c r="B4452" s="526" t="s">
        <v>740</v>
      </c>
      <c r="C4452" s="526" t="s">
        <v>6254</v>
      </c>
      <c r="D4452" s="526" t="s">
        <v>6112</v>
      </c>
      <c r="E4452" s="537"/>
      <c r="F4452" s="538">
        <f t="shared" si="1557"/>
        <v>8.44</v>
      </c>
      <c r="G4452" s="538">
        <f t="shared" si="1558"/>
        <v>8.84</v>
      </c>
      <c r="H4452" s="537">
        <f t="shared" si="1553"/>
        <v>7.07</v>
      </c>
      <c r="I4452" s="574"/>
      <c r="J4452" s="549">
        <v>43222</v>
      </c>
      <c r="M4452" s="339"/>
      <c r="N4452" s="266" t="str">
        <f t="shared" si="1560"/>
        <v>Jun18</v>
      </c>
      <c r="O4452" s="558">
        <v>0</v>
      </c>
      <c r="P4452" s="11">
        <f t="shared" si="1561"/>
        <v>8.8433419232812529</v>
      </c>
      <c r="Q4452" s="11">
        <f t="shared" si="1559"/>
        <v>8.4433419232812525</v>
      </c>
      <c r="R4452" s="11"/>
    </row>
    <row r="4453" spans="1:18" x14ac:dyDescent="0.35">
      <c r="A4453" s="527" t="s">
        <v>6270</v>
      </c>
      <c r="B4453" s="526" t="s">
        <v>740</v>
      </c>
      <c r="C4453" s="526" t="s">
        <v>6255</v>
      </c>
      <c r="D4453" s="526" t="s">
        <v>6112</v>
      </c>
      <c r="E4453" s="537"/>
      <c r="F4453" s="538">
        <f t="shared" si="1557"/>
        <v>8.44</v>
      </c>
      <c r="G4453" s="538">
        <f t="shared" si="1558"/>
        <v>8.84</v>
      </c>
      <c r="H4453" s="537">
        <f t="shared" si="1553"/>
        <v>7.07</v>
      </c>
      <c r="I4453" s="574"/>
      <c r="J4453" s="549">
        <v>43222</v>
      </c>
      <c r="M4453" s="339"/>
      <c r="N4453" s="266" t="str">
        <f t="shared" si="1560"/>
        <v>Jul18</v>
      </c>
      <c r="O4453" s="558">
        <v>0</v>
      </c>
      <c r="P4453" s="11">
        <f t="shared" si="1561"/>
        <v>8.8433419232812529</v>
      </c>
      <c r="Q4453" s="11">
        <f t="shared" si="1559"/>
        <v>8.4433419232812525</v>
      </c>
      <c r="R4453" s="11"/>
    </row>
    <row r="4454" spans="1:18" x14ac:dyDescent="0.35">
      <c r="A4454" s="527" t="s">
        <v>6271</v>
      </c>
      <c r="B4454" s="526" t="s">
        <v>740</v>
      </c>
      <c r="C4454" s="526" t="s">
        <v>6256</v>
      </c>
      <c r="D4454" s="526" t="s">
        <v>6112</v>
      </c>
      <c r="E4454" s="537"/>
      <c r="F4454" s="538">
        <f t="shared" si="1557"/>
        <v>8.35</v>
      </c>
      <c r="G4454" s="538">
        <f t="shared" si="1558"/>
        <v>8.75</v>
      </c>
      <c r="H4454" s="537">
        <f t="shared" si="1553"/>
        <v>7</v>
      </c>
      <c r="I4454" s="574"/>
      <c r="J4454" s="549">
        <v>43318</v>
      </c>
      <c r="M4454" s="101"/>
      <c r="N4454" s="266" t="str">
        <f t="shared" si="1560"/>
        <v>Aug18</v>
      </c>
      <c r="O4454" s="461">
        <v>0.01</v>
      </c>
      <c r="P4454" s="11">
        <f t="shared" si="1561"/>
        <v>8.7549085040484407</v>
      </c>
      <c r="Q4454" s="11">
        <f t="shared" si="1559"/>
        <v>8.3549085040484403</v>
      </c>
      <c r="R4454" s="11"/>
    </row>
    <row r="4455" spans="1:18" x14ac:dyDescent="0.35">
      <c r="A4455" s="527" t="s">
        <v>6272</v>
      </c>
      <c r="B4455" s="526" t="s">
        <v>740</v>
      </c>
      <c r="C4455" s="526" t="s">
        <v>6257</v>
      </c>
      <c r="D4455" s="526" t="s">
        <v>6112</v>
      </c>
      <c r="E4455" s="537"/>
      <c r="F4455" s="538">
        <f t="shared" si="1557"/>
        <v>8.27</v>
      </c>
      <c r="G4455" s="538">
        <f t="shared" si="1558"/>
        <v>8.67</v>
      </c>
      <c r="H4455" s="537">
        <f t="shared" si="1553"/>
        <v>6.94</v>
      </c>
      <c r="I4455" s="574"/>
      <c r="J4455" s="549">
        <v>43318</v>
      </c>
      <c r="N4455" s="266" t="str">
        <f t="shared" si="1560"/>
        <v>Sep18</v>
      </c>
      <c r="O4455" s="461">
        <v>0.01</v>
      </c>
      <c r="P4455" s="11">
        <f t="shared" si="1561"/>
        <v>8.6673594190079566</v>
      </c>
      <c r="Q4455" s="11">
        <f t="shared" si="1559"/>
        <v>8.2673594190079562</v>
      </c>
      <c r="R4455" s="11"/>
    </row>
    <row r="4456" spans="1:18" x14ac:dyDescent="0.35">
      <c r="A4456" s="527" t="s">
        <v>6273</v>
      </c>
      <c r="B4456" s="526" t="s">
        <v>740</v>
      </c>
      <c r="C4456" s="526" t="s">
        <v>6258</v>
      </c>
      <c r="D4456" s="526" t="s">
        <v>6112</v>
      </c>
      <c r="E4456" s="537"/>
      <c r="F4456" s="538">
        <f t="shared" si="1557"/>
        <v>8.18</v>
      </c>
      <c r="G4456" s="538">
        <f t="shared" si="1558"/>
        <v>8.58</v>
      </c>
      <c r="H4456" s="537">
        <f t="shared" si="1553"/>
        <v>6.86</v>
      </c>
      <c r="I4456" s="574"/>
      <c r="J4456" s="549">
        <v>43318</v>
      </c>
      <c r="N4456" s="266" t="str">
        <f t="shared" si="1560"/>
        <v>Okt18</v>
      </c>
      <c r="O4456" s="461">
        <v>0.01</v>
      </c>
      <c r="P4456" s="11">
        <f t="shared" si="1561"/>
        <v>8.580685824817877</v>
      </c>
      <c r="Q4456" s="11">
        <f t="shared" si="1559"/>
        <v>8.1806858248178767</v>
      </c>
      <c r="R4456" s="11"/>
    </row>
    <row r="4457" spans="1:18" x14ac:dyDescent="0.35">
      <c r="A4457" s="527" t="s">
        <v>6274</v>
      </c>
      <c r="B4457" s="526" t="s">
        <v>740</v>
      </c>
      <c r="C4457" s="526" t="s">
        <v>6259</v>
      </c>
      <c r="D4457" s="526" t="s">
        <v>6112</v>
      </c>
      <c r="E4457" s="537"/>
      <c r="F4457" s="538">
        <f t="shared" si="1557"/>
        <v>8.09</v>
      </c>
      <c r="G4457" s="538">
        <f t="shared" si="1558"/>
        <v>8.49</v>
      </c>
      <c r="H4457" s="537">
        <f t="shared" si="1553"/>
        <v>6.79</v>
      </c>
      <c r="I4457" s="574"/>
      <c r="J4457" s="549">
        <v>43404</v>
      </c>
      <c r="N4457" s="266" t="str">
        <f t="shared" si="1560"/>
        <v>Nov18</v>
      </c>
      <c r="O4457" s="461">
        <v>0.01</v>
      </c>
      <c r="P4457" s="11">
        <f t="shared" si="1561"/>
        <v>8.4948789665696989</v>
      </c>
      <c r="Q4457" s="11">
        <f t="shared" si="1559"/>
        <v>8.0948789665696985</v>
      </c>
      <c r="R4457" s="11"/>
    </row>
    <row r="4458" spans="1:18" x14ac:dyDescent="0.35">
      <c r="A4458" s="527" t="s">
        <v>6275</v>
      </c>
      <c r="B4458" s="526" t="s">
        <v>740</v>
      </c>
      <c r="C4458" s="526" t="s">
        <v>6260</v>
      </c>
      <c r="D4458" s="526" t="s">
        <v>6112</v>
      </c>
      <c r="E4458" s="537"/>
      <c r="F4458" s="538">
        <f t="shared" si="1557"/>
        <v>8.01</v>
      </c>
      <c r="G4458" s="538">
        <f t="shared" si="1558"/>
        <v>8.41</v>
      </c>
      <c r="H4458" s="537">
        <f t="shared" si="1553"/>
        <v>6.73</v>
      </c>
      <c r="I4458" s="574"/>
      <c r="J4458" s="549">
        <v>43404</v>
      </c>
      <c r="N4458" s="266" t="str">
        <f t="shared" si="1560"/>
        <v>Dez18</v>
      </c>
      <c r="O4458" s="461">
        <v>0.01</v>
      </c>
      <c r="P4458" s="11">
        <f t="shared" si="1561"/>
        <v>8.4099301769040018</v>
      </c>
      <c r="Q4458" s="11">
        <f t="shared" si="1559"/>
        <v>8.0099301769040014</v>
      </c>
      <c r="R4458" s="11"/>
    </row>
    <row r="4459" spans="1:18" x14ac:dyDescent="0.35">
      <c r="A4459" s="496"/>
      <c r="B4459" s="1"/>
      <c r="C4459" s="1"/>
      <c r="D4459" s="1"/>
      <c r="E4459" s="1"/>
      <c r="F4459" s="362"/>
      <c r="G4459" s="10"/>
      <c r="H4459" s="10" t="str">
        <f t="shared" si="1553"/>
        <v/>
      </c>
      <c r="I4459" s="566"/>
      <c r="J4459" s="549" t="s">
        <v>4179</v>
      </c>
      <c r="N4459" s="109" t="s">
        <v>3901</v>
      </c>
      <c r="O4459" s="29" t="s">
        <v>5489</v>
      </c>
      <c r="P4459" s="11" t="s">
        <v>49</v>
      </c>
      <c r="Q4459" s="11" t="s">
        <v>50</v>
      </c>
      <c r="R4459" s="11"/>
    </row>
    <row r="4460" spans="1:18" x14ac:dyDescent="0.35">
      <c r="A4460" s="527" t="s">
        <v>6418</v>
      </c>
      <c r="B4460" s="526" t="s">
        <v>740</v>
      </c>
      <c r="C4460" s="526" t="s">
        <v>6430</v>
      </c>
      <c r="D4460" s="526" t="s">
        <v>6112</v>
      </c>
      <c r="E4460" s="537"/>
      <c r="F4460" s="538">
        <f t="shared" ref="F4460:F4471" si="1562">IF($O4460&lt;&gt;"",ROUND(Q4460,2),"")</f>
        <v>7.93</v>
      </c>
      <c r="G4460" s="538">
        <f t="shared" ref="G4460:G4471" si="1563">IF($O4460&lt;&gt;"",ROUND(P4460,2),"")</f>
        <v>8.33</v>
      </c>
      <c r="H4460" s="537">
        <f t="shared" si="1553"/>
        <v>6.66</v>
      </c>
      <c r="I4460" s="574"/>
      <c r="J4460" s="549">
        <v>43419</v>
      </c>
      <c r="M4460" s="101">
        <v>2019</v>
      </c>
      <c r="N4460" s="463" t="s">
        <v>6442</v>
      </c>
      <c r="O4460" s="461">
        <v>0.01</v>
      </c>
      <c r="P4460" s="11">
        <f>IF($O4460&lt;&gt;"",P4458*(100%-$O4460),"")</f>
        <v>8.3258308751349617</v>
      </c>
      <c r="Q4460" s="11">
        <f t="shared" ref="Q4460:Q4471" si="1564">IF($O4460&lt;&gt;"",P4460-0.4,"")</f>
        <v>7.9258308751349613</v>
      </c>
      <c r="R4460" s="11"/>
    </row>
    <row r="4461" spans="1:18" x14ac:dyDescent="0.35">
      <c r="A4461" s="527" t="s">
        <v>6419</v>
      </c>
      <c r="B4461" s="526" t="s">
        <v>740</v>
      </c>
      <c r="C4461" s="526" t="s">
        <v>6431</v>
      </c>
      <c r="D4461" s="526" t="s">
        <v>6112</v>
      </c>
      <c r="E4461" s="537"/>
      <c r="F4461" s="538">
        <f t="shared" si="1562"/>
        <v>7.84</v>
      </c>
      <c r="G4461" s="538">
        <f t="shared" si="1563"/>
        <v>8.24</v>
      </c>
      <c r="H4461" s="537">
        <f t="shared" si="1553"/>
        <v>6.59</v>
      </c>
      <c r="I4461" s="574"/>
      <c r="J4461" s="549">
        <v>43496</v>
      </c>
      <c r="M4461" s="339"/>
      <c r="N4461" s="266" t="str">
        <f t="shared" ref="N4461:N4471" si="1565">TEXT(DATE(YEAR(DATEVALUE(N4460)),MONTH(DATEVALUE(N4460))+1,1),"MMMJJ")</f>
        <v>Feb19</v>
      </c>
      <c r="O4461" s="461">
        <v>0.01</v>
      </c>
      <c r="P4461" s="11">
        <f t="shared" ref="P4461:P4471" si="1566">IF($O4461&lt;&gt;"",P4460*(100%-$O4461),"")</f>
        <v>8.2425725663836111</v>
      </c>
      <c r="Q4461" s="11">
        <f t="shared" si="1564"/>
        <v>7.8425725663836108</v>
      </c>
      <c r="R4461" s="11"/>
    </row>
    <row r="4462" spans="1:18" x14ac:dyDescent="0.35">
      <c r="A4462" s="527" t="s">
        <v>6420</v>
      </c>
      <c r="B4462" s="526" t="s">
        <v>740</v>
      </c>
      <c r="C4462" s="526" t="s">
        <v>6432</v>
      </c>
      <c r="D4462" s="526" t="s">
        <v>6112</v>
      </c>
      <c r="E4462" s="537"/>
      <c r="F4462" s="538">
        <f t="shared" si="1562"/>
        <v>7.76</v>
      </c>
      <c r="G4462" s="538">
        <f t="shared" si="1563"/>
        <v>8.16</v>
      </c>
      <c r="H4462" s="537">
        <f t="shared" si="1553"/>
        <v>6.53</v>
      </c>
      <c r="I4462" s="574"/>
      <c r="J4462" s="549">
        <v>43496</v>
      </c>
      <c r="M4462" s="339"/>
      <c r="N4462" s="266" t="str">
        <f t="shared" si="1565"/>
        <v>Mrz19</v>
      </c>
      <c r="O4462" s="461">
        <v>0.01</v>
      </c>
      <c r="P4462" s="11">
        <f t="shared" si="1566"/>
        <v>8.1601468407197757</v>
      </c>
      <c r="Q4462" s="11">
        <f t="shared" si="1564"/>
        <v>7.7601468407197753</v>
      </c>
      <c r="R4462" s="11"/>
    </row>
    <row r="4463" spans="1:18" x14ac:dyDescent="0.35">
      <c r="A4463" s="527" t="s">
        <v>6421</v>
      </c>
      <c r="B4463" s="526" t="s">
        <v>740</v>
      </c>
      <c r="C4463" s="526" t="s">
        <v>6433</v>
      </c>
      <c r="D4463" s="526" t="s">
        <v>6112</v>
      </c>
      <c r="E4463" s="537"/>
      <c r="F4463" s="538">
        <f t="shared" si="1562"/>
        <v>7.68</v>
      </c>
      <c r="G4463" s="538">
        <f t="shared" si="1563"/>
        <v>8.08</v>
      </c>
      <c r="H4463" s="537">
        <f t="shared" si="1553"/>
        <v>6.46</v>
      </c>
      <c r="I4463" s="574"/>
      <c r="J4463" s="549">
        <v>43496</v>
      </c>
      <c r="M4463" s="339"/>
      <c r="N4463" s="266" t="str">
        <f t="shared" si="1565"/>
        <v>Apr19</v>
      </c>
      <c r="O4463" s="461">
        <v>0.01</v>
      </c>
      <c r="P4463" s="11">
        <f t="shared" si="1566"/>
        <v>8.0785453723125773</v>
      </c>
      <c r="Q4463" s="11">
        <f t="shared" si="1564"/>
        <v>7.6785453723125769</v>
      </c>
      <c r="R4463" s="11"/>
    </row>
    <row r="4464" spans="1:18" x14ac:dyDescent="0.35">
      <c r="A4464" s="527" t="s">
        <v>6422</v>
      </c>
      <c r="B4464" s="526" t="s">
        <v>740</v>
      </c>
      <c r="C4464" s="526" t="s">
        <v>6434</v>
      </c>
      <c r="D4464" s="526" t="s">
        <v>6112</v>
      </c>
      <c r="E4464" s="537"/>
      <c r="F4464" s="538">
        <f t="shared" si="1562"/>
        <v>7.57</v>
      </c>
      <c r="G4464" s="538">
        <f t="shared" si="1563"/>
        <v>7.97</v>
      </c>
      <c r="H4464" s="537">
        <f t="shared" si="1553"/>
        <v>6.38</v>
      </c>
      <c r="I4464" s="574"/>
      <c r="J4464" s="549">
        <v>43585</v>
      </c>
      <c r="M4464" s="339"/>
      <c r="N4464" s="266" t="str">
        <f t="shared" si="1565"/>
        <v>Mai19</v>
      </c>
      <c r="O4464" s="461">
        <v>1.4E-2</v>
      </c>
      <c r="P4464" s="11">
        <f t="shared" si="1566"/>
        <v>7.9654457371002012</v>
      </c>
      <c r="Q4464" s="11">
        <f t="shared" si="1564"/>
        <v>7.5654457371002009</v>
      </c>
      <c r="R4464" s="11"/>
    </row>
    <row r="4465" spans="1:18" x14ac:dyDescent="0.35">
      <c r="A4465" s="527" t="s">
        <v>6423</v>
      </c>
      <c r="B4465" s="526" t="s">
        <v>740</v>
      </c>
      <c r="C4465" s="526" t="s">
        <v>6435</v>
      </c>
      <c r="D4465" s="526" t="s">
        <v>6112</v>
      </c>
      <c r="E4465" s="537"/>
      <c r="F4465" s="538">
        <f t="shared" si="1562"/>
        <v>7.45</v>
      </c>
      <c r="G4465" s="538">
        <f t="shared" si="1563"/>
        <v>7.85</v>
      </c>
      <c r="H4465" s="537">
        <f t="shared" si="1553"/>
        <v>6.28</v>
      </c>
      <c r="I4465" s="574"/>
      <c r="J4465" s="549">
        <v>43585</v>
      </c>
      <c r="M4465" s="339"/>
      <c r="N4465" s="266" t="str">
        <f t="shared" si="1565"/>
        <v>Jun19</v>
      </c>
      <c r="O4465" s="461">
        <v>1.4E-2</v>
      </c>
      <c r="P4465" s="11">
        <f t="shared" si="1566"/>
        <v>7.8539294967807987</v>
      </c>
      <c r="Q4465" s="11">
        <f t="shared" si="1564"/>
        <v>7.4539294967807983</v>
      </c>
      <c r="R4465" s="11"/>
    </row>
    <row r="4466" spans="1:18" x14ac:dyDescent="0.35">
      <c r="A4466" s="527" t="s">
        <v>6424</v>
      </c>
      <c r="B4466" s="526" t="s">
        <v>740</v>
      </c>
      <c r="C4466" s="526" t="s">
        <v>6436</v>
      </c>
      <c r="D4466" s="526" t="s">
        <v>6112</v>
      </c>
      <c r="E4466" s="537"/>
      <c r="F4466" s="538">
        <f t="shared" si="1562"/>
        <v>7.34</v>
      </c>
      <c r="G4466" s="538">
        <f t="shared" si="1563"/>
        <v>7.74</v>
      </c>
      <c r="H4466" s="537">
        <f t="shared" si="1553"/>
        <v>6.19</v>
      </c>
      <c r="I4466" s="574"/>
      <c r="J4466" s="549">
        <v>43585</v>
      </c>
      <c r="M4466" s="339"/>
      <c r="N4466" s="266" t="str">
        <f t="shared" si="1565"/>
        <v>Jul19</v>
      </c>
      <c r="O4466" s="461">
        <v>1.4E-2</v>
      </c>
      <c r="P4466" s="11">
        <f t="shared" si="1566"/>
        <v>7.7439744838258671</v>
      </c>
      <c r="Q4466" s="11">
        <f t="shared" si="1564"/>
        <v>7.3439744838258667</v>
      </c>
      <c r="R4466" s="11"/>
    </row>
    <row r="4467" spans="1:18" x14ac:dyDescent="0.35">
      <c r="A4467" s="527" t="s">
        <v>6425</v>
      </c>
      <c r="B4467" s="526" t="s">
        <v>740</v>
      </c>
      <c r="C4467" s="526" t="s">
        <v>6437</v>
      </c>
      <c r="D4467" s="526" t="s">
        <v>6112</v>
      </c>
      <c r="E4467" s="537"/>
      <c r="F4467" s="538">
        <f t="shared" si="1562"/>
        <v>7.24</v>
      </c>
      <c r="G4467" s="538">
        <f t="shared" si="1563"/>
        <v>7.64</v>
      </c>
      <c r="H4467" s="537">
        <f t="shared" si="1553"/>
        <v>6.11</v>
      </c>
      <c r="I4467" s="574"/>
      <c r="J4467" s="549">
        <v>43677</v>
      </c>
      <c r="M4467" s="101"/>
      <c r="N4467" s="266" t="str">
        <f t="shared" si="1565"/>
        <v>Aug19</v>
      </c>
      <c r="O4467" s="461">
        <v>1.4E-2</v>
      </c>
      <c r="P4467" s="11">
        <f t="shared" si="1566"/>
        <v>7.6355588410523048</v>
      </c>
      <c r="Q4467" s="11">
        <f t="shared" si="1564"/>
        <v>7.2355588410523044</v>
      </c>
      <c r="R4467" s="11"/>
    </row>
    <row r="4468" spans="1:18" x14ac:dyDescent="0.35">
      <c r="A4468" s="527" t="s">
        <v>6426</v>
      </c>
      <c r="B4468" s="526" t="s">
        <v>740</v>
      </c>
      <c r="C4468" s="526" t="s">
        <v>6438</v>
      </c>
      <c r="D4468" s="526" t="s">
        <v>6112</v>
      </c>
      <c r="E4468" s="537"/>
      <c r="F4468" s="538">
        <f t="shared" si="1562"/>
        <v>7.13</v>
      </c>
      <c r="G4468" s="538">
        <f t="shared" si="1563"/>
        <v>7.53</v>
      </c>
      <c r="H4468" s="537">
        <f t="shared" si="1553"/>
        <v>6.02</v>
      </c>
      <c r="I4468" s="574"/>
      <c r="J4468" s="549">
        <v>43677</v>
      </c>
      <c r="N4468" s="266" t="str">
        <f t="shared" si="1565"/>
        <v>Sep19</v>
      </c>
      <c r="O4468" s="461">
        <v>1.4E-2</v>
      </c>
      <c r="P4468" s="11">
        <f t="shared" si="1566"/>
        <v>7.5286610172775728</v>
      </c>
      <c r="Q4468" s="11">
        <f t="shared" si="1564"/>
        <v>7.1286610172775724</v>
      </c>
      <c r="R4468" s="11"/>
    </row>
    <row r="4469" spans="1:18" x14ac:dyDescent="0.35">
      <c r="A4469" s="527" t="s">
        <v>6427</v>
      </c>
      <c r="B4469" s="526" t="s">
        <v>740</v>
      </c>
      <c r="C4469" s="526" t="s">
        <v>6439</v>
      </c>
      <c r="D4469" s="526" t="s">
        <v>6112</v>
      </c>
      <c r="E4469" s="537"/>
      <c r="F4469" s="538">
        <f t="shared" si="1562"/>
        <v>7.02</v>
      </c>
      <c r="G4469" s="538">
        <f t="shared" si="1563"/>
        <v>7.42</v>
      </c>
      <c r="H4469" s="537">
        <f t="shared" si="1553"/>
        <v>5.94</v>
      </c>
      <c r="I4469" s="574"/>
      <c r="J4469" s="549">
        <v>43677</v>
      </c>
      <c r="N4469" s="266" t="str">
        <f t="shared" si="1565"/>
        <v>Okt19</v>
      </c>
      <c r="O4469" s="461">
        <v>1.4E-2</v>
      </c>
      <c r="P4469" s="11">
        <f t="shared" si="1566"/>
        <v>7.4232597630356869</v>
      </c>
      <c r="Q4469" s="11">
        <f t="shared" si="1564"/>
        <v>7.0232597630356866</v>
      </c>
      <c r="R4469" s="11"/>
    </row>
    <row r="4470" spans="1:18" x14ac:dyDescent="0.35">
      <c r="A4470" s="527" t="s">
        <v>6428</v>
      </c>
      <c r="B4470" s="526" t="s">
        <v>740</v>
      </c>
      <c r="C4470" s="526" t="s">
        <v>6440</v>
      </c>
      <c r="D4470" s="526" t="s">
        <v>6112</v>
      </c>
      <c r="E4470" s="537"/>
      <c r="F4470" s="538">
        <f t="shared" si="1562"/>
        <v>6.95</v>
      </c>
      <c r="G4470" s="538">
        <f t="shared" si="1563"/>
        <v>7.35</v>
      </c>
      <c r="H4470" s="537">
        <f t="shared" si="1553"/>
        <v>5.88</v>
      </c>
      <c r="I4470" s="574"/>
      <c r="J4470" s="549">
        <v>43769</v>
      </c>
      <c r="N4470" s="266" t="str">
        <f t="shared" si="1565"/>
        <v>Nov19</v>
      </c>
      <c r="O4470" s="461">
        <v>0.01</v>
      </c>
      <c r="P4470" s="11">
        <f t="shared" si="1566"/>
        <v>7.3490271654053299</v>
      </c>
      <c r="Q4470" s="11">
        <f t="shared" si="1564"/>
        <v>6.9490271654053295</v>
      </c>
      <c r="R4470" s="11"/>
    </row>
    <row r="4471" spans="1:18" x14ac:dyDescent="0.35">
      <c r="A4471" s="527" t="s">
        <v>6429</v>
      </c>
      <c r="B4471" s="526" t="s">
        <v>740</v>
      </c>
      <c r="C4471" s="526" t="s">
        <v>6441</v>
      </c>
      <c r="D4471" s="526" t="s">
        <v>6112</v>
      </c>
      <c r="E4471" s="537"/>
      <c r="F4471" s="538">
        <f t="shared" si="1562"/>
        <v>6.88</v>
      </c>
      <c r="G4471" s="538">
        <f t="shared" si="1563"/>
        <v>7.28</v>
      </c>
      <c r="H4471" s="537">
        <f t="shared" si="1553"/>
        <v>5.82</v>
      </c>
      <c r="I4471" s="574"/>
      <c r="J4471" s="549">
        <v>43769</v>
      </c>
      <c r="N4471" s="266" t="str">
        <f t="shared" si="1565"/>
        <v>Dez19</v>
      </c>
      <c r="O4471" s="461">
        <v>0.01</v>
      </c>
      <c r="P4471" s="11">
        <f t="shared" si="1566"/>
        <v>7.2755368937512763</v>
      </c>
      <c r="Q4471" s="11">
        <f t="shared" si="1564"/>
        <v>6.875536893751276</v>
      </c>
      <c r="R4471" s="11"/>
    </row>
    <row r="4472" spans="1:18" x14ac:dyDescent="0.35">
      <c r="A4472" s="496"/>
      <c r="B4472" s="1"/>
      <c r="C4472" s="1"/>
      <c r="D4472" s="1"/>
      <c r="E4472" s="1"/>
      <c r="F4472" s="362"/>
      <c r="G4472" s="10"/>
      <c r="H4472" s="10" t="str">
        <f t="shared" si="1553"/>
        <v/>
      </c>
      <c r="I4472" s="566"/>
      <c r="J4472" s="549" t="s">
        <v>4179</v>
      </c>
      <c r="N4472" s="109" t="s">
        <v>3901</v>
      </c>
      <c r="O4472" s="29" t="s">
        <v>5489</v>
      </c>
      <c r="P4472" s="11" t="s">
        <v>49</v>
      </c>
      <c r="Q4472" s="11" t="s">
        <v>50</v>
      </c>
      <c r="R4472" s="11"/>
    </row>
    <row r="4473" spans="1:18" x14ac:dyDescent="0.35">
      <c r="A4473" s="527" t="s">
        <v>6557</v>
      </c>
      <c r="B4473" s="526" t="s">
        <v>740</v>
      </c>
      <c r="C4473" s="526" t="s">
        <v>6558</v>
      </c>
      <c r="D4473" s="526" t="s">
        <v>6112</v>
      </c>
      <c r="E4473" s="537"/>
      <c r="F4473" s="538">
        <f t="shared" ref="F4473:F4484" si="1567">IF($O4473&lt;&gt;"",ROUND(Q4473,2),"")</f>
        <v>6.8</v>
      </c>
      <c r="G4473" s="538">
        <f t="shared" ref="G4473:G4484" si="1568">IF($O4473&lt;&gt;"",ROUND(P4473,2),"")</f>
        <v>7.2</v>
      </c>
      <c r="H4473" s="537">
        <f t="shared" si="1553"/>
        <v>5.76</v>
      </c>
      <c r="I4473" s="574"/>
      <c r="J4473" s="549">
        <v>43796</v>
      </c>
      <c r="M4473" s="101">
        <v>2020</v>
      </c>
      <c r="N4473" s="463" t="s">
        <v>6581</v>
      </c>
      <c r="O4473" s="461">
        <v>0.01</v>
      </c>
      <c r="P4473" s="11">
        <f>IF($O4473&lt;&gt;"",P4471*(100%-$O4473),"")</f>
        <v>7.2027815248137639</v>
      </c>
      <c r="Q4473" s="11">
        <f t="shared" ref="Q4473:Q4484" si="1569">IF($O4473&lt;&gt;"",P4473-0.4,"")</f>
        <v>6.8027815248137635</v>
      </c>
      <c r="R4473" s="11"/>
    </row>
    <row r="4474" spans="1:18" x14ac:dyDescent="0.35">
      <c r="A4474" s="527" t="s">
        <v>6559</v>
      </c>
      <c r="B4474" s="526" t="s">
        <v>740</v>
      </c>
      <c r="C4474" s="526" t="s">
        <v>6560</v>
      </c>
      <c r="D4474" s="526" t="s">
        <v>6112</v>
      </c>
      <c r="E4474" s="537"/>
      <c r="F4474" s="538">
        <f t="shared" si="1567"/>
        <v>6.7</v>
      </c>
      <c r="G4474" s="538">
        <f t="shared" si="1568"/>
        <v>7.1</v>
      </c>
      <c r="H4474" s="537">
        <f t="shared" si="1553"/>
        <v>5.68</v>
      </c>
      <c r="I4474" s="574"/>
      <c r="J4474" s="549">
        <v>43873</v>
      </c>
      <c r="M4474" s="339"/>
      <c r="N4474" s="266" t="str">
        <f t="shared" ref="N4474:N4484" si="1570">TEXT(DATE(YEAR(DATEVALUE(N4473)),MONTH(DATEVALUE(N4473))+1,1),"MMMJJ")</f>
        <v>Feb20</v>
      </c>
      <c r="O4474" s="461">
        <v>1.4E-2</v>
      </c>
      <c r="P4474" s="11">
        <f t="shared" ref="P4474:P4484" si="1571">IF($O4474&lt;&gt;"",P4473*(100%-$O4474),"")</f>
        <v>7.1019425834663714</v>
      </c>
      <c r="Q4474" s="11">
        <f t="shared" si="1569"/>
        <v>6.7019425834663711</v>
      </c>
      <c r="R4474" s="11"/>
    </row>
    <row r="4475" spans="1:18" x14ac:dyDescent="0.35">
      <c r="A4475" s="527" t="s">
        <v>6561</v>
      </c>
      <c r="B4475" s="526" t="s">
        <v>740</v>
      </c>
      <c r="C4475" s="526" t="s">
        <v>6562</v>
      </c>
      <c r="D4475" s="526" t="s">
        <v>6112</v>
      </c>
      <c r="E4475" s="537"/>
      <c r="F4475" s="538">
        <f t="shared" si="1567"/>
        <v>6.6</v>
      </c>
      <c r="G4475" s="538">
        <f t="shared" si="1568"/>
        <v>7</v>
      </c>
      <c r="H4475" s="537">
        <f t="shared" si="1553"/>
        <v>5.6</v>
      </c>
      <c r="I4475" s="574"/>
      <c r="J4475" s="549">
        <v>43873</v>
      </c>
      <c r="M4475" s="339"/>
      <c r="N4475" s="266" t="str">
        <f t="shared" si="1570"/>
        <v>Mrz20</v>
      </c>
      <c r="O4475" s="461">
        <v>1.4E-2</v>
      </c>
      <c r="P4475" s="11">
        <f t="shared" si="1571"/>
        <v>7.0025153872978425</v>
      </c>
      <c r="Q4475" s="11">
        <f t="shared" si="1569"/>
        <v>6.6025153872978422</v>
      </c>
      <c r="R4475" s="11"/>
    </row>
    <row r="4476" spans="1:18" x14ac:dyDescent="0.35">
      <c r="A4476" s="527" t="s">
        <v>6563</v>
      </c>
      <c r="B4476" s="526" t="s">
        <v>740</v>
      </c>
      <c r="C4476" s="526" t="s">
        <v>6564</v>
      </c>
      <c r="D4476" s="526" t="s">
        <v>6112</v>
      </c>
      <c r="E4476" s="537"/>
      <c r="F4476" s="538">
        <f t="shared" si="1567"/>
        <v>6.5</v>
      </c>
      <c r="G4476" s="538">
        <f t="shared" si="1568"/>
        <v>6.9</v>
      </c>
      <c r="H4476" s="537">
        <f t="shared" si="1553"/>
        <v>5.52</v>
      </c>
      <c r="I4476" s="574"/>
      <c r="J4476" s="549">
        <v>43873</v>
      </c>
      <c r="M4476" s="339"/>
      <c r="N4476" s="266" t="str">
        <f t="shared" si="1570"/>
        <v>Apr20</v>
      </c>
      <c r="O4476" s="461">
        <v>1.4E-2</v>
      </c>
      <c r="P4476" s="11">
        <f t="shared" si="1571"/>
        <v>6.9044801718756723</v>
      </c>
      <c r="Q4476" s="11">
        <f t="shared" si="1569"/>
        <v>6.504480171875672</v>
      </c>
      <c r="R4476" s="11"/>
    </row>
    <row r="4477" spans="1:18" x14ac:dyDescent="0.35">
      <c r="A4477" s="527" t="s">
        <v>6565</v>
      </c>
      <c r="B4477" s="526" t="s">
        <v>740</v>
      </c>
      <c r="C4477" s="526" t="s">
        <v>6566</v>
      </c>
      <c r="D4477" s="526" t="s">
        <v>6112</v>
      </c>
      <c r="E4477" s="537"/>
      <c r="F4477" s="538">
        <f t="shared" si="1567"/>
        <v>6.41</v>
      </c>
      <c r="G4477" s="538">
        <f t="shared" si="1568"/>
        <v>6.81</v>
      </c>
      <c r="H4477" s="537">
        <f t="shared" si="1553"/>
        <v>5.45</v>
      </c>
      <c r="I4477" s="574"/>
      <c r="J4477" s="549">
        <v>43951</v>
      </c>
      <c r="M4477" s="339"/>
      <c r="N4477" s="266" t="str">
        <f t="shared" si="1570"/>
        <v>Mai20</v>
      </c>
      <c r="O4477" s="461">
        <v>1.4E-2</v>
      </c>
      <c r="P4477" s="11">
        <f t="shared" si="1571"/>
        <v>6.8078174494694128</v>
      </c>
      <c r="Q4477" s="11">
        <f t="shared" si="1569"/>
        <v>6.4078174494694125</v>
      </c>
      <c r="R4477" s="11"/>
    </row>
    <row r="4478" spans="1:18" x14ac:dyDescent="0.35">
      <c r="A4478" s="527" t="s">
        <v>6567</v>
      </c>
      <c r="B4478" s="526" t="s">
        <v>740</v>
      </c>
      <c r="C4478" s="526" t="s">
        <v>6568</v>
      </c>
      <c r="D4478" s="526" t="s">
        <v>6112</v>
      </c>
      <c r="E4478" s="537"/>
      <c r="F4478" s="538">
        <f t="shared" si="1567"/>
        <v>6.31</v>
      </c>
      <c r="G4478" s="538">
        <f t="shared" si="1568"/>
        <v>6.71</v>
      </c>
      <c r="H4478" s="537">
        <f t="shared" si="1553"/>
        <v>5.37</v>
      </c>
      <c r="I4478" s="574"/>
      <c r="J4478" s="549">
        <v>43951</v>
      </c>
      <c r="M4478" s="339"/>
      <c r="N4478" s="266" t="str">
        <f t="shared" si="1570"/>
        <v>Jun20</v>
      </c>
      <c r="O4478" s="461">
        <v>1.4E-2</v>
      </c>
      <c r="P4478" s="11">
        <f t="shared" si="1571"/>
        <v>6.7125080051768409</v>
      </c>
      <c r="Q4478" s="11">
        <f t="shared" si="1569"/>
        <v>6.3125080051768405</v>
      </c>
      <c r="R4478" s="11"/>
    </row>
    <row r="4479" spans="1:18" x14ac:dyDescent="0.35">
      <c r="A4479" s="527" t="s">
        <v>6569</v>
      </c>
      <c r="B4479" s="526" t="s">
        <v>740</v>
      </c>
      <c r="C4479" s="526" t="s">
        <v>6570</v>
      </c>
      <c r="D4479" s="526" t="s">
        <v>6112</v>
      </c>
      <c r="E4479" s="537"/>
      <c r="F4479" s="538">
        <f t="shared" si="1567"/>
        <v>6.22</v>
      </c>
      <c r="G4479" s="538">
        <f t="shared" si="1568"/>
        <v>6.62</v>
      </c>
      <c r="H4479" s="537">
        <f t="shared" si="1553"/>
        <v>5.3</v>
      </c>
      <c r="I4479" s="574"/>
      <c r="J4479" s="549">
        <v>43951</v>
      </c>
      <c r="M4479" s="339"/>
      <c r="N4479" s="266" t="str">
        <f t="shared" si="1570"/>
        <v>Jul20</v>
      </c>
      <c r="O4479" s="461">
        <v>1.4E-2</v>
      </c>
      <c r="P4479" s="11">
        <f t="shared" si="1571"/>
        <v>6.6185328931043648</v>
      </c>
      <c r="Q4479" s="11">
        <f t="shared" si="1569"/>
        <v>6.2185328931043644</v>
      </c>
      <c r="R4479" s="11"/>
    </row>
    <row r="4480" spans="1:18" x14ac:dyDescent="0.35">
      <c r="A4480" s="527" t="s">
        <v>6571</v>
      </c>
      <c r="B4480" s="526" t="s">
        <v>740</v>
      </c>
      <c r="C4480" s="526" t="s">
        <v>6572</v>
      </c>
      <c r="D4480" s="526" t="s">
        <v>6112</v>
      </c>
      <c r="E4480" s="537"/>
      <c r="F4480" s="538">
        <f t="shared" si="1567"/>
        <v>6.13</v>
      </c>
      <c r="G4480" s="538">
        <f t="shared" si="1568"/>
        <v>6.53</v>
      </c>
      <c r="H4480" s="537">
        <f t="shared" si="1553"/>
        <v>5.22</v>
      </c>
      <c r="I4480" s="574"/>
      <c r="J4480" s="549">
        <v>44064</v>
      </c>
      <c r="M4480" s="101"/>
      <c r="N4480" s="266" t="str">
        <f t="shared" si="1570"/>
        <v>Aug20</v>
      </c>
      <c r="O4480" s="461">
        <v>1.4E-2</v>
      </c>
      <c r="P4480" s="11">
        <f t="shared" si="1571"/>
        <v>6.5258734326009034</v>
      </c>
      <c r="Q4480" s="11">
        <f t="shared" si="1569"/>
        <v>6.125873432600903</v>
      </c>
      <c r="R4480" s="11"/>
    </row>
    <row r="4481" spans="1:18" x14ac:dyDescent="0.35">
      <c r="A4481" s="527" t="s">
        <v>6573</v>
      </c>
      <c r="B4481" s="526" t="s">
        <v>740</v>
      </c>
      <c r="C4481" s="526" t="s">
        <v>6574</v>
      </c>
      <c r="D4481" s="526" t="s">
        <v>6112</v>
      </c>
      <c r="E4481" s="537"/>
      <c r="F4481" s="538">
        <f t="shared" si="1567"/>
        <v>6.03</v>
      </c>
      <c r="G4481" s="538">
        <f t="shared" si="1568"/>
        <v>6.43</v>
      </c>
      <c r="H4481" s="537">
        <f t="shared" si="1553"/>
        <v>5.14</v>
      </c>
      <c r="I4481" s="574"/>
      <c r="J4481" s="549">
        <v>44064</v>
      </c>
      <c r="N4481" s="266" t="str">
        <f t="shared" si="1570"/>
        <v>Sep20</v>
      </c>
      <c r="O4481" s="461">
        <v>1.4E-2</v>
      </c>
      <c r="P4481" s="11">
        <f t="shared" si="1571"/>
        <v>6.4345112045444903</v>
      </c>
      <c r="Q4481" s="11">
        <f t="shared" si="1569"/>
        <v>6.03451120454449</v>
      </c>
      <c r="R4481" s="11"/>
    </row>
    <row r="4482" spans="1:18" x14ac:dyDescent="0.35">
      <c r="A4482" s="527" t="s">
        <v>6575</v>
      </c>
      <c r="B4482" s="526" t="s">
        <v>740</v>
      </c>
      <c r="C4482" s="526" t="s">
        <v>6576</v>
      </c>
      <c r="D4482" s="526" t="s">
        <v>6112</v>
      </c>
      <c r="E4482" s="537"/>
      <c r="F4482" s="538">
        <f t="shared" si="1567"/>
        <v>5.94</v>
      </c>
      <c r="G4482" s="538">
        <f t="shared" si="1568"/>
        <v>6.34</v>
      </c>
      <c r="H4482" s="537">
        <f t="shared" si="1553"/>
        <v>5.07</v>
      </c>
      <c r="I4482" s="574"/>
      <c r="J4482" s="549">
        <v>44064</v>
      </c>
      <c r="N4482" s="266" t="str">
        <f t="shared" si="1570"/>
        <v>Okt20</v>
      </c>
      <c r="O4482" s="461">
        <v>1.4E-2</v>
      </c>
      <c r="P4482" s="11">
        <f t="shared" si="1571"/>
        <v>6.344428047680867</v>
      </c>
      <c r="Q4482" s="11">
        <f t="shared" si="1569"/>
        <v>5.9444280476808666</v>
      </c>
      <c r="R4482" s="11"/>
    </row>
    <row r="4483" spans="1:18" x14ac:dyDescent="0.35">
      <c r="A4483" s="527" t="s">
        <v>6577</v>
      </c>
      <c r="B4483" s="526" t="s">
        <v>740</v>
      </c>
      <c r="C4483" s="526" t="s">
        <v>6578</v>
      </c>
      <c r="D4483" s="526" t="s">
        <v>6112</v>
      </c>
      <c r="E4483" s="537"/>
      <c r="F4483" s="538">
        <f t="shared" si="1567"/>
        <v>5.83</v>
      </c>
      <c r="G4483" s="538">
        <f t="shared" si="1568"/>
        <v>6.23</v>
      </c>
      <c r="H4483" s="537">
        <f t="shared" si="1553"/>
        <v>4.9800000000000004</v>
      </c>
      <c r="I4483" s="574"/>
      <c r="J4483" s="549">
        <v>44140</v>
      </c>
      <c r="N4483" s="266" t="str">
        <f t="shared" si="1570"/>
        <v>Nov20</v>
      </c>
      <c r="O4483" s="461">
        <v>1.7999999999999999E-2</v>
      </c>
      <c r="P4483" s="11">
        <f t="shared" si="1571"/>
        <v>6.2302283428226115</v>
      </c>
      <c r="Q4483" s="11">
        <f t="shared" si="1569"/>
        <v>5.8302283428226112</v>
      </c>
      <c r="R4483" s="11"/>
    </row>
    <row r="4484" spans="1:18" x14ac:dyDescent="0.35">
      <c r="A4484" s="527" t="s">
        <v>6579</v>
      </c>
      <c r="B4484" s="526" t="s">
        <v>740</v>
      </c>
      <c r="C4484" s="526" t="s">
        <v>6580</v>
      </c>
      <c r="D4484" s="526" t="s">
        <v>6112</v>
      </c>
      <c r="E4484" s="537"/>
      <c r="F4484" s="538">
        <f t="shared" si="1567"/>
        <v>5.72</v>
      </c>
      <c r="G4484" s="538">
        <f t="shared" si="1568"/>
        <v>6.12</v>
      </c>
      <c r="H4484" s="537">
        <f t="shared" si="1553"/>
        <v>4.9000000000000004</v>
      </c>
      <c r="I4484" s="574"/>
      <c r="J4484" s="549">
        <v>44140</v>
      </c>
      <c r="N4484" s="266" t="str">
        <f t="shared" si="1570"/>
        <v>Dez20</v>
      </c>
      <c r="O4484" s="461">
        <v>1.7999999999999999E-2</v>
      </c>
      <c r="P4484" s="11">
        <f t="shared" si="1571"/>
        <v>6.1180842326518041</v>
      </c>
      <c r="Q4484" s="11">
        <f t="shared" si="1569"/>
        <v>5.7180842326518038</v>
      </c>
      <c r="R4484" s="11"/>
    </row>
    <row r="4485" spans="1:18" x14ac:dyDescent="0.35">
      <c r="A4485" s="496"/>
      <c r="B4485" s="1"/>
      <c r="C4485" s="362"/>
      <c r="D4485" s="1"/>
      <c r="E4485" s="1"/>
      <c r="F4485" s="362"/>
      <c r="G4485" s="10"/>
      <c r="H4485" s="10" t="str">
        <f t="shared" si="1553"/>
        <v/>
      </c>
      <c r="I4485" s="566"/>
      <c r="J4485" s="549" t="s">
        <v>4179</v>
      </c>
      <c r="N4485" s="109" t="s">
        <v>3901</v>
      </c>
      <c r="O4485" s="29" t="s">
        <v>5489</v>
      </c>
      <c r="P4485" s="11" t="s">
        <v>49</v>
      </c>
      <c r="Q4485" s="11" t="s">
        <v>50</v>
      </c>
      <c r="R4485" s="11"/>
    </row>
    <row r="4486" spans="1:18" x14ac:dyDescent="0.35">
      <c r="A4486" s="527" t="s">
        <v>6655</v>
      </c>
      <c r="B4486" s="526" t="s">
        <v>740</v>
      </c>
      <c r="C4486" s="526" t="s">
        <v>6667</v>
      </c>
      <c r="D4486" s="526" t="s">
        <v>6112</v>
      </c>
      <c r="E4486" s="537"/>
      <c r="F4486" s="639">
        <f t="shared" ref="F4486:F4497" si="1572">IF($O4486&lt;&gt;"",ROUND(Q4486,2),"")</f>
        <v>5.61</v>
      </c>
      <c r="G4486" s="639">
        <f t="shared" ref="G4486:G4497" si="1573">IF($O4486&lt;&gt;"",ROUND(P4486,2),"")</f>
        <v>6.01</v>
      </c>
      <c r="H4486" s="641">
        <f t="shared" si="1553"/>
        <v>4.8099999999999996</v>
      </c>
      <c r="I4486" s="574"/>
      <c r="J4486" s="549">
        <v>44424</v>
      </c>
      <c r="M4486" s="101">
        <v>2021</v>
      </c>
      <c r="N4486" s="463" t="s">
        <v>6679</v>
      </c>
      <c r="O4486" s="461" t="s">
        <v>7532</v>
      </c>
      <c r="P4486" s="11">
        <v>6.01</v>
      </c>
      <c r="Q4486" s="11">
        <v>5.61</v>
      </c>
      <c r="R4486" s="11"/>
    </row>
    <row r="4487" spans="1:18" x14ac:dyDescent="0.35">
      <c r="A4487" s="527" t="s">
        <v>6656</v>
      </c>
      <c r="B4487" s="526" t="s">
        <v>740</v>
      </c>
      <c r="C4487" s="526" t="s">
        <v>6668</v>
      </c>
      <c r="D4487" s="526" t="s">
        <v>6112</v>
      </c>
      <c r="E4487" s="537"/>
      <c r="F4487" s="538">
        <f t="shared" si="1572"/>
        <v>5.53</v>
      </c>
      <c r="G4487" s="538">
        <f t="shared" si="1573"/>
        <v>5.93</v>
      </c>
      <c r="H4487" s="537">
        <f t="shared" si="1553"/>
        <v>4.74</v>
      </c>
      <c r="I4487" s="574"/>
      <c r="J4487" s="549">
        <v>44424</v>
      </c>
      <c r="M4487" s="339"/>
      <c r="N4487" s="266" t="str">
        <f t="shared" ref="N4487:N4497" si="1574">TEXT(DATE(YEAR(DATEVALUE(N4486)),MONTH(DATEVALUE(N4486))+1,1),"MMMJJ")</f>
        <v>Feb21</v>
      </c>
      <c r="O4487" s="461">
        <v>1.4E-2</v>
      </c>
      <c r="P4487" s="11">
        <f t="shared" ref="P4487:P4497" si="1575">IF($O4487&lt;&gt;"",P4486*(100%-$O4487),"")</f>
        <v>5.9258600000000001</v>
      </c>
      <c r="Q4487" s="11">
        <f t="shared" ref="Q4487:Q4497" si="1576">IF($O4487&lt;&gt;"",P4487-0.4,"")</f>
        <v>5.5258599999999998</v>
      </c>
      <c r="R4487" s="11"/>
    </row>
    <row r="4488" spans="1:18" x14ac:dyDescent="0.35">
      <c r="A4488" s="527" t="s">
        <v>6657</v>
      </c>
      <c r="B4488" s="526" t="s">
        <v>740</v>
      </c>
      <c r="C4488" s="526" t="s">
        <v>6669</v>
      </c>
      <c r="D4488" s="526" t="s">
        <v>6112</v>
      </c>
      <c r="E4488" s="537"/>
      <c r="F4488" s="538">
        <f t="shared" si="1572"/>
        <v>5.44</v>
      </c>
      <c r="G4488" s="538">
        <f t="shared" si="1573"/>
        <v>5.84</v>
      </c>
      <c r="H4488" s="537">
        <f t="shared" si="1553"/>
        <v>4.67</v>
      </c>
      <c r="I4488" s="574"/>
      <c r="J4488" s="549">
        <v>44424</v>
      </c>
      <c r="M4488" s="339"/>
      <c r="N4488" s="266" t="str">
        <f t="shared" si="1574"/>
        <v>Mrz21</v>
      </c>
      <c r="O4488" s="461">
        <v>1.4E-2</v>
      </c>
      <c r="P4488" s="11">
        <f t="shared" si="1575"/>
        <v>5.8428979600000002</v>
      </c>
      <c r="Q4488" s="11">
        <f t="shared" si="1576"/>
        <v>5.4428979599999998</v>
      </c>
      <c r="R4488" s="11"/>
    </row>
    <row r="4489" spans="1:18" x14ac:dyDescent="0.35">
      <c r="A4489" s="527" t="s">
        <v>6658</v>
      </c>
      <c r="B4489" s="526" t="s">
        <v>740</v>
      </c>
      <c r="C4489" s="526" t="s">
        <v>6670</v>
      </c>
      <c r="D4489" s="526" t="s">
        <v>6112</v>
      </c>
      <c r="E4489" s="537"/>
      <c r="F4489" s="538">
        <f t="shared" si="1572"/>
        <v>5.36</v>
      </c>
      <c r="G4489" s="538">
        <f t="shared" si="1573"/>
        <v>5.76</v>
      </c>
      <c r="H4489" s="537">
        <f t="shared" si="1553"/>
        <v>4.6100000000000003</v>
      </c>
      <c r="I4489" s="574"/>
      <c r="J4489" s="549">
        <v>44424</v>
      </c>
      <c r="M4489" s="339"/>
      <c r="N4489" s="266" t="str">
        <f t="shared" si="1574"/>
        <v>Apr21</v>
      </c>
      <c r="O4489" s="461">
        <v>1.4E-2</v>
      </c>
      <c r="P4489" s="11">
        <f t="shared" si="1575"/>
        <v>5.7610973885600005</v>
      </c>
      <c r="Q4489" s="11">
        <f t="shared" si="1576"/>
        <v>5.3610973885600002</v>
      </c>
      <c r="R4489" s="11"/>
    </row>
    <row r="4490" spans="1:18" x14ac:dyDescent="0.35">
      <c r="A4490" s="527" t="s">
        <v>6659</v>
      </c>
      <c r="B4490" s="526" t="s">
        <v>740</v>
      </c>
      <c r="C4490" s="526" t="s">
        <v>6671</v>
      </c>
      <c r="D4490" s="526" t="s">
        <v>6112</v>
      </c>
      <c r="E4490" s="537"/>
      <c r="F4490" s="538">
        <f t="shared" si="1572"/>
        <v>5.28</v>
      </c>
      <c r="G4490" s="538">
        <f t="shared" si="1573"/>
        <v>5.68</v>
      </c>
      <c r="H4490" s="537">
        <f t="shared" si="1553"/>
        <v>4.54</v>
      </c>
      <c r="I4490" s="574"/>
      <c r="J4490" s="549">
        <v>44424</v>
      </c>
      <c r="M4490" s="339"/>
      <c r="N4490" s="266" t="str">
        <f t="shared" si="1574"/>
        <v>Mai21</v>
      </c>
      <c r="O4490" s="461">
        <v>1.4E-2</v>
      </c>
      <c r="P4490" s="11">
        <f t="shared" si="1575"/>
        <v>5.6804420251201604</v>
      </c>
      <c r="Q4490" s="11">
        <f t="shared" si="1576"/>
        <v>5.28044202512016</v>
      </c>
      <c r="R4490" s="11"/>
    </row>
    <row r="4491" spans="1:18" x14ac:dyDescent="0.35">
      <c r="A4491" s="527" t="s">
        <v>6660</v>
      </c>
      <c r="B4491" s="526" t="s">
        <v>740</v>
      </c>
      <c r="C4491" s="526" t="s">
        <v>6672</v>
      </c>
      <c r="D4491" s="526" t="s">
        <v>6112</v>
      </c>
      <c r="E4491" s="537"/>
      <c r="F4491" s="538">
        <f t="shared" si="1572"/>
        <v>5.2</v>
      </c>
      <c r="G4491" s="538">
        <f t="shared" si="1573"/>
        <v>5.6</v>
      </c>
      <c r="H4491" s="537">
        <f t="shared" si="1553"/>
        <v>4.4800000000000004</v>
      </c>
      <c r="I4491" s="574"/>
      <c r="J4491" s="549">
        <v>44424</v>
      </c>
      <c r="M4491" s="339"/>
      <c r="N4491" s="266" t="str">
        <f t="shared" si="1574"/>
        <v>Jun21</v>
      </c>
      <c r="O4491" s="461">
        <v>1.4E-2</v>
      </c>
      <c r="P4491" s="11">
        <f t="shared" si="1575"/>
        <v>5.6009158367684782</v>
      </c>
      <c r="Q4491" s="11">
        <f t="shared" si="1576"/>
        <v>5.2009158367684778</v>
      </c>
      <c r="R4491" s="11"/>
    </row>
    <row r="4492" spans="1:18" x14ac:dyDescent="0.35">
      <c r="A4492" s="527" t="s">
        <v>6661</v>
      </c>
      <c r="B4492" s="526" t="s">
        <v>740</v>
      </c>
      <c r="C4492" s="526" t="s">
        <v>6673</v>
      </c>
      <c r="D4492" s="526" t="s">
        <v>6112</v>
      </c>
      <c r="E4492" s="537"/>
      <c r="F4492" s="538">
        <f t="shared" si="1572"/>
        <v>5.12</v>
      </c>
      <c r="G4492" s="538">
        <f t="shared" si="1573"/>
        <v>5.52</v>
      </c>
      <c r="H4492" s="537">
        <f t="shared" si="1553"/>
        <v>4.42</v>
      </c>
      <c r="I4492" s="574"/>
      <c r="J4492" s="549">
        <v>44424</v>
      </c>
      <c r="M4492" s="339"/>
      <c r="N4492" s="266" t="str">
        <f t="shared" si="1574"/>
        <v>Jul21</v>
      </c>
      <c r="O4492" s="461">
        <v>1.4E-2</v>
      </c>
      <c r="P4492" s="11">
        <f t="shared" si="1575"/>
        <v>5.5225030150537195</v>
      </c>
      <c r="Q4492" s="11">
        <f t="shared" si="1576"/>
        <v>5.1225030150537192</v>
      </c>
      <c r="R4492" s="11"/>
    </row>
    <row r="4493" spans="1:18" x14ac:dyDescent="0.35">
      <c r="A4493" s="527" t="s">
        <v>6662</v>
      </c>
      <c r="B4493" s="526" t="s">
        <v>740</v>
      </c>
      <c r="C4493" s="526" t="s">
        <v>6674</v>
      </c>
      <c r="D4493" s="526" t="s">
        <v>6112</v>
      </c>
      <c r="E4493" s="537"/>
      <c r="F4493" s="538">
        <f t="shared" si="1572"/>
        <v>5.05</v>
      </c>
      <c r="G4493" s="538">
        <f t="shared" si="1573"/>
        <v>5.45</v>
      </c>
      <c r="H4493" s="537">
        <f t="shared" si="1553"/>
        <v>4.3600000000000003</v>
      </c>
      <c r="I4493" s="574"/>
      <c r="J4493" s="549">
        <v>44424</v>
      </c>
      <c r="M4493" s="101"/>
      <c r="N4493" s="266" t="str">
        <f t="shared" si="1574"/>
        <v>Aug21</v>
      </c>
      <c r="O4493" s="461">
        <v>1.4E-2</v>
      </c>
      <c r="P4493" s="11">
        <f t="shared" si="1575"/>
        <v>5.4451879728429677</v>
      </c>
      <c r="Q4493" s="11">
        <f t="shared" si="1576"/>
        <v>5.0451879728429674</v>
      </c>
      <c r="R4493" s="11"/>
    </row>
    <row r="4494" spans="1:18" x14ac:dyDescent="0.35">
      <c r="A4494" s="527" t="s">
        <v>6663</v>
      </c>
      <c r="B4494" s="526" t="s">
        <v>740</v>
      </c>
      <c r="C4494" s="526" t="s">
        <v>6675</v>
      </c>
      <c r="D4494" s="526" t="s">
        <v>6112</v>
      </c>
      <c r="E4494" s="537"/>
      <c r="F4494" s="538">
        <f t="shared" si="1572"/>
        <v>4.97</v>
      </c>
      <c r="G4494" s="538">
        <f t="shared" si="1573"/>
        <v>5.37</v>
      </c>
      <c r="H4494" s="537">
        <f t="shared" si="1553"/>
        <v>4.3</v>
      </c>
      <c r="I4494" s="574"/>
      <c r="J4494" s="549">
        <v>44424</v>
      </c>
      <c r="N4494" s="266" t="str">
        <f t="shared" si="1574"/>
        <v>Sep21</v>
      </c>
      <c r="O4494" s="461">
        <v>1.4E-2</v>
      </c>
      <c r="P4494" s="11">
        <f t="shared" si="1575"/>
        <v>5.3689553412231659</v>
      </c>
      <c r="Q4494" s="11">
        <f t="shared" si="1576"/>
        <v>4.9689553412231655</v>
      </c>
      <c r="R4494" s="11"/>
    </row>
    <row r="4495" spans="1:18" x14ac:dyDescent="0.35">
      <c r="A4495" s="527" t="s">
        <v>6664</v>
      </c>
      <c r="B4495" s="526" t="s">
        <v>740</v>
      </c>
      <c r="C4495" s="526" t="s">
        <v>6676</v>
      </c>
      <c r="D4495" s="526" t="s">
        <v>6112</v>
      </c>
      <c r="E4495" s="537"/>
      <c r="F4495" s="538">
        <f t="shared" si="1572"/>
        <v>4.8899999999999997</v>
      </c>
      <c r="G4495" s="538">
        <f t="shared" si="1573"/>
        <v>5.29</v>
      </c>
      <c r="H4495" s="537">
        <f t="shared" si="1553"/>
        <v>4.2300000000000004</v>
      </c>
      <c r="I4495" s="574"/>
      <c r="J4495" s="549">
        <v>44424</v>
      </c>
      <c r="N4495" s="266" t="str">
        <f t="shared" si="1574"/>
        <v>Okt21</v>
      </c>
      <c r="O4495" s="461">
        <v>1.4E-2</v>
      </c>
      <c r="P4495" s="11">
        <f t="shared" si="1575"/>
        <v>5.2937899664460417</v>
      </c>
      <c r="Q4495" s="11">
        <f t="shared" si="1576"/>
        <v>4.8937899664460414</v>
      </c>
      <c r="R4495" s="11"/>
    </row>
    <row r="4496" spans="1:18" x14ac:dyDescent="0.35">
      <c r="A4496" s="527" t="s">
        <v>6665</v>
      </c>
      <c r="B4496" s="526" t="s">
        <v>740</v>
      </c>
      <c r="C4496" s="526" t="s">
        <v>6677</v>
      </c>
      <c r="D4496" s="526" t="s">
        <v>6112</v>
      </c>
      <c r="E4496" s="537"/>
      <c r="F4496" s="538">
        <f t="shared" si="1572"/>
        <v>4.82</v>
      </c>
      <c r="G4496" s="538">
        <f t="shared" si="1573"/>
        <v>5.22</v>
      </c>
      <c r="H4496" s="537">
        <f t="shared" si="1553"/>
        <v>4.18</v>
      </c>
      <c r="I4496" s="574"/>
      <c r="J4496" s="549">
        <v>44511</v>
      </c>
      <c r="N4496" s="266" t="str">
        <f t="shared" si="1574"/>
        <v>Nov21</v>
      </c>
      <c r="O4496" s="461">
        <v>1.4E-2</v>
      </c>
      <c r="P4496" s="11">
        <f t="shared" si="1575"/>
        <v>5.2196769069157973</v>
      </c>
      <c r="Q4496" s="11">
        <f t="shared" si="1576"/>
        <v>4.819676906915797</v>
      </c>
      <c r="R4496" s="11"/>
    </row>
    <row r="4497" spans="1:19" x14ac:dyDescent="0.35">
      <c r="A4497" s="527" t="s">
        <v>6666</v>
      </c>
      <c r="B4497" s="526" t="s">
        <v>740</v>
      </c>
      <c r="C4497" s="526" t="s">
        <v>6678</v>
      </c>
      <c r="D4497" s="526" t="s">
        <v>6112</v>
      </c>
      <c r="E4497" s="537"/>
      <c r="F4497" s="538">
        <f t="shared" si="1572"/>
        <v>4.75</v>
      </c>
      <c r="G4497" s="538">
        <f t="shared" si="1573"/>
        <v>5.15</v>
      </c>
      <c r="H4497" s="537">
        <f t="shared" si="1553"/>
        <v>4.12</v>
      </c>
      <c r="I4497" s="574"/>
      <c r="J4497" s="549">
        <v>44511</v>
      </c>
      <c r="N4497" s="266" t="str">
        <f t="shared" si="1574"/>
        <v>Dez21</v>
      </c>
      <c r="O4497" s="461">
        <v>1.4E-2</v>
      </c>
      <c r="P4497" s="11">
        <f t="shared" si="1575"/>
        <v>5.1466014302189764</v>
      </c>
      <c r="Q4497" s="11">
        <f t="shared" si="1576"/>
        <v>4.7466014302189761</v>
      </c>
      <c r="R4497" s="11"/>
    </row>
    <row r="4498" spans="1:19" x14ac:dyDescent="0.35">
      <c r="A4498" s="496"/>
      <c r="B4498" s="1"/>
      <c r="C4498" s="362"/>
      <c r="D4498" s="1"/>
      <c r="E4498" s="1"/>
      <c r="F4498" s="362"/>
      <c r="G4498" s="10"/>
      <c r="H4498" s="10" t="str">
        <f t="shared" ref="H4498:H4516" si="1577">IF(ISNUMBER(G4498),ROUND(0.8*G4498,2),"")</f>
        <v/>
      </c>
      <c r="I4498" s="566"/>
      <c r="J4498" s="549" t="s">
        <v>4179</v>
      </c>
      <c r="N4498" s="109" t="s">
        <v>3901</v>
      </c>
      <c r="O4498" s="29" t="s">
        <v>5489</v>
      </c>
      <c r="P4498" s="11" t="s">
        <v>49</v>
      </c>
      <c r="Q4498" s="11" t="s">
        <v>50</v>
      </c>
      <c r="R4498" s="11"/>
    </row>
    <row r="4499" spans="1:19" x14ac:dyDescent="0.35">
      <c r="A4499" s="527" t="str">
        <f t="shared" ref="A4499:A4510" si="1578">"SoK481---"&amp;RIGHT(N4499,5)</f>
        <v>SoK481---Jan22</v>
      </c>
      <c r="B4499" s="526" t="s">
        <v>740</v>
      </c>
      <c r="C4499" s="526" t="str">
        <f t="shared" ref="C4499:C4510" si="1579">"Inbetriebnahme "&amp;TEXT(DATEVALUE(RIGHT(A4499,5)),"MM/JJJJ")</f>
        <v>Inbetriebnahme 01/2022</v>
      </c>
      <c r="D4499" s="526" t="s">
        <v>6112</v>
      </c>
      <c r="E4499" s="537"/>
      <c r="F4499" s="639">
        <f t="shared" ref="F4499:F4510" si="1580">IF($O4499&lt;&gt;"",ROUND(Q4499,2),"")</f>
        <v>4.67</v>
      </c>
      <c r="G4499" s="639">
        <f t="shared" ref="G4499:G4510" si="1581">IF($O4499&lt;&gt;"",ROUND(P4499,2),"")</f>
        <v>5.07</v>
      </c>
      <c r="H4499" s="641">
        <f t="shared" si="1577"/>
        <v>4.0599999999999996</v>
      </c>
      <c r="I4499" s="574"/>
      <c r="J4499" s="549">
        <v>44536</v>
      </c>
      <c r="M4499" s="101">
        <v>2022</v>
      </c>
      <c r="N4499" s="463" t="s">
        <v>7650</v>
      </c>
      <c r="O4499" s="461">
        <v>1.4E-2</v>
      </c>
      <c r="P4499" s="11">
        <f>IF($O4499&lt;&gt;"",P4497*(100%-$O4499),"")</f>
        <v>5.074549010195911</v>
      </c>
      <c r="Q4499" s="11">
        <f t="shared" ref="Q4499:Q4510" si="1582">IF($O4499&lt;&gt;"",P4499-0.4,"")</f>
        <v>4.6745490101959106</v>
      </c>
      <c r="R4499" s="11"/>
    </row>
    <row r="4500" spans="1:19" x14ac:dyDescent="0.35">
      <c r="A4500" s="527" t="str">
        <f t="shared" si="1578"/>
        <v>SoK481---Feb22</v>
      </c>
      <c r="B4500" s="526" t="s">
        <v>740</v>
      </c>
      <c r="C4500" s="526" t="str">
        <f t="shared" si="1579"/>
        <v>Inbetriebnahme 02/2022</v>
      </c>
      <c r="D4500" s="526" t="s">
        <v>6112</v>
      </c>
      <c r="E4500" s="537"/>
      <c r="F4500" s="538">
        <f t="shared" si="1580"/>
        <v>4.5999999999999996</v>
      </c>
      <c r="G4500" s="538">
        <f t="shared" si="1581"/>
        <v>5</v>
      </c>
      <c r="H4500" s="537">
        <f t="shared" si="1577"/>
        <v>4</v>
      </c>
      <c r="I4500" s="574"/>
      <c r="J4500" s="549">
        <v>44592</v>
      </c>
      <c r="M4500" s="339"/>
      <c r="N4500" s="266" t="str">
        <f t="shared" ref="N4500:N4510" si="1583">TEXT(DATE(YEAR(DATEVALUE(N4499)),MONTH(DATEVALUE(N4499))+1,1),"MMMJJ")</f>
        <v>Feb22</v>
      </c>
      <c r="O4500" s="461">
        <v>1.4E-2</v>
      </c>
      <c r="P4500" s="11">
        <f t="shared" ref="P4500:P4510" si="1584">IF($O4500&lt;&gt;"",P4499*(100%-$O4500),"")</f>
        <v>5.0035053240531679</v>
      </c>
      <c r="Q4500" s="11">
        <f t="shared" si="1582"/>
        <v>4.6035053240531676</v>
      </c>
      <c r="R4500" s="11"/>
      <c r="S4500" s="694"/>
    </row>
    <row r="4501" spans="1:19" x14ac:dyDescent="0.35">
      <c r="A4501" s="527" t="str">
        <f t="shared" si="1578"/>
        <v>SoK481---Mrz22</v>
      </c>
      <c r="B4501" s="526" t="s">
        <v>740</v>
      </c>
      <c r="C4501" s="526" t="str">
        <f t="shared" si="1579"/>
        <v>Inbetriebnahme 03/2022</v>
      </c>
      <c r="D4501" s="526" t="s">
        <v>6112</v>
      </c>
      <c r="E4501" s="537"/>
      <c r="F4501" s="538">
        <f t="shared" si="1580"/>
        <v>4.53</v>
      </c>
      <c r="G4501" s="538">
        <f t="shared" si="1581"/>
        <v>4.93</v>
      </c>
      <c r="H4501" s="537">
        <f t="shared" si="1577"/>
        <v>3.94</v>
      </c>
      <c r="I4501" s="574"/>
      <c r="J4501" s="549">
        <v>44592</v>
      </c>
      <c r="M4501" s="339"/>
      <c r="N4501" s="266" t="str">
        <f t="shared" si="1583"/>
        <v>Mrz22</v>
      </c>
      <c r="O4501" s="461">
        <v>1.4E-2</v>
      </c>
      <c r="P4501" s="11">
        <f t="shared" si="1584"/>
        <v>4.9334562495164231</v>
      </c>
      <c r="Q4501" s="11">
        <f t="shared" si="1582"/>
        <v>4.5334562495164228</v>
      </c>
      <c r="R4501" s="11"/>
      <c r="S4501" s="694"/>
    </row>
    <row r="4502" spans="1:19" x14ac:dyDescent="0.35">
      <c r="A4502" s="527" t="str">
        <f t="shared" si="1578"/>
        <v>SoK481---Apr22</v>
      </c>
      <c r="B4502" s="526" t="s">
        <v>740</v>
      </c>
      <c r="C4502" s="526" t="str">
        <f t="shared" si="1579"/>
        <v>Inbetriebnahme 04/2022</v>
      </c>
      <c r="D4502" s="526" t="s">
        <v>6112</v>
      </c>
      <c r="E4502" s="537"/>
      <c r="F4502" s="538">
        <f t="shared" si="1580"/>
        <v>4.46</v>
      </c>
      <c r="G4502" s="538">
        <f t="shared" si="1581"/>
        <v>4.8600000000000003</v>
      </c>
      <c r="H4502" s="537">
        <f t="shared" si="1577"/>
        <v>3.89</v>
      </c>
      <c r="I4502" s="574"/>
      <c r="J4502" s="549">
        <v>44592</v>
      </c>
      <c r="M4502" s="339"/>
      <c r="N4502" s="266" t="str">
        <f t="shared" si="1583"/>
        <v>Apr22</v>
      </c>
      <c r="O4502" s="461">
        <v>1.4E-2</v>
      </c>
      <c r="P4502" s="11">
        <f t="shared" si="1584"/>
        <v>4.8643878620231931</v>
      </c>
      <c r="Q4502" s="11">
        <f t="shared" si="1582"/>
        <v>4.4643878620231927</v>
      </c>
      <c r="R4502" s="11"/>
      <c r="S4502" s="694"/>
    </row>
    <row r="4503" spans="1:19" x14ac:dyDescent="0.35">
      <c r="A4503" s="527" t="str">
        <f t="shared" si="1578"/>
        <v>SoK481---Mai22</v>
      </c>
      <c r="B4503" s="526" t="s">
        <v>740</v>
      </c>
      <c r="C4503" s="526" t="str">
        <f t="shared" si="1579"/>
        <v>Inbetriebnahme 05/2022</v>
      </c>
      <c r="D4503" s="526" t="s">
        <v>6112</v>
      </c>
      <c r="E4503" s="537"/>
      <c r="F4503" s="538">
        <f t="shared" si="1580"/>
        <v>4.4000000000000004</v>
      </c>
      <c r="G4503" s="538">
        <f t="shared" si="1581"/>
        <v>4.8</v>
      </c>
      <c r="H4503" s="537">
        <f t="shared" si="1577"/>
        <v>3.84</v>
      </c>
      <c r="I4503" s="574"/>
      <c r="J4503" s="549">
        <v>44681</v>
      </c>
      <c r="M4503" s="339"/>
      <c r="N4503" s="266" t="str">
        <f t="shared" si="1583"/>
        <v>Mai22</v>
      </c>
      <c r="O4503" s="461">
        <v>1.4E-2</v>
      </c>
      <c r="P4503" s="11">
        <f t="shared" si="1584"/>
        <v>4.7962864319548686</v>
      </c>
      <c r="Q4503" s="11">
        <f t="shared" si="1582"/>
        <v>4.3962864319548682</v>
      </c>
      <c r="R4503" s="11"/>
      <c r="S4503" s="694"/>
    </row>
    <row r="4504" spans="1:19" x14ac:dyDescent="0.35">
      <c r="A4504" s="527" t="str">
        <f t="shared" si="1578"/>
        <v>SoK481---Jun22</v>
      </c>
      <c r="B4504" s="526" t="s">
        <v>740</v>
      </c>
      <c r="C4504" s="526" t="str">
        <f t="shared" si="1579"/>
        <v>Inbetriebnahme 06/2022</v>
      </c>
      <c r="D4504" s="526" t="s">
        <v>6112</v>
      </c>
      <c r="E4504" s="537"/>
      <c r="F4504" s="538">
        <f t="shared" si="1580"/>
        <v>4.33</v>
      </c>
      <c r="G4504" s="538">
        <f t="shared" si="1581"/>
        <v>4.7300000000000004</v>
      </c>
      <c r="H4504" s="537">
        <f t="shared" si="1577"/>
        <v>3.78</v>
      </c>
      <c r="I4504" s="574"/>
      <c r="J4504" s="549">
        <v>44681</v>
      </c>
      <c r="M4504" s="339"/>
      <c r="N4504" s="266" t="str">
        <f t="shared" si="1583"/>
        <v>Jun22</v>
      </c>
      <c r="O4504" s="461">
        <v>1.4E-2</v>
      </c>
      <c r="P4504" s="11">
        <f t="shared" si="1584"/>
        <v>4.7291384219075008</v>
      </c>
      <c r="Q4504" s="11">
        <f t="shared" si="1582"/>
        <v>4.3291384219075004</v>
      </c>
      <c r="R4504" s="11"/>
      <c r="S4504" s="694"/>
    </row>
    <row r="4505" spans="1:19" x14ac:dyDescent="0.35">
      <c r="A4505" s="527" t="str">
        <f t="shared" si="1578"/>
        <v>SoK481---Jul22</v>
      </c>
      <c r="B4505" s="526" t="s">
        <v>740</v>
      </c>
      <c r="C4505" s="526" t="str">
        <f t="shared" si="1579"/>
        <v>Inbetriebnahme 07/2022</v>
      </c>
      <c r="D4505" s="526" t="s">
        <v>6112</v>
      </c>
      <c r="E4505" s="537"/>
      <c r="F4505" s="538">
        <f t="shared" si="1580"/>
        <v>4.26</v>
      </c>
      <c r="G4505" s="538">
        <f t="shared" si="1581"/>
        <v>4.66</v>
      </c>
      <c r="H4505" s="537">
        <f t="shared" si="1577"/>
        <v>3.73</v>
      </c>
      <c r="I4505" s="574"/>
      <c r="J4505" s="549">
        <v>44681</v>
      </c>
      <c r="M4505" s="339"/>
      <c r="N4505" s="266" t="str">
        <f t="shared" si="1583"/>
        <v>Jul22</v>
      </c>
      <c r="O4505" s="461">
        <v>1.4E-2</v>
      </c>
      <c r="P4505" s="11">
        <f t="shared" si="1584"/>
        <v>4.6629304840007961</v>
      </c>
      <c r="Q4505" s="11">
        <f t="shared" si="1582"/>
        <v>4.2629304840007958</v>
      </c>
      <c r="R4505" s="11"/>
      <c r="S4505" s="694"/>
    </row>
    <row r="4506" spans="1:19" x14ac:dyDescent="0.35">
      <c r="A4506" s="527" t="str">
        <f t="shared" si="1578"/>
        <v>SoK481---Aug22</v>
      </c>
      <c r="B4506" s="526" t="s">
        <v>740</v>
      </c>
      <c r="C4506" s="526" t="str">
        <f t="shared" si="1579"/>
        <v>Inbetriebnahme 08/2022</v>
      </c>
      <c r="D4506" s="526" t="s">
        <v>6112</v>
      </c>
      <c r="E4506" s="537"/>
      <c r="F4506" s="538">
        <f t="shared" si="1580"/>
        <v>4.2</v>
      </c>
      <c r="G4506" s="538">
        <f t="shared" si="1581"/>
        <v>4.5999999999999996</v>
      </c>
      <c r="H4506" s="537">
        <f t="shared" si="1577"/>
        <v>3.68</v>
      </c>
      <c r="I4506" s="574"/>
      <c r="J4506" s="549">
        <v>44774</v>
      </c>
      <c r="M4506" s="101"/>
      <c r="N4506" s="266" t="str">
        <f t="shared" si="1583"/>
        <v>Aug22</v>
      </c>
      <c r="O4506" s="461">
        <v>1.4E-2</v>
      </c>
      <c r="P4506" s="11">
        <f t="shared" si="1584"/>
        <v>4.5976494572247848</v>
      </c>
      <c r="Q4506" s="11">
        <f t="shared" si="1582"/>
        <v>4.1976494572247844</v>
      </c>
      <c r="R4506" s="11"/>
    </row>
    <row r="4507" spans="1:19" x14ac:dyDescent="0.35">
      <c r="A4507" s="527" t="str">
        <f t="shared" si="1578"/>
        <v>SoK481---Sep22</v>
      </c>
      <c r="B4507" s="526" t="s">
        <v>740</v>
      </c>
      <c r="C4507" s="526" t="str">
        <f t="shared" si="1579"/>
        <v>Inbetriebnahme 09/2022</v>
      </c>
      <c r="D4507" s="526" t="s">
        <v>6112</v>
      </c>
      <c r="E4507" s="537"/>
      <c r="F4507" s="538">
        <f t="shared" si="1580"/>
        <v>4.13</v>
      </c>
      <c r="G4507" s="538">
        <f t="shared" si="1581"/>
        <v>4.53</v>
      </c>
      <c r="H4507" s="537">
        <f t="shared" si="1577"/>
        <v>3.62</v>
      </c>
      <c r="I4507" s="574"/>
      <c r="J4507" s="549">
        <v>44774</v>
      </c>
      <c r="N4507" s="266" t="str">
        <f t="shared" si="1583"/>
        <v>Sep22</v>
      </c>
      <c r="O4507" s="461">
        <v>1.4E-2</v>
      </c>
      <c r="P4507" s="11">
        <f t="shared" si="1584"/>
        <v>4.5332823648236378</v>
      </c>
      <c r="Q4507" s="11">
        <f t="shared" si="1582"/>
        <v>4.1332823648236374</v>
      </c>
      <c r="R4507" s="11"/>
    </row>
    <row r="4508" spans="1:19" x14ac:dyDescent="0.35">
      <c r="A4508" s="527" t="str">
        <f t="shared" si="1578"/>
        <v>SoK481---Okt22</v>
      </c>
      <c r="B4508" s="526" t="s">
        <v>740</v>
      </c>
      <c r="C4508" s="526" t="str">
        <f t="shared" si="1579"/>
        <v>Inbetriebnahme 10/2022</v>
      </c>
      <c r="D4508" s="526" t="s">
        <v>6112</v>
      </c>
      <c r="E4508" s="537"/>
      <c r="F4508" s="538">
        <f t="shared" si="1580"/>
        <v>4.07</v>
      </c>
      <c r="G4508" s="538">
        <f t="shared" si="1581"/>
        <v>4.47</v>
      </c>
      <c r="H4508" s="537">
        <f t="shared" si="1577"/>
        <v>3.58</v>
      </c>
      <c r="I4508" s="574"/>
      <c r="J4508" s="549">
        <v>44774</v>
      </c>
      <c r="N4508" s="266" t="str">
        <f t="shared" si="1583"/>
        <v>Okt22</v>
      </c>
      <c r="O4508" s="461">
        <v>1.4E-2</v>
      </c>
      <c r="P4508" s="11">
        <f t="shared" si="1584"/>
        <v>4.4698164117161072</v>
      </c>
      <c r="Q4508" s="11">
        <f t="shared" si="1582"/>
        <v>4.0698164117161069</v>
      </c>
      <c r="R4508" s="11"/>
    </row>
    <row r="4509" spans="1:19" x14ac:dyDescent="0.35">
      <c r="A4509" s="527" t="str">
        <f t="shared" si="1578"/>
        <v>SoK481---Nov22</v>
      </c>
      <c r="B4509" s="526" t="s">
        <v>740</v>
      </c>
      <c r="C4509" s="526" t="str">
        <f t="shared" si="1579"/>
        <v>Inbetriebnahme 11/2022</v>
      </c>
      <c r="D4509" s="526" t="s">
        <v>6112</v>
      </c>
      <c r="E4509" s="537"/>
      <c r="F4509" s="538">
        <f t="shared" si="1580"/>
        <v>3.99</v>
      </c>
      <c r="G4509" s="538">
        <f t="shared" si="1581"/>
        <v>4.3899999999999997</v>
      </c>
      <c r="H4509" s="537">
        <f t="shared" si="1577"/>
        <v>3.51</v>
      </c>
      <c r="I4509" s="574"/>
      <c r="J4509" s="549">
        <v>44865</v>
      </c>
      <c r="N4509" s="266" t="str">
        <f t="shared" si="1583"/>
        <v>Nov22</v>
      </c>
      <c r="O4509" s="461">
        <v>1.7999999999999999E-2</v>
      </c>
      <c r="P4509" s="11">
        <f t="shared" si="1584"/>
        <v>4.3893597163052176</v>
      </c>
      <c r="Q4509" s="11">
        <f t="shared" si="1582"/>
        <v>3.9893597163052177</v>
      </c>
      <c r="R4509" s="11"/>
    </row>
    <row r="4510" spans="1:19" x14ac:dyDescent="0.35">
      <c r="A4510" s="527" t="str">
        <f t="shared" si="1578"/>
        <v>SoK481---Dez22</v>
      </c>
      <c r="B4510" s="526" t="s">
        <v>740</v>
      </c>
      <c r="C4510" s="526" t="str">
        <f t="shared" si="1579"/>
        <v>Inbetriebnahme 12/2022</v>
      </c>
      <c r="D4510" s="526" t="s">
        <v>6112</v>
      </c>
      <c r="E4510" s="537"/>
      <c r="F4510" s="538">
        <f t="shared" si="1580"/>
        <v>3.91</v>
      </c>
      <c r="G4510" s="538">
        <f t="shared" si="1581"/>
        <v>4.3099999999999996</v>
      </c>
      <c r="H4510" s="537">
        <f t="shared" si="1577"/>
        <v>3.45</v>
      </c>
      <c r="I4510" s="574"/>
      <c r="J4510" s="549">
        <v>44865</v>
      </c>
      <c r="N4510" s="266" t="str">
        <f t="shared" si="1583"/>
        <v>Dez22</v>
      </c>
      <c r="O4510" s="461">
        <v>1.7999999999999999E-2</v>
      </c>
      <c r="P4510" s="11">
        <f t="shared" si="1584"/>
        <v>4.3103512414117233</v>
      </c>
      <c r="Q4510" s="11">
        <f t="shared" si="1582"/>
        <v>3.9103512414117234</v>
      </c>
      <c r="R4510" s="11"/>
    </row>
    <row r="4511" spans="1:19" x14ac:dyDescent="0.35">
      <c r="A4511" s="496"/>
      <c r="B4511" s="1"/>
      <c r="C4511" s="362"/>
      <c r="D4511" s="1"/>
      <c r="E4511" s="1"/>
      <c r="F4511" s="362"/>
      <c r="G4511" s="10"/>
      <c r="H4511" s="10" t="str">
        <f t="shared" si="1577"/>
        <v/>
      </c>
      <c r="I4511" s="566"/>
      <c r="J4511" s="549" t="s">
        <v>4179</v>
      </c>
      <c r="N4511" s="109"/>
      <c r="O4511" s="29"/>
      <c r="P4511" s="11" t="s">
        <v>49</v>
      </c>
      <c r="Q4511" s="11" t="s">
        <v>50</v>
      </c>
      <c r="R4511" s="11"/>
    </row>
    <row r="4512" spans="1:19" x14ac:dyDescent="0.35">
      <c r="A4512" s="527" t="str">
        <f>"SoK481------"&amp;RIGHT(M4512,2)</f>
        <v>SoK481------23</v>
      </c>
      <c r="B4512" s="526" t="s">
        <v>740</v>
      </c>
      <c r="C4512" s="526" t="str">
        <f>"Inbetriebnahme "&amp;M4512</f>
        <v>Inbetriebnahme 2023</v>
      </c>
      <c r="D4512" s="526" t="s">
        <v>7917</v>
      </c>
      <c r="E4512" s="537"/>
      <c r="F4512" s="639">
        <f>IF($O4512&lt;&gt;"",ROUND(Q4512,2),"")</f>
        <v>6.6</v>
      </c>
      <c r="G4512" s="639">
        <f>IF($O4512&lt;&gt;"",ROUND(P4512,2),"")</f>
        <v>7</v>
      </c>
      <c r="H4512" s="641">
        <f t="shared" si="1577"/>
        <v>5.6</v>
      </c>
      <c r="I4512" s="574"/>
      <c r="J4512" s="549">
        <f>J$31</f>
        <v>44896</v>
      </c>
      <c r="M4512" s="101">
        <v>2023</v>
      </c>
      <c r="N4512" s="463"/>
      <c r="O4512" s="461" t="s">
        <v>7904</v>
      </c>
      <c r="P4512" s="11">
        <v>7</v>
      </c>
      <c r="Q4512" s="11">
        <f>IF($O4512&lt;&gt;"",P4512-0.4,"")</f>
        <v>6.6</v>
      </c>
      <c r="R4512" s="11"/>
    </row>
    <row r="4513" spans="1:19" x14ac:dyDescent="0.35">
      <c r="A4513" s="496"/>
      <c r="B4513" s="1"/>
      <c r="C4513" s="362"/>
      <c r="D4513" s="1"/>
      <c r="E4513" s="1"/>
      <c r="F4513" s="362"/>
      <c r="G4513" s="10"/>
      <c r="H4513" s="10" t="str">
        <f t="shared" si="1577"/>
        <v/>
      </c>
      <c r="I4513" s="566"/>
      <c r="J4513" s="549" t="s">
        <v>4179</v>
      </c>
      <c r="N4513" s="109" t="s">
        <v>3901</v>
      </c>
      <c r="O4513" s="29" t="s">
        <v>5489</v>
      </c>
      <c r="P4513" s="11" t="s">
        <v>49</v>
      </c>
      <c r="Q4513" s="11" t="s">
        <v>50</v>
      </c>
      <c r="R4513" s="11"/>
    </row>
    <row r="4514" spans="1:19" x14ac:dyDescent="0.35">
      <c r="A4514" s="527" t="str">
        <f>"SoK481---"&amp;RIGHT(N4514,5)</f>
        <v>SoK481---Jan24</v>
      </c>
      <c r="B4514" s="526" t="s">
        <v>740</v>
      </c>
      <c r="C4514" s="526" t="str">
        <f>"Inbetriebnahme "&amp;TEXT(DATEVALUE(RIGHT(R4514,5)),"MM/JJJJ")</f>
        <v>Inbetriebnahme 01/2024</v>
      </c>
      <c r="D4514" s="526" t="s">
        <v>6112</v>
      </c>
      <c r="E4514" s="537"/>
      <c r="F4514" s="639">
        <f>IF($O4514&lt;&gt;"",ROUND(Q4514,2),"")</f>
        <v>6.6</v>
      </c>
      <c r="G4514" s="639">
        <f>IF($O4514&lt;&gt;"",ROUND(P4514,2),"")</f>
        <v>7</v>
      </c>
      <c r="H4514" s="641">
        <f t="shared" si="1577"/>
        <v>5.6</v>
      </c>
      <c r="I4514" s="574"/>
      <c r="J4514" s="549">
        <v>45268</v>
      </c>
      <c r="M4514" s="101">
        <v>2024</v>
      </c>
      <c r="N4514" s="873" t="s">
        <v>8237</v>
      </c>
      <c r="O4514" s="461">
        <v>0</v>
      </c>
      <c r="P4514" s="11">
        <f>IF($O4514&lt;&gt;"",P4512*(100%-$O4514),"")</f>
        <v>7</v>
      </c>
      <c r="Q4514" s="11">
        <f>IF($O4514&lt;&gt;"",P4514-0.4,"")</f>
        <v>6.6</v>
      </c>
      <c r="R4514" t="str">
        <f>"Jan"&amp;RIGHT(M4514,2)</f>
        <v>Jan24</v>
      </c>
    </row>
    <row r="4515" spans="1:19" x14ac:dyDescent="0.35">
      <c r="A4515" s="527" t="str">
        <f>"SoK481---"&amp;RIGHT(N4515,5)</f>
        <v>SoK481---Feb24</v>
      </c>
      <c r="B4515" s="526" t="s">
        <v>740</v>
      </c>
      <c r="C4515" s="526" t="str">
        <f>"Inbetriebnahme "&amp;TEXT(DATEVALUE(RIGHT(R4515,5)),"MM")&amp;"-"&amp;TEXT(DATEVALUE(RIGHT(S4515,5)),"MM/JJJJ")</f>
        <v>Inbetriebnahme 02-07/2024</v>
      </c>
      <c r="D4515" s="526" t="s">
        <v>6112</v>
      </c>
      <c r="E4515" s="537"/>
      <c r="F4515" s="538">
        <f>IF($O4515&lt;&gt;"",ROUND(Q4515,2),"")</f>
        <v>6.53</v>
      </c>
      <c r="G4515" s="538">
        <f>IF($O4515&lt;&gt;"",ROUND(P4515,2),"")</f>
        <v>6.93</v>
      </c>
      <c r="H4515" s="537">
        <f t="shared" si="1577"/>
        <v>5.54</v>
      </c>
      <c r="I4515" s="574"/>
      <c r="J4515" s="549">
        <v>45268</v>
      </c>
      <c r="M4515" s="339"/>
      <c r="N4515" s="266" t="str">
        <f>TEXT(DATE(YEAR(DATEVALUE(N4514)),MONTH(DATEVALUE(N4514))+1,1),"MMMJJ")</f>
        <v>Feb24</v>
      </c>
      <c r="O4515" s="461">
        <v>0.01</v>
      </c>
      <c r="P4515" s="11">
        <f>IF($O4515&lt;&gt;"",P4514*(100%-$O4515),"")</f>
        <v>6.93</v>
      </c>
      <c r="Q4515" s="11">
        <f>IF($O4515&lt;&gt;"",P4515-0.4,"")</f>
        <v>6.5299999999999994</v>
      </c>
      <c r="R4515" t="str">
        <f>"Feb"&amp;RIGHT($M4514,2)</f>
        <v>Feb24</v>
      </c>
      <c r="S4515" t="str">
        <f>"Jul"&amp;RIGHT($M4514,2)</f>
        <v>Jul24</v>
      </c>
    </row>
    <row r="4516" spans="1:19" x14ac:dyDescent="0.35">
      <c r="A4516" s="527" t="str">
        <f>"SoK481---"&amp;RIGHT(N4516,5)</f>
        <v>SoK481---Aug24</v>
      </c>
      <c r="B4516" s="526" t="s">
        <v>740</v>
      </c>
      <c r="C4516" s="526" t="str">
        <f>"Inbetriebnahme "&amp;TEXT(DATEVALUE(RIGHT(R4516,5)),"MM")&amp;"-"&amp;TEXT(DATEVALUE(RIGHT(S4516,5)),"MM/JJJJ")</f>
        <v>Inbetriebnahme 08-12/2024</v>
      </c>
      <c r="D4516" s="526" t="s">
        <v>6112</v>
      </c>
      <c r="E4516" s="537"/>
      <c r="F4516" s="538">
        <f>IF($O4516&lt;&gt;"",ROUND(Q4516,2),"")</f>
        <v>6.46</v>
      </c>
      <c r="G4516" s="538">
        <f>IF($O4516&lt;&gt;"",ROUND(P4516,2),"")</f>
        <v>6.86</v>
      </c>
      <c r="H4516" s="537">
        <f t="shared" si="1577"/>
        <v>5.49</v>
      </c>
      <c r="I4516" s="574"/>
      <c r="J4516" s="549">
        <v>45268</v>
      </c>
      <c r="M4516" s="339"/>
      <c r="N4516" s="873" t="s">
        <v>8243</v>
      </c>
      <c r="O4516" s="461">
        <v>0.01</v>
      </c>
      <c r="P4516" s="11">
        <f>IF($O4516&lt;&gt;"",P4515*(100%-$O4516),"")</f>
        <v>6.8606999999999996</v>
      </c>
      <c r="Q4516" s="11">
        <f>IF($O4516&lt;&gt;"",P4516-0.4,"")</f>
        <v>6.4606999999999992</v>
      </c>
      <c r="R4516" t="str">
        <f>"Aug"&amp;RIGHT($M4514,2)</f>
        <v>Aug24</v>
      </c>
      <c r="S4516" t="str">
        <f>"Dez"&amp;RIGHT($M4514,2)</f>
        <v>Dez24</v>
      </c>
    </row>
    <row r="4517" spans="1:19" x14ac:dyDescent="0.35">
      <c r="A4517" s="496"/>
      <c r="B4517" s="1"/>
      <c r="C4517" s="362"/>
      <c r="D4517" s="1"/>
      <c r="E4517" s="1"/>
      <c r="F4517" s="362"/>
      <c r="G4517" s="10"/>
      <c r="H4517" s="10"/>
      <c r="I4517" s="566"/>
      <c r="J4517" s="549"/>
      <c r="O4517" s="29"/>
      <c r="P4517" s="11"/>
      <c r="Q4517" s="11"/>
      <c r="R4517" s="11"/>
    </row>
    <row r="4518" spans="1:19" x14ac:dyDescent="0.35">
      <c r="A4518" s="497" t="s">
        <v>4279</v>
      </c>
      <c r="B4518" s="13" t="s">
        <v>5434</v>
      </c>
      <c r="C4518" s="13" t="s">
        <v>5404</v>
      </c>
      <c r="D4518" s="13" t="s">
        <v>5379</v>
      </c>
      <c r="E4518" s="13"/>
      <c r="F4518" s="364">
        <v>43.01</v>
      </c>
      <c r="G4518" s="424">
        <v>43.01</v>
      </c>
      <c r="H4518" s="14">
        <f>IF(ISNUMBER(G4518),ROUND(0.8*G4518,2),"")</f>
        <v>34.409999999999997</v>
      </c>
      <c r="I4518" s="568"/>
      <c r="J4518" s="549" t="s">
        <v>5804</v>
      </c>
    </row>
    <row r="4519" spans="1:19" x14ac:dyDescent="0.35">
      <c r="A4519" s="497" t="s">
        <v>4280</v>
      </c>
      <c r="B4519" s="13" t="s">
        <v>5434</v>
      </c>
      <c r="C4519" s="13" t="s">
        <v>5404</v>
      </c>
      <c r="D4519" s="13" t="s">
        <v>5380</v>
      </c>
      <c r="E4519" s="13"/>
      <c r="F4519" s="364">
        <v>40.909999999999997</v>
      </c>
      <c r="G4519" s="424">
        <v>40.909999999999997</v>
      </c>
      <c r="H4519" s="14">
        <f>IF(ISNUMBER(G4519),ROUND(0.8*G4519,2),"")</f>
        <v>32.729999999999997</v>
      </c>
      <c r="I4519" s="568"/>
      <c r="J4519" s="549" t="s">
        <v>5804</v>
      </c>
    </row>
    <row r="4520" spans="1:19" x14ac:dyDescent="0.35">
      <c r="A4520" s="497" t="s">
        <v>4281</v>
      </c>
      <c r="B4520" s="13" t="s">
        <v>5434</v>
      </c>
      <c r="C4520" s="13" t="s">
        <v>5404</v>
      </c>
      <c r="D4520" s="13" t="s">
        <v>5381</v>
      </c>
      <c r="E4520" s="13"/>
      <c r="F4520" s="364">
        <v>39.58</v>
      </c>
      <c r="G4520" s="424">
        <v>39.58</v>
      </c>
      <c r="H4520" s="14">
        <f>IF(ISNUMBER(G4520),ROUND(0.8*G4520,2),"")</f>
        <v>31.66</v>
      </c>
      <c r="I4520" s="568"/>
      <c r="J4520" s="549" t="s">
        <v>5804</v>
      </c>
    </row>
    <row r="4521" spans="1:19" x14ac:dyDescent="0.35">
      <c r="A4521" s="497" t="s">
        <v>4282</v>
      </c>
      <c r="B4521" s="13" t="s">
        <v>5434</v>
      </c>
      <c r="C4521" s="13" t="s">
        <v>5404</v>
      </c>
      <c r="D4521" s="13" t="s">
        <v>7395</v>
      </c>
      <c r="E4521" s="13"/>
      <c r="F4521" s="364">
        <v>33</v>
      </c>
      <c r="G4521" s="424">
        <v>33</v>
      </c>
      <c r="H4521" s="14">
        <f>IF(ISNUMBER(G4521),ROUND(0.8*G4521,2),"")</f>
        <v>26.4</v>
      </c>
      <c r="I4521" s="568"/>
      <c r="J4521" s="549" t="s">
        <v>5804</v>
      </c>
    </row>
    <row r="4522" spans="1:19" x14ac:dyDescent="0.35">
      <c r="A4522" s="497" t="s">
        <v>600</v>
      </c>
      <c r="B4522" s="13" t="s">
        <v>5434</v>
      </c>
      <c r="C4522" s="13" t="s">
        <v>5404</v>
      </c>
      <c r="D4522" s="13" t="s">
        <v>5382</v>
      </c>
      <c r="E4522" s="13"/>
      <c r="F4522" s="364">
        <v>43.01</v>
      </c>
      <c r="G4522" s="424">
        <v>43.01</v>
      </c>
      <c r="H4522" s="14"/>
      <c r="I4522" s="568"/>
      <c r="J4522" s="549" t="s">
        <v>5804</v>
      </c>
    </row>
    <row r="4523" spans="1:19" x14ac:dyDescent="0.35">
      <c r="A4523" s="497" t="s">
        <v>601</v>
      </c>
      <c r="B4523" s="13" t="s">
        <v>5434</v>
      </c>
      <c r="C4523" s="13" t="s">
        <v>5404</v>
      </c>
      <c r="D4523" s="13" t="s">
        <v>5383</v>
      </c>
      <c r="E4523" s="13"/>
      <c r="F4523" s="364">
        <f>F4522-25.01</f>
        <v>17.999999999999996</v>
      </c>
      <c r="G4523" s="424">
        <v>17.999999999999996</v>
      </c>
      <c r="H4523" s="14"/>
      <c r="I4523" s="568"/>
      <c r="J4523" s="549" t="s">
        <v>5804</v>
      </c>
    </row>
    <row r="4524" spans="1:19" x14ac:dyDescent="0.35">
      <c r="A4524" s="496"/>
      <c r="B4524" s="1"/>
      <c r="C4524" s="1"/>
      <c r="D4524" s="1"/>
      <c r="E4524" s="1"/>
      <c r="F4524" s="362"/>
      <c r="G4524" s="425"/>
      <c r="H4524" s="10" t="str">
        <f>IF(ISNUMBER(G4524),ROUND(0.8*G4524,2),"")</f>
        <v/>
      </c>
      <c r="I4524" s="566"/>
      <c r="J4524" s="549" t="s">
        <v>4179</v>
      </c>
      <c r="M4524">
        <v>2010</v>
      </c>
      <c r="N4524" s="92"/>
      <c r="O4524" s="92"/>
      <c r="P4524" s="105"/>
      <c r="Q4524" s="105"/>
      <c r="R4524" s="105"/>
    </row>
    <row r="4525" spans="1:19" x14ac:dyDescent="0.35">
      <c r="A4525" s="497" t="s">
        <v>2379</v>
      </c>
      <c r="B4525" s="13" t="s">
        <v>5434</v>
      </c>
      <c r="C4525" s="13" t="s">
        <v>4550</v>
      </c>
      <c r="D4525" s="13" t="s">
        <v>5379</v>
      </c>
      <c r="E4525" s="13"/>
      <c r="F4525" s="364">
        <f>ROUND(M4525,2)</f>
        <v>39.14</v>
      </c>
      <c r="G4525" s="424">
        <v>39.14</v>
      </c>
      <c r="H4525" s="14">
        <f>IF(ISNUMBER(G4525),ROUND(0.8*G4525,2),"")</f>
        <v>31.31</v>
      </c>
      <c r="I4525" s="568"/>
      <c r="J4525" s="549" t="s">
        <v>5804</v>
      </c>
      <c r="M4525" s="107">
        <f>F4518*(1-N4525)</f>
        <v>39.139099999999999</v>
      </c>
      <c r="N4525" s="108">
        <v>0.09</v>
      </c>
      <c r="O4525" s="92" t="s">
        <v>2387</v>
      </c>
      <c r="P4525" s="105"/>
      <c r="Q4525" s="105"/>
      <c r="R4525" s="105"/>
    </row>
    <row r="4526" spans="1:19" x14ac:dyDescent="0.35">
      <c r="A4526" s="497" t="s">
        <v>2380</v>
      </c>
      <c r="B4526" s="13" t="s">
        <v>5434</v>
      </c>
      <c r="C4526" s="13" t="s">
        <v>4550</v>
      </c>
      <c r="D4526" s="13" t="s">
        <v>5380</v>
      </c>
      <c r="E4526" s="13"/>
      <c r="F4526" s="364">
        <f>ROUND(M4526,2)</f>
        <v>37.229999999999997</v>
      </c>
      <c r="G4526" s="424">
        <v>37.229999999999997</v>
      </c>
      <c r="H4526" s="14">
        <f>IF(ISNUMBER(G4526),ROUND(0.8*G4526,2),"")</f>
        <v>29.78</v>
      </c>
      <c r="I4526" s="568"/>
      <c r="J4526" s="549" t="s">
        <v>5804</v>
      </c>
      <c r="M4526" s="107">
        <f>F4519*(1-N4526)</f>
        <v>37.228099999999998</v>
      </c>
      <c r="N4526" s="108">
        <v>0.09</v>
      </c>
      <c r="O4526" s="92" t="s">
        <v>2388</v>
      </c>
      <c r="P4526" s="105"/>
      <c r="Q4526" s="105"/>
      <c r="R4526" s="105"/>
    </row>
    <row r="4527" spans="1:19" x14ac:dyDescent="0.35">
      <c r="A4527" s="497" t="s">
        <v>2381</v>
      </c>
      <c r="B4527" s="13" t="s">
        <v>5434</v>
      </c>
      <c r="C4527" s="13" t="s">
        <v>4550</v>
      </c>
      <c r="D4527" s="13" t="s">
        <v>5381</v>
      </c>
      <c r="E4527" s="13"/>
      <c r="F4527" s="364">
        <f>ROUND(M4527,2)</f>
        <v>35.229999999999997</v>
      </c>
      <c r="G4527" s="424">
        <v>35.229999999999997</v>
      </c>
      <c r="H4527" s="14">
        <f>IF(ISNUMBER(G4527),ROUND(0.8*G4527,2),"")</f>
        <v>28.18</v>
      </c>
      <c r="I4527" s="568"/>
      <c r="J4527" s="549" t="s">
        <v>5804</v>
      </c>
      <c r="M4527" s="107">
        <f>F4520*(1-N4527)</f>
        <v>35.226199999999999</v>
      </c>
      <c r="N4527" s="108">
        <v>0.11</v>
      </c>
      <c r="O4527" s="92" t="s">
        <v>2389</v>
      </c>
      <c r="P4527" s="105"/>
      <c r="Q4527" s="105"/>
      <c r="R4527" s="105"/>
    </row>
    <row r="4528" spans="1:19" x14ac:dyDescent="0.35">
      <c r="A4528" s="497" t="s">
        <v>2382</v>
      </c>
      <c r="B4528" s="13" t="s">
        <v>5434</v>
      </c>
      <c r="C4528" s="13" t="s">
        <v>4550</v>
      </c>
      <c r="D4528" s="13" t="s">
        <v>7395</v>
      </c>
      <c r="E4528" s="13"/>
      <c r="F4528" s="364">
        <f>ROUND(M4528,2)</f>
        <v>29.37</v>
      </c>
      <c r="G4528" s="424">
        <v>29.37</v>
      </c>
      <c r="H4528" s="14">
        <f>IF(ISNUMBER(G4528),ROUND(0.8*G4528,2),"")</f>
        <v>23.5</v>
      </c>
      <c r="I4528" s="568"/>
      <c r="J4528" s="549" t="s">
        <v>5804</v>
      </c>
      <c r="M4528" s="107">
        <f>F4521*(1-N4528)</f>
        <v>29.37</v>
      </c>
      <c r="N4528" s="108">
        <v>0.11</v>
      </c>
      <c r="O4528" s="92" t="s">
        <v>2390</v>
      </c>
      <c r="P4528" s="105"/>
      <c r="Q4528" s="105"/>
      <c r="R4528" s="105"/>
    </row>
    <row r="4529" spans="1:24" x14ac:dyDescent="0.35">
      <c r="A4529" s="497" t="s">
        <v>2383</v>
      </c>
      <c r="B4529" s="13" t="s">
        <v>5434</v>
      </c>
      <c r="C4529" s="13" t="s">
        <v>4550</v>
      </c>
      <c r="D4529" s="13" t="s">
        <v>5382</v>
      </c>
      <c r="E4529" s="13"/>
      <c r="F4529" s="364">
        <f>ROUND((F4522-F4523)*(1-N4529),2)+ROUND(F4523*(1-N4529),2)</f>
        <v>39.14</v>
      </c>
      <c r="G4529" s="424">
        <v>39.14</v>
      </c>
      <c r="H4529" s="14"/>
      <c r="I4529" s="568"/>
      <c r="J4529" s="549" t="s">
        <v>5804</v>
      </c>
      <c r="M4529" s="92"/>
      <c r="N4529" s="108">
        <v>0.09</v>
      </c>
      <c r="O4529" s="92" t="s">
        <v>2391</v>
      </c>
      <c r="P4529" s="105"/>
      <c r="Q4529" s="105"/>
      <c r="R4529" s="105"/>
    </row>
    <row r="4530" spans="1:24" x14ac:dyDescent="0.35">
      <c r="A4530" s="497" t="s">
        <v>2384</v>
      </c>
      <c r="B4530" s="13" t="s">
        <v>5434</v>
      </c>
      <c r="C4530" s="13" t="s">
        <v>4550</v>
      </c>
      <c r="D4530" s="13" t="s">
        <v>5383</v>
      </c>
      <c r="E4530" s="13"/>
      <c r="F4530" s="364">
        <f>ROUND(F4522*(1-N4530),2)-ROUND((F4522-F4523)*(1-N4529),2)</f>
        <v>16.38</v>
      </c>
      <c r="G4530" s="424">
        <v>16.38</v>
      </c>
      <c r="H4530" s="14"/>
      <c r="I4530" s="568"/>
      <c r="J4530" s="549" t="s">
        <v>5804</v>
      </c>
      <c r="M4530" s="92"/>
      <c r="N4530" s="108">
        <v>0.09</v>
      </c>
      <c r="O4530" s="92" t="s">
        <v>2391</v>
      </c>
      <c r="P4530" s="105"/>
      <c r="Q4530" s="105"/>
      <c r="R4530" s="105"/>
    </row>
    <row r="4531" spans="1:24" x14ac:dyDescent="0.35">
      <c r="A4531" s="496"/>
      <c r="B4531" s="1"/>
      <c r="C4531" s="1"/>
      <c r="D4531" s="1"/>
      <c r="E4531" s="1"/>
      <c r="F4531" s="362"/>
      <c r="G4531" s="425"/>
      <c r="H4531" s="10" t="str">
        <f>IF(ISNUMBER(G4531),ROUND(0.8*G4531,2),"")</f>
        <v/>
      </c>
      <c r="I4531" s="566"/>
      <c r="J4531" s="549" t="s">
        <v>4179</v>
      </c>
      <c r="M4531" s="92"/>
      <c r="N4531" s="92"/>
      <c r="O4531" s="109"/>
      <c r="P4531" s="105"/>
      <c r="Q4531" s="105"/>
      <c r="R4531" s="105"/>
    </row>
    <row r="4532" spans="1:24" x14ac:dyDescent="0.35">
      <c r="A4532" s="497" t="s">
        <v>4143</v>
      </c>
      <c r="B4532" s="13" t="s">
        <v>5434</v>
      </c>
      <c r="C4532" s="13" t="s">
        <v>4549</v>
      </c>
      <c r="D4532" s="13" t="s">
        <v>5379</v>
      </c>
      <c r="E4532" s="13"/>
      <c r="F4532" s="364">
        <f>ROUND(M4532,2)</f>
        <v>34.049999999999997</v>
      </c>
      <c r="G4532" s="424">
        <v>34.049999999999997</v>
      </c>
      <c r="H4532" s="14">
        <f>IF(ISNUMBER(G4532),ROUND(0.8*G4532,2),"")</f>
        <v>27.24</v>
      </c>
      <c r="I4532" s="568"/>
      <c r="J4532" s="549" t="s">
        <v>5804</v>
      </c>
      <c r="M4532" s="92">
        <f>M4525*(1-N4532)</f>
        <v>34.051017000000002</v>
      </c>
      <c r="N4532" s="108">
        <v>0.13</v>
      </c>
      <c r="O4532" s="109" t="s">
        <v>4144</v>
      </c>
      <c r="P4532" s="105"/>
      <c r="Q4532" s="105"/>
      <c r="R4532" s="105"/>
    </row>
    <row r="4533" spans="1:24" x14ac:dyDescent="0.35">
      <c r="A4533" s="497" t="s">
        <v>4145</v>
      </c>
      <c r="B4533" s="13" t="s">
        <v>5434</v>
      </c>
      <c r="C4533" s="13" t="s">
        <v>4549</v>
      </c>
      <c r="D4533" s="13" t="s">
        <v>5380</v>
      </c>
      <c r="E4533" s="13"/>
      <c r="F4533" s="364">
        <f>ROUND(M4533,2)</f>
        <v>32.39</v>
      </c>
      <c r="G4533" s="424">
        <v>32.39</v>
      </c>
      <c r="H4533" s="14">
        <f>IF(ISNUMBER(G4533),ROUND(0.8*G4533,2),"")</f>
        <v>25.91</v>
      </c>
      <c r="I4533" s="568"/>
      <c r="J4533" s="549" t="s">
        <v>5804</v>
      </c>
      <c r="M4533" s="92">
        <f>M4526*(1-N4533)</f>
        <v>32.388446999999999</v>
      </c>
      <c r="N4533" s="108">
        <v>0.13</v>
      </c>
      <c r="O4533" s="109" t="s">
        <v>4146</v>
      </c>
      <c r="P4533" s="105"/>
      <c r="Q4533" s="105"/>
      <c r="R4533" s="105"/>
    </row>
    <row r="4534" spans="1:24" x14ac:dyDescent="0.35">
      <c r="A4534" s="497" t="s">
        <v>4147</v>
      </c>
      <c r="B4534" s="13" t="s">
        <v>5434</v>
      </c>
      <c r="C4534" s="13" t="s">
        <v>4549</v>
      </c>
      <c r="D4534" s="13" t="s">
        <v>5381</v>
      </c>
      <c r="E4534" s="13"/>
      <c r="F4534" s="364">
        <f>ROUND(M4534,2)</f>
        <v>30.65</v>
      </c>
      <c r="G4534" s="424">
        <v>30.65</v>
      </c>
      <c r="H4534" s="14">
        <f>IF(ISNUMBER(G4534),ROUND(0.8*G4534,2),"")</f>
        <v>24.52</v>
      </c>
      <c r="I4534" s="568"/>
      <c r="J4534" s="549" t="s">
        <v>5804</v>
      </c>
      <c r="M4534" s="92">
        <f>M4527*(1-N4534)</f>
        <v>30.646794</v>
      </c>
      <c r="N4534" s="108">
        <v>0.13</v>
      </c>
      <c r="O4534" s="109" t="s">
        <v>4148</v>
      </c>
      <c r="P4534" s="105"/>
      <c r="Q4534" s="105"/>
      <c r="R4534" s="105"/>
    </row>
    <row r="4535" spans="1:24" x14ac:dyDescent="0.35">
      <c r="A4535" s="497" t="s">
        <v>4149</v>
      </c>
      <c r="B4535" s="13" t="s">
        <v>5434</v>
      </c>
      <c r="C4535" s="13" t="s">
        <v>4549</v>
      </c>
      <c r="D4535" s="13" t="s">
        <v>7395</v>
      </c>
      <c r="E4535" s="13"/>
      <c r="F4535" s="364">
        <f>ROUND(M4535,2)</f>
        <v>25.55</v>
      </c>
      <c r="G4535" s="424">
        <v>25.55</v>
      </c>
      <c r="H4535" s="14">
        <f>IF(ISNUMBER(G4535),ROUND(0.8*G4535,2),"")</f>
        <v>20.440000000000001</v>
      </c>
      <c r="I4535" s="568"/>
      <c r="J4535" s="549" t="s">
        <v>5804</v>
      </c>
      <c r="M4535" s="107">
        <f>M4528*(1-N4535)</f>
        <v>25.5519</v>
      </c>
      <c r="N4535" s="108">
        <v>0.13</v>
      </c>
      <c r="O4535" s="109" t="s">
        <v>4150</v>
      </c>
      <c r="P4535" s="105"/>
      <c r="Q4535" s="105"/>
      <c r="R4535" s="105"/>
    </row>
    <row r="4536" spans="1:24" x14ac:dyDescent="0.35">
      <c r="A4536" s="497" t="s">
        <v>4151</v>
      </c>
      <c r="B4536" s="13" t="s">
        <v>5434</v>
      </c>
      <c r="C4536" s="13" t="s">
        <v>4549</v>
      </c>
      <c r="D4536" s="13" t="s">
        <v>5382</v>
      </c>
      <c r="E4536" s="13"/>
      <c r="F4536" s="364">
        <f>F4532</f>
        <v>34.049999999999997</v>
      </c>
      <c r="G4536" s="424">
        <v>34.049999999999997</v>
      </c>
      <c r="H4536" s="14"/>
      <c r="I4536" s="568"/>
      <c r="J4536" s="549" t="s">
        <v>5804</v>
      </c>
      <c r="M4536" s="107"/>
      <c r="N4536" s="109"/>
      <c r="O4536" s="109" t="s">
        <v>4152</v>
      </c>
      <c r="P4536" s="105"/>
      <c r="Q4536" s="105"/>
      <c r="R4536" s="105"/>
    </row>
    <row r="4537" spans="1:24" x14ac:dyDescent="0.35">
      <c r="A4537" s="497" t="s">
        <v>4153</v>
      </c>
      <c r="B4537" s="13" t="s">
        <v>5434</v>
      </c>
      <c r="C4537" s="13" t="s">
        <v>4549</v>
      </c>
      <c r="D4537" s="13" t="s">
        <v>5384</v>
      </c>
      <c r="E4537" s="13"/>
      <c r="F4537" s="389">
        <v>16.38</v>
      </c>
      <c r="G4537" s="445">
        <v>16.38</v>
      </c>
      <c r="H4537" s="14"/>
      <c r="I4537" s="568"/>
      <c r="J4537" s="549" t="s">
        <v>5804</v>
      </c>
      <c r="M4537" s="92"/>
      <c r="N4537" s="110"/>
      <c r="O4537" s="92" t="s">
        <v>1011</v>
      </c>
      <c r="P4537" s="92"/>
      <c r="Q4537" s="92"/>
      <c r="R4537" s="92"/>
      <c r="S4537" s="92"/>
      <c r="T4537" s="92"/>
      <c r="U4537" s="92"/>
      <c r="V4537" s="92"/>
      <c r="W4537" s="111">
        <f>F4536-F4537</f>
        <v>17.669999999999998</v>
      </c>
      <c r="X4537" s="92" t="s">
        <v>5595</v>
      </c>
    </row>
    <row r="4538" spans="1:24" x14ac:dyDescent="0.35">
      <c r="A4538" s="497" t="s">
        <v>4538</v>
      </c>
      <c r="B4538" s="13" t="s">
        <v>5434</v>
      </c>
      <c r="C4538" s="13" t="s">
        <v>4549</v>
      </c>
      <c r="D4538" s="13" t="s">
        <v>5385</v>
      </c>
      <c r="E4538" s="13"/>
      <c r="F4538" s="389">
        <v>12</v>
      </c>
      <c r="G4538" s="445">
        <v>12</v>
      </c>
      <c r="H4538" s="14"/>
      <c r="I4538" s="568"/>
      <c r="J4538" s="549" t="s">
        <v>5804</v>
      </c>
      <c r="M4538" s="92"/>
      <c r="N4538" s="110"/>
      <c r="O4538" s="92" t="s">
        <v>1012</v>
      </c>
      <c r="P4538" s="92"/>
      <c r="Q4538" s="92"/>
      <c r="R4538" s="92"/>
      <c r="S4538" s="92"/>
      <c r="T4538" s="92"/>
      <c r="U4538" s="92"/>
      <c r="V4538" s="92"/>
      <c r="W4538" s="111">
        <f>F4536-F4538</f>
        <v>22.049999999999997</v>
      </c>
      <c r="X4538" s="92" t="s">
        <v>5595</v>
      </c>
    </row>
    <row r="4539" spans="1:24" x14ac:dyDescent="0.35">
      <c r="A4539" s="497" t="s">
        <v>4539</v>
      </c>
      <c r="B4539" s="13" t="s">
        <v>5434</v>
      </c>
      <c r="C4539" s="13" t="s">
        <v>4549</v>
      </c>
      <c r="D4539" s="13" t="s">
        <v>5386</v>
      </c>
      <c r="E4539" s="13"/>
      <c r="F4539" s="389">
        <f>F4533</f>
        <v>32.39</v>
      </c>
      <c r="G4539" s="445">
        <v>32.39</v>
      </c>
      <c r="H4539" s="14"/>
      <c r="I4539" s="568"/>
      <c r="J4539" s="549" t="s">
        <v>5804</v>
      </c>
      <c r="M4539" s="92"/>
      <c r="N4539" s="109"/>
      <c r="O4539" s="109" t="s">
        <v>4540</v>
      </c>
      <c r="P4539" s="92"/>
      <c r="Q4539" s="92"/>
      <c r="R4539" s="92"/>
      <c r="S4539" s="92"/>
      <c r="T4539" s="92"/>
      <c r="U4539" s="92"/>
      <c r="V4539" s="92"/>
      <c r="W4539" s="92"/>
      <c r="X4539" s="92"/>
    </row>
    <row r="4540" spans="1:24" x14ac:dyDescent="0.35">
      <c r="A4540" s="497" t="s">
        <v>4541</v>
      </c>
      <c r="B4540" s="13" t="s">
        <v>5434</v>
      </c>
      <c r="C4540" s="13" t="s">
        <v>4549</v>
      </c>
      <c r="D4540" s="13" t="s">
        <v>5387</v>
      </c>
      <c r="E4540" s="13"/>
      <c r="F4540" s="389">
        <v>16.38</v>
      </c>
      <c r="G4540" s="445">
        <v>16.38</v>
      </c>
      <c r="H4540" s="14"/>
      <c r="I4540" s="568"/>
      <c r="J4540" s="549" t="s">
        <v>5804</v>
      </c>
      <c r="M4540" s="92"/>
      <c r="N4540" s="110"/>
      <c r="O4540" s="92" t="s">
        <v>1011</v>
      </c>
      <c r="P4540" s="92"/>
      <c r="Q4540" s="92"/>
      <c r="R4540" s="92"/>
      <c r="S4540" s="92"/>
      <c r="T4540" s="92"/>
      <c r="U4540" s="92"/>
      <c r="V4540" s="92"/>
      <c r="W4540" s="111">
        <f>F4539-F4540</f>
        <v>16.010000000000002</v>
      </c>
      <c r="X4540" s="92" t="s">
        <v>5595</v>
      </c>
    </row>
    <row r="4541" spans="1:24" x14ac:dyDescent="0.35">
      <c r="A4541" s="497" t="s">
        <v>4542</v>
      </c>
      <c r="B4541" s="13" t="s">
        <v>5434</v>
      </c>
      <c r="C4541" s="13" t="s">
        <v>4549</v>
      </c>
      <c r="D4541" s="13" t="s">
        <v>5388</v>
      </c>
      <c r="E4541" s="13"/>
      <c r="F4541" s="389">
        <v>12</v>
      </c>
      <c r="G4541" s="445">
        <v>12</v>
      </c>
      <c r="H4541" s="14"/>
      <c r="I4541" s="568"/>
      <c r="J4541" s="549" t="s">
        <v>5804</v>
      </c>
      <c r="M4541" s="92"/>
      <c r="N4541" s="110"/>
      <c r="O4541" s="92" t="s">
        <v>1012</v>
      </c>
      <c r="P4541" s="92"/>
      <c r="Q4541" s="92"/>
      <c r="R4541" s="92"/>
      <c r="S4541" s="92"/>
      <c r="T4541" s="92"/>
      <c r="U4541" s="92"/>
      <c r="V4541" s="92"/>
      <c r="W4541" s="111">
        <f>F4539-F4541</f>
        <v>20.39</v>
      </c>
      <c r="X4541" s="92" t="s">
        <v>5595</v>
      </c>
    </row>
    <row r="4542" spans="1:24" x14ac:dyDescent="0.35">
      <c r="A4542" s="497" t="s">
        <v>4543</v>
      </c>
      <c r="B4542" s="13" t="s">
        <v>5434</v>
      </c>
      <c r="C4542" s="13" t="s">
        <v>4549</v>
      </c>
      <c r="D4542" s="13" t="s">
        <v>5389</v>
      </c>
      <c r="E4542" s="13"/>
      <c r="F4542" s="389">
        <f>F4534</f>
        <v>30.65</v>
      </c>
      <c r="G4542" s="445">
        <v>30.65</v>
      </c>
      <c r="H4542" s="14"/>
      <c r="I4542" s="568"/>
      <c r="J4542" s="549" t="s">
        <v>5804</v>
      </c>
      <c r="M4542" s="92"/>
      <c r="N4542" s="109"/>
      <c r="O4542" s="109" t="s">
        <v>4544</v>
      </c>
      <c r="P4542" s="92"/>
      <c r="Q4542" s="92"/>
      <c r="R4542" s="92"/>
      <c r="S4542" s="92"/>
      <c r="T4542" s="92"/>
      <c r="U4542" s="92"/>
      <c r="V4542" s="92"/>
      <c r="W4542" s="92"/>
      <c r="X4542" s="92"/>
    </row>
    <row r="4543" spans="1:24" x14ac:dyDescent="0.35">
      <c r="A4543" s="497" t="s">
        <v>4545</v>
      </c>
      <c r="B4543" s="13" t="s">
        <v>5434</v>
      </c>
      <c r="C4543" s="13" t="s">
        <v>4549</v>
      </c>
      <c r="D4543" s="13" t="s">
        <v>5390</v>
      </c>
      <c r="E4543" s="13"/>
      <c r="F4543" s="389">
        <v>16.38</v>
      </c>
      <c r="G4543" s="445">
        <v>16.38</v>
      </c>
      <c r="H4543" s="14"/>
      <c r="I4543" s="568"/>
      <c r="J4543" s="549" t="s">
        <v>5804</v>
      </c>
      <c r="M4543" s="92"/>
      <c r="N4543" s="110"/>
      <c r="O4543" s="92" t="s">
        <v>1011</v>
      </c>
      <c r="P4543" s="92"/>
      <c r="Q4543" s="92"/>
      <c r="R4543" s="92"/>
      <c r="S4543" s="92"/>
      <c r="T4543" s="92"/>
      <c r="U4543" s="92"/>
      <c r="V4543" s="92"/>
      <c r="W4543" s="111">
        <f>F4542-F4543</f>
        <v>14.27</v>
      </c>
      <c r="X4543" s="92" t="s">
        <v>5595</v>
      </c>
    </row>
    <row r="4544" spans="1:24" x14ac:dyDescent="0.35">
      <c r="A4544" s="497" t="s">
        <v>4546</v>
      </c>
      <c r="B4544" s="13" t="s">
        <v>5434</v>
      </c>
      <c r="C4544" s="13" t="s">
        <v>4549</v>
      </c>
      <c r="D4544" s="13" t="s">
        <v>5391</v>
      </c>
      <c r="E4544" s="13"/>
      <c r="F4544" s="389">
        <v>12</v>
      </c>
      <c r="G4544" s="445">
        <v>12</v>
      </c>
      <c r="H4544" s="14"/>
      <c r="I4544" s="568"/>
      <c r="J4544" s="549" t="s">
        <v>5804</v>
      </c>
      <c r="K4544" s="11"/>
      <c r="M4544" s="92"/>
      <c r="N4544" s="110"/>
      <c r="O4544" s="92" t="s">
        <v>1012</v>
      </c>
      <c r="P4544" s="92"/>
      <c r="Q4544" s="92"/>
      <c r="R4544" s="92"/>
      <c r="S4544" s="92"/>
      <c r="T4544" s="92"/>
      <c r="U4544" s="92"/>
      <c r="V4544" s="92"/>
      <c r="W4544" s="111">
        <f>F4542-F4544</f>
        <v>18.649999999999999</v>
      </c>
      <c r="X4544" s="92" t="s">
        <v>5595</v>
      </c>
    </row>
    <row r="4545" spans="1:24" x14ac:dyDescent="0.35">
      <c r="A4545" s="203"/>
      <c r="G4545" s="435"/>
      <c r="H4545" s="11" t="str">
        <f>IF(ISNUMBER(G4545),ROUND(0.8*G4545,2),"")</f>
        <v/>
      </c>
      <c r="J4545" s="549" t="s">
        <v>4179</v>
      </c>
      <c r="K4545" s="11"/>
    </row>
    <row r="4546" spans="1:24" x14ac:dyDescent="0.35">
      <c r="A4546" s="497" t="s">
        <v>621</v>
      </c>
      <c r="B4546" s="13" t="s">
        <v>5434</v>
      </c>
      <c r="C4546" s="13" t="s">
        <v>4444</v>
      </c>
      <c r="D4546" s="13" t="s">
        <v>5379</v>
      </c>
      <c r="E4546" s="13"/>
      <c r="F4546" s="364">
        <f>ROUND(M4546,2)</f>
        <v>33.03</v>
      </c>
      <c r="G4546" s="424">
        <v>33.03</v>
      </c>
      <c r="H4546" s="14">
        <f>IF(ISNUMBER(G4546),ROUND(0.8*G4546,2),"")</f>
        <v>26.42</v>
      </c>
      <c r="I4546" s="568"/>
      <c r="J4546" s="549" t="s">
        <v>5804</v>
      </c>
      <c r="K4546" s="11"/>
      <c r="M4546" s="107">
        <f>M4532*(1-N4546)</f>
        <v>33.029486490000004</v>
      </c>
      <c r="N4546" s="108">
        <v>0.03</v>
      </c>
      <c r="O4546" s="109" t="s">
        <v>4447</v>
      </c>
    </row>
    <row r="4547" spans="1:24" x14ac:dyDescent="0.35">
      <c r="A4547" s="497" t="s">
        <v>622</v>
      </c>
      <c r="B4547" s="13" t="s">
        <v>5434</v>
      </c>
      <c r="C4547" s="13" t="s">
        <v>4444</v>
      </c>
      <c r="D4547" s="13" t="s">
        <v>5380</v>
      </c>
      <c r="E4547" s="13"/>
      <c r="F4547" s="364">
        <f>ROUND(M4547,2)</f>
        <v>31.42</v>
      </c>
      <c r="G4547" s="424">
        <v>31.42</v>
      </c>
      <c r="H4547" s="14">
        <f>IF(ISNUMBER(G4547),ROUND(0.8*G4547,2),"")</f>
        <v>25.14</v>
      </c>
      <c r="I4547" s="568"/>
      <c r="J4547" s="549" t="s">
        <v>5804</v>
      </c>
      <c r="K4547" s="11"/>
      <c r="M4547" s="107">
        <f>M4533*(1-N4547)</f>
        <v>31.416793589999997</v>
      </c>
      <c r="N4547" s="108">
        <v>0.03</v>
      </c>
      <c r="O4547" s="109" t="s">
        <v>4448</v>
      </c>
    </row>
    <row r="4548" spans="1:24" x14ac:dyDescent="0.35">
      <c r="A4548" s="497" t="s">
        <v>623</v>
      </c>
      <c r="B4548" s="13" t="s">
        <v>5434</v>
      </c>
      <c r="C4548" s="13" t="s">
        <v>4444</v>
      </c>
      <c r="D4548" s="13" t="s">
        <v>5381</v>
      </c>
      <c r="E4548" s="13"/>
      <c r="F4548" s="364">
        <f>ROUND(M4548,2)</f>
        <v>29.73</v>
      </c>
      <c r="G4548" s="424">
        <v>29.73</v>
      </c>
      <c r="H4548" s="14">
        <f>IF(ISNUMBER(G4548),ROUND(0.8*G4548,2),"")</f>
        <v>23.78</v>
      </c>
      <c r="I4548" s="568"/>
      <c r="J4548" s="549" t="s">
        <v>5804</v>
      </c>
      <c r="K4548" s="11"/>
      <c r="M4548" s="107">
        <f>M4534*(1-N4548)</f>
        <v>29.72739018</v>
      </c>
      <c r="N4548" s="108">
        <v>0.03</v>
      </c>
      <c r="O4548" s="109" t="s">
        <v>4449</v>
      </c>
    </row>
    <row r="4549" spans="1:24" x14ac:dyDescent="0.35">
      <c r="A4549" s="497" t="s">
        <v>624</v>
      </c>
      <c r="B4549" s="13" t="s">
        <v>5434</v>
      </c>
      <c r="C4549" s="13" t="s">
        <v>4444</v>
      </c>
      <c r="D4549" s="13" t="s">
        <v>7395</v>
      </c>
      <c r="E4549" s="13"/>
      <c r="F4549" s="364">
        <f>ROUND(M4549,2)</f>
        <v>24.79</v>
      </c>
      <c r="G4549" s="424">
        <v>24.79</v>
      </c>
      <c r="H4549" s="14">
        <f>IF(ISNUMBER(G4549),ROUND(0.8*G4549,2),"")</f>
        <v>19.829999999999998</v>
      </c>
      <c r="I4549" s="568"/>
      <c r="J4549" s="549" t="s">
        <v>5804</v>
      </c>
      <c r="K4549" s="11"/>
      <c r="L4549" s="102"/>
      <c r="M4549" s="107">
        <f>M4535*(1-N4549)</f>
        <v>24.785342999999997</v>
      </c>
      <c r="N4549" s="108">
        <v>0.03</v>
      </c>
      <c r="O4549" s="109" t="s">
        <v>4450</v>
      </c>
    </row>
    <row r="4550" spans="1:24" x14ac:dyDescent="0.35">
      <c r="A4550" s="497" t="s">
        <v>625</v>
      </c>
      <c r="B4550" s="13" t="s">
        <v>5434</v>
      </c>
      <c r="C4550" s="13" t="s">
        <v>4444</v>
      </c>
      <c r="D4550" s="13" t="s">
        <v>5382</v>
      </c>
      <c r="E4550" s="13"/>
      <c r="F4550" s="389">
        <f>F4546</f>
        <v>33.03</v>
      </c>
      <c r="G4550" s="445">
        <v>33.03</v>
      </c>
      <c r="H4550" s="14"/>
      <c r="I4550" s="568"/>
      <c r="J4550" s="549" t="s">
        <v>5804</v>
      </c>
      <c r="K4550" s="11"/>
      <c r="L4550" s="102"/>
      <c r="M4550" s="102"/>
      <c r="O4550" s="109" t="s">
        <v>626</v>
      </c>
    </row>
    <row r="4551" spans="1:24" x14ac:dyDescent="0.35">
      <c r="A4551" s="497" t="s">
        <v>627</v>
      </c>
      <c r="B4551" s="13" t="s">
        <v>5434</v>
      </c>
      <c r="C4551" s="13" t="s">
        <v>4443</v>
      </c>
      <c r="D4551" s="13" t="s">
        <v>5384</v>
      </c>
      <c r="E4551" s="13"/>
      <c r="F4551" s="389">
        <v>16.38</v>
      </c>
      <c r="G4551" s="445">
        <v>16.38</v>
      </c>
      <c r="H4551" s="14"/>
      <c r="I4551" s="568"/>
      <c r="J4551" s="549" t="s">
        <v>5804</v>
      </c>
      <c r="K4551" s="11"/>
      <c r="L4551" s="102"/>
      <c r="M4551" s="102"/>
      <c r="O4551" s="109" t="s">
        <v>1011</v>
      </c>
      <c r="P4551" s="92"/>
      <c r="Q4551" s="92"/>
      <c r="R4551" s="92"/>
      <c r="S4551" s="92"/>
      <c r="T4551" s="92"/>
      <c r="U4551" s="92"/>
      <c r="V4551" s="92"/>
      <c r="W4551" s="111">
        <f>F4550-F4551</f>
        <v>16.650000000000002</v>
      </c>
      <c r="X4551" s="92" t="s">
        <v>5595</v>
      </c>
    </row>
    <row r="4552" spans="1:24" x14ac:dyDescent="0.35">
      <c r="A4552" s="497" t="s">
        <v>628</v>
      </c>
      <c r="B4552" s="13" t="s">
        <v>5434</v>
      </c>
      <c r="C4552" s="13" t="s">
        <v>4443</v>
      </c>
      <c r="D4552" s="13" t="s">
        <v>5385</v>
      </c>
      <c r="E4552" s="13"/>
      <c r="F4552" s="389">
        <v>12</v>
      </c>
      <c r="G4552" s="445">
        <v>12</v>
      </c>
      <c r="H4552" s="14"/>
      <c r="I4552" s="568"/>
      <c r="J4552" s="549" t="s">
        <v>5804</v>
      </c>
      <c r="K4552" s="11"/>
      <c r="L4552" s="102"/>
      <c r="O4552" s="109" t="s">
        <v>1012</v>
      </c>
      <c r="P4552" s="92"/>
      <c r="Q4552" s="92"/>
      <c r="R4552" s="92"/>
      <c r="S4552" s="92"/>
      <c r="T4552" s="92"/>
      <c r="U4552" s="92"/>
      <c r="V4552" s="92"/>
      <c r="W4552" s="111">
        <f>F4550-F4552</f>
        <v>21.03</v>
      </c>
      <c r="X4552" s="92" t="s">
        <v>5595</v>
      </c>
    </row>
    <row r="4553" spans="1:24" x14ac:dyDescent="0.35">
      <c r="A4553" s="497" t="s">
        <v>629</v>
      </c>
      <c r="B4553" s="13" t="s">
        <v>5434</v>
      </c>
      <c r="C4553" s="13" t="s">
        <v>4444</v>
      </c>
      <c r="D4553" s="13" t="s">
        <v>5386</v>
      </c>
      <c r="E4553" s="13"/>
      <c r="F4553" s="389">
        <f>F4547</f>
        <v>31.42</v>
      </c>
      <c r="G4553" s="445">
        <v>31.42</v>
      </c>
      <c r="H4553" s="14"/>
      <c r="I4553" s="568"/>
      <c r="J4553" s="549" t="s">
        <v>5804</v>
      </c>
      <c r="K4553" s="11"/>
      <c r="L4553" s="102"/>
      <c r="M4553" s="102"/>
      <c r="O4553" s="109" t="s">
        <v>630</v>
      </c>
    </row>
    <row r="4554" spans="1:24" x14ac:dyDescent="0.35">
      <c r="A4554" s="497" t="s">
        <v>631</v>
      </c>
      <c r="B4554" s="13" t="s">
        <v>5434</v>
      </c>
      <c r="C4554" s="13" t="s">
        <v>4443</v>
      </c>
      <c r="D4554" s="13" t="s">
        <v>5387</v>
      </c>
      <c r="E4554" s="13"/>
      <c r="F4554" s="389">
        <v>16.38</v>
      </c>
      <c r="G4554" s="445">
        <v>16.38</v>
      </c>
      <c r="H4554" s="14"/>
      <c r="I4554" s="568"/>
      <c r="J4554" s="549" t="s">
        <v>5804</v>
      </c>
      <c r="K4554" s="11"/>
      <c r="L4554" s="102"/>
      <c r="M4554" s="102"/>
      <c r="O4554" s="109" t="s">
        <v>1011</v>
      </c>
      <c r="P4554" s="92"/>
      <c r="Q4554" s="92"/>
      <c r="R4554" s="92"/>
      <c r="S4554" s="92"/>
      <c r="T4554" s="92"/>
      <c r="U4554" s="92"/>
      <c r="V4554" s="92"/>
      <c r="W4554" s="111">
        <f>F4553-F4554</f>
        <v>15.040000000000003</v>
      </c>
      <c r="X4554" s="92" t="s">
        <v>5595</v>
      </c>
    </row>
    <row r="4555" spans="1:24" x14ac:dyDescent="0.35">
      <c r="A4555" s="497" t="s">
        <v>632</v>
      </c>
      <c r="B4555" s="13" t="s">
        <v>5434</v>
      </c>
      <c r="C4555" s="13" t="s">
        <v>4443</v>
      </c>
      <c r="D4555" s="13" t="s">
        <v>5388</v>
      </c>
      <c r="E4555" s="13"/>
      <c r="F4555" s="389">
        <v>12</v>
      </c>
      <c r="G4555" s="445">
        <v>12</v>
      </c>
      <c r="H4555" s="14"/>
      <c r="I4555" s="568"/>
      <c r="J4555" s="549" t="s">
        <v>5804</v>
      </c>
      <c r="K4555" s="11"/>
      <c r="L4555" s="102"/>
      <c r="O4555" s="109" t="s">
        <v>1012</v>
      </c>
      <c r="P4555" s="92"/>
      <c r="Q4555" s="92"/>
      <c r="R4555" s="92"/>
      <c r="S4555" s="92"/>
      <c r="T4555" s="92"/>
      <c r="U4555" s="92"/>
      <c r="V4555" s="92"/>
      <c r="W4555" s="111">
        <f>F4553-F4555</f>
        <v>19.420000000000002</v>
      </c>
      <c r="X4555" s="92" t="s">
        <v>5595</v>
      </c>
    </row>
    <row r="4556" spans="1:24" x14ac:dyDescent="0.35">
      <c r="A4556" s="497" t="s">
        <v>633</v>
      </c>
      <c r="B4556" s="13" t="s">
        <v>5434</v>
      </c>
      <c r="C4556" s="13" t="s">
        <v>4444</v>
      </c>
      <c r="D4556" s="13" t="s">
        <v>5389</v>
      </c>
      <c r="E4556" s="13"/>
      <c r="F4556" s="389">
        <f>F4548</f>
        <v>29.73</v>
      </c>
      <c r="G4556" s="445">
        <v>29.73</v>
      </c>
      <c r="H4556" s="14"/>
      <c r="I4556" s="568"/>
      <c r="J4556" s="549" t="s">
        <v>5804</v>
      </c>
      <c r="K4556" s="11"/>
      <c r="L4556" s="102"/>
      <c r="M4556" s="102"/>
      <c r="O4556" s="109" t="s">
        <v>634</v>
      </c>
    </row>
    <row r="4557" spans="1:24" x14ac:dyDescent="0.35">
      <c r="A4557" s="497" t="s">
        <v>635</v>
      </c>
      <c r="B4557" s="13" t="s">
        <v>5434</v>
      </c>
      <c r="C4557" s="13" t="s">
        <v>4443</v>
      </c>
      <c r="D4557" s="13" t="s">
        <v>5390</v>
      </c>
      <c r="E4557" s="13"/>
      <c r="F4557" s="389">
        <v>16.38</v>
      </c>
      <c r="G4557" s="445">
        <v>16.38</v>
      </c>
      <c r="H4557" s="14"/>
      <c r="I4557" s="568"/>
      <c r="J4557" s="549" t="s">
        <v>5804</v>
      </c>
      <c r="K4557" s="11"/>
      <c r="L4557" s="102"/>
      <c r="M4557" s="102"/>
      <c r="O4557" s="109" t="s">
        <v>1011</v>
      </c>
      <c r="P4557" s="92"/>
      <c r="Q4557" s="92"/>
      <c r="R4557" s="92"/>
      <c r="S4557" s="92"/>
      <c r="T4557" s="92"/>
      <c r="U4557" s="92"/>
      <c r="V4557" s="92"/>
      <c r="W4557" s="111">
        <f>F4556-F4557</f>
        <v>13.350000000000001</v>
      </c>
      <c r="X4557" s="92" t="s">
        <v>5595</v>
      </c>
    </row>
    <row r="4558" spans="1:24" x14ac:dyDescent="0.35">
      <c r="A4558" s="497" t="s">
        <v>636</v>
      </c>
      <c r="B4558" s="13" t="s">
        <v>5434</v>
      </c>
      <c r="C4558" s="13" t="s">
        <v>4443</v>
      </c>
      <c r="D4558" s="13" t="s">
        <v>5391</v>
      </c>
      <c r="E4558" s="13"/>
      <c r="F4558" s="389">
        <v>12</v>
      </c>
      <c r="G4558" s="445">
        <v>12</v>
      </c>
      <c r="H4558" s="14"/>
      <c r="I4558" s="568"/>
      <c r="J4558" s="549" t="s">
        <v>5804</v>
      </c>
      <c r="K4558" s="11"/>
      <c r="O4558" s="109" t="s">
        <v>1012</v>
      </c>
      <c r="P4558" s="92"/>
      <c r="Q4558" s="92"/>
      <c r="R4558" s="92"/>
      <c r="S4558" s="92"/>
      <c r="T4558" s="92"/>
      <c r="U4558" s="92"/>
      <c r="V4558" s="92"/>
      <c r="W4558" s="111">
        <f>F4556-F4558</f>
        <v>17.73</v>
      </c>
      <c r="X4558" s="92" t="s">
        <v>5595</v>
      </c>
    </row>
    <row r="4559" spans="1:24" x14ac:dyDescent="0.35">
      <c r="A4559" s="203"/>
      <c r="G4559" s="435"/>
      <c r="H4559" s="11" t="str">
        <f>IF(ISNUMBER(G4559),ROUND(0.8*G4559,2),"")</f>
        <v/>
      </c>
      <c r="J4559" s="549" t="s">
        <v>4179</v>
      </c>
      <c r="K4559" s="11"/>
      <c r="M4559">
        <v>2011</v>
      </c>
    </row>
    <row r="4560" spans="1:24" x14ac:dyDescent="0.35">
      <c r="A4560" s="497" t="str">
        <f t="shared" ref="A4560:A4572" si="1585">LEFT(A4546,9)&amp;"---"&amp;($M$4358-2000)</f>
        <v>SgK330------11</v>
      </c>
      <c r="B4560" s="13" t="s">
        <v>5434</v>
      </c>
      <c r="C4560" s="13" t="s">
        <v>1467</v>
      </c>
      <c r="D4560" s="13" t="s">
        <v>5379</v>
      </c>
      <c r="E4560" s="13"/>
      <c r="F4560" s="364">
        <f>ROUND(M4560,2)</f>
        <v>28.74</v>
      </c>
      <c r="G4560" s="424">
        <v>28.74</v>
      </c>
      <c r="H4560" s="14">
        <f>IF(ISNUMBER(G4560),ROUND(0.8*G4560,2),"")</f>
        <v>22.99</v>
      </c>
      <c r="I4560" s="568"/>
      <c r="J4560" s="549" t="s">
        <v>5804</v>
      </c>
      <c r="K4560" s="11"/>
      <c r="M4560" s="107">
        <f>M4546*(1-N4560)</f>
        <v>28.735653246300004</v>
      </c>
      <c r="N4560" s="108">
        <v>0.13</v>
      </c>
      <c r="O4560" s="109" t="s">
        <v>5507</v>
      </c>
    </row>
    <row r="4561" spans="1:24" x14ac:dyDescent="0.35">
      <c r="A4561" s="497" t="str">
        <f t="shared" si="1585"/>
        <v>SgK331------11</v>
      </c>
      <c r="B4561" s="13" t="s">
        <v>5434</v>
      </c>
      <c r="C4561" s="13" t="s">
        <v>1467</v>
      </c>
      <c r="D4561" s="13" t="s">
        <v>5380</v>
      </c>
      <c r="E4561" s="13"/>
      <c r="F4561" s="364">
        <f>ROUND(M4561,2)</f>
        <v>27.33</v>
      </c>
      <c r="G4561" s="424">
        <v>27.33</v>
      </c>
      <c r="H4561" s="14">
        <f>IF(ISNUMBER(G4561),ROUND(0.8*G4561,2),"")</f>
        <v>21.86</v>
      </c>
      <c r="I4561" s="568"/>
      <c r="J4561" s="549" t="s">
        <v>5804</v>
      </c>
      <c r="K4561" s="11"/>
      <c r="M4561" s="107">
        <f>M4547*(1-N4561)</f>
        <v>27.332610423299997</v>
      </c>
      <c r="N4561" s="108">
        <v>0.13</v>
      </c>
      <c r="O4561" s="109" t="s">
        <v>5508</v>
      </c>
    </row>
    <row r="4562" spans="1:24" x14ac:dyDescent="0.35">
      <c r="A4562" s="497" t="str">
        <f t="shared" si="1585"/>
        <v>SgK332------11</v>
      </c>
      <c r="B4562" s="13" t="s">
        <v>5434</v>
      </c>
      <c r="C4562" s="13" t="s">
        <v>1467</v>
      </c>
      <c r="D4562" s="13" t="s">
        <v>5381</v>
      </c>
      <c r="E4562" s="13"/>
      <c r="F4562" s="364">
        <f>ROUND(M4562,2)</f>
        <v>25.86</v>
      </c>
      <c r="G4562" s="424">
        <v>25.86</v>
      </c>
      <c r="H4562" s="14">
        <f>IF(ISNUMBER(G4562),ROUND(0.8*G4562,2),"")</f>
        <v>20.69</v>
      </c>
      <c r="I4562" s="568"/>
      <c r="J4562" s="549" t="s">
        <v>5804</v>
      </c>
      <c r="K4562" s="11"/>
      <c r="M4562" s="107">
        <f>M4548*(1-N4562)</f>
        <v>25.8628294566</v>
      </c>
      <c r="N4562" s="108">
        <v>0.13</v>
      </c>
      <c r="O4562" s="109" t="s">
        <v>5509</v>
      </c>
    </row>
    <row r="4563" spans="1:24" x14ac:dyDescent="0.35">
      <c r="A4563" s="497" t="str">
        <f t="shared" si="1585"/>
        <v>SgK333------11</v>
      </c>
      <c r="B4563" s="13" t="s">
        <v>5434</v>
      </c>
      <c r="C4563" s="13" t="s">
        <v>1467</v>
      </c>
      <c r="D4563" s="13" t="s">
        <v>7395</v>
      </c>
      <c r="E4563" s="13"/>
      <c r="F4563" s="364">
        <f>ROUND(M4563,2)</f>
        <v>21.56</v>
      </c>
      <c r="G4563" s="424">
        <v>21.56</v>
      </c>
      <c r="H4563" s="14">
        <f>IF(ISNUMBER(G4563),ROUND(0.8*G4563,2),"")</f>
        <v>17.25</v>
      </c>
      <c r="I4563" s="568"/>
      <c r="J4563" s="549" t="s">
        <v>5804</v>
      </c>
      <c r="K4563" s="11"/>
      <c r="L4563" s="102"/>
      <c r="M4563" s="107">
        <f>M4549*(1-N4563)</f>
        <v>21.563248409999996</v>
      </c>
      <c r="N4563" s="108">
        <v>0.13</v>
      </c>
      <c r="O4563" s="109" t="s">
        <v>5510</v>
      </c>
    </row>
    <row r="4564" spans="1:24" x14ac:dyDescent="0.35">
      <c r="A4564" s="497" t="str">
        <f t="shared" si="1585"/>
        <v>SgK33410----11</v>
      </c>
      <c r="B4564" s="13" t="s">
        <v>5434</v>
      </c>
      <c r="C4564" s="13" t="s">
        <v>1467</v>
      </c>
      <c r="D4564" s="13" t="s">
        <v>5382</v>
      </c>
      <c r="E4564" s="13"/>
      <c r="F4564" s="389">
        <f>F4560</f>
        <v>28.74</v>
      </c>
      <c r="G4564" s="445">
        <v>28.74</v>
      </c>
      <c r="H4564" s="14"/>
      <c r="I4564" s="568"/>
      <c r="J4564" s="549" t="s">
        <v>5804</v>
      </c>
      <c r="K4564" s="11"/>
      <c r="L4564" s="102"/>
      <c r="M4564" s="102"/>
      <c r="O4564" s="109" t="s">
        <v>1479</v>
      </c>
    </row>
    <row r="4565" spans="1:24" x14ac:dyDescent="0.35">
      <c r="A4565" s="497" t="str">
        <f t="shared" si="1585"/>
        <v>SgK33420----11</v>
      </c>
      <c r="B4565" s="13" t="s">
        <v>5434</v>
      </c>
      <c r="C4565" s="13" t="s">
        <v>1467</v>
      </c>
      <c r="D4565" s="13" t="s">
        <v>5384</v>
      </c>
      <c r="E4565" s="13"/>
      <c r="F4565" s="389">
        <v>16.38</v>
      </c>
      <c r="G4565" s="445">
        <v>16.38</v>
      </c>
      <c r="H4565" s="14"/>
      <c r="I4565" s="568"/>
      <c r="J4565" s="549" t="s">
        <v>5804</v>
      </c>
      <c r="K4565" s="11"/>
      <c r="L4565" s="102"/>
      <c r="M4565" s="102"/>
      <c r="O4565" s="109" t="s">
        <v>1011</v>
      </c>
      <c r="P4565" s="92"/>
      <c r="Q4565" s="92"/>
      <c r="R4565" s="92"/>
      <c r="S4565" s="92"/>
      <c r="T4565" s="92"/>
      <c r="U4565" s="92"/>
      <c r="V4565" s="92"/>
      <c r="W4565" s="111">
        <f>F4564-F4565</f>
        <v>12.36</v>
      </c>
      <c r="X4565" s="92" t="s">
        <v>5595</v>
      </c>
    </row>
    <row r="4566" spans="1:24" x14ac:dyDescent="0.35">
      <c r="A4566" s="497" t="str">
        <f t="shared" si="1585"/>
        <v>SgK33430----11</v>
      </c>
      <c r="B4566" s="13" t="s">
        <v>5434</v>
      </c>
      <c r="C4566" s="13" t="s">
        <v>1467</v>
      </c>
      <c r="D4566" s="13" t="s">
        <v>5385</v>
      </c>
      <c r="E4566" s="13"/>
      <c r="F4566" s="389">
        <v>12</v>
      </c>
      <c r="G4566" s="445">
        <v>12</v>
      </c>
      <c r="H4566" s="14"/>
      <c r="I4566" s="568"/>
      <c r="J4566" s="549" t="s">
        <v>5804</v>
      </c>
      <c r="K4566" s="11"/>
      <c r="L4566" s="102"/>
      <c r="O4566" s="109" t="s">
        <v>1012</v>
      </c>
      <c r="P4566" s="92"/>
      <c r="Q4566" s="92"/>
      <c r="R4566" s="92"/>
      <c r="S4566" s="92"/>
      <c r="T4566" s="92"/>
      <c r="U4566" s="92"/>
      <c r="V4566" s="92"/>
      <c r="W4566" s="111">
        <f>F4564-F4566</f>
        <v>16.739999999999998</v>
      </c>
      <c r="X4566" s="92" t="s">
        <v>5595</v>
      </c>
    </row>
    <row r="4567" spans="1:24" x14ac:dyDescent="0.35">
      <c r="A4567" s="497" t="str">
        <f t="shared" si="1585"/>
        <v>SgK33411----11</v>
      </c>
      <c r="B4567" s="13" t="s">
        <v>5434</v>
      </c>
      <c r="C4567" s="13" t="s">
        <v>1467</v>
      </c>
      <c r="D4567" s="13" t="s">
        <v>5386</v>
      </c>
      <c r="E4567" s="13"/>
      <c r="F4567" s="389">
        <f>F4561</f>
        <v>27.33</v>
      </c>
      <c r="G4567" s="445">
        <v>27.33</v>
      </c>
      <c r="H4567" s="14"/>
      <c r="I4567" s="568"/>
      <c r="J4567" s="549" t="s">
        <v>5804</v>
      </c>
      <c r="K4567" s="11"/>
      <c r="L4567" s="102"/>
      <c r="M4567" s="102"/>
      <c r="O4567" s="109" t="s">
        <v>1480</v>
      </c>
    </row>
    <row r="4568" spans="1:24" x14ac:dyDescent="0.35">
      <c r="A4568" s="497" t="str">
        <f t="shared" si="1585"/>
        <v>SgK33421----11</v>
      </c>
      <c r="B4568" s="13" t="s">
        <v>5434</v>
      </c>
      <c r="C4568" s="13" t="s">
        <v>1467</v>
      </c>
      <c r="D4568" s="13" t="s">
        <v>5387</v>
      </c>
      <c r="E4568" s="13"/>
      <c r="F4568" s="389">
        <v>16.38</v>
      </c>
      <c r="G4568" s="445">
        <v>16.38</v>
      </c>
      <c r="H4568" s="14"/>
      <c r="I4568" s="568"/>
      <c r="J4568" s="549" t="s">
        <v>5804</v>
      </c>
      <c r="K4568" s="11"/>
      <c r="L4568" s="102"/>
      <c r="M4568" s="102"/>
      <c r="O4568" s="109" t="s">
        <v>1011</v>
      </c>
      <c r="P4568" s="92"/>
      <c r="Q4568" s="92"/>
      <c r="R4568" s="92"/>
      <c r="S4568" s="92"/>
      <c r="T4568" s="92"/>
      <c r="U4568" s="92"/>
      <c r="V4568" s="92"/>
      <c r="W4568" s="111">
        <f>F4567-F4568</f>
        <v>10.95</v>
      </c>
      <c r="X4568" s="92" t="s">
        <v>5595</v>
      </c>
    </row>
    <row r="4569" spans="1:24" x14ac:dyDescent="0.35">
      <c r="A4569" s="497" t="str">
        <f t="shared" si="1585"/>
        <v>SgK33431----11</v>
      </c>
      <c r="B4569" s="13" t="s">
        <v>5434</v>
      </c>
      <c r="C4569" s="13" t="s">
        <v>1467</v>
      </c>
      <c r="D4569" s="13" t="s">
        <v>5388</v>
      </c>
      <c r="E4569" s="13"/>
      <c r="F4569" s="389">
        <v>12</v>
      </c>
      <c r="G4569" s="445">
        <v>12</v>
      </c>
      <c r="H4569" s="14"/>
      <c r="I4569" s="568"/>
      <c r="J4569" s="549" t="s">
        <v>5804</v>
      </c>
      <c r="K4569" s="11"/>
      <c r="L4569" s="102"/>
      <c r="O4569" s="109" t="s">
        <v>1012</v>
      </c>
      <c r="P4569" s="92"/>
      <c r="Q4569" s="92"/>
      <c r="R4569" s="92"/>
      <c r="S4569" s="92"/>
      <c r="T4569" s="92"/>
      <c r="U4569" s="92"/>
      <c r="V4569" s="92"/>
      <c r="W4569" s="111">
        <f>F4567-F4569</f>
        <v>15.329999999999998</v>
      </c>
      <c r="X4569" s="92" t="s">
        <v>5595</v>
      </c>
    </row>
    <row r="4570" spans="1:24" x14ac:dyDescent="0.35">
      <c r="A4570" s="497" t="str">
        <f t="shared" si="1585"/>
        <v>SgK33412----11</v>
      </c>
      <c r="B4570" s="13" t="s">
        <v>5434</v>
      </c>
      <c r="C4570" s="13" t="s">
        <v>1467</v>
      </c>
      <c r="D4570" s="13" t="s">
        <v>5389</v>
      </c>
      <c r="E4570" s="13"/>
      <c r="F4570" s="389">
        <f>F4562</f>
        <v>25.86</v>
      </c>
      <c r="G4570" s="445">
        <v>25.86</v>
      </c>
      <c r="H4570" s="14"/>
      <c r="I4570" s="568"/>
      <c r="J4570" s="549" t="s">
        <v>5804</v>
      </c>
      <c r="K4570" s="11"/>
      <c r="L4570" s="102"/>
      <c r="M4570" s="102"/>
      <c r="O4570" s="109" t="s">
        <v>1481</v>
      </c>
    </row>
    <row r="4571" spans="1:24" x14ac:dyDescent="0.35">
      <c r="A4571" s="497" t="str">
        <f t="shared" si="1585"/>
        <v>SgK33422----11</v>
      </c>
      <c r="B4571" s="13" t="s">
        <v>5434</v>
      </c>
      <c r="C4571" s="13" t="s">
        <v>1467</v>
      </c>
      <c r="D4571" s="13" t="s">
        <v>5390</v>
      </c>
      <c r="E4571" s="13"/>
      <c r="F4571" s="389">
        <v>16.38</v>
      </c>
      <c r="G4571" s="445">
        <v>16.38</v>
      </c>
      <c r="H4571" s="14"/>
      <c r="I4571" s="568"/>
      <c r="J4571" s="549" t="s">
        <v>5804</v>
      </c>
      <c r="K4571" s="11"/>
      <c r="L4571" s="102"/>
      <c r="M4571" s="102"/>
      <c r="O4571" s="109" t="s">
        <v>1011</v>
      </c>
      <c r="P4571" s="92"/>
      <c r="Q4571" s="92"/>
      <c r="R4571" s="92"/>
      <c r="S4571" s="92"/>
      <c r="T4571" s="92"/>
      <c r="U4571" s="92"/>
      <c r="V4571" s="92"/>
      <c r="W4571" s="111">
        <f>F4570-F4571</f>
        <v>9.48</v>
      </c>
      <c r="X4571" s="92" t="s">
        <v>5595</v>
      </c>
    </row>
    <row r="4572" spans="1:24" x14ac:dyDescent="0.35">
      <c r="A4572" s="497" t="str">
        <f t="shared" si="1585"/>
        <v>SgK33432----11</v>
      </c>
      <c r="B4572" s="13" t="s">
        <v>5434</v>
      </c>
      <c r="C4572" s="13" t="s">
        <v>1467</v>
      </c>
      <c r="D4572" s="13" t="s">
        <v>5391</v>
      </c>
      <c r="E4572" s="13"/>
      <c r="F4572" s="389">
        <v>12</v>
      </c>
      <c r="G4572" s="445">
        <v>12</v>
      </c>
      <c r="H4572" s="14"/>
      <c r="I4572" s="568"/>
      <c r="J4572" s="549" t="s">
        <v>5804</v>
      </c>
      <c r="K4572" s="11"/>
      <c r="O4572" s="109" t="s">
        <v>1012</v>
      </c>
      <c r="P4572" s="92"/>
      <c r="Q4572" s="92"/>
      <c r="R4572" s="92"/>
      <c r="S4572" s="92"/>
      <c r="T4572" s="92"/>
      <c r="U4572" s="92"/>
      <c r="V4572" s="92"/>
      <c r="W4572" s="111">
        <f>F4570-F4572</f>
        <v>13.86</v>
      </c>
      <c r="X4572" s="92" t="s">
        <v>5595</v>
      </c>
    </row>
    <row r="4573" spans="1:24" x14ac:dyDescent="0.35">
      <c r="A4573" s="203"/>
      <c r="D4573" s="103"/>
      <c r="G4573" s="435"/>
      <c r="H4573" s="11" t="str">
        <f>IF(ISNUMBER(G4573),ROUND(0.8*G4573,2),"")</f>
        <v/>
      </c>
      <c r="J4573" s="549" t="s">
        <v>4179</v>
      </c>
      <c r="K4573" s="11"/>
      <c r="M4573">
        <v>2012</v>
      </c>
    </row>
    <row r="4574" spans="1:24" x14ac:dyDescent="0.35">
      <c r="A4574" s="500" t="str">
        <f t="shared" ref="A4574:A4586" si="1586">LEFT(A4560,9)&amp;"---"&amp;($M$4573-2000)</f>
        <v>SgK330------12</v>
      </c>
      <c r="B4574" s="225" t="s">
        <v>5434</v>
      </c>
      <c r="C4574" s="225" t="s">
        <v>3916</v>
      </c>
      <c r="D4574" s="225" t="s">
        <v>5379</v>
      </c>
      <c r="E4574" s="225"/>
      <c r="F4574" s="366">
        <f>ROUND(M4574,2)</f>
        <v>24.43</v>
      </c>
      <c r="G4574" s="427">
        <v>24.43</v>
      </c>
      <c r="H4574" s="227">
        <f>IF(ISNUMBER(G4574),ROUND(0.8*G4574,2),"")</f>
        <v>19.54</v>
      </c>
      <c r="I4574" s="570"/>
      <c r="J4574" s="549" t="s">
        <v>5804</v>
      </c>
      <c r="K4574" s="11"/>
      <c r="M4574" s="107">
        <f>28.74*(1-N4574)</f>
        <v>24.428999999999998</v>
      </c>
      <c r="N4574" s="108">
        <v>0.15</v>
      </c>
      <c r="O4574" s="109" t="s">
        <v>4247</v>
      </c>
    </row>
    <row r="4575" spans="1:24" x14ac:dyDescent="0.35">
      <c r="A4575" s="500" t="str">
        <f t="shared" si="1586"/>
        <v>SgK331------12</v>
      </c>
      <c r="B4575" s="225" t="s">
        <v>5434</v>
      </c>
      <c r="C4575" s="225" t="s">
        <v>3916</v>
      </c>
      <c r="D4575" s="225" t="s">
        <v>5380</v>
      </c>
      <c r="E4575" s="225"/>
      <c r="F4575" s="366">
        <f>ROUND(M4575,2)</f>
        <v>23.23</v>
      </c>
      <c r="G4575" s="427">
        <v>23.23</v>
      </c>
      <c r="H4575" s="227">
        <f>IF(ISNUMBER(G4575),ROUND(0.8*G4575,2),"")</f>
        <v>18.579999999999998</v>
      </c>
      <c r="I4575" s="570"/>
      <c r="J4575" s="549" t="s">
        <v>5804</v>
      </c>
      <c r="K4575" s="11"/>
      <c r="M4575" s="107">
        <f>27.33*(1-N4575)</f>
        <v>23.230499999999999</v>
      </c>
      <c r="N4575" s="108">
        <v>0.15</v>
      </c>
      <c r="O4575" s="109" t="s">
        <v>4248</v>
      </c>
    </row>
    <row r="4576" spans="1:24" x14ac:dyDescent="0.35">
      <c r="A4576" s="500" t="str">
        <f t="shared" si="1586"/>
        <v>SgK332------12</v>
      </c>
      <c r="B4576" s="225" t="s">
        <v>5434</v>
      </c>
      <c r="C4576" s="225" t="s">
        <v>3916</v>
      </c>
      <c r="D4576" s="225" t="s">
        <v>5381</v>
      </c>
      <c r="E4576" s="225"/>
      <c r="F4576" s="366">
        <f>ROUND(M4576,2)</f>
        <v>21.98</v>
      </c>
      <c r="G4576" s="427">
        <v>21.98</v>
      </c>
      <c r="H4576" s="227">
        <f>IF(ISNUMBER(G4576),ROUND(0.8*G4576,2),"")</f>
        <v>17.579999999999998</v>
      </c>
      <c r="I4576" s="570"/>
      <c r="J4576" s="549" t="s">
        <v>5804</v>
      </c>
      <c r="K4576" s="11"/>
      <c r="M4576" s="107">
        <f>25.86*(1-N4576)</f>
        <v>21.980999999999998</v>
      </c>
      <c r="N4576" s="108">
        <v>0.15</v>
      </c>
      <c r="O4576" s="109" t="s">
        <v>4249</v>
      </c>
    </row>
    <row r="4577" spans="1:24" x14ac:dyDescent="0.35">
      <c r="A4577" s="500" t="str">
        <f t="shared" si="1586"/>
        <v>SgK333------12</v>
      </c>
      <c r="B4577" s="225" t="s">
        <v>5434</v>
      </c>
      <c r="C4577" s="225" t="s">
        <v>3916</v>
      </c>
      <c r="D4577" s="225" t="s">
        <v>7395</v>
      </c>
      <c r="E4577" s="225"/>
      <c r="F4577" s="366">
        <f>ROUND(M4577,2)</f>
        <v>18.329999999999998</v>
      </c>
      <c r="G4577" s="427">
        <v>18.329999999999998</v>
      </c>
      <c r="H4577" s="227">
        <f>IF(ISNUMBER(G4577),ROUND(0.8*G4577,2),"")</f>
        <v>14.66</v>
      </c>
      <c r="I4577" s="570"/>
      <c r="J4577" s="549" t="s">
        <v>5804</v>
      </c>
      <c r="K4577" s="11"/>
      <c r="L4577" s="102"/>
      <c r="M4577" s="107">
        <f>21.56*(1-N4577)</f>
        <v>18.325999999999997</v>
      </c>
      <c r="N4577" s="108">
        <v>0.15</v>
      </c>
      <c r="O4577" s="109" t="s">
        <v>4250</v>
      </c>
    </row>
    <row r="4578" spans="1:24" x14ac:dyDescent="0.35">
      <c r="A4578" s="500" t="str">
        <f t="shared" si="1586"/>
        <v>SgK33410----12</v>
      </c>
      <c r="B4578" s="225" t="s">
        <v>5434</v>
      </c>
      <c r="C4578" s="225" t="s">
        <v>3916</v>
      </c>
      <c r="D4578" s="225" t="s">
        <v>5382</v>
      </c>
      <c r="E4578" s="225"/>
      <c r="F4578" s="390">
        <f>F4574</f>
        <v>24.43</v>
      </c>
      <c r="G4578" s="446">
        <v>24.43</v>
      </c>
      <c r="H4578" s="228"/>
      <c r="I4578" s="570"/>
      <c r="J4578" s="549" t="s">
        <v>5804</v>
      </c>
      <c r="K4578" s="11"/>
      <c r="L4578" s="102"/>
      <c r="M4578" s="102"/>
      <c r="O4578" s="109" t="s">
        <v>4251</v>
      </c>
    </row>
    <row r="4579" spans="1:24" x14ac:dyDescent="0.35">
      <c r="A4579" s="500" t="str">
        <f t="shared" si="1586"/>
        <v>SgK33420----12</v>
      </c>
      <c r="B4579" s="225" t="s">
        <v>5434</v>
      </c>
      <c r="C4579" s="225" t="s">
        <v>3916</v>
      </c>
      <c r="D4579" s="225" t="s">
        <v>5384</v>
      </c>
      <c r="E4579" s="225"/>
      <c r="F4579" s="390">
        <v>16.38</v>
      </c>
      <c r="G4579" s="446">
        <v>16.38</v>
      </c>
      <c r="H4579" s="228"/>
      <c r="I4579" s="570"/>
      <c r="J4579" s="549" t="s">
        <v>5804</v>
      </c>
      <c r="K4579" s="11"/>
      <c r="L4579" s="102"/>
      <c r="M4579" s="102"/>
      <c r="O4579" s="109" t="s">
        <v>1011</v>
      </c>
      <c r="P4579" s="92"/>
      <c r="Q4579" s="92"/>
      <c r="R4579" s="92"/>
      <c r="S4579" s="92"/>
      <c r="T4579" s="92"/>
      <c r="U4579" s="92"/>
      <c r="V4579" s="92"/>
      <c r="W4579" s="111">
        <f>F4578-F4579</f>
        <v>8.0500000000000007</v>
      </c>
      <c r="X4579" s="92" t="s">
        <v>5595</v>
      </c>
    </row>
    <row r="4580" spans="1:24" x14ac:dyDescent="0.35">
      <c r="A4580" s="500" t="str">
        <f t="shared" si="1586"/>
        <v>SgK33430----12</v>
      </c>
      <c r="B4580" s="225" t="s">
        <v>5434</v>
      </c>
      <c r="C4580" s="225" t="s">
        <v>3916</v>
      </c>
      <c r="D4580" s="225" t="s">
        <v>5385</v>
      </c>
      <c r="E4580" s="225"/>
      <c r="F4580" s="390">
        <v>12</v>
      </c>
      <c r="G4580" s="446">
        <v>12</v>
      </c>
      <c r="H4580" s="228"/>
      <c r="I4580" s="570"/>
      <c r="J4580" s="549" t="s">
        <v>5804</v>
      </c>
      <c r="K4580" s="11"/>
      <c r="L4580" s="102"/>
      <c r="O4580" s="109" t="s">
        <v>1012</v>
      </c>
      <c r="P4580" s="92"/>
      <c r="Q4580" s="92"/>
      <c r="R4580" s="92"/>
      <c r="S4580" s="92"/>
      <c r="T4580" s="92"/>
      <c r="U4580" s="92"/>
      <c r="V4580" s="92"/>
      <c r="W4580" s="111">
        <f>F4578-F4580</f>
        <v>12.43</v>
      </c>
      <c r="X4580" s="92" t="s">
        <v>5595</v>
      </c>
    </row>
    <row r="4581" spans="1:24" x14ac:dyDescent="0.35">
      <c r="A4581" s="500" t="str">
        <f t="shared" si="1586"/>
        <v>SgK33411----12</v>
      </c>
      <c r="B4581" s="225" t="s">
        <v>5434</v>
      </c>
      <c r="C4581" s="225" t="s">
        <v>3916</v>
      </c>
      <c r="D4581" s="225" t="s">
        <v>5386</v>
      </c>
      <c r="E4581" s="225"/>
      <c r="F4581" s="390">
        <f>F4575</f>
        <v>23.23</v>
      </c>
      <c r="G4581" s="446">
        <v>23.23</v>
      </c>
      <c r="H4581" s="228"/>
      <c r="I4581" s="570"/>
      <c r="J4581" s="549" t="s">
        <v>5804</v>
      </c>
      <c r="K4581" s="11"/>
      <c r="L4581" s="102"/>
      <c r="M4581" s="102"/>
      <c r="O4581" s="109" t="s">
        <v>4253</v>
      </c>
    </row>
    <row r="4582" spans="1:24" x14ac:dyDescent="0.35">
      <c r="A4582" s="500" t="str">
        <f t="shared" si="1586"/>
        <v>SgK33421----12</v>
      </c>
      <c r="B4582" s="225" t="s">
        <v>5434</v>
      </c>
      <c r="C4582" s="225" t="s">
        <v>3916</v>
      </c>
      <c r="D4582" s="225" t="s">
        <v>5387</v>
      </c>
      <c r="E4582" s="225"/>
      <c r="F4582" s="390">
        <v>16.38</v>
      </c>
      <c r="G4582" s="446">
        <v>16.38</v>
      </c>
      <c r="H4582" s="228"/>
      <c r="I4582" s="570"/>
      <c r="J4582" s="549" t="s">
        <v>5804</v>
      </c>
      <c r="K4582" s="11"/>
      <c r="L4582" s="102"/>
      <c r="M4582" s="102"/>
      <c r="O4582" s="109" t="s">
        <v>1011</v>
      </c>
      <c r="P4582" s="92"/>
      <c r="Q4582" s="92"/>
      <c r="R4582" s="92"/>
      <c r="S4582" s="92"/>
      <c r="T4582" s="92"/>
      <c r="U4582" s="92"/>
      <c r="V4582" s="92"/>
      <c r="W4582" s="111">
        <f>F4581-F4582</f>
        <v>6.8500000000000014</v>
      </c>
      <c r="X4582" s="92" t="s">
        <v>5595</v>
      </c>
    </row>
    <row r="4583" spans="1:24" x14ac:dyDescent="0.35">
      <c r="A4583" s="500" t="str">
        <f t="shared" si="1586"/>
        <v>SgK33431----12</v>
      </c>
      <c r="B4583" s="225" t="s">
        <v>5434</v>
      </c>
      <c r="C4583" s="225" t="s">
        <v>3916</v>
      </c>
      <c r="D4583" s="225" t="s">
        <v>5388</v>
      </c>
      <c r="E4583" s="225"/>
      <c r="F4583" s="390">
        <v>12</v>
      </c>
      <c r="G4583" s="446">
        <v>12</v>
      </c>
      <c r="H4583" s="228"/>
      <c r="I4583" s="570"/>
      <c r="J4583" s="549" t="s">
        <v>5804</v>
      </c>
      <c r="K4583" s="11"/>
      <c r="L4583" s="102"/>
      <c r="O4583" s="109" t="s">
        <v>1012</v>
      </c>
      <c r="P4583" s="92"/>
      <c r="Q4583" s="92"/>
      <c r="R4583" s="92"/>
      <c r="S4583" s="92"/>
      <c r="T4583" s="92"/>
      <c r="U4583" s="92"/>
      <c r="V4583" s="92"/>
      <c r="W4583" s="111">
        <f>F4581-F4583</f>
        <v>11.23</v>
      </c>
      <c r="X4583" s="92" t="s">
        <v>5595</v>
      </c>
    </row>
    <row r="4584" spans="1:24" x14ac:dyDescent="0.35">
      <c r="A4584" s="500" t="str">
        <f t="shared" si="1586"/>
        <v>SgK33412----12</v>
      </c>
      <c r="B4584" s="225" t="s">
        <v>5434</v>
      </c>
      <c r="C4584" s="225" t="s">
        <v>3916</v>
      </c>
      <c r="D4584" s="225" t="s">
        <v>5389</v>
      </c>
      <c r="E4584" s="225"/>
      <c r="F4584" s="390">
        <f>F4576</f>
        <v>21.98</v>
      </c>
      <c r="G4584" s="446">
        <v>21.98</v>
      </c>
      <c r="H4584" s="228"/>
      <c r="I4584" s="570"/>
      <c r="J4584" s="549" t="s">
        <v>5804</v>
      </c>
      <c r="K4584" s="11"/>
      <c r="L4584" s="102"/>
      <c r="M4584" s="102"/>
      <c r="O4584" s="109" t="s">
        <v>4252</v>
      </c>
    </row>
    <row r="4585" spans="1:24" x14ac:dyDescent="0.35">
      <c r="A4585" s="500" t="str">
        <f t="shared" si="1586"/>
        <v>SgK33422----12</v>
      </c>
      <c r="B4585" s="225" t="s">
        <v>5434</v>
      </c>
      <c r="C4585" s="225" t="s">
        <v>3916</v>
      </c>
      <c r="D4585" s="225" t="s">
        <v>5390</v>
      </c>
      <c r="E4585" s="225"/>
      <c r="F4585" s="390">
        <v>16.38</v>
      </c>
      <c r="G4585" s="446">
        <v>16.38</v>
      </c>
      <c r="H4585" s="228"/>
      <c r="I4585" s="570"/>
      <c r="J4585" s="549" t="s">
        <v>5804</v>
      </c>
      <c r="K4585" s="11"/>
      <c r="L4585" s="102"/>
      <c r="M4585" s="102"/>
      <c r="O4585" s="109" t="s">
        <v>1011</v>
      </c>
      <c r="P4585" s="92"/>
      <c r="Q4585" s="92"/>
      <c r="R4585" s="92"/>
      <c r="S4585" s="92"/>
      <c r="T4585" s="92"/>
      <c r="U4585" s="92"/>
      <c r="V4585" s="92"/>
      <c r="W4585" s="111">
        <f>F4584-F4585</f>
        <v>5.6000000000000014</v>
      </c>
      <c r="X4585" s="92" t="s">
        <v>5595</v>
      </c>
    </row>
    <row r="4586" spans="1:24" x14ac:dyDescent="0.35">
      <c r="A4586" s="500" t="str">
        <f t="shared" si="1586"/>
        <v>SgK33432----12</v>
      </c>
      <c r="B4586" s="225" t="s">
        <v>5434</v>
      </c>
      <c r="C4586" s="225" t="s">
        <v>3916</v>
      </c>
      <c r="D4586" s="225" t="s">
        <v>5391</v>
      </c>
      <c r="E4586" s="225"/>
      <c r="F4586" s="390">
        <v>12</v>
      </c>
      <c r="G4586" s="446">
        <v>12</v>
      </c>
      <c r="H4586" s="228"/>
      <c r="I4586" s="570"/>
      <c r="J4586" s="549" t="s">
        <v>5804</v>
      </c>
      <c r="K4586" s="11"/>
      <c r="O4586" s="109" t="s">
        <v>1012</v>
      </c>
      <c r="P4586" s="92"/>
      <c r="Q4586" s="92"/>
      <c r="R4586" s="92"/>
      <c r="S4586" s="92"/>
      <c r="T4586" s="92"/>
      <c r="U4586" s="92"/>
      <c r="V4586" s="92"/>
      <c r="W4586" s="111">
        <f>F4584-F4586</f>
        <v>9.98</v>
      </c>
      <c r="X4586" s="92" t="s">
        <v>5595</v>
      </c>
    </row>
    <row r="4587" spans="1:24" x14ac:dyDescent="0.35">
      <c r="A4587" s="203"/>
      <c r="D4587" s="103"/>
      <c r="G4587" s="435"/>
      <c r="H4587" s="11" t="str">
        <f>IF(ISNUMBER(G4587),ROUND(0.8*G4587,2),"")</f>
        <v/>
      </c>
      <c r="J4587" s="549" t="s">
        <v>4179</v>
      </c>
      <c r="K4587" s="11"/>
    </row>
    <row r="4588" spans="1:24" x14ac:dyDescent="0.35">
      <c r="A4588" s="501" t="str">
        <f>LEFT(A4574,6)&amp;"BS----"&amp;($M$4573-2000)</f>
        <v>SgK330BS----12</v>
      </c>
      <c r="B4588" s="257" t="s">
        <v>5434</v>
      </c>
      <c r="C4588" s="257" t="s">
        <v>3917</v>
      </c>
      <c r="D4588" s="257" t="str">
        <f>"Bestandsschutz Netzanschlussbegehren vor 24.02.2012, " &amp; D4574</f>
        <v>Bestandsschutz Netzanschlussbegehren vor 24.02.2012, 0-30 kW</v>
      </c>
      <c r="E4588" s="257"/>
      <c r="F4588" s="388">
        <f t="shared" ref="F4588:F4600" si="1587">F4574</f>
        <v>24.43</v>
      </c>
      <c r="G4588" s="444">
        <v>24.43</v>
      </c>
      <c r="H4588" s="258">
        <f>IF(ISNUMBER(G4588),ROUND(0.8*G4588,2),"")</f>
        <v>19.54</v>
      </c>
      <c r="I4588" s="592"/>
      <c r="J4588" s="549" t="s">
        <v>5804</v>
      </c>
      <c r="K4588" s="11"/>
      <c r="M4588" s="107"/>
      <c r="N4588" s="108"/>
      <c r="O4588" s="109"/>
    </row>
    <row r="4589" spans="1:24" x14ac:dyDescent="0.35">
      <c r="A4589" s="501" t="str">
        <f>LEFT(A4575,6)&amp;"BS----"&amp;($M$4573-2000)</f>
        <v>SgK331BS----12</v>
      </c>
      <c r="B4589" s="257" t="s">
        <v>5434</v>
      </c>
      <c r="C4589" s="257" t="s">
        <v>3917</v>
      </c>
      <c r="D4589" s="257" t="str">
        <f>"Bestandsschutz Netzanschlussbegehren vor 24.02.2012, " &amp; D4575</f>
        <v>Bestandsschutz Netzanschlussbegehren vor 24.02.2012, 30-100 kW</v>
      </c>
      <c r="E4589" s="257"/>
      <c r="F4589" s="388">
        <f t="shared" si="1587"/>
        <v>23.23</v>
      </c>
      <c r="G4589" s="444">
        <v>23.23</v>
      </c>
      <c r="H4589" s="258">
        <f>IF(ISNUMBER(G4589),ROUND(0.8*G4589,2),"")</f>
        <v>18.579999999999998</v>
      </c>
      <c r="I4589" s="592"/>
      <c r="J4589" s="549" t="s">
        <v>5804</v>
      </c>
      <c r="K4589" s="11"/>
      <c r="M4589" s="107"/>
      <c r="N4589" s="108"/>
      <c r="O4589" s="109"/>
    </row>
    <row r="4590" spans="1:24" x14ac:dyDescent="0.35">
      <c r="A4590" s="501" t="str">
        <f>LEFT(A4576,6)&amp;"BS----"&amp;($M$4573-2000)</f>
        <v>SgK332BS----12</v>
      </c>
      <c r="B4590" s="257" t="s">
        <v>5434</v>
      </c>
      <c r="C4590" s="257" t="s">
        <v>3917</v>
      </c>
      <c r="D4590" s="257" t="str">
        <f>"Bestandsschutz Netzanschlussbegehren vor 24.02.2012, " &amp; D4576</f>
        <v>Bestandsschutz Netzanschlussbegehren vor 24.02.2012, 100 kW-1 MW</v>
      </c>
      <c r="E4590" s="257"/>
      <c r="F4590" s="388">
        <f t="shared" si="1587"/>
        <v>21.98</v>
      </c>
      <c r="G4590" s="444">
        <v>21.98</v>
      </c>
      <c r="H4590" s="258">
        <f>IF(ISNUMBER(G4590),ROUND(0.8*G4590,2),"")</f>
        <v>17.579999999999998</v>
      </c>
      <c r="I4590" s="592"/>
      <c r="J4590" s="549" t="s">
        <v>5804</v>
      </c>
      <c r="K4590" s="11"/>
      <c r="M4590" s="107"/>
      <c r="N4590" s="108"/>
      <c r="O4590" s="109"/>
    </row>
    <row r="4591" spans="1:24" x14ac:dyDescent="0.35">
      <c r="A4591" s="501" t="str">
        <f>LEFT(A4577,6)&amp;"BS----"&amp;($M$4573-2000)</f>
        <v>SgK333BS----12</v>
      </c>
      <c r="B4591" s="257" t="s">
        <v>5434</v>
      </c>
      <c r="C4591" s="257" t="s">
        <v>3917</v>
      </c>
      <c r="D4591" s="257" t="str">
        <f>"Bestandsschutz Netzanschlussbegehren vor 24.02.2012, " &amp; D4577</f>
        <v>Bestandsschutz Netzanschlussbegehren vor 24.02.2012, &gt; 1 MW</v>
      </c>
      <c r="E4591" s="257"/>
      <c r="F4591" s="388">
        <f t="shared" si="1587"/>
        <v>18.329999999999998</v>
      </c>
      <c r="G4591" s="444">
        <v>18.329999999999998</v>
      </c>
      <c r="H4591" s="258">
        <f>IF(ISNUMBER(G4591),ROUND(0.8*G4591,2),"")</f>
        <v>14.66</v>
      </c>
      <c r="I4591" s="592"/>
      <c r="J4591" s="549" t="s">
        <v>5804</v>
      </c>
      <c r="K4591" s="11"/>
      <c r="L4591" s="102"/>
      <c r="M4591" s="107"/>
      <c r="N4591" s="108"/>
      <c r="O4591" s="109"/>
    </row>
    <row r="4592" spans="1:24" x14ac:dyDescent="0.35">
      <c r="A4592" s="501" t="str">
        <f t="shared" ref="A4592:A4600" si="1588">LEFT(A4578,8)&amp;"BS--"&amp;($M$4573-2000)</f>
        <v>SgK33410BS--12</v>
      </c>
      <c r="B4592" s="257" t="s">
        <v>5434</v>
      </c>
      <c r="C4592" s="257" t="s">
        <v>3917</v>
      </c>
      <c r="D4592" s="257" t="s">
        <v>3922</v>
      </c>
      <c r="E4592" s="257"/>
      <c r="F4592" s="388">
        <f t="shared" si="1587"/>
        <v>24.43</v>
      </c>
      <c r="G4592" s="444">
        <v>24.43</v>
      </c>
      <c r="H4592" s="258"/>
      <c r="I4592" s="592"/>
      <c r="J4592" s="549" t="s">
        <v>5804</v>
      </c>
      <c r="K4592" s="11"/>
      <c r="L4592" s="102"/>
      <c r="M4592" s="102"/>
      <c r="O4592" s="109"/>
    </row>
    <row r="4593" spans="1:24" x14ac:dyDescent="0.35">
      <c r="A4593" s="501" t="str">
        <f t="shared" si="1588"/>
        <v>SgK33420BS--12</v>
      </c>
      <c r="B4593" s="257" t="s">
        <v>5434</v>
      </c>
      <c r="C4593" s="257" t="s">
        <v>3917</v>
      </c>
      <c r="D4593" s="257" t="s">
        <v>3925</v>
      </c>
      <c r="E4593" s="257"/>
      <c r="F4593" s="388">
        <f t="shared" si="1587"/>
        <v>16.38</v>
      </c>
      <c r="G4593" s="444">
        <v>16.38</v>
      </c>
      <c r="H4593" s="258"/>
      <c r="I4593" s="592"/>
      <c r="J4593" s="549" t="s">
        <v>5804</v>
      </c>
      <c r="K4593" s="11"/>
      <c r="L4593" s="102"/>
      <c r="M4593" s="102"/>
      <c r="O4593" s="109"/>
      <c r="P4593" s="92"/>
      <c r="Q4593" s="92"/>
      <c r="R4593" s="92"/>
      <c r="S4593" s="92"/>
      <c r="T4593" s="92"/>
      <c r="U4593" s="92"/>
      <c r="V4593" s="92"/>
      <c r="W4593" s="111"/>
      <c r="X4593" s="92"/>
    </row>
    <row r="4594" spans="1:24" x14ac:dyDescent="0.35">
      <c r="A4594" s="501" t="str">
        <f t="shared" si="1588"/>
        <v>SgK33430BS--12</v>
      </c>
      <c r="B4594" s="257" t="s">
        <v>5434</v>
      </c>
      <c r="C4594" s="257" t="s">
        <v>3917</v>
      </c>
      <c r="D4594" s="257" t="s">
        <v>3926</v>
      </c>
      <c r="E4594" s="257"/>
      <c r="F4594" s="388">
        <f t="shared" si="1587"/>
        <v>12</v>
      </c>
      <c r="G4594" s="444">
        <v>12</v>
      </c>
      <c r="H4594" s="258"/>
      <c r="I4594" s="592"/>
      <c r="J4594" s="549" t="s">
        <v>5804</v>
      </c>
      <c r="K4594" s="11"/>
      <c r="L4594" s="102"/>
      <c r="O4594" s="109"/>
      <c r="P4594" s="92"/>
      <c r="Q4594" s="92"/>
      <c r="R4594" s="92"/>
      <c r="S4594" s="92"/>
      <c r="T4594" s="92"/>
      <c r="U4594" s="92"/>
      <c r="V4594" s="92"/>
      <c r="W4594" s="111"/>
      <c r="X4594" s="92"/>
    </row>
    <row r="4595" spans="1:24" x14ac:dyDescent="0.35">
      <c r="A4595" s="501" t="str">
        <f t="shared" si="1588"/>
        <v>SgK33411BS--12</v>
      </c>
      <c r="B4595" s="257" t="s">
        <v>5434</v>
      </c>
      <c r="C4595" s="257" t="s">
        <v>3917</v>
      </c>
      <c r="D4595" s="257" t="s">
        <v>3923</v>
      </c>
      <c r="E4595" s="257"/>
      <c r="F4595" s="388">
        <f t="shared" si="1587"/>
        <v>23.23</v>
      </c>
      <c r="G4595" s="444">
        <v>23.23</v>
      </c>
      <c r="H4595" s="258"/>
      <c r="I4595" s="592"/>
      <c r="J4595" s="549" t="s">
        <v>5804</v>
      </c>
      <c r="K4595" s="11"/>
      <c r="L4595" s="102"/>
      <c r="M4595" s="102"/>
      <c r="O4595" s="109"/>
    </row>
    <row r="4596" spans="1:24" x14ac:dyDescent="0.35">
      <c r="A4596" s="501" t="str">
        <f t="shared" si="1588"/>
        <v>SgK33421BS--12</v>
      </c>
      <c r="B4596" s="257" t="s">
        <v>5434</v>
      </c>
      <c r="C4596" s="257" t="s">
        <v>3917</v>
      </c>
      <c r="D4596" s="257" t="s">
        <v>3927</v>
      </c>
      <c r="E4596" s="257"/>
      <c r="F4596" s="388">
        <f t="shared" si="1587"/>
        <v>16.38</v>
      </c>
      <c r="G4596" s="444">
        <v>16.38</v>
      </c>
      <c r="H4596" s="258"/>
      <c r="I4596" s="592"/>
      <c r="J4596" s="549" t="s">
        <v>5804</v>
      </c>
      <c r="K4596" s="11"/>
      <c r="L4596" s="102"/>
      <c r="M4596" s="102"/>
      <c r="O4596" s="109"/>
      <c r="P4596" s="92"/>
      <c r="Q4596" s="92"/>
      <c r="R4596" s="92"/>
      <c r="S4596" s="92"/>
      <c r="T4596" s="92"/>
      <c r="U4596" s="92"/>
      <c r="V4596" s="92"/>
      <c r="W4596" s="111"/>
      <c r="X4596" s="92"/>
    </row>
    <row r="4597" spans="1:24" x14ac:dyDescent="0.35">
      <c r="A4597" s="501" t="str">
        <f t="shared" si="1588"/>
        <v>SgK33431BS--12</v>
      </c>
      <c r="B4597" s="257" t="s">
        <v>5434</v>
      </c>
      <c r="C4597" s="257" t="s">
        <v>3917</v>
      </c>
      <c r="D4597" s="257" t="s">
        <v>3928</v>
      </c>
      <c r="E4597" s="257"/>
      <c r="F4597" s="388">
        <f t="shared" si="1587"/>
        <v>12</v>
      </c>
      <c r="G4597" s="444">
        <v>12</v>
      </c>
      <c r="H4597" s="258"/>
      <c r="I4597" s="592"/>
      <c r="J4597" s="549" t="s">
        <v>5804</v>
      </c>
      <c r="K4597" s="11"/>
      <c r="L4597" s="102"/>
      <c r="O4597" s="109"/>
      <c r="P4597" s="92"/>
      <c r="Q4597" s="92"/>
      <c r="R4597" s="92"/>
      <c r="S4597" s="92"/>
      <c r="T4597" s="92"/>
      <c r="U4597" s="92"/>
      <c r="V4597" s="92"/>
      <c r="W4597" s="111"/>
      <c r="X4597" s="92"/>
    </row>
    <row r="4598" spans="1:24" x14ac:dyDescent="0.35">
      <c r="A4598" s="501" t="str">
        <f t="shared" si="1588"/>
        <v>SgK33412BS--12</v>
      </c>
      <c r="B4598" s="257" t="s">
        <v>5434</v>
      </c>
      <c r="C4598" s="257" t="s">
        <v>3917</v>
      </c>
      <c r="D4598" s="257" t="s">
        <v>3924</v>
      </c>
      <c r="E4598" s="257"/>
      <c r="F4598" s="388">
        <f t="shared" si="1587"/>
        <v>21.98</v>
      </c>
      <c r="G4598" s="444">
        <v>21.98</v>
      </c>
      <c r="H4598" s="258"/>
      <c r="I4598" s="592"/>
      <c r="J4598" s="549" t="s">
        <v>5804</v>
      </c>
      <c r="K4598" s="11"/>
      <c r="L4598" s="102"/>
      <c r="M4598" s="102"/>
      <c r="O4598" s="109"/>
    </row>
    <row r="4599" spans="1:24" x14ac:dyDescent="0.35">
      <c r="A4599" s="501" t="str">
        <f t="shared" si="1588"/>
        <v>SgK33422BS--12</v>
      </c>
      <c r="B4599" s="257" t="s">
        <v>5434</v>
      </c>
      <c r="C4599" s="257" t="s">
        <v>3917</v>
      </c>
      <c r="D4599" s="257" t="s">
        <v>3929</v>
      </c>
      <c r="E4599" s="257"/>
      <c r="F4599" s="388">
        <f t="shared" si="1587"/>
        <v>16.38</v>
      </c>
      <c r="G4599" s="444">
        <v>16.38</v>
      </c>
      <c r="H4599" s="258"/>
      <c r="I4599" s="592"/>
      <c r="J4599" s="549" t="s">
        <v>5804</v>
      </c>
      <c r="K4599" s="11"/>
      <c r="L4599" s="102"/>
      <c r="M4599" s="102"/>
      <c r="U4599" s="92"/>
      <c r="V4599" s="92"/>
      <c r="W4599" s="111"/>
      <c r="X4599" s="92"/>
    </row>
    <row r="4600" spans="1:24" x14ac:dyDescent="0.35">
      <c r="A4600" s="501" t="str">
        <f t="shared" si="1588"/>
        <v>SgK33432BS--12</v>
      </c>
      <c r="B4600" s="257" t="s">
        <v>5434</v>
      </c>
      <c r="C4600" s="257" t="s">
        <v>3917</v>
      </c>
      <c r="D4600" s="257" t="s">
        <v>3930</v>
      </c>
      <c r="E4600" s="257"/>
      <c r="F4600" s="388">
        <f t="shared" si="1587"/>
        <v>12</v>
      </c>
      <c r="G4600" s="444">
        <v>12</v>
      </c>
      <c r="H4600" s="258"/>
      <c r="I4600" s="592"/>
      <c r="J4600" s="549" t="s">
        <v>5804</v>
      </c>
      <c r="K4600" s="11"/>
      <c r="U4600" s="92"/>
      <c r="V4600" s="92"/>
      <c r="W4600" s="111"/>
      <c r="X4600" s="92"/>
    </row>
    <row r="4601" spans="1:24" x14ac:dyDescent="0.35">
      <c r="A4601" s="203"/>
      <c r="D4601" s="103"/>
      <c r="G4601" s="435"/>
      <c r="H4601" s="11" t="str">
        <f t="shared" ref="H4601:H4664" si="1589">IF(ISNUMBER(G4601),ROUND(0.8*G4601,2),"")</f>
        <v/>
      </c>
      <c r="J4601" s="549" t="s">
        <v>4179</v>
      </c>
      <c r="K4601" s="11"/>
      <c r="M4601">
        <v>2012</v>
      </c>
      <c r="O4601" s="109" t="s">
        <v>3901</v>
      </c>
      <c r="P4601" t="s">
        <v>3902</v>
      </c>
      <c r="Q4601" t="s">
        <v>3918</v>
      </c>
      <c r="R4601" t="s">
        <v>3919</v>
      </c>
      <c r="S4601" t="s">
        <v>3920</v>
      </c>
      <c r="T4601" t="s">
        <v>3921</v>
      </c>
    </row>
    <row r="4602" spans="1:24" x14ac:dyDescent="0.35">
      <c r="A4602" s="501" t="s">
        <v>3931</v>
      </c>
      <c r="B4602" s="257" t="s">
        <v>5434</v>
      </c>
      <c r="C4602" s="257" t="str">
        <f t="shared" ref="C4602:C4637" si="1590">"Inbetriebnahme "&amp;TEXT(DATEVALUE(RIGHT(A4602,5)),"MM/JJJJ")</f>
        <v>Inbetriebnahme 04/2012</v>
      </c>
      <c r="D4602" s="257" t="str">
        <f>$Q$4601</f>
        <v>0 - 10 kW</v>
      </c>
      <c r="E4602" s="257"/>
      <c r="F4602" s="388">
        <f t="shared" ref="F4602:F4637" si="1591">ROUND(HLOOKUP(D4602,$Q$4601:$T$4637,MATCH(RIGHT($A4602,5),$O$4601:$O$4637,0),FALSE),2)</f>
        <v>19.5</v>
      </c>
      <c r="G4602" s="444">
        <v>19.5</v>
      </c>
      <c r="H4602" s="258">
        <f t="shared" si="1589"/>
        <v>15.6</v>
      </c>
      <c r="I4602" s="592"/>
      <c r="J4602" s="549" t="s">
        <v>5804</v>
      </c>
      <c r="K4602" s="11"/>
      <c r="M4602" s="263"/>
      <c r="N4602" s="108"/>
      <c r="O4602" s="259" t="s">
        <v>3915</v>
      </c>
      <c r="P4602" s="260"/>
      <c r="Q4602" s="261">
        <v>19.5</v>
      </c>
      <c r="R4602" s="261">
        <v>18.5</v>
      </c>
      <c r="S4602" s="261">
        <v>16.5</v>
      </c>
      <c r="T4602" s="261">
        <v>13.5</v>
      </c>
    </row>
    <row r="4603" spans="1:24" x14ac:dyDescent="0.35">
      <c r="A4603" s="501" t="str">
        <f>"SgK3221--"&amp;RIGHT(A4602,5)</f>
        <v>SgK3221--Apr12</v>
      </c>
      <c r="B4603" s="257" t="s">
        <v>5434</v>
      </c>
      <c r="C4603" s="257" t="str">
        <f t="shared" si="1590"/>
        <v>Inbetriebnahme 04/2012</v>
      </c>
      <c r="D4603" s="257" t="str">
        <f>$R$4601</f>
        <v>10 - 40 kW</v>
      </c>
      <c r="E4603" s="257"/>
      <c r="F4603" s="388">
        <f t="shared" si="1591"/>
        <v>18.5</v>
      </c>
      <c r="G4603" s="444">
        <v>18.5</v>
      </c>
      <c r="H4603" s="258">
        <f t="shared" si="1589"/>
        <v>14.8</v>
      </c>
      <c r="I4603" s="592"/>
      <c r="J4603" s="549" t="s">
        <v>5804</v>
      </c>
      <c r="K4603" s="11"/>
      <c r="M4603" s="263"/>
      <c r="N4603" s="108"/>
      <c r="O4603" s="266" t="str">
        <f t="shared" ref="O4603:O4610" si="1592">TEXT(DATE(YEAR(DATEVALUE(O4602)),MONTH(DATEVALUE(O4602))+1,1),"MMMJJ")</f>
        <v>Mai12</v>
      </c>
      <c r="P4603" s="277">
        <v>0.01</v>
      </c>
      <c r="Q4603" s="261">
        <f t="shared" ref="Q4603:T4610" si="1593">IF($P4603&lt;&gt;"",Q4602*(100%-$P4603),"")</f>
        <v>19.305</v>
      </c>
      <c r="R4603" s="261">
        <f t="shared" si="1593"/>
        <v>18.315000000000001</v>
      </c>
      <c r="S4603" s="261">
        <f t="shared" si="1593"/>
        <v>16.335000000000001</v>
      </c>
      <c r="T4603" s="261">
        <f t="shared" si="1593"/>
        <v>13.365</v>
      </c>
    </row>
    <row r="4604" spans="1:24" x14ac:dyDescent="0.35">
      <c r="A4604" s="501" t="str">
        <f>"SgK3222--"&amp;RIGHT(A4603,5)</f>
        <v>SgK3222--Apr12</v>
      </c>
      <c r="B4604" s="257" t="s">
        <v>5434</v>
      </c>
      <c r="C4604" s="257" t="str">
        <f t="shared" si="1590"/>
        <v>Inbetriebnahme 04/2012</v>
      </c>
      <c r="D4604" s="257" t="str">
        <f>$S$4601</f>
        <v>40 kW - 1 MW</v>
      </c>
      <c r="E4604" s="257"/>
      <c r="F4604" s="388">
        <f t="shared" si="1591"/>
        <v>16.5</v>
      </c>
      <c r="G4604" s="444">
        <v>16.5</v>
      </c>
      <c r="H4604" s="258">
        <f t="shared" si="1589"/>
        <v>13.2</v>
      </c>
      <c r="I4604" s="592"/>
      <c r="J4604" s="549" t="s">
        <v>5804</v>
      </c>
      <c r="K4604" s="11"/>
      <c r="M4604" s="263"/>
      <c r="N4604" s="108"/>
      <c r="O4604" s="266" t="str">
        <f t="shared" si="1592"/>
        <v>Jun12</v>
      </c>
      <c r="P4604" s="277">
        <v>0.01</v>
      </c>
      <c r="Q4604" s="261">
        <f t="shared" si="1593"/>
        <v>19.11195</v>
      </c>
      <c r="R4604" s="261">
        <f t="shared" si="1593"/>
        <v>18.13185</v>
      </c>
      <c r="S4604" s="261">
        <f t="shared" si="1593"/>
        <v>16.17165</v>
      </c>
      <c r="T4604" s="261">
        <f t="shared" si="1593"/>
        <v>13.231350000000001</v>
      </c>
    </row>
    <row r="4605" spans="1:24" x14ac:dyDescent="0.35">
      <c r="A4605" s="501" t="str">
        <f>"SgK3223--"&amp;RIGHT(A4604,5)</f>
        <v>SgK3223--Apr12</v>
      </c>
      <c r="B4605" s="257" t="s">
        <v>5434</v>
      </c>
      <c r="C4605" s="257" t="str">
        <f t="shared" si="1590"/>
        <v>Inbetriebnahme 04/2012</v>
      </c>
      <c r="D4605" s="257" t="str">
        <f>$T$4601</f>
        <v>1 - 10 MW</v>
      </c>
      <c r="E4605" s="257"/>
      <c r="F4605" s="388">
        <f t="shared" si="1591"/>
        <v>13.5</v>
      </c>
      <c r="G4605" s="444">
        <v>13.5</v>
      </c>
      <c r="H4605" s="258">
        <f t="shared" si="1589"/>
        <v>10.8</v>
      </c>
      <c r="I4605" s="592"/>
      <c r="J4605" s="549" t="s">
        <v>5804</v>
      </c>
      <c r="K4605" s="11"/>
      <c r="L4605" s="102"/>
      <c r="M4605" s="264"/>
      <c r="N4605" s="108"/>
      <c r="O4605" s="266" t="str">
        <f t="shared" si="1592"/>
        <v>Jul12</v>
      </c>
      <c r="P4605" s="277">
        <v>0.01</v>
      </c>
      <c r="Q4605" s="261">
        <f t="shared" si="1593"/>
        <v>18.920830500000001</v>
      </c>
      <c r="R4605" s="261">
        <f t="shared" si="1593"/>
        <v>17.9505315</v>
      </c>
      <c r="S4605" s="261">
        <f t="shared" si="1593"/>
        <v>16.009933499999999</v>
      </c>
      <c r="T4605" s="261">
        <f t="shared" si="1593"/>
        <v>13.0990365</v>
      </c>
    </row>
    <row r="4606" spans="1:24" x14ac:dyDescent="0.35">
      <c r="A4606" s="501" t="s">
        <v>3932</v>
      </c>
      <c r="B4606" s="257" t="s">
        <v>5434</v>
      </c>
      <c r="C4606" s="257" t="str">
        <f t="shared" si="1590"/>
        <v>Inbetriebnahme 05/2012</v>
      </c>
      <c r="D4606" s="257" t="str">
        <f t="shared" ref="D4606:D4637" si="1594">D4602</f>
        <v>0 - 10 kW</v>
      </c>
      <c r="E4606" s="257"/>
      <c r="F4606" s="388">
        <f t="shared" si="1591"/>
        <v>19.309999999999999</v>
      </c>
      <c r="G4606" s="444">
        <v>19.309999999999999</v>
      </c>
      <c r="H4606" s="258">
        <f t="shared" si="1589"/>
        <v>15.45</v>
      </c>
      <c r="I4606" s="592"/>
      <c r="J4606" s="549" t="s">
        <v>5804</v>
      </c>
      <c r="K4606" s="11"/>
      <c r="L4606" s="102"/>
      <c r="M4606" s="265"/>
      <c r="N4606" s="108"/>
      <c r="O4606" s="266" t="str">
        <f t="shared" si="1592"/>
        <v>Aug12</v>
      </c>
      <c r="P4606" s="277">
        <v>0.01</v>
      </c>
      <c r="Q4606" s="261">
        <f t="shared" si="1593"/>
        <v>18.731622195</v>
      </c>
      <c r="R4606" s="261">
        <f t="shared" si="1593"/>
        <v>17.771026185</v>
      </c>
      <c r="S4606" s="261">
        <f t="shared" si="1593"/>
        <v>15.849834164999999</v>
      </c>
      <c r="T4606" s="261">
        <f t="shared" si="1593"/>
        <v>12.968046135</v>
      </c>
    </row>
    <row r="4607" spans="1:24" x14ac:dyDescent="0.35">
      <c r="A4607" s="501" t="str">
        <f>"SgK3221--"&amp;RIGHT(A4606,5)</f>
        <v>SgK3221--Mai12</v>
      </c>
      <c r="B4607" s="257" t="s">
        <v>5434</v>
      </c>
      <c r="C4607" s="257" t="str">
        <f t="shared" si="1590"/>
        <v>Inbetriebnahme 05/2012</v>
      </c>
      <c r="D4607" s="257" t="str">
        <f t="shared" si="1594"/>
        <v>10 - 40 kW</v>
      </c>
      <c r="E4607" s="257"/>
      <c r="F4607" s="388">
        <f t="shared" si="1591"/>
        <v>18.32</v>
      </c>
      <c r="G4607" s="444">
        <v>18.32</v>
      </c>
      <c r="H4607" s="258">
        <f t="shared" si="1589"/>
        <v>14.66</v>
      </c>
      <c r="I4607" s="592"/>
      <c r="J4607" s="549" t="s">
        <v>5804</v>
      </c>
      <c r="K4607" s="11"/>
      <c r="L4607" s="102"/>
      <c r="M4607" s="265"/>
      <c r="N4607" s="108"/>
      <c r="O4607" s="266" t="str">
        <f t="shared" si="1592"/>
        <v>Sep12</v>
      </c>
      <c r="P4607" s="277">
        <v>0.01</v>
      </c>
      <c r="Q4607" s="261">
        <f t="shared" si="1593"/>
        <v>18.544305973050001</v>
      </c>
      <c r="R4607" s="261">
        <f t="shared" si="1593"/>
        <v>17.593315923150001</v>
      </c>
      <c r="S4607" s="261">
        <f t="shared" si="1593"/>
        <v>15.691335823349998</v>
      </c>
      <c r="T4607" s="261">
        <f t="shared" si="1593"/>
        <v>12.838365673649999</v>
      </c>
      <c r="V4607" s="92"/>
      <c r="W4607" s="111"/>
      <c r="X4607" s="92"/>
    </row>
    <row r="4608" spans="1:24" x14ac:dyDescent="0.35">
      <c r="A4608" s="501" t="str">
        <f>"SgK3222--"&amp;RIGHT(A4607,5)</f>
        <v>SgK3222--Mai12</v>
      </c>
      <c r="B4608" s="257" t="s">
        <v>5434</v>
      </c>
      <c r="C4608" s="257" t="str">
        <f t="shared" si="1590"/>
        <v>Inbetriebnahme 05/2012</v>
      </c>
      <c r="D4608" s="257" t="str">
        <f t="shared" si="1594"/>
        <v>40 kW - 1 MW</v>
      </c>
      <c r="E4608" s="257"/>
      <c r="F4608" s="388">
        <f t="shared" si="1591"/>
        <v>16.34</v>
      </c>
      <c r="G4608" s="444">
        <v>16.34</v>
      </c>
      <c r="H4608" s="258">
        <f t="shared" si="1589"/>
        <v>13.07</v>
      </c>
      <c r="I4608" s="592"/>
      <c r="J4608" s="549" t="s">
        <v>5804</v>
      </c>
      <c r="K4608" s="11"/>
      <c r="L4608" s="102"/>
      <c r="M4608" s="265"/>
      <c r="N4608" s="108"/>
      <c r="O4608" s="266" t="str">
        <f t="shared" si="1592"/>
        <v>Okt12</v>
      </c>
      <c r="P4608" s="277">
        <v>0.01</v>
      </c>
      <c r="Q4608" s="261">
        <f t="shared" si="1593"/>
        <v>18.358862913319502</v>
      </c>
      <c r="R4608" s="261">
        <f t="shared" si="1593"/>
        <v>17.4173827639185</v>
      </c>
      <c r="S4608" s="261">
        <f t="shared" si="1593"/>
        <v>15.534422465116497</v>
      </c>
      <c r="T4608" s="261">
        <f t="shared" si="1593"/>
        <v>12.7099820169135</v>
      </c>
      <c r="V4608" s="92"/>
      <c r="W4608" s="111"/>
      <c r="X4608" s="92"/>
    </row>
    <row r="4609" spans="1:24" x14ac:dyDescent="0.35">
      <c r="A4609" s="501" t="str">
        <f>"SgK3223--"&amp;RIGHT(A4608,5)</f>
        <v>SgK3223--Mai12</v>
      </c>
      <c r="B4609" s="257" t="s">
        <v>5434</v>
      </c>
      <c r="C4609" s="257" t="str">
        <f t="shared" si="1590"/>
        <v>Inbetriebnahme 05/2012</v>
      </c>
      <c r="D4609" s="257" t="str">
        <f t="shared" si="1594"/>
        <v>1 - 10 MW</v>
      </c>
      <c r="E4609" s="257"/>
      <c r="F4609" s="388">
        <f t="shared" si="1591"/>
        <v>13.37</v>
      </c>
      <c r="G4609" s="444">
        <v>13.37</v>
      </c>
      <c r="H4609" s="258">
        <f t="shared" si="1589"/>
        <v>10.7</v>
      </c>
      <c r="I4609" s="592"/>
      <c r="J4609" s="549" t="s">
        <v>5804</v>
      </c>
      <c r="K4609" s="11"/>
      <c r="L4609" s="102"/>
      <c r="M4609" s="265"/>
      <c r="N4609" s="108"/>
      <c r="O4609" s="266" t="str">
        <f t="shared" si="1592"/>
        <v>Nov12</v>
      </c>
      <c r="P4609" s="277">
        <v>2.5000000000000001E-2</v>
      </c>
      <c r="Q4609" s="261">
        <f t="shared" si="1593"/>
        <v>17.899891340486516</v>
      </c>
      <c r="R4609" s="261">
        <f t="shared" si="1593"/>
        <v>16.981948194820536</v>
      </c>
      <c r="S4609" s="261">
        <f t="shared" si="1593"/>
        <v>15.146061903488585</v>
      </c>
      <c r="T4609" s="261">
        <f t="shared" si="1593"/>
        <v>12.392232466490663</v>
      </c>
    </row>
    <row r="4610" spans="1:24" x14ac:dyDescent="0.35">
      <c r="A4610" s="501" t="s">
        <v>3933</v>
      </c>
      <c r="B4610" s="257" t="s">
        <v>5434</v>
      </c>
      <c r="C4610" s="257" t="str">
        <f t="shared" si="1590"/>
        <v>Inbetriebnahme 06/2012</v>
      </c>
      <c r="D4610" s="257" t="str">
        <f t="shared" si="1594"/>
        <v>0 - 10 kW</v>
      </c>
      <c r="E4610" s="257"/>
      <c r="F4610" s="388">
        <f t="shared" si="1591"/>
        <v>19.11</v>
      </c>
      <c r="G4610" s="444">
        <v>19.11</v>
      </c>
      <c r="H4610" s="258">
        <f t="shared" si="1589"/>
        <v>15.29</v>
      </c>
      <c r="I4610" s="592"/>
      <c r="J4610" s="549" t="s">
        <v>5804</v>
      </c>
      <c r="K4610" s="11"/>
      <c r="L4610" s="102"/>
      <c r="M4610" s="265"/>
      <c r="N4610" s="108"/>
      <c r="O4610" s="266" t="str">
        <f t="shared" si="1592"/>
        <v>Dez12</v>
      </c>
      <c r="P4610" s="277">
        <v>2.5000000000000001E-2</v>
      </c>
      <c r="Q4610" s="261">
        <f t="shared" si="1593"/>
        <v>17.452394056974352</v>
      </c>
      <c r="R4610" s="261">
        <f t="shared" si="1593"/>
        <v>16.557399489950022</v>
      </c>
      <c r="S4610" s="261">
        <f t="shared" si="1593"/>
        <v>14.767410355901371</v>
      </c>
      <c r="T4610" s="261">
        <f t="shared" si="1593"/>
        <v>12.082426654828396</v>
      </c>
      <c r="V4610" s="92"/>
      <c r="W4610" s="111"/>
      <c r="X4610" s="92"/>
    </row>
    <row r="4611" spans="1:24" x14ac:dyDescent="0.35">
      <c r="A4611" s="501" t="str">
        <f>"SgK3221--"&amp;RIGHT(A4610,5)</f>
        <v>SgK3221--Jun12</v>
      </c>
      <c r="B4611" s="257" t="s">
        <v>5434</v>
      </c>
      <c r="C4611" s="257" t="str">
        <f t="shared" si="1590"/>
        <v>Inbetriebnahme 06/2012</v>
      </c>
      <c r="D4611" s="257" t="str">
        <f t="shared" si="1594"/>
        <v>10 - 40 kW</v>
      </c>
      <c r="E4611" s="257"/>
      <c r="F4611" s="388">
        <f t="shared" si="1591"/>
        <v>18.13</v>
      </c>
      <c r="G4611" s="444">
        <v>18.13</v>
      </c>
      <c r="H4611" s="258">
        <f t="shared" si="1589"/>
        <v>14.5</v>
      </c>
      <c r="I4611" s="592"/>
      <c r="J4611" s="549" t="s">
        <v>5804</v>
      </c>
      <c r="K4611" s="11"/>
      <c r="L4611" s="102"/>
      <c r="M4611" s="265"/>
      <c r="N4611" s="108"/>
      <c r="O4611" s="259"/>
      <c r="V4611" s="92"/>
      <c r="W4611" s="111"/>
      <c r="X4611" s="92"/>
    </row>
    <row r="4612" spans="1:24" x14ac:dyDescent="0.35">
      <c r="A4612" s="501" t="str">
        <f>"SgK3222--"&amp;RIGHT(A4611,5)</f>
        <v>SgK3222--Jun12</v>
      </c>
      <c r="B4612" s="257" t="s">
        <v>5434</v>
      </c>
      <c r="C4612" s="257" t="str">
        <f t="shared" si="1590"/>
        <v>Inbetriebnahme 06/2012</v>
      </c>
      <c r="D4612" s="257" t="str">
        <f t="shared" si="1594"/>
        <v>40 kW - 1 MW</v>
      </c>
      <c r="E4612" s="257"/>
      <c r="F4612" s="388">
        <f t="shared" si="1591"/>
        <v>16.170000000000002</v>
      </c>
      <c r="G4612" s="444">
        <v>16.170000000000002</v>
      </c>
      <c r="H4612" s="258">
        <f t="shared" si="1589"/>
        <v>12.94</v>
      </c>
      <c r="I4612" s="592"/>
      <c r="J4612" s="549" t="s">
        <v>5804</v>
      </c>
      <c r="K4612" s="11"/>
      <c r="L4612" s="102"/>
      <c r="M4612" s="265"/>
      <c r="O4612" s="259"/>
      <c r="V4612" s="92"/>
      <c r="W4612" s="111"/>
      <c r="X4612" s="92"/>
    </row>
    <row r="4613" spans="1:24" x14ac:dyDescent="0.35">
      <c r="A4613" s="501" t="str">
        <f>"SgK3223--"&amp;RIGHT(A4612,5)</f>
        <v>SgK3223--Jun12</v>
      </c>
      <c r="B4613" s="257" t="s">
        <v>5434</v>
      </c>
      <c r="C4613" s="257" t="str">
        <f t="shared" si="1590"/>
        <v>Inbetriebnahme 06/2012</v>
      </c>
      <c r="D4613" s="257" t="str">
        <f t="shared" si="1594"/>
        <v>1 - 10 MW</v>
      </c>
      <c r="E4613" s="257"/>
      <c r="F4613" s="388">
        <f t="shared" si="1591"/>
        <v>13.23</v>
      </c>
      <c r="G4613" s="444">
        <v>13.23</v>
      </c>
      <c r="H4613" s="258">
        <f t="shared" si="1589"/>
        <v>10.58</v>
      </c>
      <c r="I4613" s="592"/>
      <c r="J4613" s="549" t="s">
        <v>5804</v>
      </c>
      <c r="K4613" s="11"/>
      <c r="L4613" s="102"/>
      <c r="M4613" s="265"/>
      <c r="O4613" s="259"/>
      <c r="V4613" s="92"/>
      <c r="W4613" s="111"/>
      <c r="X4613" s="92"/>
    </row>
    <row r="4614" spans="1:24" x14ac:dyDescent="0.35">
      <c r="A4614" s="501" t="s">
        <v>3934</v>
      </c>
      <c r="B4614" s="257" t="s">
        <v>5434</v>
      </c>
      <c r="C4614" s="257" t="str">
        <f t="shared" si="1590"/>
        <v>Inbetriebnahme 07/2012</v>
      </c>
      <c r="D4614" s="257" t="str">
        <f t="shared" si="1594"/>
        <v>0 - 10 kW</v>
      </c>
      <c r="E4614" s="257"/>
      <c r="F4614" s="388">
        <f t="shared" si="1591"/>
        <v>18.920000000000002</v>
      </c>
      <c r="G4614" s="444">
        <v>18.920000000000002</v>
      </c>
      <c r="H4614" s="258">
        <f t="shared" si="1589"/>
        <v>15.14</v>
      </c>
      <c r="I4614" s="592"/>
      <c r="J4614" s="549" t="s">
        <v>5804</v>
      </c>
      <c r="K4614" s="11"/>
      <c r="L4614" s="102"/>
      <c r="M4614" s="265"/>
      <c r="O4614" s="259"/>
      <c r="V4614" s="92"/>
      <c r="W4614" s="111"/>
      <c r="X4614" s="92"/>
    </row>
    <row r="4615" spans="1:24" x14ac:dyDescent="0.35">
      <c r="A4615" s="501" t="str">
        <f>"SgK3221--"&amp;RIGHT(A4614,5)</f>
        <v>SgK3221--Jul12</v>
      </c>
      <c r="B4615" s="257" t="s">
        <v>5434</v>
      </c>
      <c r="C4615" s="257" t="str">
        <f t="shared" si="1590"/>
        <v>Inbetriebnahme 07/2012</v>
      </c>
      <c r="D4615" s="257" t="str">
        <f t="shared" si="1594"/>
        <v>10 - 40 kW</v>
      </c>
      <c r="E4615" s="257"/>
      <c r="F4615" s="388">
        <f t="shared" si="1591"/>
        <v>17.95</v>
      </c>
      <c r="G4615" s="444">
        <v>17.95</v>
      </c>
      <c r="H4615" s="258">
        <f t="shared" si="1589"/>
        <v>14.36</v>
      </c>
      <c r="I4615" s="592"/>
      <c r="J4615" s="549" t="s">
        <v>5804</v>
      </c>
      <c r="K4615" s="11"/>
      <c r="L4615" s="102"/>
      <c r="M4615" s="265"/>
      <c r="O4615" s="259"/>
      <c r="V4615" s="92"/>
      <c r="W4615" s="111"/>
      <c r="X4615" s="92"/>
    </row>
    <row r="4616" spans="1:24" x14ac:dyDescent="0.35">
      <c r="A4616" s="501" t="str">
        <f>"SgK3222--"&amp;RIGHT(A4615,5)</f>
        <v>SgK3222--Jul12</v>
      </c>
      <c r="B4616" s="257" t="s">
        <v>5434</v>
      </c>
      <c r="C4616" s="257" t="str">
        <f t="shared" si="1590"/>
        <v>Inbetriebnahme 07/2012</v>
      </c>
      <c r="D4616" s="257" t="str">
        <f t="shared" si="1594"/>
        <v>40 kW - 1 MW</v>
      </c>
      <c r="E4616" s="257"/>
      <c r="F4616" s="388">
        <f t="shared" si="1591"/>
        <v>16.010000000000002</v>
      </c>
      <c r="G4616" s="444">
        <v>16.010000000000002</v>
      </c>
      <c r="H4616" s="258">
        <f t="shared" si="1589"/>
        <v>12.81</v>
      </c>
      <c r="I4616" s="592"/>
      <c r="J4616" s="549" t="s">
        <v>5804</v>
      </c>
      <c r="K4616" s="11"/>
      <c r="L4616" s="102"/>
      <c r="M4616" s="265"/>
      <c r="O4616" s="259"/>
      <c r="V4616" s="92"/>
      <c r="W4616" s="111"/>
      <c r="X4616" s="92"/>
    </row>
    <row r="4617" spans="1:24" x14ac:dyDescent="0.35">
      <c r="A4617" s="501" t="str">
        <f>"SgK3223--"&amp;RIGHT(A4616,5)</f>
        <v>SgK3223--Jul12</v>
      </c>
      <c r="B4617" s="257" t="s">
        <v>5434</v>
      </c>
      <c r="C4617" s="257" t="str">
        <f t="shared" si="1590"/>
        <v>Inbetriebnahme 07/2012</v>
      </c>
      <c r="D4617" s="257" t="str">
        <f t="shared" si="1594"/>
        <v>1 - 10 MW</v>
      </c>
      <c r="E4617" s="257"/>
      <c r="F4617" s="388">
        <f t="shared" si="1591"/>
        <v>13.1</v>
      </c>
      <c r="G4617" s="444">
        <v>13.1</v>
      </c>
      <c r="H4617" s="258">
        <f t="shared" si="1589"/>
        <v>10.48</v>
      </c>
      <c r="I4617" s="592"/>
      <c r="J4617" s="549" t="s">
        <v>5804</v>
      </c>
      <c r="K4617" s="11"/>
      <c r="L4617" s="102"/>
      <c r="M4617" s="265"/>
      <c r="O4617" s="259"/>
      <c r="V4617" s="92"/>
      <c r="W4617" s="111"/>
      <c r="X4617" s="92"/>
    </row>
    <row r="4618" spans="1:24" x14ac:dyDescent="0.35">
      <c r="A4618" s="501" t="s">
        <v>3935</v>
      </c>
      <c r="B4618" s="257" t="s">
        <v>5434</v>
      </c>
      <c r="C4618" s="257" t="str">
        <f t="shared" si="1590"/>
        <v>Inbetriebnahme 08/2012</v>
      </c>
      <c r="D4618" s="257" t="str">
        <f t="shared" si="1594"/>
        <v>0 - 10 kW</v>
      </c>
      <c r="E4618" s="257"/>
      <c r="F4618" s="388">
        <f t="shared" si="1591"/>
        <v>18.73</v>
      </c>
      <c r="G4618" s="444">
        <v>18.73</v>
      </c>
      <c r="H4618" s="258">
        <f t="shared" si="1589"/>
        <v>14.98</v>
      </c>
      <c r="I4618" s="592"/>
      <c r="J4618" s="549" t="s">
        <v>5804</v>
      </c>
      <c r="K4618" s="11"/>
      <c r="L4618" s="102"/>
      <c r="M4618" s="265"/>
      <c r="O4618" s="259"/>
      <c r="V4618" s="92"/>
      <c r="W4618" s="111"/>
      <c r="X4618" s="92"/>
    </row>
    <row r="4619" spans="1:24" x14ac:dyDescent="0.35">
      <c r="A4619" s="501" t="str">
        <f>"SgK3221--"&amp;RIGHT(A4618,5)</f>
        <v>SgK3221--Aug12</v>
      </c>
      <c r="B4619" s="257" t="s">
        <v>5434</v>
      </c>
      <c r="C4619" s="257" t="str">
        <f t="shared" si="1590"/>
        <v>Inbetriebnahme 08/2012</v>
      </c>
      <c r="D4619" s="257" t="str">
        <f t="shared" si="1594"/>
        <v>10 - 40 kW</v>
      </c>
      <c r="E4619" s="257"/>
      <c r="F4619" s="388">
        <f t="shared" si="1591"/>
        <v>17.77</v>
      </c>
      <c r="G4619" s="444">
        <v>17.77</v>
      </c>
      <c r="H4619" s="258">
        <f t="shared" si="1589"/>
        <v>14.22</v>
      </c>
      <c r="I4619" s="592"/>
      <c r="J4619" s="549" t="s">
        <v>5804</v>
      </c>
      <c r="K4619" s="11"/>
      <c r="L4619" s="102"/>
      <c r="M4619" s="265"/>
      <c r="O4619" s="259"/>
      <c r="V4619" s="92"/>
      <c r="W4619" s="111"/>
      <c r="X4619" s="92"/>
    </row>
    <row r="4620" spans="1:24" x14ac:dyDescent="0.35">
      <c r="A4620" s="501" t="str">
        <f>"SgK3222--"&amp;RIGHT(A4619,5)</f>
        <v>SgK3222--Aug12</v>
      </c>
      <c r="B4620" s="257" t="s">
        <v>5434</v>
      </c>
      <c r="C4620" s="257" t="str">
        <f t="shared" si="1590"/>
        <v>Inbetriebnahme 08/2012</v>
      </c>
      <c r="D4620" s="257" t="str">
        <f t="shared" si="1594"/>
        <v>40 kW - 1 MW</v>
      </c>
      <c r="E4620" s="257"/>
      <c r="F4620" s="388">
        <f t="shared" si="1591"/>
        <v>15.85</v>
      </c>
      <c r="G4620" s="444">
        <v>15.85</v>
      </c>
      <c r="H4620" s="258">
        <f t="shared" si="1589"/>
        <v>12.68</v>
      </c>
      <c r="I4620" s="592"/>
      <c r="J4620" s="549" t="s">
        <v>5804</v>
      </c>
      <c r="K4620" s="11"/>
      <c r="L4620" s="102"/>
      <c r="M4620" s="267"/>
      <c r="O4620" s="266"/>
      <c r="V4620" s="92"/>
      <c r="W4620" s="111"/>
      <c r="X4620" s="92"/>
    </row>
    <row r="4621" spans="1:24" x14ac:dyDescent="0.35">
      <c r="A4621" s="501" t="str">
        <f>"SgK3223--"&amp;RIGHT(A4620,5)</f>
        <v>SgK3223--Aug12</v>
      </c>
      <c r="B4621" s="257" t="s">
        <v>5434</v>
      </c>
      <c r="C4621" s="257" t="str">
        <f t="shared" si="1590"/>
        <v>Inbetriebnahme 08/2012</v>
      </c>
      <c r="D4621" s="257" t="str">
        <f t="shared" si="1594"/>
        <v>1 - 10 MW</v>
      </c>
      <c r="E4621" s="257"/>
      <c r="F4621" s="388">
        <f t="shared" si="1591"/>
        <v>12.97</v>
      </c>
      <c r="G4621" s="444">
        <v>12.97</v>
      </c>
      <c r="H4621" s="258">
        <f t="shared" si="1589"/>
        <v>10.38</v>
      </c>
      <c r="I4621" s="592"/>
      <c r="J4621" s="549" t="s">
        <v>5804</v>
      </c>
      <c r="K4621" s="11"/>
      <c r="L4621" s="102"/>
      <c r="M4621" s="265"/>
      <c r="O4621" s="259"/>
      <c r="V4621" s="92"/>
      <c r="W4621" s="111"/>
      <c r="X4621" s="92"/>
    </row>
    <row r="4622" spans="1:24" x14ac:dyDescent="0.35">
      <c r="A4622" s="501" t="s">
        <v>3936</v>
      </c>
      <c r="B4622" s="257" t="s">
        <v>5434</v>
      </c>
      <c r="C4622" s="257" t="str">
        <f t="shared" si="1590"/>
        <v>Inbetriebnahme 09/2012</v>
      </c>
      <c r="D4622" s="257" t="str">
        <f t="shared" si="1594"/>
        <v>0 - 10 kW</v>
      </c>
      <c r="E4622" s="257"/>
      <c r="F4622" s="388">
        <f t="shared" si="1591"/>
        <v>18.54</v>
      </c>
      <c r="G4622" s="444">
        <v>18.54</v>
      </c>
      <c r="H4622" s="258">
        <f t="shared" si="1589"/>
        <v>14.83</v>
      </c>
      <c r="I4622" s="592"/>
      <c r="J4622" s="549" t="s">
        <v>5804</v>
      </c>
      <c r="K4622" s="11"/>
      <c r="L4622" s="102"/>
      <c r="M4622" s="265"/>
      <c r="O4622" s="259"/>
      <c r="V4622" s="92"/>
      <c r="W4622" s="111"/>
      <c r="X4622" s="92"/>
    </row>
    <row r="4623" spans="1:24" x14ac:dyDescent="0.35">
      <c r="A4623" s="501" t="str">
        <f>"SgK3221--"&amp;RIGHT(A4622,5)</f>
        <v>SgK3221--Sep12</v>
      </c>
      <c r="B4623" s="257" t="s">
        <v>5434</v>
      </c>
      <c r="C4623" s="257" t="str">
        <f t="shared" si="1590"/>
        <v>Inbetriebnahme 09/2012</v>
      </c>
      <c r="D4623" s="257" t="str">
        <f t="shared" si="1594"/>
        <v>10 - 40 kW</v>
      </c>
      <c r="E4623" s="257"/>
      <c r="F4623" s="388">
        <f t="shared" si="1591"/>
        <v>17.59</v>
      </c>
      <c r="G4623" s="444">
        <v>17.59</v>
      </c>
      <c r="H4623" s="258">
        <f t="shared" si="1589"/>
        <v>14.07</v>
      </c>
      <c r="I4623" s="592"/>
      <c r="J4623" s="549" t="s">
        <v>5804</v>
      </c>
      <c r="K4623" s="11"/>
      <c r="L4623" s="102"/>
      <c r="M4623" s="265"/>
      <c r="O4623" s="259"/>
      <c r="V4623" s="92"/>
      <c r="W4623" s="111"/>
      <c r="X4623" s="92"/>
    </row>
    <row r="4624" spans="1:24" x14ac:dyDescent="0.35">
      <c r="A4624" s="501" t="str">
        <f>"SgK3222--"&amp;RIGHT(A4623,5)</f>
        <v>SgK3222--Sep12</v>
      </c>
      <c r="B4624" s="257" t="s">
        <v>5434</v>
      </c>
      <c r="C4624" s="257" t="str">
        <f t="shared" si="1590"/>
        <v>Inbetriebnahme 09/2012</v>
      </c>
      <c r="D4624" s="257" t="str">
        <f t="shared" si="1594"/>
        <v>40 kW - 1 MW</v>
      </c>
      <c r="E4624" s="257"/>
      <c r="F4624" s="388">
        <f t="shared" si="1591"/>
        <v>15.69</v>
      </c>
      <c r="G4624" s="444">
        <v>15.69</v>
      </c>
      <c r="H4624" s="258">
        <f t="shared" si="1589"/>
        <v>12.55</v>
      </c>
      <c r="I4624" s="592"/>
      <c r="J4624" s="549" t="s">
        <v>5804</v>
      </c>
      <c r="K4624" s="11"/>
      <c r="L4624" s="102"/>
      <c r="M4624" s="265"/>
      <c r="O4624" s="259"/>
      <c r="V4624" s="92"/>
      <c r="W4624" s="111"/>
      <c r="X4624" s="92"/>
    </row>
    <row r="4625" spans="1:24" x14ac:dyDescent="0.35">
      <c r="A4625" s="501" t="str">
        <f>"SgK3223--"&amp;RIGHT(A4624,5)</f>
        <v>SgK3223--Sep12</v>
      </c>
      <c r="B4625" s="257" t="s">
        <v>5434</v>
      </c>
      <c r="C4625" s="257" t="str">
        <f t="shared" si="1590"/>
        <v>Inbetriebnahme 09/2012</v>
      </c>
      <c r="D4625" s="257" t="str">
        <f t="shared" si="1594"/>
        <v>1 - 10 MW</v>
      </c>
      <c r="E4625" s="257"/>
      <c r="F4625" s="388">
        <f t="shared" si="1591"/>
        <v>12.84</v>
      </c>
      <c r="G4625" s="444">
        <v>12.84</v>
      </c>
      <c r="H4625" s="258">
        <f t="shared" si="1589"/>
        <v>10.27</v>
      </c>
      <c r="I4625" s="592"/>
      <c r="J4625" s="549" t="s">
        <v>5804</v>
      </c>
      <c r="K4625" s="11"/>
      <c r="L4625" s="102"/>
      <c r="M4625" s="265"/>
      <c r="O4625" s="259"/>
      <c r="V4625" s="92"/>
      <c r="W4625" s="111"/>
      <c r="X4625" s="92"/>
    </row>
    <row r="4626" spans="1:24" x14ac:dyDescent="0.35">
      <c r="A4626" s="501" t="s">
        <v>3937</v>
      </c>
      <c r="B4626" s="257" t="s">
        <v>5434</v>
      </c>
      <c r="C4626" s="257" t="str">
        <f t="shared" si="1590"/>
        <v>Inbetriebnahme 10/2012</v>
      </c>
      <c r="D4626" s="257" t="str">
        <f t="shared" si="1594"/>
        <v>0 - 10 kW</v>
      </c>
      <c r="E4626" s="257"/>
      <c r="F4626" s="388">
        <f t="shared" si="1591"/>
        <v>18.36</v>
      </c>
      <c r="G4626" s="444">
        <v>18.36</v>
      </c>
      <c r="H4626" s="258">
        <f t="shared" si="1589"/>
        <v>14.69</v>
      </c>
      <c r="I4626" s="592"/>
      <c r="J4626" s="549" t="s">
        <v>5804</v>
      </c>
      <c r="K4626" s="11"/>
      <c r="L4626" s="102"/>
      <c r="M4626" s="265"/>
      <c r="O4626" s="259"/>
      <c r="V4626" s="92"/>
      <c r="W4626" s="111"/>
      <c r="X4626" s="92"/>
    </row>
    <row r="4627" spans="1:24" x14ac:dyDescent="0.35">
      <c r="A4627" s="501" t="str">
        <f>"SgK3221--"&amp;RIGHT(A4626,5)</f>
        <v>SgK3221--Okt12</v>
      </c>
      <c r="B4627" s="257" t="s">
        <v>5434</v>
      </c>
      <c r="C4627" s="257" t="str">
        <f t="shared" si="1590"/>
        <v>Inbetriebnahme 10/2012</v>
      </c>
      <c r="D4627" s="257" t="str">
        <f t="shared" si="1594"/>
        <v>10 - 40 kW</v>
      </c>
      <c r="E4627" s="257"/>
      <c r="F4627" s="388">
        <f t="shared" si="1591"/>
        <v>17.420000000000002</v>
      </c>
      <c r="G4627" s="444">
        <v>17.420000000000002</v>
      </c>
      <c r="H4627" s="258">
        <f t="shared" si="1589"/>
        <v>13.94</v>
      </c>
      <c r="I4627" s="592"/>
      <c r="J4627" s="549" t="s">
        <v>5804</v>
      </c>
      <c r="K4627" s="11"/>
      <c r="L4627" s="102"/>
      <c r="M4627" s="265"/>
      <c r="O4627" s="259"/>
      <c r="V4627" s="92"/>
      <c r="W4627" s="111"/>
      <c r="X4627" s="92"/>
    </row>
    <row r="4628" spans="1:24" x14ac:dyDescent="0.35">
      <c r="A4628" s="501" t="str">
        <f>"SgK3222--"&amp;RIGHT(A4627,5)</f>
        <v>SgK3222--Okt12</v>
      </c>
      <c r="B4628" s="257" t="s">
        <v>5434</v>
      </c>
      <c r="C4628" s="257" t="str">
        <f t="shared" si="1590"/>
        <v>Inbetriebnahme 10/2012</v>
      </c>
      <c r="D4628" s="257" t="str">
        <f t="shared" si="1594"/>
        <v>40 kW - 1 MW</v>
      </c>
      <c r="E4628" s="257"/>
      <c r="F4628" s="388">
        <f t="shared" si="1591"/>
        <v>15.53</v>
      </c>
      <c r="G4628" s="444">
        <v>15.53</v>
      </c>
      <c r="H4628" s="258">
        <f t="shared" si="1589"/>
        <v>12.42</v>
      </c>
      <c r="I4628" s="592"/>
      <c r="J4628" s="549" t="s">
        <v>5804</v>
      </c>
      <c r="K4628" s="11"/>
      <c r="L4628" s="102"/>
      <c r="M4628" s="265"/>
      <c r="O4628" s="259"/>
      <c r="P4628" s="92"/>
      <c r="V4628" s="92"/>
      <c r="W4628" s="111"/>
      <c r="X4628" s="92"/>
    </row>
    <row r="4629" spans="1:24" x14ac:dyDescent="0.35">
      <c r="A4629" s="501" t="str">
        <f>"SgK3223--"&amp;RIGHT(A4628,5)</f>
        <v>SgK3223--Okt12</v>
      </c>
      <c r="B4629" s="257" t="s">
        <v>5434</v>
      </c>
      <c r="C4629" s="257" t="str">
        <f t="shared" si="1590"/>
        <v>Inbetriebnahme 10/2012</v>
      </c>
      <c r="D4629" s="257" t="str">
        <f t="shared" si="1594"/>
        <v>1 - 10 MW</v>
      </c>
      <c r="E4629" s="257"/>
      <c r="F4629" s="388">
        <f t="shared" si="1591"/>
        <v>12.71</v>
      </c>
      <c r="G4629" s="444">
        <v>12.71</v>
      </c>
      <c r="H4629" s="258">
        <f t="shared" si="1589"/>
        <v>10.17</v>
      </c>
      <c r="I4629" s="592"/>
      <c r="J4629" s="549" t="s">
        <v>5804</v>
      </c>
      <c r="K4629" s="11"/>
      <c r="L4629" s="102"/>
      <c r="M4629" s="265"/>
      <c r="O4629" s="259"/>
      <c r="P4629" s="92"/>
      <c r="V4629" s="92"/>
      <c r="W4629" s="111"/>
      <c r="X4629" s="92"/>
    </row>
    <row r="4630" spans="1:24" x14ac:dyDescent="0.35">
      <c r="A4630" s="501" t="s">
        <v>3938</v>
      </c>
      <c r="B4630" s="257" t="s">
        <v>5434</v>
      </c>
      <c r="C4630" s="257" t="str">
        <f t="shared" si="1590"/>
        <v>Inbetriebnahme 11/2012</v>
      </c>
      <c r="D4630" s="257" t="str">
        <f t="shared" si="1594"/>
        <v>0 - 10 kW</v>
      </c>
      <c r="E4630" s="257"/>
      <c r="F4630" s="388">
        <f t="shared" si="1591"/>
        <v>17.899999999999999</v>
      </c>
      <c r="G4630" s="444">
        <v>17.899999999999999</v>
      </c>
      <c r="H4630" s="258">
        <f t="shared" si="1589"/>
        <v>14.32</v>
      </c>
      <c r="I4630" s="592"/>
      <c r="J4630" s="549" t="s">
        <v>5804</v>
      </c>
      <c r="K4630" s="11"/>
      <c r="L4630" s="102"/>
      <c r="M4630" s="265"/>
      <c r="N4630" s="262"/>
      <c r="O4630" s="109"/>
      <c r="P4630" s="92"/>
      <c r="Q4630" s="92"/>
      <c r="R4630" s="92"/>
      <c r="S4630" s="92"/>
      <c r="T4630" s="92"/>
      <c r="V4630" s="92"/>
      <c r="W4630" s="111"/>
      <c r="X4630" s="92"/>
    </row>
    <row r="4631" spans="1:24" x14ac:dyDescent="0.35">
      <c r="A4631" s="501" t="str">
        <f>"SgK3221--"&amp;RIGHT(A4630,5)</f>
        <v>SgK3221--Nov12</v>
      </c>
      <c r="B4631" s="257" t="s">
        <v>5434</v>
      </c>
      <c r="C4631" s="257" t="str">
        <f t="shared" si="1590"/>
        <v>Inbetriebnahme 11/2012</v>
      </c>
      <c r="D4631" s="257" t="str">
        <f t="shared" si="1594"/>
        <v>10 - 40 kW</v>
      </c>
      <c r="E4631" s="257"/>
      <c r="F4631" s="388">
        <f t="shared" si="1591"/>
        <v>16.98</v>
      </c>
      <c r="G4631" s="444">
        <v>16.98</v>
      </c>
      <c r="H4631" s="258">
        <f t="shared" si="1589"/>
        <v>13.58</v>
      </c>
      <c r="I4631" s="592"/>
      <c r="J4631" s="549" t="s">
        <v>5804</v>
      </c>
      <c r="K4631" s="11"/>
      <c r="L4631" s="102"/>
      <c r="M4631" s="265"/>
      <c r="N4631" s="262"/>
      <c r="O4631" s="259"/>
      <c r="P4631" s="92"/>
    </row>
    <row r="4632" spans="1:24" x14ac:dyDescent="0.35">
      <c r="A4632" s="501" t="str">
        <f>"SgK3222--"&amp;RIGHT(A4631,5)</f>
        <v>SgK3222--Nov12</v>
      </c>
      <c r="B4632" s="257" t="s">
        <v>5434</v>
      </c>
      <c r="C4632" s="257" t="str">
        <f t="shared" si="1590"/>
        <v>Inbetriebnahme 11/2012</v>
      </c>
      <c r="D4632" s="257" t="str">
        <f t="shared" si="1594"/>
        <v>40 kW - 1 MW</v>
      </c>
      <c r="E4632" s="257"/>
      <c r="F4632" s="388">
        <f t="shared" si="1591"/>
        <v>15.15</v>
      </c>
      <c r="G4632" s="444">
        <v>15.15</v>
      </c>
      <c r="H4632" s="258">
        <f t="shared" si="1589"/>
        <v>12.12</v>
      </c>
      <c r="I4632" s="592"/>
      <c r="J4632" s="549" t="s">
        <v>5804</v>
      </c>
      <c r="K4632" s="11"/>
      <c r="L4632" s="102"/>
      <c r="M4632" s="265"/>
      <c r="N4632" s="262"/>
      <c r="O4632" s="259"/>
      <c r="P4632" s="92"/>
      <c r="U4632" s="92"/>
      <c r="V4632" s="92"/>
      <c r="W4632" s="111"/>
      <c r="X4632" s="92"/>
    </row>
    <row r="4633" spans="1:24" x14ac:dyDescent="0.35">
      <c r="A4633" s="501" t="str">
        <f>"SgK3223--"&amp;RIGHT(A4632,5)</f>
        <v>SgK3223--Nov12</v>
      </c>
      <c r="B4633" s="257" t="s">
        <v>5434</v>
      </c>
      <c r="C4633" s="257" t="str">
        <f t="shared" si="1590"/>
        <v>Inbetriebnahme 11/2012</v>
      </c>
      <c r="D4633" s="257" t="str">
        <f t="shared" si="1594"/>
        <v>1 - 10 MW</v>
      </c>
      <c r="E4633" s="257"/>
      <c r="F4633" s="388">
        <f t="shared" si="1591"/>
        <v>12.39</v>
      </c>
      <c r="G4633" s="444">
        <v>12.39</v>
      </c>
      <c r="H4633" s="258">
        <f t="shared" si="1589"/>
        <v>9.91</v>
      </c>
      <c r="I4633" s="592"/>
      <c r="J4633" s="549" t="s">
        <v>5804</v>
      </c>
      <c r="K4633" s="11"/>
      <c r="L4633" s="102"/>
      <c r="M4633" s="265"/>
      <c r="N4633" s="262"/>
      <c r="O4633" s="109"/>
      <c r="P4633" s="92"/>
      <c r="Q4633" s="92"/>
      <c r="R4633" s="92"/>
      <c r="S4633" s="92"/>
      <c r="T4633" s="92"/>
      <c r="V4633" s="92"/>
      <c r="W4633" s="111"/>
      <c r="X4633" s="92"/>
    </row>
    <row r="4634" spans="1:24" x14ac:dyDescent="0.35">
      <c r="A4634" s="501" t="s">
        <v>3939</v>
      </c>
      <c r="B4634" s="257" t="s">
        <v>5434</v>
      </c>
      <c r="C4634" s="257" t="str">
        <f t="shared" si="1590"/>
        <v>Inbetriebnahme 12/2012</v>
      </c>
      <c r="D4634" s="257" t="str">
        <f t="shared" si="1594"/>
        <v>0 - 10 kW</v>
      </c>
      <c r="E4634" s="257"/>
      <c r="F4634" s="388">
        <f t="shared" si="1591"/>
        <v>17.45</v>
      </c>
      <c r="G4634" s="444">
        <v>17.45</v>
      </c>
      <c r="H4634" s="258">
        <f t="shared" si="1589"/>
        <v>13.96</v>
      </c>
      <c r="I4634" s="592"/>
      <c r="J4634" s="549" t="s">
        <v>5804</v>
      </c>
      <c r="K4634" s="11"/>
      <c r="L4634" s="102"/>
      <c r="M4634" s="265"/>
      <c r="N4634" s="262"/>
      <c r="O4634" s="109"/>
      <c r="P4634" s="92"/>
      <c r="Q4634" s="92"/>
      <c r="R4634" s="92"/>
      <c r="S4634" s="92"/>
      <c r="T4634" s="92"/>
    </row>
    <row r="4635" spans="1:24" x14ac:dyDescent="0.35">
      <c r="A4635" s="501" t="str">
        <f>"SgK3221--"&amp;RIGHT(A4634,5)</f>
        <v>SgK3221--Dez12</v>
      </c>
      <c r="B4635" s="257" t="s">
        <v>5434</v>
      </c>
      <c r="C4635" s="257" t="str">
        <f t="shared" si="1590"/>
        <v>Inbetriebnahme 12/2012</v>
      </c>
      <c r="D4635" s="257" t="str">
        <f t="shared" si="1594"/>
        <v>10 - 40 kW</v>
      </c>
      <c r="E4635" s="257"/>
      <c r="F4635" s="388">
        <f t="shared" si="1591"/>
        <v>16.559999999999999</v>
      </c>
      <c r="G4635" s="444">
        <v>16.559999999999999</v>
      </c>
      <c r="H4635" s="258">
        <f t="shared" si="1589"/>
        <v>13.25</v>
      </c>
      <c r="I4635" s="592"/>
      <c r="J4635" s="549" t="s">
        <v>5804</v>
      </c>
      <c r="K4635" s="11"/>
      <c r="L4635" s="102"/>
      <c r="M4635" s="265"/>
      <c r="N4635" s="262"/>
      <c r="O4635" s="259"/>
      <c r="P4635" s="92"/>
      <c r="U4635" s="92"/>
      <c r="V4635" s="92"/>
      <c r="W4635" s="111"/>
      <c r="X4635" s="92"/>
    </row>
    <row r="4636" spans="1:24" x14ac:dyDescent="0.35">
      <c r="A4636" s="501" t="str">
        <f>"SgK3222--"&amp;RIGHT(A4635,5)</f>
        <v>SgK3222--Dez12</v>
      </c>
      <c r="B4636" s="257" t="s">
        <v>5434</v>
      </c>
      <c r="C4636" s="257" t="str">
        <f t="shared" si="1590"/>
        <v>Inbetriebnahme 12/2012</v>
      </c>
      <c r="D4636" s="257" t="str">
        <f t="shared" si="1594"/>
        <v>40 kW - 1 MW</v>
      </c>
      <c r="E4636" s="257"/>
      <c r="F4636" s="388">
        <f t="shared" si="1591"/>
        <v>14.77</v>
      </c>
      <c r="G4636" s="444">
        <v>14.77</v>
      </c>
      <c r="H4636" s="258">
        <f t="shared" si="1589"/>
        <v>11.82</v>
      </c>
      <c r="I4636" s="592"/>
      <c r="J4636" s="549" t="s">
        <v>5804</v>
      </c>
      <c r="K4636" s="11"/>
      <c r="L4636" s="102"/>
      <c r="M4636" s="265"/>
      <c r="N4636" s="262"/>
      <c r="U4636" s="92"/>
      <c r="V4636" s="92"/>
      <c r="W4636" s="111"/>
      <c r="X4636" s="92"/>
    </row>
    <row r="4637" spans="1:24" x14ac:dyDescent="0.35">
      <c r="A4637" s="501" t="str">
        <f>"SgK3223--"&amp;RIGHT(A4636,5)</f>
        <v>SgK3223--Dez12</v>
      </c>
      <c r="B4637" s="257" t="s">
        <v>5434</v>
      </c>
      <c r="C4637" s="257" t="str">
        <f t="shared" si="1590"/>
        <v>Inbetriebnahme 12/2012</v>
      </c>
      <c r="D4637" s="257" t="str">
        <f t="shared" si="1594"/>
        <v>1 - 10 MW</v>
      </c>
      <c r="E4637" s="257"/>
      <c r="F4637" s="388">
        <f t="shared" si="1591"/>
        <v>12.08</v>
      </c>
      <c r="G4637" s="444">
        <v>12.08</v>
      </c>
      <c r="H4637" s="258">
        <f t="shared" si="1589"/>
        <v>9.66</v>
      </c>
      <c r="I4637" s="592"/>
      <c r="J4637" s="549" t="s">
        <v>5804</v>
      </c>
      <c r="K4637" s="11"/>
      <c r="M4637" s="265"/>
      <c r="N4637" s="262"/>
    </row>
    <row r="4638" spans="1:24" x14ac:dyDescent="0.35">
      <c r="A4638" s="203"/>
      <c r="D4638" s="103"/>
      <c r="G4638" s="435"/>
      <c r="H4638" s="11" t="str">
        <f t="shared" si="1589"/>
        <v/>
      </c>
      <c r="J4638" s="549" t="s">
        <v>4179</v>
      </c>
      <c r="K4638" s="11"/>
      <c r="M4638">
        <v>2013</v>
      </c>
      <c r="O4638" s="109" t="s">
        <v>3901</v>
      </c>
      <c r="P4638" t="s">
        <v>3902</v>
      </c>
      <c r="Q4638" t="s">
        <v>3918</v>
      </c>
      <c r="R4638" t="s">
        <v>3919</v>
      </c>
      <c r="S4638" t="s">
        <v>3920</v>
      </c>
      <c r="T4638" t="s">
        <v>3921</v>
      </c>
    </row>
    <row r="4639" spans="1:24" x14ac:dyDescent="0.35">
      <c r="A4639" s="502" t="s">
        <v>4649</v>
      </c>
      <c r="B4639" s="301" t="s">
        <v>5434</v>
      </c>
      <c r="C4639" s="301" t="str">
        <f t="shared" ref="C4639:C4686" si="1595">"Inbetriebnahme "&amp;TEXT(DATEVALUE(RIGHT(A4639,5)),"MM/JJJJ")</f>
        <v>Inbetriebnahme 01/2013</v>
      </c>
      <c r="D4639" s="301" t="str">
        <f>$Q$4638</f>
        <v>0 - 10 kW</v>
      </c>
      <c r="E4639" s="301"/>
      <c r="F4639" s="368">
        <f t="shared" ref="F4639:F4686" si="1596">IF(HLOOKUP(D4639,$Q$4638:$T$4650,MATCH(RIGHT($A4639,5),$O$4638:$O$4650,0),FALSE)&lt;&gt;"",ROUND(HLOOKUP(D4639,$Q$4638:$T$4650,MATCH(RIGHT($A4639,5),$O$4638:$O$4650,0),FALSE),2),"")</f>
        <v>17.02</v>
      </c>
      <c r="G4639" s="429">
        <v>17.02</v>
      </c>
      <c r="H4639" s="303">
        <f t="shared" si="1589"/>
        <v>13.62</v>
      </c>
      <c r="I4639" s="572"/>
      <c r="J4639" s="549" t="s">
        <v>5804</v>
      </c>
      <c r="K4639" s="11"/>
      <c r="O4639" s="259" t="s">
        <v>4661</v>
      </c>
      <c r="P4639" s="277">
        <v>2.5000000000000001E-2</v>
      </c>
      <c r="Q4639" s="261">
        <f>IF($P4639&lt;&gt;"",Q4610*(100%-$P4639),"")</f>
        <v>17.016084205549994</v>
      </c>
      <c r="R4639" s="261">
        <f>IF($P4639&lt;&gt;"",R4610*(100%-$P4639),"")</f>
        <v>16.143464502701271</v>
      </c>
      <c r="S4639" s="261">
        <f>IF($P4639&lt;&gt;"",S4610*(100%-$P4639),"")</f>
        <v>14.398225097003836</v>
      </c>
      <c r="T4639" s="261">
        <f>IF($P4639&lt;&gt;"",T4610*(100%-$P4639),"")</f>
        <v>11.780365988457685</v>
      </c>
    </row>
    <row r="4640" spans="1:24" x14ac:dyDescent="0.35">
      <c r="A4640" s="502" t="str">
        <f>"SgK3221--"&amp;RIGHT(A4639,5)</f>
        <v>SgK3221--Jan13</v>
      </c>
      <c r="B4640" s="301" t="s">
        <v>5434</v>
      </c>
      <c r="C4640" s="301" t="str">
        <f t="shared" si="1595"/>
        <v>Inbetriebnahme 01/2013</v>
      </c>
      <c r="D4640" s="301" t="str">
        <f>$R$4638</f>
        <v>10 - 40 kW</v>
      </c>
      <c r="E4640" s="301"/>
      <c r="F4640" s="368">
        <f t="shared" si="1596"/>
        <v>16.14</v>
      </c>
      <c r="G4640" s="429">
        <v>16.14</v>
      </c>
      <c r="H4640" s="303">
        <f t="shared" si="1589"/>
        <v>12.91</v>
      </c>
      <c r="I4640" s="572"/>
      <c r="J4640" s="549" t="s">
        <v>5804</v>
      </c>
      <c r="K4640" s="11"/>
      <c r="O4640" s="266" t="str">
        <f t="shared" ref="O4640:O4650" si="1597">TEXT(DATE(YEAR(DATEVALUE(O4639)),MONTH(DATEVALUE(O4639))+1,1),"MMMJJ")</f>
        <v>Feb13</v>
      </c>
      <c r="P4640" s="277">
        <v>2.1999999999999999E-2</v>
      </c>
      <c r="Q4640" s="261">
        <f t="shared" ref="Q4640:Q4650" si="1598">IF($P4640&lt;&gt;"",Q4639*(100%-$P4640),"")</f>
        <v>16.641730353027892</v>
      </c>
      <c r="R4640" s="261">
        <f t="shared" ref="R4640:R4650" si="1599">IF($P4640&lt;&gt;"",R4639*(100%-$P4640),"")</f>
        <v>15.788308283641843</v>
      </c>
      <c r="S4640" s="261">
        <f t="shared" ref="S4640:S4650" si="1600">IF($P4640&lt;&gt;"",S4639*(100%-$P4640),"")</f>
        <v>14.081464144869752</v>
      </c>
      <c r="T4640" s="261">
        <f t="shared" ref="T4640:T4650" si="1601">IF($P4640&lt;&gt;"",T4639*(100%-$P4640),"")</f>
        <v>11.521197936711616</v>
      </c>
    </row>
    <row r="4641" spans="1:24" x14ac:dyDescent="0.35">
      <c r="A4641" s="502" t="str">
        <f>"SgK3222--"&amp;RIGHT(A4640,5)</f>
        <v>SgK3222--Jan13</v>
      </c>
      <c r="B4641" s="301" t="s">
        <v>5434</v>
      </c>
      <c r="C4641" s="301" t="str">
        <f t="shared" si="1595"/>
        <v>Inbetriebnahme 01/2013</v>
      </c>
      <c r="D4641" s="301" t="str">
        <f>$S$4638</f>
        <v>40 kW - 1 MW</v>
      </c>
      <c r="E4641" s="301"/>
      <c r="F4641" s="368">
        <f t="shared" si="1596"/>
        <v>14.4</v>
      </c>
      <c r="G4641" s="429">
        <v>14.4</v>
      </c>
      <c r="H4641" s="303">
        <f t="shared" si="1589"/>
        <v>11.52</v>
      </c>
      <c r="I4641" s="572"/>
      <c r="J4641" s="549" t="s">
        <v>5804</v>
      </c>
      <c r="K4641" s="11"/>
      <c r="O4641" s="266" t="str">
        <f t="shared" si="1597"/>
        <v>Mrz13</v>
      </c>
      <c r="P4641" s="277">
        <v>2.1999999999999999E-2</v>
      </c>
      <c r="Q4641" s="261">
        <f t="shared" si="1598"/>
        <v>16.275612285261278</v>
      </c>
      <c r="R4641" s="261">
        <f t="shared" si="1599"/>
        <v>15.440965501401722</v>
      </c>
      <c r="S4641" s="261">
        <f t="shared" si="1600"/>
        <v>13.771671933682617</v>
      </c>
      <c r="T4641" s="261">
        <f t="shared" si="1601"/>
        <v>11.267731582103959</v>
      </c>
    </row>
    <row r="4642" spans="1:24" x14ac:dyDescent="0.35">
      <c r="A4642" s="502" t="str">
        <f>"SgK3223--"&amp;RIGHT(A4641,5)</f>
        <v>SgK3223--Jan13</v>
      </c>
      <c r="B4642" s="301" t="s">
        <v>5434</v>
      </c>
      <c r="C4642" s="301" t="str">
        <f t="shared" si="1595"/>
        <v>Inbetriebnahme 01/2013</v>
      </c>
      <c r="D4642" s="301" t="str">
        <f>$T$4638</f>
        <v>1 - 10 MW</v>
      </c>
      <c r="E4642" s="301"/>
      <c r="F4642" s="368">
        <f t="shared" si="1596"/>
        <v>11.78</v>
      </c>
      <c r="G4642" s="429">
        <v>11.78</v>
      </c>
      <c r="H4642" s="303">
        <f t="shared" si="1589"/>
        <v>9.42</v>
      </c>
      <c r="I4642" s="572"/>
      <c r="J4642" s="549" t="s">
        <v>5804</v>
      </c>
      <c r="K4642" s="11"/>
      <c r="O4642" s="266" t="str">
        <f t="shared" si="1597"/>
        <v>Apr13</v>
      </c>
      <c r="P4642" s="277">
        <v>2.1999999999999999E-2</v>
      </c>
      <c r="Q4642" s="261">
        <f t="shared" si="1598"/>
        <v>15.91754881498553</v>
      </c>
      <c r="R4642" s="261">
        <f t="shared" si="1599"/>
        <v>15.101264260370884</v>
      </c>
      <c r="S4642" s="261">
        <f t="shared" si="1600"/>
        <v>13.468695151141599</v>
      </c>
      <c r="T4642" s="261">
        <f t="shared" si="1601"/>
        <v>11.019841487297672</v>
      </c>
    </row>
    <row r="4643" spans="1:24" x14ac:dyDescent="0.35">
      <c r="A4643" s="502" t="s">
        <v>4650</v>
      </c>
      <c r="B4643" s="301" t="s">
        <v>5434</v>
      </c>
      <c r="C4643" s="301" t="str">
        <f t="shared" si="1595"/>
        <v>Inbetriebnahme 02/2013</v>
      </c>
      <c r="D4643" s="301" t="str">
        <f>$Q$4638</f>
        <v>0 - 10 kW</v>
      </c>
      <c r="E4643" s="301"/>
      <c r="F4643" s="368">
        <f t="shared" si="1596"/>
        <v>16.64</v>
      </c>
      <c r="G4643" s="429">
        <v>16.64</v>
      </c>
      <c r="H4643" s="303">
        <f t="shared" si="1589"/>
        <v>13.31</v>
      </c>
      <c r="I4643" s="572"/>
      <c r="J4643" s="549" t="s">
        <v>5804</v>
      </c>
      <c r="K4643" s="11"/>
      <c r="O4643" s="266" t="str">
        <f t="shared" si="1597"/>
        <v>Mai13</v>
      </c>
      <c r="P4643" s="277">
        <v>1.7999999999999999E-2</v>
      </c>
      <c r="Q4643" s="261">
        <f t="shared" si="1598"/>
        <v>15.63103293631579</v>
      </c>
      <c r="R4643" s="261">
        <f t="shared" si="1599"/>
        <v>14.829441503684208</v>
      </c>
      <c r="S4643" s="261">
        <f t="shared" si="1600"/>
        <v>13.226258638421051</v>
      </c>
      <c r="T4643" s="261">
        <f t="shared" si="1601"/>
        <v>10.821484340526315</v>
      </c>
    </row>
    <row r="4644" spans="1:24" x14ac:dyDescent="0.35">
      <c r="A4644" s="502" t="str">
        <f>"SgK3221--"&amp;RIGHT(A4643,5)</f>
        <v>SgK3221--Feb13</v>
      </c>
      <c r="B4644" s="301" t="s">
        <v>5434</v>
      </c>
      <c r="C4644" s="301" t="str">
        <f t="shared" si="1595"/>
        <v>Inbetriebnahme 02/2013</v>
      </c>
      <c r="D4644" s="301" t="str">
        <f>$R$4638</f>
        <v>10 - 40 kW</v>
      </c>
      <c r="E4644" s="301"/>
      <c r="F4644" s="368">
        <f t="shared" si="1596"/>
        <v>15.79</v>
      </c>
      <c r="G4644" s="429">
        <v>15.79</v>
      </c>
      <c r="H4644" s="303">
        <f t="shared" si="1589"/>
        <v>12.63</v>
      </c>
      <c r="I4644" s="572"/>
      <c r="J4644" s="549" t="s">
        <v>5804</v>
      </c>
      <c r="K4644" s="11"/>
      <c r="O4644" s="266" t="str">
        <f t="shared" si="1597"/>
        <v>Jun13</v>
      </c>
      <c r="P4644" s="277">
        <v>1.7999999999999999E-2</v>
      </c>
      <c r="Q4644" s="261">
        <f t="shared" si="1598"/>
        <v>15.349674343462105</v>
      </c>
      <c r="R4644" s="261">
        <f t="shared" si="1599"/>
        <v>14.562511556617892</v>
      </c>
      <c r="S4644" s="261">
        <f t="shared" si="1600"/>
        <v>12.988185982929471</v>
      </c>
      <c r="T4644" s="261">
        <f t="shared" si="1601"/>
        <v>10.62669762239684</v>
      </c>
    </row>
    <row r="4645" spans="1:24" x14ac:dyDescent="0.35">
      <c r="A4645" s="502" t="str">
        <f>"SgK3222--"&amp;RIGHT(A4644,5)</f>
        <v>SgK3222--Feb13</v>
      </c>
      <c r="B4645" s="301" t="s">
        <v>5434</v>
      </c>
      <c r="C4645" s="301" t="str">
        <f t="shared" si="1595"/>
        <v>Inbetriebnahme 02/2013</v>
      </c>
      <c r="D4645" s="301" t="str">
        <f>$S$4638</f>
        <v>40 kW - 1 MW</v>
      </c>
      <c r="E4645" s="301"/>
      <c r="F4645" s="368">
        <f t="shared" si="1596"/>
        <v>14.08</v>
      </c>
      <c r="G4645" s="429">
        <v>14.08</v>
      </c>
      <c r="H4645" s="303">
        <f t="shared" si="1589"/>
        <v>11.26</v>
      </c>
      <c r="I4645" s="572"/>
      <c r="J4645" s="549" t="s">
        <v>5804</v>
      </c>
      <c r="K4645" s="11"/>
      <c r="O4645" s="266" t="str">
        <f t="shared" si="1597"/>
        <v>Jul13</v>
      </c>
      <c r="P4645" s="277">
        <v>1.7999999999999999E-2</v>
      </c>
      <c r="Q4645" s="261">
        <f t="shared" si="1598"/>
        <v>15.073380205279786</v>
      </c>
      <c r="R4645" s="261">
        <f t="shared" si="1599"/>
        <v>14.300386348598769</v>
      </c>
      <c r="S4645" s="261">
        <f t="shared" si="1600"/>
        <v>12.75439863523674</v>
      </c>
      <c r="T4645" s="261">
        <f t="shared" si="1601"/>
        <v>10.435417065193697</v>
      </c>
    </row>
    <row r="4646" spans="1:24" x14ac:dyDescent="0.35">
      <c r="A4646" s="502" t="str">
        <f>"SgK3223--"&amp;RIGHT(A4645,5)</f>
        <v>SgK3223--Feb13</v>
      </c>
      <c r="B4646" s="301" t="s">
        <v>5434</v>
      </c>
      <c r="C4646" s="301" t="str">
        <f t="shared" si="1595"/>
        <v>Inbetriebnahme 02/2013</v>
      </c>
      <c r="D4646" s="301" t="str">
        <f>$T$4638</f>
        <v>1 - 10 MW</v>
      </c>
      <c r="E4646" s="301"/>
      <c r="F4646" s="368">
        <f t="shared" si="1596"/>
        <v>11.52</v>
      </c>
      <c r="G4646" s="429">
        <v>11.52</v>
      </c>
      <c r="H4646" s="303">
        <f t="shared" si="1589"/>
        <v>9.2200000000000006</v>
      </c>
      <c r="I4646" s="572"/>
      <c r="J4646" s="549" t="s">
        <v>5804</v>
      </c>
      <c r="K4646" s="11"/>
      <c r="O4646" s="266" t="str">
        <f t="shared" si="1597"/>
        <v>Aug13</v>
      </c>
      <c r="P4646" s="277">
        <v>1.7999999999999999E-2</v>
      </c>
      <c r="Q4646" s="261">
        <f t="shared" si="1598"/>
        <v>14.80205936158475</v>
      </c>
      <c r="R4646" s="261">
        <f t="shared" si="1599"/>
        <v>14.042979394323991</v>
      </c>
      <c r="S4646" s="261">
        <f t="shared" si="1600"/>
        <v>12.524819459802478</v>
      </c>
      <c r="T4646" s="261">
        <f t="shared" si="1601"/>
        <v>10.24757955802021</v>
      </c>
    </row>
    <row r="4647" spans="1:24" x14ac:dyDescent="0.35">
      <c r="A4647" s="502" t="s">
        <v>4651</v>
      </c>
      <c r="B4647" s="301" t="s">
        <v>5434</v>
      </c>
      <c r="C4647" s="301" t="str">
        <f t="shared" si="1595"/>
        <v>Inbetriebnahme 03/2013</v>
      </c>
      <c r="D4647" s="301" t="str">
        <f>$Q$4638</f>
        <v>0 - 10 kW</v>
      </c>
      <c r="E4647" s="301"/>
      <c r="F4647" s="368">
        <f t="shared" si="1596"/>
        <v>16.28</v>
      </c>
      <c r="G4647" s="429">
        <v>16.28</v>
      </c>
      <c r="H4647" s="303">
        <f t="shared" si="1589"/>
        <v>13.02</v>
      </c>
      <c r="I4647" s="572"/>
      <c r="J4647" s="549" t="s">
        <v>5804</v>
      </c>
      <c r="K4647" s="11"/>
      <c r="O4647" s="266" t="str">
        <f t="shared" si="1597"/>
        <v>Sep13</v>
      </c>
      <c r="P4647" s="277">
        <v>1.7999999999999999E-2</v>
      </c>
      <c r="Q4647" s="261">
        <f t="shared" si="1598"/>
        <v>14.535622293076225</v>
      </c>
      <c r="R4647" s="261">
        <f t="shared" si="1599"/>
        <v>13.790205765226158</v>
      </c>
      <c r="S4647" s="261">
        <f t="shared" si="1600"/>
        <v>12.299372709526033</v>
      </c>
      <c r="T4647" s="261">
        <f t="shared" si="1601"/>
        <v>10.063123125975846</v>
      </c>
    </row>
    <row r="4648" spans="1:24" x14ac:dyDescent="0.35">
      <c r="A4648" s="502" t="str">
        <f>"SgK3221--"&amp;RIGHT(A4647,5)</f>
        <v>SgK3221--Mrz13</v>
      </c>
      <c r="B4648" s="301" t="s">
        <v>5434</v>
      </c>
      <c r="C4648" s="301" t="str">
        <f t="shared" si="1595"/>
        <v>Inbetriebnahme 03/2013</v>
      </c>
      <c r="D4648" s="301" t="str">
        <f>$R$4638</f>
        <v>10 - 40 kW</v>
      </c>
      <c r="E4648" s="301"/>
      <c r="F4648" s="368">
        <f t="shared" si="1596"/>
        <v>15.44</v>
      </c>
      <c r="G4648" s="429">
        <v>15.44</v>
      </c>
      <c r="H4648" s="303">
        <f t="shared" si="1589"/>
        <v>12.35</v>
      </c>
      <c r="I4648" s="572"/>
      <c r="J4648" s="549" t="s">
        <v>5804</v>
      </c>
      <c r="K4648" s="11"/>
      <c r="O4648" s="266" t="str">
        <f t="shared" si="1597"/>
        <v>Okt13</v>
      </c>
      <c r="P4648" s="277">
        <v>1.7999999999999999E-2</v>
      </c>
      <c r="Q4648" s="261">
        <f t="shared" si="1598"/>
        <v>14.273981091800852</v>
      </c>
      <c r="R4648" s="261">
        <f t="shared" si="1599"/>
        <v>13.541982061452087</v>
      </c>
      <c r="S4648" s="261">
        <f t="shared" si="1600"/>
        <v>12.077984000754563</v>
      </c>
      <c r="T4648" s="261">
        <f t="shared" si="1601"/>
        <v>9.8819869097082798</v>
      </c>
    </row>
    <row r="4649" spans="1:24" x14ac:dyDescent="0.35">
      <c r="A4649" s="502" t="str">
        <f>"SgK3222--"&amp;RIGHT(A4648,5)</f>
        <v>SgK3222--Mrz13</v>
      </c>
      <c r="B4649" s="301" t="s">
        <v>5434</v>
      </c>
      <c r="C4649" s="301" t="str">
        <f t="shared" si="1595"/>
        <v>Inbetriebnahme 03/2013</v>
      </c>
      <c r="D4649" s="301" t="str">
        <f>$S$4638</f>
        <v>40 kW - 1 MW</v>
      </c>
      <c r="E4649" s="301"/>
      <c r="F4649" s="368">
        <f t="shared" si="1596"/>
        <v>13.77</v>
      </c>
      <c r="G4649" s="429">
        <v>13.77</v>
      </c>
      <c r="H4649" s="303">
        <f t="shared" si="1589"/>
        <v>11.02</v>
      </c>
      <c r="I4649" s="572"/>
      <c r="J4649" s="549" t="s">
        <v>5804</v>
      </c>
      <c r="K4649" s="11"/>
      <c r="O4649" s="266" t="str">
        <f t="shared" si="1597"/>
        <v>Nov13</v>
      </c>
      <c r="P4649" s="277">
        <v>1.4E-2</v>
      </c>
      <c r="Q4649" s="261">
        <f t="shared" si="1598"/>
        <v>14.07414535651564</v>
      </c>
      <c r="R4649" s="261">
        <f t="shared" si="1599"/>
        <v>13.352394312591757</v>
      </c>
      <c r="S4649" s="261">
        <f t="shared" si="1600"/>
        <v>11.908892224743999</v>
      </c>
      <c r="T4649" s="261">
        <f t="shared" si="1601"/>
        <v>9.743639092972364</v>
      </c>
    </row>
    <row r="4650" spans="1:24" x14ac:dyDescent="0.35">
      <c r="A4650" s="502" t="str">
        <f>"SgK3223--"&amp;RIGHT(A4649,5)</f>
        <v>SgK3223--Mrz13</v>
      </c>
      <c r="B4650" s="301" t="s">
        <v>5434</v>
      </c>
      <c r="C4650" s="301" t="str">
        <f t="shared" si="1595"/>
        <v>Inbetriebnahme 03/2013</v>
      </c>
      <c r="D4650" s="301" t="str">
        <f>$T$4638</f>
        <v>1 - 10 MW</v>
      </c>
      <c r="E4650" s="301"/>
      <c r="F4650" s="368">
        <f t="shared" si="1596"/>
        <v>11.27</v>
      </c>
      <c r="G4650" s="429">
        <v>11.27</v>
      </c>
      <c r="H4650" s="303">
        <f t="shared" si="1589"/>
        <v>9.02</v>
      </c>
      <c r="I4650" s="572"/>
      <c r="J4650" s="549" t="s">
        <v>5804</v>
      </c>
      <c r="K4650" s="11"/>
      <c r="O4650" s="266" t="str">
        <f t="shared" si="1597"/>
        <v>Dez13</v>
      </c>
      <c r="P4650" s="277">
        <v>1.4E-2</v>
      </c>
      <c r="Q4650" s="261">
        <f t="shared" si="1598"/>
        <v>13.87710732152442</v>
      </c>
      <c r="R4650" s="261">
        <f t="shared" si="1599"/>
        <v>13.165460792215473</v>
      </c>
      <c r="S4650" s="261">
        <f t="shared" si="1600"/>
        <v>11.742167733597583</v>
      </c>
      <c r="T4650" s="261">
        <f t="shared" si="1601"/>
        <v>9.6072281456707511</v>
      </c>
    </row>
    <row r="4651" spans="1:24" x14ac:dyDescent="0.35">
      <c r="A4651" s="502" t="s">
        <v>4652</v>
      </c>
      <c r="B4651" s="301" t="s">
        <v>5434</v>
      </c>
      <c r="C4651" s="301" t="str">
        <f t="shared" si="1595"/>
        <v>Inbetriebnahme 04/2013</v>
      </c>
      <c r="D4651" s="301" t="str">
        <f>$Q$4638</f>
        <v>0 - 10 kW</v>
      </c>
      <c r="E4651" s="301"/>
      <c r="F4651" s="368">
        <f t="shared" si="1596"/>
        <v>15.92</v>
      </c>
      <c r="G4651" s="429">
        <v>15.92</v>
      </c>
      <c r="H4651" s="303">
        <f t="shared" si="1589"/>
        <v>12.74</v>
      </c>
      <c r="I4651" s="572"/>
      <c r="J4651" s="549" t="s">
        <v>5804</v>
      </c>
      <c r="K4651" s="11"/>
      <c r="M4651" s="263"/>
      <c r="N4651" s="108"/>
      <c r="O4651" s="259"/>
      <c r="P4651" s="260"/>
      <c r="Q4651" s="261"/>
      <c r="R4651" s="261"/>
      <c r="S4651" s="261"/>
      <c r="T4651" s="261"/>
    </row>
    <row r="4652" spans="1:24" x14ac:dyDescent="0.35">
      <c r="A4652" s="502" t="str">
        <f>"SgK3221--"&amp;RIGHT(A4651,5)</f>
        <v>SgK3221--Apr13</v>
      </c>
      <c r="B4652" s="301" t="s">
        <v>5434</v>
      </c>
      <c r="C4652" s="301" t="str">
        <f t="shared" si="1595"/>
        <v>Inbetriebnahme 04/2013</v>
      </c>
      <c r="D4652" s="301" t="str">
        <f>$R$4638</f>
        <v>10 - 40 kW</v>
      </c>
      <c r="E4652" s="301"/>
      <c r="F4652" s="368">
        <f t="shared" si="1596"/>
        <v>15.1</v>
      </c>
      <c r="G4652" s="429">
        <v>15.1</v>
      </c>
      <c r="H4652" s="303">
        <f t="shared" si="1589"/>
        <v>12.08</v>
      </c>
      <c r="I4652" s="572"/>
      <c r="J4652" s="549" t="s">
        <v>5804</v>
      </c>
      <c r="K4652" s="11"/>
      <c r="M4652" s="263"/>
      <c r="N4652" s="108"/>
      <c r="O4652" s="266"/>
      <c r="P4652" s="260"/>
      <c r="Q4652" s="261"/>
      <c r="R4652" s="261"/>
      <c r="S4652" s="261"/>
      <c r="T4652" s="261"/>
    </row>
    <row r="4653" spans="1:24" x14ac:dyDescent="0.35">
      <c r="A4653" s="502" t="str">
        <f>"SgK3222--"&amp;RIGHT(A4652,5)</f>
        <v>SgK3222--Apr13</v>
      </c>
      <c r="B4653" s="301" t="s">
        <v>5434</v>
      </c>
      <c r="C4653" s="301" t="str">
        <f t="shared" si="1595"/>
        <v>Inbetriebnahme 04/2013</v>
      </c>
      <c r="D4653" s="301" t="str">
        <f>$S$4638</f>
        <v>40 kW - 1 MW</v>
      </c>
      <c r="E4653" s="301"/>
      <c r="F4653" s="368">
        <f t="shared" si="1596"/>
        <v>13.47</v>
      </c>
      <c r="G4653" s="429">
        <v>13.47</v>
      </c>
      <c r="H4653" s="303">
        <f t="shared" si="1589"/>
        <v>10.78</v>
      </c>
      <c r="I4653" s="572"/>
      <c r="J4653" s="549" t="s">
        <v>5804</v>
      </c>
      <c r="K4653" s="11"/>
      <c r="M4653" s="263"/>
      <c r="N4653" s="108"/>
      <c r="O4653" s="266"/>
      <c r="P4653" s="260"/>
      <c r="Q4653" s="261"/>
      <c r="R4653" s="261"/>
      <c r="S4653" s="261"/>
      <c r="T4653" s="261"/>
    </row>
    <row r="4654" spans="1:24" x14ac:dyDescent="0.35">
      <c r="A4654" s="502" t="str">
        <f>"SgK3223--"&amp;RIGHT(A4653,5)</f>
        <v>SgK3223--Apr13</v>
      </c>
      <c r="B4654" s="301" t="s">
        <v>5434</v>
      </c>
      <c r="C4654" s="301" t="str">
        <f t="shared" si="1595"/>
        <v>Inbetriebnahme 04/2013</v>
      </c>
      <c r="D4654" s="301" t="str">
        <f>$T$4638</f>
        <v>1 - 10 MW</v>
      </c>
      <c r="E4654" s="301"/>
      <c r="F4654" s="368">
        <f t="shared" si="1596"/>
        <v>11.02</v>
      </c>
      <c r="G4654" s="429">
        <v>11.02</v>
      </c>
      <c r="H4654" s="303">
        <f t="shared" si="1589"/>
        <v>8.82</v>
      </c>
      <c r="I4654" s="572"/>
      <c r="J4654" s="549" t="s">
        <v>5804</v>
      </c>
      <c r="K4654" s="11"/>
      <c r="L4654" s="102"/>
      <c r="M4654" s="264"/>
      <c r="N4654" s="108"/>
      <c r="O4654" s="266"/>
      <c r="P4654" s="260"/>
      <c r="Q4654" s="261"/>
      <c r="R4654" s="261"/>
      <c r="S4654" s="261"/>
      <c r="T4654" s="261"/>
    </row>
    <row r="4655" spans="1:24" x14ac:dyDescent="0.35">
      <c r="A4655" s="502" t="s">
        <v>4653</v>
      </c>
      <c r="B4655" s="301" t="s">
        <v>5434</v>
      </c>
      <c r="C4655" s="301" t="str">
        <f t="shared" si="1595"/>
        <v>Inbetriebnahme 05/2013</v>
      </c>
      <c r="D4655" s="301" t="str">
        <f>$Q$4638</f>
        <v>0 - 10 kW</v>
      </c>
      <c r="E4655" s="301"/>
      <c r="F4655" s="368">
        <f t="shared" si="1596"/>
        <v>15.63</v>
      </c>
      <c r="G4655" s="429">
        <v>15.63</v>
      </c>
      <c r="H4655" s="303">
        <f t="shared" si="1589"/>
        <v>12.5</v>
      </c>
      <c r="I4655" s="572"/>
      <c r="J4655" s="549" t="s">
        <v>5804</v>
      </c>
      <c r="K4655" s="11"/>
      <c r="L4655" s="102"/>
      <c r="M4655" s="265"/>
      <c r="N4655" s="108"/>
      <c r="O4655" s="266"/>
      <c r="P4655" s="260"/>
      <c r="Q4655" s="261"/>
      <c r="R4655" s="261"/>
      <c r="S4655" s="261"/>
      <c r="T4655" s="261"/>
    </row>
    <row r="4656" spans="1:24" x14ac:dyDescent="0.35">
      <c r="A4656" s="502" t="str">
        <f>"SgK3221--"&amp;RIGHT(A4655,5)</f>
        <v>SgK3221--Mai13</v>
      </c>
      <c r="B4656" s="301" t="s">
        <v>5434</v>
      </c>
      <c r="C4656" s="301" t="str">
        <f t="shared" si="1595"/>
        <v>Inbetriebnahme 05/2013</v>
      </c>
      <c r="D4656" s="301" t="str">
        <f>$R$4638</f>
        <v>10 - 40 kW</v>
      </c>
      <c r="E4656" s="301"/>
      <c r="F4656" s="368">
        <f t="shared" si="1596"/>
        <v>14.83</v>
      </c>
      <c r="G4656" s="429">
        <v>14.83</v>
      </c>
      <c r="H4656" s="303">
        <f t="shared" si="1589"/>
        <v>11.86</v>
      </c>
      <c r="I4656" s="572"/>
      <c r="J4656" s="549" t="s">
        <v>5804</v>
      </c>
      <c r="K4656" s="11"/>
      <c r="L4656" s="102"/>
      <c r="M4656" s="265"/>
      <c r="N4656" s="108"/>
      <c r="O4656" s="266"/>
      <c r="P4656" s="260"/>
      <c r="Q4656" s="261"/>
      <c r="R4656" s="261"/>
      <c r="S4656" s="261"/>
      <c r="T4656" s="261"/>
      <c r="V4656" s="92"/>
      <c r="W4656" s="111"/>
      <c r="X4656" s="92"/>
    </row>
    <row r="4657" spans="1:24" x14ac:dyDescent="0.35">
      <c r="A4657" s="502" t="str">
        <f>"SgK3222--"&amp;RIGHT(A4656,5)</f>
        <v>SgK3222--Mai13</v>
      </c>
      <c r="B4657" s="301" t="s">
        <v>5434</v>
      </c>
      <c r="C4657" s="301" t="str">
        <f t="shared" si="1595"/>
        <v>Inbetriebnahme 05/2013</v>
      </c>
      <c r="D4657" s="301" t="str">
        <f>$S$4638</f>
        <v>40 kW - 1 MW</v>
      </c>
      <c r="E4657" s="301"/>
      <c r="F4657" s="368">
        <f t="shared" si="1596"/>
        <v>13.23</v>
      </c>
      <c r="G4657" s="429">
        <v>13.23</v>
      </c>
      <c r="H4657" s="303">
        <f t="shared" si="1589"/>
        <v>10.58</v>
      </c>
      <c r="I4657" s="572"/>
      <c r="J4657" s="549" t="s">
        <v>5804</v>
      </c>
      <c r="K4657" s="11"/>
      <c r="L4657" s="102"/>
      <c r="M4657" s="265"/>
      <c r="N4657" s="108"/>
      <c r="O4657" s="266"/>
      <c r="P4657" s="260"/>
      <c r="Q4657" s="261"/>
      <c r="R4657" s="261"/>
      <c r="S4657" s="261"/>
      <c r="T4657" s="261"/>
      <c r="V4657" s="92"/>
      <c r="W4657" s="111"/>
      <c r="X4657" s="92"/>
    </row>
    <row r="4658" spans="1:24" x14ac:dyDescent="0.35">
      <c r="A4658" s="502" t="str">
        <f>"SgK3223--"&amp;RIGHT(A4657,5)</f>
        <v>SgK3223--Mai13</v>
      </c>
      <c r="B4658" s="301" t="s">
        <v>5434</v>
      </c>
      <c r="C4658" s="301" t="str">
        <f t="shared" si="1595"/>
        <v>Inbetriebnahme 05/2013</v>
      </c>
      <c r="D4658" s="301" t="str">
        <f>$T$4638</f>
        <v>1 - 10 MW</v>
      </c>
      <c r="E4658" s="301"/>
      <c r="F4658" s="368">
        <f t="shared" si="1596"/>
        <v>10.82</v>
      </c>
      <c r="G4658" s="429">
        <v>10.82</v>
      </c>
      <c r="H4658" s="303">
        <f t="shared" si="1589"/>
        <v>8.66</v>
      </c>
      <c r="I4658" s="572"/>
      <c r="J4658" s="549" t="s">
        <v>5804</v>
      </c>
      <c r="K4658" s="11"/>
      <c r="L4658" s="102"/>
      <c r="M4658" s="265"/>
      <c r="N4658" s="108"/>
      <c r="O4658" s="266"/>
      <c r="P4658" s="277"/>
      <c r="Q4658" s="261"/>
      <c r="R4658" s="261"/>
      <c r="S4658" s="261"/>
      <c r="T4658" s="261"/>
    </row>
    <row r="4659" spans="1:24" x14ac:dyDescent="0.35">
      <c r="A4659" s="502" t="s">
        <v>4654</v>
      </c>
      <c r="B4659" s="301" t="s">
        <v>5434</v>
      </c>
      <c r="C4659" s="301" t="str">
        <f t="shared" si="1595"/>
        <v>Inbetriebnahme 06/2013</v>
      </c>
      <c r="D4659" s="301" t="str">
        <f>$Q$4638</f>
        <v>0 - 10 kW</v>
      </c>
      <c r="E4659" s="301"/>
      <c r="F4659" s="368">
        <f t="shared" si="1596"/>
        <v>15.35</v>
      </c>
      <c r="G4659" s="429">
        <v>15.35</v>
      </c>
      <c r="H4659" s="303">
        <f t="shared" si="1589"/>
        <v>12.28</v>
      </c>
      <c r="I4659" s="572"/>
      <c r="J4659" s="549" t="s">
        <v>5804</v>
      </c>
      <c r="K4659" s="11"/>
      <c r="L4659" s="102"/>
      <c r="M4659" s="265"/>
      <c r="N4659" s="108"/>
      <c r="O4659" s="266"/>
      <c r="P4659" s="277"/>
      <c r="Q4659" s="261"/>
      <c r="R4659" s="261"/>
      <c r="S4659" s="261"/>
      <c r="T4659" s="261"/>
      <c r="V4659" s="92"/>
      <c r="W4659" s="111"/>
      <c r="X4659" s="92"/>
    </row>
    <row r="4660" spans="1:24" x14ac:dyDescent="0.35">
      <c r="A4660" s="502" t="str">
        <f>"SgK3221--"&amp;RIGHT(A4659,5)</f>
        <v>SgK3221--Jun13</v>
      </c>
      <c r="B4660" s="301" t="s">
        <v>5434</v>
      </c>
      <c r="C4660" s="301" t="str">
        <f t="shared" si="1595"/>
        <v>Inbetriebnahme 06/2013</v>
      </c>
      <c r="D4660" s="301" t="str">
        <f>$R$4638</f>
        <v>10 - 40 kW</v>
      </c>
      <c r="E4660" s="301"/>
      <c r="F4660" s="368">
        <f t="shared" si="1596"/>
        <v>14.56</v>
      </c>
      <c r="G4660" s="429">
        <v>14.56</v>
      </c>
      <c r="H4660" s="303">
        <f t="shared" si="1589"/>
        <v>11.65</v>
      </c>
      <c r="I4660" s="572"/>
      <c r="J4660" s="549" t="s">
        <v>5804</v>
      </c>
      <c r="K4660" s="11"/>
      <c r="L4660" s="102"/>
      <c r="M4660" s="265"/>
      <c r="N4660" s="108"/>
      <c r="O4660" s="259"/>
      <c r="V4660" s="92"/>
      <c r="W4660" s="111"/>
      <c r="X4660" s="92"/>
    </row>
    <row r="4661" spans="1:24" x14ac:dyDescent="0.35">
      <c r="A4661" s="502" t="str">
        <f>"SgK3222--"&amp;RIGHT(A4660,5)</f>
        <v>SgK3222--Jun13</v>
      </c>
      <c r="B4661" s="301" t="s">
        <v>5434</v>
      </c>
      <c r="C4661" s="301" t="str">
        <f t="shared" si="1595"/>
        <v>Inbetriebnahme 06/2013</v>
      </c>
      <c r="D4661" s="301" t="str">
        <f>$S$4638</f>
        <v>40 kW - 1 MW</v>
      </c>
      <c r="E4661" s="301"/>
      <c r="F4661" s="368">
        <f t="shared" si="1596"/>
        <v>12.99</v>
      </c>
      <c r="G4661" s="429">
        <v>12.99</v>
      </c>
      <c r="H4661" s="303">
        <f t="shared" si="1589"/>
        <v>10.39</v>
      </c>
      <c r="I4661" s="572"/>
      <c r="J4661" s="549" t="s">
        <v>5804</v>
      </c>
      <c r="K4661" s="11"/>
      <c r="L4661" s="102"/>
      <c r="M4661" s="265"/>
      <c r="O4661" s="259"/>
      <c r="V4661" s="92"/>
      <c r="W4661" s="111"/>
      <c r="X4661" s="92"/>
    </row>
    <row r="4662" spans="1:24" x14ac:dyDescent="0.35">
      <c r="A4662" s="502" t="str">
        <f>"SgK3223--"&amp;RIGHT(A4661,5)</f>
        <v>SgK3223--Jun13</v>
      </c>
      <c r="B4662" s="301" t="s">
        <v>5434</v>
      </c>
      <c r="C4662" s="301" t="str">
        <f t="shared" si="1595"/>
        <v>Inbetriebnahme 06/2013</v>
      </c>
      <c r="D4662" s="301" t="str">
        <f>$T$4638</f>
        <v>1 - 10 MW</v>
      </c>
      <c r="E4662" s="301"/>
      <c r="F4662" s="368">
        <f t="shared" si="1596"/>
        <v>10.63</v>
      </c>
      <c r="G4662" s="429">
        <v>10.63</v>
      </c>
      <c r="H4662" s="303">
        <f t="shared" si="1589"/>
        <v>8.5</v>
      </c>
      <c r="I4662" s="572"/>
      <c r="J4662" s="549" t="s">
        <v>5804</v>
      </c>
      <c r="K4662" s="11"/>
      <c r="L4662" s="102"/>
      <c r="M4662" s="265"/>
      <c r="O4662" s="259"/>
      <c r="V4662" s="92"/>
      <c r="W4662" s="111"/>
      <c r="X4662" s="92"/>
    </row>
    <row r="4663" spans="1:24" x14ac:dyDescent="0.35">
      <c r="A4663" s="502" t="s">
        <v>4655</v>
      </c>
      <c r="B4663" s="301" t="s">
        <v>5434</v>
      </c>
      <c r="C4663" s="301" t="str">
        <f t="shared" si="1595"/>
        <v>Inbetriebnahme 07/2013</v>
      </c>
      <c r="D4663" s="301" t="str">
        <f>$Q$4638</f>
        <v>0 - 10 kW</v>
      </c>
      <c r="E4663" s="301"/>
      <c r="F4663" s="368">
        <f t="shared" si="1596"/>
        <v>15.07</v>
      </c>
      <c r="G4663" s="429">
        <v>15.07</v>
      </c>
      <c r="H4663" s="303">
        <f t="shared" si="1589"/>
        <v>12.06</v>
      </c>
      <c r="I4663" s="572"/>
      <c r="J4663" s="549" t="s">
        <v>5804</v>
      </c>
      <c r="K4663" s="11"/>
      <c r="L4663" s="102"/>
      <c r="M4663" s="265"/>
      <c r="O4663" s="259"/>
      <c r="V4663" s="92"/>
      <c r="W4663" s="111"/>
      <c r="X4663" s="92"/>
    </row>
    <row r="4664" spans="1:24" x14ac:dyDescent="0.35">
      <c r="A4664" s="502" t="str">
        <f>"SgK3221--"&amp;RIGHT(A4663,5)</f>
        <v>SgK3221--Jul13</v>
      </c>
      <c r="B4664" s="301" t="s">
        <v>5434</v>
      </c>
      <c r="C4664" s="301" t="str">
        <f t="shared" si="1595"/>
        <v>Inbetriebnahme 07/2013</v>
      </c>
      <c r="D4664" s="301" t="str">
        <f>$R$4638</f>
        <v>10 - 40 kW</v>
      </c>
      <c r="E4664" s="301"/>
      <c r="F4664" s="368">
        <f t="shared" si="1596"/>
        <v>14.3</v>
      </c>
      <c r="G4664" s="429">
        <v>14.3</v>
      </c>
      <c r="H4664" s="303">
        <f t="shared" si="1589"/>
        <v>11.44</v>
      </c>
      <c r="I4664" s="572"/>
      <c r="J4664" s="549" t="s">
        <v>5804</v>
      </c>
      <c r="K4664" s="11"/>
      <c r="L4664" s="102"/>
      <c r="M4664" s="265"/>
      <c r="O4664" s="259"/>
      <c r="V4664" s="92"/>
      <c r="W4664" s="111"/>
      <c r="X4664" s="92"/>
    </row>
    <row r="4665" spans="1:24" x14ac:dyDescent="0.35">
      <c r="A4665" s="502" t="str">
        <f>"SgK3222--"&amp;RIGHT(A4664,5)</f>
        <v>SgK3222--Jul13</v>
      </c>
      <c r="B4665" s="301" t="s">
        <v>5434</v>
      </c>
      <c r="C4665" s="301" t="str">
        <f t="shared" si="1595"/>
        <v>Inbetriebnahme 07/2013</v>
      </c>
      <c r="D4665" s="301" t="str">
        <f>$S$4638</f>
        <v>40 kW - 1 MW</v>
      </c>
      <c r="E4665" s="301"/>
      <c r="F4665" s="368">
        <f t="shared" si="1596"/>
        <v>12.75</v>
      </c>
      <c r="G4665" s="429">
        <v>12.75</v>
      </c>
      <c r="H4665" s="303">
        <f t="shared" ref="H4665:H4728" si="1602">IF(ISNUMBER(G4665),ROUND(0.8*G4665,2),"")</f>
        <v>10.199999999999999</v>
      </c>
      <c r="I4665" s="572"/>
      <c r="J4665" s="549" t="s">
        <v>5804</v>
      </c>
      <c r="K4665" s="11"/>
      <c r="L4665" s="102"/>
      <c r="M4665" s="265"/>
      <c r="O4665" s="259"/>
      <c r="V4665" s="92"/>
      <c r="W4665" s="111"/>
      <c r="X4665" s="92"/>
    </row>
    <row r="4666" spans="1:24" x14ac:dyDescent="0.35">
      <c r="A4666" s="502" t="str">
        <f>"SgK3223--"&amp;RIGHT(A4665,5)</f>
        <v>SgK3223--Jul13</v>
      </c>
      <c r="B4666" s="301" t="s">
        <v>5434</v>
      </c>
      <c r="C4666" s="301" t="str">
        <f t="shared" si="1595"/>
        <v>Inbetriebnahme 07/2013</v>
      </c>
      <c r="D4666" s="301" t="str">
        <f>$T$4638</f>
        <v>1 - 10 MW</v>
      </c>
      <c r="E4666" s="301"/>
      <c r="F4666" s="368">
        <f t="shared" si="1596"/>
        <v>10.44</v>
      </c>
      <c r="G4666" s="429">
        <v>10.44</v>
      </c>
      <c r="H4666" s="303">
        <f t="shared" si="1602"/>
        <v>8.35</v>
      </c>
      <c r="I4666" s="572"/>
      <c r="J4666" s="549" t="s">
        <v>5804</v>
      </c>
      <c r="K4666" s="11"/>
      <c r="L4666" s="102"/>
      <c r="M4666" s="265"/>
      <c r="O4666" s="259"/>
      <c r="V4666" s="92"/>
      <c r="W4666" s="111"/>
      <c r="X4666" s="92"/>
    </row>
    <row r="4667" spans="1:24" x14ac:dyDescent="0.35">
      <c r="A4667" s="502" t="s">
        <v>4656</v>
      </c>
      <c r="B4667" s="301" t="s">
        <v>5434</v>
      </c>
      <c r="C4667" s="301" t="str">
        <f t="shared" si="1595"/>
        <v>Inbetriebnahme 08/2013</v>
      </c>
      <c r="D4667" s="301" t="str">
        <f>$Q$4638</f>
        <v>0 - 10 kW</v>
      </c>
      <c r="E4667" s="301"/>
      <c r="F4667" s="368">
        <f t="shared" si="1596"/>
        <v>14.8</v>
      </c>
      <c r="G4667" s="429">
        <v>14.8</v>
      </c>
      <c r="H4667" s="303">
        <f t="shared" si="1602"/>
        <v>11.84</v>
      </c>
      <c r="I4667" s="572"/>
      <c r="J4667" s="549" t="s">
        <v>5804</v>
      </c>
      <c r="K4667" s="11"/>
      <c r="L4667" s="102"/>
      <c r="M4667" s="265"/>
      <c r="O4667" s="259"/>
      <c r="V4667" s="92"/>
      <c r="W4667" s="111"/>
      <c r="X4667" s="92"/>
    </row>
    <row r="4668" spans="1:24" x14ac:dyDescent="0.35">
      <c r="A4668" s="502" t="str">
        <f>"SgK3221--"&amp;RIGHT(A4667,5)</f>
        <v>SgK3221--Aug13</v>
      </c>
      <c r="B4668" s="301" t="s">
        <v>5434</v>
      </c>
      <c r="C4668" s="301" t="str">
        <f t="shared" si="1595"/>
        <v>Inbetriebnahme 08/2013</v>
      </c>
      <c r="D4668" s="301" t="str">
        <f>$R$4638</f>
        <v>10 - 40 kW</v>
      </c>
      <c r="E4668" s="301"/>
      <c r="F4668" s="368">
        <f t="shared" si="1596"/>
        <v>14.04</v>
      </c>
      <c r="G4668" s="429">
        <v>14.04</v>
      </c>
      <c r="H4668" s="303">
        <f t="shared" si="1602"/>
        <v>11.23</v>
      </c>
      <c r="I4668" s="572"/>
      <c r="J4668" s="549" t="s">
        <v>5804</v>
      </c>
      <c r="K4668" s="11"/>
      <c r="L4668" s="102"/>
      <c r="M4668" s="265"/>
      <c r="O4668" s="259"/>
      <c r="V4668" s="92"/>
      <c r="W4668" s="111"/>
      <c r="X4668" s="92"/>
    </row>
    <row r="4669" spans="1:24" x14ac:dyDescent="0.35">
      <c r="A4669" s="502" t="str">
        <f>"SgK3222--"&amp;RIGHT(A4668,5)</f>
        <v>SgK3222--Aug13</v>
      </c>
      <c r="B4669" s="301" t="s">
        <v>5434</v>
      </c>
      <c r="C4669" s="301" t="str">
        <f t="shared" si="1595"/>
        <v>Inbetriebnahme 08/2013</v>
      </c>
      <c r="D4669" s="301" t="str">
        <f>$S$4638</f>
        <v>40 kW - 1 MW</v>
      </c>
      <c r="E4669" s="301"/>
      <c r="F4669" s="368">
        <f t="shared" si="1596"/>
        <v>12.52</v>
      </c>
      <c r="G4669" s="429">
        <v>12.52</v>
      </c>
      <c r="H4669" s="303">
        <f t="shared" si="1602"/>
        <v>10.02</v>
      </c>
      <c r="I4669" s="572"/>
      <c r="J4669" s="549" t="s">
        <v>5804</v>
      </c>
      <c r="K4669" s="11"/>
      <c r="L4669" s="102"/>
      <c r="M4669" s="267"/>
      <c r="O4669" s="266"/>
      <c r="V4669" s="92"/>
      <c r="W4669" s="111"/>
      <c r="X4669" s="92"/>
    </row>
    <row r="4670" spans="1:24" x14ac:dyDescent="0.35">
      <c r="A4670" s="502" t="str">
        <f>"SgK3223--"&amp;RIGHT(A4669,5)</f>
        <v>SgK3223--Aug13</v>
      </c>
      <c r="B4670" s="301" t="s">
        <v>5434</v>
      </c>
      <c r="C4670" s="301" t="str">
        <f t="shared" si="1595"/>
        <v>Inbetriebnahme 08/2013</v>
      </c>
      <c r="D4670" s="301" t="str">
        <f>$T$4638</f>
        <v>1 - 10 MW</v>
      </c>
      <c r="E4670" s="301"/>
      <c r="F4670" s="368">
        <f t="shared" si="1596"/>
        <v>10.25</v>
      </c>
      <c r="G4670" s="429">
        <v>10.25</v>
      </c>
      <c r="H4670" s="303">
        <f t="shared" si="1602"/>
        <v>8.1999999999999993</v>
      </c>
      <c r="I4670" s="572"/>
      <c r="J4670" s="549" t="s">
        <v>5804</v>
      </c>
      <c r="K4670" s="11"/>
      <c r="L4670" s="102"/>
      <c r="M4670" s="265"/>
      <c r="O4670" s="259"/>
      <c r="V4670" s="92"/>
      <c r="W4670" s="111"/>
      <c r="X4670" s="92"/>
    </row>
    <row r="4671" spans="1:24" x14ac:dyDescent="0.35">
      <c r="A4671" s="502" t="s">
        <v>4657</v>
      </c>
      <c r="B4671" s="301" t="s">
        <v>5434</v>
      </c>
      <c r="C4671" s="301" t="str">
        <f t="shared" si="1595"/>
        <v>Inbetriebnahme 09/2013</v>
      </c>
      <c r="D4671" s="301" t="str">
        <f>$Q$4638</f>
        <v>0 - 10 kW</v>
      </c>
      <c r="E4671" s="301"/>
      <c r="F4671" s="368">
        <f t="shared" si="1596"/>
        <v>14.54</v>
      </c>
      <c r="G4671" s="429">
        <v>14.54</v>
      </c>
      <c r="H4671" s="303">
        <f t="shared" si="1602"/>
        <v>11.63</v>
      </c>
      <c r="I4671" s="572"/>
      <c r="J4671" s="549" t="s">
        <v>5804</v>
      </c>
      <c r="K4671" s="11"/>
      <c r="L4671" s="102"/>
      <c r="M4671" s="265"/>
      <c r="O4671" s="259"/>
      <c r="V4671" s="92"/>
      <c r="W4671" s="111"/>
      <c r="X4671" s="92"/>
    </row>
    <row r="4672" spans="1:24" x14ac:dyDescent="0.35">
      <c r="A4672" s="502" t="str">
        <f>"SgK3221--"&amp;RIGHT(A4671,5)</f>
        <v>SgK3221--Sep13</v>
      </c>
      <c r="B4672" s="301" t="s">
        <v>5434</v>
      </c>
      <c r="C4672" s="301" t="str">
        <f t="shared" si="1595"/>
        <v>Inbetriebnahme 09/2013</v>
      </c>
      <c r="D4672" s="301" t="str">
        <f>$R$4638</f>
        <v>10 - 40 kW</v>
      </c>
      <c r="E4672" s="301"/>
      <c r="F4672" s="368">
        <f t="shared" si="1596"/>
        <v>13.79</v>
      </c>
      <c r="G4672" s="429">
        <v>13.79</v>
      </c>
      <c r="H4672" s="303">
        <f t="shared" si="1602"/>
        <v>11.03</v>
      </c>
      <c r="I4672" s="572"/>
      <c r="J4672" s="549" t="s">
        <v>5804</v>
      </c>
      <c r="K4672" s="11"/>
      <c r="L4672" s="102"/>
      <c r="M4672" s="265"/>
      <c r="O4672" s="259"/>
      <c r="V4672" s="92"/>
      <c r="W4672" s="111"/>
      <c r="X4672" s="92"/>
    </row>
    <row r="4673" spans="1:24" x14ac:dyDescent="0.35">
      <c r="A4673" s="502" t="str">
        <f>"SgK3222--"&amp;RIGHT(A4672,5)</f>
        <v>SgK3222--Sep13</v>
      </c>
      <c r="B4673" s="301" t="s">
        <v>5434</v>
      </c>
      <c r="C4673" s="301" t="str">
        <f t="shared" si="1595"/>
        <v>Inbetriebnahme 09/2013</v>
      </c>
      <c r="D4673" s="301" t="str">
        <f>$S$4638</f>
        <v>40 kW - 1 MW</v>
      </c>
      <c r="E4673" s="301"/>
      <c r="F4673" s="368">
        <f t="shared" si="1596"/>
        <v>12.3</v>
      </c>
      <c r="G4673" s="429">
        <v>12.3</v>
      </c>
      <c r="H4673" s="303">
        <f t="shared" si="1602"/>
        <v>9.84</v>
      </c>
      <c r="I4673" s="572"/>
      <c r="J4673" s="549" t="s">
        <v>5804</v>
      </c>
      <c r="K4673" s="11"/>
      <c r="L4673" s="102"/>
      <c r="M4673" s="265"/>
      <c r="O4673" s="259"/>
      <c r="V4673" s="92"/>
      <c r="W4673" s="111"/>
      <c r="X4673" s="92"/>
    </row>
    <row r="4674" spans="1:24" x14ac:dyDescent="0.35">
      <c r="A4674" s="502" t="str">
        <f>"SgK3223--"&amp;RIGHT(A4673,5)</f>
        <v>SgK3223--Sep13</v>
      </c>
      <c r="B4674" s="301" t="s">
        <v>5434</v>
      </c>
      <c r="C4674" s="301" t="str">
        <f t="shared" si="1595"/>
        <v>Inbetriebnahme 09/2013</v>
      </c>
      <c r="D4674" s="301" t="str">
        <f>$T$4638</f>
        <v>1 - 10 MW</v>
      </c>
      <c r="E4674" s="301"/>
      <c r="F4674" s="368">
        <f t="shared" si="1596"/>
        <v>10.06</v>
      </c>
      <c r="G4674" s="429">
        <v>10.06</v>
      </c>
      <c r="H4674" s="303">
        <f t="shared" si="1602"/>
        <v>8.0500000000000007</v>
      </c>
      <c r="I4674" s="572"/>
      <c r="J4674" s="549" t="s">
        <v>5804</v>
      </c>
      <c r="K4674" s="11"/>
      <c r="L4674" s="102"/>
      <c r="M4674" s="265"/>
      <c r="O4674" s="259"/>
      <c r="V4674" s="92"/>
      <c r="W4674" s="111"/>
      <c r="X4674" s="92"/>
    </row>
    <row r="4675" spans="1:24" x14ac:dyDescent="0.35">
      <c r="A4675" s="502" t="s">
        <v>4658</v>
      </c>
      <c r="B4675" s="301" t="s">
        <v>5434</v>
      </c>
      <c r="C4675" s="301" t="str">
        <f t="shared" si="1595"/>
        <v>Inbetriebnahme 10/2013</v>
      </c>
      <c r="D4675" s="301" t="str">
        <f>$Q$4638</f>
        <v>0 - 10 kW</v>
      </c>
      <c r="E4675" s="301"/>
      <c r="F4675" s="368">
        <f t="shared" si="1596"/>
        <v>14.27</v>
      </c>
      <c r="G4675" s="429">
        <v>14.27</v>
      </c>
      <c r="H4675" s="303">
        <f t="shared" si="1602"/>
        <v>11.42</v>
      </c>
      <c r="I4675" s="572"/>
      <c r="J4675" s="549" t="s">
        <v>5804</v>
      </c>
      <c r="K4675" s="11"/>
      <c r="L4675" s="102"/>
      <c r="M4675" s="265"/>
      <c r="O4675" s="259"/>
      <c r="V4675" s="92"/>
      <c r="W4675" s="111"/>
      <c r="X4675" s="92"/>
    </row>
    <row r="4676" spans="1:24" x14ac:dyDescent="0.35">
      <c r="A4676" s="502" t="str">
        <f>"SgK3221--"&amp;RIGHT(A4675,5)</f>
        <v>SgK3221--Okt13</v>
      </c>
      <c r="B4676" s="301" t="s">
        <v>5434</v>
      </c>
      <c r="C4676" s="301" t="str">
        <f t="shared" si="1595"/>
        <v>Inbetriebnahme 10/2013</v>
      </c>
      <c r="D4676" s="301" t="str">
        <f>$R$4638</f>
        <v>10 - 40 kW</v>
      </c>
      <c r="E4676" s="301"/>
      <c r="F4676" s="368">
        <f t="shared" si="1596"/>
        <v>13.54</v>
      </c>
      <c r="G4676" s="429">
        <v>13.54</v>
      </c>
      <c r="H4676" s="303">
        <f t="shared" si="1602"/>
        <v>10.83</v>
      </c>
      <c r="I4676" s="572"/>
      <c r="J4676" s="549" t="s">
        <v>5804</v>
      </c>
      <c r="K4676" s="11"/>
      <c r="L4676" s="102"/>
      <c r="M4676" s="265"/>
      <c r="O4676" s="259"/>
      <c r="V4676" s="92"/>
      <c r="W4676" s="111"/>
      <c r="X4676" s="92"/>
    </row>
    <row r="4677" spans="1:24" x14ac:dyDescent="0.35">
      <c r="A4677" s="502" t="str">
        <f>"SgK3222--"&amp;RIGHT(A4676,5)</f>
        <v>SgK3222--Okt13</v>
      </c>
      <c r="B4677" s="301" t="s">
        <v>5434</v>
      </c>
      <c r="C4677" s="301" t="str">
        <f t="shared" si="1595"/>
        <v>Inbetriebnahme 10/2013</v>
      </c>
      <c r="D4677" s="301" t="str">
        <f>$S$4638</f>
        <v>40 kW - 1 MW</v>
      </c>
      <c r="E4677" s="301"/>
      <c r="F4677" s="368">
        <f t="shared" si="1596"/>
        <v>12.08</v>
      </c>
      <c r="G4677" s="429">
        <v>12.08</v>
      </c>
      <c r="H4677" s="303">
        <f t="shared" si="1602"/>
        <v>9.66</v>
      </c>
      <c r="I4677" s="572"/>
      <c r="J4677" s="549" t="s">
        <v>5804</v>
      </c>
      <c r="K4677" s="11"/>
      <c r="L4677" s="102"/>
      <c r="M4677" s="265"/>
      <c r="O4677" s="259"/>
      <c r="P4677" s="92"/>
      <c r="V4677" s="92"/>
      <c r="W4677" s="111"/>
      <c r="X4677" s="92"/>
    </row>
    <row r="4678" spans="1:24" x14ac:dyDescent="0.35">
      <c r="A4678" s="502" t="str">
        <f>"SgK3223--"&amp;RIGHT(A4677,5)</f>
        <v>SgK3223--Okt13</v>
      </c>
      <c r="B4678" s="301" t="s">
        <v>5434</v>
      </c>
      <c r="C4678" s="301" t="str">
        <f t="shared" si="1595"/>
        <v>Inbetriebnahme 10/2013</v>
      </c>
      <c r="D4678" s="301" t="str">
        <f>$T$4638</f>
        <v>1 - 10 MW</v>
      </c>
      <c r="E4678" s="301"/>
      <c r="F4678" s="368">
        <f t="shared" si="1596"/>
        <v>9.8800000000000008</v>
      </c>
      <c r="G4678" s="429">
        <v>9.8800000000000008</v>
      </c>
      <c r="H4678" s="303">
        <f t="shared" si="1602"/>
        <v>7.9</v>
      </c>
      <c r="I4678" s="572"/>
      <c r="J4678" s="549" t="s">
        <v>5804</v>
      </c>
      <c r="K4678" s="11"/>
      <c r="L4678" s="102"/>
      <c r="M4678" s="265"/>
      <c r="O4678" s="259"/>
      <c r="P4678" s="92"/>
      <c r="V4678" s="92"/>
      <c r="W4678" s="111"/>
      <c r="X4678" s="92"/>
    </row>
    <row r="4679" spans="1:24" x14ac:dyDescent="0.35">
      <c r="A4679" s="502" t="s">
        <v>4659</v>
      </c>
      <c r="B4679" s="301" t="s">
        <v>5434</v>
      </c>
      <c r="C4679" s="301" t="str">
        <f t="shared" si="1595"/>
        <v>Inbetriebnahme 11/2013</v>
      </c>
      <c r="D4679" s="301" t="str">
        <f>$Q$4638</f>
        <v>0 - 10 kW</v>
      </c>
      <c r="E4679" s="301"/>
      <c r="F4679" s="368">
        <f t="shared" si="1596"/>
        <v>14.07</v>
      </c>
      <c r="G4679" s="429">
        <v>14.07</v>
      </c>
      <c r="H4679" s="303">
        <f t="shared" si="1602"/>
        <v>11.26</v>
      </c>
      <c r="I4679" s="572"/>
      <c r="J4679" s="549" t="s">
        <v>5804</v>
      </c>
      <c r="K4679" s="11"/>
      <c r="L4679" s="102"/>
      <c r="M4679" s="339"/>
      <c r="N4679" s="262"/>
      <c r="O4679" s="109"/>
      <c r="P4679" s="92"/>
      <c r="Q4679" s="92"/>
      <c r="R4679" s="92"/>
      <c r="S4679" s="92"/>
      <c r="T4679" s="92"/>
      <c r="V4679" s="92"/>
      <c r="W4679" s="111"/>
      <c r="X4679" s="92"/>
    </row>
    <row r="4680" spans="1:24" x14ac:dyDescent="0.35">
      <c r="A4680" s="502" t="str">
        <f>"SgK3221--"&amp;RIGHT(A4679,5)</f>
        <v>SgK3221--Nov13</v>
      </c>
      <c r="B4680" s="301" t="s">
        <v>5434</v>
      </c>
      <c r="C4680" s="301" t="str">
        <f t="shared" si="1595"/>
        <v>Inbetriebnahme 11/2013</v>
      </c>
      <c r="D4680" s="301" t="str">
        <f>$R$4638</f>
        <v>10 - 40 kW</v>
      </c>
      <c r="E4680" s="301"/>
      <c r="F4680" s="368">
        <f t="shared" si="1596"/>
        <v>13.35</v>
      </c>
      <c r="G4680" s="429">
        <v>13.35</v>
      </c>
      <c r="H4680" s="303">
        <f t="shared" si="1602"/>
        <v>10.68</v>
      </c>
      <c r="I4680" s="572"/>
      <c r="J4680" s="549" t="s">
        <v>5804</v>
      </c>
      <c r="K4680" s="11"/>
      <c r="L4680" s="102"/>
      <c r="M4680" s="339"/>
      <c r="N4680" s="262"/>
      <c r="O4680" s="259"/>
      <c r="P4680" s="92"/>
    </row>
    <row r="4681" spans="1:24" x14ac:dyDescent="0.35">
      <c r="A4681" s="502" t="str">
        <f>"SgK3222--"&amp;RIGHT(A4680,5)</f>
        <v>SgK3222--Nov13</v>
      </c>
      <c r="B4681" s="301" t="s">
        <v>5434</v>
      </c>
      <c r="C4681" s="301" t="str">
        <f t="shared" si="1595"/>
        <v>Inbetriebnahme 11/2013</v>
      </c>
      <c r="D4681" s="301" t="str">
        <f>$S$4638</f>
        <v>40 kW - 1 MW</v>
      </c>
      <c r="E4681" s="301"/>
      <c r="F4681" s="368">
        <f t="shared" si="1596"/>
        <v>11.91</v>
      </c>
      <c r="G4681" s="429">
        <v>11.91</v>
      </c>
      <c r="H4681" s="303">
        <f t="shared" si="1602"/>
        <v>9.5299999999999994</v>
      </c>
      <c r="I4681" s="572"/>
      <c r="J4681" s="549" t="s">
        <v>5804</v>
      </c>
      <c r="K4681" s="11"/>
      <c r="L4681" s="102"/>
      <c r="M4681" s="339"/>
      <c r="N4681" s="262"/>
      <c r="O4681" s="259"/>
      <c r="P4681" s="92"/>
      <c r="U4681" s="92"/>
      <c r="V4681" s="92"/>
      <c r="W4681" s="111"/>
      <c r="X4681" s="92"/>
    </row>
    <row r="4682" spans="1:24" x14ac:dyDescent="0.35">
      <c r="A4682" s="502" t="str">
        <f>"SgK3223--"&amp;RIGHT(A4681,5)</f>
        <v>SgK3223--Nov13</v>
      </c>
      <c r="B4682" s="301" t="s">
        <v>5434</v>
      </c>
      <c r="C4682" s="301" t="str">
        <f t="shared" si="1595"/>
        <v>Inbetriebnahme 11/2013</v>
      </c>
      <c r="D4682" s="301" t="str">
        <f>$T$4638</f>
        <v>1 - 10 MW</v>
      </c>
      <c r="E4682" s="301"/>
      <c r="F4682" s="368">
        <f t="shared" si="1596"/>
        <v>9.74</v>
      </c>
      <c r="G4682" s="429">
        <v>9.74</v>
      </c>
      <c r="H4682" s="303">
        <f t="shared" si="1602"/>
        <v>7.79</v>
      </c>
      <c r="I4682" s="572"/>
      <c r="J4682" s="549" t="s">
        <v>5804</v>
      </c>
      <c r="K4682" s="11"/>
      <c r="L4682" s="102"/>
      <c r="M4682" s="339"/>
      <c r="N4682" s="262"/>
      <c r="O4682" s="109"/>
      <c r="P4682" s="92"/>
      <c r="Q4682" s="92"/>
      <c r="R4682" s="92"/>
      <c r="S4682" s="92"/>
      <c r="T4682" s="92"/>
      <c r="V4682" s="92"/>
      <c r="W4682" s="111"/>
      <c r="X4682" s="92"/>
    </row>
    <row r="4683" spans="1:24" x14ac:dyDescent="0.35">
      <c r="A4683" s="502" t="s">
        <v>4660</v>
      </c>
      <c r="B4683" s="301" t="s">
        <v>5434</v>
      </c>
      <c r="C4683" s="301" t="str">
        <f t="shared" si="1595"/>
        <v>Inbetriebnahme 12/2013</v>
      </c>
      <c r="D4683" s="301" t="str">
        <f>$Q$4638</f>
        <v>0 - 10 kW</v>
      </c>
      <c r="E4683" s="301"/>
      <c r="F4683" s="368">
        <f t="shared" si="1596"/>
        <v>13.88</v>
      </c>
      <c r="G4683" s="429">
        <v>13.88</v>
      </c>
      <c r="H4683" s="303">
        <f t="shared" si="1602"/>
        <v>11.1</v>
      </c>
      <c r="I4683" s="572"/>
      <c r="J4683" s="549" t="s">
        <v>5804</v>
      </c>
      <c r="K4683" s="11"/>
      <c r="L4683" s="102"/>
      <c r="M4683" s="339"/>
      <c r="N4683" s="262"/>
      <c r="O4683" s="109"/>
      <c r="P4683" s="92"/>
      <c r="Q4683" s="92"/>
      <c r="R4683" s="92"/>
      <c r="S4683" s="92"/>
      <c r="T4683" s="92"/>
    </row>
    <row r="4684" spans="1:24" x14ac:dyDescent="0.35">
      <c r="A4684" s="502" t="str">
        <f>"SgK3221--"&amp;RIGHT(A4683,5)</f>
        <v>SgK3221--Dez13</v>
      </c>
      <c r="B4684" s="301" t="s">
        <v>5434</v>
      </c>
      <c r="C4684" s="301" t="str">
        <f t="shared" si="1595"/>
        <v>Inbetriebnahme 12/2013</v>
      </c>
      <c r="D4684" s="301" t="str">
        <f>$R$4638</f>
        <v>10 - 40 kW</v>
      </c>
      <c r="E4684" s="301"/>
      <c r="F4684" s="368">
        <f t="shared" si="1596"/>
        <v>13.17</v>
      </c>
      <c r="G4684" s="429">
        <v>13.17</v>
      </c>
      <c r="H4684" s="303">
        <f t="shared" si="1602"/>
        <v>10.54</v>
      </c>
      <c r="I4684" s="572"/>
      <c r="J4684" s="549" t="s">
        <v>5804</v>
      </c>
      <c r="K4684" s="11"/>
      <c r="L4684" s="102"/>
      <c r="M4684" s="339"/>
      <c r="N4684" s="262"/>
      <c r="O4684" s="259"/>
      <c r="P4684" s="92"/>
      <c r="U4684" s="92"/>
      <c r="V4684" s="92"/>
      <c r="W4684" s="111"/>
      <c r="X4684" s="92"/>
    </row>
    <row r="4685" spans="1:24" x14ac:dyDescent="0.35">
      <c r="A4685" s="502" t="str">
        <f>"SgK3222--"&amp;RIGHT(A4684,5)</f>
        <v>SgK3222--Dez13</v>
      </c>
      <c r="B4685" s="301" t="s">
        <v>5434</v>
      </c>
      <c r="C4685" s="301" t="str">
        <f t="shared" si="1595"/>
        <v>Inbetriebnahme 12/2013</v>
      </c>
      <c r="D4685" s="301" t="str">
        <f>$S$4638</f>
        <v>40 kW - 1 MW</v>
      </c>
      <c r="E4685" s="301"/>
      <c r="F4685" s="368">
        <f t="shared" si="1596"/>
        <v>11.74</v>
      </c>
      <c r="G4685" s="429">
        <v>11.74</v>
      </c>
      <c r="H4685" s="303">
        <f t="shared" si="1602"/>
        <v>9.39</v>
      </c>
      <c r="I4685" s="572"/>
      <c r="J4685" s="549" t="s">
        <v>5804</v>
      </c>
      <c r="K4685" s="11"/>
      <c r="L4685" s="102"/>
      <c r="M4685" s="339"/>
      <c r="N4685" s="262"/>
      <c r="U4685" s="92"/>
      <c r="V4685" s="92"/>
      <c r="W4685" s="111"/>
      <c r="X4685" s="92"/>
    </row>
    <row r="4686" spans="1:24" x14ac:dyDescent="0.35">
      <c r="A4686" s="502" t="str">
        <f>"SgK3223--"&amp;RIGHT(A4685,5)</f>
        <v>SgK3223--Dez13</v>
      </c>
      <c r="B4686" s="301" t="s">
        <v>5434</v>
      </c>
      <c r="C4686" s="301" t="str">
        <f t="shared" si="1595"/>
        <v>Inbetriebnahme 12/2013</v>
      </c>
      <c r="D4686" s="301" t="str">
        <f>$T$4638</f>
        <v>1 - 10 MW</v>
      </c>
      <c r="E4686" s="301"/>
      <c r="F4686" s="368">
        <f t="shared" si="1596"/>
        <v>9.61</v>
      </c>
      <c r="G4686" s="429">
        <v>9.61</v>
      </c>
      <c r="H4686" s="303">
        <f t="shared" si="1602"/>
        <v>7.69</v>
      </c>
      <c r="I4686" s="572"/>
      <c r="J4686" s="549" t="s">
        <v>5804</v>
      </c>
      <c r="K4686" s="11"/>
      <c r="M4686" s="339"/>
      <c r="N4686" s="262"/>
    </row>
    <row r="4687" spans="1:24" x14ac:dyDescent="0.35">
      <c r="A4687" s="203"/>
      <c r="D4687" s="103"/>
      <c r="G4687" s="435"/>
      <c r="H4687" s="11" t="str">
        <f t="shared" si="1602"/>
        <v/>
      </c>
      <c r="J4687" s="549" t="s">
        <v>4179</v>
      </c>
      <c r="K4687" s="11"/>
      <c r="M4687">
        <v>2014</v>
      </c>
      <c r="O4687" s="109" t="s">
        <v>3901</v>
      </c>
      <c r="P4687" t="s">
        <v>3902</v>
      </c>
      <c r="Q4687" t="s">
        <v>3918</v>
      </c>
      <c r="R4687" t="s">
        <v>3919</v>
      </c>
      <c r="S4687" t="s">
        <v>3920</v>
      </c>
      <c r="T4687" t="s">
        <v>3921</v>
      </c>
    </row>
    <row r="4688" spans="1:24" x14ac:dyDescent="0.35">
      <c r="A4688" s="502" t="s">
        <v>1695</v>
      </c>
      <c r="B4688" s="301" t="s">
        <v>5434</v>
      </c>
      <c r="C4688" s="301" t="str">
        <f t="shared" ref="C4688:C4715" si="1603">"Inbetriebnahme "&amp;TEXT(DATEVALUE(RIGHT(A4688,5)),"MM/JJJJ")</f>
        <v>Inbetriebnahme 01/2014</v>
      </c>
      <c r="D4688" s="301" t="str">
        <f>$Q$4687</f>
        <v>0 - 10 kW</v>
      </c>
      <c r="E4688" s="301"/>
      <c r="F4688" s="368">
        <f t="shared" ref="F4688:F4715" si="1604">IF(HLOOKUP(D4688,$Q$4638:$T$4715,MATCH(RIGHT($A4688,5),$O$4638:$O$4715,0),FALSE)&lt;&gt;"",ROUND(HLOOKUP(D4688,$Q$4638:$T$4715,MATCH(RIGHT($A4688,5),$O$4638:$O$4715,0),FALSE),2),"")</f>
        <v>13.68</v>
      </c>
      <c r="G4688" s="429">
        <v>13.68</v>
      </c>
      <c r="H4688" s="303">
        <f t="shared" si="1602"/>
        <v>10.94</v>
      </c>
      <c r="I4688" s="572"/>
      <c r="J4688" s="549" t="s">
        <v>5804</v>
      </c>
      <c r="K4688" s="11"/>
      <c r="M4688" s="339"/>
      <c r="O4688" s="259" t="s">
        <v>1683</v>
      </c>
      <c r="P4688" s="277">
        <v>1.4E-2</v>
      </c>
      <c r="Q4688" s="261">
        <f>IF($P4688&lt;&gt;"",Q4650*(100%-$P4688),"")</f>
        <v>13.682827819023078</v>
      </c>
      <c r="R4688" s="261">
        <f>IF($P4688&lt;&gt;"",R4650*(100%-$P4688),"")</f>
        <v>12.981144341124457</v>
      </c>
      <c r="S4688" s="261">
        <f>IF($P4688&lt;&gt;"",S4650*(100%-$P4688),"")</f>
        <v>11.577777385327217</v>
      </c>
      <c r="T4688" s="261">
        <f>IF($P4688&lt;&gt;"",T4650*(100%-$P4688),"")</f>
        <v>9.4727269516313601</v>
      </c>
    </row>
    <row r="4689" spans="1:20" x14ac:dyDescent="0.35">
      <c r="A4689" s="502" t="str">
        <f>"SgK3221--"&amp;RIGHT(A4688,5)</f>
        <v>SgK3221--Jan14</v>
      </c>
      <c r="B4689" s="301" t="s">
        <v>5434</v>
      </c>
      <c r="C4689" s="301" t="str">
        <f t="shared" si="1603"/>
        <v>Inbetriebnahme 01/2014</v>
      </c>
      <c r="D4689" s="301" t="str">
        <f>$R$4687</f>
        <v>10 - 40 kW</v>
      </c>
      <c r="E4689" s="301"/>
      <c r="F4689" s="368">
        <f t="shared" si="1604"/>
        <v>12.98</v>
      </c>
      <c r="G4689" s="429">
        <v>12.98</v>
      </c>
      <c r="H4689" s="303">
        <f t="shared" si="1602"/>
        <v>10.38</v>
      </c>
      <c r="I4689" s="572"/>
      <c r="J4689" s="549" t="s">
        <v>5804</v>
      </c>
      <c r="K4689" s="11"/>
      <c r="M4689" s="339"/>
      <c r="O4689" s="266" t="str">
        <f t="shared" ref="O4689:O4699" si="1605">TEXT(DATE(YEAR(DATEVALUE(O4688)),MONTH(DATEVALUE(O4688))+1,1),"MMMJJ")</f>
        <v>Feb14</v>
      </c>
      <c r="P4689" s="277">
        <v>0.01</v>
      </c>
      <c r="Q4689" s="261">
        <f t="shared" ref="Q4689:Q4699" si="1606">IF($P4689&lt;&gt;"",Q4688*(100%-$P4689),"")</f>
        <v>13.545999540832847</v>
      </c>
      <c r="R4689" s="261">
        <f t="shared" ref="R4689:R4699" si="1607">IF($P4689&lt;&gt;"",R4688*(100%-$P4689),"")</f>
        <v>12.851332897713213</v>
      </c>
      <c r="S4689" s="261">
        <f t="shared" ref="S4689:S4699" si="1608">IF($P4689&lt;&gt;"",S4688*(100%-$P4689),"")</f>
        <v>11.461999611473944</v>
      </c>
      <c r="T4689" s="261">
        <f t="shared" ref="T4689:T4699" si="1609">IF($P4689&lt;&gt;"",T4688*(100%-$P4689),"")</f>
        <v>9.3779996821150462</v>
      </c>
    </row>
    <row r="4690" spans="1:20" x14ac:dyDescent="0.35">
      <c r="A4690" s="502" t="str">
        <f>"SgK3222--"&amp;RIGHT(A4689,5)</f>
        <v>SgK3222--Jan14</v>
      </c>
      <c r="B4690" s="301" t="s">
        <v>5434</v>
      </c>
      <c r="C4690" s="301" t="str">
        <f t="shared" si="1603"/>
        <v>Inbetriebnahme 01/2014</v>
      </c>
      <c r="D4690" s="301" t="str">
        <f>$S$4687</f>
        <v>40 kW - 1 MW</v>
      </c>
      <c r="E4690" s="301"/>
      <c r="F4690" s="368">
        <f t="shared" si="1604"/>
        <v>11.58</v>
      </c>
      <c r="G4690" s="429">
        <v>11.58</v>
      </c>
      <c r="H4690" s="303">
        <f t="shared" si="1602"/>
        <v>9.26</v>
      </c>
      <c r="I4690" s="572"/>
      <c r="J4690" s="549" t="s">
        <v>5804</v>
      </c>
      <c r="K4690" s="11"/>
      <c r="M4690" s="339"/>
      <c r="O4690" s="266" t="str">
        <f t="shared" si="1605"/>
        <v>Mrz14</v>
      </c>
      <c r="P4690" s="277">
        <v>0.01</v>
      </c>
      <c r="Q4690" s="261">
        <f t="shared" si="1606"/>
        <v>13.410539545424518</v>
      </c>
      <c r="R4690" s="261">
        <f t="shared" si="1607"/>
        <v>12.722819568736082</v>
      </c>
      <c r="S4690" s="261">
        <f t="shared" si="1608"/>
        <v>11.347379615359204</v>
      </c>
      <c r="T4690" s="261">
        <f t="shared" si="1609"/>
        <v>9.2842196852938965</v>
      </c>
    </row>
    <row r="4691" spans="1:20" x14ac:dyDescent="0.35">
      <c r="A4691" s="502" t="str">
        <f>"SgK3223--"&amp;RIGHT(A4690,5)</f>
        <v>SgK3223--Jan14</v>
      </c>
      <c r="B4691" s="301" t="s">
        <v>5434</v>
      </c>
      <c r="C4691" s="301" t="str">
        <f t="shared" si="1603"/>
        <v>Inbetriebnahme 01/2014</v>
      </c>
      <c r="D4691" s="301" t="str">
        <f>$T$4687</f>
        <v>1 - 10 MW</v>
      </c>
      <c r="E4691" s="301"/>
      <c r="F4691" s="368">
        <f t="shared" si="1604"/>
        <v>9.4700000000000006</v>
      </c>
      <c r="G4691" s="429">
        <v>9.4700000000000006</v>
      </c>
      <c r="H4691" s="303">
        <f t="shared" si="1602"/>
        <v>7.58</v>
      </c>
      <c r="I4691" s="572"/>
      <c r="J4691" s="549" t="s">
        <v>5804</v>
      </c>
      <c r="K4691" s="11"/>
      <c r="M4691" s="339"/>
      <c r="O4691" s="266" t="str">
        <f t="shared" si="1605"/>
        <v>Apr14</v>
      </c>
      <c r="P4691" s="277">
        <v>0.01</v>
      </c>
      <c r="Q4691" s="261">
        <f t="shared" si="1606"/>
        <v>13.276434149970273</v>
      </c>
      <c r="R4691" s="261">
        <f t="shared" si="1607"/>
        <v>12.595591373048721</v>
      </c>
      <c r="S4691" s="261">
        <f t="shared" si="1608"/>
        <v>11.233905819205612</v>
      </c>
      <c r="T4691" s="261">
        <f t="shared" si="1609"/>
        <v>9.191377488440958</v>
      </c>
    </row>
    <row r="4692" spans="1:20" x14ac:dyDescent="0.35">
      <c r="A4692" s="502" t="s">
        <v>1696</v>
      </c>
      <c r="B4692" s="301" t="s">
        <v>5434</v>
      </c>
      <c r="C4692" s="301" t="str">
        <f t="shared" si="1603"/>
        <v>Inbetriebnahme 02/2014</v>
      </c>
      <c r="D4692" s="301" t="str">
        <f>$Q$4687</f>
        <v>0 - 10 kW</v>
      </c>
      <c r="E4692" s="301"/>
      <c r="F4692" s="368">
        <f t="shared" si="1604"/>
        <v>13.55</v>
      </c>
      <c r="G4692" s="429">
        <v>13.55</v>
      </c>
      <c r="H4692" s="303">
        <f t="shared" si="1602"/>
        <v>10.84</v>
      </c>
      <c r="I4692" s="572"/>
      <c r="J4692" s="549" t="s">
        <v>5804</v>
      </c>
      <c r="K4692" s="11"/>
      <c r="M4692" s="339"/>
      <c r="O4692" s="266" t="str">
        <f t="shared" si="1605"/>
        <v>Mai14</v>
      </c>
      <c r="P4692" s="260">
        <v>0.01</v>
      </c>
      <c r="Q4692" s="261">
        <f t="shared" si="1606"/>
        <v>13.14366980847057</v>
      </c>
      <c r="R4692" s="261">
        <f t="shared" si="1607"/>
        <v>12.469635459318233</v>
      </c>
      <c r="S4692" s="261">
        <f t="shared" si="1608"/>
        <v>11.121566761013556</v>
      </c>
      <c r="T4692" s="261">
        <f t="shared" si="1609"/>
        <v>9.099463713556549</v>
      </c>
    </row>
    <row r="4693" spans="1:20" x14ac:dyDescent="0.35">
      <c r="A4693" s="502" t="str">
        <f>"SgK3221--"&amp;RIGHT(A4692,5)</f>
        <v>SgK3221--Feb14</v>
      </c>
      <c r="B4693" s="301" t="s">
        <v>5434</v>
      </c>
      <c r="C4693" s="301" t="str">
        <f t="shared" si="1603"/>
        <v>Inbetriebnahme 02/2014</v>
      </c>
      <c r="D4693" s="301" t="str">
        <f>$R$4687</f>
        <v>10 - 40 kW</v>
      </c>
      <c r="E4693" s="301"/>
      <c r="F4693" s="368">
        <f t="shared" si="1604"/>
        <v>12.85</v>
      </c>
      <c r="G4693" s="429">
        <v>12.85</v>
      </c>
      <c r="H4693" s="303">
        <f t="shared" si="1602"/>
        <v>10.28</v>
      </c>
      <c r="I4693" s="572"/>
      <c r="J4693" s="549" t="s">
        <v>5804</v>
      </c>
      <c r="K4693" s="11"/>
      <c r="M4693" s="339"/>
      <c r="O4693" s="266" t="str">
        <f t="shared" si="1605"/>
        <v>Jun14</v>
      </c>
      <c r="P4693" s="260">
        <v>0.01</v>
      </c>
      <c r="Q4693" s="261">
        <f t="shared" si="1606"/>
        <v>13.012233110385864</v>
      </c>
      <c r="R4693" s="261">
        <f t="shared" si="1607"/>
        <v>12.344939104725052</v>
      </c>
      <c r="S4693" s="261">
        <f t="shared" si="1608"/>
        <v>11.01035109340342</v>
      </c>
      <c r="T4693" s="261">
        <f t="shared" si="1609"/>
        <v>9.0084690764209832</v>
      </c>
    </row>
    <row r="4694" spans="1:20" x14ac:dyDescent="0.35">
      <c r="A4694" s="502" t="str">
        <f>"SgK3222--"&amp;RIGHT(A4693,5)</f>
        <v>SgK3222--Feb14</v>
      </c>
      <c r="B4694" s="301" t="s">
        <v>5434</v>
      </c>
      <c r="C4694" s="301" t="str">
        <f t="shared" si="1603"/>
        <v>Inbetriebnahme 02/2014</v>
      </c>
      <c r="D4694" s="301" t="str">
        <f>$S$4687</f>
        <v>40 kW - 1 MW</v>
      </c>
      <c r="E4694" s="301"/>
      <c r="F4694" s="368">
        <f t="shared" si="1604"/>
        <v>11.46</v>
      </c>
      <c r="G4694" s="429">
        <v>11.46</v>
      </c>
      <c r="H4694" s="303">
        <f t="shared" si="1602"/>
        <v>9.17</v>
      </c>
      <c r="I4694" s="572"/>
      <c r="J4694" s="549" t="s">
        <v>5804</v>
      </c>
      <c r="K4694" s="11"/>
      <c r="M4694" s="339"/>
      <c r="O4694" s="266" t="str">
        <f t="shared" si="1605"/>
        <v>Jul14</v>
      </c>
      <c r="P4694" s="260">
        <v>0.01</v>
      </c>
      <c r="Q4694" s="261">
        <f t="shared" si="1606"/>
        <v>12.882110779282005</v>
      </c>
      <c r="R4694" s="261">
        <f t="shared" si="1607"/>
        <v>12.221489713677801</v>
      </c>
      <c r="S4694" s="261">
        <f t="shared" si="1608"/>
        <v>10.900247582469385</v>
      </c>
      <c r="T4694" s="261">
        <f t="shared" si="1609"/>
        <v>8.9183843856567737</v>
      </c>
    </row>
    <row r="4695" spans="1:20" x14ac:dyDescent="0.35">
      <c r="A4695" s="502" t="str">
        <f>"SgK3223--"&amp;RIGHT(A4694,5)</f>
        <v>SgK3223--Feb14</v>
      </c>
      <c r="B4695" s="301" t="s">
        <v>5434</v>
      </c>
      <c r="C4695" s="301" t="str">
        <f t="shared" si="1603"/>
        <v>Inbetriebnahme 02/2014</v>
      </c>
      <c r="D4695" s="301" t="str">
        <f>$T$4687</f>
        <v>1 - 10 MW</v>
      </c>
      <c r="E4695" s="301"/>
      <c r="F4695" s="368">
        <f t="shared" si="1604"/>
        <v>9.3800000000000008</v>
      </c>
      <c r="G4695" s="429">
        <v>9.3800000000000008</v>
      </c>
      <c r="H4695" s="303">
        <f t="shared" si="1602"/>
        <v>7.5</v>
      </c>
      <c r="I4695" s="572"/>
      <c r="J4695" s="549" t="s">
        <v>5804</v>
      </c>
      <c r="K4695" s="11"/>
      <c r="M4695" s="339"/>
      <c r="O4695" s="266" t="str">
        <f t="shared" si="1605"/>
        <v>Aug14</v>
      </c>
      <c r="P4695" s="260"/>
      <c r="Q4695" s="261" t="str">
        <f t="shared" si="1606"/>
        <v/>
      </c>
      <c r="R4695" s="261" t="str">
        <f t="shared" si="1607"/>
        <v/>
      </c>
      <c r="S4695" s="261" t="str">
        <f t="shared" si="1608"/>
        <v/>
      </c>
      <c r="T4695" s="261" t="str">
        <f t="shared" si="1609"/>
        <v/>
      </c>
    </row>
    <row r="4696" spans="1:20" x14ac:dyDescent="0.35">
      <c r="A4696" s="502" t="s">
        <v>1697</v>
      </c>
      <c r="B4696" s="301" t="s">
        <v>5434</v>
      </c>
      <c r="C4696" s="301" t="str">
        <f t="shared" si="1603"/>
        <v>Inbetriebnahme 03/2014</v>
      </c>
      <c r="D4696" s="301" t="str">
        <f>$Q$4687</f>
        <v>0 - 10 kW</v>
      </c>
      <c r="E4696" s="301"/>
      <c r="F4696" s="368">
        <f t="shared" si="1604"/>
        <v>13.41</v>
      </c>
      <c r="G4696" s="429">
        <v>13.41</v>
      </c>
      <c r="H4696" s="303">
        <f t="shared" si="1602"/>
        <v>10.73</v>
      </c>
      <c r="I4696" s="572"/>
      <c r="J4696" s="549" t="s">
        <v>5804</v>
      </c>
      <c r="K4696" s="11"/>
      <c r="M4696" s="339"/>
      <c r="O4696" s="266" t="str">
        <f t="shared" si="1605"/>
        <v>Sep14</v>
      </c>
      <c r="P4696" s="260"/>
      <c r="Q4696" s="261" t="str">
        <f t="shared" si="1606"/>
        <v/>
      </c>
      <c r="R4696" s="261" t="str">
        <f t="shared" si="1607"/>
        <v/>
      </c>
      <c r="S4696" s="261" t="str">
        <f t="shared" si="1608"/>
        <v/>
      </c>
      <c r="T4696" s="261" t="str">
        <f t="shared" si="1609"/>
        <v/>
      </c>
    </row>
    <row r="4697" spans="1:20" x14ac:dyDescent="0.35">
      <c r="A4697" s="502" t="str">
        <f>"SgK3221--"&amp;RIGHT(A4696,5)</f>
        <v>SgK3221--Mrz14</v>
      </c>
      <c r="B4697" s="301" t="s">
        <v>5434</v>
      </c>
      <c r="C4697" s="301" t="str">
        <f t="shared" si="1603"/>
        <v>Inbetriebnahme 03/2014</v>
      </c>
      <c r="D4697" s="301" t="str">
        <f>$R$4687</f>
        <v>10 - 40 kW</v>
      </c>
      <c r="E4697" s="301"/>
      <c r="F4697" s="368">
        <f t="shared" si="1604"/>
        <v>12.72</v>
      </c>
      <c r="G4697" s="429">
        <v>12.72</v>
      </c>
      <c r="H4697" s="303">
        <f t="shared" si="1602"/>
        <v>10.18</v>
      </c>
      <c r="I4697" s="572"/>
      <c r="J4697" s="549" t="s">
        <v>5804</v>
      </c>
      <c r="K4697" s="11"/>
      <c r="M4697" s="339"/>
      <c r="O4697" s="266" t="str">
        <f t="shared" si="1605"/>
        <v>Okt14</v>
      </c>
      <c r="P4697" s="260"/>
      <c r="Q4697" s="261" t="str">
        <f t="shared" si="1606"/>
        <v/>
      </c>
      <c r="R4697" s="261" t="str">
        <f t="shared" si="1607"/>
        <v/>
      </c>
      <c r="S4697" s="261" t="str">
        <f t="shared" si="1608"/>
        <v/>
      </c>
      <c r="T4697" s="261" t="str">
        <f t="shared" si="1609"/>
        <v/>
      </c>
    </row>
    <row r="4698" spans="1:20" x14ac:dyDescent="0.35">
      <c r="A4698" s="502" t="str">
        <f>"SgK3222--"&amp;RIGHT(A4697,5)</f>
        <v>SgK3222--Mrz14</v>
      </c>
      <c r="B4698" s="301" t="s">
        <v>5434</v>
      </c>
      <c r="C4698" s="301" t="str">
        <f t="shared" si="1603"/>
        <v>Inbetriebnahme 03/2014</v>
      </c>
      <c r="D4698" s="301" t="str">
        <f>$S$4687</f>
        <v>40 kW - 1 MW</v>
      </c>
      <c r="E4698" s="301"/>
      <c r="F4698" s="368">
        <f t="shared" si="1604"/>
        <v>11.35</v>
      </c>
      <c r="G4698" s="429">
        <v>11.35</v>
      </c>
      <c r="H4698" s="303">
        <f t="shared" si="1602"/>
        <v>9.08</v>
      </c>
      <c r="I4698" s="572"/>
      <c r="J4698" s="549" t="s">
        <v>5804</v>
      </c>
      <c r="K4698" s="11"/>
      <c r="M4698" s="339"/>
      <c r="O4698" s="266" t="str">
        <f t="shared" si="1605"/>
        <v>Nov14</v>
      </c>
      <c r="P4698" s="260"/>
      <c r="Q4698" s="261" t="str">
        <f t="shared" si="1606"/>
        <v/>
      </c>
      <c r="R4698" s="261" t="str">
        <f t="shared" si="1607"/>
        <v/>
      </c>
      <c r="S4698" s="261" t="str">
        <f t="shared" si="1608"/>
        <v/>
      </c>
      <c r="T4698" s="261" t="str">
        <f t="shared" si="1609"/>
        <v/>
      </c>
    </row>
    <row r="4699" spans="1:20" x14ac:dyDescent="0.35">
      <c r="A4699" s="502" t="str">
        <f>"SgK3223--"&amp;RIGHT(A4698,5)</f>
        <v>SgK3223--Mrz14</v>
      </c>
      <c r="B4699" s="301" t="s">
        <v>5434</v>
      </c>
      <c r="C4699" s="301" t="str">
        <f t="shared" si="1603"/>
        <v>Inbetriebnahme 03/2014</v>
      </c>
      <c r="D4699" s="301" t="str">
        <f>$T$4687</f>
        <v>1 - 10 MW</v>
      </c>
      <c r="E4699" s="301"/>
      <c r="F4699" s="368">
        <f t="shared" si="1604"/>
        <v>9.2799999999999994</v>
      </c>
      <c r="G4699" s="429">
        <v>9.2799999999999994</v>
      </c>
      <c r="H4699" s="303">
        <f t="shared" si="1602"/>
        <v>7.42</v>
      </c>
      <c r="I4699" s="572"/>
      <c r="J4699" s="549" t="s">
        <v>5804</v>
      </c>
      <c r="K4699" s="11"/>
      <c r="M4699" s="339"/>
      <c r="O4699" s="266" t="str">
        <f t="shared" si="1605"/>
        <v>Dez14</v>
      </c>
      <c r="P4699" s="260"/>
      <c r="Q4699" s="261" t="str">
        <f t="shared" si="1606"/>
        <v/>
      </c>
      <c r="R4699" s="261" t="str">
        <f t="shared" si="1607"/>
        <v/>
      </c>
      <c r="S4699" s="261" t="str">
        <f t="shared" si="1608"/>
        <v/>
      </c>
      <c r="T4699" s="261" t="str">
        <f t="shared" si="1609"/>
        <v/>
      </c>
    </row>
    <row r="4700" spans="1:20" x14ac:dyDescent="0.35">
      <c r="A4700" s="502" t="s">
        <v>1698</v>
      </c>
      <c r="B4700" s="301" t="s">
        <v>5434</v>
      </c>
      <c r="C4700" s="301" t="str">
        <f t="shared" si="1603"/>
        <v>Inbetriebnahme 04/2014</v>
      </c>
      <c r="D4700" s="301" t="str">
        <f>$Q$4687</f>
        <v>0 - 10 kW</v>
      </c>
      <c r="E4700" s="301"/>
      <c r="F4700" s="368">
        <f t="shared" si="1604"/>
        <v>13.28</v>
      </c>
      <c r="G4700" s="429">
        <v>13.28</v>
      </c>
      <c r="H4700" s="303">
        <f t="shared" si="1602"/>
        <v>10.62</v>
      </c>
      <c r="I4700" s="572"/>
      <c r="J4700" s="549" t="s">
        <v>5804</v>
      </c>
      <c r="K4700" s="11"/>
      <c r="M4700" s="339"/>
      <c r="N4700" s="108"/>
      <c r="O4700" s="259"/>
      <c r="P4700" s="260"/>
      <c r="Q4700" s="261"/>
      <c r="R4700" s="261"/>
      <c r="S4700" s="261"/>
      <c r="T4700" s="261"/>
    </row>
    <row r="4701" spans="1:20" x14ac:dyDescent="0.35">
      <c r="A4701" s="502" t="str">
        <f>"SgK3221--"&amp;RIGHT(A4700,5)</f>
        <v>SgK3221--Apr14</v>
      </c>
      <c r="B4701" s="301" t="s">
        <v>5434</v>
      </c>
      <c r="C4701" s="301" t="str">
        <f t="shared" si="1603"/>
        <v>Inbetriebnahme 04/2014</v>
      </c>
      <c r="D4701" s="301" t="str">
        <f>$R$4687</f>
        <v>10 - 40 kW</v>
      </c>
      <c r="E4701" s="301"/>
      <c r="F4701" s="368">
        <f t="shared" si="1604"/>
        <v>12.6</v>
      </c>
      <c r="G4701" s="429">
        <v>12.6</v>
      </c>
      <c r="H4701" s="303">
        <f t="shared" si="1602"/>
        <v>10.08</v>
      </c>
      <c r="I4701" s="572"/>
      <c r="J4701" s="549" t="s">
        <v>5804</v>
      </c>
      <c r="K4701" s="11"/>
      <c r="M4701" s="339"/>
      <c r="N4701" s="108"/>
      <c r="O4701" s="266"/>
      <c r="P4701" s="260"/>
      <c r="Q4701" s="261"/>
      <c r="R4701" s="261"/>
      <c r="S4701" s="261"/>
      <c r="T4701" s="261"/>
    </row>
    <row r="4702" spans="1:20" x14ac:dyDescent="0.35">
      <c r="A4702" s="502" t="str">
        <f>"SgK3222--"&amp;RIGHT(A4701,5)</f>
        <v>SgK3222--Apr14</v>
      </c>
      <c r="B4702" s="301" t="s">
        <v>5434</v>
      </c>
      <c r="C4702" s="301" t="str">
        <f t="shared" si="1603"/>
        <v>Inbetriebnahme 04/2014</v>
      </c>
      <c r="D4702" s="301" t="str">
        <f>$S$4687</f>
        <v>40 kW - 1 MW</v>
      </c>
      <c r="E4702" s="301"/>
      <c r="F4702" s="368">
        <f t="shared" si="1604"/>
        <v>11.23</v>
      </c>
      <c r="G4702" s="429">
        <v>11.23</v>
      </c>
      <c r="H4702" s="303">
        <f t="shared" si="1602"/>
        <v>8.98</v>
      </c>
      <c r="I4702" s="572"/>
      <c r="J4702" s="549" t="s">
        <v>5804</v>
      </c>
      <c r="K4702" s="11"/>
      <c r="M4702" s="339"/>
      <c r="N4702" s="108"/>
      <c r="O4702" s="266"/>
      <c r="P4702" s="260"/>
      <c r="Q4702" s="261"/>
      <c r="R4702" s="261"/>
      <c r="S4702" s="261"/>
      <c r="T4702" s="261"/>
    </row>
    <row r="4703" spans="1:20" x14ac:dyDescent="0.35">
      <c r="A4703" s="502" t="str">
        <f>"SgK3223--"&amp;RIGHT(A4702,5)</f>
        <v>SgK3223--Apr14</v>
      </c>
      <c r="B4703" s="301" t="s">
        <v>5434</v>
      </c>
      <c r="C4703" s="301" t="str">
        <f t="shared" si="1603"/>
        <v>Inbetriebnahme 04/2014</v>
      </c>
      <c r="D4703" s="301" t="str">
        <f>$T$4687</f>
        <v>1 - 10 MW</v>
      </c>
      <c r="E4703" s="301"/>
      <c r="F4703" s="368">
        <f t="shared" si="1604"/>
        <v>9.19</v>
      </c>
      <c r="G4703" s="429">
        <v>9.19</v>
      </c>
      <c r="H4703" s="303">
        <f t="shared" si="1602"/>
        <v>7.35</v>
      </c>
      <c r="I4703" s="572"/>
      <c r="J4703" s="549" t="s">
        <v>5804</v>
      </c>
      <c r="K4703" s="11"/>
      <c r="L4703" s="102"/>
      <c r="M4703" s="339"/>
      <c r="N4703" s="108"/>
      <c r="O4703" s="266"/>
      <c r="P4703" s="260"/>
      <c r="Q4703" s="261"/>
      <c r="R4703" s="261"/>
      <c r="S4703" s="261"/>
      <c r="T4703" s="261"/>
    </row>
    <row r="4704" spans="1:20" x14ac:dyDescent="0.35">
      <c r="A4704" s="502" t="s">
        <v>1699</v>
      </c>
      <c r="B4704" s="301" t="s">
        <v>5434</v>
      </c>
      <c r="C4704" s="301" t="str">
        <f t="shared" si="1603"/>
        <v>Inbetriebnahme 05/2014</v>
      </c>
      <c r="D4704" s="301" t="str">
        <f>$Q$4687</f>
        <v>0 - 10 kW</v>
      </c>
      <c r="E4704" s="301"/>
      <c r="F4704" s="368">
        <f t="shared" si="1604"/>
        <v>13.14</v>
      </c>
      <c r="G4704" s="429">
        <v>13.14</v>
      </c>
      <c r="H4704" s="303">
        <f t="shared" si="1602"/>
        <v>10.51</v>
      </c>
      <c r="I4704" s="572"/>
      <c r="J4704" s="549" t="s">
        <v>5804</v>
      </c>
      <c r="K4704" s="11"/>
      <c r="L4704" s="102"/>
      <c r="M4704" s="339"/>
      <c r="N4704" s="108"/>
      <c r="O4704" s="266"/>
      <c r="P4704" s="260"/>
      <c r="Q4704" s="261"/>
      <c r="R4704" s="261"/>
      <c r="S4704" s="261"/>
      <c r="T4704" s="261"/>
    </row>
    <row r="4705" spans="1:29" x14ac:dyDescent="0.35">
      <c r="A4705" s="502" t="str">
        <f>"SgK3221--"&amp;RIGHT(A4704,5)</f>
        <v>SgK3221--Mai14</v>
      </c>
      <c r="B4705" s="301" t="s">
        <v>5434</v>
      </c>
      <c r="C4705" s="301" t="str">
        <f t="shared" si="1603"/>
        <v>Inbetriebnahme 05/2014</v>
      </c>
      <c r="D4705" s="301" t="str">
        <f>$R$4687</f>
        <v>10 - 40 kW</v>
      </c>
      <c r="E4705" s="301"/>
      <c r="F4705" s="368">
        <f t="shared" si="1604"/>
        <v>12.47</v>
      </c>
      <c r="G4705" s="429">
        <v>12.47</v>
      </c>
      <c r="H4705" s="303">
        <f t="shared" si="1602"/>
        <v>9.98</v>
      </c>
      <c r="I4705" s="572"/>
      <c r="J4705" s="549" t="s">
        <v>5804</v>
      </c>
      <c r="K4705" s="11"/>
      <c r="L4705" s="102"/>
      <c r="M4705" s="339"/>
      <c r="N4705" s="108"/>
      <c r="O4705" s="266"/>
      <c r="P4705" s="260"/>
      <c r="Q4705" s="261"/>
      <c r="R4705" s="261"/>
      <c r="S4705" s="261"/>
      <c r="T4705" s="261"/>
    </row>
    <row r="4706" spans="1:29" x14ac:dyDescent="0.35">
      <c r="A4706" s="502" t="str">
        <f>"SgK3222--"&amp;RIGHT(A4705,5)</f>
        <v>SgK3222--Mai14</v>
      </c>
      <c r="B4706" s="301" t="s">
        <v>5434</v>
      </c>
      <c r="C4706" s="301" t="str">
        <f t="shared" si="1603"/>
        <v>Inbetriebnahme 05/2014</v>
      </c>
      <c r="D4706" s="301" t="str">
        <f>$S$4687</f>
        <v>40 kW - 1 MW</v>
      </c>
      <c r="E4706" s="301"/>
      <c r="F4706" s="368">
        <f t="shared" si="1604"/>
        <v>11.12</v>
      </c>
      <c r="G4706" s="429">
        <v>11.12</v>
      </c>
      <c r="H4706" s="303">
        <f t="shared" si="1602"/>
        <v>8.9</v>
      </c>
      <c r="I4706" s="572"/>
      <c r="J4706" s="549" t="s">
        <v>5804</v>
      </c>
      <c r="K4706" s="11"/>
      <c r="L4706" s="102"/>
      <c r="M4706" s="339"/>
      <c r="N4706" s="108"/>
      <c r="O4706" s="266"/>
      <c r="P4706" s="260"/>
      <c r="Q4706" s="261"/>
      <c r="R4706" s="261"/>
      <c r="S4706" s="261"/>
      <c r="T4706" s="261"/>
    </row>
    <row r="4707" spans="1:29" x14ac:dyDescent="0.35">
      <c r="A4707" s="502" t="str">
        <f>"SgK3223--"&amp;RIGHT(A4706,5)</f>
        <v>SgK3223--Mai14</v>
      </c>
      <c r="B4707" s="301" t="s">
        <v>5434</v>
      </c>
      <c r="C4707" s="301" t="str">
        <f t="shared" si="1603"/>
        <v>Inbetriebnahme 05/2014</v>
      </c>
      <c r="D4707" s="301" t="str">
        <f>$T$4687</f>
        <v>1 - 10 MW</v>
      </c>
      <c r="E4707" s="301"/>
      <c r="F4707" s="368">
        <f t="shared" si="1604"/>
        <v>9.1</v>
      </c>
      <c r="G4707" s="429">
        <v>9.1</v>
      </c>
      <c r="H4707" s="303">
        <f t="shared" si="1602"/>
        <v>7.28</v>
      </c>
      <c r="I4707" s="572"/>
      <c r="J4707" s="549" t="s">
        <v>5804</v>
      </c>
      <c r="K4707" s="11"/>
      <c r="L4707" s="102"/>
      <c r="M4707" s="339"/>
      <c r="N4707" s="108"/>
      <c r="O4707" s="266"/>
      <c r="P4707" s="277"/>
      <c r="Q4707" s="261"/>
      <c r="R4707" s="261"/>
      <c r="S4707" s="261"/>
      <c r="T4707" s="261"/>
    </row>
    <row r="4708" spans="1:29" x14ac:dyDescent="0.35">
      <c r="A4708" s="502" t="s">
        <v>1700</v>
      </c>
      <c r="B4708" s="301" t="s">
        <v>5434</v>
      </c>
      <c r="C4708" s="301" t="str">
        <f t="shared" si="1603"/>
        <v>Inbetriebnahme 06/2014</v>
      </c>
      <c r="D4708" s="301" t="str">
        <f>$Q$4687</f>
        <v>0 - 10 kW</v>
      </c>
      <c r="E4708" s="301"/>
      <c r="F4708" s="368">
        <f t="shared" si="1604"/>
        <v>13.01</v>
      </c>
      <c r="G4708" s="429">
        <v>13.01</v>
      </c>
      <c r="H4708" s="303">
        <f t="shared" si="1602"/>
        <v>10.41</v>
      </c>
      <c r="I4708" s="572"/>
      <c r="J4708" s="549" t="s">
        <v>5804</v>
      </c>
      <c r="K4708" s="11"/>
      <c r="L4708" s="102"/>
      <c r="M4708" s="339"/>
      <c r="N4708" s="108"/>
      <c r="O4708" s="266"/>
      <c r="P4708" s="277"/>
      <c r="Q4708" s="261"/>
      <c r="R4708" s="261"/>
      <c r="S4708" s="261"/>
      <c r="T4708" s="261"/>
    </row>
    <row r="4709" spans="1:29" x14ac:dyDescent="0.35">
      <c r="A4709" s="502" t="str">
        <f>"SgK3221--"&amp;RIGHT(A4708,5)</f>
        <v>SgK3221--Jun14</v>
      </c>
      <c r="B4709" s="301" t="s">
        <v>5434</v>
      </c>
      <c r="C4709" s="301" t="str">
        <f t="shared" si="1603"/>
        <v>Inbetriebnahme 06/2014</v>
      </c>
      <c r="D4709" s="301" t="str">
        <f>$R$4687</f>
        <v>10 - 40 kW</v>
      </c>
      <c r="E4709" s="301"/>
      <c r="F4709" s="368">
        <f t="shared" si="1604"/>
        <v>12.34</v>
      </c>
      <c r="G4709" s="429">
        <v>12.34</v>
      </c>
      <c r="H4709" s="303">
        <f t="shared" si="1602"/>
        <v>9.8699999999999992</v>
      </c>
      <c r="I4709" s="572"/>
      <c r="J4709" s="549" t="s">
        <v>5804</v>
      </c>
      <c r="K4709" s="11"/>
      <c r="L4709" s="102"/>
      <c r="M4709" s="339"/>
      <c r="N4709" s="108"/>
      <c r="O4709" s="259"/>
    </row>
    <row r="4710" spans="1:29" x14ac:dyDescent="0.35">
      <c r="A4710" s="502" t="str">
        <f>"SgK3222--"&amp;RIGHT(A4709,5)</f>
        <v>SgK3222--Jun14</v>
      </c>
      <c r="B4710" s="301" t="s">
        <v>5434</v>
      </c>
      <c r="C4710" s="301" t="str">
        <f t="shared" si="1603"/>
        <v>Inbetriebnahme 06/2014</v>
      </c>
      <c r="D4710" s="301" t="str">
        <f>$S$4687</f>
        <v>40 kW - 1 MW</v>
      </c>
      <c r="E4710" s="301"/>
      <c r="F4710" s="368">
        <f t="shared" si="1604"/>
        <v>11.01</v>
      </c>
      <c r="G4710" s="429">
        <v>11.01</v>
      </c>
      <c r="H4710" s="303">
        <f t="shared" si="1602"/>
        <v>8.81</v>
      </c>
      <c r="I4710" s="572"/>
      <c r="J4710" s="549" t="s">
        <v>5804</v>
      </c>
      <c r="K4710" s="11"/>
      <c r="L4710" s="102"/>
      <c r="M4710" s="339"/>
      <c r="O4710" s="259"/>
    </row>
    <row r="4711" spans="1:29" x14ac:dyDescent="0.35">
      <c r="A4711" s="502" t="str">
        <f>"SgK3223--"&amp;RIGHT(A4710,5)</f>
        <v>SgK3223--Jun14</v>
      </c>
      <c r="B4711" s="301" t="s">
        <v>5434</v>
      </c>
      <c r="C4711" s="301" t="str">
        <f t="shared" si="1603"/>
        <v>Inbetriebnahme 06/2014</v>
      </c>
      <c r="D4711" s="301" t="str">
        <f>$T$4687</f>
        <v>1 - 10 MW</v>
      </c>
      <c r="E4711" s="301"/>
      <c r="F4711" s="368">
        <f t="shared" si="1604"/>
        <v>9.01</v>
      </c>
      <c r="G4711" s="429">
        <v>9.01</v>
      </c>
      <c r="H4711" s="303">
        <f t="shared" si="1602"/>
        <v>7.21</v>
      </c>
      <c r="I4711" s="572"/>
      <c r="J4711" s="549" t="s">
        <v>5804</v>
      </c>
      <c r="K4711" s="11"/>
      <c r="L4711" s="102"/>
      <c r="M4711" s="339"/>
      <c r="O4711" s="259"/>
    </row>
    <row r="4712" spans="1:29" x14ac:dyDescent="0.35">
      <c r="A4712" s="502" t="s">
        <v>1701</v>
      </c>
      <c r="B4712" s="301" t="s">
        <v>5434</v>
      </c>
      <c r="C4712" s="301" t="str">
        <f t="shared" si="1603"/>
        <v>Inbetriebnahme 07/2014</v>
      </c>
      <c r="D4712" s="301" t="str">
        <f>$Q$4687</f>
        <v>0 - 10 kW</v>
      </c>
      <c r="E4712" s="301"/>
      <c r="F4712" s="368">
        <f t="shared" si="1604"/>
        <v>12.88</v>
      </c>
      <c r="G4712" s="429">
        <v>12.88</v>
      </c>
      <c r="H4712" s="303">
        <f t="shared" si="1602"/>
        <v>10.3</v>
      </c>
      <c r="I4712" s="572"/>
      <c r="J4712" s="549" t="s">
        <v>5804</v>
      </c>
      <c r="K4712" s="11"/>
      <c r="L4712" s="102"/>
      <c r="M4712" s="339"/>
      <c r="O4712" s="259"/>
    </row>
    <row r="4713" spans="1:29" x14ac:dyDescent="0.35">
      <c r="A4713" s="502" t="str">
        <f>"SgK3221--"&amp;RIGHT(A4712,5)</f>
        <v>SgK3221--Jul14</v>
      </c>
      <c r="B4713" s="301" t="s">
        <v>5434</v>
      </c>
      <c r="C4713" s="301" t="str">
        <f t="shared" si="1603"/>
        <v>Inbetriebnahme 07/2014</v>
      </c>
      <c r="D4713" s="301" t="str">
        <f>$R$4687</f>
        <v>10 - 40 kW</v>
      </c>
      <c r="E4713" s="301"/>
      <c r="F4713" s="368">
        <f t="shared" si="1604"/>
        <v>12.22</v>
      </c>
      <c r="G4713" s="429">
        <v>12.22</v>
      </c>
      <c r="H4713" s="303">
        <f t="shared" si="1602"/>
        <v>9.7799999999999994</v>
      </c>
      <c r="I4713" s="572"/>
      <c r="J4713" s="549" t="s">
        <v>5804</v>
      </c>
      <c r="K4713" s="11"/>
      <c r="L4713" s="102"/>
      <c r="M4713" s="339"/>
      <c r="O4713" s="259"/>
    </row>
    <row r="4714" spans="1:29" x14ac:dyDescent="0.35">
      <c r="A4714" s="502" t="str">
        <f>"SgK3222--"&amp;RIGHT(A4713,5)</f>
        <v>SgK3222--Jul14</v>
      </c>
      <c r="B4714" s="301" t="s">
        <v>5434</v>
      </c>
      <c r="C4714" s="301" t="str">
        <f t="shared" si="1603"/>
        <v>Inbetriebnahme 07/2014</v>
      </c>
      <c r="D4714" s="301" t="str">
        <f>$S$4687</f>
        <v>40 kW - 1 MW</v>
      </c>
      <c r="E4714" s="301"/>
      <c r="F4714" s="368">
        <f t="shared" si="1604"/>
        <v>10.9</v>
      </c>
      <c r="G4714" s="429">
        <v>10.9</v>
      </c>
      <c r="H4714" s="303">
        <f t="shared" si="1602"/>
        <v>8.7200000000000006</v>
      </c>
      <c r="I4714" s="572"/>
      <c r="J4714" s="549" t="s">
        <v>5804</v>
      </c>
      <c r="K4714" s="11"/>
      <c r="L4714" s="102"/>
      <c r="M4714" s="339"/>
      <c r="O4714" s="259"/>
    </row>
    <row r="4715" spans="1:29" x14ac:dyDescent="0.35">
      <c r="A4715" s="502" t="str">
        <f>"SgK3223--"&amp;RIGHT(A4714,5)</f>
        <v>SgK3223--Jul14</v>
      </c>
      <c r="B4715" s="301" t="s">
        <v>5434</v>
      </c>
      <c r="C4715" s="301" t="str">
        <f t="shared" si="1603"/>
        <v>Inbetriebnahme 07/2014</v>
      </c>
      <c r="D4715" s="301" t="str">
        <f>$T$4687</f>
        <v>1 - 10 MW</v>
      </c>
      <c r="E4715" s="301"/>
      <c r="F4715" s="368">
        <f t="shared" si="1604"/>
        <v>8.92</v>
      </c>
      <c r="G4715" s="429">
        <v>8.92</v>
      </c>
      <c r="H4715" s="303">
        <f t="shared" si="1602"/>
        <v>7.14</v>
      </c>
      <c r="I4715" s="572"/>
      <c r="J4715" s="549" t="s">
        <v>5804</v>
      </c>
      <c r="L4715" s="215"/>
      <c r="M4715" s="339"/>
      <c r="O4715" s="259"/>
    </row>
    <row r="4716" spans="1:29" s="207" customFormat="1" ht="20.25" customHeight="1" x14ac:dyDescent="0.35">
      <c r="A4716" s="503"/>
      <c r="B4716" s="1"/>
      <c r="C4716" s="1"/>
      <c r="D4716" s="1"/>
      <c r="E4716" s="1"/>
      <c r="F4716" s="362"/>
      <c r="G4716" s="10"/>
      <c r="H4716" s="10" t="str">
        <f t="shared" si="1602"/>
        <v/>
      </c>
      <c r="I4716" s="566"/>
      <c r="J4716" s="549" t="s">
        <v>4179</v>
      </c>
      <c r="K4716" s="206"/>
      <c r="M4716" s="37"/>
      <c r="N4716" s="29"/>
      <c r="O4716" s="92"/>
      <c r="P4716" s="92"/>
      <c r="Q4716" s="92"/>
      <c r="R4716"/>
      <c r="S4716"/>
      <c r="T4716"/>
      <c r="U4716"/>
      <c r="V4716"/>
      <c r="W4716"/>
      <c r="X4716"/>
      <c r="Y4716"/>
      <c r="Z4716"/>
      <c r="AA4716"/>
      <c r="AB4716"/>
      <c r="AC4716"/>
    </row>
    <row r="4717" spans="1:29" ht="15.5" x14ac:dyDescent="0.35">
      <c r="A4717" s="504"/>
      <c r="B4717" s="204"/>
      <c r="C4717" s="204"/>
      <c r="D4717" s="204"/>
      <c r="E4717" s="204"/>
      <c r="F4717" s="381"/>
      <c r="G4717" s="205"/>
      <c r="H4717" s="205" t="str">
        <f t="shared" si="1602"/>
        <v/>
      </c>
      <c r="I4717" s="583"/>
      <c r="J4717" s="549" t="s">
        <v>4179</v>
      </c>
      <c r="M4717" s="208" t="s">
        <v>124</v>
      </c>
      <c r="N4717" s="209"/>
      <c r="O4717" s="209"/>
      <c r="P4717" s="207"/>
      <c r="Q4717" s="207"/>
      <c r="R4717" s="207"/>
      <c r="S4717" s="207"/>
      <c r="T4717" s="207"/>
      <c r="U4717" s="207"/>
      <c r="V4717" s="207"/>
      <c r="W4717" s="207"/>
      <c r="X4717" s="207"/>
      <c r="Y4717" s="207"/>
      <c r="Z4717" s="207"/>
      <c r="AA4717" s="207"/>
      <c r="AB4717" s="207"/>
      <c r="AC4717" s="207"/>
    </row>
    <row r="4718" spans="1:29" x14ac:dyDescent="0.35">
      <c r="A4718" s="496"/>
      <c r="B4718" s="1"/>
      <c r="C4718" s="1"/>
      <c r="D4718" s="1"/>
      <c r="E4718" s="1"/>
      <c r="F4718" s="362"/>
      <c r="G4718" s="10"/>
      <c r="H4718" s="10" t="str">
        <f t="shared" si="1602"/>
        <v/>
      </c>
      <c r="I4718" s="566"/>
      <c r="J4718" s="549" t="s">
        <v>4179</v>
      </c>
      <c r="N4718" s="109" t="s">
        <v>3901</v>
      </c>
      <c r="O4718" s="29" t="s">
        <v>5489</v>
      </c>
      <c r="P4718" t="s">
        <v>3918</v>
      </c>
      <c r="Q4718" t="s">
        <v>3919</v>
      </c>
      <c r="R4718" t="s">
        <v>3920</v>
      </c>
      <c r="S4718" t="s">
        <v>3921</v>
      </c>
      <c r="T4718" t="s">
        <v>49</v>
      </c>
      <c r="U4718" t="s">
        <v>3918</v>
      </c>
      <c r="V4718" t="s">
        <v>3919</v>
      </c>
      <c r="W4718" t="s">
        <v>3920</v>
      </c>
      <c r="X4718" t="s">
        <v>3921</v>
      </c>
      <c r="Y4718" t="s">
        <v>50</v>
      </c>
    </row>
    <row r="4719" spans="1:29" x14ac:dyDescent="0.35">
      <c r="A4719" s="495" t="s">
        <v>125</v>
      </c>
      <c r="B4719" s="356" t="s">
        <v>5434</v>
      </c>
      <c r="C4719" s="356" t="s">
        <v>108</v>
      </c>
      <c r="D4719" s="356" t="s">
        <v>3918</v>
      </c>
      <c r="E4719" s="356"/>
      <c r="F4719" s="369">
        <f t="shared" ref="F4719:F4738" si="1610">IF(HLOOKUP(D4719,$U$4718:$X$5191,MATCH(RIGHT($A4719,5),$N$4718:$N$5191,0),FALSE)&lt;&gt;"",ROUND(HLOOKUP(D4719,$U$4718:$X$5191,MATCH(RIGHT($A4719,5),$N$4718:$N$5191,0),FALSE),2),"")</f>
        <v>12.75</v>
      </c>
      <c r="G4719" s="369">
        <f t="shared" ref="G4719:G4738" si="1611">IF(HLOOKUP(D4719,$P$4718:$S$5191,MATCH(RIGHT($A4719,5),$N$4718:$N$5191,0),FALSE)&lt;&gt;"",ROUND(HLOOKUP(D4719,$P$4718:$S$5191,MATCH(RIGHT($A4719,5),$N$4718:$N$5191,0),FALSE),2),"")</f>
        <v>13.15</v>
      </c>
      <c r="H4719" s="357">
        <f t="shared" si="1602"/>
        <v>10.52</v>
      </c>
      <c r="I4719" s="573"/>
      <c r="J4719" s="549" t="s">
        <v>5804</v>
      </c>
      <c r="M4719" s="101">
        <v>2014</v>
      </c>
      <c r="N4719" s="523" t="s">
        <v>114</v>
      </c>
      <c r="O4719" s="322" t="s">
        <v>123</v>
      </c>
      <c r="P4719" s="261">
        <v>13.15</v>
      </c>
      <c r="Q4719" s="261">
        <v>12.8</v>
      </c>
      <c r="R4719" s="261">
        <v>11.49</v>
      </c>
      <c r="S4719" s="261">
        <v>9.23</v>
      </c>
      <c r="T4719" s="261"/>
      <c r="U4719" s="261">
        <f>P4719-0.4</f>
        <v>12.75</v>
      </c>
      <c r="V4719" s="261">
        <f>Q4719-0.4</f>
        <v>12.4</v>
      </c>
      <c r="W4719" s="261">
        <f>R4719-0.4</f>
        <v>11.09</v>
      </c>
      <c r="X4719" s="261">
        <f>S4719-0.4</f>
        <v>8.83</v>
      </c>
    </row>
    <row r="4720" spans="1:29" x14ac:dyDescent="0.35">
      <c r="A4720" s="495" t="str">
        <f>"SgK5121--"&amp;RIGHT(A4719,5)</f>
        <v>SgK5121--Aug14</v>
      </c>
      <c r="B4720" s="356" t="s">
        <v>5434</v>
      </c>
      <c r="C4720" s="356" t="s">
        <v>108</v>
      </c>
      <c r="D4720" s="356" t="s">
        <v>3919</v>
      </c>
      <c r="E4720" s="356"/>
      <c r="F4720" s="369">
        <f t="shared" si="1610"/>
        <v>12.4</v>
      </c>
      <c r="G4720" s="369">
        <f t="shared" si="1611"/>
        <v>12.8</v>
      </c>
      <c r="H4720" s="357">
        <f t="shared" si="1602"/>
        <v>10.24</v>
      </c>
      <c r="I4720" s="573"/>
      <c r="J4720" s="549" t="s">
        <v>5804</v>
      </c>
      <c r="N4720" s="524" t="s">
        <v>115</v>
      </c>
      <c r="O4720" s="461">
        <v>5.0000000000000001E-3</v>
      </c>
      <c r="P4720" s="261">
        <f t="shared" ref="P4720:S4724" si="1612">IF($O4720&lt;&gt;"",(1-$O4720)*P4719,"")</f>
        <v>13.084250000000001</v>
      </c>
      <c r="Q4720" s="261">
        <f t="shared" si="1612"/>
        <v>12.736000000000001</v>
      </c>
      <c r="R4720" s="261">
        <f t="shared" si="1612"/>
        <v>11.432550000000001</v>
      </c>
      <c r="S4720" s="261">
        <f t="shared" si="1612"/>
        <v>9.1838499999999996</v>
      </c>
      <c r="U4720" s="261">
        <f t="shared" ref="U4720:X4724" si="1613">IF($O4720&lt;&gt;"",(1-$O4720)*U4719,"")</f>
        <v>12.686249999999999</v>
      </c>
      <c r="V4720" s="261">
        <f t="shared" si="1613"/>
        <v>12.338000000000001</v>
      </c>
      <c r="W4720" s="261">
        <f t="shared" si="1613"/>
        <v>11.034549999999999</v>
      </c>
      <c r="X4720" s="261">
        <f t="shared" si="1613"/>
        <v>8.7858499999999999</v>
      </c>
    </row>
    <row r="4721" spans="1:24" x14ac:dyDescent="0.35">
      <c r="A4721" s="495" t="str">
        <f>"SgK5122--"&amp;RIGHT(A4720,5)</f>
        <v>SgK5122--Aug14</v>
      </c>
      <c r="B4721" s="356" t="s">
        <v>5434</v>
      </c>
      <c r="C4721" s="356" t="s">
        <v>108</v>
      </c>
      <c r="D4721" s="356" t="s">
        <v>3920</v>
      </c>
      <c r="E4721" s="356"/>
      <c r="F4721" s="369">
        <f t="shared" si="1610"/>
        <v>11.09</v>
      </c>
      <c r="G4721" s="369">
        <f t="shared" si="1611"/>
        <v>11.49</v>
      </c>
      <c r="H4721" s="357">
        <f t="shared" si="1602"/>
        <v>9.19</v>
      </c>
      <c r="I4721" s="573"/>
      <c r="J4721" s="549" t="s">
        <v>5804</v>
      </c>
      <c r="N4721" s="524" t="s">
        <v>116</v>
      </c>
      <c r="O4721" s="461">
        <v>2.5000000000000001E-3</v>
      </c>
      <c r="P4721" s="261">
        <f t="shared" si="1612"/>
        <v>13.051539375000001</v>
      </c>
      <c r="Q4721" s="261">
        <f t="shared" si="1612"/>
        <v>12.704160000000002</v>
      </c>
      <c r="R4721" s="261">
        <f t="shared" si="1612"/>
        <v>11.403968625000001</v>
      </c>
      <c r="S4721" s="261">
        <f t="shared" si="1612"/>
        <v>9.1608903749999993</v>
      </c>
      <c r="U4721" s="261">
        <f t="shared" si="1613"/>
        <v>12.654534375000001</v>
      </c>
      <c r="V4721" s="261">
        <f t="shared" si="1613"/>
        <v>12.307155000000002</v>
      </c>
      <c r="W4721" s="261">
        <f t="shared" si="1613"/>
        <v>11.006963624999999</v>
      </c>
      <c r="X4721" s="261">
        <f t="shared" si="1613"/>
        <v>8.763885375000001</v>
      </c>
    </row>
    <row r="4722" spans="1:24" x14ac:dyDescent="0.35">
      <c r="A4722" s="495" t="str">
        <f>"SgK5123--"&amp;RIGHT(A4721,5)</f>
        <v>SgK5123--Aug14</v>
      </c>
      <c r="B4722" s="356" t="s">
        <v>5434</v>
      </c>
      <c r="C4722" s="356" t="s">
        <v>108</v>
      </c>
      <c r="D4722" s="356" t="s">
        <v>3921</v>
      </c>
      <c r="E4722" s="356"/>
      <c r="F4722" s="369">
        <f t="shared" si="1610"/>
        <v>8.83</v>
      </c>
      <c r="G4722" s="369">
        <f t="shared" si="1611"/>
        <v>9.23</v>
      </c>
      <c r="H4722" s="357">
        <f t="shared" si="1602"/>
        <v>7.38</v>
      </c>
      <c r="I4722" s="573"/>
      <c r="J4722" s="549" t="s">
        <v>5804</v>
      </c>
      <c r="N4722" s="524" t="s">
        <v>121</v>
      </c>
      <c r="O4722" s="461">
        <v>2.5000000000000001E-3</v>
      </c>
      <c r="P4722" s="261">
        <f t="shared" si="1612"/>
        <v>13.018910526562502</v>
      </c>
      <c r="Q4722" s="261">
        <f t="shared" si="1612"/>
        <v>12.672399600000002</v>
      </c>
      <c r="R4722" s="261">
        <f t="shared" si="1612"/>
        <v>11.375458703437502</v>
      </c>
      <c r="S4722" s="261">
        <f t="shared" si="1612"/>
        <v>9.1379881490624992</v>
      </c>
      <c r="U4722" s="261">
        <f t="shared" si="1613"/>
        <v>12.622898039062502</v>
      </c>
      <c r="V4722" s="261">
        <f t="shared" si="1613"/>
        <v>12.276387112500002</v>
      </c>
      <c r="W4722" s="261">
        <f t="shared" si="1613"/>
        <v>10.9794462159375</v>
      </c>
      <c r="X4722" s="261">
        <f t="shared" si="1613"/>
        <v>8.7419756615625008</v>
      </c>
    </row>
    <row r="4723" spans="1:24" x14ac:dyDescent="0.35">
      <c r="A4723" s="495" t="s">
        <v>126</v>
      </c>
      <c r="B4723" s="356" t="s">
        <v>5434</v>
      </c>
      <c r="C4723" s="356" t="s">
        <v>109</v>
      </c>
      <c r="D4723" s="356" t="s">
        <v>3918</v>
      </c>
      <c r="E4723" s="356"/>
      <c r="F4723" s="369">
        <f t="shared" si="1610"/>
        <v>12.69</v>
      </c>
      <c r="G4723" s="369">
        <f t="shared" si="1611"/>
        <v>13.08</v>
      </c>
      <c r="H4723" s="357">
        <f t="shared" si="1602"/>
        <v>10.46</v>
      </c>
      <c r="I4723" s="573"/>
      <c r="J4723" s="549" t="s">
        <v>5804</v>
      </c>
      <c r="N4723" s="524" t="s">
        <v>122</v>
      </c>
      <c r="O4723" s="461">
        <v>2.5000000000000001E-3</v>
      </c>
      <c r="P4723" s="261">
        <f t="shared" si="1612"/>
        <v>12.986363250246097</v>
      </c>
      <c r="Q4723" s="261">
        <f t="shared" si="1612"/>
        <v>12.640718601000003</v>
      </c>
      <c r="R4723" s="261">
        <f t="shared" si="1612"/>
        <v>11.347020056678909</v>
      </c>
      <c r="S4723" s="261">
        <f t="shared" si="1612"/>
        <v>9.1151431786898431</v>
      </c>
      <c r="U4723" s="261">
        <f t="shared" si="1613"/>
        <v>12.591340793964847</v>
      </c>
      <c r="V4723" s="261">
        <f t="shared" si="1613"/>
        <v>12.245696144718753</v>
      </c>
      <c r="W4723" s="261">
        <f t="shared" si="1613"/>
        <v>10.951997600397657</v>
      </c>
      <c r="X4723" s="261">
        <f t="shared" si="1613"/>
        <v>8.7201207224085948</v>
      </c>
    </row>
    <row r="4724" spans="1:24" x14ac:dyDescent="0.35">
      <c r="A4724" s="495" t="str">
        <f>"SgK5121--"&amp;RIGHT(A4723,5)</f>
        <v>SgK5121--Sep14</v>
      </c>
      <c r="B4724" s="356" t="s">
        <v>5434</v>
      </c>
      <c r="C4724" s="356" t="s">
        <v>109</v>
      </c>
      <c r="D4724" s="356" t="s">
        <v>3919</v>
      </c>
      <c r="E4724" s="356"/>
      <c r="F4724" s="369">
        <f t="shared" si="1610"/>
        <v>12.34</v>
      </c>
      <c r="G4724" s="369">
        <f t="shared" si="1611"/>
        <v>12.74</v>
      </c>
      <c r="H4724" s="357">
        <f t="shared" si="1602"/>
        <v>10.19</v>
      </c>
      <c r="I4724" s="573"/>
      <c r="J4724" s="549" t="s">
        <v>5804</v>
      </c>
      <c r="O4724" s="322"/>
      <c r="P4724" s="261" t="str">
        <f t="shared" si="1612"/>
        <v/>
      </c>
      <c r="Q4724" s="261" t="str">
        <f t="shared" si="1612"/>
        <v/>
      </c>
      <c r="R4724" s="261" t="str">
        <f t="shared" si="1612"/>
        <v/>
      </c>
      <c r="S4724" s="261" t="str">
        <f t="shared" si="1612"/>
        <v/>
      </c>
      <c r="U4724" s="261" t="str">
        <f t="shared" si="1613"/>
        <v/>
      </c>
      <c r="V4724" s="261" t="str">
        <f t="shared" si="1613"/>
        <v/>
      </c>
      <c r="W4724" s="261" t="str">
        <f t="shared" si="1613"/>
        <v/>
      </c>
      <c r="X4724" s="261" t="str">
        <f t="shared" si="1613"/>
        <v/>
      </c>
    </row>
    <row r="4725" spans="1:24" x14ac:dyDescent="0.35">
      <c r="A4725" s="495" t="str">
        <f>"SgK5122--"&amp;RIGHT(A4724,5)</f>
        <v>SgK5122--Sep14</v>
      </c>
      <c r="B4725" s="356" t="s">
        <v>5434</v>
      </c>
      <c r="C4725" s="356" t="s">
        <v>109</v>
      </c>
      <c r="D4725" s="356" t="s">
        <v>3920</v>
      </c>
      <c r="E4725" s="356"/>
      <c r="F4725" s="369">
        <f t="shared" si="1610"/>
        <v>11.03</v>
      </c>
      <c r="G4725" s="369">
        <f t="shared" si="1611"/>
        <v>11.43</v>
      </c>
      <c r="H4725" s="357">
        <f t="shared" si="1602"/>
        <v>9.14</v>
      </c>
      <c r="I4725" s="573"/>
      <c r="J4725" s="549" t="s">
        <v>5804</v>
      </c>
      <c r="O4725" s="322"/>
      <c r="P4725" s="261" t="str">
        <f t="shared" ref="P4725:S4726" si="1614">IF($O4725&lt;&gt;"",(1-$O4725)*P4723,"")</f>
        <v/>
      </c>
      <c r="Q4725" s="261" t="str">
        <f t="shared" si="1614"/>
        <v/>
      </c>
      <c r="R4725" s="261" t="str">
        <f t="shared" si="1614"/>
        <v/>
      </c>
      <c r="S4725" s="261" t="str">
        <f t="shared" si="1614"/>
        <v/>
      </c>
      <c r="U4725" s="261" t="str">
        <f t="shared" ref="U4725:X4726" si="1615">IF($O4725&lt;&gt;"",(1-$O4725)*U4723,"")</f>
        <v/>
      </c>
      <c r="V4725" s="261" t="str">
        <f t="shared" si="1615"/>
        <v/>
      </c>
      <c r="W4725" s="261" t="str">
        <f t="shared" si="1615"/>
        <v/>
      </c>
      <c r="X4725" s="261" t="str">
        <f t="shared" si="1615"/>
        <v/>
      </c>
    </row>
    <row r="4726" spans="1:24" x14ac:dyDescent="0.35">
      <c r="A4726" s="495" t="str">
        <f>"SgK5123--"&amp;RIGHT(A4725,5)</f>
        <v>SgK5123--Sep14</v>
      </c>
      <c r="B4726" s="356" t="s">
        <v>5434</v>
      </c>
      <c r="C4726" s="356" t="s">
        <v>109</v>
      </c>
      <c r="D4726" s="356" t="s">
        <v>3921</v>
      </c>
      <c r="E4726" s="356"/>
      <c r="F4726" s="369">
        <f t="shared" si="1610"/>
        <v>8.7899999999999991</v>
      </c>
      <c r="G4726" s="369">
        <f t="shared" si="1611"/>
        <v>9.18</v>
      </c>
      <c r="H4726" s="357">
        <f t="shared" si="1602"/>
        <v>7.34</v>
      </c>
      <c r="I4726" s="573"/>
      <c r="J4726" s="549" t="s">
        <v>5804</v>
      </c>
      <c r="O4726" s="322"/>
      <c r="P4726" s="261" t="str">
        <f t="shared" si="1614"/>
        <v/>
      </c>
      <c r="Q4726" s="261" t="str">
        <f t="shared" si="1614"/>
        <v/>
      </c>
      <c r="R4726" s="261" t="str">
        <f t="shared" si="1614"/>
        <v/>
      </c>
      <c r="S4726" s="261" t="str">
        <f t="shared" si="1614"/>
        <v/>
      </c>
      <c r="U4726" s="261" t="str">
        <f t="shared" si="1615"/>
        <v/>
      </c>
      <c r="V4726" s="261" t="str">
        <f t="shared" si="1615"/>
        <v/>
      </c>
      <c r="W4726" s="261" t="str">
        <f t="shared" si="1615"/>
        <v/>
      </c>
      <c r="X4726" s="261" t="str">
        <f t="shared" si="1615"/>
        <v/>
      </c>
    </row>
    <row r="4727" spans="1:24" x14ac:dyDescent="0.35">
      <c r="A4727" s="495" t="s">
        <v>127</v>
      </c>
      <c r="B4727" s="356" t="s">
        <v>5434</v>
      </c>
      <c r="C4727" s="356" t="s">
        <v>110</v>
      </c>
      <c r="D4727" s="356" t="s">
        <v>3918</v>
      </c>
      <c r="E4727" s="356"/>
      <c r="F4727" s="369">
        <f t="shared" si="1610"/>
        <v>12.65</v>
      </c>
      <c r="G4727" s="369">
        <f t="shared" si="1611"/>
        <v>13.05</v>
      </c>
      <c r="H4727" s="357">
        <f t="shared" si="1602"/>
        <v>10.44</v>
      </c>
      <c r="I4727" s="573"/>
      <c r="J4727" s="549" t="s">
        <v>5804</v>
      </c>
      <c r="O4727" s="322"/>
      <c r="P4727" s="261" t="str">
        <f t="shared" ref="P4727:S4728" si="1616">IF($O4727&lt;&gt;"",(1-$O4727)*P4726,"")</f>
        <v/>
      </c>
      <c r="Q4727" s="261" t="str">
        <f t="shared" si="1616"/>
        <v/>
      </c>
      <c r="R4727" s="261" t="str">
        <f t="shared" si="1616"/>
        <v/>
      </c>
      <c r="S4727" s="261" t="str">
        <f t="shared" si="1616"/>
        <v/>
      </c>
      <c r="U4727" s="261" t="str">
        <f t="shared" ref="U4727:X4728" si="1617">IF($O4727&lt;&gt;"",(1-$O4727)*U4726,"")</f>
        <v/>
      </c>
      <c r="V4727" s="261" t="str">
        <f t="shared" si="1617"/>
        <v/>
      </c>
      <c r="W4727" s="261" t="str">
        <f t="shared" si="1617"/>
        <v/>
      </c>
      <c r="X4727" s="261" t="str">
        <f t="shared" si="1617"/>
        <v/>
      </c>
    </row>
    <row r="4728" spans="1:24" x14ac:dyDescent="0.35">
      <c r="A4728" s="495" t="str">
        <f>"SgK5121--"&amp;RIGHT(A4727,5)</f>
        <v>SgK5121--Okt14</v>
      </c>
      <c r="B4728" s="356" t="s">
        <v>5434</v>
      </c>
      <c r="C4728" s="356" t="s">
        <v>110</v>
      </c>
      <c r="D4728" s="356" t="s">
        <v>3919</v>
      </c>
      <c r="E4728" s="356"/>
      <c r="F4728" s="369">
        <f t="shared" si="1610"/>
        <v>12.31</v>
      </c>
      <c r="G4728" s="369">
        <f t="shared" si="1611"/>
        <v>12.7</v>
      </c>
      <c r="H4728" s="357">
        <f t="shared" si="1602"/>
        <v>10.16</v>
      </c>
      <c r="I4728" s="573"/>
      <c r="J4728" s="549" t="s">
        <v>5804</v>
      </c>
      <c r="O4728" s="322"/>
      <c r="P4728" s="261" t="str">
        <f t="shared" si="1616"/>
        <v/>
      </c>
      <c r="Q4728" s="261" t="str">
        <f t="shared" si="1616"/>
        <v/>
      </c>
      <c r="R4728" s="261" t="str">
        <f t="shared" si="1616"/>
        <v/>
      </c>
      <c r="S4728" s="261" t="str">
        <f t="shared" si="1616"/>
        <v/>
      </c>
      <c r="U4728" s="261" t="str">
        <f t="shared" si="1617"/>
        <v/>
      </c>
      <c r="V4728" s="261" t="str">
        <f t="shared" si="1617"/>
        <v/>
      </c>
      <c r="W4728" s="261" t="str">
        <f t="shared" si="1617"/>
        <v/>
      </c>
      <c r="X4728" s="261" t="str">
        <f t="shared" si="1617"/>
        <v/>
      </c>
    </row>
    <row r="4729" spans="1:24" x14ac:dyDescent="0.35">
      <c r="A4729" s="495" t="str">
        <f>"SgK5122--"&amp;RIGHT(A4728,5)</f>
        <v>SgK5122--Okt14</v>
      </c>
      <c r="B4729" s="356" t="s">
        <v>5434</v>
      </c>
      <c r="C4729" s="356" t="s">
        <v>110</v>
      </c>
      <c r="D4729" s="356" t="s">
        <v>3920</v>
      </c>
      <c r="E4729" s="356"/>
      <c r="F4729" s="369">
        <f t="shared" si="1610"/>
        <v>11.01</v>
      </c>
      <c r="G4729" s="369">
        <f t="shared" si="1611"/>
        <v>11.4</v>
      </c>
      <c r="H4729" s="357">
        <f t="shared" ref="H4729:H4792" si="1618">IF(ISNUMBER(G4729),ROUND(0.8*G4729,2),"")</f>
        <v>9.1199999999999992</v>
      </c>
      <c r="I4729" s="573"/>
      <c r="J4729" s="549" t="s">
        <v>5804</v>
      </c>
      <c r="O4729" s="322"/>
      <c r="P4729" s="261" t="str">
        <f t="shared" ref="P4729:S4730" si="1619">IF($O4729&lt;&gt;"",(1-$O4729)*P4727,"")</f>
        <v/>
      </c>
      <c r="Q4729" s="261" t="str">
        <f t="shared" si="1619"/>
        <v/>
      </c>
      <c r="R4729" s="261" t="str">
        <f t="shared" si="1619"/>
        <v/>
      </c>
      <c r="S4729" s="261" t="str">
        <f t="shared" si="1619"/>
        <v/>
      </c>
      <c r="U4729" s="261" t="str">
        <f t="shared" ref="U4729:X4730" si="1620">IF($O4729&lt;&gt;"",(1-$O4729)*U4727,"")</f>
        <v/>
      </c>
      <c r="V4729" s="261" t="str">
        <f t="shared" si="1620"/>
        <v/>
      </c>
      <c r="W4729" s="261" t="str">
        <f t="shared" si="1620"/>
        <v/>
      </c>
      <c r="X4729" s="261" t="str">
        <f t="shared" si="1620"/>
        <v/>
      </c>
    </row>
    <row r="4730" spans="1:24" x14ac:dyDescent="0.35">
      <c r="A4730" s="495" t="str">
        <f>"SgK5123--"&amp;RIGHT(A4729,5)</f>
        <v>SgK5123--Okt14</v>
      </c>
      <c r="B4730" s="356" t="s">
        <v>5434</v>
      </c>
      <c r="C4730" s="356" t="s">
        <v>110</v>
      </c>
      <c r="D4730" s="356" t="s">
        <v>3921</v>
      </c>
      <c r="E4730" s="356"/>
      <c r="F4730" s="369">
        <f t="shared" si="1610"/>
        <v>8.76</v>
      </c>
      <c r="G4730" s="369">
        <f t="shared" si="1611"/>
        <v>9.16</v>
      </c>
      <c r="H4730" s="357">
        <f t="shared" si="1618"/>
        <v>7.33</v>
      </c>
      <c r="I4730" s="573"/>
      <c r="J4730" s="549" t="s">
        <v>5804</v>
      </c>
      <c r="O4730" s="322"/>
      <c r="P4730" s="261" t="str">
        <f t="shared" si="1619"/>
        <v/>
      </c>
      <c r="Q4730" s="261" t="str">
        <f t="shared" si="1619"/>
        <v/>
      </c>
      <c r="R4730" s="261" t="str">
        <f t="shared" si="1619"/>
        <v/>
      </c>
      <c r="S4730" s="261" t="str">
        <f t="shared" si="1619"/>
        <v/>
      </c>
      <c r="U4730" s="261" t="str">
        <f t="shared" si="1620"/>
        <v/>
      </c>
      <c r="V4730" s="261" t="str">
        <f t="shared" si="1620"/>
        <v/>
      </c>
      <c r="W4730" s="261" t="str">
        <f t="shared" si="1620"/>
        <v/>
      </c>
      <c r="X4730" s="261" t="str">
        <f t="shared" si="1620"/>
        <v/>
      </c>
    </row>
    <row r="4731" spans="1:24" x14ac:dyDescent="0.35">
      <c r="A4731" s="495" t="s">
        <v>128</v>
      </c>
      <c r="B4731" s="356" t="s">
        <v>5434</v>
      </c>
      <c r="C4731" s="356" t="s">
        <v>117</v>
      </c>
      <c r="D4731" s="356" t="s">
        <v>3918</v>
      </c>
      <c r="E4731" s="356"/>
      <c r="F4731" s="369">
        <f t="shared" si="1610"/>
        <v>12.62</v>
      </c>
      <c r="G4731" s="369">
        <f t="shared" si="1611"/>
        <v>13.02</v>
      </c>
      <c r="H4731" s="357">
        <f t="shared" si="1618"/>
        <v>10.42</v>
      </c>
      <c r="I4731" s="573"/>
      <c r="J4731" s="549" t="s">
        <v>5804</v>
      </c>
      <c r="O4731" s="322"/>
      <c r="P4731" s="261" t="str">
        <f t="shared" ref="P4731:S4732" si="1621">IF($O4731&lt;&gt;"",(1-$O4731)*P4730,"")</f>
        <v/>
      </c>
      <c r="Q4731" s="261" t="str">
        <f t="shared" si="1621"/>
        <v/>
      </c>
      <c r="R4731" s="261" t="str">
        <f t="shared" si="1621"/>
        <v/>
      </c>
      <c r="S4731" s="261" t="str">
        <f t="shared" si="1621"/>
        <v/>
      </c>
      <c r="U4731" s="261" t="str">
        <f t="shared" ref="U4731:X4732" si="1622">IF($O4731&lt;&gt;"",(1-$O4731)*U4730,"")</f>
        <v/>
      </c>
      <c r="V4731" s="261" t="str">
        <f t="shared" si="1622"/>
        <v/>
      </c>
      <c r="W4731" s="261" t="str">
        <f t="shared" si="1622"/>
        <v/>
      </c>
      <c r="X4731" s="261" t="str">
        <f t="shared" si="1622"/>
        <v/>
      </c>
    </row>
    <row r="4732" spans="1:24" x14ac:dyDescent="0.35">
      <c r="A4732" s="495" t="str">
        <f>"SgK5121--"&amp;RIGHT(A4731,5)</f>
        <v>SgK5121--Nov14</v>
      </c>
      <c r="B4732" s="356" t="s">
        <v>5434</v>
      </c>
      <c r="C4732" s="356" t="s">
        <v>117</v>
      </c>
      <c r="D4732" s="356" t="s">
        <v>3919</v>
      </c>
      <c r="E4732" s="356"/>
      <c r="F4732" s="369">
        <f t="shared" si="1610"/>
        <v>12.28</v>
      </c>
      <c r="G4732" s="369">
        <f t="shared" si="1611"/>
        <v>12.67</v>
      </c>
      <c r="H4732" s="357">
        <f t="shared" si="1618"/>
        <v>10.14</v>
      </c>
      <c r="I4732" s="573"/>
      <c r="J4732" s="549" t="s">
        <v>5804</v>
      </c>
      <c r="O4732" s="322"/>
      <c r="P4732" s="261" t="str">
        <f t="shared" si="1621"/>
        <v/>
      </c>
      <c r="Q4732" s="261" t="str">
        <f t="shared" si="1621"/>
        <v/>
      </c>
      <c r="R4732" s="261" t="str">
        <f t="shared" si="1621"/>
        <v/>
      </c>
      <c r="S4732" s="261" t="str">
        <f t="shared" si="1621"/>
        <v/>
      </c>
      <c r="U4732" s="261" t="str">
        <f t="shared" si="1622"/>
        <v/>
      </c>
      <c r="V4732" s="261" t="str">
        <f t="shared" si="1622"/>
        <v/>
      </c>
      <c r="W4732" s="261" t="str">
        <f t="shared" si="1622"/>
        <v/>
      </c>
      <c r="X4732" s="261" t="str">
        <f t="shared" si="1622"/>
        <v/>
      </c>
    </row>
    <row r="4733" spans="1:24" x14ac:dyDescent="0.35">
      <c r="A4733" s="495" t="str">
        <f>"SgK5122--"&amp;RIGHT(A4732,5)</f>
        <v>SgK5122--Nov14</v>
      </c>
      <c r="B4733" s="356" t="s">
        <v>5434</v>
      </c>
      <c r="C4733" s="356" t="s">
        <v>117</v>
      </c>
      <c r="D4733" s="356" t="s">
        <v>3920</v>
      </c>
      <c r="E4733" s="356"/>
      <c r="F4733" s="369">
        <f t="shared" si="1610"/>
        <v>10.98</v>
      </c>
      <c r="G4733" s="369">
        <f t="shared" si="1611"/>
        <v>11.38</v>
      </c>
      <c r="H4733" s="357">
        <f t="shared" si="1618"/>
        <v>9.1</v>
      </c>
      <c r="I4733" s="573"/>
      <c r="J4733" s="549" t="s">
        <v>5804</v>
      </c>
      <c r="O4733" s="322"/>
      <c r="P4733" s="261" t="str">
        <f t="shared" ref="P4733:S4734" si="1623">IF($O4733&lt;&gt;"",(1-$O4733)*P4731,"")</f>
        <v/>
      </c>
      <c r="Q4733" s="261" t="str">
        <f t="shared" si="1623"/>
        <v/>
      </c>
      <c r="R4733" s="261" t="str">
        <f t="shared" si="1623"/>
        <v/>
      </c>
      <c r="S4733" s="261" t="str">
        <f t="shared" si="1623"/>
        <v/>
      </c>
      <c r="U4733" s="261" t="str">
        <f t="shared" ref="U4733:X4734" si="1624">IF($O4733&lt;&gt;"",(1-$O4733)*U4731,"")</f>
        <v/>
      </c>
      <c r="V4733" s="261" t="str">
        <f t="shared" si="1624"/>
        <v/>
      </c>
      <c r="W4733" s="261" t="str">
        <f t="shared" si="1624"/>
        <v/>
      </c>
      <c r="X4733" s="261" t="str">
        <f t="shared" si="1624"/>
        <v/>
      </c>
    </row>
    <row r="4734" spans="1:24" x14ac:dyDescent="0.35">
      <c r="A4734" s="495" t="str">
        <f>"SgK5123--"&amp;RIGHT(A4733,5)</f>
        <v>SgK5123--Nov14</v>
      </c>
      <c r="B4734" s="356" t="s">
        <v>5434</v>
      </c>
      <c r="C4734" s="356" t="s">
        <v>117</v>
      </c>
      <c r="D4734" s="356" t="s">
        <v>3921</v>
      </c>
      <c r="E4734" s="356"/>
      <c r="F4734" s="369">
        <f t="shared" si="1610"/>
        <v>8.74</v>
      </c>
      <c r="G4734" s="369">
        <f t="shared" si="1611"/>
        <v>9.14</v>
      </c>
      <c r="H4734" s="357">
        <f t="shared" si="1618"/>
        <v>7.31</v>
      </c>
      <c r="I4734" s="573"/>
      <c r="J4734" s="549" t="s">
        <v>5804</v>
      </c>
      <c r="O4734" s="322"/>
      <c r="P4734" s="261" t="str">
        <f t="shared" si="1623"/>
        <v/>
      </c>
      <c r="Q4734" s="261" t="str">
        <f t="shared" si="1623"/>
        <v/>
      </c>
      <c r="R4734" s="261" t="str">
        <f t="shared" si="1623"/>
        <v/>
      </c>
      <c r="S4734" s="261" t="str">
        <f t="shared" si="1623"/>
        <v/>
      </c>
      <c r="U4734" s="261" t="str">
        <f t="shared" si="1624"/>
        <v/>
      </c>
      <c r="V4734" s="261" t="str">
        <f t="shared" si="1624"/>
        <v/>
      </c>
      <c r="W4734" s="261" t="str">
        <f t="shared" si="1624"/>
        <v/>
      </c>
      <c r="X4734" s="261" t="str">
        <f t="shared" si="1624"/>
        <v/>
      </c>
    </row>
    <row r="4735" spans="1:24" x14ac:dyDescent="0.35">
      <c r="A4735" s="495" t="s">
        <v>129</v>
      </c>
      <c r="B4735" s="356" t="s">
        <v>5434</v>
      </c>
      <c r="C4735" s="356" t="s">
        <v>118</v>
      </c>
      <c r="D4735" s="356" t="s">
        <v>3918</v>
      </c>
      <c r="E4735" s="356"/>
      <c r="F4735" s="369">
        <f t="shared" si="1610"/>
        <v>12.59</v>
      </c>
      <c r="G4735" s="369">
        <f t="shared" si="1611"/>
        <v>12.99</v>
      </c>
      <c r="H4735" s="357">
        <f t="shared" si="1618"/>
        <v>10.39</v>
      </c>
      <c r="I4735" s="573"/>
      <c r="J4735" s="549" t="s">
        <v>5804</v>
      </c>
      <c r="O4735" s="322"/>
      <c r="P4735" s="261" t="str">
        <f t="shared" ref="P4735:S4736" si="1625">IF($O4735&lt;&gt;"",(1-$O4735)*P4734,"")</f>
        <v/>
      </c>
      <c r="Q4735" s="261" t="str">
        <f t="shared" si="1625"/>
        <v/>
      </c>
      <c r="R4735" s="261" t="str">
        <f t="shared" si="1625"/>
        <v/>
      </c>
      <c r="S4735" s="261" t="str">
        <f t="shared" si="1625"/>
        <v/>
      </c>
      <c r="U4735" s="261" t="str">
        <f t="shared" ref="U4735:X4736" si="1626">IF($O4735&lt;&gt;"",(1-$O4735)*U4734,"")</f>
        <v/>
      </c>
      <c r="V4735" s="261" t="str">
        <f t="shared" si="1626"/>
        <v/>
      </c>
      <c r="W4735" s="261" t="str">
        <f t="shared" si="1626"/>
        <v/>
      </c>
      <c r="X4735" s="261" t="str">
        <f t="shared" si="1626"/>
        <v/>
      </c>
    </row>
    <row r="4736" spans="1:24" x14ac:dyDescent="0.35">
      <c r="A4736" s="495" t="str">
        <f>"SgK5121--"&amp;RIGHT(A4735,5)</f>
        <v>SgK5121--Dez14</v>
      </c>
      <c r="B4736" s="356" t="s">
        <v>5434</v>
      </c>
      <c r="C4736" s="356" t="s">
        <v>118</v>
      </c>
      <c r="D4736" s="356" t="s">
        <v>3919</v>
      </c>
      <c r="E4736" s="356"/>
      <c r="F4736" s="369">
        <f t="shared" si="1610"/>
        <v>12.25</v>
      </c>
      <c r="G4736" s="369">
        <f t="shared" si="1611"/>
        <v>12.64</v>
      </c>
      <c r="H4736" s="357">
        <f t="shared" si="1618"/>
        <v>10.11</v>
      </c>
      <c r="I4736" s="573"/>
      <c r="J4736" s="549" t="s">
        <v>5804</v>
      </c>
      <c r="O4736" s="322"/>
      <c r="P4736" s="261" t="str">
        <f t="shared" si="1625"/>
        <v/>
      </c>
      <c r="Q4736" s="261" t="str">
        <f t="shared" si="1625"/>
        <v/>
      </c>
      <c r="R4736" s="261" t="str">
        <f t="shared" si="1625"/>
        <v/>
      </c>
      <c r="S4736" s="261" t="str">
        <f t="shared" si="1625"/>
        <v/>
      </c>
      <c r="U4736" s="261" t="str">
        <f t="shared" si="1626"/>
        <v/>
      </c>
      <c r="V4736" s="261" t="str">
        <f t="shared" si="1626"/>
        <v/>
      </c>
      <c r="W4736" s="261" t="str">
        <f t="shared" si="1626"/>
        <v/>
      </c>
      <c r="X4736" s="261" t="str">
        <f t="shared" si="1626"/>
        <v/>
      </c>
    </row>
    <row r="4737" spans="1:25" x14ac:dyDescent="0.35">
      <c r="A4737" s="495" t="str">
        <f>"SgK5122--"&amp;RIGHT(A4736,5)</f>
        <v>SgK5122--Dez14</v>
      </c>
      <c r="B4737" s="356" t="s">
        <v>5434</v>
      </c>
      <c r="C4737" s="356" t="s">
        <v>118</v>
      </c>
      <c r="D4737" s="356" t="s">
        <v>3920</v>
      </c>
      <c r="E4737" s="356"/>
      <c r="F4737" s="369">
        <f t="shared" si="1610"/>
        <v>10.95</v>
      </c>
      <c r="G4737" s="369">
        <f t="shared" si="1611"/>
        <v>11.35</v>
      </c>
      <c r="H4737" s="357">
        <f t="shared" si="1618"/>
        <v>9.08</v>
      </c>
      <c r="I4737" s="573"/>
      <c r="J4737" s="549" t="s">
        <v>5804</v>
      </c>
      <c r="O4737" s="322"/>
      <c r="P4737" s="261" t="str">
        <f t="shared" ref="P4737:S4738" si="1627">IF($O4737&lt;&gt;"",(1-$O4737)*P4735,"")</f>
        <v/>
      </c>
      <c r="Q4737" s="261" t="str">
        <f t="shared" si="1627"/>
        <v/>
      </c>
      <c r="R4737" s="261" t="str">
        <f t="shared" si="1627"/>
        <v/>
      </c>
      <c r="S4737" s="261" t="str">
        <f t="shared" si="1627"/>
        <v/>
      </c>
      <c r="U4737" s="261" t="str">
        <f t="shared" ref="U4737:X4738" si="1628">IF($O4737&lt;&gt;"",(1-$O4737)*U4735,"")</f>
        <v/>
      </c>
      <c r="V4737" s="261" t="str">
        <f t="shared" si="1628"/>
        <v/>
      </c>
      <c r="W4737" s="261" t="str">
        <f t="shared" si="1628"/>
        <v/>
      </c>
      <c r="X4737" s="261" t="str">
        <f t="shared" si="1628"/>
        <v/>
      </c>
    </row>
    <row r="4738" spans="1:25" x14ac:dyDescent="0.35">
      <c r="A4738" s="495" t="str">
        <f>"SgK5123--"&amp;RIGHT(A4737,5)</f>
        <v>SgK5123--Dez14</v>
      </c>
      <c r="B4738" s="356" t="s">
        <v>5434</v>
      </c>
      <c r="C4738" s="356" t="s">
        <v>118</v>
      </c>
      <c r="D4738" s="356" t="s">
        <v>3921</v>
      </c>
      <c r="E4738" s="356"/>
      <c r="F4738" s="369">
        <f t="shared" si="1610"/>
        <v>8.7200000000000006</v>
      </c>
      <c r="G4738" s="369">
        <f t="shared" si="1611"/>
        <v>9.1199999999999992</v>
      </c>
      <c r="H4738" s="357">
        <f t="shared" si="1618"/>
        <v>7.3</v>
      </c>
      <c r="I4738" s="573"/>
      <c r="J4738" s="549" t="s">
        <v>5804</v>
      </c>
      <c r="O4738" s="322"/>
      <c r="P4738" s="261" t="str">
        <f t="shared" si="1627"/>
        <v/>
      </c>
      <c r="Q4738" s="261" t="str">
        <f t="shared" si="1627"/>
        <v/>
      </c>
      <c r="R4738" s="261" t="str">
        <f t="shared" si="1627"/>
        <v/>
      </c>
      <c r="S4738" s="261" t="str">
        <f t="shared" si="1627"/>
        <v/>
      </c>
      <c r="U4738" s="261" t="str">
        <f t="shared" si="1628"/>
        <v/>
      </c>
      <c r="V4738" s="261" t="str">
        <f t="shared" si="1628"/>
        <v/>
      </c>
      <c r="W4738" s="261" t="str">
        <f t="shared" si="1628"/>
        <v/>
      </c>
      <c r="X4738" s="261" t="str">
        <f t="shared" si="1628"/>
        <v/>
      </c>
    </row>
    <row r="4739" spans="1:25" x14ac:dyDescent="0.35">
      <c r="A4739" s="496"/>
      <c r="B4739" s="1"/>
      <c r="C4739" s="1"/>
      <c r="D4739" s="1"/>
      <c r="E4739" s="1"/>
      <c r="F4739" s="362"/>
      <c r="G4739" s="10"/>
      <c r="H4739" s="10" t="str">
        <f t="shared" si="1618"/>
        <v/>
      </c>
      <c r="I4739" s="566"/>
      <c r="J4739" s="549" t="s">
        <v>4179</v>
      </c>
      <c r="K4739" s="11"/>
      <c r="N4739" s="109" t="s">
        <v>3901</v>
      </c>
      <c r="O4739" s="29" t="s">
        <v>5489</v>
      </c>
      <c r="P4739" t="s">
        <v>3918</v>
      </c>
      <c r="Q4739" t="s">
        <v>3919</v>
      </c>
      <c r="R4739" t="s">
        <v>3920</v>
      </c>
      <c r="S4739" t="s">
        <v>3921</v>
      </c>
      <c r="T4739" t="s">
        <v>49</v>
      </c>
      <c r="U4739" t="s">
        <v>3918</v>
      </c>
      <c r="V4739" t="s">
        <v>3919</v>
      </c>
      <c r="W4739" t="s">
        <v>3920</v>
      </c>
      <c r="X4739" t="s">
        <v>3921</v>
      </c>
      <c r="Y4739" t="s">
        <v>50</v>
      </c>
    </row>
    <row r="4740" spans="1:25" x14ac:dyDescent="0.35">
      <c r="A4740" s="495" t="s">
        <v>354</v>
      </c>
      <c r="B4740" s="356" t="s">
        <v>5434</v>
      </c>
      <c r="C4740" s="356" t="str">
        <f t="shared" ref="C4740:C4767" si="1629">"Inbetriebnahme "&amp;TEXT(DATEVALUE(RIGHT(A4740,5)),"MM/JJJJ")</f>
        <v>Inbetriebnahme 01/2015</v>
      </c>
      <c r="D4740" s="356" t="str">
        <f>$Q$4687</f>
        <v>0 - 10 kW</v>
      </c>
      <c r="E4740" s="356"/>
      <c r="F4740" s="369">
        <f t="shared" ref="F4740:F4787" si="1630">IF(HLOOKUP($D4740,$U$4739:$X$5191,MATCH(RIGHT($A4740,5),$N$4739:$N$5191,0),FALSE)&lt;&gt;"",ROUND(HLOOKUP($D4740,$U$4739:$X$5191,MATCH(RIGHT($A4740,5),$N$4739:$N$5191,0),FALSE),2),"")</f>
        <v>12.56</v>
      </c>
      <c r="G4740" s="369">
        <f t="shared" ref="G4740:G4787" si="1631">IF(HLOOKUP($D4740,$P$4739:$X$5191,MATCH(RIGHT($A4740,5),$N$4739:$N$5191,0),FALSE)&lt;&gt;"",ROUND(HLOOKUP($D4740,$P$4739:$X$5191,MATCH(RIGHT($A4740,5),$N$4739:$N$5191,0),FALSE),2),"")</f>
        <v>12.95</v>
      </c>
      <c r="H4740" s="357">
        <f t="shared" si="1618"/>
        <v>10.36</v>
      </c>
      <c r="I4740" s="573"/>
      <c r="J4740" s="549" t="s">
        <v>5804</v>
      </c>
      <c r="K4740" s="11"/>
      <c r="M4740" s="101">
        <v>2015</v>
      </c>
      <c r="N4740" s="522" t="s">
        <v>353</v>
      </c>
      <c r="O4740" s="461">
        <v>2.5000000000000001E-3</v>
      </c>
      <c r="P4740" s="11">
        <f>IF($O4740&lt;&gt;"",P4723*(100%-$O4740),"")</f>
        <v>12.953897342120483</v>
      </c>
      <c r="Q4740" s="11">
        <f>IF($O4740&lt;&gt;"",Q4723*(100%-$O4740),"")</f>
        <v>12.609116804497503</v>
      </c>
      <c r="R4740" s="11">
        <f>IF($O4740&lt;&gt;"",R4723*(100%-$O4740),"")</f>
        <v>11.318652506537212</v>
      </c>
      <c r="S4740" s="11">
        <f>IF($O4740&lt;&gt;"",S4723*(100%-$O4740),"")</f>
        <v>9.0923553207431187</v>
      </c>
      <c r="T4740" s="11"/>
      <c r="U4740" s="11">
        <f>IF($O4740&lt;&gt;"",U4723*(100%-$O4740),"")</f>
        <v>12.559862441979934</v>
      </c>
      <c r="V4740" s="11">
        <f>IF($O4740&lt;&gt;"",V4723*(100%-$O4740),"")</f>
        <v>12.215081904356957</v>
      </c>
      <c r="W4740" s="11">
        <f>IF($O4740&lt;&gt;"",W4723*(100%-$O4740),"")</f>
        <v>10.924617606396664</v>
      </c>
      <c r="X4740" s="11">
        <f>IF($O4740&lt;&gt;"",X4723*(100%-$O4740),"")</f>
        <v>8.6983204206025739</v>
      </c>
    </row>
    <row r="4741" spans="1:25" x14ac:dyDescent="0.35">
      <c r="A4741" s="495" t="str">
        <f>"SgK5121--"&amp;RIGHT(A4740,5)</f>
        <v>SgK5121--Jan15</v>
      </c>
      <c r="B4741" s="356" t="s">
        <v>5434</v>
      </c>
      <c r="C4741" s="356" t="str">
        <f t="shared" si="1629"/>
        <v>Inbetriebnahme 01/2015</v>
      </c>
      <c r="D4741" s="356" t="str">
        <f>$R$4687</f>
        <v>10 - 40 kW</v>
      </c>
      <c r="E4741" s="356"/>
      <c r="F4741" s="369">
        <f t="shared" si="1630"/>
        <v>12.22</v>
      </c>
      <c r="G4741" s="369">
        <f t="shared" si="1631"/>
        <v>12.61</v>
      </c>
      <c r="H4741" s="357">
        <f t="shared" si="1618"/>
        <v>10.09</v>
      </c>
      <c r="I4741" s="573"/>
      <c r="J4741" s="549" t="s">
        <v>5804</v>
      </c>
      <c r="K4741" s="11"/>
      <c r="M4741" s="339"/>
      <c r="N4741" s="266" t="str">
        <f t="shared" ref="N4741:N4751" si="1632">TEXT(DATE(YEAR(DATEVALUE(N4740)),MONTH(DATEVALUE(N4740))+1,1),"MMMJJ")</f>
        <v>Feb15</v>
      </c>
      <c r="O4741" s="461">
        <v>2.5000000000000001E-3</v>
      </c>
      <c r="P4741" s="11">
        <f t="shared" ref="P4741:P4751" si="1633">IF($O4741&lt;&gt;"",P4740*(100%-$O4741),"")</f>
        <v>12.921512598765181</v>
      </c>
      <c r="Q4741" s="11">
        <f t="shared" ref="Q4741:Q4751" si="1634">IF($O4741&lt;&gt;"",Q4740*(100%-$O4741),"")</f>
        <v>12.57759401248626</v>
      </c>
      <c r="R4741" s="11">
        <f t="shared" ref="R4741:R4751" si="1635">IF($O4741&lt;&gt;"",R4740*(100%-$O4741),"")</f>
        <v>11.290355875270869</v>
      </c>
      <c r="S4741" s="11">
        <f t="shared" ref="S4741:S4751" si="1636">IF($O4741&lt;&gt;"",S4740*(100%-$O4741),"")</f>
        <v>9.0696244324412607</v>
      </c>
      <c r="T4741" s="11"/>
      <c r="U4741" s="11">
        <f t="shared" ref="U4741:U4751" si="1637">IF($O4741&lt;&gt;"",U4740*(100%-$O4741),"")</f>
        <v>12.528462785874986</v>
      </c>
      <c r="V4741" s="11">
        <f t="shared" ref="V4741:V4751" si="1638">IF($O4741&lt;&gt;"",V4740*(100%-$O4741),"")</f>
        <v>12.184544199596065</v>
      </c>
      <c r="W4741" s="11">
        <f t="shared" ref="W4741:W4751" si="1639">IF($O4741&lt;&gt;"",W4740*(100%-$O4741),"")</f>
        <v>10.897306062380673</v>
      </c>
      <c r="X4741" s="11">
        <f t="shared" ref="X4741:X4751" si="1640">IF($O4741&lt;&gt;"",X4740*(100%-$O4741),"")</f>
        <v>8.6765746195510687</v>
      </c>
    </row>
    <row r="4742" spans="1:25" x14ac:dyDescent="0.35">
      <c r="A4742" s="495" t="str">
        <f>"SgK5122--"&amp;RIGHT(A4741,5)</f>
        <v>SgK5122--Jan15</v>
      </c>
      <c r="B4742" s="356" t="s">
        <v>5434</v>
      </c>
      <c r="C4742" s="356" t="str">
        <f t="shared" si="1629"/>
        <v>Inbetriebnahme 01/2015</v>
      </c>
      <c r="D4742" s="356" t="str">
        <f>$S$4687</f>
        <v>40 kW - 1 MW</v>
      </c>
      <c r="E4742" s="356"/>
      <c r="F4742" s="369">
        <f t="shared" si="1630"/>
        <v>10.92</v>
      </c>
      <c r="G4742" s="369">
        <f t="shared" si="1631"/>
        <v>11.32</v>
      </c>
      <c r="H4742" s="357">
        <f t="shared" si="1618"/>
        <v>9.06</v>
      </c>
      <c r="I4742" s="573"/>
      <c r="J4742" s="549" t="s">
        <v>5804</v>
      </c>
      <c r="K4742" s="11"/>
      <c r="M4742" s="339"/>
      <c r="N4742" s="266" t="str">
        <f t="shared" si="1632"/>
        <v>Mrz15</v>
      </c>
      <c r="O4742" s="461">
        <v>2.5000000000000001E-3</v>
      </c>
      <c r="P4742" s="11">
        <f t="shared" si="1633"/>
        <v>12.889208817268269</v>
      </c>
      <c r="Q4742" s="11">
        <f t="shared" si="1634"/>
        <v>12.546150027455045</v>
      </c>
      <c r="R4742" s="11">
        <f t="shared" si="1635"/>
        <v>11.262129985582693</v>
      </c>
      <c r="S4742" s="11">
        <f t="shared" si="1636"/>
        <v>9.0469503713601576</v>
      </c>
      <c r="T4742" s="11"/>
      <c r="U4742" s="11">
        <f t="shared" si="1637"/>
        <v>12.497141628910299</v>
      </c>
      <c r="V4742" s="11">
        <f t="shared" si="1638"/>
        <v>12.154082839097075</v>
      </c>
      <c r="W4742" s="11">
        <f t="shared" si="1639"/>
        <v>10.870062797224723</v>
      </c>
      <c r="X4742" s="11">
        <f t="shared" si="1640"/>
        <v>8.6548831830021911</v>
      </c>
    </row>
    <row r="4743" spans="1:25" x14ac:dyDescent="0.35">
      <c r="A4743" s="495" t="str">
        <f>"SgK5123--"&amp;RIGHT(A4742,5)</f>
        <v>SgK5123--Jan15</v>
      </c>
      <c r="B4743" s="356" t="s">
        <v>5434</v>
      </c>
      <c r="C4743" s="356" t="str">
        <f t="shared" si="1629"/>
        <v>Inbetriebnahme 01/2015</v>
      </c>
      <c r="D4743" s="356" t="str">
        <f>$T$4687</f>
        <v>1 - 10 MW</v>
      </c>
      <c r="E4743" s="356"/>
      <c r="F4743" s="369">
        <f t="shared" si="1630"/>
        <v>8.6999999999999993</v>
      </c>
      <c r="G4743" s="369">
        <f t="shared" si="1631"/>
        <v>9.09</v>
      </c>
      <c r="H4743" s="357">
        <f t="shared" si="1618"/>
        <v>7.27</v>
      </c>
      <c r="I4743" s="573"/>
      <c r="J4743" s="549" t="s">
        <v>5804</v>
      </c>
      <c r="K4743" s="11"/>
      <c r="M4743" s="339"/>
      <c r="N4743" s="266" t="str">
        <f t="shared" si="1632"/>
        <v>Apr15</v>
      </c>
      <c r="O4743" s="461">
        <v>2.5000000000000001E-3</v>
      </c>
      <c r="P4743" s="11">
        <f t="shared" si="1633"/>
        <v>12.8569857952251</v>
      </c>
      <c r="Q4743" s="11">
        <f t="shared" si="1634"/>
        <v>12.514784652386409</v>
      </c>
      <c r="R4743" s="11">
        <f t="shared" si="1635"/>
        <v>11.233974660618737</v>
      </c>
      <c r="S4743" s="11">
        <f t="shared" si="1636"/>
        <v>9.0243329954317577</v>
      </c>
      <c r="T4743" s="11"/>
      <c r="U4743" s="11">
        <f t="shared" si="1637"/>
        <v>12.465898774838024</v>
      </c>
      <c r="V4743" s="11">
        <f t="shared" si="1638"/>
        <v>12.123697631999333</v>
      </c>
      <c r="W4743" s="11">
        <f t="shared" si="1639"/>
        <v>10.842887640231661</v>
      </c>
      <c r="X4743" s="11">
        <f t="shared" si="1640"/>
        <v>8.6332459750446855</v>
      </c>
    </row>
    <row r="4744" spans="1:25" x14ac:dyDescent="0.35">
      <c r="A4744" s="495" t="s">
        <v>355</v>
      </c>
      <c r="B4744" s="356" t="s">
        <v>5434</v>
      </c>
      <c r="C4744" s="356" t="str">
        <f t="shared" si="1629"/>
        <v>Inbetriebnahme 02/2015</v>
      </c>
      <c r="D4744" s="356" t="str">
        <f>$Q$4687</f>
        <v>0 - 10 kW</v>
      </c>
      <c r="E4744" s="356"/>
      <c r="F4744" s="369">
        <f t="shared" si="1630"/>
        <v>12.53</v>
      </c>
      <c r="G4744" s="369">
        <f t="shared" si="1631"/>
        <v>12.92</v>
      </c>
      <c r="H4744" s="357">
        <f t="shared" si="1618"/>
        <v>10.34</v>
      </c>
      <c r="I4744" s="573"/>
      <c r="J4744" s="549" t="s">
        <v>5804</v>
      </c>
      <c r="K4744" s="11"/>
      <c r="M4744" s="339"/>
      <c r="N4744" s="266" t="str">
        <f t="shared" si="1632"/>
        <v>Mai15</v>
      </c>
      <c r="O4744" s="461">
        <v>2.5000000000000001E-3</v>
      </c>
      <c r="P4744" s="11">
        <f t="shared" si="1633"/>
        <v>12.824843330737037</v>
      </c>
      <c r="Q4744" s="11">
        <f t="shared" si="1634"/>
        <v>12.483497690755444</v>
      </c>
      <c r="R4744" s="11">
        <f t="shared" si="1635"/>
        <v>11.205889723967191</v>
      </c>
      <c r="S4744" s="11">
        <f t="shared" si="1636"/>
        <v>9.0017721629431779</v>
      </c>
      <c r="T4744" s="11"/>
      <c r="U4744" s="11">
        <f t="shared" si="1637"/>
        <v>12.43473402790093</v>
      </c>
      <c r="V4744" s="11">
        <f t="shared" si="1638"/>
        <v>12.093388387919335</v>
      </c>
      <c r="W4744" s="11">
        <f t="shared" si="1639"/>
        <v>10.815780421131082</v>
      </c>
      <c r="X4744" s="11">
        <f t="shared" si="1640"/>
        <v>8.6116628601070744</v>
      </c>
    </row>
    <row r="4745" spans="1:25" x14ac:dyDescent="0.35">
      <c r="A4745" s="495" t="str">
        <f>"SgK5121--"&amp;RIGHT(A4744,5)</f>
        <v>SgK5121--Feb15</v>
      </c>
      <c r="B4745" s="356" t="s">
        <v>5434</v>
      </c>
      <c r="C4745" s="356" t="str">
        <f t="shared" si="1629"/>
        <v>Inbetriebnahme 02/2015</v>
      </c>
      <c r="D4745" s="356" t="str">
        <f>$R$4687</f>
        <v>10 - 40 kW</v>
      </c>
      <c r="E4745" s="356"/>
      <c r="F4745" s="369">
        <f t="shared" si="1630"/>
        <v>12.18</v>
      </c>
      <c r="G4745" s="369">
        <f t="shared" si="1631"/>
        <v>12.58</v>
      </c>
      <c r="H4745" s="357">
        <f t="shared" si="1618"/>
        <v>10.06</v>
      </c>
      <c r="I4745" s="573"/>
      <c r="J4745" s="549" t="s">
        <v>5804</v>
      </c>
      <c r="K4745" s="11"/>
      <c r="M4745" s="339"/>
      <c r="N4745" s="266" t="str">
        <f t="shared" si="1632"/>
        <v>Jun15</v>
      </c>
      <c r="O4745" s="461">
        <v>2.5000000000000001E-3</v>
      </c>
      <c r="P4745" s="11">
        <f t="shared" si="1633"/>
        <v>12.792781222410195</v>
      </c>
      <c r="Q4745" s="11">
        <f t="shared" si="1634"/>
        <v>12.452288946528556</v>
      </c>
      <c r="R4745" s="11">
        <f t="shared" si="1635"/>
        <v>11.177874999657273</v>
      </c>
      <c r="S4745" s="11">
        <f t="shared" si="1636"/>
        <v>8.9792677325358206</v>
      </c>
      <c r="T4745" s="11"/>
      <c r="U4745" s="11">
        <f t="shared" si="1637"/>
        <v>12.403647192831178</v>
      </c>
      <c r="V4745" s="11">
        <f t="shared" si="1638"/>
        <v>12.063154916949538</v>
      </c>
      <c r="W4745" s="11">
        <f t="shared" si="1639"/>
        <v>10.788740970078255</v>
      </c>
      <c r="X4745" s="11">
        <f t="shared" si="1640"/>
        <v>8.5901337029568072</v>
      </c>
    </row>
    <row r="4746" spans="1:25" x14ac:dyDescent="0.35">
      <c r="A4746" s="495" t="str">
        <f>"SgK5122--"&amp;RIGHT(A4745,5)</f>
        <v>SgK5122--Feb15</v>
      </c>
      <c r="B4746" s="356" t="s">
        <v>5434</v>
      </c>
      <c r="C4746" s="356" t="str">
        <f t="shared" si="1629"/>
        <v>Inbetriebnahme 02/2015</v>
      </c>
      <c r="D4746" s="356" t="str">
        <f>$S$4687</f>
        <v>40 kW - 1 MW</v>
      </c>
      <c r="E4746" s="356"/>
      <c r="F4746" s="369">
        <f t="shared" si="1630"/>
        <v>10.9</v>
      </c>
      <c r="G4746" s="369">
        <f t="shared" si="1631"/>
        <v>11.29</v>
      </c>
      <c r="H4746" s="357">
        <f t="shared" si="1618"/>
        <v>9.0299999999999994</v>
      </c>
      <c r="I4746" s="573"/>
      <c r="J4746" s="549" t="s">
        <v>5804</v>
      </c>
      <c r="K4746" s="11"/>
      <c r="M4746" s="339"/>
      <c r="N4746" s="266" t="str">
        <f t="shared" si="1632"/>
        <v>Jul15</v>
      </c>
      <c r="O4746" s="461">
        <v>2.5000000000000001E-3</v>
      </c>
      <c r="P4746" s="11">
        <f t="shared" si="1633"/>
        <v>12.76079926935417</v>
      </c>
      <c r="Q4746" s="11">
        <f t="shared" si="1634"/>
        <v>12.421158224162236</v>
      </c>
      <c r="R4746" s="11">
        <f t="shared" si="1635"/>
        <v>11.149930312158132</v>
      </c>
      <c r="S4746" s="11">
        <f t="shared" si="1636"/>
        <v>8.9568195632044816</v>
      </c>
      <c r="T4746" s="11"/>
      <c r="U4746" s="11">
        <f t="shared" si="1637"/>
        <v>12.372638074849101</v>
      </c>
      <c r="V4746" s="11">
        <f t="shared" si="1638"/>
        <v>12.032997029657164</v>
      </c>
      <c r="W4746" s="11">
        <f t="shared" si="1639"/>
        <v>10.76176911765306</v>
      </c>
      <c r="X4746" s="11">
        <f t="shared" si="1640"/>
        <v>8.5686583686994151</v>
      </c>
    </row>
    <row r="4747" spans="1:25" x14ac:dyDescent="0.35">
      <c r="A4747" s="495" t="str">
        <f>"SgK5123--"&amp;RIGHT(A4746,5)</f>
        <v>SgK5123--Feb15</v>
      </c>
      <c r="B4747" s="356" t="s">
        <v>5434</v>
      </c>
      <c r="C4747" s="356" t="str">
        <f t="shared" si="1629"/>
        <v>Inbetriebnahme 02/2015</v>
      </c>
      <c r="D4747" s="356" t="str">
        <f>$T$4687</f>
        <v>1 - 10 MW</v>
      </c>
      <c r="E4747" s="356"/>
      <c r="F4747" s="369">
        <f t="shared" si="1630"/>
        <v>8.68</v>
      </c>
      <c r="G4747" s="369">
        <f t="shared" si="1631"/>
        <v>9.07</v>
      </c>
      <c r="H4747" s="357">
        <f t="shared" si="1618"/>
        <v>7.26</v>
      </c>
      <c r="I4747" s="573"/>
      <c r="J4747" s="549" t="s">
        <v>5804</v>
      </c>
      <c r="K4747" s="11"/>
      <c r="M4747" s="101"/>
      <c r="N4747" s="266" t="str">
        <f t="shared" si="1632"/>
        <v>Aug15</v>
      </c>
      <c r="O4747" s="461">
        <v>2.5000000000000001E-3</v>
      </c>
      <c r="P4747" s="11">
        <f t="shared" si="1633"/>
        <v>12.728897271180784</v>
      </c>
      <c r="Q4747" s="11">
        <f t="shared" si="1634"/>
        <v>12.39010532860183</v>
      </c>
      <c r="R4747" s="11">
        <f t="shared" si="1635"/>
        <v>11.122055486377738</v>
      </c>
      <c r="S4747" s="11">
        <f t="shared" si="1636"/>
        <v>8.9344275142964715</v>
      </c>
      <c r="T4747" s="11"/>
      <c r="U4747" s="11">
        <f t="shared" si="1637"/>
        <v>12.34170647966198</v>
      </c>
      <c r="V4747" s="11">
        <f t="shared" si="1638"/>
        <v>12.002914537083022</v>
      </c>
      <c r="W4747" s="11">
        <f t="shared" si="1639"/>
        <v>10.734864694858928</v>
      </c>
      <c r="X4747" s="11">
        <f t="shared" si="1640"/>
        <v>8.5472367227776669</v>
      </c>
    </row>
    <row r="4748" spans="1:25" x14ac:dyDescent="0.35">
      <c r="A4748" s="495" t="s">
        <v>356</v>
      </c>
      <c r="B4748" s="356" t="s">
        <v>5434</v>
      </c>
      <c r="C4748" s="356" t="str">
        <f t="shared" si="1629"/>
        <v>Inbetriebnahme 03/2015</v>
      </c>
      <c r="D4748" s="356" t="str">
        <f>$Q$4687</f>
        <v>0 - 10 kW</v>
      </c>
      <c r="E4748" s="356"/>
      <c r="F4748" s="369">
        <f t="shared" si="1630"/>
        <v>12.5</v>
      </c>
      <c r="G4748" s="369">
        <f t="shared" si="1631"/>
        <v>12.89</v>
      </c>
      <c r="H4748" s="357">
        <f t="shared" si="1618"/>
        <v>10.31</v>
      </c>
      <c r="I4748" s="573"/>
      <c r="J4748" s="549" t="s">
        <v>5804</v>
      </c>
      <c r="K4748" s="11"/>
      <c r="N4748" s="266" t="str">
        <f t="shared" si="1632"/>
        <v>Sep15</v>
      </c>
      <c r="O4748" s="461">
        <v>2.5000000000000001E-3</v>
      </c>
      <c r="P4748" s="11">
        <f t="shared" si="1633"/>
        <v>12.697075028002834</v>
      </c>
      <c r="Q4748" s="11">
        <f t="shared" si="1634"/>
        <v>12.359130065280326</v>
      </c>
      <c r="R4748" s="11">
        <f t="shared" si="1635"/>
        <v>11.094250347661793</v>
      </c>
      <c r="S4748" s="11">
        <f t="shared" si="1636"/>
        <v>8.9120914455107307</v>
      </c>
      <c r="T4748" s="11"/>
      <c r="U4748" s="11">
        <f t="shared" si="1637"/>
        <v>12.310852213462825</v>
      </c>
      <c r="V4748" s="11">
        <f t="shared" si="1638"/>
        <v>11.972907250740315</v>
      </c>
      <c r="W4748" s="11">
        <f t="shared" si="1639"/>
        <v>10.708027533121781</v>
      </c>
      <c r="X4748" s="11">
        <f t="shared" si="1640"/>
        <v>8.5258686309707237</v>
      </c>
    </row>
    <row r="4749" spans="1:25" x14ac:dyDescent="0.35">
      <c r="A4749" s="495" t="str">
        <f>"SgK5121--"&amp;RIGHT(A4748,5)</f>
        <v>SgK5121--Mrz15</v>
      </c>
      <c r="B4749" s="356" t="s">
        <v>5434</v>
      </c>
      <c r="C4749" s="356" t="str">
        <f t="shared" si="1629"/>
        <v>Inbetriebnahme 03/2015</v>
      </c>
      <c r="D4749" s="356" t="str">
        <f>$R$4687</f>
        <v>10 - 40 kW</v>
      </c>
      <c r="E4749" s="356"/>
      <c r="F4749" s="369">
        <f t="shared" si="1630"/>
        <v>12.15</v>
      </c>
      <c r="G4749" s="369">
        <f t="shared" si="1631"/>
        <v>12.55</v>
      </c>
      <c r="H4749" s="357">
        <f t="shared" si="1618"/>
        <v>10.039999999999999</v>
      </c>
      <c r="I4749" s="573"/>
      <c r="J4749" s="549" t="s">
        <v>5804</v>
      </c>
      <c r="K4749" s="11"/>
      <c r="N4749" s="266" t="str">
        <f t="shared" si="1632"/>
        <v>Okt15</v>
      </c>
      <c r="O4749" s="461">
        <v>0</v>
      </c>
      <c r="P4749" s="11">
        <f t="shared" si="1633"/>
        <v>12.697075028002834</v>
      </c>
      <c r="Q4749" s="11">
        <f t="shared" si="1634"/>
        <v>12.359130065280326</v>
      </c>
      <c r="R4749" s="11">
        <f t="shared" si="1635"/>
        <v>11.094250347661793</v>
      </c>
      <c r="S4749" s="11">
        <f t="shared" si="1636"/>
        <v>8.9120914455107307</v>
      </c>
      <c r="T4749" s="11"/>
      <c r="U4749" s="11">
        <f t="shared" si="1637"/>
        <v>12.310852213462825</v>
      </c>
      <c r="V4749" s="11">
        <f t="shared" si="1638"/>
        <v>11.972907250740315</v>
      </c>
      <c r="W4749" s="11">
        <f t="shared" si="1639"/>
        <v>10.708027533121781</v>
      </c>
      <c r="X4749" s="11">
        <f t="shared" si="1640"/>
        <v>8.5258686309707237</v>
      </c>
    </row>
    <row r="4750" spans="1:25" x14ac:dyDescent="0.35">
      <c r="A4750" s="495" t="str">
        <f>"SgK5122--"&amp;RIGHT(A4749,5)</f>
        <v>SgK5122--Mrz15</v>
      </c>
      <c r="B4750" s="356" t="s">
        <v>5434</v>
      </c>
      <c r="C4750" s="356" t="str">
        <f t="shared" si="1629"/>
        <v>Inbetriebnahme 03/2015</v>
      </c>
      <c r="D4750" s="356" t="str">
        <f>$S$4687</f>
        <v>40 kW - 1 MW</v>
      </c>
      <c r="E4750" s="356"/>
      <c r="F4750" s="369">
        <f t="shared" si="1630"/>
        <v>10.87</v>
      </c>
      <c r="G4750" s="369">
        <f t="shared" si="1631"/>
        <v>11.26</v>
      </c>
      <c r="H4750" s="357">
        <f t="shared" si="1618"/>
        <v>9.01</v>
      </c>
      <c r="I4750" s="573"/>
      <c r="J4750" s="549" t="s">
        <v>5804</v>
      </c>
      <c r="K4750" s="11"/>
      <c r="N4750" s="266" t="str">
        <f t="shared" si="1632"/>
        <v>Nov15</v>
      </c>
      <c r="O4750" s="461">
        <v>0</v>
      </c>
      <c r="P4750" s="11">
        <f t="shared" si="1633"/>
        <v>12.697075028002834</v>
      </c>
      <c r="Q4750" s="11">
        <f t="shared" si="1634"/>
        <v>12.359130065280326</v>
      </c>
      <c r="R4750" s="11">
        <f t="shared" si="1635"/>
        <v>11.094250347661793</v>
      </c>
      <c r="S4750" s="11">
        <f t="shared" si="1636"/>
        <v>8.9120914455107307</v>
      </c>
      <c r="T4750" s="11"/>
      <c r="U4750" s="11">
        <f t="shared" si="1637"/>
        <v>12.310852213462825</v>
      </c>
      <c r="V4750" s="11">
        <f t="shared" si="1638"/>
        <v>11.972907250740315</v>
      </c>
      <c r="W4750" s="11">
        <f t="shared" si="1639"/>
        <v>10.708027533121781</v>
      </c>
      <c r="X4750" s="11">
        <f t="shared" si="1640"/>
        <v>8.5258686309707237</v>
      </c>
    </row>
    <row r="4751" spans="1:25" x14ac:dyDescent="0.35">
      <c r="A4751" s="495" t="str">
        <f>"SgK5123--"&amp;RIGHT(A4750,5)</f>
        <v>SgK5123--Mrz15</v>
      </c>
      <c r="B4751" s="356" t="s">
        <v>5434</v>
      </c>
      <c r="C4751" s="356" t="str">
        <f t="shared" si="1629"/>
        <v>Inbetriebnahme 03/2015</v>
      </c>
      <c r="D4751" s="356" t="str">
        <f>$T$4687</f>
        <v>1 - 10 MW</v>
      </c>
      <c r="E4751" s="356"/>
      <c r="F4751" s="369">
        <f t="shared" si="1630"/>
        <v>8.65</v>
      </c>
      <c r="G4751" s="369">
        <f t="shared" si="1631"/>
        <v>9.0500000000000007</v>
      </c>
      <c r="H4751" s="357">
        <f t="shared" si="1618"/>
        <v>7.24</v>
      </c>
      <c r="I4751" s="573"/>
      <c r="J4751" s="549" t="s">
        <v>5804</v>
      </c>
      <c r="K4751" s="11"/>
      <c r="N4751" s="266" t="str">
        <f t="shared" si="1632"/>
        <v>Dez15</v>
      </c>
      <c r="O4751" s="461">
        <v>0</v>
      </c>
      <c r="P4751" s="11">
        <f t="shared" si="1633"/>
        <v>12.697075028002834</v>
      </c>
      <c r="Q4751" s="11">
        <f t="shared" si="1634"/>
        <v>12.359130065280326</v>
      </c>
      <c r="R4751" s="11">
        <f t="shared" si="1635"/>
        <v>11.094250347661793</v>
      </c>
      <c r="S4751" s="11">
        <f t="shared" si="1636"/>
        <v>8.9120914455107307</v>
      </c>
      <c r="T4751" s="11"/>
      <c r="U4751" s="11">
        <f t="shared" si="1637"/>
        <v>12.310852213462825</v>
      </c>
      <c r="V4751" s="11">
        <f t="shared" si="1638"/>
        <v>11.972907250740315</v>
      </c>
      <c r="W4751" s="11">
        <f t="shared" si="1639"/>
        <v>10.708027533121781</v>
      </c>
      <c r="X4751" s="11">
        <f t="shared" si="1640"/>
        <v>8.5258686309707237</v>
      </c>
    </row>
    <row r="4752" spans="1:25" x14ac:dyDescent="0.35">
      <c r="A4752" s="495" t="s">
        <v>357</v>
      </c>
      <c r="B4752" s="356" t="s">
        <v>5434</v>
      </c>
      <c r="C4752" s="356" t="str">
        <f t="shared" si="1629"/>
        <v>Inbetriebnahme 04/2015</v>
      </c>
      <c r="D4752" s="356" t="str">
        <f>$Q$4687</f>
        <v>0 - 10 kW</v>
      </c>
      <c r="E4752" s="356"/>
      <c r="F4752" s="369">
        <f t="shared" si="1630"/>
        <v>12.47</v>
      </c>
      <c r="G4752" s="369">
        <f t="shared" si="1631"/>
        <v>12.86</v>
      </c>
      <c r="H4752" s="357">
        <f t="shared" si="1618"/>
        <v>10.29</v>
      </c>
      <c r="I4752" s="573"/>
      <c r="J4752" s="549" t="s">
        <v>5804</v>
      </c>
      <c r="K4752" s="11"/>
      <c r="M4752" s="339"/>
      <c r="N4752" s="108"/>
      <c r="O4752" s="259"/>
      <c r="P4752" s="260"/>
      <c r="Q4752" s="261"/>
      <c r="R4752" s="261"/>
      <c r="S4752" s="261"/>
      <c r="T4752" s="261"/>
    </row>
    <row r="4753" spans="1:20" x14ac:dyDescent="0.35">
      <c r="A4753" s="495" t="str">
        <f>"SgK5121--"&amp;RIGHT(A4752,5)</f>
        <v>SgK5121--Apr15</v>
      </c>
      <c r="B4753" s="356" t="s">
        <v>5434</v>
      </c>
      <c r="C4753" s="356" t="str">
        <f t="shared" si="1629"/>
        <v>Inbetriebnahme 04/2015</v>
      </c>
      <c r="D4753" s="356" t="str">
        <f>$R$4687</f>
        <v>10 - 40 kW</v>
      </c>
      <c r="E4753" s="356"/>
      <c r="F4753" s="369">
        <f t="shared" si="1630"/>
        <v>12.12</v>
      </c>
      <c r="G4753" s="369">
        <f t="shared" si="1631"/>
        <v>12.51</v>
      </c>
      <c r="H4753" s="357">
        <f t="shared" si="1618"/>
        <v>10.01</v>
      </c>
      <c r="I4753" s="573"/>
      <c r="J4753" s="549" t="s">
        <v>5804</v>
      </c>
      <c r="K4753" s="11"/>
      <c r="M4753" s="339"/>
      <c r="N4753" s="108"/>
      <c r="O4753" s="266"/>
      <c r="P4753" s="260"/>
      <c r="Q4753" s="261"/>
      <c r="R4753" s="261"/>
      <c r="S4753" s="261"/>
      <c r="T4753" s="261"/>
    </row>
    <row r="4754" spans="1:20" x14ac:dyDescent="0.35">
      <c r="A4754" s="495" t="str">
        <f>"SgK5122--"&amp;RIGHT(A4753,5)</f>
        <v>SgK5122--Apr15</v>
      </c>
      <c r="B4754" s="356" t="s">
        <v>5434</v>
      </c>
      <c r="C4754" s="356" t="str">
        <f t="shared" si="1629"/>
        <v>Inbetriebnahme 04/2015</v>
      </c>
      <c r="D4754" s="356" t="str">
        <f>$S$4687</f>
        <v>40 kW - 1 MW</v>
      </c>
      <c r="E4754" s="356"/>
      <c r="F4754" s="369">
        <f t="shared" si="1630"/>
        <v>10.84</v>
      </c>
      <c r="G4754" s="369">
        <f t="shared" si="1631"/>
        <v>11.23</v>
      </c>
      <c r="H4754" s="357">
        <f t="shared" si="1618"/>
        <v>8.98</v>
      </c>
      <c r="I4754" s="573"/>
      <c r="J4754" s="549" t="s">
        <v>5804</v>
      </c>
      <c r="K4754" s="11"/>
      <c r="M4754" s="339"/>
      <c r="N4754" s="108"/>
      <c r="O4754" s="266"/>
      <c r="P4754" s="260"/>
      <c r="Q4754" s="261"/>
      <c r="R4754" s="261"/>
      <c r="S4754" s="261"/>
      <c r="T4754" s="261"/>
    </row>
    <row r="4755" spans="1:20" x14ac:dyDescent="0.35">
      <c r="A4755" s="495" t="str">
        <f>"SgK5123--"&amp;RIGHT(A4754,5)</f>
        <v>SgK5123--Apr15</v>
      </c>
      <c r="B4755" s="356" t="s">
        <v>5434</v>
      </c>
      <c r="C4755" s="356" t="str">
        <f t="shared" si="1629"/>
        <v>Inbetriebnahme 04/2015</v>
      </c>
      <c r="D4755" s="356" t="str">
        <f>$T$4687</f>
        <v>1 - 10 MW</v>
      </c>
      <c r="E4755" s="356"/>
      <c r="F4755" s="369">
        <f t="shared" si="1630"/>
        <v>8.6300000000000008</v>
      </c>
      <c r="G4755" s="369">
        <f t="shared" si="1631"/>
        <v>9.02</v>
      </c>
      <c r="H4755" s="357">
        <f t="shared" si="1618"/>
        <v>7.22</v>
      </c>
      <c r="I4755" s="573"/>
      <c r="J4755" s="549" t="s">
        <v>5804</v>
      </c>
      <c r="K4755" s="11"/>
      <c r="L4755" s="102"/>
      <c r="M4755" s="339"/>
      <c r="N4755" s="108"/>
      <c r="O4755" s="266"/>
      <c r="P4755" s="260"/>
      <c r="Q4755" s="261"/>
      <c r="R4755" s="261"/>
      <c r="S4755" s="261"/>
      <c r="T4755" s="261"/>
    </row>
    <row r="4756" spans="1:20" x14ac:dyDescent="0.35">
      <c r="A4756" s="495" t="s">
        <v>358</v>
      </c>
      <c r="B4756" s="356" t="s">
        <v>5434</v>
      </c>
      <c r="C4756" s="356" t="str">
        <f t="shared" si="1629"/>
        <v>Inbetriebnahme 05/2015</v>
      </c>
      <c r="D4756" s="356" t="str">
        <f>$Q$4687</f>
        <v>0 - 10 kW</v>
      </c>
      <c r="E4756" s="356"/>
      <c r="F4756" s="369">
        <f t="shared" si="1630"/>
        <v>12.43</v>
      </c>
      <c r="G4756" s="369">
        <f t="shared" si="1631"/>
        <v>12.82</v>
      </c>
      <c r="H4756" s="357">
        <f t="shared" si="1618"/>
        <v>10.26</v>
      </c>
      <c r="I4756" s="573"/>
      <c r="J4756" s="549" t="s">
        <v>5804</v>
      </c>
      <c r="K4756" s="11"/>
      <c r="L4756" s="102"/>
      <c r="M4756" s="339"/>
      <c r="N4756" s="108"/>
      <c r="O4756" s="266"/>
      <c r="P4756" s="260"/>
      <c r="Q4756" s="261"/>
      <c r="R4756" s="261"/>
      <c r="S4756" s="261"/>
      <c r="T4756" s="261"/>
    </row>
    <row r="4757" spans="1:20" x14ac:dyDescent="0.35">
      <c r="A4757" s="495" t="str">
        <f>"SgK5121--"&amp;RIGHT(A4756,5)</f>
        <v>SgK5121--Mai15</v>
      </c>
      <c r="B4757" s="356" t="s">
        <v>5434</v>
      </c>
      <c r="C4757" s="356" t="str">
        <f t="shared" si="1629"/>
        <v>Inbetriebnahme 05/2015</v>
      </c>
      <c r="D4757" s="356" t="str">
        <f>$R$4687</f>
        <v>10 - 40 kW</v>
      </c>
      <c r="E4757" s="356"/>
      <c r="F4757" s="369">
        <f t="shared" si="1630"/>
        <v>12.09</v>
      </c>
      <c r="G4757" s="369">
        <f t="shared" si="1631"/>
        <v>12.48</v>
      </c>
      <c r="H4757" s="357">
        <f t="shared" si="1618"/>
        <v>9.98</v>
      </c>
      <c r="I4757" s="573"/>
      <c r="J4757" s="549" t="s">
        <v>5804</v>
      </c>
      <c r="K4757" s="11"/>
      <c r="L4757" s="102"/>
      <c r="M4757" s="339"/>
      <c r="N4757" s="108"/>
      <c r="O4757" s="266"/>
      <c r="P4757" s="260"/>
      <c r="Q4757" s="261"/>
      <c r="R4757" s="261"/>
      <c r="S4757" s="261"/>
      <c r="T4757" s="261"/>
    </row>
    <row r="4758" spans="1:20" x14ac:dyDescent="0.35">
      <c r="A4758" s="495" t="str">
        <f>"SgK5122--"&amp;RIGHT(A4757,5)</f>
        <v>SgK5122--Mai15</v>
      </c>
      <c r="B4758" s="356" t="s">
        <v>5434</v>
      </c>
      <c r="C4758" s="356" t="str">
        <f t="shared" si="1629"/>
        <v>Inbetriebnahme 05/2015</v>
      </c>
      <c r="D4758" s="356" t="str">
        <f>$S$4687</f>
        <v>40 kW - 1 MW</v>
      </c>
      <c r="E4758" s="356"/>
      <c r="F4758" s="369">
        <f t="shared" si="1630"/>
        <v>10.82</v>
      </c>
      <c r="G4758" s="369">
        <f t="shared" si="1631"/>
        <v>11.21</v>
      </c>
      <c r="H4758" s="357">
        <f t="shared" si="1618"/>
        <v>8.9700000000000006</v>
      </c>
      <c r="I4758" s="573"/>
      <c r="J4758" s="549" t="s">
        <v>5804</v>
      </c>
      <c r="K4758" s="11"/>
      <c r="L4758" s="102"/>
      <c r="M4758" s="339"/>
      <c r="N4758" s="108"/>
      <c r="O4758" s="266"/>
      <c r="P4758" s="260"/>
      <c r="Q4758" s="261"/>
      <c r="R4758" s="261"/>
      <c r="S4758" s="261"/>
      <c r="T4758" s="261"/>
    </row>
    <row r="4759" spans="1:20" x14ac:dyDescent="0.35">
      <c r="A4759" s="495" t="str">
        <f>"SgK5123--"&amp;RIGHT(A4758,5)</f>
        <v>SgK5123--Mai15</v>
      </c>
      <c r="B4759" s="356" t="s">
        <v>5434</v>
      </c>
      <c r="C4759" s="356" t="str">
        <f t="shared" si="1629"/>
        <v>Inbetriebnahme 05/2015</v>
      </c>
      <c r="D4759" s="356" t="str">
        <f>$T$4687</f>
        <v>1 - 10 MW</v>
      </c>
      <c r="E4759" s="356"/>
      <c r="F4759" s="369">
        <f t="shared" si="1630"/>
        <v>8.61</v>
      </c>
      <c r="G4759" s="369">
        <f t="shared" si="1631"/>
        <v>9</v>
      </c>
      <c r="H4759" s="357">
        <f t="shared" si="1618"/>
        <v>7.2</v>
      </c>
      <c r="I4759" s="573"/>
      <c r="J4759" s="549" t="s">
        <v>5804</v>
      </c>
      <c r="K4759" s="11"/>
      <c r="L4759" s="102"/>
      <c r="M4759" s="339"/>
      <c r="N4759" s="108"/>
      <c r="O4759" s="266"/>
      <c r="P4759" s="277"/>
      <c r="Q4759" s="261"/>
      <c r="R4759" s="261"/>
      <c r="S4759" s="261"/>
      <c r="T4759" s="261"/>
    </row>
    <row r="4760" spans="1:20" x14ac:dyDescent="0.35">
      <c r="A4760" s="495" t="s">
        <v>359</v>
      </c>
      <c r="B4760" s="356" t="s">
        <v>5434</v>
      </c>
      <c r="C4760" s="356" t="str">
        <f t="shared" si="1629"/>
        <v>Inbetriebnahme 06/2015</v>
      </c>
      <c r="D4760" s="356" t="str">
        <f>$Q$4687</f>
        <v>0 - 10 kW</v>
      </c>
      <c r="E4760" s="356"/>
      <c r="F4760" s="369">
        <f t="shared" si="1630"/>
        <v>12.4</v>
      </c>
      <c r="G4760" s="369">
        <f t="shared" si="1631"/>
        <v>12.79</v>
      </c>
      <c r="H4760" s="357">
        <f t="shared" si="1618"/>
        <v>10.23</v>
      </c>
      <c r="I4760" s="573"/>
      <c r="J4760" s="549" t="s">
        <v>5804</v>
      </c>
      <c r="K4760" s="11"/>
      <c r="L4760" s="102"/>
      <c r="M4760" s="339"/>
      <c r="N4760" s="108"/>
      <c r="O4760" s="266"/>
      <c r="P4760" s="277"/>
      <c r="Q4760" s="261"/>
      <c r="R4760" s="261"/>
      <c r="S4760" s="261"/>
      <c r="T4760" s="261"/>
    </row>
    <row r="4761" spans="1:20" x14ac:dyDescent="0.35">
      <c r="A4761" s="495" t="str">
        <f>"SgK5121--"&amp;RIGHT(A4760,5)</f>
        <v>SgK5121--Jun15</v>
      </c>
      <c r="B4761" s="356" t="s">
        <v>5434</v>
      </c>
      <c r="C4761" s="356" t="str">
        <f t="shared" si="1629"/>
        <v>Inbetriebnahme 06/2015</v>
      </c>
      <c r="D4761" s="356" t="str">
        <f>$R$4687</f>
        <v>10 - 40 kW</v>
      </c>
      <c r="E4761" s="356"/>
      <c r="F4761" s="369">
        <f t="shared" si="1630"/>
        <v>12.06</v>
      </c>
      <c r="G4761" s="369">
        <f t="shared" si="1631"/>
        <v>12.45</v>
      </c>
      <c r="H4761" s="357">
        <f t="shared" si="1618"/>
        <v>9.9600000000000009</v>
      </c>
      <c r="I4761" s="573"/>
      <c r="J4761" s="549" t="s">
        <v>5804</v>
      </c>
      <c r="K4761" s="11"/>
      <c r="L4761" s="102"/>
      <c r="M4761" s="339"/>
      <c r="N4761" s="108"/>
      <c r="O4761" s="259"/>
    </row>
    <row r="4762" spans="1:20" x14ac:dyDescent="0.35">
      <c r="A4762" s="495" t="str">
        <f>"SgK5122--"&amp;RIGHT(A4761,5)</f>
        <v>SgK5122--Jun15</v>
      </c>
      <c r="B4762" s="356" t="s">
        <v>5434</v>
      </c>
      <c r="C4762" s="356" t="str">
        <f t="shared" si="1629"/>
        <v>Inbetriebnahme 06/2015</v>
      </c>
      <c r="D4762" s="356" t="str">
        <f>$S$4687</f>
        <v>40 kW - 1 MW</v>
      </c>
      <c r="E4762" s="356"/>
      <c r="F4762" s="369">
        <f t="shared" si="1630"/>
        <v>10.79</v>
      </c>
      <c r="G4762" s="369">
        <f t="shared" si="1631"/>
        <v>11.18</v>
      </c>
      <c r="H4762" s="357">
        <f t="shared" si="1618"/>
        <v>8.94</v>
      </c>
      <c r="I4762" s="573"/>
      <c r="J4762" s="549" t="s">
        <v>5804</v>
      </c>
      <c r="K4762" s="11"/>
      <c r="L4762" s="102"/>
      <c r="M4762" s="339"/>
      <c r="O4762" s="259"/>
    </row>
    <row r="4763" spans="1:20" x14ac:dyDescent="0.35">
      <c r="A4763" s="495" t="str">
        <f>"SgK5123--"&amp;RIGHT(A4762,5)</f>
        <v>SgK5123--Jun15</v>
      </c>
      <c r="B4763" s="356" t="s">
        <v>5434</v>
      </c>
      <c r="C4763" s="356" t="str">
        <f t="shared" si="1629"/>
        <v>Inbetriebnahme 06/2015</v>
      </c>
      <c r="D4763" s="356" t="str">
        <f>$T$4687</f>
        <v>1 - 10 MW</v>
      </c>
      <c r="E4763" s="356"/>
      <c r="F4763" s="369">
        <f t="shared" si="1630"/>
        <v>8.59</v>
      </c>
      <c r="G4763" s="369">
        <f t="shared" si="1631"/>
        <v>8.98</v>
      </c>
      <c r="H4763" s="357">
        <f t="shared" si="1618"/>
        <v>7.18</v>
      </c>
      <c r="I4763" s="573"/>
      <c r="J4763" s="549" t="s">
        <v>5804</v>
      </c>
      <c r="K4763" s="11"/>
      <c r="L4763" s="102"/>
      <c r="M4763" s="339"/>
      <c r="O4763" s="259"/>
    </row>
    <row r="4764" spans="1:20" x14ac:dyDescent="0.35">
      <c r="A4764" s="495" t="s">
        <v>360</v>
      </c>
      <c r="B4764" s="356" t="s">
        <v>5434</v>
      </c>
      <c r="C4764" s="356" t="str">
        <f t="shared" si="1629"/>
        <v>Inbetriebnahme 07/2015</v>
      </c>
      <c r="D4764" s="356" t="str">
        <f>$Q$4687</f>
        <v>0 - 10 kW</v>
      </c>
      <c r="E4764" s="356"/>
      <c r="F4764" s="369">
        <f t="shared" si="1630"/>
        <v>12.37</v>
      </c>
      <c r="G4764" s="369">
        <f t="shared" si="1631"/>
        <v>12.76</v>
      </c>
      <c r="H4764" s="357">
        <f t="shared" si="1618"/>
        <v>10.210000000000001</v>
      </c>
      <c r="I4764" s="573"/>
      <c r="J4764" s="549" t="s">
        <v>5804</v>
      </c>
      <c r="K4764" s="11"/>
      <c r="L4764" s="102"/>
      <c r="M4764" s="339"/>
      <c r="O4764" s="259"/>
    </row>
    <row r="4765" spans="1:20" x14ac:dyDescent="0.35">
      <c r="A4765" s="495" t="str">
        <f>"SgK5121--"&amp;RIGHT(A4764,5)</f>
        <v>SgK5121--Jul15</v>
      </c>
      <c r="B4765" s="356" t="s">
        <v>5434</v>
      </c>
      <c r="C4765" s="356" t="str">
        <f t="shared" si="1629"/>
        <v>Inbetriebnahme 07/2015</v>
      </c>
      <c r="D4765" s="356" t="str">
        <f>$R$4687</f>
        <v>10 - 40 kW</v>
      </c>
      <c r="E4765" s="356"/>
      <c r="F4765" s="369">
        <f t="shared" si="1630"/>
        <v>12.03</v>
      </c>
      <c r="G4765" s="369">
        <f t="shared" si="1631"/>
        <v>12.42</v>
      </c>
      <c r="H4765" s="357">
        <f t="shared" si="1618"/>
        <v>9.94</v>
      </c>
      <c r="I4765" s="573"/>
      <c r="J4765" s="549" t="s">
        <v>5804</v>
      </c>
      <c r="K4765" s="11"/>
      <c r="L4765" s="102"/>
      <c r="M4765" s="339"/>
      <c r="O4765" s="259"/>
    </row>
    <row r="4766" spans="1:20" x14ac:dyDescent="0.35">
      <c r="A4766" s="495" t="str">
        <f>"SgK5122--"&amp;RIGHT(A4765,5)</f>
        <v>SgK5122--Jul15</v>
      </c>
      <c r="B4766" s="356" t="s">
        <v>5434</v>
      </c>
      <c r="C4766" s="356" t="str">
        <f t="shared" si="1629"/>
        <v>Inbetriebnahme 07/2015</v>
      </c>
      <c r="D4766" s="356" t="str">
        <f>$S$4687</f>
        <v>40 kW - 1 MW</v>
      </c>
      <c r="E4766" s="356"/>
      <c r="F4766" s="369">
        <f t="shared" si="1630"/>
        <v>10.76</v>
      </c>
      <c r="G4766" s="369">
        <f t="shared" si="1631"/>
        <v>11.15</v>
      </c>
      <c r="H4766" s="357">
        <f t="shared" si="1618"/>
        <v>8.92</v>
      </c>
      <c r="I4766" s="573"/>
      <c r="J4766" s="549" t="s">
        <v>5804</v>
      </c>
      <c r="K4766" s="11"/>
      <c r="L4766" s="102"/>
      <c r="M4766" s="339"/>
      <c r="O4766" s="259"/>
    </row>
    <row r="4767" spans="1:20" x14ac:dyDescent="0.35">
      <c r="A4767" s="495" t="str">
        <f>"SgK5123--"&amp;RIGHT(A4766,5)</f>
        <v>SgK5123--Jul15</v>
      </c>
      <c r="B4767" s="356" t="s">
        <v>5434</v>
      </c>
      <c r="C4767" s="356" t="str">
        <f t="shared" si="1629"/>
        <v>Inbetriebnahme 07/2015</v>
      </c>
      <c r="D4767" s="356" t="str">
        <f>$T$4687</f>
        <v>1 - 10 MW</v>
      </c>
      <c r="E4767" s="356"/>
      <c r="F4767" s="369">
        <f t="shared" si="1630"/>
        <v>8.57</v>
      </c>
      <c r="G4767" s="369">
        <f t="shared" si="1631"/>
        <v>8.9600000000000009</v>
      </c>
      <c r="H4767" s="357">
        <f t="shared" si="1618"/>
        <v>7.17</v>
      </c>
      <c r="I4767" s="573"/>
      <c r="J4767" s="549" t="s">
        <v>5804</v>
      </c>
      <c r="M4767" s="339"/>
      <c r="O4767" s="259"/>
    </row>
    <row r="4768" spans="1:20" x14ac:dyDescent="0.35">
      <c r="A4768" s="495" t="s">
        <v>343</v>
      </c>
      <c r="B4768" s="356" t="s">
        <v>5434</v>
      </c>
      <c r="C4768" s="356" t="s">
        <v>344</v>
      </c>
      <c r="D4768" s="356" t="s">
        <v>3918</v>
      </c>
      <c r="E4768" s="356"/>
      <c r="F4768" s="369">
        <f t="shared" si="1630"/>
        <v>12.34</v>
      </c>
      <c r="G4768" s="369">
        <f t="shared" si="1631"/>
        <v>12.73</v>
      </c>
      <c r="H4768" s="357">
        <f t="shared" si="1618"/>
        <v>10.18</v>
      </c>
      <c r="I4768" s="573"/>
      <c r="J4768" s="549" t="s">
        <v>5804</v>
      </c>
    </row>
    <row r="4769" spans="1:24" x14ac:dyDescent="0.35">
      <c r="A4769" s="495" t="str">
        <f>"SgK5121--"&amp;RIGHT(A4768,5)</f>
        <v>SgK5121--Aug15</v>
      </c>
      <c r="B4769" s="356" t="s">
        <v>5434</v>
      </c>
      <c r="C4769" s="356" t="s">
        <v>344</v>
      </c>
      <c r="D4769" s="356" t="s">
        <v>3919</v>
      </c>
      <c r="E4769" s="356"/>
      <c r="F4769" s="369">
        <f t="shared" si="1630"/>
        <v>12</v>
      </c>
      <c r="G4769" s="369">
        <f t="shared" si="1631"/>
        <v>12.39</v>
      </c>
      <c r="H4769" s="357">
        <f t="shared" si="1618"/>
        <v>9.91</v>
      </c>
      <c r="I4769" s="573"/>
      <c r="J4769" s="549" t="s">
        <v>5804</v>
      </c>
    </row>
    <row r="4770" spans="1:24" x14ac:dyDescent="0.35">
      <c r="A4770" s="495" t="str">
        <f>"SgK5122--"&amp;RIGHT(A4769,5)</f>
        <v>SgK5122--Aug15</v>
      </c>
      <c r="B4770" s="356" t="s">
        <v>5434</v>
      </c>
      <c r="C4770" s="356" t="s">
        <v>344</v>
      </c>
      <c r="D4770" s="356" t="s">
        <v>3920</v>
      </c>
      <c r="E4770" s="356"/>
      <c r="F4770" s="369">
        <f t="shared" si="1630"/>
        <v>10.73</v>
      </c>
      <c r="G4770" s="369">
        <f t="shared" si="1631"/>
        <v>11.12</v>
      </c>
      <c r="H4770" s="357">
        <f t="shared" si="1618"/>
        <v>8.9</v>
      </c>
      <c r="I4770" s="573"/>
      <c r="J4770" s="549" t="s">
        <v>5804</v>
      </c>
    </row>
    <row r="4771" spans="1:24" x14ac:dyDescent="0.35">
      <c r="A4771" s="495" t="str">
        <f>"SgK5123--"&amp;RIGHT(A4770,5)</f>
        <v>SgK5123--Aug15</v>
      </c>
      <c r="B4771" s="356" t="s">
        <v>5434</v>
      </c>
      <c r="C4771" s="356" t="s">
        <v>344</v>
      </c>
      <c r="D4771" s="356" t="s">
        <v>3921</v>
      </c>
      <c r="E4771" s="356"/>
      <c r="F4771" s="369">
        <f t="shared" si="1630"/>
        <v>8.5500000000000007</v>
      </c>
      <c r="G4771" s="369">
        <f t="shared" si="1631"/>
        <v>8.93</v>
      </c>
      <c r="H4771" s="357">
        <f t="shared" si="1618"/>
        <v>7.14</v>
      </c>
      <c r="I4771" s="573"/>
      <c r="J4771" s="549" t="s">
        <v>5804</v>
      </c>
    </row>
    <row r="4772" spans="1:24" x14ac:dyDescent="0.35">
      <c r="A4772" s="495" t="s">
        <v>345</v>
      </c>
      <c r="B4772" s="356" t="s">
        <v>5434</v>
      </c>
      <c r="C4772" s="356" t="s">
        <v>346</v>
      </c>
      <c r="D4772" s="356" t="s">
        <v>3918</v>
      </c>
      <c r="E4772" s="356"/>
      <c r="F4772" s="369">
        <f t="shared" si="1630"/>
        <v>12.31</v>
      </c>
      <c r="G4772" s="369">
        <f t="shared" si="1631"/>
        <v>12.7</v>
      </c>
      <c r="H4772" s="357">
        <f t="shared" si="1618"/>
        <v>10.16</v>
      </c>
      <c r="I4772" s="573"/>
      <c r="J4772" s="549" t="s">
        <v>5804</v>
      </c>
    </row>
    <row r="4773" spans="1:24" x14ac:dyDescent="0.35">
      <c r="A4773" s="495" t="str">
        <f>"SgK5121--"&amp;RIGHT(A4772,5)</f>
        <v>SgK5121--Sep15</v>
      </c>
      <c r="B4773" s="356" t="s">
        <v>5434</v>
      </c>
      <c r="C4773" s="356" t="s">
        <v>346</v>
      </c>
      <c r="D4773" s="356" t="s">
        <v>3919</v>
      </c>
      <c r="E4773" s="356"/>
      <c r="F4773" s="369">
        <f t="shared" si="1630"/>
        <v>11.97</v>
      </c>
      <c r="G4773" s="369">
        <f t="shared" si="1631"/>
        <v>12.36</v>
      </c>
      <c r="H4773" s="357">
        <f t="shared" si="1618"/>
        <v>9.89</v>
      </c>
      <c r="I4773" s="573"/>
      <c r="J4773" s="549" t="s">
        <v>5804</v>
      </c>
      <c r="O4773" s="322"/>
      <c r="P4773" s="261" t="str">
        <f>IF($O4773&lt;&gt;"",(1-$O4773)*P4751,"")</f>
        <v/>
      </c>
      <c r="Q4773" s="261" t="str">
        <f>IF($O4773&lt;&gt;"",(1-$O4773)*Q4751,"")</f>
        <v/>
      </c>
      <c r="R4773" s="261" t="str">
        <f>IF($O4773&lt;&gt;"",(1-$O4773)*R4751,"")</f>
        <v/>
      </c>
      <c r="S4773" s="261" t="str">
        <f>IF($O4773&lt;&gt;"",(1-$O4773)*S4751,"")</f>
        <v/>
      </c>
      <c r="U4773" s="261" t="str">
        <f>IF($O4773&lt;&gt;"",(1-$O4773)*U4751,"")</f>
        <v/>
      </c>
      <c r="V4773" s="261" t="str">
        <f>IF($O4773&lt;&gt;"",(1-$O4773)*V4751,"")</f>
        <v/>
      </c>
      <c r="W4773" s="261" t="str">
        <f>IF($O4773&lt;&gt;"",(1-$O4773)*W4751,"")</f>
        <v/>
      </c>
      <c r="X4773" s="261" t="str">
        <f>IF($O4773&lt;&gt;"",(1-$O4773)*X4751,"")</f>
        <v/>
      </c>
    </row>
    <row r="4774" spans="1:24" x14ac:dyDescent="0.35">
      <c r="A4774" s="495" t="str">
        <f>"SgK5122--"&amp;RIGHT(A4773,5)</f>
        <v>SgK5122--Sep15</v>
      </c>
      <c r="B4774" s="356" t="s">
        <v>5434</v>
      </c>
      <c r="C4774" s="356" t="s">
        <v>346</v>
      </c>
      <c r="D4774" s="356" t="s">
        <v>3920</v>
      </c>
      <c r="E4774" s="356"/>
      <c r="F4774" s="369">
        <f t="shared" si="1630"/>
        <v>10.71</v>
      </c>
      <c r="G4774" s="369">
        <f t="shared" si="1631"/>
        <v>11.09</v>
      </c>
      <c r="H4774" s="357">
        <f t="shared" si="1618"/>
        <v>8.8699999999999992</v>
      </c>
      <c r="I4774" s="573"/>
      <c r="J4774" s="549" t="s">
        <v>5804</v>
      </c>
      <c r="O4774" s="322"/>
      <c r="P4774" s="261" t="str">
        <f>IF($O4774&lt;&gt;"",(1-$O4774)*P4751,"")</f>
        <v/>
      </c>
      <c r="Q4774" s="261" t="str">
        <f>IF($O4774&lt;&gt;"",(1-$O4774)*Q4751,"")</f>
        <v/>
      </c>
      <c r="R4774" s="261" t="str">
        <f>IF($O4774&lt;&gt;"",(1-$O4774)*R4751,"")</f>
        <v/>
      </c>
      <c r="S4774" s="261" t="str">
        <f>IF($O4774&lt;&gt;"",(1-$O4774)*S4751,"")</f>
        <v/>
      </c>
      <c r="U4774" s="261" t="str">
        <f>IF($O4774&lt;&gt;"",(1-$O4774)*U4751,"")</f>
        <v/>
      </c>
      <c r="V4774" s="261" t="str">
        <f>IF($O4774&lt;&gt;"",(1-$O4774)*V4751,"")</f>
        <v/>
      </c>
      <c r="W4774" s="261" t="str">
        <f>IF($O4774&lt;&gt;"",(1-$O4774)*W4751,"")</f>
        <v/>
      </c>
      <c r="X4774" s="261" t="str">
        <f>IF($O4774&lt;&gt;"",(1-$O4774)*X4751,"")</f>
        <v/>
      </c>
    </row>
    <row r="4775" spans="1:24" x14ac:dyDescent="0.35">
      <c r="A4775" s="495" t="str">
        <f>"SgK5123--"&amp;RIGHT(A4774,5)</f>
        <v>SgK5123--Sep15</v>
      </c>
      <c r="B4775" s="356" t="s">
        <v>5434</v>
      </c>
      <c r="C4775" s="356" t="s">
        <v>346</v>
      </c>
      <c r="D4775" s="356" t="s">
        <v>3921</v>
      </c>
      <c r="E4775" s="356"/>
      <c r="F4775" s="369">
        <f t="shared" si="1630"/>
        <v>8.5299999999999994</v>
      </c>
      <c r="G4775" s="369">
        <f t="shared" si="1631"/>
        <v>8.91</v>
      </c>
      <c r="H4775" s="357">
        <f t="shared" si="1618"/>
        <v>7.13</v>
      </c>
      <c r="I4775" s="573"/>
      <c r="J4775" s="549" t="s">
        <v>5804</v>
      </c>
      <c r="O4775" s="322"/>
      <c r="P4775" s="261" t="str">
        <f>IF($O4775&lt;&gt;"",(1-$O4775)*P4773,"")</f>
        <v/>
      </c>
      <c r="Q4775" s="261" t="str">
        <f>IF($O4775&lt;&gt;"",(1-$O4775)*Q4773,"")</f>
        <v/>
      </c>
      <c r="R4775" s="261" t="str">
        <f>IF($O4775&lt;&gt;"",(1-$O4775)*R4773,"")</f>
        <v/>
      </c>
      <c r="S4775" s="261" t="str">
        <f>IF($O4775&lt;&gt;"",(1-$O4775)*S4773,"")</f>
        <v/>
      </c>
      <c r="U4775" s="261" t="str">
        <f>IF($O4775&lt;&gt;"",(1-$O4775)*U4773,"")</f>
        <v/>
      </c>
      <c r="V4775" s="261" t="str">
        <f>IF($O4775&lt;&gt;"",(1-$O4775)*V4773,"")</f>
        <v/>
      </c>
      <c r="W4775" s="261" t="str">
        <f>IF($O4775&lt;&gt;"",(1-$O4775)*W4773,"")</f>
        <v/>
      </c>
      <c r="X4775" s="261" t="str">
        <f>IF($O4775&lt;&gt;"",(1-$O4775)*X4773,"")</f>
        <v/>
      </c>
    </row>
    <row r="4776" spans="1:24" x14ac:dyDescent="0.35">
      <c r="A4776" s="495" t="s">
        <v>347</v>
      </c>
      <c r="B4776" s="356" t="s">
        <v>5434</v>
      </c>
      <c r="C4776" s="356" t="s">
        <v>348</v>
      </c>
      <c r="D4776" s="356" t="s">
        <v>3918</v>
      </c>
      <c r="E4776" s="356"/>
      <c r="F4776" s="369">
        <f t="shared" si="1630"/>
        <v>12.31</v>
      </c>
      <c r="G4776" s="369">
        <f t="shared" si="1631"/>
        <v>12.7</v>
      </c>
      <c r="H4776" s="357">
        <f t="shared" si="1618"/>
        <v>10.16</v>
      </c>
      <c r="I4776" s="573"/>
      <c r="J4776" s="549" t="s">
        <v>5804</v>
      </c>
      <c r="O4776" s="322"/>
      <c r="P4776" s="261" t="str">
        <f t="shared" ref="P4776:S4777" si="1641">IF($O4776&lt;&gt;"",(1-$O4776)*P4775,"")</f>
        <v/>
      </c>
      <c r="Q4776" s="261" t="str">
        <f t="shared" si="1641"/>
        <v/>
      </c>
      <c r="R4776" s="261" t="str">
        <f t="shared" si="1641"/>
        <v/>
      </c>
      <c r="S4776" s="261" t="str">
        <f t="shared" si="1641"/>
        <v/>
      </c>
      <c r="U4776" s="261" t="str">
        <f t="shared" ref="U4776:X4777" si="1642">IF($O4776&lt;&gt;"",(1-$O4776)*U4775,"")</f>
        <v/>
      </c>
      <c r="V4776" s="261" t="str">
        <f t="shared" si="1642"/>
        <v/>
      </c>
      <c r="W4776" s="261" t="str">
        <f t="shared" si="1642"/>
        <v/>
      </c>
      <c r="X4776" s="261" t="str">
        <f t="shared" si="1642"/>
        <v/>
      </c>
    </row>
    <row r="4777" spans="1:24" x14ac:dyDescent="0.35">
      <c r="A4777" s="495" t="str">
        <f>"SgK5121--"&amp;RIGHT(A4776,5)</f>
        <v>SgK5121--Okt15</v>
      </c>
      <c r="B4777" s="356" t="s">
        <v>5434</v>
      </c>
      <c r="C4777" s="356" t="s">
        <v>348</v>
      </c>
      <c r="D4777" s="356" t="s">
        <v>3919</v>
      </c>
      <c r="E4777" s="356"/>
      <c r="F4777" s="369">
        <f t="shared" si="1630"/>
        <v>11.97</v>
      </c>
      <c r="G4777" s="369">
        <f t="shared" si="1631"/>
        <v>12.36</v>
      </c>
      <c r="H4777" s="357">
        <f t="shared" si="1618"/>
        <v>9.89</v>
      </c>
      <c r="I4777" s="573"/>
      <c r="J4777" s="549" t="s">
        <v>5804</v>
      </c>
      <c r="O4777" s="322"/>
      <c r="P4777" s="261" t="str">
        <f t="shared" si="1641"/>
        <v/>
      </c>
      <c r="Q4777" s="261" t="str">
        <f t="shared" si="1641"/>
        <v/>
      </c>
      <c r="R4777" s="261" t="str">
        <f t="shared" si="1641"/>
        <v/>
      </c>
      <c r="S4777" s="261" t="str">
        <f t="shared" si="1641"/>
        <v/>
      </c>
      <c r="U4777" s="261" t="str">
        <f t="shared" si="1642"/>
        <v/>
      </c>
      <c r="V4777" s="261" t="str">
        <f t="shared" si="1642"/>
        <v/>
      </c>
      <c r="W4777" s="261" t="str">
        <f t="shared" si="1642"/>
        <v/>
      </c>
      <c r="X4777" s="261" t="str">
        <f t="shared" si="1642"/>
        <v/>
      </c>
    </row>
    <row r="4778" spans="1:24" x14ac:dyDescent="0.35">
      <c r="A4778" s="495" t="str">
        <f>"SgK5122--"&amp;RIGHT(A4777,5)</f>
        <v>SgK5122--Okt15</v>
      </c>
      <c r="B4778" s="356" t="s">
        <v>5434</v>
      </c>
      <c r="C4778" s="356" t="s">
        <v>348</v>
      </c>
      <c r="D4778" s="356" t="s">
        <v>3920</v>
      </c>
      <c r="E4778" s="356"/>
      <c r="F4778" s="369">
        <f t="shared" si="1630"/>
        <v>10.71</v>
      </c>
      <c r="G4778" s="369">
        <f t="shared" si="1631"/>
        <v>11.09</v>
      </c>
      <c r="H4778" s="357">
        <f t="shared" si="1618"/>
        <v>8.8699999999999992</v>
      </c>
      <c r="I4778" s="573"/>
      <c r="J4778" s="549" t="s">
        <v>5804</v>
      </c>
      <c r="O4778" s="322"/>
      <c r="P4778" s="261" t="str">
        <f t="shared" ref="P4778:S4779" si="1643">IF($O4778&lt;&gt;"",(1-$O4778)*P4776,"")</f>
        <v/>
      </c>
      <c r="Q4778" s="261" t="str">
        <f t="shared" si="1643"/>
        <v/>
      </c>
      <c r="R4778" s="261" t="str">
        <f t="shared" si="1643"/>
        <v/>
      </c>
      <c r="S4778" s="261" t="str">
        <f t="shared" si="1643"/>
        <v/>
      </c>
      <c r="U4778" s="261" t="str">
        <f t="shared" ref="U4778:X4779" si="1644">IF($O4778&lt;&gt;"",(1-$O4778)*U4776,"")</f>
        <v/>
      </c>
      <c r="V4778" s="261" t="str">
        <f t="shared" si="1644"/>
        <v/>
      </c>
      <c r="W4778" s="261" t="str">
        <f t="shared" si="1644"/>
        <v/>
      </c>
      <c r="X4778" s="261" t="str">
        <f t="shared" si="1644"/>
        <v/>
      </c>
    </row>
    <row r="4779" spans="1:24" x14ac:dyDescent="0.35">
      <c r="A4779" s="495" t="str">
        <f>"SgK5123--"&amp;RIGHT(A4778,5)</f>
        <v>SgK5123--Okt15</v>
      </c>
      <c r="B4779" s="356" t="s">
        <v>5434</v>
      </c>
      <c r="C4779" s="356" t="s">
        <v>348</v>
      </c>
      <c r="D4779" s="356" t="s">
        <v>3921</v>
      </c>
      <c r="E4779" s="356"/>
      <c r="F4779" s="369">
        <f t="shared" si="1630"/>
        <v>8.5299999999999994</v>
      </c>
      <c r="G4779" s="369">
        <f t="shared" si="1631"/>
        <v>8.91</v>
      </c>
      <c r="H4779" s="357">
        <f t="shared" si="1618"/>
        <v>7.13</v>
      </c>
      <c r="I4779" s="573"/>
      <c r="J4779" s="549" t="s">
        <v>5804</v>
      </c>
      <c r="O4779" s="322"/>
      <c r="P4779" s="261" t="str">
        <f t="shared" si="1643"/>
        <v/>
      </c>
      <c r="Q4779" s="261" t="str">
        <f t="shared" si="1643"/>
        <v/>
      </c>
      <c r="R4779" s="261" t="str">
        <f t="shared" si="1643"/>
        <v/>
      </c>
      <c r="S4779" s="261" t="str">
        <f t="shared" si="1643"/>
        <v/>
      </c>
      <c r="U4779" s="261" t="str">
        <f t="shared" si="1644"/>
        <v/>
      </c>
      <c r="V4779" s="261" t="str">
        <f t="shared" si="1644"/>
        <v/>
      </c>
      <c r="W4779" s="261" t="str">
        <f t="shared" si="1644"/>
        <v/>
      </c>
      <c r="X4779" s="261" t="str">
        <f t="shared" si="1644"/>
        <v/>
      </c>
    </row>
    <row r="4780" spans="1:24" x14ac:dyDescent="0.35">
      <c r="A4780" s="495" t="s">
        <v>349</v>
      </c>
      <c r="B4780" s="356" t="s">
        <v>5434</v>
      </c>
      <c r="C4780" s="356" t="s">
        <v>350</v>
      </c>
      <c r="D4780" s="356" t="s">
        <v>3918</v>
      </c>
      <c r="E4780" s="356"/>
      <c r="F4780" s="369">
        <f t="shared" si="1630"/>
        <v>12.31</v>
      </c>
      <c r="G4780" s="369">
        <f t="shared" si="1631"/>
        <v>12.7</v>
      </c>
      <c r="H4780" s="357">
        <f t="shared" si="1618"/>
        <v>10.16</v>
      </c>
      <c r="I4780" s="573"/>
      <c r="J4780" s="549" t="s">
        <v>5804</v>
      </c>
      <c r="O4780" s="322"/>
      <c r="P4780" s="261" t="str">
        <f t="shared" ref="P4780:S4781" si="1645">IF($O4780&lt;&gt;"",(1-$O4780)*P4779,"")</f>
        <v/>
      </c>
      <c r="Q4780" s="261" t="str">
        <f t="shared" si="1645"/>
        <v/>
      </c>
      <c r="R4780" s="261" t="str">
        <f t="shared" si="1645"/>
        <v/>
      </c>
      <c r="S4780" s="261" t="str">
        <f t="shared" si="1645"/>
        <v/>
      </c>
      <c r="U4780" s="261" t="str">
        <f t="shared" ref="U4780:X4781" si="1646">IF($O4780&lt;&gt;"",(1-$O4780)*U4779,"")</f>
        <v/>
      </c>
      <c r="V4780" s="261" t="str">
        <f t="shared" si="1646"/>
        <v/>
      </c>
      <c r="W4780" s="261" t="str">
        <f t="shared" si="1646"/>
        <v/>
      </c>
      <c r="X4780" s="261" t="str">
        <f t="shared" si="1646"/>
        <v/>
      </c>
    </row>
    <row r="4781" spans="1:24" x14ac:dyDescent="0.35">
      <c r="A4781" s="495" t="str">
        <f>"SgK5121--"&amp;RIGHT(A4780,5)</f>
        <v>SgK5121--Nov15</v>
      </c>
      <c r="B4781" s="356" t="s">
        <v>5434</v>
      </c>
      <c r="C4781" s="356" t="s">
        <v>350</v>
      </c>
      <c r="D4781" s="356" t="s">
        <v>3919</v>
      </c>
      <c r="E4781" s="356"/>
      <c r="F4781" s="369">
        <f t="shared" si="1630"/>
        <v>11.97</v>
      </c>
      <c r="G4781" s="369">
        <f t="shared" si="1631"/>
        <v>12.36</v>
      </c>
      <c r="H4781" s="357">
        <f t="shared" si="1618"/>
        <v>9.89</v>
      </c>
      <c r="I4781" s="573"/>
      <c r="J4781" s="549" t="s">
        <v>5804</v>
      </c>
      <c r="O4781" s="322"/>
      <c r="P4781" s="261" t="str">
        <f t="shared" si="1645"/>
        <v/>
      </c>
      <c r="Q4781" s="261" t="str">
        <f t="shared" si="1645"/>
        <v/>
      </c>
      <c r="R4781" s="261" t="str">
        <f t="shared" si="1645"/>
        <v/>
      </c>
      <c r="S4781" s="261" t="str">
        <f t="shared" si="1645"/>
        <v/>
      </c>
      <c r="U4781" s="261" t="str">
        <f t="shared" si="1646"/>
        <v/>
      </c>
      <c r="V4781" s="261" t="str">
        <f t="shared" si="1646"/>
        <v/>
      </c>
      <c r="W4781" s="261" t="str">
        <f t="shared" si="1646"/>
        <v/>
      </c>
      <c r="X4781" s="261" t="str">
        <f t="shared" si="1646"/>
        <v/>
      </c>
    </row>
    <row r="4782" spans="1:24" x14ac:dyDescent="0.35">
      <c r="A4782" s="495" t="str">
        <f>"SgK5122--"&amp;RIGHT(A4781,5)</f>
        <v>SgK5122--Nov15</v>
      </c>
      <c r="B4782" s="356" t="s">
        <v>5434</v>
      </c>
      <c r="C4782" s="356" t="s">
        <v>350</v>
      </c>
      <c r="D4782" s="356" t="s">
        <v>3920</v>
      </c>
      <c r="E4782" s="356"/>
      <c r="F4782" s="369">
        <f t="shared" si="1630"/>
        <v>10.71</v>
      </c>
      <c r="G4782" s="369">
        <f t="shared" si="1631"/>
        <v>11.09</v>
      </c>
      <c r="H4782" s="357">
        <f t="shared" si="1618"/>
        <v>8.8699999999999992</v>
      </c>
      <c r="I4782" s="573"/>
      <c r="J4782" s="549" t="s">
        <v>5804</v>
      </c>
      <c r="O4782" s="322"/>
      <c r="P4782" s="261" t="str">
        <f t="shared" ref="P4782:S4783" si="1647">IF($O4782&lt;&gt;"",(1-$O4782)*P4780,"")</f>
        <v/>
      </c>
      <c r="Q4782" s="261" t="str">
        <f t="shared" si="1647"/>
        <v/>
      </c>
      <c r="R4782" s="261" t="str">
        <f t="shared" si="1647"/>
        <v/>
      </c>
      <c r="S4782" s="261" t="str">
        <f t="shared" si="1647"/>
        <v/>
      </c>
      <c r="U4782" s="261" t="str">
        <f t="shared" ref="U4782:X4783" si="1648">IF($O4782&lt;&gt;"",(1-$O4782)*U4780,"")</f>
        <v/>
      </c>
      <c r="V4782" s="261" t="str">
        <f t="shared" si="1648"/>
        <v/>
      </c>
      <c r="W4782" s="261" t="str">
        <f t="shared" si="1648"/>
        <v/>
      </c>
      <c r="X4782" s="261" t="str">
        <f t="shared" si="1648"/>
        <v/>
      </c>
    </row>
    <row r="4783" spans="1:24" x14ac:dyDescent="0.35">
      <c r="A4783" s="495" t="str">
        <f>"SgK5123--"&amp;RIGHT(A4782,5)</f>
        <v>SgK5123--Nov15</v>
      </c>
      <c r="B4783" s="356" t="s">
        <v>5434</v>
      </c>
      <c r="C4783" s="356" t="s">
        <v>350</v>
      </c>
      <c r="D4783" s="356" t="s">
        <v>3921</v>
      </c>
      <c r="E4783" s="356"/>
      <c r="F4783" s="369">
        <f t="shared" si="1630"/>
        <v>8.5299999999999994</v>
      </c>
      <c r="G4783" s="369">
        <f t="shared" si="1631"/>
        <v>8.91</v>
      </c>
      <c r="H4783" s="357">
        <f t="shared" si="1618"/>
        <v>7.13</v>
      </c>
      <c r="I4783" s="573"/>
      <c r="J4783" s="549" t="s">
        <v>5804</v>
      </c>
      <c r="O4783" s="322"/>
      <c r="P4783" s="261" t="str">
        <f t="shared" si="1647"/>
        <v/>
      </c>
      <c r="Q4783" s="261" t="str">
        <f t="shared" si="1647"/>
        <v/>
      </c>
      <c r="R4783" s="261" t="str">
        <f t="shared" si="1647"/>
        <v/>
      </c>
      <c r="S4783" s="261" t="str">
        <f t="shared" si="1647"/>
        <v/>
      </c>
      <c r="U4783" s="261" t="str">
        <f t="shared" si="1648"/>
        <v/>
      </c>
      <c r="V4783" s="261" t="str">
        <f t="shared" si="1648"/>
        <v/>
      </c>
      <c r="W4783" s="261" t="str">
        <f t="shared" si="1648"/>
        <v/>
      </c>
      <c r="X4783" s="261" t="str">
        <f t="shared" si="1648"/>
        <v/>
      </c>
    </row>
    <row r="4784" spans="1:24" x14ac:dyDescent="0.35">
      <c r="A4784" s="495" t="s">
        <v>351</v>
      </c>
      <c r="B4784" s="356" t="s">
        <v>5434</v>
      </c>
      <c r="C4784" s="356" t="s">
        <v>352</v>
      </c>
      <c r="D4784" s="356" t="s">
        <v>3918</v>
      </c>
      <c r="E4784" s="356"/>
      <c r="F4784" s="369">
        <f t="shared" si="1630"/>
        <v>12.31</v>
      </c>
      <c r="G4784" s="369">
        <f t="shared" si="1631"/>
        <v>12.7</v>
      </c>
      <c r="H4784" s="357">
        <f t="shared" si="1618"/>
        <v>10.16</v>
      </c>
      <c r="I4784" s="573"/>
      <c r="J4784" s="549" t="s">
        <v>5804</v>
      </c>
      <c r="O4784" s="322"/>
      <c r="P4784" s="261" t="str">
        <f t="shared" ref="P4784:S4785" si="1649">IF($O4784&lt;&gt;"",(1-$O4784)*P4783,"")</f>
        <v/>
      </c>
      <c r="Q4784" s="261" t="str">
        <f t="shared" si="1649"/>
        <v/>
      </c>
      <c r="R4784" s="261" t="str">
        <f t="shared" si="1649"/>
        <v/>
      </c>
      <c r="S4784" s="261" t="str">
        <f t="shared" si="1649"/>
        <v/>
      </c>
      <c r="U4784" s="261" t="str">
        <f t="shared" ref="U4784:X4785" si="1650">IF($O4784&lt;&gt;"",(1-$O4784)*U4783,"")</f>
        <v/>
      </c>
      <c r="V4784" s="261" t="str">
        <f t="shared" si="1650"/>
        <v/>
      </c>
      <c r="W4784" s="261" t="str">
        <f t="shared" si="1650"/>
        <v/>
      </c>
      <c r="X4784" s="261" t="str">
        <f t="shared" si="1650"/>
        <v/>
      </c>
    </row>
    <row r="4785" spans="1:25" x14ac:dyDescent="0.35">
      <c r="A4785" s="495" t="str">
        <f>"SgK5121--"&amp;RIGHT(A4784,5)</f>
        <v>SgK5121--Dez15</v>
      </c>
      <c r="B4785" s="356" t="s">
        <v>5434</v>
      </c>
      <c r="C4785" s="356" t="s">
        <v>352</v>
      </c>
      <c r="D4785" s="356" t="s">
        <v>3919</v>
      </c>
      <c r="E4785" s="356"/>
      <c r="F4785" s="369">
        <f t="shared" si="1630"/>
        <v>11.97</v>
      </c>
      <c r="G4785" s="369">
        <f t="shared" si="1631"/>
        <v>12.36</v>
      </c>
      <c r="H4785" s="357">
        <f t="shared" si="1618"/>
        <v>9.89</v>
      </c>
      <c r="I4785" s="573"/>
      <c r="J4785" s="549" t="s">
        <v>5804</v>
      </c>
      <c r="O4785" s="322"/>
      <c r="P4785" s="261" t="str">
        <f t="shared" si="1649"/>
        <v/>
      </c>
      <c r="Q4785" s="261" t="str">
        <f t="shared" si="1649"/>
        <v/>
      </c>
      <c r="R4785" s="261" t="str">
        <f t="shared" si="1649"/>
        <v/>
      </c>
      <c r="S4785" s="261" t="str">
        <f t="shared" si="1649"/>
        <v/>
      </c>
      <c r="U4785" s="261" t="str">
        <f t="shared" si="1650"/>
        <v/>
      </c>
      <c r="V4785" s="261" t="str">
        <f t="shared" si="1650"/>
        <v/>
      </c>
      <c r="W4785" s="261" t="str">
        <f t="shared" si="1650"/>
        <v/>
      </c>
      <c r="X4785" s="261" t="str">
        <f t="shared" si="1650"/>
        <v/>
      </c>
    </row>
    <row r="4786" spans="1:25" x14ac:dyDescent="0.35">
      <c r="A4786" s="495" t="str">
        <f>"SgK5122--"&amp;RIGHT(A4785,5)</f>
        <v>SgK5122--Dez15</v>
      </c>
      <c r="B4786" s="356" t="s">
        <v>5434</v>
      </c>
      <c r="C4786" s="356" t="s">
        <v>352</v>
      </c>
      <c r="D4786" s="356" t="s">
        <v>3920</v>
      </c>
      <c r="E4786" s="356"/>
      <c r="F4786" s="369">
        <f t="shared" si="1630"/>
        <v>10.71</v>
      </c>
      <c r="G4786" s="369">
        <f t="shared" si="1631"/>
        <v>11.09</v>
      </c>
      <c r="H4786" s="357">
        <f t="shared" si="1618"/>
        <v>8.8699999999999992</v>
      </c>
      <c r="I4786" s="573"/>
      <c r="J4786" s="549" t="s">
        <v>5804</v>
      </c>
      <c r="O4786" s="322"/>
      <c r="P4786" s="261" t="str">
        <f t="shared" ref="P4786:S4787" si="1651">IF($O4786&lt;&gt;"",(1-$O4786)*P4784,"")</f>
        <v/>
      </c>
      <c r="Q4786" s="261" t="str">
        <f t="shared" si="1651"/>
        <v/>
      </c>
      <c r="R4786" s="261" t="str">
        <f t="shared" si="1651"/>
        <v/>
      </c>
      <c r="S4786" s="261" t="str">
        <f t="shared" si="1651"/>
        <v/>
      </c>
      <c r="U4786" s="261" t="str">
        <f t="shared" ref="U4786:X4787" si="1652">IF($O4786&lt;&gt;"",(1-$O4786)*U4784,"")</f>
        <v/>
      </c>
      <c r="V4786" s="261" t="str">
        <f t="shared" si="1652"/>
        <v/>
      </c>
      <c r="W4786" s="261" t="str">
        <f t="shared" si="1652"/>
        <v/>
      </c>
      <c r="X4786" s="261" t="str">
        <f t="shared" si="1652"/>
        <v/>
      </c>
    </row>
    <row r="4787" spans="1:25" x14ac:dyDescent="0.35">
      <c r="A4787" s="495" t="str">
        <f>"SgK5123--"&amp;RIGHT(A4786,5)</f>
        <v>SgK5123--Dez15</v>
      </c>
      <c r="B4787" s="356" t="s">
        <v>5434</v>
      </c>
      <c r="C4787" s="356" t="s">
        <v>352</v>
      </c>
      <c r="D4787" s="356" t="s">
        <v>3921</v>
      </c>
      <c r="E4787" s="356"/>
      <c r="F4787" s="369">
        <f t="shared" si="1630"/>
        <v>8.5299999999999994</v>
      </c>
      <c r="G4787" s="369">
        <f t="shared" si="1631"/>
        <v>8.91</v>
      </c>
      <c r="H4787" s="357">
        <f t="shared" si="1618"/>
        <v>7.13</v>
      </c>
      <c r="I4787" s="573"/>
      <c r="J4787" s="549" t="s">
        <v>5804</v>
      </c>
      <c r="O4787" s="322"/>
      <c r="P4787" s="261" t="str">
        <f t="shared" si="1651"/>
        <v/>
      </c>
      <c r="Q4787" s="261" t="str">
        <f t="shared" si="1651"/>
        <v/>
      </c>
      <c r="R4787" s="261" t="str">
        <f t="shared" si="1651"/>
        <v/>
      </c>
      <c r="S4787" s="261" t="str">
        <f t="shared" si="1651"/>
        <v/>
      </c>
      <c r="U4787" s="261" t="str">
        <f t="shared" si="1652"/>
        <v/>
      </c>
      <c r="V4787" s="261" t="str">
        <f t="shared" si="1652"/>
        <v/>
      </c>
      <c r="W4787" s="261" t="str">
        <f t="shared" si="1652"/>
        <v/>
      </c>
      <c r="X4787" s="261" t="str">
        <f t="shared" si="1652"/>
        <v/>
      </c>
    </row>
    <row r="4788" spans="1:25" x14ac:dyDescent="0.35">
      <c r="A4788" s="496"/>
      <c r="B4788" s="1"/>
      <c r="C4788" s="1"/>
      <c r="D4788" s="1"/>
      <c r="E4788" s="1"/>
      <c r="F4788" s="362"/>
      <c r="G4788" s="10"/>
      <c r="H4788" s="10" t="str">
        <f t="shared" si="1618"/>
        <v/>
      </c>
      <c r="I4788" s="566"/>
      <c r="J4788" s="549" t="s">
        <v>4179</v>
      </c>
      <c r="K4788" s="11"/>
      <c r="N4788" s="109" t="s">
        <v>3901</v>
      </c>
      <c r="O4788" s="29" t="s">
        <v>5489</v>
      </c>
      <c r="P4788" t="s">
        <v>3918</v>
      </c>
      <c r="Q4788" t="s">
        <v>3919</v>
      </c>
      <c r="R4788" t="s">
        <v>3920</v>
      </c>
      <c r="S4788" t="s">
        <v>3921</v>
      </c>
      <c r="T4788" t="s">
        <v>49</v>
      </c>
      <c r="U4788" t="s">
        <v>3918</v>
      </c>
      <c r="V4788" t="s">
        <v>3919</v>
      </c>
      <c r="W4788" t="s">
        <v>3920</v>
      </c>
      <c r="X4788" t="s">
        <v>3921</v>
      </c>
      <c r="Y4788" t="s">
        <v>50</v>
      </c>
    </row>
    <row r="4789" spans="1:25" x14ac:dyDescent="0.35">
      <c r="A4789" s="495" t="s">
        <v>5721</v>
      </c>
      <c r="B4789" s="356" t="s">
        <v>5434</v>
      </c>
      <c r="C4789" s="356" t="str">
        <f t="shared" ref="C4789:C4816" si="1653">"Inbetriebnahme "&amp;TEXT(DATEVALUE(RIGHT(A4789,5)),"MM/JJJJ")</f>
        <v>Inbetriebnahme 01/2016</v>
      </c>
      <c r="D4789" s="356" t="str">
        <f>$Q$4687</f>
        <v>0 - 10 kW</v>
      </c>
      <c r="E4789" s="356"/>
      <c r="F4789" s="369">
        <f>IF(HLOOKUP($D4789,$U$4788:$X$5191,MATCH(RIGHT($A4789,5),$N$4788:$N$5191,0),FALSE)&lt;&gt;"",ROUND(HLOOKUP($D4789,$U$4788:$X$5191,MATCH(RIGHT($A4789,5),$N$4788:$N$5191,0),FALSE),2),"")</f>
        <v>12.31</v>
      </c>
      <c r="G4789" s="369">
        <f t="shared" ref="G4789:G4836" si="1654">IF(HLOOKUP($D4789,$P$4739:$X$5191,MATCH(RIGHT($A4789,5),$N$4739:$N$5191,0),FALSE)&lt;&gt;"",ROUND(HLOOKUP($D4789,$P$4739:$X$5191,MATCH(RIGHT($A4789,5),$N$4739:$N$5191,0),FALSE),2),"")</f>
        <v>12.7</v>
      </c>
      <c r="H4789" s="357">
        <f t="shared" si="1618"/>
        <v>10.16</v>
      </c>
      <c r="I4789" s="573"/>
      <c r="J4789" s="549" t="s">
        <v>5804</v>
      </c>
      <c r="K4789" s="11"/>
      <c r="M4789" s="101">
        <v>2016</v>
      </c>
      <c r="N4789" s="522" t="s">
        <v>5720</v>
      </c>
      <c r="O4789" s="461">
        <v>0</v>
      </c>
      <c r="P4789" s="11">
        <f>IF($O4789&lt;&gt;"",P4751*(100%-$O4789),"")</f>
        <v>12.697075028002834</v>
      </c>
      <c r="Q4789" s="11">
        <f>IF($O4789&lt;&gt;"",Q4751*(100%-$O4789),"")</f>
        <v>12.359130065280326</v>
      </c>
      <c r="R4789" s="11">
        <f>IF($O4789&lt;&gt;"",R4751*(100%-$O4789),"")</f>
        <v>11.094250347661793</v>
      </c>
      <c r="S4789" s="11">
        <f>IF($O4789&lt;&gt;"",S4751*(100%-$O4789),"")</f>
        <v>8.9120914455107307</v>
      </c>
      <c r="T4789" s="11"/>
      <c r="U4789" s="11">
        <f>IF($O4789&lt;&gt;"",U4751*(100%-$O4789),"")</f>
        <v>12.310852213462825</v>
      </c>
      <c r="V4789" s="11">
        <f>IF($O4789&lt;&gt;"",V4751*(100%-$O4789),"")</f>
        <v>11.972907250740315</v>
      </c>
      <c r="W4789" s="11">
        <f>IF($O4789&lt;&gt;"",W4751*(100%-$O4789),"")</f>
        <v>10.708027533121781</v>
      </c>
      <c r="X4789" s="11">
        <f>IF($O4789&lt;&gt;"",X4751*(100%-$O4789),"")</f>
        <v>8.5258686309707237</v>
      </c>
    </row>
    <row r="4790" spans="1:25" x14ac:dyDescent="0.35">
      <c r="A4790" s="495" t="str">
        <f>"SgK5121--"&amp;RIGHT(A4789,5)</f>
        <v>SgK5121--Jan16</v>
      </c>
      <c r="B4790" s="356" t="s">
        <v>5434</v>
      </c>
      <c r="C4790" s="356" t="str">
        <f t="shared" si="1653"/>
        <v>Inbetriebnahme 01/2016</v>
      </c>
      <c r="D4790" s="356" t="str">
        <f>$R$4687</f>
        <v>10 - 40 kW</v>
      </c>
      <c r="E4790" s="356"/>
      <c r="F4790" s="369">
        <f t="shared" ref="F4790:F4836" si="1655">IF(HLOOKUP($D4790,$U$4739:$X$5191,MATCH(RIGHT($A4790,5),$N$4739:$N$5191,0),FALSE)&lt;&gt;"",ROUND(HLOOKUP($D4790,$U$4739:$X$5191,MATCH(RIGHT($A4790,5),$N$4739:$N$5191,0),FALSE),2),"")</f>
        <v>11.97</v>
      </c>
      <c r="G4790" s="369">
        <f t="shared" si="1654"/>
        <v>12.36</v>
      </c>
      <c r="H4790" s="357">
        <f t="shared" si="1618"/>
        <v>9.89</v>
      </c>
      <c r="I4790" s="573"/>
      <c r="J4790" s="549" t="s">
        <v>5804</v>
      </c>
      <c r="K4790" s="11"/>
      <c r="M4790" s="339"/>
      <c r="N4790" s="266" t="str">
        <f t="shared" ref="N4790:N4800" si="1656">TEXT(DATE(YEAR(DATEVALUE(N4789)),MONTH(DATEVALUE(N4789))+1,1),"MMMJJ")</f>
        <v>Feb16</v>
      </c>
      <c r="O4790" s="461">
        <v>0</v>
      </c>
      <c r="P4790" s="11">
        <f t="shared" ref="P4790:P4800" si="1657">IF($O4790&lt;&gt;"",P4789*(100%-$O4790),"")</f>
        <v>12.697075028002834</v>
      </c>
      <c r="Q4790" s="11">
        <f t="shared" ref="Q4790:Q4800" si="1658">IF($O4790&lt;&gt;"",Q4789*(100%-$O4790),"")</f>
        <v>12.359130065280326</v>
      </c>
      <c r="R4790" s="11">
        <f t="shared" ref="R4790:R4800" si="1659">IF($O4790&lt;&gt;"",R4789*(100%-$O4790),"")</f>
        <v>11.094250347661793</v>
      </c>
      <c r="S4790" s="11">
        <f t="shared" ref="S4790:S4800" si="1660">IF($O4790&lt;&gt;"",S4789*(100%-$O4790),"")</f>
        <v>8.9120914455107307</v>
      </c>
      <c r="T4790" s="11"/>
      <c r="U4790" s="11">
        <f t="shared" ref="U4790:U4800" si="1661">IF($O4790&lt;&gt;"",U4789*(100%-$O4790),"")</f>
        <v>12.310852213462825</v>
      </c>
      <c r="V4790" s="11">
        <f t="shared" ref="V4790:V4800" si="1662">IF($O4790&lt;&gt;"",V4789*(100%-$O4790),"")</f>
        <v>11.972907250740315</v>
      </c>
      <c r="W4790" s="11">
        <f t="shared" ref="W4790:W4800" si="1663">IF($O4790&lt;&gt;"",W4789*(100%-$O4790),"")</f>
        <v>10.708027533121781</v>
      </c>
      <c r="X4790" s="11">
        <f t="shared" ref="X4790:X4800" si="1664">IF($O4790&lt;&gt;"",X4789*(100%-$O4790),"")</f>
        <v>8.5258686309707237</v>
      </c>
    </row>
    <row r="4791" spans="1:25" x14ac:dyDescent="0.35">
      <c r="A4791" s="495" t="str">
        <f>"SgK5122--"&amp;RIGHT(A4790,5)</f>
        <v>SgK5122--Jan16</v>
      </c>
      <c r="B4791" s="356" t="s">
        <v>5434</v>
      </c>
      <c r="C4791" s="356" t="str">
        <f t="shared" si="1653"/>
        <v>Inbetriebnahme 01/2016</v>
      </c>
      <c r="D4791" s="356" t="str">
        <f>$S$4687</f>
        <v>40 kW - 1 MW</v>
      </c>
      <c r="E4791" s="356"/>
      <c r="F4791" s="369">
        <f t="shared" si="1655"/>
        <v>10.71</v>
      </c>
      <c r="G4791" s="369">
        <f t="shared" si="1654"/>
        <v>11.09</v>
      </c>
      <c r="H4791" s="357">
        <f t="shared" si="1618"/>
        <v>8.8699999999999992</v>
      </c>
      <c r="I4791" s="573"/>
      <c r="J4791" s="549" t="s">
        <v>5804</v>
      </c>
      <c r="K4791" s="11"/>
      <c r="M4791" s="339"/>
      <c r="N4791" s="266" t="str">
        <f t="shared" si="1656"/>
        <v>Mrz16</v>
      </c>
      <c r="O4791" s="461">
        <v>0</v>
      </c>
      <c r="P4791" s="11">
        <f t="shared" si="1657"/>
        <v>12.697075028002834</v>
      </c>
      <c r="Q4791" s="11">
        <f t="shared" si="1658"/>
        <v>12.359130065280326</v>
      </c>
      <c r="R4791" s="11">
        <f t="shared" si="1659"/>
        <v>11.094250347661793</v>
      </c>
      <c r="S4791" s="11">
        <f t="shared" si="1660"/>
        <v>8.9120914455107307</v>
      </c>
      <c r="T4791" s="11"/>
      <c r="U4791" s="11">
        <f t="shared" si="1661"/>
        <v>12.310852213462825</v>
      </c>
      <c r="V4791" s="11">
        <f t="shared" si="1662"/>
        <v>11.972907250740315</v>
      </c>
      <c r="W4791" s="11">
        <f t="shared" si="1663"/>
        <v>10.708027533121781</v>
      </c>
      <c r="X4791" s="11">
        <f t="shared" si="1664"/>
        <v>8.5258686309707237</v>
      </c>
    </row>
    <row r="4792" spans="1:25" x14ac:dyDescent="0.35">
      <c r="A4792" s="495" t="str">
        <f>"SgK5123--"&amp;RIGHT(A4791,5)</f>
        <v>SgK5123--Jan16</v>
      </c>
      <c r="B4792" s="356" t="s">
        <v>5434</v>
      </c>
      <c r="C4792" s="356" t="str">
        <f t="shared" si="1653"/>
        <v>Inbetriebnahme 01/2016</v>
      </c>
      <c r="D4792" s="356" t="str">
        <f>$T$4687</f>
        <v>1 - 10 MW</v>
      </c>
      <c r="E4792" s="356"/>
      <c r="F4792" s="369">
        <f t="shared" si="1655"/>
        <v>8.5299999999999994</v>
      </c>
      <c r="G4792" s="369">
        <f t="shared" si="1654"/>
        <v>8.91</v>
      </c>
      <c r="H4792" s="357">
        <f t="shared" si="1618"/>
        <v>7.13</v>
      </c>
      <c r="I4792" s="573"/>
      <c r="J4792" s="549" t="s">
        <v>5804</v>
      </c>
      <c r="K4792" s="11"/>
      <c r="M4792" s="339"/>
      <c r="N4792" s="266" t="str">
        <f t="shared" si="1656"/>
        <v>Apr16</v>
      </c>
      <c r="O4792" s="461">
        <v>0</v>
      </c>
      <c r="P4792" s="11">
        <f t="shared" si="1657"/>
        <v>12.697075028002834</v>
      </c>
      <c r="Q4792" s="11">
        <f t="shared" si="1658"/>
        <v>12.359130065280326</v>
      </c>
      <c r="R4792" s="11">
        <f t="shared" si="1659"/>
        <v>11.094250347661793</v>
      </c>
      <c r="S4792" s="11">
        <f t="shared" si="1660"/>
        <v>8.9120914455107307</v>
      </c>
      <c r="T4792" s="11"/>
      <c r="U4792" s="11">
        <f t="shared" si="1661"/>
        <v>12.310852213462825</v>
      </c>
      <c r="V4792" s="11">
        <f t="shared" si="1662"/>
        <v>11.972907250740315</v>
      </c>
      <c r="W4792" s="11">
        <f t="shared" si="1663"/>
        <v>10.708027533121781</v>
      </c>
      <c r="X4792" s="11">
        <f t="shared" si="1664"/>
        <v>8.5258686309707237</v>
      </c>
    </row>
    <row r="4793" spans="1:25" x14ac:dyDescent="0.35">
      <c r="A4793" s="495" t="s">
        <v>5722</v>
      </c>
      <c r="B4793" s="356" t="s">
        <v>5434</v>
      </c>
      <c r="C4793" s="356" t="str">
        <f t="shared" si="1653"/>
        <v>Inbetriebnahme 02/2016</v>
      </c>
      <c r="D4793" s="356" t="str">
        <f>$Q$4687</f>
        <v>0 - 10 kW</v>
      </c>
      <c r="E4793" s="356"/>
      <c r="F4793" s="369">
        <f t="shared" si="1655"/>
        <v>12.31</v>
      </c>
      <c r="G4793" s="369">
        <f t="shared" si="1654"/>
        <v>12.7</v>
      </c>
      <c r="H4793" s="357">
        <f t="shared" ref="H4793:H4847" si="1665">IF(ISNUMBER(G4793),ROUND(0.8*G4793,2),"")</f>
        <v>10.16</v>
      </c>
      <c r="I4793" s="573"/>
      <c r="J4793" s="549" t="s">
        <v>5804</v>
      </c>
      <c r="K4793" s="11"/>
      <c r="M4793" s="339"/>
      <c r="N4793" s="266" t="str">
        <f t="shared" si="1656"/>
        <v>Mai16</v>
      </c>
      <c r="O4793" s="461">
        <v>0</v>
      </c>
      <c r="P4793" s="11">
        <f t="shared" si="1657"/>
        <v>12.697075028002834</v>
      </c>
      <c r="Q4793" s="11">
        <f t="shared" si="1658"/>
        <v>12.359130065280326</v>
      </c>
      <c r="R4793" s="11">
        <f t="shared" si="1659"/>
        <v>11.094250347661793</v>
      </c>
      <c r="S4793" s="11">
        <f t="shared" si="1660"/>
        <v>8.9120914455107307</v>
      </c>
      <c r="T4793" s="11"/>
      <c r="U4793" s="11">
        <f t="shared" si="1661"/>
        <v>12.310852213462825</v>
      </c>
      <c r="V4793" s="11">
        <f t="shared" si="1662"/>
        <v>11.972907250740315</v>
      </c>
      <c r="W4793" s="11">
        <f t="shared" si="1663"/>
        <v>10.708027533121781</v>
      </c>
      <c r="X4793" s="11">
        <f t="shared" si="1664"/>
        <v>8.5258686309707237</v>
      </c>
    </row>
    <row r="4794" spans="1:25" x14ac:dyDescent="0.35">
      <c r="A4794" s="495" t="str">
        <f>"SgK5121--"&amp;RIGHT(A4793,5)</f>
        <v>SgK5121--Feb16</v>
      </c>
      <c r="B4794" s="356" t="s">
        <v>5434</v>
      </c>
      <c r="C4794" s="356" t="str">
        <f t="shared" si="1653"/>
        <v>Inbetriebnahme 02/2016</v>
      </c>
      <c r="D4794" s="356" t="str">
        <f>$R$4687</f>
        <v>10 - 40 kW</v>
      </c>
      <c r="E4794" s="356"/>
      <c r="F4794" s="369">
        <f t="shared" si="1655"/>
        <v>11.97</v>
      </c>
      <c r="G4794" s="369">
        <f t="shared" si="1654"/>
        <v>12.36</v>
      </c>
      <c r="H4794" s="357">
        <f t="shared" si="1665"/>
        <v>9.89</v>
      </c>
      <c r="I4794" s="573"/>
      <c r="J4794" s="549" t="s">
        <v>5804</v>
      </c>
      <c r="K4794" s="11"/>
      <c r="M4794" s="339"/>
      <c r="N4794" s="266" t="str">
        <f t="shared" si="1656"/>
        <v>Jun16</v>
      </c>
      <c r="O4794" s="461">
        <v>0</v>
      </c>
      <c r="P4794" s="11">
        <f t="shared" si="1657"/>
        <v>12.697075028002834</v>
      </c>
      <c r="Q4794" s="11">
        <f t="shared" si="1658"/>
        <v>12.359130065280326</v>
      </c>
      <c r="R4794" s="11">
        <f t="shared" si="1659"/>
        <v>11.094250347661793</v>
      </c>
      <c r="S4794" s="11">
        <f t="shared" si="1660"/>
        <v>8.9120914455107307</v>
      </c>
      <c r="T4794" s="11"/>
      <c r="U4794" s="11">
        <f t="shared" si="1661"/>
        <v>12.310852213462825</v>
      </c>
      <c r="V4794" s="11">
        <f t="shared" si="1662"/>
        <v>11.972907250740315</v>
      </c>
      <c r="W4794" s="11">
        <f t="shared" si="1663"/>
        <v>10.708027533121781</v>
      </c>
      <c r="X4794" s="11">
        <f t="shared" si="1664"/>
        <v>8.5258686309707237</v>
      </c>
    </row>
    <row r="4795" spans="1:25" x14ac:dyDescent="0.35">
      <c r="A4795" s="495" t="str">
        <f>"SgK5122--"&amp;RIGHT(A4794,5)</f>
        <v>SgK5122--Feb16</v>
      </c>
      <c r="B4795" s="356" t="s">
        <v>5434</v>
      </c>
      <c r="C4795" s="356" t="str">
        <f t="shared" si="1653"/>
        <v>Inbetriebnahme 02/2016</v>
      </c>
      <c r="D4795" s="356" t="str">
        <f>$S$4687</f>
        <v>40 kW - 1 MW</v>
      </c>
      <c r="E4795" s="356"/>
      <c r="F4795" s="369">
        <f t="shared" si="1655"/>
        <v>10.71</v>
      </c>
      <c r="G4795" s="369">
        <f t="shared" si="1654"/>
        <v>11.09</v>
      </c>
      <c r="H4795" s="357">
        <f t="shared" si="1665"/>
        <v>8.8699999999999992</v>
      </c>
      <c r="I4795" s="573"/>
      <c r="J4795" s="549" t="s">
        <v>5804</v>
      </c>
      <c r="K4795" s="11"/>
      <c r="M4795" s="339"/>
      <c r="N4795" s="266" t="str">
        <f t="shared" si="1656"/>
        <v>Jul16</v>
      </c>
      <c r="O4795" s="461">
        <v>0</v>
      </c>
      <c r="P4795" s="11">
        <f t="shared" si="1657"/>
        <v>12.697075028002834</v>
      </c>
      <c r="Q4795" s="11">
        <f t="shared" si="1658"/>
        <v>12.359130065280326</v>
      </c>
      <c r="R4795" s="11">
        <f t="shared" si="1659"/>
        <v>11.094250347661793</v>
      </c>
      <c r="S4795" s="11">
        <f t="shared" si="1660"/>
        <v>8.9120914455107307</v>
      </c>
      <c r="T4795" s="11"/>
      <c r="U4795" s="11">
        <f t="shared" si="1661"/>
        <v>12.310852213462825</v>
      </c>
      <c r="V4795" s="11">
        <f t="shared" si="1662"/>
        <v>11.972907250740315</v>
      </c>
      <c r="W4795" s="11">
        <f t="shared" si="1663"/>
        <v>10.708027533121781</v>
      </c>
      <c r="X4795" s="11">
        <f t="shared" si="1664"/>
        <v>8.5258686309707237</v>
      </c>
    </row>
    <row r="4796" spans="1:25" x14ac:dyDescent="0.35">
      <c r="A4796" s="495" t="str">
        <f>"SgK5123--"&amp;RIGHT(A4795,5)</f>
        <v>SgK5123--Feb16</v>
      </c>
      <c r="B4796" s="356" t="s">
        <v>5434</v>
      </c>
      <c r="C4796" s="356" t="str">
        <f t="shared" si="1653"/>
        <v>Inbetriebnahme 02/2016</v>
      </c>
      <c r="D4796" s="356" t="str">
        <f>$T$4687</f>
        <v>1 - 10 MW</v>
      </c>
      <c r="E4796" s="356"/>
      <c r="F4796" s="369">
        <f t="shared" si="1655"/>
        <v>8.5299999999999994</v>
      </c>
      <c r="G4796" s="369">
        <f t="shared" si="1654"/>
        <v>8.91</v>
      </c>
      <c r="H4796" s="357">
        <f t="shared" si="1665"/>
        <v>7.13</v>
      </c>
      <c r="I4796" s="573"/>
      <c r="J4796" s="549" t="s">
        <v>5804</v>
      </c>
      <c r="K4796" s="11"/>
      <c r="M4796" s="101"/>
      <c r="N4796" s="266" t="str">
        <f t="shared" si="1656"/>
        <v>Aug16</v>
      </c>
      <c r="O4796" s="461">
        <v>0</v>
      </c>
      <c r="P4796" s="11">
        <f t="shared" si="1657"/>
        <v>12.697075028002834</v>
      </c>
      <c r="Q4796" s="11">
        <f t="shared" si="1658"/>
        <v>12.359130065280326</v>
      </c>
      <c r="R4796" s="11">
        <f t="shared" si="1659"/>
        <v>11.094250347661793</v>
      </c>
      <c r="S4796" s="11">
        <f t="shared" si="1660"/>
        <v>8.9120914455107307</v>
      </c>
      <c r="T4796" s="11"/>
      <c r="U4796" s="11">
        <f t="shared" si="1661"/>
        <v>12.310852213462825</v>
      </c>
      <c r="V4796" s="11">
        <f t="shared" si="1662"/>
        <v>11.972907250740315</v>
      </c>
      <c r="W4796" s="11">
        <f t="shared" si="1663"/>
        <v>10.708027533121781</v>
      </c>
      <c r="X4796" s="11">
        <f t="shared" si="1664"/>
        <v>8.5258686309707237</v>
      </c>
    </row>
    <row r="4797" spans="1:25" x14ac:dyDescent="0.35">
      <c r="A4797" s="495" t="s">
        <v>5723</v>
      </c>
      <c r="B4797" s="356" t="s">
        <v>5434</v>
      </c>
      <c r="C4797" s="356" t="str">
        <f t="shared" si="1653"/>
        <v>Inbetriebnahme 03/2016</v>
      </c>
      <c r="D4797" s="356" t="str">
        <f>$Q$4687</f>
        <v>0 - 10 kW</v>
      </c>
      <c r="E4797" s="356"/>
      <c r="F4797" s="369">
        <f t="shared" si="1655"/>
        <v>12.31</v>
      </c>
      <c r="G4797" s="369">
        <f t="shared" si="1654"/>
        <v>12.7</v>
      </c>
      <c r="H4797" s="357">
        <f t="shared" si="1665"/>
        <v>10.16</v>
      </c>
      <c r="I4797" s="573"/>
      <c r="J4797" s="549" t="s">
        <v>5804</v>
      </c>
      <c r="K4797" s="11"/>
      <c r="N4797" s="266" t="str">
        <f t="shared" si="1656"/>
        <v>Sep16</v>
      </c>
      <c r="O4797" s="461">
        <v>0</v>
      </c>
      <c r="P4797" s="11">
        <f t="shared" si="1657"/>
        <v>12.697075028002834</v>
      </c>
      <c r="Q4797" s="11">
        <f t="shared" si="1658"/>
        <v>12.359130065280326</v>
      </c>
      <c r="R4797" s="11">
        <f t="shared" si="1659"/>
        <v>11.094250347661793</v>
      </c>
      <c r="S4797" s="11">
        <f t="shared" si="1660"/>
        <v>8.9120914455107307</v>
      </c>
      <c r="T4797" s="11"/>
      <c r="U4797" s="11">
        <f t="shared" si="1661"/>
        <v>12.310852213462825</v>
      </c>
      <c r="V4797" s="11">
        <f t="shared" si="1662"/>
        <v>11.972907250740315</v>
      </c>
      <c r="W4797" s="11">
        <f t="shared" si="1663"/>
        <v>10.708027533121781</v>
      </c>
      <c r="X4797" s="11">
        <f t="shared" si="1664"/>
        <v>8.5258686309707237</v>
      </c>
    </row>
    <row r="4798" spans="1:25" x14ac:dyDescent="0.35">
      <c r="A4798" s="495" t="str">
        <f>"SgK5121--"&amp;RIGHT(A4797,5)</f>
        <v>SgK5121--Mrz16</v>
      </c>
      <c r="B4798" s="356" t="s">
        <v>5434</v>
      </c>
      <c r="C4798" s="356" t="str">
        <f t="shared" si="1653"/>
        <v>Inbetriebnahme 03/2016</v>
      </c>
      <c r="D4798" s="356" t="str">
        <f>$R$4687</f>
        <v>10 - 40 kW</v>
      </c>
      <c r="E4798" s="356"/>
      <c r="F4798" s="369">
        <f t="shared" si="1655"/>
        <v>11.97</v>
      </c>
      <c r="G4798" s="369">
        <f t="shared" si="1654"/>
        <v>12.36</v>
      </c>
      <c r="H4798" s="357">
        <f t="shared" si="1665"/>
        <v>9.89</v>
      </c>
      <c r="I4798" s="573"/>
      <c r="J4798" s="549" t="s">
        <v>5804</v>
      </c>
      <c r="K4798" s="11"/>
      <c r="N4798" s="266" t="str">
        <f t="shared" si="1656"/>
        <v>Okt16</v>
      </c>
      <c r="O4798" s="461">
        <v>0</v>
      </c>
      <c r="P4798" s="11">
        <f t="shared" si="1657"/>
        <v>12.697075028002834</v>
      </c>
      <c r="Q4798" s="11">
        <f t="shared" si="1658"/>
        <v>12.359130065280326</v>
      </c>
      <c r="R4798" s="11">
        <f t="shared" si="1659"/>
        <v>11.094250347661793</v>
      </c>
      <c r="S4798" s="11">
        <f t="shared" si="1660"/>
        <v>8.9120914455107307</v>
      </c>
      <c r="T4798" s="11"/>
      <c r="U4798" s="11">
        <f t="shared" si="1661"/>
        <v>12.310852213462825</v>
      </c>
      <c r="V4798" s="11">
        <f t="shared" si="1662"/>
        <v>11.972907250740315</v>
      </c>
      <c r="W4798" s="11">
        <f t="shared" si="1663"/>
        <v>10.708027533121781</v>
      </c>
      <c r="X4798" s="11">
        <f t="shared" si="1664"/>
        <v>8.5258686309707237</v>
      </c>
    </row>
    <row r="4799" spans="1:25" x14ac:dyDescent="0.35">
      <c r="A4799" s="495" t="str">
        <f>"SgK5122--"&amp;RIGHT(A4798,5)</f>
        <v>SgK5122--Mrz16</v>
      </c>
      <c r="B4799" s="356" t="s">
        <v>5434</v>
      </c>
      <c r="C4799" s="356" t="str">
        <f t="shared" si="1653"/>
        <v>Inbetriebnahme 03/2016</v>
      </c>
      <c r="D4799" s="356" t="str">
        <f>$S$4687</f>
        <v>40 kW - 1 MW</v>
      </c>
      <c r="E4799" s="356"/>
      <c r="F4799" s="369">
        <f t="shared" si="1655"/>
        <v>10.71</v>
      </c>
      <c r="G4799" s="369">
        <f t="shared" si="1654"/>
        <v>11.09</v>
      </c>
      <c r="H4799" s="357">
        <f t="shared" si="1665"/>
        <v>8.8699999999999992</v>
      </c>
      <c r="I4799" s="573"/>
      <c r="J4799" s="549" t="s">
        <v>5804</v>
      </c>
      <c r="K4799" s="11"/>
      <c r="N4799" s="266" t="str">
        <f t="shared" si="1656"/>
        <v>Nov16</v>
      </c>
      <c r="O4799" s="461">
        <v>0</v>
      </c>
      <c r="P4799" s="11">
        <f t="shared" si="1657"/>
        <v>12.697075028002834</v>
      </c>
      <c r="Q4799" s="11">
        <f t="shared" si="1658"/>
        <v>12.359130065280326</v>
      </c>
      <c r="R4799" s="11">
        <f t="shared" si="1659"/>
        <v>11.094250347661793</v>
      </c>
      <c r="S4799" s="11">
        <f t="shared" si="1660"/>
        <v>8.9120914455107307</v>
      </c>
      <c r="T4799" s="11"/>
      <c r="U4799" s="11">
        <f t="shared" si="1661"/>
        <v>12.310852213462825</v>
      </c>
      <c r="V4799" s="11">
        <f t="shared" si="1662"/>
        <v>11.972907250740315</v>
      </c>
      <c r="W4799" s="11">
        <f t="shared" si="1663"/>
        <v>10.708027533121781</v>
      </c>
      <c r="X4799" s="11">
        <f t="shared" si="1664"/>
        <v>8.5258686309707237</v>
      </c>
    </row>
    <row r="4800" spans="1:25" x14ac:dyDescent="0.35">
      <c r="A4800" s="495" t="str">
        <f>"SgK5123--"&amp;RIGHT(A4799,5)</f>
        <v>SgK5123--Mrz16</v>
      </c>
      <c r="B4800" s="356" t="s">
        <v>5434</v>
      </c>
      <c r="C4800" s="356" t="str">
        <f t="shared" si="1653"/>
        <v>Inbetriebnahme 03/2016</v>
      </c>
      <c r="D4800" s="356" t="str">
        <f>$T$4687</f>
        <v>1 - 10 MW</v>
      </c>
      <c r="E4800" s="356"/>
      <c r="F4800" s="369">
        <f t="shared" si="1655"/>
        <v>8.5299999999999994</v>
      </c>
      <c r="G4800" s="369">
        <f t="shared" si="1654"/>
        <v>8.91</v>
      </c>
      <c r="H4800" s="357">
        <f t="shared" si="1665"/>
        <v>7.13</v>
      </c>
      <c r="I4800" s="573"/>
      <c r="J4800" s="549" t="s">
        <v>5804</v>
      </c>
      <c r="K4800" s="11"/>
      <c r="N4800" s="266" t="str">
        <f t="shared" si="1656"/>
        <v>Dez16</v>
      </c>
      <c r="O4800" s="461">
        <v>0</v>
      </c>
      <c r="P4800" s="11">
        <f t="shared" si="1657"/>
        <v>12.697075028002834</v>
      </c>
      <c r="Q4800" s="11">
        <f t="shared" si="1658"/>
        <v>12.359130065280326</v>
      </c>
      <c r="R4800" s="11">
        <f t="shared" si="1659"/>
        <v>11.094250347661793</v>
      </c>
      <c r="S4800" s="11">
        <f t="shared" si="1660"/>
        <v>8.9120914455107307</v>
      </c>
      <c r="T4800" s="11"/>
      <c r="U4800" s="11">
        <f t="shared" si="1661"/>
        <v>12.310852213462825</v>
      </c>
      <c r="V4800" s="11">
        <f t="shared" si="1662"/>
        <v>11.972907250740315</v>
      </c>
      <c r="W4800" s="11">
        <f t="shared" si="1663"/>
        <v>10.708027533121781</v>
      </c>
      <c r="X4800" s="11">
        <f t="shared" si="1664"/>
        <v>8.5258686309707237</v>
      </c>
    </row>
    <row r="4801" spans="1:20" x14ac:dyDescent="0.35">
      <c r="A4801" s="495" t="s">
        <v>5724</v>
      </c>
      <c r="B4801" s="356" t="s">
        <v>5434</v>
      </c>
      <c r="C4801" s="356" t="str">
        <f t="shared" si="1653"/>
        <v>Inbetriebnahme 04/2016</v>
      </c>
      <c r="D4801" s="356" t="str">
        <f>$Q$4687</f>
        <v>0 - 10 kW</v>
      </c>
      <c r="E4801" s="356"/>
      <c r="F4801" s="369">
        <f t="shared" si="1655"/>
        <v>12.31</v>
      </c>
      <c r="G4801" s="369">
        <f t="shared" si="1654"/>
        <v>12.7</v>
      </c>
      <c r="H4801" s="357">
        <f t="shared" si="1665"/>
        <v>10.16</v>
      </c>
      <c r="I4801" s="573"/>
      <c r="J4801" s="549" t="s">
        <v>5804</v>
      </c>
      <c r="K4801" s="11"/>
      <c r="M4801" s="339"/>
      <c r="N4801" s="108"/>
      <c r="O4801" s="259"/>
      <c r="P4801" s="260"/>
      <c r="Q4801" s="261"/>
      <c r="R4801" s="261"/>
      <c r="S4801" s="261"/>
      <c r="T4801" s="261"/>
    </row>
    <row r="4802" spans="1:20" x14ac:dyDescent="0.35">
      <c r="A4802" s="495" t="str">
        <f>"SgK5121--"&amp;RIGHT(A4801,5)</f>
        <v>SgK5121--Apr16</v>
      </c>
      <c r="B4802" s="356" t="s">
        <v>5434</v>
      </c>
      <c r="C4802" s="356" t="str">
        <f t="shared" si="1653"/>
        <v>Inbetriebnahme 04/2016</v>
      </c>
      <c r="D4802" s="356" t="str">
        <f>$R$4687</f>
        <v>10 - 40 kW</v>
      </c>
      <c r="E4802" s="356"/>
      <c r="F4802" s="369">
        <f t="shared" si="1655"/>
        <v>11.97</v>
      </c>
      <c r="G4802" s="369">
        <f t="shared" si="1654"/>
        <v>12.36</v>
      </c>
      <c r="H4802" s="357">
        <f t="shared" si="1665"/>
        <v>9.89</v>
      </c>
      <c r="I4802" s="573"/>
      <c r="J4802" s="549" t="s">
        <v>5804</v>
      </c>
      <c r="K4802" s="11"/>
      <c r="M4802" s="339"/>
      <c r="N4802" s="108"/>
      <c r="O4802" s="266"/>
      <c r="P4802" s="260"/>
      <c r="Q4802" s="261"/>
      <c r="R4802" s="261"/>
      <c r="S4802" s="261"/>
      <c r="T4802" s="261"/>
    </row>
    <row r="4803" spans="1:20" x14ac:dyDescent="0.35">
      <c r="A4803" s="495" t="str">
        <f>"SgK5122--"&amp;RIGHT(A4802,5)</f>
        <v>SgK5122--Apr16</v>
      </c>
      <c r="B4803" s="356" t="s">
        <v>5434</v>
      </c>
      <c r="C4803" s="356" t="str">
        <f t="shared" si="1653"/>
        <v>Inbetriebnahme 04/2016</v>
      </c>
      <c r="D4803" s="356" t="str">
        <f>$S$4687</f>
        <v>40 kW - 1 MW</v>
      </c>
      <c r="E4803" s="356"/>
      <c r="F4803" s="369">
        <f t="shared" si="1655"/>
        <v>10.71</v>
      </c>
      <c r="G4803" s="369">
        <f t="shared" si="1654"/>
        <v>11.09</v>
      </c>
      <c r="H4803" s="357">
        <f t="shared" si="1665"/>
        <v>8.8699999999999992</v>
      </c>
      <c r="I4803" s="573"/>
      <c r="J4803" s="549" t="s">
        <v>5804</v>
      </c>
      <c r="K4803" s="11"/>
      <c r="M4803" s="339"/>
      <c r="N4803" s="108"/>
      <c r="O4803" s="266"/>
      <c r="P4803" s="260"/>
      <c r="Q4803" s="261"/>
      <c r="R4803" s="261"/>
      <c r="S4803" s="261"/>
      <c r="T4803" s="261"/>
    </row>
    <row r="4804" spans="1:20" x14ac:dyDescent="0.35">
      <c r="A4804" s="495" t="str">
        <f>"SgK5123--"&amp;RIGHT(A4803,5)</f>
        <v>SgK5123--Apr16</v>
      </c>
      <c r="B4804" s="356" t="s">
        <v>5434</v>
      </c>
      <c r="C4804" s="356" t="str">
        <f t="shared" si="1653"/>
        <v>Inbetriebnahme 04/2016</v>
      </c>
      <c r="D4804" s="356" t="str">
        <f>$T$4687</f>
        <v>1 - 10 MW</v>
      </c>
      <c r="E4804" s="356"/>
      <c r="F4804" s="369">
        <f t="shared" si="1655"/>
        <v>8.5299999999999994</v>
      </c>
      <c r="G4804" s="369">
        <f t="shared" si="1654"/>
        <v>8.91</v>
      </c>
      <c r="H4804" s="357">
        <f t="shared" si="1665"/>
        <v>7.13</v>
      </c>
      <c r="I4804" s="573"/>
      <c r="J4804" s="549" t="s">
        <v>5804</v>
      </c>
      <c r="K4804" s="11"/>
      <c r="L4804" s="102"/>
      <c r="M4804" s="339"/>
      <c r="N4804" s="108"/>
      <c r="O4804" s="266"/>
      <c r="P4804" s="260"/>
      <c r="Q4804" s="261"/>
      <c r="R4804" s="261"/>
      <c r="S4804" s="261"/>
      <c r="T4804" s="261"/>
    </row>
    <row r="4805" spans="1:20" x14ac:dyDescent="0.35">
      <c r="A4805" s="495" t="s">
        <v>5725</v>
      </c>
      <c r="B4805" s="356" t="s">
        <v>5434</v>
      </c>
      <c r="C4805" s="356" t="str">
        <f t="shared" si="1653"/>
        <v>Inbetriebnahme 05/2016</v>
      </c>
      <c r="D4805" s="356" t="str">
        <f>$Q$4687</f>
        <v>0 - 10 kW</v>
      </c>
      <c r="E4805" s="356"/>
      <c r="F4805" s="369">
        <f t="shared" si="1655"/>
        <v>12.31</v>
      </c>
      <c r="G4805" s="369">
        <f t="shared" si="1654"/>
        <v>12.7</v>
      </c>
      <c r="H4805" s="357">
        <f t="shared" si="1665"/>
        <v>10.16</v>
      </c>
      <c r="I4805" s="573"/>
      <c r="J4805" s="549" t="s">
        <v>5804</v>
      </c>
      <c r="K4805" s="11"/>
      <c r="L4805" s="102"/>
      <c r="M4805" s="339"/>
      <c r="N4805" s="108"/>
      <c r="O4805" s="266"/>
      <c r="P4805" s="260"/>
      <c r="Q4805" s="261"/>
      <c r="R4805" s="261"/>
      <c r="S4805" s="261"/>
      <c r="T4805" s="261"/>
    </row>
    <row r="4806" spans="1:20" x14ac:dyDescent="0.35">
      <c r="A4806" s="495" t="str">
        <f>"SgK5121--"&amp;RIGHT(A4805,5)</f>
        <v>SgK5121--Mai16</v>
      </c>
      <c r="B4806" s="356" t="s">
        <v>5434</v>
      </c>
      <c r="C4806" s="356" t="str">
        <f t="shared" si="1653"/>
        <v>Inbetriebnahme 05/2016</v>
      </c>
      <c r="D4806" s="356" t="str">
        <f>$R$4687</f>
        <v>10 - 40 kW</v>
      </c>
      <c r="E4806" s="356"/>
      <c r="F4806" s="369">
        <f t="shared" si="1655"/>
        <v>11.97</v>
      </c>
      <c r="G4806" s="369">
        <f t="shared" si="1654"/>
        <v>12.36</v>
      </c>
      <c r="H4806" s="357">
        <f t="shared" si="1665"/>
        <v>9.89</v>
      </c>
      <c r="I4806" s="573"/>
      <c r="J4806" s="549" t="s">
        <v>5804</v>
      </c>
      <c r="K4806" s="11"/>
      <c r="L4806" s="102"/>
      <c r="M4806" s="339"/>
      <c r="N4806" s="108"/>
      <c r="O4806" s="266"/>
      <c r="P4806" s="260"/>
      <c r="Q4806" s="261"/>
      <c r="R4806" s="261"/>
      <c r="S4806" s="261"/>
      <c r="T4806" s="261"/>
    </row>
    <row r="4807" spans="1:20" x14ac:dyDescent="0.35">
      <c r="A4807" s="495" t="str">
        <f>"SgK5122--"&amp;RIGHT(A4806,5)</f>
        <v>SgK5122--Mai16</v>
      </c>
      <c r="B4807" s="356" t="s">
        <v>5434</v>
      </c>
      <c r="C4807" s="356" t="str">
        <f t="shared" si="1653"/>
        <v>Inbetriebnahme 05/2016</v>
      </c>
      <c r="D4807" s="356" t="str">
        <f>$S$4687</f>
        <v>40 kW - 1 MW</v>
      </c>
      <c r="E4807" s="356"/>
      <c r="F4807" s="369">
        <f t="shared" si="1655"/>
        <v>10.71</v>
      </c>
      <c r="G4807" s="369">
        <f t="shared" si="1654"/>
        <v>11.09</v>
      </c>
      <c r="H4807" s="357">
        <f t="shared" si="1665"/>
        <v>8.8699999999999992</v>
      </c>
      <c r="I4807" s="573"/>
      <c r="J4807" s="549" t="s">
        <v>5804</v>
      </c>
      <c r="K4807" s="11"/>
      <c r="L4807" s="102"/>
      <c r="M4807" s="339"/>
      <c r="N4807" s="108"/>
      <c r="O4807" s="266"/>
      <c r="P4807" s="260"/>
      <c r="Q4807" s="261"/>
      <c r="R4807" s="261"/>
      <c r="S4807" s="261"/>
      <c r="T4807" s="261"/>
    </row>
    <row r="4808" spans="1:20" x14ac:dyDescent="0.35">
      <c r="A4808" s="495" t="str">
        <f>"SgK5123--"&amp;RIGHT(A4807,5)</f>
        <v>SgK5123--Mai16</v>
      </c>
      <c r="B4808" s="356" t="s">
        <v>5434</v>
      </c>
      <c r="C4808" s="356" t="str">
        <f t="shared" si="1653"/>
        <v>Inbetriebnahme 05/2016</v>
      </c>
      <c r="D4808" s="356" t="str">
        <f>$T$4687</f>
        <v>1 - 10 MW</v>
      </c>
      <c r="E4808" s="356"/>
      <c r="F4808" s="369">
        <f t="shared" si="1655"/>
        <v>8.5299999999999994</v>
      </c>
      <c r="G4808" s="369">
        <f t="shared" si="1654"/>
        <v>8.91</v>
      </c>
      <c r="H4808" s="357">
        <f t="shared" si="1665"/>
        <v>7.13</v>
      </c>
      <c r="I4808" s="573"/>
      <c r="J4808" s="549" t="s">
        <v>5804</v>
      </c>
      <c r="K4808" s="11"/>
      <c r="L4808" s="102"/>
      <c r="M4808" s="339"/>
      <c r="N4808" s="108"/>
      <c r="O4808" s="266"/>
      <c r="P4808" s="277"/>
      <c r="Q4808" s="261"/>
      <c r="R4808" s="261"/>
      <c r="S4808" s="261"/>
      <c r="T4808" s="261"/>
    </row>
    <row r="4809" spans="1:20" x14ac:dyDescent="0.35">
      <c r="A4809" s="495" t="s">
        <v>5726</v>
      </c>
      <c r="B4809" s="356" t="s">
        <v>5434</v>
      </c>
      <c r="C4809" s="356" t="str">
        <f t="shared" si="1653"/>
        <v>Inbetriebnahme 06/2016</v>
      </c>
      <c r="D4809" s="356" t="str">
        <f>$Q$4687</f>
        <v>0 - 10 kW</v>
      </c>
      <c r="E4809" s="356"/>
      <c r="F4809" s="369">
        <f t="shared" si="1655"/>
        <v>12.31</v>
      </c>
      <c r="G4809" s="369">
        <f t="shared" si="1654"/>
        <v>12.7</v>
      </c>
      <c r="H4809" s="357">
        <f t="shared" si="1665"/>
        <v>10.16</v>
      </c>
      <c r="I4809" s="573"/>
      <c r="J4809" s="549" t="s">
        <v>5804</v>
      </c>
      <c r="K4809" s="11"/>
      <c r="L4809" s="102"/>
      <c r="M4809" s="339"/>
      <c r="N4809" s="108"/>
      <c r="O4809" s="266"/>
      <c r="P4809" s="277"/>
      <c r="Q4809" s="261"/>
      <c r="R4809" s="261"/>
      <c r="S4809" s="261"/>
      <c r="T4809" s="261"/>
    </row>
    <row r="4810" spans="1:20" x14ac:dyDescent="0.35">
      <c r="A4810" s="495" t="str">
        <f>"SgK5121--"&amp;RIGHT(A4809,5)</f>
        <v>SgK5121--Jun16</v>
      </c>
      <c r="B4810" s="356" t="s">
        <v>5434</v>
      </c>
      <c r="C4810" s="356" t="str">
        <f t="shared" si="1653"/>
        <v>Inbetriebnahme 06/2016</v>
      </c>
      <c r="D4810" s="356" t="str">
        <f>$R$4687</f>
        <v>10 - 40 kW</v>
      </c>
      <c r="E4810" s="356"/>
      <c r="F4810" s="369">
        <f t="shared" si="1655"/>
        <v>11.97</v>
      </c>
      <c r="G4810" s="369">
        <f t="shared" si="1654"/>
        <v>12.36</v>
      </c>
      <c r="H4810" s="357">
        <f t="shared" si="1665"/>
        <v>9.89</v>
      </c>
      <c r="I4810" s="573"/>
      <c r="J4810" s="549" t="s">
        <v>5804</v>
      </c>
      <c r="K4810" s="11"/>
      <c r="L4810" s="102"/>
      <c r="M4810" s="339"/>
      <c r="N4810" s="108"/>
      <c r="O4810" s="259"/>
    </row>
    <row r="4811" spans="1:20" x14ac:dyDescent="0.35">
      <c r="A4811" s="495" t="str">
        <f>"SgK5122--"&amp;RIGHT(A4810,5)</f>
        <v>SgK5122--Jun16</v>
      </c>
      <c r="B4811" s="356" t="s">
        <v>5434</v>
      </c>
      <c r="C4811" s="356" t="str">
        <f t="shared" si="1653"/>
        <v>Inbetriebnahme 06/2016</v>
      </c>
      <c r="D4811" s="356" t="str">
        <f>$S$4687</f>
        <v>40 kW - 1 MW</v>
      </c>
      <c r="E4811" s="356"/>
      <c r="F4811" s="369">
        <f t="shared" si="1655"/>
        <v>10.71</v>
      </c>
      <c r="G4811" s="369">
        <f t="shared" si="1654"/>
        <v>11.09</v>
      </c>
      <c r="H4811" s="357">
        <f t="shared" si="1665"/>
        <v>8.8699999999999992</v>
      </c>
      <c r="I4811" s="573"/>
      <c r="J4811" s="549" t="s">
        <v>5804</v>
      </c>
      <c r="K4811" s="11"/>
      <c r="L4811" s="102"/>
      <c r="M4811" s="339"/>
      <c r="O4811" s="259"/>
    </row>
    <row r="4812" spans="1:20" x14ac:dyDescent="0.35">
      <c r="A4812" s="495" t="str">
        <f>"SgK5123--"&amp;RIGHT(A4811,5)</f>
        <v>SgK5123--Jun16</v>
      </c>
      <c r="B4812" s="356" t="s">
        <v>5434</v>
      </c>
      <c r="C4812" s="356" t="str">
        <f t="shared" si="1653"/>
        <v>Inbetriebnahme 06/2016</v>
      </c>
      <c r="D4812" s="356" t="str">
        <f>$T$4687</f>
        <v>1 - 10 MW</v>
      </c>
      <c r="E4812" s="356"/>
      <c r="F4812" s="369">
        <f t="shared" si="1655"/>
        <v>8.5299999999999994</v>
      </c>
      <c r="G4812" s="369">
        <f t="shared" si="1654"/>
        <v>8.91</v>
      </c>
      <c r="H4812" s="357">
        <f t="shared" si="1665"/>
        <v>7.13</v>
      </c>
      <c r="I4812" s="573"/>
      <c r="J4812" s="549" t="s">
        <v>5804</v>
      </c>
      <c r="K4812" s="11"/>
      <c r="L4812" s="102"/>
      <c r="M4812" s="339"/>
      <c r="O4812" s="259"/>
    </row>
    <row r="4813" spans="1:20" x14ac:dyDescent="0.35">
      <c r="A4813" s="495" t="s">
        <v>5727</v>
      </c>
      <c r="B4813" s="356" t="s">
        <v>5434</v>
      </c>
      <c r="C4813" s="356" t="str">
        <f t="shared" si="1653"/>
        <v>Inbetriebnahme 07/2016</v>
      </c>
      <c r="D4813" s="356" t="str">
        <f>$Q$4687</f>
        <v>0 - 10 kW</v>
      </c>
      <c r="E4813" s="356"/>
      <c r="F4813" s="369">
        <f t="shared" si="1655"/>
        <v>12.31</v>
      </c>
      <c r="G4813" s="369">
        <f t="shared" si="1654"/>
        <v>12.7</v>
      </c>
      <c r="H4813" s="357">
        <f t="shared" si="1665"/>
        <v>10.16</v>
      </c>
      <c r="I4813" s="573"/>
      <c r="J4813" s="549" t="s">
        <v>5804</v>
      </c>
      <c r="K4813" s="11"/>
      <c r="L4813" s="102"/>
      <c r="M4813" s="339"/>
      <c r="O4813" s="259"/>
    </row>
    <row r="4814" spans="1:20" x14ac:dyDescent="0.35">
      <c r="A4814" s="495" t="str">
        <f>"SgK5121--"&amp;RIGHT(A4813,5)</f>
        <v>SgK5121--Jul16</v>
      </c>
      <c r="B4814" s="356" t="s">
        <v>5434</v>
      </c>
      <c r="C4814" s="356" t="str">
        <f t="shared" si="1653"/>
        <v>Inbetriebnahme 07/2016</v>
      </c>
      <c r="D4814" s="356" t="str">
        <f>$R$4687</f>
        <v>10 - 40 kW</v>
      </c>
      <c r="E4814" s="356"/>
      <c r="F4814" s="369">
        <f t="shared" si="1655"/>
        <v>11.97</v>
      </c>
      <c r="G4814" s="369">
        <f t="shared" si="1654"/>
        <v>12.36</v>
      </c>
      <c r="H4814" s="357">
        <f t="shared" si="1665"/>
        <v>9.89</v>
      </c>
      <c r="I4814" s="573"/>
      <c r="J4814" s="549" t="s">
        <v>5804</v>
      </c>
      <c r="K4814" s="11"/>
      <c r="L4814" s="102"/>
      <c r="M4814" s="339"/>
      <c r="O4814" s="259"/>
    </row>
    <row r="4815" spans="1:20" x14ac:dyDescent="0.35">
      <c r="A4815" s="495" t="str">
        <f>"SgK5122--"&amp;RIGHT(A4814,5)</f>
        <v>SgK5122--Jul16</v>
      </c>
      <c r="B4815" s="356" t="s">
        <v>5434</v>
      </c>
      <c r="C4815" s="356" t="str">
        <f t="shared" si="1653"/>
        <v>Inbetriebnahme 07/2016</v>
      </c>
      <c r="D4815" s="356" t="str">
        <f>$S$4687</f>
        <v>40 kW - 1 MW</v>
      </c>
      <c r="E4815" s="356"/>
      <c r="F4815" s="369">
        <f t="shared" si="1655"/>
        <v>10.71</v>
      </c>
      <c r="G4815" s="369">
        <f t="shared" si="1654"/>
        <v>11.09</v>
      </c>
      <c r="H4815" s="357">
        <f t="shared" si="1665"/>
        <v>8.8699999999999992</v>
      </c>
      <c r="I4815" s="573"/>
      <c r="J4815" s="549" t="s">
        <v>5804</v>
      </c>
      <c r="K4815" s="11"/>
      <c r="L4815" s="102"/>
      <c r="M4815" s="339"/>
      <c r="O4815" s="259"/>
    </row>
    <row r="4816" spans="1:20" x14ac:dyDescent="0.35">
      <c r="A4816" s="495" t="str">
        <f>"SgK5123--"&amp;RIGHT(A4815,5)</f>
        <v>SgK5123--Jul16</v>
      </c>
      <c r="B4816" s="356" t="s">
        <v>5434</v>
      </c>
      <c r="C4816" s="356" t="str">
        <f t="shared" si="1653"/>
        <v>Inbetriebnahme 07/2016</v>
      </c>
      <c r="D4816" s="356" t="str">
        <f>$T$4687</f>
        <v>1 - 10 MW</v>
      </c>
      <c r="E4816" s="356"/>
      <c r="F4816" s="369">
        <f t="shared" si="1655"/>
        <v>8.5299999999999994</v>
      </c>
      <c r="G4816" s="369">
        <f t="shared" si="1654"/>
        <v>8.91</v>
      </c>
      <c r="H4816" s="357">
        <f t="shared" si="1665"/>
        <v>7.13</v>
      </c>
      <c r="I4816" s="573"/>
      <c r="J4816" s="549" t="s">
        <v>5804</v>
      </c>
      <c r="M4816" s="339"/>
      <c r="O4816" s="259"/>
    </row>
    <row r="4817" spans="1:24" x14ac:dyDescent="0.35">
      <c r="A4817" s="495" t="s">
        <v>5728</v>
      </c>
      <c r="B4817" s="356" t="s">
        <v>5434</v>
      </c>
      <c r="C4817" s="356" t="s">
        <v>5748</v>
      </c>
      <c r="D4817" s="356" t="s">
        <v>3918</v>
      </c>
      <c r="E4817" s="356"/>
      <c r="F4817" s="369">
        <f t="shared" si="1655"/>
        <v>12.31</v>
      </c>
      <c r="G4817" s="369">
        <f t="shared" si="1654"/>
        <v>12.7</v>
      </c>
      <c r="H4817" s="357">
        <f t="shared" si="1665"/>
        <v>10.16</v>
      </c>
      <c r="I4817" s="573"/>
      <c r="J4817" s="549" t="s">
        <v>5804</v>
      </c>
    </row>
    <row r="4818" spans="1:24" x14ac:dyDescent="0.35">
      <c r="A4818" s="495" t="str">
        <f>"SgK5121--"&amp;RIGHT(A4817,5)</f>
        <v>SgK5121--Aug16</v>
      </c>
      <c r="B4818" s="356" t="s">
        <v>5434</v>
      </c>
      <c r="C4818" s="356" t="s">
        <v>5748</v>
      </c>
      <c r="D4818" s="356" t="s">
        <v>3919</v>
      </c>
      <c r="E4818" s="356"/>
      <c r="F4818" s="369">
        <f t="shared" si="1655"/>
        <v>11.97</v>
      </c>
      <c r="G4818" s="369">
        <f t="shared" si="1654"/>
        <v>12.36</v>
      </c>
      <c r="H4818" s="357">
        <f t="shared" si="1665"/>
        <v>9.89</v>
      </c>
      <c r="I4818" s="573"/>
      <c r="J4818" s="549" t="s">
        <v>5804</v>
      </c>
    </row>
    <row r="4819" spans="1:24" x14ac:dyDescent="0.35">
      <c r="A4819" s="495" t="str">
        <f>"SgK5122--"&amp;RIGHT(A4818,5)</f>
        <v>SgK5122--Aug16</v>
      </c>
      <c r="B4819" s="356" t="s">
        <v>5434</v>
      </c>
      <c r="C4819" s="356" t="s">
        <v>5748</v>
      </c>
      <c r="D4819" s="356" t="s">
        <v>3920</v>
      </c>
      <c r="E4819" s="356"/>
      <c r="F4819" s="369">
        <f t="shared" si="1655"/>
        <v>10.71</v>
      </c>
      <c r="G4819" s="369">
        <f t="shared" si="1654"/>
        <v>11.09</v>
      </c>
      <c r="H4819" s="357">
        <f t="shared" si="1665"/>
        <v>8.8699999999999992</v>
      </c>
      <c r="I4819" s="573"/>
      <c r="J4819" s="549" t="s">
        <v>5804</v>
      </c>
    </row>
    <row r="4820" spans="1:24" x14ac:dyDescent="0.35">
      <c r="A4820" s="495" t="str">
        <f>"SgK5123--"&amp;RIGHT(A4819,5)</f>
        <v>SgK5123--Aug16</v>
      </c>
      <c r="B4820" s="356" t="s">
        <v>5434</v>
      </c>
      <c r="C4820" s="356" t="s">
        <v>5748</v>
      </c>
      <c r="D4820" s="356" t="s">
        <v>3921</v>
      </c>
      <c r="E4820" s="356"/>
      <c r="F4820" s="369">
        <f t="shared" si="1655"/>
        <v>8.5299999999999994</v>
      </c>
      <c r="G4820" s="369">
        <f t="shared" si="1654"/>
        <v>8.91</v>
      </c>
      <c r="H4820" s="357">
        <f t="shared" si="1665"/>
        <v>7.13</v>
      </c>
      <c r="I4820" s="573"/>
      <c r="J4820" s="549" t="s">
        <v>5804</v>
      </c>
    </row>
    <row r="4821" spans="1:24" x14ac:dyDescent="0.35">
      <c r="A4821" s="495" t="s">
        <v>5729</v>
      </c>
      <c r="B4821" s="356" t="s">
        <v>5434</v>
      </c>
      <c r="C4821" s="356" t="s">
        <v>5750</v>
      </c>
      <c r="D4821" s="356" t="s">
        <v>3918</v>
      </c>
      <c r="E4821" s="356"/>
      <c r="F4821" s="369">
        <f t="shared" si="1655"/>
        <v>12.31</v>
      </c>
      <c r="G4821" s="369">
        <f t="shared" si="1654"/>
        <v>12.7</v>
      </c>
      <c r="H4821" s="357">
        <f t="shared" si="1665"/>
        <v>10.16</v>
      </c>
      <c r="I4821" s="573"/>
      <c r="J4821" s="549" t="s">
        <v>5804</v>
      </c>
    </row>
    <row r="4822" spans="1:24" x14ac:dyDescent="0.35">
      <c r="A4822" s="495" t="str">
        <f>"SgK5121--"&amp;RIGHT(A4821,5)</f>
        <v>SgK5121--Sep16</v>
      </c>
      <c r="B4822" s="356" t="s">
        <v>5434</v>
      </c>
      <c r="C4822" s="356" t="s">
        <v>5750</v>
      </c>
      <c r="D4822" s="356" t="s">
        <v>3919</v>
      </c>
      <c r="E4822" s="356"/>
      <c r="F4822" s="369">
        <f t="shared" si="1655"/>
        <v>11.97</v>
      </c>
      <c r="G4822" s="369">
        <f t="shared" si="1654"/>
        <v>12.36</v>
      </c>
      <c r="H4822" s="357">
        <f t="shared" si="1665"/>
        <v>9.89</v>
      </c>
      <c r="I4822" s="573"/>
      <c r="J4822" s="549" t="s">
        <v>5804</v>
      </c>
      <c r="O4822" s="322"/>
      <c r="P4822" s="261" t="str">
        <f>IF($O4822&lt;&gt;"",(1-$O4822)*P4800,"")</f>
        <v/>
      </c>
      <c r="Q4822" s="261" t="str">
        <f>IF($O4822&lt;&gt;"",(1-$O4822)*Q4800,"")</f>
        <v/>
      </c>
      <c r="R4822" s="261" t="str">
        <f>IF($O4822&lt;&gt;"",(1-$O4822)*R4800,"")</f>
        <v/>
      </c>
      <c r="S4822" s="261" t="str">
        <f>IF($O4822&lt;&gt;"",(1-$O4822)*S4800,"")</f>
        <v/>
      </c>
      <c r="U4822" s="261" t="str">
        <f>IF($O4822&lt;&gt;"",(1-$O4822)*U4800,"")</f>
        <v/>
      </c>
      <c r="V4822" s="261" t="str">
        <f>IF($O4822&lt;&gt;"",(1-$O4822)*V4800,"")</f>
        <v/>
      </c>
      <c r="W4822" s="261" t="str">
        <f>IF($O4822&lt;&gt;"",(1-$O4822)*W4800,"")</f>
        <v/>
      </c>
      <c r="X4822" s="261" t="str">
        <f>IF($O4822&lt;&gt;"",(1-$O4822)*X4800,"")</f>
        <v/>
      </c>
    </row>
    <row r="4823" spans="1:24" x14ac:dyDescent="0.35">
      <c r="A4823" s="495" t="str">
        <f>"SgK5122--"&amp;RIGHT(A4822,5)</f>
        <v>SgK5122--Sep16</v>
      </c>
      <c r="B4823" s="356" t="s">
        <v>5434</v>
      </c>
      <c r="C4823" s="356" t="s">
        <v>5750</v>
      </c>
      <c r="D4823" s="356" t="s">
        <v>3920</v>
      </c>
      <c r="E4823" s="356"/>
      <c r="F4823" s="369">
        <f t="shared" si="1655"/>
        <v>10.71</v>
      </c>
      <c r="G4823" s="369">
        <f t="shared" si="1654"/>
        <v>11.09</v>
      </c>
      <c r="H4823" s="357">
        <f t="shared" si="1665"/>
        <v>8.8699999999999992</v>
      </c>
      <c r="I4823" s="573"/>
      <c r="J4823" s="549" t="s">
        <v>5804</v>
      </c>
      <c r="O4823" s="322"/>
      <c r="P4823" s="261" t="str">
        <f>IF($O4823&lt;&gt;"",(1-$O4823)*P4800,"")</f>
        <v/>
      </c>
      <c r="Q4823" s="261" t="str">
        <f>IF($O4823&lt;&gt;"",(1-$O4823)*Q4800,"")</f>
        <v/>
      </c>
      <c r="R4823" s="261" t="str">
        <f>IF($O4823&lt;&gt;"",(1-$O4823)*R4800,"")</f>
        <v/>
      </c>
      <c r="S4823" s="261" t="str">
        <f>IF($O4823&lt;&gt;"",(1-$O4823)*S4800,"")</f>
        <v/>
      </c>
      <c r="U4823" s="261" t="str">
        <f>IF($O4823&lt;&gt;"",(1-$O4823)*U4800,"")</f>
        <v/>
      </c>
      <c r="V4823" s="261" t="str">
        <f>IF($O4823&lt;&gt;"",(1-$O4823)*V4800,"")</f>
        <v/>
      </c>
      <c r="W4823" s="261" t="str">
        <f>IF($O4823&lt;&gt;"",(1-$O4823)*W4800,"")</f>
        <v/>
      </c>
      <c r="X4823" s="261" t="str">
        <f>IF($O4823&lt;&gt;"",(1-$O4823)*X4800,"")</f>
        <v/>
      </c>
    </row>
    <row r="4824" spans="1:24" x14ac:dyDescent="0.35">
      <c r="A4824" s="495" t="str">
        <f>"SgK5123--"&amp;RIGHT(A4823,5)</f>
        <v>SgK5123--Sep16</v>
      </c>
      <c r="B4824" s="356" t="s">
        <v>5434</v>
      </c>
      <c r="C4824" s="356" t="s">
        <v>5750</v>
      </c>
      <c r="D4824" s="356" t="s">
        <v>3921</v>
      </c>
      <c r="E4824" s="356"/>
      <c r="F4824" s="369">
        <f t="shared" si="1655"/>
        <v>8.5299999999999994</v>
      </c>
      <c r="G4824" s="369">
        <f t="shared" si="1654"/>
        <v>8.91</v>
      </c>
      <c r="H4824" s="357">
        <f t="shared" si="1665"/>
        <v>7.13</v>
      </c>
      <c r="I4824" s="573"/>
      <c r="J4824" s="549" t="s">
        <v>5804</v>
      </c>
      <c r="O4824" s="322"/>
      <c r="P4824" s="261" t="str">
        <f>IF($O4824&lt;&gt;"",(1-$O4824)*P4822,"")</f>
        <v/>
      </c>
      <c r="Q4824" s="261" t="str">
        <f>IF($O4824&lt;&gt;"",(1-$O4824)*Q4822,"")</f>
        <v/>
      </c>
      <c r="R4824" s="261" t="str">
        <f>IF($O4824&lt;&gt;"",(1-$O4824)*R4822,"")</f>
        <v/>
      </c>
      <c r="S4824" s="261" t="str">
        <f>IF($O4824&lt;&gt;"",(1-$O4824)*S4822,"")</f>
        <v/>
      </c>
      <c r="U4824" s="261" t="str">
        <f>IF($O4824&lt;&gt;"",(1-$O4824)*U4822,"")</f>
        <v/>
      </c>
      <c r="V4824" s="261" t="str">
        <f>IF($O4824&lt;&gt;"",(1-$O4824)*V4822,"")</f>
        <v/>
      </c>
      <c r="W4824" s="261" t="str">
        <f>IF($O4824&lt;&gt;"",(1-$O4824)*W4822,"")</f>
        <v/>
      </c>
      <c r="X4824" s="261" t="str">
        <f>IF($O4824&lt;&gt;"",(1-$O4824)*X4822,"")</f>
        <v/>
      </c>
    </row>
    <row r="4825" spans="1:24" x14ac:dyDescent="0.35">
      <c r="A4825" s="495" t="s">
        <v>5730</v>
      </c>
      <c r="B4825" s="356" t="s">
        <v>5434</v>
      </c>
      <c r="C4825" s="356" t="s">
        <v>5752</v>
      </c>
      <c r="D4825" s="356" t="s">
        <v>3918</v>
      </c>
      <c r="E4825" s="356"/>
      <c r="F4825" s="369">
        <f t="shared" si="1655"/>
        <v>12.31</v>
      </c>
      <c r="G4825" s="369">
        <f t="shared" si="1654"/>
        <v>12.7</v>
      </c>
      <c r="H4825" s="357">
        <f t="shared" si="1665"/>
        <v>10.16</v>
      </c>
      <c r="I4825" s="573"/>
      <c r="J4825" s="549">
        <v>42644</v>
      </c>
      <c r="O4825" s="322"/>
      <c r="P4825" s="261" t="str">
        <f t="shared" ref="P4825:S4826" si="1666">IF($O4825&lt;&gt;"",(1-$O4825)*P4824,"")</f>
        <v/>
      </c>
      <c r="Q4825" s="261" t="str">
        <f t="shared" si="1666"/>
        <v/>
      </c>
      <c r="R4825" s="261" t="str">
        <f t="shared" si="1666"/>
        <v/>
      </c>
      <c r="S4825" s="261" t="str">
        <f t="shared" si="1666"/>
        <v/>
      </c>
      <c r="U4825" s="261" t="str">
        <f t="shared" ref="U4825:X4826" si="1667">IF($O4825&lt;&gt;"",(1-$O4825)*U4824,"")</f>
        <v/>
      </c>
      <c r="V4825" s="261" t="str">
        <f t="shared" si="1667"/>
        <v/>
      </c>
      <c r="W4825" s="261" t="str">
        <f t="shared" si="1667"/>
        <v/>
      </c>
      <c r="X4825" s="261" t="str">
        <f t="shared" si="1667"/>
        <v/>
      </c>
    </row>
    <row r="4826" spans="1:24" x14ac:dyDescent="0.35">
      <c r="A4826" s="495" t="str">
        <f>"SgK5121--"&amp;RIGHT(A4825,5)</f>
        <v>SgK5121--Okt16</v>
      </c>
      <c r="B4826" s="356" t="s">
        <v>5434</v>
      </c>
      <c r="C4826" s="356" t="s">
        <v>5752</v>
      </c>
      <c r="D4826" s="356" t="s">
        <v>3919</v>
      </c>
      <c r="E4826" s="356"/>
      <c r="F4826" s="369">
        <f t="shared" si="1655"/>
        <v>11.97</v>
      </c>
      <c r="G4826" s="369">
        <f t="shared" si="1654"/>
        <v>12.36</v>
      </c>
      <c r="H4826" s="357">
        <f t="shared" si="1665"/>
        <v>9.89</v>
      </c>
      <c r="I4826" s="573"/>
      <c r="J4826" s="549">
        <v>42644</v>
      </c>
      <c r="O4826" s="322"/>
      <c r="P4826" s="261" t="str">
        <f t="shared" si="1666"/>
        <v/>
      </c>
      <c r="Q4826" s="261" t="str">
        <f t="shared" si="1666"/>
        <v/>
      </c>
      <c r="R4826" s="261" t="str">
        <f t="shared" si="1666"/>
        <v/>
      </c>
      <c r="S4826" s="261" t="str">
        <f t="shared" si="1666"/>
        <v/>
      </c>
      <c r="U4826" s="261" t="str">
        <f t="shared" si="1667"/>
        <v/>
      </c>
      <c r="V4826" s="261" t="str">
        <f t="shared" si="1667"/>
        <v/>
      </c>
      <c r="W4826" s="261" t="str">
        <f t="shared" si="1667"/>
        <v/>
      </c>
      <c r="X4826" s="261" t="str">
        <f t="shared" si="1667"/>
        <v/>
      </c>
    </row>
    <row r="4827" spans="1:24" x14ac:dyDescent="0.35">
      <c r="A4827" s="495" t="str">
        <f>"SgK5122--"&amp;RIGHT(A4826,5)</f>
        <v>SgK5122--Okt16</v>
      </c>
      <c r="B4827" s="356" t="s">
        <v>5434</v>
      </c>
      <c r="C4827" s="356" t="s">
        <v>5752</v>
      </c>
      <c r="D4827" s="356" t="s">
        <v>3920</v>
      </c>
      <c r="E4827" s="356"/>
      <c r="F4827" s="369">
        <f t="shared" si="1655"/>
        <v>10.71</v>
      </c>
      <c r="G4827" s="369">
        <f t="shared" si="1654"/>
        <v>11.09</v>
      </c>
      <c r="H4827" s="357">
        <f t="shared" si="1665"/>
        <v>8.8699999999999992</v>
      </c>
      <c r="I4827" s="573"/>
      <c r="J4827" s="549">
        <v>42644</v>
      </c>
      <c r="O4827" s="322"/>
      <c r="P4827" s="261" t="str">
        <f t="shared" ref="P4827:S4828" si="1668">IF($O4827&lt;&gt;"",(1-$O4827)*P4825,"")</f>
        <v/>
      </c>
      <c r="Q4827" s="261" t="str">
        <f t="shared" si="1668"/>
        <v/>
      </c>
      <c r="R4827" s="261" t="str">
        <f t="shared" si="1668"/>
        <v/>
      </c>
      <c r="S4827" s="261" t="str">
        <f t="shared" si="1668"/>
        <v/>
      </c>
      <c r="U4827" s="261" t="str">
        <f t="shared" ref="U4827:X4828" si="1669">IF($O4827&lt;&gt;"",(1-$O4827)*U4825,"")</f>
        <v/>
      </c>
      <c r="V4827" s="261" t="str">
        <f t="shared" si="1669"/>
        <v/>
      </c>
      <c r="W4827" s="261" t="str">
        <f t="shared" si="1669"/>
        <v/>
      </c>
      <c r="X4827" s="261" t="str">
        <f t="shared" si="1669"/>
        <v/>
      </c>
    </row>
    <row r="4828" spans="1:24" x14ac:dyDescent="0.35">
      <c r="A4828" s="495" t="str">
        <f>"SgK5123--"&amp;RIGHT(A4827,5)</f>
        <v>SgK5123--Okt16</v>
      </c>
      <c r="B4828" s="356" t="s">
        <v>5434</v>
      </c>
      <c r="C4828" s="356" t="s">
        <v>5752</v>
      </c>
      <c r="D4828" s="356" t="s">
        <v>3921</v>
      </c>
      <c r="E4828" s="356"/>
      <c r="F4828" s="369">
        <f t="shared" si="1655"/>
        <v>8.5299999999999994</v>
      </c>
      <c r="G4828" s="369">
        <f t="shared" si="1654"/>
        <v>8.91</v>
      </c>
      <c r="H4828" s="357">
        <f t="shared" si="1665"/>
        <v>7.13</v>
      </c>
      <c r="I4828" s="573"/>
      <c r="J4828" s="549">
        <v>42644</v>
      </c>
      <c r="O4828" s="322"/>
      <c r="P4828" s="261" t="str">
        <f t="shared" si="1668"/>
        <v/>
      </c>
      <c r="Q4828" s="261" t="str">
        <f t="shared" si="1668"/>
        <v/>
      </c>
      <c r="R4828" s="261" t="str">
        <f t="shared" si="1668"/>
        <v/>
      </c>
      <c r="S4828" s="261" t="str">
        <f t="shared" si="1668"/>
        <v/>
      </c>
      <c r="U4828" s="261" t="str">
        <f t="shared" si="1669"/>
        <v/>
      </c>
      <c r="V4828" s="261" t="str">
        <f t="shared" si="1669"/>
        <v/>
      </c>
      <c r="W4828" s="261" t="str">
        <f t="shared" si="1669"/>
        <v/>
      </c>
      <c r="X4828" s="261" t="str">
        <f t="shared" si="1669"/>
        <v/>
      </c>
    </row>
    <row r="4829" spans="1:24" x14ac:dyDescent="0.35">
      <c r="A4829" s="495" t="s">
        <v>5731</v>
      </c>
      <c r="B4829" s="356" t="s">
        <v>5434</v>
      </c>
      <c r="C4829" s="356" t="s">
        <v>5754</v>
      </c>
      <c r="D4829" s="356" t="s">
        <v>3918</v>
      </c>
      <c r="E4829" s="356"/>
      <c r="F4829" s="369">
        <f t="shared" si="1655"/>
        <v>12.31</v>
      </c>
      <c r="G4829" s="369">
        <f t="shared" si="1654"/>
        <v>12.7</v>
      </c>
      <c r="H4829" s="357">
        <f t="shared" si="1665"/>
        <v>10.16</v>
      </c>
      <c r="I4829" s="573"/>
      <c r="J4829" s="549">
        <v>42644</v>
      </c>
      <c r="O4829" s="322"/>
      <c r="P4829" s="261" t="str">
        <f t="shared" ref="P4829:S4830" si="1670">IF($O4829&lt;&gt;"",(1-$O4829)*P4828,"")</f>
        <v/>
      </c>
      <c r="Q4829" s="261" t="str">
        <f t="shared" si="1670"/>
        <v/>
      </c>
      <c r="R4829" s="261" t="str">
        <f t="shared" si="1670"/>
        <v/>
      </c>
      <c r="S4829" s="261" t="str">
        <f t="shared" si="1670"/>
        <v/>
      </c>
      <c r="U4829" s="261" t="str">
        <f t="shared" ref="U4829:X4830" si="1671">IF($O4829&lt;&gt;"",(1-$O4829)*U4828,"")</f>
        <v/>
      </c>
      <c r="V4829" s="261" t="str">
        <f t="shared" si="1671"/>
        <v/>
      </c>
      <c r="W4829" s="261" t="str">
        <f t="shared" si="1671"/>
        <v/>
      </c>
      <c r="X4829" s="261" t="str">
        <f t="shared" si="1671"/>
        <v/>
      </c>
    </row>
    <row r="4830" spans="1:24" x14ac:dyDescent="0.35">
      <c r="A4830" s="495" t="str">
        <f>"SgK5121--"&amp;RIGHT(A4829,5)</f>
        <v>SgK5121--Nov16</v>
      </c>
      <c r="B4830" s="356" t="s">
        <v>5434</v>
      </c>
      <c r="C4830" s="356" t="s">
        <v>5754</v>
      </c>
      <c r="D4830" s="356" t="s">
        <v>3919</v>
      </c>
      <c r="E4830" s="356"/>
      <c r="F4830" s="369">
        <f t="shared" si="1655"/>
        <v>11.97</v>
      </c>
      <c r="G4830" s="369">
        <f t="shared" si="1654"/>
        <v>12.36</v>
      </c>
      <c r="H4830" s="357">
        <f t="shared" si="1665"/>
        <v>9.89</v>
      </c>
      <c r="I4830" s="573"/>
      <c r="J4830" s="549">
        <v>42644</v>
      </c>
      <c r="O4830" s="322"/>
      <c r="P4830" s="261" t="str">
        <f t="shared" si="1670"/>
        <v/>
      </c>
      <c r="Q4830" s="261" t="str">
        <f t="shared" si="1670"/>
        <v/>
      </c>
      <c r="R4830" s="261" t="str">
        <f t="shared" si="1670"/>
        <v/>
      </c>
      <c r="S4830" s="261" t="str">
        <f t="shared" si="1670"/>
        <v/>
      </c>
      <c r="U4830" s="261" t="str">
        <f t="shared" si="1671"/>
        <v/>
      </c>
      <c r="V4830" s="261" t="str">
        <f t="shared" si="1671"/>
        <v/>
      </c>
      <c r="W4830" s="261" t="str">
        <f t="shared" si="1671"/>
        <v/>
      </c>
      <c r="X4830" s="261" t="str">
        <f t="shared" si="1671"/>
        <v/>
      </c>
    </row>
    <row r="4831" spans="1:24" x14ac:dyDescent="0.35">
      <c r="A4831" s="495" t="str">
        <f>"SgK5122--"&amp;RIGHT(A4830,5)</f>
        <v>SgK5122--Nov16</v>
      </c>
      <c r="B4831" s="356" t="s">
        <v>5434</v>
      </c>
      <c r="C4831" s="356" t="s">
        <v>5754</v>
      </c>
      <c r="D4831" s="356" t="s">
        <v>3920</v>
      </c>
      <c r="E4831" s="356"/>
      <c r="F4831" s="369">
        <f t="shared" si="1655"/>
        <v>10.71</v>
      </c>
      <c r="G4831" s="369">
        <f t="shared" si="1654"/>
        <v>11.09</v>
      </c>
      <c r="H4831" s="357">
        <f t="shared" si="1665"/>
        <v>8.8699999999999992</v>
      </c>
      <c r="I4831" s="573"/>
      <c r="J4831" s="549">
        <v>42644</v>
      </c>
      <c r="O4831" s="322"/>
      <c r="P4831" s="261" t="str">
        <f t="shared" ref="P4831:S4832" si="1672">IF($O4831&lt;&gt;"",(1-$O4831)*P4829,"")</f>
        <v/>
      </c>
      <c r="Q4831" s="261" t="str">
        <f t="shared" si="1672"/>
        <v/>
      </c>
      <c r="R4831" s="261" t="str">
        <f t="shared" si="1672"/>
        <v/>
      </c>
      <c r="S4831" s="261" t="str">
        <f t="shared" si="1672"/>
        <v/>
      </c>
      <c r="U4831" s="261" t="str">
        <f t="shared" ref="U4831:X4832" si="1673">IF($O4831&lt;&gt;"",(1-$O4831)*U4829,"")</f>
        <v/>
      </c>
      <c r="V4831" s="261" t="str">
        <f t="shared" si="1673"/>
        <v/>
      </c>
      <c r="W4831" s="261" t="str">
        <f t="shared" si="1673"/>
        <v/>
      </c>
      <c r="X4831" s="261" t="str">
        <f t="shared" si="1673"/>
        <v/>
      </c>
    </row>
    <row r="4832" spans="1:24" x14ac:dyDescent="0.35">
      <c r="A4832" s="495" t="str">
        <f>"SgK5123--"&amp;RIGHT(A4831,5)</f>
        <v>SgK5123--Nov16</v>
      </c>
      <c r="B4832" s="356" t="s">
        <v>5434</v>
      </c>
      <c r="C4832" s="356" t="s">
        <v>5754</v>
      </c>
      <c r="D4832" s="356" t="s">
        <v>3921</v>
      </c>
      <c r="E4832" s="356"/>
      <c r="F4832" s="369">
        <f t="shared" si="1655"/>
        <v>8.5299999999999994</v>
      </c>
      <c r="G4832" s="369">
        <f t="shared" si="1654"/>
        <v>8.91</v>
      </c>
      <c r="H4832" s="357">
        <f t="shared" si="1665"/>
        <v>7.13</v>
      </c>
      <c r="I4832" s="573"/>
      <c r="J4832" s="549">
        <v>42644</v>
      </c>
      <c r="O4832" s="322"/>
      <c r="P4832" s="261" t="str">
        <f t="shared" si="1672"/>
        <v/>
      </c>
      <c r="Q4832" s="261" t="str">
        <f t="shared" si="1672"/>
        <v/>
      </c>
      <c r="R4832" s="261" t="str">
        <f t="shared" si="1672"/>
        <v/>
      </c>
      <c r="S4832" s="261" t="str">
        <f t="shared" si="1672"/>
        <v/>
      </c>
      <c r="U4832" s="261" t="str">
        <f t="shared" si="1673"/>
        <v/>
      </c>
      <c r="V4832" s="261" t="str">
        <f t="shared" si="1673"/>
        <v/>
      </c>
      <c r="W4832" s="261" t="str">
        <f t="shared" si="1673"/>
        <v/>
      </c>
      <c r="X4832" s="261" t="str">
        <f t="shared" si="1673"/>
        <v/>
      </c>
    </row>
    <row r="4833" spans="1:25" x14ac:dyDescent="0.35">
      <c r="A4833" s="495" t="s">
        <v>5732</v>
      </c>
      <c r="B4833" s="356" t="s">
        <v>5434</v>
      </c>
      <c r="C4833" s="356" t="s">
        <v>5756</v>
      </c>
      <c r="D4833" s="356" t="s">
        <v>3918</v>
      </c>
      <c r="E4833" s="356"/>
      <c r="F4833" s="369">
        <f t="shared" si="1655"/>
        <v>12.31</v>
      </c>
      <c r="G4833" s="369">
        <f t="shared" si="1654"/>
        <v>12.7</v>
      </c>
      <c r="H4833" s="357">
        <f t="shared" si="1665"/>
        <v>10.16</v>
      </c>
      <c r="I4833" s="573"/>
      <c r="J4833" s="549">
        <v>42644</v>
      </c>
      <c r="O4833" s="322"/>
      <c r="P4833" s="261" t="str">
        <f t="shared" ref="P4833:S4834" si="1674">IF($O4833&lt;&gt;"",(1-$O4833)*P4832,"")</f>
        <v/>
      </c>
      <c r="Q4833" s="261" t="str">
        <f t="shared" si="1674"/>
        <v/>
      </c>
      <c r="R4833" s="261" t="str">
        <f t="shared" si="1674"/>
        <v/>
      </c>
      <c r="S4833" s="261" t="str">
        <f t="shared" si="1674"/>
        <v/>
      </c>
      <c r="U4833" s="261" t="str">
        <f t="shared" ref="U4833:X4834" si="1675">IF($O4833&lt;&gt;"",(1-$O4833)*U4832,"")</f>
        <v/>
      </c>
      <c r="V4833" s="261" t="str">
        <f t="shared" si="1675"/>
        <v/>
      </c>
      <c r="W4833" s="261" t="str">
        <f t="shared" si="1675"/>
        <v/>
      </c>
      <c r="X4833" s="261" t="str">
        <f t="shared" si="1675"/>
        <v/>
      </c>
    </row>
    <row r="4834" spans="1:25" x14ac:dyDescent="0.35">
      <c r="A4834" s="495" t="str">
        <f>"SgK5121--"&amp;RIGHT(A4833,5)</f>
        <v>SgK5121--Dez16</v>
      </c>
      <c r="B4834" s="356" t="s">
        <v>5434</v>
      </c>
      <c r="C4834" s="356" t="s">
        <v>5756</v>
      </c>
      <c r="D4834" s="356" t="s">
        <v>3919</v>
      </c>
      <c r="E4834" s="356"/>
      <c r="F4834" s="369">
        <f t="shared" si="1655"/>
        <v>11.97</v>
      </c>
      <c r="G4834" s="369">
        <f t="shared" si="1654"/>
        <v>12.36</v>
      </c>
      <c r="H4834" s="357">
        <f t="shared" si="1665"/>
        <v>9.89</v>
      </c>
      <c r="I4834" s="573"/>
      <c r="J4834" s="549">
        <v>42644</v>
      </c>
      <c r="O4834" s="322"/>
      <c r="P4834" s="261" t="str">
        <f t="shared" si="1674"/>
        <v/>
      </c>
      <c r="Q4834" s="261" t="str">
        <f t="shared" si="1674"/>
        <v/>
      </c>
      <c r="R4834" s="261" t="str">
        <f t="shared" si="1674"/>
        <v/>
      </c>
      <c r="S4834" s="261" t="str">
        <f t="shared" si="1674"/>
        <v/>
      </c>
      <c r="U4834" s="261" t="str">
        <f t="shared" si="1675"/>
        <v/>
      </c>
      <c r="V4834" s="261" t="str">
        <f t="shared" si="1675"/>
        <v/>
      </c>
      <c r="W4834" s="261" t="str">
        <f t="shared" si="1675"/>
        <v/>
      </c>
      <c r="X4834" s="261" t="str">
        <f t="shared" si="1675"/>
        <v/>
      </c>
    </row>
    <row r="4835" spans="1:25" x14ac:dyDescent="0.35">
      <c r="A4835" s="495" t="str">
        <f>"SgK5122--"&amp;RIGHT(A4834,5)</f>
        <v>SgK5122--Dez16</v>
      </c>
      <c r="B4835" s="356" t="s">
        <v>5434</v>
      </c>
      <c r="C4835" s="356" t="s">
        <v>5756</v>
      </c>
      <c r="D4835" s="356" t="s">
        <v>3920</v>
      </c>
      <c r="E4835" s="356"/>
      <c r="F4835" s="369">
        <f t="shared" si="1655"/>
        <v>10.71</v>
      </c>
      <c r="G4835" s="369">
        <f t="shared" si="1654"/>
        <v>11.09</v>
      </c>
      <c r="H4835" s="357">
        <f t="shared" si="1665"/>
        <v>8.8699999999999992</v>
      </c>
      <c r="I4835" s="573"/>
      <c r="J4835" s="549">
        <v>42644</v>
      </c>
      <c r="O4835" s="322"/>
      <c r="P4835" s="261" t="str">
        <f t="shared" ref="P4835:S4836" si="1676">IF($O4835&lt;&gt;"",(1-$O4835)*P4833,"")</f>
        <v/>
      </c>
      <c r="Q4835" s="261" t="str">
        <f t="shared" si="1676"/>
        <v/>
      </c>
      <c r="R4835" s="261" t="str">
        <f t="shared" si="1676"/>
        <v/>
      </c>
      <c r="S4835" s="261" t="str">
        <f t="shared" si="1676"/>
        <v/>
      </c>
      <c r="U4835" s="261" t="str">
        <f t="shared" ref="U4835:X4836" si="1677">IF($O4835&lt;&gt;"",(1-$O4835)*U4833,"")</f>
        <v/>
      </c>
      <c r="V4835" s="261" t="str">
        <f t="shared" si="1677"/>
        <v/>
      </c>
      <c r="W4835" s="261" t="str">
        <f t="shared" si="1677"/>
        <v/>
      </c>
      <c r="X4835" s="261" t="str">
        <f t="shared" si="1677"/>
        <v/>
      </c>
    </row>
    <row r="4836" spans="1:25" x14ac:dyDescent="0.35">
      <c r="A4836" s="495" t="str">
        <f>"SgK5123--"&amp;RIGHT(A4835,5)</f>
        <v>SgK5123--Dez16</v>
      </c>
      <c r="B4836" s="356" t="s">
        <v>5434</v>
      </c>
      <c r="C4836" s="356" t="s">
        <v>5756</v>
      </c>
      <c r="D4836" s="356" t="s">
        <v>3921</v>
      </c>
      <c r="E4836" s="356"/>
      <c r="F4836" s="369">
        <f t="shared" si="1655"/>
        <v>8.5299999999999994</v>
      </c>
      <c r="G4836" s="369">
        <f t="shared" si="1654"/>
        <v>8.91</v>
      </c>
      <c r="H4836" s="357">
        <f t="shared" si="1665"/>
        <v>7.13</v>
      </c>
      <c r="I4836" s="573"/>
      <c r="J4836" s="549">
        <v>42644</v>
      </c>
      <c r="O4836" s="322"/>
      <c r="P4836" s="261" t="str">
        <f t="shared" si="1676"/>
        <v/>
      </c>
      <c r="Q4836" s="261" t="str">
        <f t="shared" si="1676"/>
        <v/>
      </c>
      <c r="R4836" s="261" t="str">
        <f t="shared" si="1676"/>
        <v/>
      </c>
      <c r="S4836" s="261" t="str">
        <f t="shared" si="1676"/>
        <v/>
      </c>
      <c r="U4836" s="261" t="str">
        <f t="shared" si="1677"/>
        <v/>
      </c>
      <c r="V4836" s="261" t="str">
        <f t="shared" si="1677"/>
        <v/>
      </c>
      <c r="W4836" s="261" t="str">
        <f t="shared" si="1677"/>
        <v/>
      </c>
      <c r="X4836" s="261" t="str">
        <f t="shared" si="1677"/>
        <v/>
      </c>
    </row>
    <row r="4837" spans="1:25" x14ac:dyDescent="0.35">
      <c r="A4837" s="496"/>
      <c r="B4837" s="1"/>
      <c r="C4837" s="1"/>
      <c r="D4837" s="1"/>
      <c r="E4837" s="1"/>
      <c r="F4837" s="362"/>
      <c r="G4837" s="10"/>
      <c r="H4837" s="10" t="str">
        <f t="shared" si="1665"/>
        <v/>
      </c>
      <c r="I4837" s="566"/>
      <c r="J4837" s="549" t="s">
        <v>4179</v>
      </c>
      <c r="K4837" s="11"/>
      <c r="N4837" s="109" t="s">
        <v>3901</v>
      </c>
      <c r="O4837" s="29" t="s">
        <v>5489</v>
      </c>
      <c r="P4837" t="s">
        <v>3918</v>
      </c>
      <c r="Q4837" t="s">
        <v>3919</v>
      </c>
      <c r="R4837" t="s">
        <v>7439</v>
      </c>
      <c r="T4837" t="s">
        <v>49</v>
      </c>
      <c r="U4837" t="s">
        <v>3918</v>
      </c>
      <c r="V4837" t="s">
        <v>3919</v>
      </c>
      <c r="W4837" t="s">
        <v>7439</v>
      </c>
      <c r="Y4837" t="s">
        <v>50</v>
      </c>
    </row>
    <row r="4838" spans="1:25" x14ac:dyDescent="0.35">
      <c r="A4838" s="527" t="s">
        <v>5996</v>
      </c>
      <c r="B4838" s="526" t="s">
        <v>5434</v>
      </c>
      <c r="C4838" s="526" t="str">
        <f t="shared" ref="C4838:C4858" si="1678">"Inbetriebnahme "&amp;TEXT(DATEVALUE(RIGHT(A4838,5)),"MM/JJJJ")</f>
        <v>Inbetriebnahme 01/2017</v>
      </c>
      <c r="D4838" s="526" t="str">
        <f>$Q$4687</f>
        <v>0 - 10 kW</v>
      </c>
      <c r="E4838" s="526"/>
      <c r="F4838" s="538">
        <f t="shared" ref="F4838:F4873" si="1679">IF(HLOOKUP($D4838,$U$4837:$W$4849,MATCH(RIGHT($A4838,5),$N$4837:$N$4849,0),FALSE)&lt;&gt;"",ROUND(HLOOKUP($D4838,$U$4837:$W$4849,MATCH(RIGHT($A4838,5),$N$4837:$N$4849,0),FALSE),2),"")</f>
        <v>12.3</v>
      </c>
      <c r="G4838" s="538">
        <f t="shared" ref="G4838:G4873" si="1680">IF(HLOOKUP($D4838,$P$4837:$W$4849,MATCH(RIGHT($A4838,5),$N$4837:$N$4849,0),FALSE)&lt;&gt;"",ROUND(HLOOKUP($D4838,$P$4837:$W$4849,MATCH(RIGHT($A4838,5),$N$4837:$N$4849,0),FALSE),2),"")</f>
        <v>12.7</v>
      </c>
      <c r="H4838" s="537">
        <f t="shared" si="1665"/>
        <v>10.16</v>
      </c>
      <c r="I4838" s="574"/>
      <c r="J4838" s="549">
        <v>42705</v>
      </c>
      <c r="K4838" s="11"/>
      <c r="M4838" s="101">
        <v>2017</v>
      </c>
      <c r="N4838" s="522" t="s">
        <v>5982</v>
      </c>
      <c r="O4838" s="461" t="s">
        <v>5995</v>
      </c>
      <c r="P4838" s="11">
        <v>12.7</v>
      </c>
      <c r="Q4838" s="11">
        <v>12.36</v>
      </c>
      <c r="R4838" s="11">
        <v>11.09</v>
      </c>
      <c r="S4838" s="11"/>
      <c r="T4838" s="11"/>
      <c r="U4838" s="11">
        <f>P4838-0.4</f>
        <v>12.299999999999999</v>
      </c>
      <c r="V4838" s="11">
        <f>Q4838-0.4</f>
        <v>11.959999999999999</v>
      </c>
      <c r="W4838" s="11">
        <f>R4838-0.4</f>
        <v>10.69</v>
      </c>
      <c r="X4838" s="11"/>
    </row>
    <row r="4839" spans="1:25" x14ac:dyDescent="0.35">
      <c r="A4839" s="527" t="str">
        <f>"SgK4821--"&amp;RIGHT(A4838,5)</f>
        <v>SgK4821--Jan17</v>
      </c>
      <c r="B4839" s="526" t="s">
        <v>5434</v>
      </c>
      <c r="C4839" s="526" t="str">
        <f t="shared" si="1678"/>
        <v>Inbetriebnahme 01/2017</v>
      </c>
      <c r="D4839" s="526" t="str">
        <f>$R$4687</f>
        <v>10 - 40 kW</v>
      </c>
      <c r="E4839" s="526"/>
      <c r="F4839" s="538">
        <f t="shared" si="1679"/>
        <v>11.96</v>
      </c>
      <c r="G4839" s="538">
        <f t="shared" si="1680"/>
        <v>12.36</v>
      </c>
      <c r="H4839" s="537">
        <f t="shared" si="1665"/>
        <v>9.89</v>
      </c>
      <c r="I4839" s="574"/>
      <c r="J4839" s="549">
        <v>42705</v>
      </c>
      <c r="K4839" s="11"/>
      <c r="M4839" s="339"/>
      <c r="N4839" s="266" t="str">
        <f t="shared" ref="N4839:N4849" si="1681">TEXT(DATE(YEAR(DATEVALUE(N4838)),MONTH(DATEVALUE(N4838))+1,1),"MMMJJ")</f>
        <v>Feb17</v>
      </c>
      <c r="O4839" s="461">
        <v>0</v>
      </c>
      <c r="P4839" s="11">
        <f t="shared" ref="P4839:P4849" si="1682">IF($O4839&lt;&gt;"",P4838*(100%-$O4839),"")</f>
        <v>12.7</v>
      </c>
      <c r="Q4839" s="11">
        <f t="shared" ref="Q4839:Q4849" si="1683">IF($O4839&lt;&gt;"",Q4838*(100%-$O4839),"")</f>
        <v>12.36</v>
      </c>
      <c r="R4839" s="11">
        <f t="shared" ref="R4839:R4849" si="1684">IF($O4839&lt;&gt;"",R4838*(100%-$O4839),"")</f>
        <v>11.09</v>
      </c>
      <c r="S4839" s="11"/>
      <c r="T4839" s="11"/>
      <c r="U4839" s="11">
        <f t="shared" ref="U4839:U4849" si="1685">IF($O4839&lt;&gt;"",P4839-0.4,"")</f>
        <v>12.299999999999999</v>
      </c>
      <c r="V4839" s="11">
        <f t="shared" ref="V4839:V4849" si="1686">IF($O4839&lt;&gt;"",Q4839-0.4,"")</f>
        <v>11.959999999999999</v>
      </c>
      <c r="W4839" s="11">
        <f t="shared" ref="W4839:W4849" si="1687">IF($O4839&lt;&gt;"",R4839-0.4,"")</f>
        <v>10.69</v>
      </c>
      <c r="X4839" s="11"/>
    </row>
    <row r="4840" spans="1:25" x14ac:dyDescent="0.35">
      <c r="A4840" s="527" t="str">
        <f>"SgK4822--"&amp;RIGHT(A4839,5)</f>
        <v>SgK4822--Jan17</v>
      </c>
      <c r="B4840" s="526" t="s">
        <v>5434</v>
      </c>
      <c r="C4840" s="526" t="str">
        <f t="shared" si="1678"/>
        <v>Inbetriebnahme 01/2017</v>
      </c>
      <c r="D4840" s="526" t="s">
        <v>7439</v>
      </c>
      <c r="E4840" s="526"/>
      <c r="F4840" s="538">
        <f t="shared" si="1679"/>
        <v>10.69</v>
      </c>
      <c r="G4840" s="538">
        <f t="shared" si="1680"/>
        <v>11.09</v>
      </c>
      <c r="H4840" s="537">
        <f t="shared" si="1665"/>
        <v>8.8699999999999992</v>
      </c>
      <c r="I4840" s="574"/>
      <c r="J4840" s="549">
        <v>42705</v>
      </c>
      <c r="K4840" s="11"/>
      <c r="M4840" s="339"/>
      <c r="N4840" s="266" t="str">
        <f t="shared" si="1681"/>
        <v>Mrz17</v>
      </c>
      <c r="O4840" s="461">
        <v>0</v>
      </c>
      <c r="P4840" s="11">
        <f t="shared" si="1682"/>
        <v>12.7</v>
      </c>
      <c r="Q4840" s="11">
        <f t="shared" si="1683"/>
        <v>12.36</v>
      </c>
      <c r="R4840" s="11">
        <f t="shared" si="1684"/>
        <v>11.09</v>
      </c>
      <c r="S4840" s="11"/>
      <c r="T4840" s="11"/>
      <c r="U4840" s="11">
        <f t="shared" si="1685"/>
        <v>12.299999999999999</v>
      </c>
      <c r="V4840" s="11">
        <f t="shared" si="1686"/>
        <v>11.959999999999999</v>
      </c>
      <c r="W4840" s="11">
        <f t="shared" si="1687"/>
        <v>10.69</v>
      </c>
      <c r="X4840" s="11"/>
    </row>
    <row r="4841" spans="1:25" x14ac:dyDescent="0.35">
      <c r="A4841" s="527" t="s">
        <v>6007</v>
      </c>
      <c r="B4841" s="526" t="s">
        <v>5434</v>
      </c>
      <c r="C4841" s="526" t="str">
        <f t="shared" si="1678"/>
        <v>Inbetriebnahme 02/2017</v>
      </c>
      <c r="D4841" s="526" t="str">
        <f t="shared" ref="D4841:D4873" si="1688">D4838</f>
        <v>0 - 10 kW</v>
      </c>
      <c r="E4841" s="526"/>
      <c r="F4841" s="538">
        <f t="shared" si="1679"/>
        <v>12.3</v>
      </c>
      <c r="G4841" s="538">
        <f t="shared" si="1680"/>
        <v>12.7</v>
      </c>
      <c r="H4841" s="537">
        <f t="shared" si="1665"/>
        <v>10.16</v>
      </c>
      <c r="I4841" s="574"/>
      <c r="J4841" s="549">
        <v>42766</v>
      </c>
      <c r="K4841" s="11"/>
      <c r="M4841" s="339"/>
      <c r="N4841" s="266" t="str">
        <f t="shared" si="1681"/>
        <v>Apr17</v>
      </c>
      <c r="O4841" s="461">
        <v>0</v>
      </c>
      <c r="P4841" s="11">
        <f t="shared" si="1682"/>
        <v>12.7</v>
      </c>
      <c r="Q4841" s="11">
        <f t="shared" si="1683"/>
        <v>12.36</v>
      </c>
      <c r="R4841" s="11">
        <f t="shared" si="1684"/>
        <v>11.09</v>
      </c>
      <c r="S4841" s="11"/>
      <c r="T4841" s="11"/>
      <c r="U4841" s="11">
        <f t="shared" si="1685"/>
        <v>12.299999999999999</v>
      </c>
      <c r="V4841" s="11">
        <f t="shared" si="1686"/>
        <v>11.959999999999999</v>
      </c>
      <c r="W4841" s="11">
        <f t="shared" si="1687"/>
        <v>10.69</v>
      </c>
      <c r="X4841" s="11"/>
    </row>
    <row r="4842" spans="1:25" x14ac:dyDescent="0.35">
      <c r="A4842" s="527" t="str">
        <f>"SgK4821--"&amp;RIGHT(A4841,5)</f>
        <v>SgK4821--Feb17</v>
      </c>
      <c r="B4842" s="526" t="s">
        <v>5434</v>
      </c>
      <c r="C4842" s="526" t="str">
        <f t="shared" si="1678"/>
        <v>Inbetriebnahme 02/2017</v>
      </c>
      <c r="D4842" s="526" t="str">
        <f t="shared" si="1688"/>
        <v>10 - 40 kW</v>
      </c>
      <c r="E4842" s="526"/>
      <c r="F4842" s="538">
        <f t="shared" si="1679"/>
        <v>11.96</v>
      </c>
      <c r="G4842" s="538">
        <f t="shared" si="1680"/>
        <v>12.36</v>
      </c>
      <c r="H4842" s="537">
        <f t="shared" si="1665"/>
        <v>9.89</v>
      </c>
      <c r="I4842" s="574"/>
      <c r="J4842" s="549">
        <v>42766</v>
      </c>
      <c r="K4842" s="11"/>
      <c r="M4842" s="339"/>
      <c r="N4842" s="266" t="str">
        <f t="shared" si="1681"/>
        <v>Mai17</v>
      </c>
      <c r="O4842" s="461">
        <v>2.5000000000000001E-3</v>
      </c>
      <c r="P4842" s="11">
        <f t="shared" si="1682"/>
        <v>12.66825</v>
      </c>
      <c r="Q4842" s="11">
        <f t="shared" si="1683"/>
        <v>12.3291</v>
      </c>
      <c r="R4842" s="11">
        <f t="shared" si="1684"/>
        <v>11.062275</v>
      </c>
      <c r="S4842" s="11"/>
      <c r="T4842" s="11"/>
      <c r="U4842" s="11">
        <f t="shared" si="1685"/>
        <v>12.26825</v>
      </c>
      <c r="V4842" s="11">
        <f t="shared" si="1686"/>
        <v>11.9291</v>
      </c>
      <c r="W4842" s="11">
        <f t="shared" si="1687"/>
        <v>10.662274999999999</v>
      </c>
      <c r="X4842" s="11"/>
    </row>
    <row r="4843" spans="1:25" x14ac:dyDescent="0.35">
      <c r="A4843" s="527" t="str">
        <f>"SgK4822--"&amp;RIGHT(A4842,5)</f>
        <v>SgK4822--Feb17</v>
      </c>
      <c r="B4843" s="526" t="s">
        <v>5434</v>
      </c>
      <c r="C4843" s="526" t="str">
        <f t="shared" si="1678"/>
        <v>Inbetriebnahme 02/2017</v>
      </c>
      <c r="D4843" s="526" t="str">
        <f t="shared" si="1688"/>
        <v>40 - 750 kW</v>
      </c>
      <c r="E4843" s="526"/>
      <c r="F4843" s="538">
        <f t="shared" si="1679"/>
        <v>10.69</v>
      </c>
      <c r="G4843" s="538">
        <f t="shared" si="1680"/>
        <v>11.09</v>
      </c>
      <c r="H4843" s="537">
        <f t="shared" si="1665"/>
        <v>8.8699999999999992</v>
      </c>
      <c r="I4843" s="574"/>
      <c r="J4843" s="549">
        <v>42766</v>
      </c>
      <c r="K4843" s="11"/>
      <c r="M4843" s="339"/>
      <c r="N4843" s="266" t="str">
        <f t="shared" si="1681"/>
        <v>Jun17</v>
      </c>
      <c r="O4843" s="461">
        <v>2.5000000000000001E-3</v>
      </c>
      <c r="P4843" s="11">
        <f t="shared" si="1682"/>
        <v>12.636579375000002</v>
      </c>
      <c r="Q4843" s="11">
        <f t="shared" si="1683"/>
        <v>12.298277250000002</v>
      </c>
      <c r="R4843" s="11">
        <f t="shared" si="1684"/>
        <v>11.0346193125</v>
      </c>
      <c r="S4843" s="11"/>
      <c r="T4843" s="11"/>
      <c r="U4843" s="11">
        <f t="shared" si="1685"/>
        <v>12.236579375000002</v>
      </c>
      <c r="V4843" s="11">
        <f t="shared" si="1686"/>
        <v>11.898277250000001</v>
      </c>
      <c r="W4843" s="11">
        <f t="shared" si="1687"/>
        <v>10.6346193125</v>
      </c>
      <c r="X4843" s="11"/>
    </row>
    <row r="4844" spans="1:25" x14ac:dyDescent="0.35">
      <c r="A4844" s="527" t="s">
        <v>5997</v>
      </c>
      <c r="B4844" s="526" t="s">
        <v>5434</v>
      </c>
      <c r="C4844" s="526" t="str">
        <f t="shared" si="1678"/>
        <v>Inbetriebnahme 03/2017</v>
      </c>
      <c r="D4844" s="526" t="str">
        <f t="shared" si="1688"/>
        <v>0 - 10 kW</v>
      </c>
      <c r="E4844" s="526"/>
      <c r="F4844" s="538">
        <f t="shared" si="1679"/>
        <v>12.3</v>
      </c>
      <c r="G4844" s="538">
        <f t="shared" si="1680"/>
        <v>12.7</v>
      </c>
      <c r="H4844" s="537">
        <f t="shared" si="1665"/>
        <v>10.16</v>
      </c>
      <c r="I4844" s="574"/>
      <c r="J4844" s="549">
        <v>42766</v>
      </c>
      <c r="K4844" s="11"/>
      <c r="M4844" s="339"/>
      <c r="N4844" s="266" t="str">
        <f t="shared" si="1681"/>
        <v>Jul17</v>
      </c>
      <c r="O4844" s="461">
        <v>2.5000000000000001E-3</v>
      </c>
      <c r="P4844" s="11">
        <f t="shared" si="1682"/>
        <v>12.604987926562503</v>
      </c>
      <c r="Q4844" s="11">
        <f t="shared" si="1683"/>
        <v>12.267531556875003</v>
      </c>
      <c r="R4844" s="11">
        <f t="shared" si="1684"/>
        <v>11.007032764218751</v>
      </c>
      <c r="S4844" s="11"/>
      <c r="T4844" s="11"/>
      <c r="U4844" s="11">
        <f t="shared" si="1685"/>
        <v>12.204987926562502</v>
      </c>
      <c r="V4844" s="11">
        <f t="shared" si="1686"/>
        <v>11.867531556875003</v>
      </c>
      <c r="W4844" s="11">
        <f t="shared" si="1687"/>
        <v>10.607032764218751</v>
      </c>
      <c r="X4844" s="11"/>
    </row>
    <row r="4845" spans="1:25" x14ac:dyDescent="0.35">
      <c r="A4845" s="527" t="str">
        <f>"SgK4821--"&amp;RIGHT(A4844,5)</f>
        <v>SgK4821--Mrz17</v>
      </c>
      <c r="B4845" s="526" t="s">
        <v>5434</v>
      </c>
      <c r="C4845" s="526" t="str">
        <f t="shared" si="1678"/>
        <v>Inbetriebnahme 03/2017</v>
      </c>
      <c r="D4845" s="526" t="str">
        <f t="shared" si="1688"/>
        <v>10 - 40 kW</v>
      </c>
      <c r="E4845" s="526"/>
      <c r="F4845" s="538">
        <f t="shared" si="1679"/>
        <v>11.96</v>
      </c>
      <c r="G4845" s="538">
        <f t="shared" si="1680"/>
        <v>12.36</v>
      </c>
      <c r="H4845" s="537">
        <f t="shared" si="1665"/>
        <v>9.89</v>
      </c>
      <c r="I4845" s="574"/>
      <c r="J4845" s="549">
        <v>42766</v>
      </c>
      <c r="K4845" s="11"/>
      <c r="M4845" s="101"/>
      <c r="N4845" s="266" t="str">
        <f t="shared" si="1681"/>
        <v>Aug17</v>
      </c>
      <c r="O4845" s="461">
        <v>0</v>
      </c>
      <c r="P4845" s="11">
        <f t="shared" si="1682"/>
        <v>12.604987926562503</v>
      </c>
      <c r="Q4845" s="11">
        <f t="shared" si="1683"/>
        <v>12.267531556875003</v>
      </c>
      <c r="R4845" s="11">
        <f t="shared" si="1684"/>
        <v>11.007032764218751</v>
      </c>
      <c r="S4845" s="11"/>
      <c r="T4845" s="11"/>
      <c r="U4845" s="11">
        <f t="shared" si="1685"/>
        <v>12.204987926562502</v>
      </c>
      <c r="V4845" s="11">
        <f t="shared" si="1686"/>
        <v>11.867531556875003</v>
      </c>
      <c r="W4845" s="11">
        <f t="shared" si="1687"/>
        <v>10.607032764218751</v>
      </c>
      <c r="X4845" s="11"/>
    </row>
    <row r="4846" spans="1:25" x14ac:dyDescent="0.35">
      <c r="A4846" s="527" t="str">
        <f>"SgK4822--"&amp;RIGHT(A4845,5)</f>
        <v>SgK4822--Mrz17</v>
      </c>
      <c r="B4846" s="526" t="s">
        <v>5434</v>
      </c>
      <c r="C4846" s="526" t="str">
        <f t="shared" si="1678"/>
        <v>Inbetriebnahme 03/2017</v>
      </c>
      <c r="D4846" s="526" t="str">
        <f t="shared" si="1688"/>
        <v>40 - 750 kW</v>
      </c>
      <c r="E4846" s="526"/>
      <c r="F4846" s="538">
        <f t="shared" si="1679"/>
        <v>10.69</v>
      </c>
      <c r="G4846" s="538">
        <f t="shared" si="1680"/>
        <v>11.09</v>
      </c>
      <c r="H4846" s="537">
        <f t="shared" si="1665"/>
        <v>8.8699999999999992</v>
      </c>
      <c r="I4846" s="574"/>
      <c r="J4846" s="549">
        <v>42766</v>
      </c>
      <c r="K4846" s="11"/>
      <c r="N4846" s="266" t="str">
        <f t="shared" si="1681"/>
        <v>Sep17</v>
      </c>
      <c r="O4846" s="461">
        <v>0</v>
      </c>
      <c r="P4846" s="11">
        <f t="shared" si="1682"/>
        <v>12.604987926562503</v>
      </c>
      <c r="Q4846" s="11">
        <f t="shared" si="1683"/>
        <v>12.267531556875003</v>
      </c>
      <c r="R4846" s="11">
        <f t="shared" si="1684"/>
        <v>11.007032764218751</v>
      </c>
      <c r="S4846" s="11"/>
      <c r="T4846" s="11"/>
      <c r="U4846" s="11">
        <f t="shared" si="1685"/>
        <v>12.204987926562502</v>
      </c>
      <c r="V4846" s="11">
        <f t="shared" si="1686"/>
        <v>11.867531556875003</v>
      </c>
      <c r="W4846" s="11">
        <f t="shared" si="1687"/>
        <v>10.607032764218751</v>
      </c>
      <c r="X4846" s="11"/>
    </row>
    <row r="4847" spans="1:25" x14ac:dyDescent="0.35">
      <c r="A4847" s="527" t="s">
        <v>5998</v>
      </c>
      <c r="B4847" s="526" t="s">
        <v>5434</v>
      </c>
      <c r="C4847" s="526" t="str">
        <f t="shared" si="1678"/>
        <v>Inbetriebnahme 04/2017</v>
      </c>
      <c r="D4847" s="526" t="str">
        <f t="shared" si="1688"/>
        <v>0 - 10 kW</v>
      </c>
      <c r="E4847" s="526"/>
      <c r="F4847" s="538">
        <f t="shared" si="1679"/>
        <v>12.3</v>
      </c>
      <c r="G4847" s="538">
        <f t="shared" si="1680"/>
        <v>12.7</v>
      </c>
      <c r="H4847" s="537">
        <f t="shared" si="1665"/>
        <v>10.16</v>
      </c>
      <c r="I4847" s="574"/>
      <c r="J4847" s="549">
        <v>42766</v>
      </c>
      <c r="K4847" s="11"/>
      <c r="N4847" s="266" t="str">
        <f t="shared" si="1681"/>
        <v>Okt17</v>
      </c>
      <c r="O4847" s="461">
        <v>0</v>
      </c>
      <c r="P4847" s="11">
        <f t="shared" si="1682"/>
        <v>12.604987926562503</v>
      </c>
      <c r="Q4847" s="11">
        <f t="shared" si="1683"/>
        <v>12.267531556875003</v>
      </c>
      <c r="R4847" s="11">
        <f t="shared" si="1684"/>
        <v>11.007032764218751</v>
      </c>
      <c r="S4847" s="11"/>
      <c r="T4847" s="11"/>
      <c r="U4847" s="11">
        <f t="shared" si="1685"/>
        <v>12.204987926562502</v>
      </c>
      <c r="V4847" s="11">
        <f t="shared" si="1686"/>
        <v>11.867531556875003</v>
      </c>
      <c r="W4847" s="11">
        <f t="shared" si="1687"/>
        <v>10.607032764218751</v>
      </c>
      <c r="X4847" s="11"/>
    </row>
    <row r="4848" spans="1:25" x14ac:dyDescent="0.35">
      <c r="A4848" s="527" t="str">
        <f>"SgK4821--"&amp;RIGHT(A4847,5)</f>
        <v>SgK4821--Apr17</v>
      </c>
      <c r="B4848" s="526" t="s">
        <v>5434</v>
      </c>
      <c r="C4848" s="526" t="str">
        <f t="shared" si="1678"/>
        <v>Inbetriebnahme 04/2017</v>
      </c>
      <c r="D4848" s="526" t="str">
        <f t="shared" si="1688"/>
        <v>10 - 40 kW</v>
      </c>
      <c r="E4848" s="526"/>
      <c r="F4848" s="538">
        <f t="shared" si="1679"/>
        <v>11.96</v>
      </c>
      <c r="G4848" s="538">
        <f t="shared" si="1680"/>
        <v>12.36</v>
      </c>
      <c r="H4848" s="537">
        <f t="shared" ref="H4848:H4873" si="1689">IF(ISNUMBER($G4848),ROUND(0.8*$G4848,2),"")</f>
        <v>9.89</v>
      </c>
      <c r="I4848" s="574"/>
      <c r="J4848" s="549">
        <v>42766</v>
      </c>
      <c r="K4848" s="11"/>
      <c r="N4848" s="266" t="str">
        <f t="shared" si="1681"/>
        <v>Nov17</v>
      </c>
      <c r="O4848" s="461">
        <v>0</v>
      </c>
      <c r="P4848" s="11">
        <f t="shared" si="1682"/>
        <v>12.604987926562503</v>
      </c>
      <c r="Q4848" s="11">
        <f t="shared" si="1683"/>
        <v>12.267531556875003</v>
      </c>
      <c r="R4848" s="11">
        <f t="shared" si="1684"/>
        <v>11.007032764218751</v>
      </c>
      <c r="S4848" s="11"/>
      <c r="T4848" s="11"/>
      <c r="U4848" s="11">
        <f t="shared" si="1685"/>
        <v>12.204987926562502</v>
      </c>
      <c r="V4848" s="11">
        <f t="shared" si="1686"/>
        <v>11.867531556875003</v>
      </c>
      <c r="W4848" s="11">
        <f t="shared" si="1687"/>
        <v>10.607032764218751</v>
      </c>
      <c r="X4848" s="11"/>
    </row>
    <row r="4849" spans="1:24" x14ac:dyDescent="0.35">
      <c r="A4849" s="527" t="str">
        <f>"SgK4822--"&amp;RIGHT(A4848,5)</f>
        <v>SgK4822--Apr17</v>
      </c>
      <c r="B4849" s="526" t="s">
        <v>5434</v>
      </c>
      <c r="C4849" s="526" t="str">
        <f t="shared" si="1678"/>
        <v>Inbetriebnahme 04/2017</v>
      </c>
      <c r="D4849" s="526" t="str">
        <f t="shared" si="1688"/>
        <v>40 - 750 kW</v>
      </c>
      <c r="E4849" s="526"/>
      <c r="F4849" s="538">
        <f t="shared" si="1679"/>
        <v>10.69</v>
      </c>
      <c r="G4849" s="538">
        <f t="shared" si="1680"/>
        <v>11.09</v>
      </c>
      <c r="H4849" s="537">
        <f t="shared" si="1689"/>
        <v>8.8699999999999992</v>
      </c>
      <c r="I4849" s="574"/>
      <c r="J4849" s="549">
        <v>42766</v>
      </c>
      <c r="K4849" s="11"/>
      <c r="N4849" s="266" t="str">
        <f t="shared" si="1681"/>
        <v>Dez17</v>
      </c>
      <c r="O4849" s="461">
        <v>0</v>
      </c>
      <c r="P4849" s="11">
        <f t="shared" si="1682"/>
        <v>12.604987926562503</v>
      </c>
      <c r="Q4849" s="11">
        <f t="shared" si="1683"/>
        <v>12.267531556875003</v>
      </c>
      <c r="R4849" s="11">
        <f t="shared" si="1684"/>
        <v>11.007032764218751</v>
      </c>
      <c r="S4849" s="11"/>
      <c r="T4849" s="11"/>
      <c r="U4849" s="11">
        <f t="shared" si="1685"/>
        <v>12.204987926562502</v>
      </c>
      <c r="V4849" s="11">
        <f t="shared" si="1686"/>
        <v>11.867531556875003</v>
      </c>
      <c r="W4849" s="11">
        <f t="shared" si="1687"/>
        <v>10.607032764218751</v>
      </c>
      <c r="X4849" s="11"/>
    </row>
    <row r="4850" spans="1:24" x14ac:dyDescent="0.35">
      <c r="A4850" s="527" t="s">
        <v>5999</v>
      </c>
      <c r="B4850" s="526" t="s">
        <v>5434</v>
      </c>
      <c r="C4850" s="526" t="str">
        <f t="shared" si="1678"/>
        <v>Inbetriebnahme 05/2017</v>
      </c>
      <c r="D4850" s="526" t="str">
        <f t="shared" si="1688"/>
        <v>0 - 10 kW</v>
      </c>
      <c r="E4850" s="526"/>
      <c r="F4850" s="538">
        <f t="shared" si="1679"/>
        <v>12.27</v>
      </c>
      <c r="G4850" s="538">
        <f t="shared" si="1680"/>
        <v>12.67</v>
      </c>
      <c r="H4850" s="537">
        <f t="shared" si="1689"/>
        <v>10.14</v>
      </c>
      <c r="I4850" s="574"/>
      <c r="J4850" s="549">
        <v>42877</v>
      </c>
      <c r="K4850" s="11"/>
      <c r="M4850" s="339"/>
      <c r="N4850" s="108"/>
      <c r="O4850" s="266"/>
      <c r="P4850" s="260"/>
      <c r="Q4850" s="261"/>
      <c r="R4850" s="261"/>
      <c r="S4850" s="261"/>
      <c r="T4850" s="261"/>
    </row>
    <row r="4851" spans="1:24" x14ac:dyDescent="0.35">
      <c r="A4851" s="527" t="str">
        <f>"SgK4821--"&amp;RIGHT(A4850,5)</f>
        <v>SgK4821--Mai17</v>
      </c>
      <c r="B4851" s="526" t="s">
        <v>5434</v>
      </c>
      <c r="C4851" s="526" t="str">
        <f t="shared" si="1678"/>
        <v>Inbetriebnahme 05/2017</v>
      </c>
      <c r="D4851" s="526" t="str">
        <f t="shared" si="1688"/>
        <v>10 - 40 kW</v>
      </c>
      <c r="E4851" s="526"/>
      <c r="F4851" s="538">
        <f t="shared" si="1679"/>
        <v>11.93</v>
      </c>
      <c r="G4851" s="538">
        <f t="shared" si="1680"/>
        <v>12.33</v>
      </c>
      <c r="H4851" s="537">
        <f t="shared" si="1689"/>
        <v>9.86</v>
      </c>
      <c r="I4851" s="574"/>
      <c r="J4851" s="549">
        <v>42877</v>
      </c>
      <c r="K4851" s="11"/>
      <c r="M4851" s="339"/>
      <c r="N4851" s="108"/>
      <c r="O4851" s="266"/>
      <c r="P4851" s="260"/>
      <c r="Q4851" s="261"/>
      <c r="R4851" s="261"/>
      <c r="S4851" s="261"/>
      <c r="T4851" s="261"/>
    </row>
    <row r="4852" spans="1:24" x14ac:dyDescent="0.35">
      <c r="A4852" s="527" t="str">
        <f>"SgK4822--"&amp;RIGHT(A4851,5)</f>
        <v>SgK4822--Mai17</v>
      </c>
      <c r="B4852" s="526" t="s">
        <v>5434</v>
      </c>
      <c r="C4852" s="526" t="str">
        <f t="shared" si="1678"/>
        <v>Inbetriebnahme 05/2017</v>
      </c>
      <c r="D4852" s="526" t="str">
        <f t="shared" si="1688"/>
        <v>40 - 750 kW</v>
      </c>
      <c r="E4852" s="526"/>
      <c r="F4852" s="538">
        <f t="shared" si="1679"/>
        <v>10.66</v>
      </c>
      <c r="G4852" s="538">
        <f t="shared" si="1680"/>
        <v>11.06</v>
      </c>
      <c r="H4852" s="537">
        <f t="shared" si="1689"/>
        <v>8.85</v>
      </c>
      <c r="I4852" s="574"/>
      <c r="J4852" s="549">
        <v>42877</v>
      </c>
      <c r="K4852" s="11"/>
      <c r="L4852" s="102"/>
      <c r="M4852" s="339"/>
      <c r="N4852" s="108"/>
      <c r="O4852" s="266"/>
      <c r="P4852" s="260"/>
      <c r="Q4852" s="261"/>
      <c r="R4852" s="261"/>
      <c r="S4852" s="261"/>
      <c r="T4852" s="261"/>
    </row>
    <row r="4853" spans="1:24" x14ac:dyDescent="0.35">
      <c r="A4853" s="527" t="s">
        <v>6000</v>
      </c>
      <c r="B4853" s="526" t="s">
        <v>5434</v>
      </c>
      <c r="C4853" s="526" t="str">
        <f t="shared" si="1678"/>
        <v>Inbetriebnahme 06/2017</v>
      </c>
      <c r="D4853" s="526" t="str">
        <f t="shared" si="1688"/>
        <v>0 - 10 kW</v>
      </c>
      <c r="E4853" s="526"/>
      <c r="F4853" s="538">
        <f t="shared" si="1679"/>
        <v>12.24</v>
      </c>
      <c r="G4853" s="538">
        <f t="shared" si="1680"/>
        <v>12.64</v>
      </c>
      <c r="H4853" s="537">
        <f t="shared" si="1689"/>
        <v>10.11</v>
      </c>
      <c r="I4853" s="574"/>
      <c r="J4853" s="549">
        <v>42877</v>
      </c>
      <c r="K4853" s="11"/>
      <c r="L4853" s="102"/>
      <c r="M4853" s="339"/>
      <c r="N4853" s="108"/>
      <c r="O4853" s="266"/>
      <c r="P4853" s="260"/>
      <c r="Q4853" s="261"/>
      <c r="R4853" s="261"/>
      <c r="S4853" s="261"/>
      <c r="T4853" s="261"/>
    </row>
    <row r="4854" spans="1:24" x14ac:dyDescent="0.35">
      <c r="A4854" s="527" t="str">
        <f>"SgK4821--"&amp;RIGHT(A4853,5)</f>
        <v>SgK4821--Jun17</v>
      </c>
      <c r="B4854" s="526" t="s">
        <v>5434</v>
      </c>
      <c r="C4854" s="526" t="str">
        <f t="shared" si="1678"/>
        <v>Inbetriebnahme 06/2017</v>
      </c>
      <c r="D4854" s="526" t="str">
        <f t="shared" si="1688"/>
        <v>10 - 40 kW</v>
      </c>
      <c r="E4854" s="526"/>
      <c r="F4854" s="538">
        <f t="shared" si="1679"/>
        <v>11.9</v>
      </c>
      <c r="G4854" s="538">
        <f t="shared" si="1680"/>
        <v>12.3</v>
      </c>
      <c r="H4854" s="537">
        <f t="shared" si="1689"/>
        <v>9.84</v>
      </c>
      <c r="I4854" s="574"/>
      <c r="J4854" s="549">
        <v>42877</v>
      </c>
      <c r="K4854" s="11"/>
      <c r="L4854" s="102"/>
      <c r="M4854" s="339"/>
      <c r="N4854" s="108"/>
      <c r="O4854" s="266"/>
      <c r="P4854" s="260"/>
      <c r="Q4854" s="261"/>
      <c r="R4854" s="261"/>
      <c r="S4854" s="261"/>
      <c r="T4854" s="261"/>
    </row>
    <row r="4855" spans="1:24" x14ac:dyDescent="0.35">
      <c r="A4855" s="527" t="str">
        <f>"SgK4822--"&amp;RIGHT(A4854,5)</f>
        <v>SgK4822--Jun17</v>
      </c>
      <c r="B4855" s="526" t="s">
        <v>5434</v>
      </c>
      <c r="C4855" s="526" t="str">
        <f t="shared" si="1678"/>
        <v>Inbetriebnahme 06/2017</v>
      </c>
      <c r="D4855" s="526" t="str">
        <f t="shared" si="1688"/>
        <v>40 - 750 kW</v>
      </c>
      <c r="E4855" s="526"/>
      <c r="F4855" s="538">
        <f t="shared" si="1679"/>
        <v>10.63</v>
      </c>
      <c r="G4855" s="538">
        <f t="shared" si="1680"/>
        <v>11.03</v>
      </c>
      <c r="H4855" s="537">
        <f t="shared" si="1689"/>
        <v>8.82</v>
      </c>
      <c r="I4855" s="574"/>
      <c r="J4855" s="549">
        <v>42877</v>
      </c>
      <c r="K4855" s="11"/>
      <c r="L4855" s="102"/>
      <c r="M4855" s="339"/>
      <c r="N4855" s="108"/>
      <c r="O4855" s="266"/>
      <c r="P4855" s="277"/>
      <c r="Q4855" s="261"/>
      <c r="R4855" s="261"/>
      <c r="S4855" s="261"/>
      <c r="T4855" s="261"/>
    </row>
    <row r="4856" spans="1:24" x14ac:dyDescent="0.35">
      <c r="A4856" s="527" t="s">
        <v>6001</v>
      </c>
      <c r="B4856" s="526" t="s">
        <v>5434</v>
      </c>
      <c r="C4856" s="526" t="str">
        <f t="shared" si="1678"/>
        <v>Inbetriebnahme 07/2017</v>
      </c>
      <c r="D4856" s="526" t="str">
        <f t="shared" si="1688"/>
        <v>0 - 10 kW</v>
      </c>
      <c r="E4856" s="526"/>
      <c r="F4856" s="538">
        <f t="shared" si="1679"/>
        <v>12.2</v>
      </c>
      <c r="G4856" s="538">
        <f t="shared" si="1680"/>
        <v>12.6</v>
      </c>
      <c r="H4856" s="537">
        <f t="shared" si="1689"/>
        <v>10.08</v>
      </c>
      <c r="I4856" s="537">
        <f t="shared" ref="I4856:I4873" si="1690">IF(ISNUMBER($G4856),MAX(0,ROUND(G4856-8.5-0.4,2)),"")</f>
        <v>3.7</v>
      </c>
      <c r="J4856" s="549">
        <v>43077</v>
      </c>
      <c r="K4856" s="11"/>
      <c r="L4856" s="102"/>
      <c r="M4856" s="339"/>
      <c r="N4856" s="108"/>
      <c r="O4856" s="259"/>
    </row>
    <row r="4857" spans="1:24" x14ac:dyDescent="0.35">
      <c r="A4857" s="527" t="str">
        <f>"SgK4821--"&amp;RIGHT(A4856,5)</f>
        <v>SgK4821--Jul17</v>
      </c>
      <c r="B4857" s="526" t="s">
        <v>5434</v>
      </c>
      <c r="C4857" s="526" t="str">
        <f t="shared" si="1678"/>
        <v>Inbetriebnahme 07/2017</v>
      </c>
      <c r="D4857" s="526" t="str">
        <f t="shared" si="1688"/>
        <v>10 - 40 kW</v>
      </c>
      <c r="E4857" s="526"/>
      <c r="F4857" s="538">
        <f t="shared" si="1679"/>
        <v>11.87</v>
      </c>
      <c r="G4857" s="538">
        <f t="shared" si="1680"/>
        <v>12.27</v>
      </c>
      <c r="H4857" s="537">
        <f t="shared" si="1689"/>
        <v>9.82</v>
      </c>
      <c r="I4857" s="537">
        <f t="shared" si="1690"/>
        <v>3.37</v>
      </c>
      <c r="J4857" s="549">
        <v>43077</v>
      </c>
      <c r="K4857" s="11"/>
      <c r="L4857" s="102"/>
      <c r="M4857" s="339"/>
      <c r="O4857" s="259"/>
    </row>
    <row r="4858" spans="1:24" x14ac:dyDescent="0.35">
      <c r="A4858" s="527" t="str">
        <f>"SgK4822--"&amp;RIGHT(A4857,5)</f>
        <v>SgK4822--Jul17</v>
      </c>
      <c r="B4858" s="526" t="s">
        <v>5434</v>
      </c>
      <c r="C4858" s="526" t="str">
        <f t="shared" si="1678"/>
        <v>Inbetriebnahme 07/2017</v>
      </c>
      <c r="D4858" s="526" t="str">
        <f t="shared" si="1688"/>
        <v>40 - 750 kW</v>
      </c>
      <c r="E4858" s="526"/>
      <c r="F4858" s="538">
        <f t="shared" si="1679"/>
        <v>10.61</v>
      </c>
      <c r="G4858" s="538">
        <f t="shared" si="1680"/>
        <v>11.01</v>
      </c>
      <c r="H4858" s="537">
        <f t="shared" si="1689"/>
        <v>8.81</v>
      </c>
      <c r="I4858" s="537">
        <f t="shared" si="1690"/>
        <v>2.11</v>
      </c>
      <c r="J4858" s="549">
        <v>43077</v>
      </c>
      <c r="K4858" s="11"/>
      <c r="L4858" s="102"/>
      <c r="M4858" s="339"/>
      <c r="O4858" s="259"/>
    </row>
    <row r="4859" spans="1:24" x14ac:dyDescent="0.35">
      <c r="A4859" s="527" t="s">
        <v>6002</v>
      </c>
      <c r="B4859" s="526" t="s">
        <v>5434</v>
      </c>
      <c r="C4859" s="526" t="s">
        <v>5945</v>
      </c>
      <c r="D4859" s="526" t="str">
        <f t="shared" si="1688"/>
        <v>0 - 10 kW</v>
      </c>
      <c r="E4859" s="526"/>
      <c r="F4859" s="538">
        <f t="shared" si="1679"/>
        <v>12.2</v>
      </c>
      <c r="G4859" s="538">
        <f t="shared" si="1680"/>
        <v>12.6</v>
      </c>
      <c r="H4859" s="537">
        <f t="shared" si="1689"/>
        <v>10.08</v>
      </c>
      <c r="I4859" s="537">
        <f t="shared" si="1690"/>
        <v>3.7</v>
      </c>
      <c r="J4859" s="549">
        <v>43077</v>
      </c>
      <c r="K4859" s="11"/>
      <c r="L4859" s="102"/>
      <c r="M4859" s="339"/>
      <c r="O4859" s="259"/>
    </row>
    <row r="4860" spans="1:24" x14ac:dyDescent="0.35">
      <c r="A4860" s="527" t="str">
        <f>"SgK4821--"&amp;RIGHT(A4859,5)</f>
        <v>SgK4821--Aug17</v>
      </c>
      <c r="B4860" s="526" t="s">
        <v>5434</v>
      </c>
      <c r="C4860" s="526" t="s">
        <v>5945</v>
      </c>
      <c r="D4860" s="526" t="str">
        <f t="shared" si="1688"/>
        <v>10 - 40 kW</v>
      </c>
      <c r="E4860" s="526"/>
      <c r="F4860" s="538">
        <f t="shared" si="1679"/>
        <v>11.87</v>
      </c>
      <c r="G4860" s="538">
        <f t="shared" si="1680"/>
        <v>12.27</v>
      </c>
      <c r="H4860" s="537">
        <f t="shared" si="1689"/>
        <v>9.82</v>
      </c>
      <c r="I4860" s="537">
        <f t="shared" si="1690"/>
        <v>3.37</v>
      </c>
      <c r="J4860" s="549">
        <v>43077</v>
      </c>
      <c r="K4860" s="11"/>
      <c r="L4860" s="102"/>
      <c r="M4860" s="339"/>
      <c r="O4860" s="259"/>
    </row>
    <row r="4861" spans="1:24" x14ac:dyDescent="0.35">
      <c r="A4861" s="527" t="str">
        <f>"SgK4822--"&amp;RIGHT(A4860,5)</f>
        <v>SgK4822--Aug17</v>
      </c>
      <c r="B4861" s="526" t="s">
        <v>5434</v>
      </c>
      <c r="C4861" s="526" t="s">
        <v>5945</v>
      </c>
      <c r="D4861" s="526" t="str">
        <f t="shared" si="1688"/>
        <v>40 - 750 kW</v>
      </c>
      <c r="E4861" s="526"/>
      <c r="F4861" s="538">
        <f t="shared" si="1679"/>
        <v>10.61</v>
      </c>
      <c r="G4861" s="538">
        <f t="shared" si="1680"/>
        <v>11.01</v>
      </c>
      <c r="H4861" s="537">
        <f t="shared" si="1689"/>
        <v>8.81</v>
      </c>
      <c r="I4861" s="537">
        <f t="shared" si="1690"/>
        <v>2.11</v>
      </c>
      <c r="J4861" s="549">
        <v>43077</v>
      </c>
      <c r="M4861" s="339"/>
      <c r="O4861" s="259"/>
    </row>
    <row r="4862" spans="1:24" x14ac:dyDescent="0.35">
      <c r="A4862" s="527" t="s">
        <v>6003</v>
      </c>
      <c r="B4862" s="526" t="s">
        <v>5434</v>
      </c>
      <c r="C4862" s="526" t="s">
        <v>5946</v>
      </c>
      <c r="D4862" s="526" t="str">
        <f t="shared" si="1688"/>
        <v>0 - 10 kW</v>
      </c>
      <c r="E4862" s="526"/>
      <c r="F4862" s="538">
        <f t="shared" si="1679"/>
        <v>12.2</v>
      </c>
      <c r="G4862" s="538">
        <f t="shared" si="1680"/>
        <v>12.6</v>
      </c>
      <c r="H4862" s="537">
        <f t="shared" si="1689"/>
        <v>10.08</v>
      </c>
      <c r="I4862" s="537">
        <f t="shared" si="1690"/>
        <v>3.7</v>
      </c>
      <c r="J4862" s="549">
        <v>43077</v>
      </c>
    </row>
    <row r="4863" spans="1:24" x14ac:dyDescent="0.35">
      <c r="A4863" s="527" t="str">
        <f>"SgK4821--"&amp;RIGHT(A4862,5)</f>
        <v>SgK4821--Sep17</v>
      </c>
      <c r="B4863" s="526" t="s">
        <v>5434</v>
      </c>
      <c r="C4863" s="526" t="s">
        <v>5946</v>
      </c>
      <c r="D4863" s="526" t="str">
        <f t="shared" si="1688"/>
        <v>10 - 40 kW</v>
      </c>
      <c r="E4863" s="526"/>
      <c r="F4863" s="538">
        <f t="shared" si="1679"/>
        <v>11.87</v>
      </c>
      <c r="G4863" s="538">
        <f t="shared" si="1680"/>
        <v>12.27</v>
      </c>
      <c r="H4863" s="537">
        <f t="shared" si="1689"/>
        <v>9.82</v>
      </c>
      <c r="I4863" s="537">
        <f t="shared" si="1690"/>
        <v>3.37</v>
      </c>
      <c r="J4863" s="549">
        <v>43077</v>
      </c>
    </row>
    <row r="4864" spans="1:24" x14ac:dyDescent="0.35">
      <c r="A4864" s="527" t="str">
        <f>"SgK4822--"&amp;RIGHT(A4863,5)</f>
        <v>SgK4822--Sep17</v>
      </c>
      <c r="B4864" s="526" t="s">
        <v>5434</v>
      </c>
      <c r="C4864" s="526" t="s">
        <v>5946</v>
      </c>
      <c r="D4864" s="526" t="str">
        <f t="shared" si="1688"/>
        <v>40 - 750 kW</v>
      </c>
      <c r="E4864" s="526"/>
      <c r="F4864" s="538">
        <f t="shared" si="1679"/>
        <v>10.61</v>
      </c>
      <c r="G4864" s="538">
        <f t="shared" si="1680"/>
        <v>11.01</v>
      </c>
      <c r="H4864" s="537">
        <f t="shared" si="1689"/>
        <v>8.81</v>
      </c>
      <c r="I4864" s="537">
        <f t="shared" si="1690"/>
        <v>2.11</v>
      </c>
      <c r="J4864" s="549">
        <v>43077</v>
      </c>
    </row>
    <row r="4865" spans="1:25" x14ac:dyDescent="0.35">
      <c r="A4865" s="527" t="s">
        <v>6004</v>
      </c>
      <c r="B4865" s="526" t="s">
        <v>5434</v>
      </c>
      <c r="C4865" s="526" t="s">
        <v>5947</v>
      </c>
      <c r="D4865" s="526" t="str">
        <f t="shared" si="1688"/>
        <v>0 - 10 kW</v>
      </c>
      <c r="E4865" s="526"/>
      <c r="F4865" s="538">
        <f t="shared" si="1679"/>
        <v>12.2</v>
      </c>
      <c r="G4865" s="538">
        <f t="shared" si="1680"/>
        <v>12.6</v>
      </c>
      <c r="H4865" s="537">
        <f t="shared" si="1689"/>
        <v>10.08</v>
      </c>
      <c r="I4865" s="537">
        <f t="shared" si="1690"/>
        <v>3.7</v>
      </c>
      <c r="J4865" s="549">
        <v>43077</v>
      </c>
      <c r="O4865" s="322"/>
      <c r="P4865" s="261" t="str">
        <f>IF($O4865&lt;&gt;"",(1-$O4865)*P4849,"")</f>
        <v/>
      </c>
      <c r="Q4865" s="261" t="str">
        <f>IF($O4865&lt;&gt;"",(1-$O4865)*Q4849,"")</f>
        <v/>
      </c>
      <c r="R4865" s="261" t="str">
        <f>IF($O4865&lt;&gt;"",(1-$O4865)*R4849,"")</f>
        <v/>
      </c>
      <c r="S4865" s="261" t="str">
        <f>IF($O4865&lt;&gt;"",(1-$O4865)*S4849,"")</f>
        <v/>
      </c>
      <c r="U4865" s="261" t="str">
        <f>IF($O4865&lt;&gt;"",(1-$O4865)*U4849,"")</f>
        <v/>
      </c>
      <c r="V4865" s="261" t="str">
        <f>IF($O4865&lt;&gt;"",(1-$O4865)*V4849,"")</f>
        <v/>
      </c>
      <c r="W4865" s="261" t="str">
        <f>IF($O4865&lt;&gt;"",(1-$O4865)*W4849,"")</f>
        <v/>
      </c>
      <c r="X4865" s="261" t="str">
        <f>IF($O4865&lt;&gt;"",(1-$O4865)*X4849,"")</f>
        <v/>
      </c>
    </row>
    <row r="4866" spans="1:25" x14ac:dyDescent="0.35">
      <c r="A4866" s="527" t="str">
        <f>"SgK4821--"&amp;RIGHT(A4865,5)</f>
        <v>SgK4821--Okt17</v>
      </c>
      <c r="B4866" s="526" t="s">
        <v>5434</v>
      </c>
      <c r="C4866" s="526" t="s">
        <v>5947</v>
      </c>
      <c r="D4866" s="526" t="str">
        <f t="shared" si="1688"/>
        <v>10 - 40 kW</v>
      </c>
      <c r="E4866" s="526"/>
      <c r="F4866" s="538">
        <f t="shared" si="1679"/>
        <v>11.87</v>
      </c>
      <c r="G4866" s="538">
        <f t="shared" si="1680"/>
        <v>12.27</v>
      </c>
      <c r="H4866" s="537">
        <f t="shared" si="1689"/>
        <v>9.82</v>
      </c>
      <c r="I4866" s="537">
        <f t="shared" si="1690"/>
        <v>3.37</v>
      </c>
      <c r="J4866" s="549">
        <v>43077</v>
      </c>
      <c r="O4866" s="322"/>
      <c r="P4866" s="261" t="str">
        <f>IF($O4866&lt;&gt;"",(1-$O4866)*P4849,"")</f>
        <v/>
      </c>
      <c r="Q4866" s="261" t="str">
        <f>IF($O4866&lt;&gt;"",(1-$O4866)*Q4849,"")</f>
        <v/>
      </c>
      <c r="R4866" s="261" t="str">
        <f>IF($O4866&lt;&gt;"",(1-$O4866)*R4849,"")</f>
        <v/>
      </c>
      <c r="S4866" s="261" t="str">
        <f>IF($O4866&lt;&gt;"",(1-$O4866)*S4849,"")</f>
        <v/>
      </c>
      <c r="U4866" s="261" t="str">
        <f>IF($O4866&lt;&gt;"",(1-$O4866)*U4849,"")</f>
        <v/>
      </c>
      <c r="V4866" s="261" t="str">
        <f>IF($O4866&lt;&gt;"",(1-$O4866)*V4849,"")</f>
        <v/>
      </c>
      <c r="W4866" s="261" t="str">
        <f>IF($O4866&lt;&gt;"",(1-$O4866)*W4849,"")</f>
        <v/>
      </c>
      <c r="X4866" s="261" t="str">
        <f>IF($O4866&lt;&gt;"",(1-$O4866)*X4849,"")</f>
        <v/>
      </c>
    </row>
    <row r="4867" spans="1:25" x14ac:dyDescent="0.35">
      <c r="A4867" s="527" t="str">
        <f>"SgK4822--"&amp;RIGHT(A4866,5)</f>
        <v>SgK4822--Okt17</v>
      </c>
      <c r="B4867" s="526" t="s">
        <v>5434</v>
      </c>
      <c r="C4867" s="526" t="s">
        <v>5947</v>
      </c>
      <c r="D4867" s="526" t="str">
        <f t="shared" si="1688"/>
        <v>40 - 750 kW</v>
      </c>
      <c r="E4867" s="526"/>
      <c r="F4867" s="538">
        <f t="shared" si="1679"/>
        <v>10.61</v>
      </c>
      <c r="G4867" s="538">
        <f t="shared" si="1680"/>
        <v>11.01</v>
      </c>
      <c r="H4867" s="537">
        <f t="shared" si="1689"/>
        <v>8.81</v>
      </c>
      <c r="I4867" s="537">
        <f t="shared" si="1690"/>
        <v>2.11</v>
      </c>
      <c r="J4867" s="549">
        <v>43077</v>
      </c>
      <c r="O4867" s="322"/>
      <c r="P4867" s="261" t="str">
        <f>IF($O4867&lt;&gt;"",(1-$O4867)*P4865,"")</f>
        <v/>
      </c>
      <c r="Q4867" s="261" t="str">
        <f>IF($O4867&lt;&gt;"",(1-$O4867)*Q4865,"")</f>
        <v/>
      </c>
      <c r="R4867" s="261" t="str">
        <f>IF($O4867&lt;&gt;"",(1-$O4867)*R4865,"")</f>
        <v/>
      </c>
      <c r="S4867" s="261" t="str">
        <f>IF($O4867&lt;&gt;"",(1-$O4867)*S4865,"")</f>
        <v/>
      </c>
      <c r="U4867" s="261" t="str">
        <f>IF($O4867&lt;&gt;"",(1-$O4867)*U4865,"")</f>
        <v/>
      </c>
      <c r="V4867" s="261" t="str">
        <f>IF($O4867&lt;&gt;"",(1-$O4867)*V4865,"")</f>
        <v/>
      </c>
      <c r="W4867" s="261" t="str">
        <f>IF($O4867&lt;&gt;"",(1-$O4867)*W4865,"")</f>
        <v/>
      </c>
      <c r="X4867" s="261" t="str">
        <f>IF($O4867&lt;&gt;"",(1-$O4867)*X4865,"")</f>
        <v/>
      </c>
    </row>
    <row r="4868" spans="1:25" x14ac:dyDescent="0.35">
      <c r="A4868" s="527" t="s">
        <v>6005</v>
      </c>
      <c r="B4868" s="526" t="s">
        <v>5434</v>
      </c>
      <c r="C4868" s="526" t="s">
        <v>5948</v>
      </c>
      <c r="D4868" s="526" t="str">
        <f t="shared" si="1688"/>
        <v>0 - 10 kW</v>
      </c>
      <c r="E4868" s="526"/>
      <c r="F4868" s="538">
        <f t="shared" si="1679"/>
        <v>12.2</v>
      </c>
      <c r="G4868" s="538">
        <f t="shared" si="1680"/>
        <v>12.6</v>
      </c>
      <c r="H4868" s="537">
        <f t="shared" si="1689"/>
        <v>10.08</v>
      </c>
      <c r="I4868" s="537">
        <f t="shared" si="1690"/>
        <v>3.7</v>
      </c>
      <c r="J4868" s="549">
        <v>43077</v>
      </c>
      <c r="O4868" s="322"/>
      <c r="P4868" s="261" t="str">
        <f>IF($O4868&lt;&gt;"",(1-$O4868)*#REF!,"")</f>
        <v/>
      </c>
      <c r="Q4868" s="261" t="str">
        <f>IF($O4868&lt;&gt;"",(1-$O4868)*#REF!,"")</f>
        <v/>
      </c>
      <c r="R4868" s="261" t="str">
        <f>IF($O4868&lt;&gt;"",(1-$O4868)*#REF!,"")</f>
        <v/>
      </c>
      <c r="S4868" s="261" t="str">
        <f>IF($O4868&lt;&gt;"",(1-$O4868)*#REF!,"")</f>
        <v/>
      </c>
      <c r="U4868" s="261" t="str">
        <f>IF($O4868&lt;&gt;"",(1-$O4868)*#REF!,"")</f>
        <v/>
      </c>
      <c r="V4868" s="261" t="str">
        <f>IF($O4868&lt;&gt;"",(1-$O4868)*#REF!,"")</f>
        <v/>
      </c>
      <c r="W4868" s="261" t="str">
        <f>IF($O4868&lt;&gt;"",(1-$O4868)*#REF!,"")</f>
        <v/>
      </c>
      <c r="X4868" s="261" t="str">
        <f>IF($O4868&lt;&gt;"",(1-$O4868)*#REF!,"")</f>
        <v/>
      </c>
    </row>
    <row r="4869" spans="1:25" x14ac:dyDescent="0.35">
      <c r="A4869" s="527" t="str">
        <f>"SgK4821--"&amp;RIGHT(A4868,5)</f>
        <v>SgK4821--Nov17</v>
      </c>
      <c r="B4869" s="526" t="s">
        <v>5434</v>
      </c>
      <c r="C4869" s="526" t="s">
        <v>5948</v>
      </c>
      <c r="D4869" s="526" t="str">
        <f t="shared" si="1688"/>
        <v>10 - 40 kW</v>
      </c>
      <c r="E4869" s="526"/>
      <c r="F4869" s="538">
        <f t="shared" si="1679"/>
        <v>11.87</v>
      </c>
      <c r="G4869" s="538">
        <f t="shared" si="1680"/>
        <v>12.27</v>
      </c>
      <c r="H4869" s="537">
        <f t="shared" si="1689"/>
        <v>9.82</v>
      </c>
      <c r="I4869" s="537">
        <f t="shared" si="1690"/>
        <v>3.37</v>
      </c>
      <c r="J4869" s="549">
        <v>43077</v>
      </c>
      <c r="O4869" s="322"/>
      <c r="P4869" s="261" t="str">
        <f>IF($O4869&lt;&gt;"",(1-$O4869)*#REF!,"")</f>
        <v/>
      </c>
      <c r="Q4869" s="261" t="str">
        <f>IF($O4869&lt;&gt;"",(1-$O4869)*#REF!,"")</f>
        <v/>
      </c>
      <c r="R4869" s="261" t="str">
        <f>IF($O4869&lt;&gt;"",(1-$O4869)*#REF!,"")</f>
        <v/>
      </c>
      <c r="S4869" s="261" t="str">
        <f>IF($O4869&lt;&gt;"",(1-$O4869)*#REF!,"")</f>
        <v/>
      </c>
      <c r="U4869" s="261" t="str">
        <f>IF($O4869&lt;&gt;"",(1-$O4869)*#REF!,"")</f>
        <v/>
      </c>
      <c r="V4869" s="261" t="str">
        <f>IF($O4869&lt;&gt;"",(1-$O4869)*#REF!,"")</f>
        <v/>
      </c>
      <c r="W4869" s="261" t="str">
        <f>IF($O4869&lt;&gt;"",(1-$O4869)*#REF!,"")</f>
        <v/>
      </c>
      <c r="X4869" s="261" t="str">
        <f>IF($O4869&lt;&gt;"",(1-$O4869)*#REF!,"")</f>
        <v/>
      </c>
    </row>
    <row r="4870" spans="1:25" x14ac:dyDescent="0.35">
      <c r="A4870" s="527" t="str">
        <f>"SgK4822--"&amp;RIGHT(A4869,5)</f>
        <v>SgK4822--Nov17</v>
      </c>
      <c r="B4870" s="526" t="s">
        <v>5434</v>
      </c>
      <c r="C4870" s="526" t="s">
        <v>5948</v>
      </c>
      <c r="D4870" s="526" t="str">
        <f t="shared" si="1688"/>
        <v>40 - 750 kW</v>
      </c>
      <c r="E4870" s="526"/>
      <c r="F4870" s="538">
        <f t="shared" si="1679"/>
        <v>10.61</v>
      </c>
      <c r="G4870" s="538">
        <f t="shared" si="1680"/>
        <v>11.01</v>
      </c>
      <c r="H4870" s="537">
        <f t="shared" si="1689"/>
        <v>8.81</v>
      </c>
      <c r="I4870" s="537">
        <f t="shared" si="1690"/>
        <v>2.11</v>
      </c>
      <c r="J4870" s="549">
        <v>43077</v>
      </c>
      <c r="O4870" s="322"/>
      <c r="P4870" s="261" t="str">
        <f>IF($O4870&lt;&gt;"",(1-$O4870)*P4868,"")</f>
        <v/>
      </c>
      <c r="Q4870" s="261" t="str">
        <f>IF($O4870&lt;&gt;"",(1-$O4870)*Q4868,"")</f>
        <v/>
      </c>
      <c r="R4870" s="261" t="str">
        <f>IF($O4870&lt;&gt;"",(1-$O4870)*R4868,"")</f>
        <v/>
      </c>
      <c r="S4870" s="261" t="str">
        <f>IF($O4870&lt;&gt;"",(1-$O4870)*S4868,"")</f>
        <v/>
      </c>
      <c r="U4870" s="261" t="str">
        <f>IF($O4870&lt;&gt;"",(1-$O4870)*U4868,"")</f>
        <v/>
      </c>
      <c r="V4870" s="261" t="str">
        <f>IF($O4870&lt;&gt;"",(1-$O4870)*V4868,"")</f>
        <v/>
      </c>
      <c r="W4870" s="261" t="str">
        <f>IF($O4870&lt;&gt;"",(1-$O4870)*W4868,"")</f>
        <v/>
      </c>
      <c r="X4870" s="261" t="str">
        <f>IF($O4870&lt;&gt;"",(1-$O4870)*X4868,"")</f>
        <v/>
      </c>
    </row>
    <row r="4871" spans="1:25" x14ac:dyDescent="0.35">
      <c r="A4871" s="527" t="s">
        <v>6006</v>
      </c>
      <c r="B4871" s="526" t="s">
        <v>5434</v>
      </c>
      <c r="C4871" s="526" t="s">
        <v>5949</v>
      </c>
      <c r="D4871" s="526" t="str">
        <f t="shared" si="1688"/>
        <v>0 - 10 kW</v>
      </c>
      <c r="E4871" s="526"/>
      <c r="F4871" s="538">
        <f t="shared" si="1679"/>
        <v>12.2</v>
      </c>
      <c r="G4871" s="538">
        <f t="shared" si="1680"/>
        <v>12.6</v>
      </c>
      <c r="H4871" s="537">
        <f t="shared" si="1689"/>
        <v>10.08</v>
      </c>
      <c r="I4871" s="537">
        <f t="shared" si="1690"/>
        <v>3.7</v>
      </c>
      <c r="J4871" s="549">
        <v>43077</v>
      </c>
      <c r="O4871" s="322"/>
      <c r="P4871" s="261" t="str">
        <f>IF($O4871&lt;&gt;"",(1-$O4871)*#REF!,"")</f>
        <v/>
      </c>
      <c r="Q4871" s="261" t="str">
        <f>IF($O4871&lt;&gt;"",(1-$O4871)*#REF!,"")</f>
        <v/>
      </c>
      <c r="R4871" s="261" t="str">
        <f>IF($O4871&lt;&gt;"",(1-$O4871)*#REF!,"")</f>
        <v/>
      </c>
      <c r="S4871" s="261" t="str">
        <f>IF($O4871&lt;&gt;"",(1-$O4871)*#REF!,"")</f>
        <v/>
      </c>
      <c r="U4871" s="261" t="str">
        <f>IF($O4871&lt;&gt;"",(1-$O4871)*#REF!,"")</f>
        <v/>
      </c>
      <c r="V4871" s="261" t="str">
        <f>IF($O4871&lt;&gt;"",(1-$O4871)*#REF!,"")</f>
        <v/>
      </c>
      <c r="W4871" s="261" t="str">
        <f>IF($O4871&lt;&gt;"",(1-$O4871)*#REF!,"")</f>
        <v/>
      </c>
      <c r="X4871" s="261" t="str">
        <f>IF($O4871&lt;&gt;"",(1-$O4871)*#REF!,"")</f>
        <v/>
      </c>
    </row>
    <row r="4872" spans="1:25" x14ac:dyDescent="0.35">
      <c r="A4872" s="527" t="str">
        <f>"SgK4821--"&amp;RIGHT(A4871,5)</f>
        <v>SgK4821--Dez17</v>
      </c>
      <c r="B4872" s="526" t="s">
        <v>5434</v>
      </c>
      <c r="C4872" s="526" t="s">
        <v>5949</v>
      </c>
      <c r="D4872" s="526" t="str">
        <f t="shared" si="1688"/>
        <v>10 - 40 kW</v>
      </c>
      <c r="E4872" s="526"/>
      <c r="F4872" s="538">
        <f t="shared" si="1679"/>
        <v>11.87</v>
      </c>
      <c r="G4872" s="538">
        <f t="shared" si="1680"/>
        <v>12.27</v>
      </c>
      <c r="H4872" s="537">
        <f t="shared" si="1689"/>
        <v>9.82</v>
      </c>
      <c r="I4872" s="537">
        <f t="shared" si="1690"/>
        <v>3.37</v>
      </c>
      <c r="J4872" s="549">
        <v>43077</v>
      </c>
      <c r="O4872" s="322"/>
      <c r="P4872" s="261" t="str">
        <f>IF($O4872&lt;&gt;"",(1-$O4872)*#REF!,"")</f>
        <v/>
      </c>
      <c r="Q4872" s="261" t="str">
        <f>IF($O4872&lt;&gt;"",(1-$O4872)*#REF!,"")</f>
        <v/>
      </c>
      <c r="R4872" s="261" t="str">
        <f>IF($O4872&lt;&gt;"",(1-$O4872)*#REF!,"")</f>
        <v/>
      </c>
      <c r="S4872" s="261" t="str">
        <f>IF($O4872&lt;&gt;"",(1-$O4872)*#REF!,"")</f>
        <v/>
      </c>
      <c r="U4872" s="261" t="str">
        <f>IF($O4872&lt;&gt;"",(1-$O4872)*#REF!,"")</f>
        <v/>
      </c>
      <c r="V4872" s="261" t="str">
        <f>IF($O4872&lt;&gt;"",(1-$O4872)*#REF!,"")</f>
        <v/>
      </c>
      <c r="W4872" s="261" t="str">
        <f>IF($O4872&lt;&gt;"",(1-$O4872)*#REF!,"")</f>
        <v/>
      </c>
      <c r="X4872" s="261" t="str">
        <f>IF($O4872&lt;&gt;"",(1-$O4872)*#REF!,"")</f>
        <v/>
      </c>
    </row>
    <row r="4873" spans="1:25" x14ac:dyDescent="0.35">
      <c r="A4873" s="527" t="str">
        <f>"SgK4822--"&amp;RIGHT(A4872,5)</f>
        <v>SgK4822--Dez17</v>
      </c>
      <c r="B4873" s="526" t="s">
        <v>5434</v>
      </c>
      <c r="C4873" s="526" t="s">
        <v>5949</v>
      </c>
      <c r="D4873" s="526" t="str">
        <f t="shared" si="1688"/>
        <v>40 - 750 kW</v>
      </c>
      <c r="E4873" s="526"/>
      <c r="F4873" s="538">
        <f t="shared" si="1679"/>
        <v>10.61</v>
      </c>
      <c r="G4873" s="538">
        <f t="shared" si="1680"/>
        <v>11.01</v>
      </c>
      <c r="H4873" s="537">
        <f t="shared" si="1689"/>
        <v>8.81</v>
      </c>
      <c r="I4873" s="537">
        <f t="shared" si="1690"/>
        <v>2.11</v>
      </c>
      <c r="J4873" s="549">
        <v>43077</v>
      </c>
      <c r="O4873" s="322"/>
      <c r="P4873" s="261" t="str">
        <f>IF($O4873&lt;&gt;"",(1-$O4873)*P4871,"")</f>
        <v/>
      </c>
      <c r="Q4873" s="261" t="str">
        <f>IF($O4873&lt;&gt;"",(1-$O4873)*Q4871,"")</f>
        <v/>
      </c>
      <c r="R4873" s="261" t="str">
        <f>IF($O4873&lt;&gt;"",(1-$O4873)*R4871,"")</f>
        <v/>
      </c>
      <c r="S4873" s="261" t="str">
        <f>IF($O4873&lt;&gt;"",(1-$O4873)*S4871,"")</f>
        <v/>
      </c>
      <c r="U4873" s="261" t="str">
        <f>IF($O4873&lt;&gt;"",(1-$O4873)*U4871,"")</f>
        <v/>
      </c>
      <c r="V4873" s="261" t="str">
        <f>IF($O4873&lt;&gt;"",(1-$O4873)*V4871,"")</f>
        <v/>
      </c>
      <c r="W4873" s="261" t="str">
        <f>IF($O4873&lt;&gt;"",(1-$O4873)*W4871,"")</f>
        <v/>
      </c>
      <c r="X4873" s="261" t="str">
        <f>IF($O4873&lt;&gt;"",(1-$O4873)*X4871,"")</f>
        <v/>
      </c>
    </row>
    <row r="4874" spans="1:25" x14ac:dyDescent="0.35">
      <c r="A4874" s="496"/>
      <c r="B4874" s="1"/>
      <c r="C4874" s="1"/>
      <c r="D4874" s="1"/>
      <c r="E4874" s="1"/>
      <c r="F4874" s="362"/>
      <c r="G4874" s="10"/>
      <c r="H4874" s="10" t="str">
        <f>IF(ISNUMBER(G4874),ROUND(0.8*G4874,2),"")</f>
        <v/>
      </c>
      <c r="I4874" s="566"/>
      <c r="J4874" s="549" t="s">
        <v>4179</v>
      </c>
      <c r="K4874" s="11"/>
      <c r="N4874" s="109" t="s">
        <v>3901</v>
      </c>
      <c r="O4874" s="29" t="s">
        <v>5489</v>
      </c>
      <c r="P4874" t="s">
        <v>3918</v>
      </c>
      <c r="Q4874" t="s">
        <v>3919</v>
      </c>
      <c r="R4874" t="s">
        <v>7439</v>
      </c>
      <c r="T4874" t="s">
        <v>49</v>
      </c>
      <c r="U4874" t="s">
        <v>3918</v>
      </c>
      <c r="V4874" t="s">
        <v>3919</v>
      </c>
      <c r="W4874" t="s">
        <v>7439</v>
      </c>
      <c r="Y4874" t="s">
        <v>50</v>
      </c>
    </row>
    <row r="4875" spans="1:25" x14ac:dyDescent="0.35">
      <c r="A4875" s="527" t="s">
        <v>6277</v>
      </c>
      <c r="B4875" s="526" t="s">
        <v>5434</v>
      </c>
      <c r="C4875" s="526" t="str">
        <f t="shared" ref="C4875:C4910" si="1691">"Inbetriebnahme "&amp;TEXT(DATEVALUE(RIGHT(A4875,5)),"MM/JJJJ")</f>
        <v>Inbetriebnahme 01/2018</v>
      </c>
      <c r="D4875" s="526" t="str">
        <f>$Q$4687</f>
        <v>0 - 10 kW</v>
      </c>
      <c r="E4875" s="526"/>
      <c r="F4875" s="538">
        <f t="shared" ref="F4875:F4910" si="1692">IF(HLOOKUP($D4875,$U$4874:$W$4886,MATCH(RIGHT($A4875,5),$N$4874:$N$4886,0),FALSE)&lt;&gt;"",ROUND(HLOOKUP($D4875,$U$4874:$W$4886,MATCH(RIGHT($A4875,5),$N$4874:$N$4886,0),FALSE),2),"")</f>
        <v>12.2</v>
      </c>
      <c r="G4875" s="538">
        <f t="shared" ref="G4875:G4910" si="1693">IF(HLOOKUP($D4875,$P$4874:$W$4886,MATCH(RIGHT($A4875,5),$N$4874:$N$4886,0),FALSE)&lt;&gt;"",ROUND(HLOOKUP($D4875,$P$4874:$W$4886,MATCH(RIGHT($A4875,5),$N$4874:$N$4886,0),FALSE),2),"")</f>
        <v>12.6</v>
      </c>
      <c r="H4875" s="537">
        <f t="shared" ref="H4875:H4910" si="1694">IF(ISNUMBER($G4875),ROUND(0.8*$G4875,2),"")</f>
        <v>10.08</v>
      </c>
      <c r="I4875" s="537">
        <f t="shared" ref="I4875:I4910" si="1695">IF(ISNUMBER($G4875),MAX(0,ROUND(G4875-8.5-0.4,2)),"")</f>
        <v>3.7</v>
      </c>
      <c r="J4875" s="549">
        <v>43077</v>
      </c>
      <c r="K4875" s="11"/>
      <c r="M4875" s="101">
        <v>2018</v>
      </c>
      <c r="N4875" s="522" t="s">
        <v>6276</v>
      </c>
      <c r="O4875" s="461">
        <v>0</v>
      </c>
      <c r="P4875" s="11">
        <f>IF($O4875&lt;&gt;"",P4849*(100%-$O4875),"")</f>
        <v>12.604987926562503</v>
      </c>
      <c r="Q4875" s="11">
        <f>IF($O4875&lt;&gt;"",Q4849*(100%-$O4875),"")</f>
        <v>12.267531556875003</v>
      </c>
      <c r="R4875" s="11">
        <f>IF($O4875&lt;&gt;"",R4849*(100%-$O4875),"")</f>
        <v>11.007032764218751</v>
      </c>
      <c r="S4875" s="11"/>
      <c r="T4875" s="11"/>
      <c r="U4875" s="11">
        <f t="shared" ref="U4875:U4886" si="1696">IF($O4875&lt;&gt;"",P4875-0.4,"")</f>
        <v>12.204987926562502</v>
      </c>
      <c r="V4875" s="11">
        <f t="shared" ref="V4875:V4886" si="1697">IF($O4875&lt;&gt;"",Q4875-0.4,"")</f>
        <v>11.867531556875003</v>
      </c>
      <c r="W4875" s="11">
        <f t="shared" ref="W4875:W4886" si="1698">IF($O4875&lt;&gt;"",R4875-0.4,"")</f>
        <v>10.607032764218751</v>
      </c>
      <c r="X4875" s="11"/>
    </row>
    <row r="4876" spans="1:25" x14ac:dyDescent="0.35">
      <c r="A4876" s="527" t="str">
        <f>"SgK4821--"&amp;RIGHT(A4875,5)</f>
        <v>SgK4821--Jan18</v>
      </c>
      <c r="B4876" s="526" t="s">
        <v>5434</v>
      </c>
      <c r="C4876" s="526" t="str">
        <f t="shared" si="1691"/>
        <v>Inbetriebnahme 01/2018</v>
      </c>
      <c r="D4876" s="526" t="str">
        <f>$R$4687</f>
        <v>10 - 40 kW</v>
      </c>
      <c r="E4876" s="526"/>
      <c r="F4876" s="538">
        <f t="shared" si="1692"/>
        <v>11.87</v>
      </c>
      <c r="G4876" s="538">
        <f t="shared" si="1693"/>
        <v>12.27</v>
      </c>
      <c r="H4876" s="537">
        <f t="shared" si="1694"/>
        <v>9.82</v>
      </c>
      <c r="I4876" s="537">
        <f t="shared" si="1695"/>
        <v>3.37</v>
      </c>
      <c r="J4876" s="549">
        <v>43077</v>
      </c>
      <c r="K4876" s="11"/>
      <c r="M4876" s="339"/>
      <c r="N4876" s="266" t="str">
        <f t="shared" ref="N4876:N4886" si="1699">TEXT(DATE(YEAR(DATEVALUE(N4875)),MONTH(DATEVALUE(N4875))+1,1),"MMMJJ")</f>
        <v>Feb18</v>
      </c>
      <c r="O4876" s="461">
        <v>0</v>
      </c>
      <c r="P4876" s="11">
        <f t="shared" ref="P4876:P4886" si="1700">IF($O4876&lt;&gt;"",P4875*(100%-$O4876),"")</f>
        <v>12.604987926562503</v>
      </c>
      <c r="Q4876" s="11">
        <f t="shared" ref="Q4876:Q4886" si="1701">IF($O4876&lt;&gt;"",Q4875*(100%-$O4876),"")</f>
        <v>12.267531556875003</v>
      </c>
      <c r="R4876" s="11">
        <f t="shared" ref="R4876:R4886" si="1702">IF($O4876&lt;&gt;"",R4875*(100%-$O4876),"")</f>
        <v>11.007032764218751</v>
      </c>
      <c r="S4876" s="11"/>
      <c r="T4876" s="11"/>
      <c r="U4876" s="11">
        <f t="shared" si="1696"/>
        <v>12.204987926562502</v>
      </c>
      <c r="V4876" s="11">
        <f t="shared" si="1697"/>
        <v>11.867531556875003</v>
      </c>
      <c r="W4876" s="11">
        <f t="shared" si="1698"/>
        <v>10.607032764218751</v>
      </c>
      <c r="X4876" s="11"/>
    </row>
    <row r="4877" spans="1:25" x14ac:dyDescent="0.35">
      <c r="A4877" s="527" t="str">
        <f>"SgK4822--"&amp;RIGHT(A4876,5)</f>
        <v>SgK4822--Jan18</v>
      </c>
      <c r="B4877" s="526" t="s">
        <v>5434</v>
      </c>
      <c r="C4877" s="526" t="str">
        <f t="shared" si="1691"/>
        <v>Inbetriebnahme 01/2018</v>
      </c>
      <c r="D4877" s="526" t="s">
        <v>7439</v>
      </c>
      <c r="E4877" s="526"/>
      <c r="F4877" s="538">
        <f t="shared" si="1692"/>
        <v>10.61</v>
      </c>
      <c r="G4877" s="538">
        <f t="shared" si="1693"/>
        <v>11.01</v>
      </c>
      <c r="H4877" s="537">
        <f t="shared" si="1694"/>
        <v>8.81</v>
      </c>
      <c r="I4877" s="537">
        <f t="shared" si="1695"/>
        <v>2.11</v>
      </c>
      <c r="J4877" s="549">
        <v>43077</v>
      </c>
      <c r="K4877" s="11"/>
      <c r="M4877" s="339"/>
      <c r="N4877" s="266" t="str">
        <f t="shared" si="1699"/>
        <v>Mrz18</v>
      </c>
      <c r="O4877" s="461">
        <v>0</v>
      </c>
      <c r="P4877" s="11">
        <f t="shared" si="1700"/>
        <v>12.604987926562503</v>
      </c>
      <c r="Q4877" s="11">
        <f t="shared" si="1701"/>
        <v>12.267531556875003</v>
      </c>
      <c r="R4877" s="11">
        <f t="shared" si="1702"/>
        <v>11.007032764218751</v>
      </c>
      <c r="S4877" s="11"/>
      <c r="T4877" s="11"/>
      <c r="U4877" s="11">
        <f t="shared" si="1696"/>
        <v>12.204987926562502</v>
      </c>
      <c r="V4877" s="11">
        <f t="shared" si="1697"/>
        <v>11.867531556875003</v>
      </c>
      <c r="W4877" s="11">
        <f t="shared" si="1698"/>
        <v>10.607032764218751</v>
      </c>
      <c r="X4877" s="11"/>
    </row>
    <row r="4878" spans="1:25" x14ac:dyDescent="0.35">
      <c r="A4878" s="527" t="s">
        <v>6278</v>
      </c>
      <c r="B4878" s="526" t="s">
        <v>5434</v>
      </c>
      <c r="C4878" s="526" t="str">
        <f t="shared" si="1691"/>
        <v>Inbetriebnahme 02/2018</v>
      </c>
      <c r="D4878" s="526" t="str">
        <f t="shared" ref="D4878:D4910" si="1703">D4875</f>
        <v>0 - 10 kW</v>
      </c>
      <c r="E4878" s="526"/>
      <c r="F4878" s="538">
        <f t="shared" si="1692"/>
        <v>12.2</v>
      </c>
      <c r="G4878" s="538">
        <f t="shared" si="1693"/>
        <v>12.6</v>
      </c>
      <c r="H4878" s="537">
        <f t="shared" si="1694"/>
        <v>10.08</v>
      </c>
      <c r="I4878" s="537">
        <f t="shared" si="1695"/>
        <v>3.7</v>
      </c>
      <c r="J4878" s="549">
        <v>43131</v>
      </c>
      <c r="K4878" s="11"/>
      <c r="M4878" s="339"/>
      <c r="N4878" s="266" t="str">
        <f t="shared" si="1699"/>
        <v>Apr18</v>
      </c>
      <c r="O4878" s="461">
        <v>0</v>
      </c>
      <c r="P4878" s="11">
        <f t="shared" si="1700"/>
        <v>12.604987926562503</v>
      </c>
      <c r="Q4878" s="11">
        <f t="shared" si="1701"/>
        <v>12.267531556875003</v>
      </c>
      <c r="R4878" s="11">
        <f t="shared" si="1702"/>
        <v>11.007032764218751</v>
      </c>
      <c r="S4878" s="11"/>
      <c r="T4878" s="11"/>
      <c r="U4878" s="11">
        <f t="shared" si="1696"/>
        <v>12.204987926562502</v>
      </c>
      <c r="V4878" s="11">
        <f t="shared" si="1697"/>
        <v>11.867531556875003</v>
      </c>
      <c r="W4878" s="11">
        <f t="shared" si="1698"/>
        <v>10.607032764218751</v>
      </c>
      <c r="X4878" s="11"/>
    </row>
    <row r="4879" spans="1:25" x14ac:dyDescent="0.35">
      <c r="A4879" s="527" t="str">
        <f>"SgK4821--"&amp;RIGHT(A4878,5)</f>
        <v>SgK4821--Feb18</v>
      </c>
      <c r="B4879" s="526" t="s">
        <v>5434</v>
      </c>
      <c r="C4879" s="526" t="str">
        <f t="shared" si="1691"/>
        <v>Inbetriebnahme 02/2018</v>
      </c>
      <c r="D4879" s="526" t="str">
        <f t="shared" si="1703"/>
        <v>10 - 40 kW</v>
      </c>
      <c r="E4879" s="526"/>
      <c r="F4879" s="538">
        <f t="shared" si="1692"/>
        <v>11.87</v>
      </c>
      <c r="G4879" s="538">
        <f t="shared" si="1693"/>
        <v>12.27</v>
      </c>
      <c r="H4879" s="537">
        <f t="shared" si="1694"/>
        <v>9.82</v>
      </c>
      <c r="I4879" s="537">
        <f t="shared" si="1695"/>
        <v>3.37</v>
      </c>
      <c r="J4879" s="549">
        <v>43131</v>
      </c>
      <c r="K4879" s="11"/>
      <c r="M4879" s="339"/>
      <c r="N4879" s="266" t="str">
        <f t="shared" si="1699"/>
        <v>Mai18</v>
      </c>
      <c r="O4879" s="461">
        <v>0</v>
      </c>
      <c r="P4879" s="11">
        <f t="shared" si="1700"/>
        <v>12.604987926562503</v>
      </c>
      <c r="Q4879" s="11">
        <f t="shared" si="1701"/>
        <v>12.267531556875003</v>
      </c>
      <c r="R4879" s="11">
        <f t="shared" si="1702"/>
        <v>11.007032764218751</v>
      </c>
      <c r="S4879" s="11"/>
      <c r="T4879" s="11"/>
      <c r="U4879" s="11">
        <f t="shared" si="1696"/>
        <v>12.204987926562502</v>
      </c>
      <c r="V4879" s="11">
        <f t="shared" si="1697"/>
        <v>11.867531556875003</v>
      </c>
      <c r="W4879" s="11">
        <f t="shared" si="1698"/>
        <v>10.607032764218751</v>
      </c>
      <c r="X4879" s="11"/>
    </row>
    <row r="4880" spans="1:25" x14ac:dyDescent="0.35">
      <c r="A4880" s="527" t="str">
        <f>"SgK4822--"&amp;RIGHT(A4879,5)</f>
        <v>SgK4822--Feb18</v>
      </c>
      <c r="B4880" s="526" t="s">
        <v>5434</v>
      </c>
      <c r="C4880" s="526" t="str">
        <f t="shared" si="1691"/>
        <v>Inbetriebnahme 02/2018</v>
      </c>
      <c r="D4880" s="526" t="str">
        <f t="shared" si="1703"/>
        <v>40 - 750 kW</v>
      </c>
      <c r="E4880" s="526"/>
      <c r="F4880" s="538">
        <f t="shared" si="1692"/>
        <v>10.61</v>
      </c>
      <c r="G4880" s="538">
        <f t="shared" si="1693"/>
        <v>11.01</v>
      </c>
      <c r="H4880" s="537">
        <f t="shared" si="1694"/>
        <v>8.81</v>
      </c>
      <c r="I4880" s="537">
        <f t="shared" si="1695"/>
        <v>2.11</v>
      </c>
      <c r="J4880" s="549">
        <v>43131</v>
      </c>
      <c r="K4880" s="11"/>
      <c r="M4880" s="339"/>
      <c r="N4880" s="266" t="str">
        <f t="shared" si="1699"/>
        <v>Jun18</v>
      </c>
      <c r="O4880" s="461">
        <v>0</v>
      </c>
      <c r="P4880" s="11">
        <f t="shared" si="1700"/>
        <v>12.604987926562503</v>
      </c>
      <c r="Q4880" s="11">
        <f t="shared" si="1701"/>
        <v>12.267531556875003</v>
      </c>
      <c r="R4880" s="11">
        <f t="shared" si="1702"/>
        <v>11.007032764218751</v>
      </c>
      <c r="S4880" s="11"/>
      <c r="T4880" s="11"/>
      <c r="U4880" s="11">
        <f t="shared" si="1696"/>
        <v>12.204987926562502</v>
      </c>
      <c r="V4880" s="11">
        <f t="shared" si="1697"/>
        <v>11.867531556875003</v>
      </c>
      <c r="W4880" s="11">
        <f t="shared" si="1698"/>
        <v>10.607032764218751</v>
      </c>
      <c r="X4880" s="11"/>
    </row>
    <row r="4881" spans="1:24" x14ac:dyDescent="0.35">
      <c r="A4881" s="527" t="s">
        <v>6279</v>
      </c>
      <c r="B4881" s="526" t="s">
        <v>5434</v>
      </c>
      <c r="C4881" s="526" t="str">
        <f t="shared" si="1691"/>
        <v>Inbetriebnahme 03/2018</v>
      </c>
      <c r="D4881" s="526" t="str">
        <f t="shared" si="1703"/>
        <v>0 - 10 kW</v>
      </c>
      <c r="E4881" s="526"/>
      <c r="F4881" s="538">
        <f t="shared" si="1692"/>
        <v>12.2</v>
      </c>
      <c r="G4881" s="538">
        <f t="shared" si="1693"/>
        <v>12.6</v>
      </c>
      <c r="H4881" s="537">
        <f t="shared" si="1694"/>
        <v>10.08</v>
      </c>
      <c r="I4881" s="537">
        <f t="shared" si="1695"/>
        <v>3.7</v>
      </c>
      <c r="J4881" s="549">
        <v>43131</v>
      </c>
      <c r="K4881" s="11"/>
      <c r="M4881" s="339"/>
      <c r="N4881" s="266" t="str">
        <f t="shared" si="1699"/>
        <v>Jul18</v>
      </c>
      <c r="O4881" s="461">
        <v>0</v>
      </c>
      <c r="P4881" s="11">
        <f t="shared" si="1700"/>
        <v>12.604987926562503</v>
      </c>
      <c r="Q4881" s="11">
        <f t="shared" si="1701"/>
        <v>12.267531556875003</v>
      </c>
      <c r="R4881" s="11">
        <f t="shared" si="1702"/>
        <v>11.007032764218751</v>
      </c>
      <c r="S4881" s="11"/>
      <c r="T4881" s="11"/>
      <c r="U4881" s="11">
        <f t="shared" si="1696"/>
        <v>12.204987926562502</v>
      </c>
      <c r="V4881" s="11">
        <f t="shared" si="1697"/>
        <v>11.867531556875003</v>
      </c>
      <c r="W4881" s="11">
        <f t="shared" si="1698"/>
        <v>10.607032764218751</v>
      </c>
      <c r="X4881" s="11"/>
    </row>
    <row r="4882" spans="1:24" x14ac:dyDescent="0.35">
      <c r="A4882" s="527" t="str">
        <f>"SgK4821--"&amp;RIGHT(A4881,5)</f>
        <v>SgK4821--Mrz18</v>
      </c>
      <c r="B4882" s="526" t="s">
        <v>5434</v>
      </c>
      <c r="C4882" s="526" t="str">
        <f t="shared" si="1691"/>
        <v>Inbetriebnahme 03/2018</v>
      </c>
      <c r="D4882" s="526" t="str">
        <f t="shared" si="1703"/>
        <v>10 - 40 kW</v>
      </c>
      <c r="E4882" s="526"/>
      <c r="F4882" s="538">
        <f t="shared" si="1692"/>
        <v>11.87</v>
      </c>
      <c r="G4882" s="538">
        <f t="shared" si="1693"/>
        <v>12.27</v>
      </c>
      <c r="H4882" s="537">
        <f t="shared" si="1694"/>
        <v>9.82</v>
      </c>
      <c r="I4882" s="537">
        <f t="shared" si="1695"/>
        <v>3.37</v>
      </c>
      <c r="J4882" s="549">
        <v>43131</v>
      </c>
      <c r="K4882" s="11"/>
      <c r="M4882" s="101"/>
      <c r="N4882" s="266" t="str">
        <f t="shared" si="1699"/>
        <v>Aug18</v>
      </c>
      <c r="O4882" s="461">
        <v>0.01</v>
      </c>
      <c r="P4882" s="11">
        <f t="shared" si="1700"/>
        <v>12.478938047296877</v>
      </c>
      <c r="Q4882" s="11">
        <f t="shared" si="1701"/>
        <v>12.144856241306252</v>
      </c>
      <c r="R4882" s="11">
        <f t="shared" si="1702"/>
        <v>10.896962436576564</v>
      </c>
      <c r="S4882" s="11"/>
      <c r="T4882" s="11"/>
      <c r="U4882" s="11">
        <f t="shared" si="1696"/>
        <v>12.078938047296877</v>
      </c>
      <c r="V4882" s="11">
        <f t="shared" si="1697"/>
        <v>11.744856241306252</v>
      </c>
      <c r="W4882" s="11">
        <f t="shared" si="1698"/>
        <v>10.496962436576563</v>
      </c>
      <c r="X4882" s="11"/>
    </row>
    <row r="4883" spans="1:24" x14ac:dyDescent="0.35">
      <c r="A4883" s="527" t="str">
        <f>"SgK4822--"&amp;RIGHT(A4882,5)</f>
        <v>SgK4822--Mrz18</v>
      </c>
      <c r="B4883" s="526" t="s">
        <v>5434</v>
      </c>
      <c r="C4883" s="526" t="str">
        <f t="shared" si="1691"/>
        <v>Inbetriebnahme 03/2018</v>
      </c>
      <c r="D4883" s="526" t="str">
        <f t="shared" si="1703"/>
        <v>40 - 750 kW</v>
      </c>
      <c r="E4883" s="526"/>
      <c r="F4883" s="538">
        <f t="shared" si="1692"/>
        <v>10.61</v>
      </c>
      <c r="G4883" s="538">
        <f t="shared" si="1693"/>
        <v>11.01</v>
      </c>
      <c r="H4883" s="537">
        <f t="shared" si="1694"/>
        <v>8.81</v>
      </c>
      <c r="I4883" s="537">
        <f t="shared" si="1695"/>
        <v>2.11</v>
      </c>
      <c r="J4883" s="549">
        <v>43131</v>
      </c>
      <c r="K4883" s="11"/>
      <c r="N4883" s="266" t="str">
        <f t="shared" si="1699"/>
        <v>Sep18</v>
      </c>
      <c r="O4883" s="461">
        <v>0.01</v>
      </c>
      <c r="P4883" s="11">
        <f t="shared" si="1700"/>
        <v>12.354148666823908</v>
      </c>
      <c r="Q4883" s="11">
        <f t="shared" si="1701"/>
        <v>12.023407678893189</v>
      </c>
      <c r="R4883" s="11">
        <f t="shared" si="1702"/>
        <v>10.787992812210797</v>
      </c>
      <c r="S4883" s="11"/>
      <c r="T4883" s="11"/>
      <c r="U4883" s="11">
        <f t="shared" si="1696"/>
        <v>11.954148666823908</v>
      </c>
      <c r="V4883" s="11">
        <f t="shared" si="1697"/>
        <v>11.623407678893189</v>
      </c>
      <c r="W4883" s="11">
        <f t="shared" si="1698"/>
        <v>10.387992812210797</v>
      </c>
      <c r="X4883" s="11"/>
    </row>
    <row r="4884" spans="1:24" x14ac:dyDescent="0.35">
      <c r="A4884" s="527" t="s">
        <v>6280</v>
      </c>
      <c r="B4884" s="526" t="s">
        <v>5434</v>
      </c>
      <c r="C4884" s="526" t="str">
        <f t="shared" si="1691"/>
        <v>Inbetriebnahme 04/2018</v>
      </c>
      <c r="D4884" s="526" t="str">
        <f t="shared" si="1703"/>
        <v>0 - 10 kW</v>
      </c>
      <c r="E4884" s="526"/>
      <c r="F4884" s="538">
        <f t="shared" si="1692"/>
        <v>12.2</v>
      </c>
      <c r="G4884" s="538">
        <f t="shared" si="1693"/>
        <v>12.6</v>
      </c>
      <c r="H4884" s="537">
        <f t="shared" si="1694"/>
        <v>10.08</v>
      </c>
      <c r="I4884" s="537">
        <f t="shared" si="1695"/>
        <v>3.7</v>
      </c>
      <c r="J4884" s="549">
        <v>43131</v>
      </c>
      <c r="K4884" s="11"/>
      <c r="N4884" s="266" t="str">
        <f t="shared" si="1699"/>
        <v>Okt18</v>
      </c>
      <c r="O4884" s="461">
        <v>0.01</v>
      </c>
      <c r="P4884" s="11">
        <f t="shared" si="1700"/>
        <v>12.230607180155669</v>
      </c>
      <c r="Q4884" s="11">
        <f t="shared" si="1701"/>
        <v>11.903173602104257</v>
      </c>
      <c r="R4884" s="11">
        <f t="shared" si="1702"/>
        <v>10.68011288408869</v>
      </c>
      <c r="S4884" s="11"/>
      <c r="T4884" s="11"/>
      <c r="U4884" s="11">
        <f t="shared" si="1696"/>
        <v>11.830607180155669</v>
      </c>
      <c r="V4884" s="11">
        <f t="shared" si="1697"/>
        <v>11.503173602104257</v>
      </c>
      <c r="W4884" s="11">
        <f t="shared" si="1698"/>
        <v>10.280112884088689</v>
      </c>
      <c r="X4884" s="11"/>
    </row>
    <row r="4885" spans="1:24" x14ac:dyDescent="0.35">
      <c r="A4885" s="527" t="str">
        <f>"SgK4821--"&amp;RIGHT(A4884,5)</f>
        <v>SgK4821--Apr18</v>
      </c>
      <c r="B4885" s="526" t="s">
        <v>5434</v>
      </c>
      <c r="C4885" s="526" t="str">
        <f t="shared" si="1691"/>
        <v>Inbetriebnahme 04/2018</v>
      </c>
      <c r="D4885" s="526" t="str">
        <f t="shared" si="1703"/>
        <v>10 - 40 kW</v>
      </c>
      <c r="E4885" s="526"/>
      <c r="F4885" s="538">
        <f t="shared" si="1692"/>
        <v>11.87</v>
      </c>
      <c r="G4885" s="538">
        <f t="shared" si="1693"/>
        <v>12.27</v>
      </c>
      <c r="H4885" s="537">
        <f t="shared" si="1694"/>
        <v>9.82</v>
      </c>
      <c r="I4885" s="537">
        <f t="shared" si="1695"/>
        <v>3.37</v>
      </c>
      <c r="J4885" s="549">
        <v>43131</v>
      </c>
      <c r="K4885" s="11"/>
      <c r="N4885" s="266" t="str">
        <f t="shared" si="1699"/>
        <v>Nov18</v>
      </c>
      <c r="O4885" s="461">
        <v>0.01</v>
      </c>
      <c r="P4885" s="11">
        <f t="shared" si="1700"/>
        <v>12.108301108354112</v>
      </c>
      <c r="Q4885" s="11">
        <f t="shared" si="1701"/>
        <v>11.784141866083214</v>
      </c>
      <c r="R4885" s="11">
        <f t="shared" si="1702"/>
        <v>10.573311755247802</v>
      </c>
      <c r="S4885" s="11"/>
      <c r="T4885" s="11"/>
      <c r="U4885" s="11">
        <f t="shared" si="1696"/>
        <v>11.708301108354112</v>
      </c>
      <c r="V4885" s="11">
        <f t="shared" si="1697"/>
        <v>11.384141866083214</v>
      </c>
      <c r="W4885" s="11">
        <f t="shared" si="1698"/>
        <v>10.173311755247802</v>
      </c>
      <c r="X4885" s="11"/>
    </row>
    <row r="4886" spans="1:24" x14ac:dyDescent="0.35">
      <c r="A4886" s="527" t="str">
        <f>"SgK4822--"&amp;RIGHT(A4885,5)</f>
        <v>SgK4822--Apr18</v>
      </c>
      <c r="B4886" s="526" t="s">
        <v>5434</v>
      </c>
      <c r="C4886" s="526" t="str">
        <f t="shared" si="1691"/>
        <v>Inbetriebnahme 04/2018</v>
      </c>
      <c r="D4886" s="526" t="str">
        <f t="shared" si="1703"/>
        <v>40 - 750 kW</v>
      </c>
      <c r="E4886" s="526"/>
      <c r="F4886" s="538">
        <f t="shared" si="1692"/>
        <v>10.61</v>
      </c>
      <c r="G4886" s="538">
        <f t="shared" si="1693"/>
        <v>11.01</v>
      </c>
      <c r="H4886" s="537">
        <f t="shared" si="1694"/>
        <v>8.81</v>
      </c>
      <c r="I4886" s="537">
        <f t="shared" si="1695"/>
        <v>2.11</v>
      </c>
      <c r="J4886" s="549">
        <v>43131</v>
      </c>
      <c r="K4886" s="11"/>
      <c r="N4886" s="266" t="str">
        <f t="shared" si="1699"/>
        <v>Dez18</v>
      </c>
      <c r="O4886" s="461">
        <v>0.01</v>
      </c>
      <c r="P4886" s="11">
        <f t="shared" si="1700"/>
        <v>11.987218097270571</v>
      </c>
      <c r="Q4886" s="11">
        <f t="shared" si="1701"/>
        <v>11.666300447422381</v>
      </c>
      <c r="R4886" s="11">
        <f t="shared" si="1702"/>
        <v>10.467578637695324</v>
      </c>
      <c r="S4886" s="11"/>
      <c r="T4886" s="11"/>
      <c r="U4886" s="11">
        <f t="shared" si="1696"/>
        <v>11.58721809727057</v>
      </c>
      <c r="V4886" s="11">
        <f t="shared" si="1697"/>
        <v>11.266300447422381</v>
      </c>
      <c r="W4886" s="11">
        <f t="shared" si="1698"/>
        <v>10.067578637695323</v>
      </c>
      <c r="X4886" s="11"/>
    </row>
    <row r="4887" spans="1:24" x14ac:dyDescent="0.35">
      <c r="A4887" s="527" t="s">
        <v>6281</v>
      </c>
      <c r="B4887" s="526" t="s">
        <v>5434</v>
      </c>
      <c r="C4887" s="526" t="str">
        <f t="shared" si="1691"/>
        <v>Inbetriebnahme 05/2018</v>
      </c>
      <c r="D4887" s="526" t="str">
        <f t="shared" si="1703"/>
        <v>0 - 10 kW</v>
      </c>
      <c r="E4887" s="526"/>
      <c r="F4887" s="538">
        <f t="shared" si="1692"/>
        <v>12.2</v>
      </c>
      <c r="G4887" s="538">
        <f t="shared" si="1693"/>
        <v>12.6</v>
      </c>
      <c r="H4887" s="537">
        <f t="shared" si="1694"/>
        <v>10.08</v>
      </c>
      <c r="I4887" s="537">
        <f t="shared" si="1695"/>
        <v>3.7</v>
      </c>
      <c r="J4887" s="549">
        <v>43222</v>
      </c>
      <c r="K4887" s="11"/>
      <c r="M4887" s="339"/>
      <c r="N4887" s="108"/>
      <c r="O4887" s="266"/>
      <c r="P4887" s="260"/>
      <c r="Q4887" s="261"/>
      <c r="R4887" s="261"/>
      <c r="S4887" s="261"/>
      <c r="T4887" s="261"/>
    </row>
    <row r="4888" spans="1:24" x14ac:dyDescent="0.35">
      <c r="A4888" s="527" t="str">
        <f>"SgK4821--"&amp;RIGHT(A4887,5)</f>
        <v>SgK4821--Mai18</v>
      </c>
      <c r="B4888" s="526" t="s">
        <v>5434</v>
      </c>
      <c r="C4888" s="526" t="str">
        <f t="shared" si="1691"/>
        <v>Inbetriebnahme 05/2018</v>
      </c>
      <c r="D4888" s="526" t="str">
        <f t="shared" si="1703"/>
        <v>10 - 40 kW</v>
      </c>
      <c r="E4888" s="526"/>
      <c r="F4888" s="538">
        <f t="shared" si="1692"/>
        <v>11.87</v>
      </c>
      <c r="G4888" s="538">
        <f t="shared" si="1693"/>
        <v>12.27</v>
      </c>
      <c r="H4888" s="537">
        <f t="shared" si="1694"/>
        <v>9.82</v>
      </c>
      <c r="I4888" s="537">
        <f t="shared" si="1695"/>
        <v>3.37</v>
      </c>
      <c r="J4888" s="549">
        <v>43222</v>
      </c>
      <c r="K4888" s="11"/>
      <c r="M4888" s="339"/>
      <c r="N4888" s="108"/>
      <c r="O4888" s="266"/>
      <c r="P4888" s="260"/>
      <c r="Q4888" s="261"/>
      <c r="R4888" s="261"/>
      <c r="S4888" s="261"/>
      <c r="T4888" s="261"/>
    </row>
    <row r="4889" spans="1:24" x14ac:dyDescent="0.35">
      <c r="A4889" s="527" t="str">
        <f>"SgK4822--"&amp;RIGHT(A4888,5)</f>
        <v>SgK4822--Mai18</v>
      </c>
      <c r="B4889" s="526" t="s">
        <v>5434</v>
      </c>
      <c r="C4889" s="526" t="str">
        <f t="shared" si="1691"/>
        <v>Inbetriebnahme 05/2018</v>
      </c>
      <c r="D4889" s="526" t="str">
        <f t="shared" si="1703"/>
        <v>40 - 750 kW</v>
      </c>
      <c r="E4889" s="526"/>
      <c r="F4889" s="538">
        <f t="shared" si="1692"/>
        <v>10.61</v>
      </c>
      <c r="G4889" s="538">
        <f t="shared" si="1693"/>
        <v>11.01</v>
      </c>
      <c r="H4889" s="537">
        <f t="shared" si="1694"/>
        <v>8.81</v>
      </c>
      <c r="I4889" s="537">
        <f t="shared" si="1695"/>
        <v>2.11</v>
      </c>
      <c r="J4889" s="549">
        <v>43222</v>
      </c>
      <c r="K4889" s="11"/>
      <c r="L4889" s="102"/>
      <c r="M4889" s="339"/>
      <c r="N4889" s="108"/>
      <c r="O4889" s="266"/>
      <c r="P4889" s="260"/>
      <c r="Q4889" s="261"/>
      <c r="R4889" s="261"/>
      <c r="S4889" s="261"/>
      <c r="T4889" s="261"/>
    </row>
    <row r="4890" spans="1:24" x14ac:dyDescent="0.35">
      <c r="A4890" s="527" t="s">
        <v>6282</v>
      </c>
      <c r="B4890" s="526" t="s">
        <v>5434</v>
      </c>
      <c r="C4890" s="526" t="str">
        <f t="shared" si="1691"/>
        <v>Inbetriebnahme 06/2018</v>
      </c>
      <c r="D4890" s="526" t="str">
        <f t="shared" si="1703"/>
        <v>0 - 10 kW</v>
      </c>
      <c r="E4890" s="526"/>
      <c r="F4890" s="538">
        <f t="shared" si="1692"/>
        <v>12.2</v>
      </c>
      <c r="G4890" s="538">
        <f t="shared" si="1693"/>
        <v>12.6</v>
      </c>
      <c r="H4890" s="537">
        <f t="shared" si="1694"/>
        <v>10.08</v>
      </c>
      <c r="I4890" s="537">
        <f t="shared" si="1695"/>
        <v>3.7</v>
      </c>
      <c r="J4890" s="549">
        <v>43222</v>
      </c>
      <c r="K4890" s="11"/>
      <c r="L4890" s="102"/>
      <c r="M4890" s="339"/>
      <c r="N4890" s="108"/>
      <c r="O4890" s="266"/>
      <c r="P4890" s="260"/>
      <c r="Q4890" s="261"/>
      <c r="R4890" s="261"/>
      <c r="S4890" s="261"/>
      <c r="T4890" s="261"/>
    </row>
    <row r="4891" spans="1:24" x14ac:dyDescent="0.35">
      <c r="A4891" s="527" t="str">
        <f>"SgK4821--"&amp;RIGHT(A4890,5)</f>
        <v>SgK4821--Jun18</v>
      </c>
      <c r="B4891" s="526" t="s">
        <v>5434</v>
      </c>
      <c r="C4891" s="526" t="str">
        <f t="shared" si="1691"/>
        <v>Inbetriebnahme 06/2018</v>
      </c>
      <c r="D4891" s="526" t="str">
        <f t="shared" si="1703"/>
        <v>10 - 40 kW</v>
      </c>
      <c r="E4891" s="526"/>
      <c r="F4891" s="538">
        <f t="shared" si="1692"/>
        <v>11.87</v>
      </c>
      <c r="G4891" s="538">
        <f t="shared" si="1693"/>
        <v>12.27</v>
      </c>
      <c r="H4891" s="537">
        <f t="shared" si="1694"/>
        <v>9.82</v>
      </c>
      <c r="I4891" s="537">
        <f t="shared" si="1695"/>
        <v>3.37</v>
      </c>
      <c r="J4891" s="549">
        <v>43222</v>
      </c>
      <c r="K4891" s="11"/>
      <c r="L4891" s="102"/>
      <c r="M4891" s="339"/>
      <c r="N4891" s="108"/>
      <c r="O4891" s="266"/>
      <c r="P4891" s="260"/>
      <c r="Q4891" s="261"/>
      <c r="R4891" s="261"/>
      <c r="S4891" s="261"/>
      <c r="T4891" s="261"/>
    </row>
    <row r="4892" spans="1:24" x14ac:dyDescent="0.35">
      <c r="A4892" s="527" t="str">
        <f>"SgK4822--"&amp;RIGHT(A4891,5)</f>
        <v>SgK4822--Jun18</v>
      </c>
      <c r="B4892" s="526" t="s">
        <v>5434</v>
      </c>
      <c r="C4892" s="526" t="str">
        <f t="shared" si="1691"/>
        <v>Inbetriebnahme 06/2018</v>
      </c>
      <c r="D4892" s="526" t="str">
        <f t="shared" si="1703"/>
        <v>40 - 750 kW</v>
      </c>
      <c r="E4892" s="526"/>
      <c r="F4892" s="538">
        <f t="shared" si="1692"/>
        <v>10.61</v>
      </c>
      <c r="G4892" s="538">
        <f t="shared" si="1693"/>
        <v>11.01</v>
      </c>
      <c r="H4892" s="537">
        <f t="shared" si="1694"/>
        <v>8.81</v>
      </c>
      <c r="I4892" s="537">
        <f t="shared" si="1695"/>
        <v>2.11</v>
      </c>
      <c r="J4892" s="549">
        <v>43222</v>
      </c>
      <c r="K4892" s="11"/>
      <c r="L4892" s="102"/>
      <c r="M4892" s="339"/>
      <c r="N4892" s="108"/>
      <c r="O4892" s="266"/>
      <c r="P4892" s="277"/>
      <c r="Q4892" s="261"/>
      <c r="R4892" s="261"/>
      <c r="S4892" s="261"/>
      <c r="T4892" s="261"/>
    </row>
    <row r="4893" spans="1:24" x14ac:dyDescent="0.35">
      <c r="A4893" s="527" t="s">
        <v>6283</v>
      </c>
      <c r="B4893" s="526" t="s">
        <v>5434</v>
      </c>
      <c r="C4893" s="526" t="str">
        <f t="shared" si="1691"/>
        <v>Inbetriebnahme 07/2018</v>
      </c>
      <c r="D4893" s="526" t="str">
        <f t="shared" si="1703"/>
        <v>0 - 10 kW</v>
      </c>
      <c r="E4893" s="526"/>
      <c r="F4893" s="538">
        <f t="shared" si="1692"/>
        <v>12.2</v>
      </c>
      <c r="G4893" s="538">
        <f t="shared" si="1693"/>
        <v>12.6</v>
      </c>
      <c r="H4893" s="537">
        <f t="shared" si="1694"/>
        <v>10.08</v>
      </c>
      <c r="I4893" s="537">
        <f t="shared" si="1695"/>
        <v>3.7</v>
      </c>
      <c r="J4893" s="549">
        <v>43222</v>
      </c>
      <c r="K4893" s="11"/>
      <c r="L4893" s="102"/>
      <c r="M4893" s="339"/>
      <c r="N4893" s="108"/>
      <c r="O4893" s="259"/>
    </row>
    <row r="4894" spans="1:24" x14ac:dyDescent="0.35">
      <c r="A4894" s="527" t="str">
        <f>"SgK4821--"&amp;RIGHT(A4893,5)</f>
        <v>SgK4821--Jul18</v>
      </c>
      <c r="B4894" s="526" t="s">
        <v>5434</v>
      </c>
      <c r="C4894" s="526" t="str">
        <f t="shared" si="1691"/>
        <v>Inbetriebnahme 07/2018</v>
      </c>
      <c r="D4894" s="526" t="str">
        <f t="shared" si="1703"/>
        <v>10 - 40 kW</v>
      </c>
      <c r="E4894" s="526"/>
      <c r="F4894" s="538">
        <f t="shared" si="1692"/>
        <v>11.87</v>
      </c>
      <c r="G4894" s="538">
        <f t="shared" si="1693"/>
        <v>12.27</v>
      </c>
      <c r="H4894" s="537">
        <f t="shared" si="1694"/>
        <v>9.82</v>
      </c>
      <c r="I4894" s="537">
        <f t="shared" si="1695"/>
        <v>3.37</v>
      </c>
      <c r="J4894" s="549">
        <v>43222</v>
      </c>
      <c r="K4894" s="11"/>
      <c r="L4894" s="102"/>
      <c r="M4894" s="339"/>
      <c r="O4894" s="259"/>
    </row>
    <row r="4895" spans="1:24" x14ac:dyDescent="0.35">
      <c r="A4895" s="527" t="str">
        <f>"SgK4822--"&amp;RIGHT(A4894,5)</f>
        <v>SgK4822--Jul18</v>
      </c>
      <c r="B4895" s="526" t="s">
        <v>5434</v>
      </c>
      <c r="C4895" s="526" t="str">
        <f t="shared" si="1691"/>
        <v>Inbetriebnahme 07/2018</v>
      </c>
      <c r="D4895" s="526" t="str">
        <f t="shared" si="1703"/>
        <v>40 - 750 kW</v>
      </c>
      <c r="E4895" s="526"/>
      <c r="F4895" s="538">
        <f t="shared" si="1692"/>
        <v>10.61</v>
      </c>
      <c r="G4895" s="538">
        <f t="shared" si="1693"/>
        <v>11.01</v>
      </c>
      <c r="H4895" s="537">
        <f t="shared" si="1694"/>
        <v>8.81</v>
      </c>
      <c r="I4895" s="537">
        <f t="shared" si="1695"/>
        <v>2.11</v>
      </c>
      <c r="J4895" s="549">
        <v>43222</v>
      </c>
      <c r="K4895" s="11"/>
      <c r="L4895" s="102"/>
      <c r="M4895" s="339"/>
      <c r="O4895" s="259"/>
    </row>
    <row r="4896" spans="1:24" x14ac:dyDescent="0.35">
      <c r="A4896" s="527" t="s">
        <v>6284</v>
      </c>
      <c r="B4896" s="526" t="s">
        <v>5434</v>
      </c>
      <c r="C4896" s="526" t="str">
        <f t="shared" si="1691"/>
        <v>Inbetriebnahme 08/2018</v>
      </c>
      <c r="D4896" s="526" t="str">
        <f t="shared" si="1703"/>
        <v>0 - 10 kW</v>
      </c>
      <c r="E4896" s="526"/>
      <c r="F4896" s="538">
        <f t="shared" si="1692"/>
        <v>12.08</v>
      </c>
      <c r="G4896" s="538">
        <f t="shared" si="1693"/>
        <v>12.48</v>
      </c>
      <c r="H4896" s="537">
        <f t="shared" si="1694"/>
        <v>9.98</v>
      </c>
      <c r="I4896" s="537">
        <f t="shared" si="1695"/>
        <v>3.58</v>
      </c>
      <c r="J4896" s="549">
        <v>43318</v>
      </c>
      <c r="K4896" s="11"/>
      <c r="L4896" s="102"/>
      <c r="M4896" s="339"/>
      <c r="O4896" s="259"/>
    </row>
    <row r="4897" spans="1:25" x14ac:dyDescent="0.35">
      <c r="A4897" s="527" t="str">
        <f>"SgK4821--"&amp;RIGHT(A4896,5)</f>
        <v>SgK4821--Aug18</v>
      </c>
      <c r="B4897" s="526" t="s">
        <v>5434</v>
      </c>
      <c r="C4897" s="526" t="str">
        <f t="shared" si="1691"/>
        <v>Inbetriebnahme 08/2018</v>
      </c>
      <c r="D4897" s="526" t="str">
        <f t="shared" si="1703"/>
        <v>10 - 40 kW</v>
      </c>
      <c r="E4897" s="526"/>
      <c r="F4897" s="538">
        <f t="shared" si="1692"/>
        <v>11.74</v>
      </c>
      <c r="G4897" s="538">
        <f t="shared" si="1693"/>
        <v>12.14</v>
      </c>
      <c r="H4897" s="537">
        <f t="shared" si="1694"/>
        <v>9.7100000000000009</v>
      </c>
      <c r="I4897" s="537">
        <f t="shared" si="1695"/>
        <v>3.24</v>
      </c>
      <c r="J4897" s="549">
        <v>43318</v>
      </c>
      <c r="K4897" s="11"/>
      <c r="L4897" s="102"/>
      <c r="M4897" s="339"/>
      <c r="O4897" s="259"/>
    </row>
    <row r="4898" spans="1:25" x14ac:dyDescent="0.35">
      <c r="A4898" s="527" t="str">
        <f>"SgK4822--"&amp;RIGHT(A4897,5)</f>
        <v>SgK4822--Aug18</v>
      </c>
      <c r="B4898" s="526" t="s">
        <v>5434</v>
      </c>
      <c r="C4898" s="526" t="str">
        <f t="shared" si="1691"/>
        <v>Inbetriebnahme 08/2018</v>
      </c>
      <c r="D4898" s="526" t="str">
        <f t="shared" si="1703"/>
        <v>40 - 750 kW</v>
      </c>
      <c r="E4898" s="526"/>
      <c r="F4898" s="538">
        <f t="shared" si="1692"/>
        <v>10.5</v>
      </c>
      <c r="G4898" s="538">
        <f t="shared" si="1693"/>
        <v>10.9</v>
      </c>
      <c r="H4898" s="537">
        <f t="shared" si="1694"/>
        <v>8.7200000000000006</v>
      </c>
      <c r="I4898" s="537">
        <f t="shared" si="1695"/>
        <v>2</v>
      </c>
      <c r="J4898" s="549">
        <v>43318</v>
      </c>
      <c r="M4898" s="339"/>
      <c r="O4898" s="259"/>
    </row>
    <row r="4899" spans="1:25" x14ac:dyDescent="0.35">
      <c r="A4899" s="527" t="s">
        <v>6285</v>
      </c>
      <c r="B4899" s="526" t="s">
        <v>5434</v>
      </c>
      <c r="C4899" s="526" t="str">
        <f t="shared" si="1691"/>
        <v>Inbetriebnahme 09/2018</v>
      </c>
      <c r="D4899" s="526" t="str">
        <f t="shared" si="1703"/>
        <v>0 - 10 kW</v>
      </c>
      <c r="E4899" s="526"/>
      <c r="F4899" s="538">
        <f t="shared" si="1692"/>
        <v>11.95</v>
      </c>
      <c r="G4899" s="538">
        <f t="shared" si="1693"/>
        <v>12.35</v>
      </c>
      <c r="H4899" s="537">
        <f t="shared" si="1694"/>
        <v>9.8800000000000008</v>
      </c>
      <c r="I4899" s="537">
        <f t="shared" si="1695"/>
        <v>3.45</v>
      </c>
      <c r="J4899" s="549">
        <v>43318</v>
      </c>
    </row>
    <row r="4900" spans="1:25" x14ac:dyDescent="0.35">
      <c r="A4900" s="527" t="str">
        <f>"SgK4821--"&amp;RIGHT(A4899,5)</f>
        <v>SgK4821--Sep18</v>
      </c>
      <c r="B4900" s="526" t="s">
        <v>5434</v>
      </c>
      <c r="C4900" s="526" t="str">
        <f t="shared" si="1691"/>
        <v>Inbetriebnahme 09/2018</v>
      </c>
      <c r="D4900" s="526" t="str">
        <f t="shared" si="1703"/>
        <v>10 - 40 kW</v>
      </c>
      <c r="E4900" s="526"/>
      <c r="F4900" s="538">
        <f t="shared" si="1692"/>
        <v>11.62</v>
      </c>
      <c r="G4900" s="538">
        <f t="shared" si="1693"/>
        <v>12.02</v>
      </c>
      <c r="H4900" s="537">
        <f t="shared" si="1694"/>
        <v>9.6199999999999992</v>
      </c>
      <c r="I4900" s="537">
        <f t="shared" si="1695"/>
        <v>3.12</v>
      </c>
      <c r="J4900" s="549">
        <v>43318</v>
      </c>
    </row>
    <row r="4901" spans="1:25" x14ac:dyDescent="0.35">
      <c r="A4901" s="527" t="str">
        <f>"SgK4822--"&amp;RIGHT(A4900,5)</f>
        <v>SgK4822--Sep18</v>
      </c>
      <c r="B4901" s="526" t="s">
        <v>5434</v>
      </c>
      <c r="C4901" s="526" t="str">
        <f t="shared" si="1691"/>
        <v>Inbetriebnahme 09/2018</v>
      </c>
      <c r="D4901" s="526" t="str">
        <f t="shared" si="1703"/>
        <v>40 - 750 kW</v>
      </c>
      <c r="E4901" s="526"/>
      <c r="F4901" s="538">
        <f t="shared" si="1692"/>
        <v>10.39</v>
      </c>
      <c r="G4901" s="538">
        <f t="shared" si="1693"/>
        <v>10.79</v>
      </c>
      <c r="H4901" s="537">
        <f t="shared" si="1694"/>
        <v>8.6300000000000008</v>
      </c>
      <c r="I4901" s="537">
        <f t="shared" si="1695"/>
        <v>1.89</v>
      </c>
      <c r="J4901" s="549">
        <v>43318</v>
      </c>
    </row>
    <row r="4902" spans="1:25" x14ac:dyDescent="0.35">
      <c r="A4902" s="527" t="s">
        <v>6286</v>
      </c>
      <c r="B4902" s="526" t="s">
        <v>5434</v>
      </c>
      <c r="C4902" s="526" t="str">
        <f t="shared" si="1691"/>
        <v>Inbetriebnahme 10/2018</v>
      </c>
      <c r="D4902" s="526" t="str">
        <f t="shared" si="1703"/>
        <v>0 - 10 kW</v>
      </c>
      <c r="E4902" s="526"/>
      <c r="F4902" s="538">
        <f t="shared" si="1692"/>
        <v>11.83</v>
      </c>
      <c r="G4902" s="538">
        <f t="shared" si="1693"/>
        <v>12.23</v>
      </c>
      <c r="H4902" s="537">
        <f t="shared" si="1694"/>
        <v>9.7799999999999994</v>
      </c>
      <c r="I4902" s="537">
        <f t="shared" si="1695"/>
        <v>3.33</v>
      </c>
      <c r="J4902" s="549">
        <v>43318</v>
      </c>
      <c r="O4902" s="322"/>
      <c r="P4902" s="261" t="str">
        <f>IF($O4902&lt;&gt;"",(1-$O4902)*P4886,"")</f>
        <v/>
      </c>
      <c r="Q4902" s="261" t="str">
        <f>IF($O4902&lt;&gt;"",(1-$O4902)*Q4886,"")</f>
        <v/>
      </c>
      <c r="R4902" s="261" t="str">
        <f>IF($O4902&lt;&gt;"",(1-$O4902)*R4886,"")</f>
        <v/>
      </c>
      <c r="S4902" s="261" t="str">
        <f>IF($O4902&lt;&gt;"",(1-$O4902)*S4886,"")</f>
        <v/>
      </c>
      <c r="U4902" s="261" t="str">
        <f>IF($O4902&lt;&gt;"",(1-$O4902)*U4886,"")</f>
        <v/>
      </c>
      <c r="V4902" s="261" t="str">
        <f>IF($O4902&lt;&gt;"",(1-$O4902)*V4886,"")</f>
        <v/>
      </c>
      <c r="W4902" s="261" t="str">
        <f>IF($O4902&lt;&gt;"",(1-$O4902)*W4886,"")</f>
        <v/>
      </c>
      <c r="X4902" s="261" t="str">
        <f>IF($O4902&lt;&gt;"",(1-$O4902)*X4886,"")</f>
        <v/>
      </c>
    </row>
    <row r="4903" spans="1:25" x14ac:dyDescent="0.35">
      <c r="A4903" s="527" t="str">
        <f>"SgK4821--"&amp;RIGHT(A4902,5)</f>
        <v>SgK4821--Okt18</v>
      </c>
      <c r="B4903" s="526" t="s">
        <v>5434</v>
      </c>
      <c r="C4903" s="526" t="str">
        <f t="shared" si="1691"/>
        <v>Inbetriebnahme 10/2018</v>
      </c>
      <c r="D4903" s="526" t="str">
        <f t="shared" si="1703"/>
        <v>10 - 40 kW</v>
      </c>
      <c r="E4903" s="526"/>
      <c r="F4903" s="538">
        <f t="shared" si="1692"/>
        <v>11.5</v>
      </c>
      <c r="G4903" s="538">
        <f t="shared" si="1693"/>
        <v>11.9</v>
      </c>
      <c r="H4903" s="537">
        <f t="shared" si="1694"/>
        <v>9.52</v>
      </c>
      <c r="I4903" s="537">
        <f t="shared" si="1695"/>
        <v>3</v>
      </c>
      <c r="J4903" s="549">
        <v>43318</v>
      </c>
      <c r="O4903" s="322"/>
      <c r="P4903" s="261" t="str">
        <f>IF($O4903&lt;&gt;"",(1-$O4903)*P4886,"")</f>
        <v/>
      </c>
      <c r="Q4903" s="261" t="str">
        <f>IF($O4903&lt;&gt;"",(1-$O4903)*Q4886,"")</f>
        <v/>
      </c>
      <c r="R4903" s="261" t="str">
        <f>IF($O4903&lt;&gt;"",(1-$O4903)*R4886,"")</f>
        <v/>
      </c>
      <c r="S4903" s="261" t="str">
        <f>IF($O4903&lt;&gt;"",(1-$O4903)*S4886,"")</f>
        <v/>
      </c>
      <c r="U4903" s="261" t="str">
        <f>IF($O4903&lt;&gt;"",(1-$O4903)*U4886,"")</f>
        <v/>
      </c>
      <c r="V4903" s="261" t="str">
        <f>IF($O4903&lt;&gt;"",(1-$O4903)*V4886,"")</f>
        <v/>
      </c>
      <c r="W4903" s="261" t="str">
        <f>IF($O4903&lt;&gt;"",(1-$O4903)*W4886,"")</f>
        <v/>
      </c>
      <c r="X4903" s="261" t="str">
        <f>IF($O4903&lt;&gt;"",(1-$O4903)*X4886,"")</f>
        <v/>
      </c>
    </row>
    <row r="4904" spans="1:25" x14ac:dyDescent="0.35">
      <c r="A4904" s="527" t="str">
        <f>"SgK4822--"&amp;RIGHT(A4903,5)</f>
        <v>SgK4822--Okt18</v>
      </c>
      <c r="B4904" s="526" t="s">
        <v>5434</v>
      </c>
      <c r="C4904" s="526" t="str">
        <f t="shared" si="1691"/>
        <v>Inbetriebnahme 10/2018</v>
      </c>
      <c r="D4904" s="526" t="str">
        <f t="shared" si="1703"/>
        <v>40 - 750 kW</v>
      </c>
      <c r="E4904" s="526"/>
      <c r="F4904" s="538">
        <f t="shared" si="1692"/>
        <v>10.28</v>
      </c>
      <c r="G4904" s="538">
        <f t="shared" si="1693"/>
        <v>10.68</v>
      </c>
      <c r="H4904" s="537">
        <f t="shared" si="1694"/>
        <v>8.5399999999999991</v>
      </c>
      <c r="I4904" s="537">
        <f t="shared" si="1695"/>
        <v>1.78</v>
      </c>
      <c r="J4904" s="549">
        <v>43318</v>
      </c>
      <c r="O4904" s="322"/>
      <c r="P4904" s="261" t="str">
        <f>IF($O4904&lt;&gt;"",(1-$O4904)*P4902,"")</f>
        <v/>
      </c>
      <c r="Q4904" s="261" t="str">
        <f>IF($O4904&lt;&gt;"",(1-$O4904)*Q4902,"")</f>
        <v/>
      </c>
      <c r="R4904" s="261" t="str">
        <f>IF($O4904&lt;&gt;"",(1-$O4904)*R4902,"")</f>
        <v/>
      </c>
      <c r="S4904" s="261" t="str">
        <f>IF($O4904&lt;&gt;"",(1-$O4904)*S4902,"")</f>
        <v/>
      </c>
      <c r="U4904" s="261" t="str">
        <f>IF($O4904&lt;&gt;"",(1-$O4904)*U4902,"")</f>
        <v/>
      </c>
      <c r="V4904" s="261" t="str">
        <f>IF($O4904&lt;&gt;"",(1-$O4904)*V4902,"")</f>
        <v/>
      </c>
      <c r="W4904" s="261" t="str">
        <f>IF($O4904&lt;&gt;"",(1-$O4904)*W4902,"")</f>
        <v/>
      </c>
      <c r="X4904" s="261" t="str">
        <f>IF($O4904&lt;&gt;"",(1-$O4904)*X4902,"")</f>
        <v/>
      </c>
    </row>
    <row r="4905" spans="1:25" x14ac:dyDescent="0.35">
      <c r="A4905" s="527" t="s">
        <v>6287</v>
      </c>
      <c r="B4905" s="526" t="s">
        <v>5434</v>
      </c>
      <c r="C4905" s="526" t="str">
        <f t="shared" si="1691"/>
        <v>Inbetriebnahme 11/2018</v>
      </c>
      <c r="D4905" s="526" t="str">
        <f t="shared" si="1703"/>
        <v>0 - 10 kW</v>
      </c>
      <c r="E4905" s="526"/>
      <c r="F4905" s="538">
        <f t="shared" si="1692"/>
        <v>11.71</v>
      </c>
      <c r="G4905" s="538">
        <f t="shared" si="1693"/>
        <v>12.11</v>
      </c>
      <c r="H4905" s="537">
        <f t="shared" si="1694"/>
        <v>9.69</v>
      </c>
      <c r="I4905" s="537">
        <f t="shared" si="1695"/>
        <v>3.21</v>
      </c>
      <c r="J4905" s="549">
        <v>43404</v>
      </c>
      <c r="O4905" s="322"/>
      <c r="P4905" s="261" t="str">
        <f>IF($O4905&lt;&gt;"",(1-$O4905)*#REF!,"")</f>
        <v/>
      </c>
      <c r="Q4905" s="261" t="str">
        <f>IF($O4905&lt;&gt;"",(1-$O4905)*#REF!,"")</f>
        <v/>
      </c>
      <c r="R4905" s="261" t="str">
        <f>IF($O4905&lt;&gt;"",(1-$O4905)*#REF!,"")</f>
        <v/>
      </c>
      <c r="S4905" s="261" t="str">
        <f>IF($O4905&lt;&gt;"",(1-$O4905)*#REF!,"")</f>
        <v/>
      </c>
      <c r="U4905" s="261" t="str">
        <f>IF($O4905&lt;&gt;"",(1-$O4905)*#REF!,"")</f>
        <v/>
      </c>
      <c r="V4905" s="261" t="str">
        <f>IF($O4905&lt;&gt;"",(1-$O4905)*#REF!,"")</f>
        <v/>
      </c>
      <c r="W4905" s="261" t="str">
        <f>IF($O4905&lt;&gt;"",(1-$O4905)*#REF!,"")</f>
        <v/>
      </c>
      <c r="X4905" s="261" t="str">
        <f>IF($O4905&lt;&gt;"",(1-$O4905)*#REF!,"")</f>
        <v/>
      </c>
    </row>
    <row r="4906" spans="1:25" x14ac:dyDescent="0.35">
      <c r="A4906" s="527" t="str">
        <f>"SgK4821--"&amp;RIGHT(A4905,5)</f>
        <v>SgK4821--Nov18</v>
      </c>
      <c r="B4906" s="526" t="s">
        <v>5434</v>
      </c>
      <c r="C4906" s="526" t="str">
        <f t="shared" si="1691"/>
        <v>Inbetriebnahme 11/2018</v>
      </c>
      <c r="D4906" s="526" t="str">
        <f t="shared" si="1703"/>
        <v>10 - 40 kW</v>
      </c>
      <c r="E4906" s="526"/>
      <c r="F4906" s="538">
        <f t="shared" si="1692"/>
        <v>11.38</v>
      </c>
      <c r="G4906" s="538">
        <f t="shared" si="1693"/>
        <v>11.78</v>
      </c>
      <c r="H4906" s="537">
        <f t="shared" si="1694"/>
        <v>9.42</v>
      </c>
      <c r="I4906" s="537">
        <f t="shared" si="1695"/>
        <v>2.88</v>
      </c>
      <c r="J4906" s="549">
        <v>43404</v>
      </c>
      <c r="O4906" s="322"/>
      <c r="P4906" s="261" t="str">
        <f>IF($O4906&lt;&gt;"",(1-$O4906)*#REF!,"")</f>
        <v/>
      </c>
      <c r="Q4906" s="261" t="str">
        <f>IF($O4906&lt;&gt;"",(1-$O4906)*#REF!,"")</f>
        <v/>
      </c>
      <c r="R4906" s="261" t="str">
        <f>IF($O4906&lt;&gt;"",(1-$O4906)*#REF!,"")</f>
        <v/>
      </c>
      <c r="S4906" s="261" t="str">
        <f>IF($O4906&lt;&gt;"",(1-$O4906)*#REF!,"")</f>
        <v/>
      </c>
      <c r="U4906" s="261" t="str">
        <f>IF($O4906&lt;&gt;"",(1-$O4906)*#REF!,"")</f>
        <v/>
      </c>
      <c r="V4906" s="261" t="str">
        <f>IF($O4906&lt;&gt;"",(1-$O4906)*#REF!,"")</f>
        <v/>
      </c>
      <c r="W4906" s="261" t="str">
        <f>IF($O4906&lt;&gt;"",(1-$O4906)*#REF!,"")</f>
        <v/>
      </c>
      <c r="X4906" s="261" t="str">
        <f>IF($O4906&lt;&gt;"",(1-$O4906)*#REF!,"")</f>
        <v/>
      </c>
    </row>
    <row r="4907" spans="1:25" x14ac:dyDescent="0.35">
      <c r="A4907" s="527" t="str">
        <f>"SgK4822--"&amp;RIGHT(A4906,5)</f>
        <v>SgK4822--Nov18</v>
      </c>
      <c r="B4907" s="526" t="s">
        <v>5434</v>
      </c>
      <c r="C4907" s="526" t="str">
        <f t="shared" si="1691"/>
        <v>Inbetriebnahme 11/2018</v>
      </c>
      <c r="D4907" s="526" t="str">
        <f t="shared" si="1703"/>
        <v>40 - 750 kW</v>
      </c>
      <c r="E4907" s="526"/>
      <c r="F4907" s="538">
        <f t="shared" si="1692"/>
        <v>10.17</v>
      </c>
      <c r="G4907" s="538">
        <f t="shared" si="1693"/>
        <v>10.57</v>
      </c>
      <c r="H4907" s="537">
        <f t="shared" si="1694"/>
        <v>8.4600000000000009</v>
      </c>
      <c r="I4907" s="537">
        <f t="shared" si="1695"/>
        <v>1.67</v>
      </c>
      <c r="J4907" s="549">
        <v>43404</v>
      </c>
      <c r="O4907" s="322"/>
      <c r="P4907" s="261" t="str">
        <f>IF($O4907&lt;&gt;"",(1-$O4907)*P4905,"")</f>
        <v/>
      </c>
      <c r="Q4907" s="261" t="str">
        <f>IF($O4907&lt;&gt;"",(1-$O4907)*Q4905,"")</f>
        <v/>
      </c>
      <c r="R4907" s="261" t="str">
        <f>IF($O4907&lt;&gt;"",(1-$O4907)*R4905,"")</f>
        <v/>
      </c>
      <c r="S4907" s="261" t="str">
        <f>IF($O4907&lt;&gt;"",(1-$O4907)*S4905,"")</f>
        <v/>
      </c>
      <c r="U4907" s="261" t="str">
        <f>IF($O4907&lt;&gt;"",(1-$O4907)*U4905,"")</f>
        <v/>
      </c>
      <c r="V4907" s="261" t="str">
        <f>IF($O4907&lt;&gt;"",(1-$O4907)*V4905,"")</f>
        <v/>
      </c>
      <c r="W4907" s="261" t="str">
        <f>IF($O4907&lt;&gt;"",(1-$O4907)*W4905,"")</f>
        <v/>
      </c>
      <c r="X4907" s="261" t="str">
        <f>IF($O4907&lt;&gt;"",(1-$O4907)*X4905,"")</f>
        <v/>
      </c>
    </row>
    <row r="4908" spans="1:25" x14ac:dyDescent="0.35">
      <c r="A4908" s="527" t="s">
        <v>6288</v>
      </c>
      <c r="B4908" s="526" t="s">
        <v>5434</v>
      </c>
      <c r="C4908" s="526" t="str">
        <f t="shared" si="1691"/>
        <v>Inbetriebnahme 12/2018</v>
      </c>
      <c r="D4908" s="526" t="str">
        <f t="shared" si="1703"/>
        <v>0 - 10 kW</v>
      </c>
      <c r="E4908" s="526"/>
      <c r="F4908" s="538">
        <f t="shared" si="1692"/>
        <v>11.59</v>
      </c>
      <c r="G4908" s="538">
        <f t="shared" si="1693"/>
        <v>11.99</v>
      </c>
      <c r="H4908" s="537">
        <f t="shared" si="1694"/>
        <v>9.59</v>
      </c>
      <c r="I4908" s="537">
        <f t="shared" si="1695"/>
        <v>3.09</v>
      </c>
      <c r="J4908" s="549">
        <v>43404</v>
      </c>
      <c r="O4908" s="322"/>
      <c r="P4908" s="261" t="str">
        <f>IF($O4908&lt;&gt;"",(1-$O4908)*#REF!,"")</f>
        <v/>
      </c>
      <c r="Q4908" s="261" t="str">
        <f>IF($O4908&lt;&gt;"",(1-$O4908)*#REF!,"")</f>
        <v/>
      </c>
      <c r="R4908" s="261" t="str">
        <f>IF($O4908&lt;&gt;"",(1-$O4908)*#REF!,"")</f>
        <v/>
      </c>
      <c r="S4908" s="261" t="str">
        <f>IF($O4908&lt;&gt;"",(1-$O4908)*#REF!,"")</f>
        <v/>
      </c>
      <c r="U4908" s="261" t="str">
        <f>IF($O4908&lt;&gt;"",(1-$O4908)*#REF!,"")</f>
        <v/>
      </c>
      <c r="V4908" s="261" t="str">
        <f>IF($O4908&lt;&gt;"",(1-$O4908)*#REF!,"")</f>
        <v/>
      </c>
      <c r="W4908" s="261" t="str">
        <f>IF($O4908&lt;&gt;"",(1-$O4908)*#REF!,"")</f>
        <v/>
      </c>
      <c r="X4908" s="261" t="str">
        <f>IF($O4908&lt;&gt;"",(1-$O4908)*#REF!,"")</f>
        <v/>
      </c>
    </row>
    <row r="4909" spans="1:25" x14ac:dyDescent="0.35">
      <c r="A4909" s="527" t="str">
        <f>"SgK4821--"&amp;RIGHT(A4908,5)</f>
        <v>SgK4821--Dez18</v>
      </c>
      <c r="B4909" s="526" t="s">
        <v>5434</v>
      </c>
      <c r="C4909" s="526" t="str">
        <f t="shared" si="1691"/>
        <v>Inbetriebnahme 12/2018</v>
      </c>
      <c r="D4909" s="526" t="str">
        <f t="shared" si="1703"/>
        <v>10 - 40 kW</v>
      </c>
      <c r="E4909" s="526"/>
      <c r="F4909" s="538">
        <f t="shared" si="1692"/>
        <v>11.27</v>
      </c>
      <c r="G4909" s="538">
        <f t="shared" si="1693"/>
        <v>11.67</v>
      </c>
      <c r="H4909" s="537">
        <f t="shared" si="1694"/>
        <v>9.34</v>
      </c>
      <c r="I4909" s="537">
        <f t="shared" si="1695"/>
        <v>2.77</v>
      </c>
      <c r="J4909" s="549">
        <v>43404</v>
      </c>
      <c r="O4909" s="322"/>
      <c r="P4909" s="261" t="str">
        <f>IF($O4909&lt;&gt;"",(1-$O4909)*#REF!,"")</f>
        <v/>
      </c>
      <c r="Q4909" s="261" t="str">
        <f>IF($O4909&lt;&gt;"",(1-$O4909)*#REF!,"")</f>
        <v/>
      </c>
      <c r="R4909" s="261" t="str">
        <f>IF($O4909&lt;&gt;"",(1-$O4909)*#REF!,"")</f>
        <v/>
      </c>
      <c r="S4909" s="261" t="str">
        <f>IF($O4909&lt;&gt;"",(1-$O4909)*#REF!,"")</f>
        <v/>
      </c>
      <c r="U4909" s="261" t="str">
        <f>IF($O4909&lt;&gt;"",(1-$O4909)*#REF!,"")</f>
        <v/>
      </c>
      <c r="V4909" s="261" t="str">
        <f>IF($O4909&lt;&gt;"",(1-$O4909)*#REF!,"")</f>
        <v/>
      </c>
      <c r="W4909" s="261" t="str">
        <f>IF($O4909&lt;&gt;"",(1-$O4909)*#REF!,"")</f>
        <v/>
      </c>
      <c r="X4909" s="261" t="str">
        <f>IF($O4909&lt;&gt;"",(1-$O4909)*#REF!,"")</f>
        <v/>
      </c>
    </row>
    <row r="4910" spans="1:25" x14ac:dyDescent="0.35">
      <c r="A4910" s="527" t="str">
        <f>"SgK4822--"&amp;RIGHT(A4909,5)</f>
        <v>SgK4822--Dez18</v>
      </c>
      <c r="B4910" s="526" t="s">
        <v>5434</v>
      </c>
      <c r="C4910" s="526" t="str">
        <f t="shared" si="1691"/>
        <v>Inbetriebnahme 12/2018</v>
      </c>
      <c r="D4910" s="526" t="str">
        <f t="shared" si="1703"/>
        <v>40 - 750 kW</v>
      </c>
      <c r="E4910" s="526"/>
      <c r="F4910" s="538">
        <f t="shared" si="1692"/>
        <v>10.07</v>
      </c>
      <c r="G4910" s="538">
        <f t="shared" si="1693"/>
        <v>10.47</v>
      </c>
      <c r="H4910" s="537">
        <f t="shared" si="1694"/>
        <v>8.3800000000000008</v>
      </c>
      <c r="I4910" s="537">
        <f t="shared" si="1695"/>
        <v>1.57</v>
      </c>
      <c r="J4910" s="549">
        <v>43404</v>
      </c>
      <c r="O4910" s="322"/>
      <c r="P4910" s="261" t="str">
        <f>IF($O4910&lt;&gt;"",(1-$O4910)*P4908,"")</f>
        <v/>
      </c>
      <c r="Q4910" s="261" t="str">
        <f>IF($O4910&lt;&gt;"",(1-$O4910)*Q4908,"")</f>
        <v/>
      </c>
      <c r="R4910" s="261" t="str">
        <f>IF($O4910&lt;&gt;"",(1-$O4910)*R4908,"")</f>
        <v/>
      </c>
      <c r="S4910" s="261" t="str">
        <f>IF($O4910&lt;&gt;"",(1-$O4910)*S4908,"")</f>
        <v/>
      </c>
      <c r="U4910" s="261" t="str">
        <f>IF($O4910&lt;&gt;"",(1-$O4910)*U4908,"")</f>
        <v/>
      </c>
      <c r="V4910" s="261" t="str">
        <f>IF($O4910&lt;&gt;"",(1-$O4910)*V4908,"")</f>
        <v/>
      </c>
      <c r="W4910" s="261" t="str">
        <f>IF($O4910&lt;&gt;"",(1-$O4910)*W4908,"")</f>
        <v/>
      </c>
      <c r="X4910" s="261" t="str">
        <f>IF($O4910&lt;&gt;"",(1-$O4910)*X4908,"")</f>
        <v/>
      </c>
    </row>
    <row r="4911" spans="1:25" x14ac:dyDescent="0.35">
      <c r="A4911" s="496"/>
      <c r="B4911" s="1"/>
      <c r="C4911" s="1"/>
      <c r="D4911" s="1"/>
      <c r="E4911" s="1"/>
      <c r="F4911" s="362"/>
      <c r="G4911" s="10"/>
      <c r="H4911" s="10"/>
      <c r="I4911" s="566"/>
      <c r="J4911" s="549" t="s">
        <v>4179</v>
      </c>
      <c r="K4911" s="11"/>
      <c r="N4911" s="109" t="s">
        <v>3901</v>
      </c>
      <c r="O4911" s="29" t="s">
        <v>5489</v>
      </c>
      <c r="P4911" t="s">
        <v>3918</v>
      </c>
      <c r="Q4911" t="s">
        <v>3919</v>
      </c>
      <c r="R4911" t="s">
        <v>7439</v>
      </c>
      <c r="T4911" t="s">
        <v>49</v>
      </c>
      <c r="U4911" t="s">
        <v>3918</v>
      </c>
      <c r="V4911" t="s">
        <v>3919</v>
      </c>
      <c r="W4911" t="s">
        <v>7439</v>
      </c>
      <c r="Y4911" t="s">
        <v>50</v>
      </c>
    </row>
    <row r="4912" spans="1:25" x14ac:dyDescent="0.35">
      <c r="A4912" s="527" t="s">
        <v>6443</v>
      </c>
      <c r="B4912" s="526" t="s">
        <v>5434</v>
      </c>
      <c r="C4912" s="526" t="str">
        <f t="shared" ref="C4912:C4947" si="1704">"Inbetriebnahme "&amp;TEXT(DATEVALUE(RIGHT(A4912,5)),"MM/JJJJ")</f>
        <v>Inbetriebnahme 01/2019</v>
      </c>
      <c r="D4912" s="526" t="str">
        <f>$Q$4687</f>
        <v>0 - 10 kW</v>
      </c>
      <c r="E4912" s="526"/>
      <c r="F4912" s="538">
        <f t="shared" ref="F4912:F4947" si="1705">IF(HLOOKUP($D4912,$U$4911:$W$4923,MATCH(RIGHT($A4912,5),$N$4911:$N$4923,0),FALSE)&lt;&gt;"",ROUND(HLOOKUP($D4912,$U$4911:$W$4923,MATCH(RIGHT($A4912,5),$N$4911:$N$4923,0),FALSE),2),"")</f>
        <v>11.47</v>
      </c>
      <c r="G4912" s="538">
        <f t="shared" ref="G4912:G4947" si="1706">IF(HLOOKUP($D4912,$P$4911:$W$4923,MATCH(RIGHT($A4912,5),$N$4911:$N$4923,0),FALSE)&lt;&gt;"",ROUND(HLOOKUP($D4912,$P$4911:$W$4923,MATCH(RIGHT($A4912,5),$N$4911:$N$4923,0),FALSE),2),"")</f>
        <v>11.87</v>
      </c>
      <c r="H4912" s="537">
        <f t="shared" ref="H4912:H4947" si="1707">IF(ISNUMBER($G4912),ROUND(0.8*$G4912,2),"")</f>
        <v>9.5</v>
      </c>
      <c r="I4912" s="537">
        <f>IF(ISNUMBER($G4912),IF(AND(MID($A4912,1,7)="SgK4822",VALUE(MID($A4912,13,2))&gt;=19),MAX(0,ROUND(G4912-8-0.4,2)),MAX(0,ROUND(G4912-8.5-0.4,2))),"")</f>
        <v>2.97</v>
      </c>
      <c r="J4912" s="549">
        <v>43419</v>
      </c>
      <c r="K4912" s="11"/>
      <c r="M4912" s="101">
        <v>2019</v>
      </c>
      <c r="N4912" s="522" t="s">
        <v>6442</v>
      </c>
      <c r="O4912" s="461">
        <v>0.01</v>
      </c>
      <c r="P4912" s="11">
        <f>IF($O4912&lt;&gt;"",P4886*(100%-$O4912),"")</f>
        <v>11.867345916297865</v>
      </c>
      <c r="Q4912" s="11">
        <f>IF($O4912&lt;&gt;"",Q4886*(100%-$O4912),"")</f>
        <v>11.549637442948157</v>
      </c>
      <c r="R4912" s="630">
        <f>IF($O4912&lt;&gt;"",R4886*(100%-$O4912),"")</f>
        <v>10.362902851318371</v>
      </c>
      <c r="S4912" s="11"/>
      <c r="T4912" s="11"/>
      <c r="U4912" s="11">
        <f t="shared" ref="U4912:U4923" si="1708">IF($O4912&lt;&gt;"",P4912-0.4,"")</f>
        <v>11.467345916297864</v>
      </c>
      <c r="V4912" s="11">
        <f t="shared" ref="V4912:V4923" si="1709">IF($O4912&lt;&gt;"",Q4912-0.4,"")</f>
        <v>11.149637442948157</v>
      </c>
      <c r="W4912" s="11">
        <f t="shared" ref="W4912:W4923" si="1710">IF($O4912&lt;&gt;"",R4912-0.4,"")</f>
        <v>9.9629028513183702</v>
      </c>
      <c r="X4912" s="11"/>
    </row>
    <row r="4913" spans="1:24" x14ac:dyDescent="0.35">
      <c r="A4913" s="527" t="str">
        <f>"SgK4821--"&amp;RIGHT(A4912,5)</f>
        <v>SgK4821--Jan19</v>
      </c>
      <c r="B4913" s="526" t="s">
        <v>5434</v>
      </c>
      <c r="C4913" s="526" t="str">
        <f t="shared" si="1704"/>
        <v>Inbetriebnahme 01/2019</v>
      </c>
      <c r="D4913" s="526" t="str">
        <f>$R$4687</f>
        <v>10 - 40 kW</v>
      </c>
      <c r="E4913" s="526"/>
      <c r="F4913" s="538">
        <f t="shared" si="1705"/>
        <v>11.15</v>
      </c>
      <c r="G4913" s="538">
        <f t="shared" si="1706"/>
        <v>11.55</v>
      </c>
      <c r="H4913" s="537">
        <f t="shared" si="1707"/>
        <v>9.24</v>
      </c>
      <c r="I4913" s="537">
        <f>IF(ISNUMBER($G4913),IF(AND(MID($A4913,1,7)="SgK4822",VALUE(MID($A4913,13,2))&gt;=19),MAX(0,ROUND(G4913-8-0.4,2)),MAX(0,ROUND(G4913-8.5-0.4,2))),"")</f>
        <v>2.65</v>
      </c>
      <c r="J4913" s="549">
        <v>43419</v>
      </c>
      <c r="K4913" s="11"/>
      <c r="M4913" s="339"/>
      <c r="N4913" s="266" t="str">
        <f t="shared" ref="N4913:N4923" si="1711">TEXT(DATE(YEAR(DATEVALUE(N4912)),MONTH(DATEVALUE(N4912))+1,1),"MMMJJ")</f>
        <v>Feb19</v>
      </c>
      <c r="O4913" s="461">
        <v>0.01</v>
      </c>
      <c r="P4913" s="11">
        <f t="shared" ref="P4913:P4923" si="1712">IF($O4913&lt;&gt;"",P4912*(100%-$O4913),"")</f>
        <v>11.748672457134886</v>
      </c>
      <c r="Q4913" s="11">
        <f t="shared" ref="Q4913:Q4923" si="1713">IF($O4913&lt;&gt;"",Q4912*(100%-$O4913),"")</f>
        <v>11.434141068518676</v>
      </c>
      <c r="R4913" s="629">
        <v>9.8699999999999992</v>
      </c>
      <c r="S4913" s="11"/>
      <c r="T4913" s="11"/>
      <c r="U4913" s="11">
        <f t="shared" si="1708"/>
        <v>11.348672457134885</v>
      </c>
      <c r="V4913" s="11">
        <f t="shared" si="1709"/>
        <v>11.034141068518675</v>
      </c>
      <c r="W4913" s="11">
        <f t="shared" si="1710"/>
        <v>9.4699999999999989</v>
      </c>
      <c r="X4913" s="11"/>
    </row>
    <row r="4914" spans="1:24" x14ac:dyDescent="0.35">
      <c r="A4914" s="527" t="str">
        <f>"SgK4822--"&amp;RIGHT(A4913,5)</f>
        <v>SgK4822--Jan19</v>
      </c>
      <c r="B4914" s="526" t="s">
        <v>5434</v>
      </c>
      <c r="C4914" s="526" t="str">
        <f t="shared" si="1704"/>
        <v>Inbetriebnahme 01/2019</v>
      </c>
      <c r="D4914" s="526" t="s">
        <v>7439</v>
      </c>
      <c r="E4914" s="526"/>
      <c r="F4914" s="538">
        <f t="shared" si="1705"/>
        <v>9.9600000000000009</v>
      </c>
      <c r="G4914" s="538">
        <f t="shared" si="1706"/>
        <v>10.36</v>
      </c>
      <c r="H4914" s="537">
        <f t="shared" si="1707"/>
        <v>8.2899999999999991</v>
      </c>
      <c r="I4914" s="537">
        <f>IF(ISNUMBER($G4914),ROUND(G4914-8.5-0.4,2),"")</f>
        <v>1.46</v>
      </c>
      <c r="J4914" s="549">
        <v>43496</v>
      </c>
      <c r="K4914" s="11"/>
      <c r="M4914" s="339"/>
      <c r="N4914" s="266" t="str">
        <f t="shared" si="1711"/>
        <v>Mrz19</v>
      </c>
      <c r="O4914" s="461">
        <v>0.01</v>
      </c>
      <c r="P4914" s="11">
        <f t="shared" si="1712"/>
        <v>11.631185732563537</v>
      </c>
      <c r="Q4914" s="11">
        <f t="shared" si="1713"/>
        <v>11.319799657833489</v>
      </c>
      <c r="R4914" s="629">
        <v>9.39</v>
      </c>
      <c r="S4914" s="11"/>
      <c r="T4914" s="11"/>
      <c r="U4914" s="11">
        <f t="shared" si="1708"/>
        <v>11.231185732563537</v>
      </c>
      <c r="V4914" s="11">
        <f t="shared" si="1709"/>
        <v>10.919799657833488</v>
      </c>
      <c r="W4914" s="11">
        <f t="shared" si="1710"/>
        <v>8.99</v>
      </c>
      <c r="X4914" s="11"/>
    </row>
    <row r="4915" spans="1:24" x14ac:dyDescent="0.35">
      <c r="A4915" s="527" t="s">
        <v>6444</v>
      </c>
      <c r="B4915" s="526" t="s">
        <v>5434</v>
      </c>
      <c r="C4915" s="526" t="str">
        <f t="shared" si="1704"/>
        <v>Inbetriebnahme 02/2019</v>
      </c>
      <c r="D4915" s="526" t="str">
        <f t="shared" ref="D4915:D4947" si="1714">D4912</f>
        <v>0 - 10 kW</v>
      </c>
      <c r="E4915" s="526"/>
      <c r="F4915" s="538">
        <f t="shared" si="1705"/>
        <v>11.35</v>
      </c>
      <c r="G4915" s="538">
        <f t="shared" si="1706"/>
        <v>11.75</v>
      </c>
      <c r="H4915" s="537">
        <f t="shared" si="1707"/>
        <v>9.4</v>
      </c>
      <c r="I4915" s="537">
        <f t="shared" ref="I4915:I4932" si="1715">IF(ISNUMBER($G4915),IF(AND(MID($A4915,1,7)="SgK4822",VALUE(MID($A4915,13,2))&gt;=19),MAX(0,ROUND(G4915-8-0.4,2)),MAX(0,ROUND(G4915-8.5-0.4,2))),"")</f>
        <v>2.85</v>
      </c>
      <c r="J4915" s="549">
        <v>43496</v>
      </c>
      <c r="K4915" s="11"/>
      <c r="M4915" s="339"/>
      <c r="N4915" s="266" t="str">
        <f t="shared" si="1711"/>
        <v>Apr19</v>
      </c>
      <c r="O4915" s="461">
        <v>0.01</v>
      </c>
      <c r="P4915" s="11">
        <f t="shared" si="1712"/>
        <v>11.514873875237901</v>
      </c>
      <c r="Q4915" s="11">
        <f t="shared" si="1713"/>
        <v>11.206601661255153</v>
      </c>
      <c r="R4915" s="629">
        <v>8.9</v>
      </c>
      <c r="S4915" s="11"/>
      <c r="T4915" s="11"/>
      <c r="U4915" s="11">
        <f t="shared" si="1708"/>
        <v>11.114873875237901</v>
      </c>
      <c r="V4915" s="11">
        <f t="shared" si="1709"/>
        <v>10.806601661255153</v>
      </c>
      <c r="W4915" s="11">
        <f t="shared" si="1710"/>
        <v>8.5</v>
      </c>
      <c r="X4915" s="11"/>
    </row>
    <row r="4916" spans="1:24" x14ac:dyDescent="0.35">
      <c r="A4916" s="527" t="str">
        <f>"SgK4821--"&amp;RIGHT(A4915,5)</f>
        <v>SgK4821--Feb19</v>
      </c>
      <c r="B4916" s="526" t="s">
        <v>5434</v>
      </c>
      <c r="C4916" s="526" t="str">
        <f t="shared" si="1704"/>
        <v>Inbetriebnahme 02/2019</v>
      </c>
      <c r="D4916" s="526" t="str">
        <f t="shared" si="1714"/>
        <v>10 - 40 kW</v>
      </c>
      <c r="E4916" s="526"/>
      <c r="F4916" s="538">
        <f t="shared" si="1705"/>
        <v>11.03</v>
      </c>
      <c r="G4916" s="538">
        <f t="shared" si="1706"/>
        <v>11.43</v>
      </c>
      <c r="H4916" s="537">
        <f t="shared" si="1707"/>
        <v>9.14</v>
      </c>
      <c r="I4916" s="537">
        <f t="shared" si="1715"/>
        <v>2.5299999999999998</v>
      </c>
      <c r="J4916" s="549">
        <v>43496</v>
      </c>
      <c r="K4916" s="11"/>
      <c r="M4916" s="339"/>
      <c r="N4916" s="266" t="str">
        <f t="shared" si="1711"/>
        <v>Mai19</v>
      </c>
      <c r="O4916" s="461">
        <v>1.4E-2</v>
      </c>
      <c r="P4916" s="11">
        <f t="shared" si="1712"/>
        <v>11.35366564098457</v>
      </c>
      <c r="Q4916" s="11">
        <f t="shared" si="1713"/>
        <v>11.049709237997581</v>
      </c>
      <c r="R4916" s="11">
        <f t="shared" ref="R4916:R4923" si="1716">IF($O4916&lt;&gt;"",R4915*(100%-$O4916),"")</f>
        <v>8.7753999999999994</v>
      </c>
      <c r="S4916" s="11"/>
      <c r="T4916" s="11"/>
      <c r="U4916" s="11">
        <f t="shared" si="1708"/>
        <v>10.953665640984569</v>
      </c>
      <c r="V4916" s="11">
        <f t="shared" si="1709"/>
        <v>10.64970923799758</v>
      </c>
      <c r="W4916" s="11">
        <f t="shared" si="1710"/>
        <v>8.3753999999999991</v>
      </c>
      <c r="X4916" s="11"/>
    </row>
    <row r="4917" spans="1:24" x14ac:dyDescent="0.35">
      <c r="A4917" s="527" t="str">
        <f>"SgK4822--"&amp;RIGHT(A4916,5)</f>
        <v>SgK4822--Feb19</v>
      </c>
      <c r="B4917" s="526" t="s">
        <v>5434</v>
      </c>
      <c r="C4917" s="526" t="str">
        <f t="shared" si="1704"/>
        <v>Inbetriebnahme 02/2019</v>
      </c>
      <c r="D4917" s="526" t="str">
        <f t="shared" si="1714"/>
        <v>40 - 750 kW</v>
      </c>
      <c r="E4917" s="526"/>
      <c r="F4917" s="538">
        <f t="shared" si="1705"/>
        <v>9.4700000000000006</v>
      </c>
      <c r="G4917" s="538">
        <f t="shared" si="1706"/>
        <v>9.8699999999999992</v>
      </c>
      <c r="H4917" s="537">
        <f t="shared" si="1707"/>
        <v>7.9</v>
      </c>
      <c r="I4917" s="537">
        <f t="shared" si="1715"/>
        <v>1.47</v>
      </c>
      <c r="J4917" s="549">
        <v>43496</v>
      </c>
      <c r="K4917" s="11"/>
      <c r="M4917" s="339"/>
      <c r="N4917" s="266" t="str">
        <f t="shared" si="1711"/>
        <v>Jun19</v>
      </c>
      <c r="O4917" s="461">
        <v>1.4E-2</v>
      </c>
      <c r="P4917" s="11">
        <f t="shared" si="1712"/>
        <v>11.194714322010785</v>
      </c>
      <c r="Q4917" s="11">
        <f t="shared" si="1713"/>
        <v>10.895013308665614</v>
      </c>
      <c r="R4917" s="11">
        <f t="shared" si="1716"/>
        <v>8.6525444</v>
      </c>
      <c r="S4917" s="11"/>
      <c r="T4917" s="11"/>
      <c r="U4917" s="11">
        <f t="shared" si="1708"/>
        <v>10.794714322010785</v>
      </c>
      <c r="V4917" s="11">
        <f t="shared" si="1709"/>
        <v>10.495013308665614</v>
      </c>
      <c r="W4917" s="11">
        <f t="shared" si="1710"/>
        <v>8.2525443999999997</v>
      </c>
      <c r="X4917" s="11"/>
    </row>
    <row r="4918" spans="1:24" x14ac:dyDescent="0.35">
      <c r="A4918" s="527" t="s">
        <v>6445</v>
      </c>
      <c r="B4918" s="526" t="s">
        <v>5434</v>
      </c>
      <c r="C4918" s="526" t="str">
        <f t="shared" si="1704"/>
        <v>Inbetriebnahme 03/2019</v>
      </c>
      <c r="D4918" s="526" t="str">
        <f t="shared" si="1714"/>
        <v>0 - 10 kW</v>
      </c>
      <c r="E4918" s="526"/>
      <c r="F4918" s="538">
        <f t="shared" si="1705"/>
        <v>11.23</v>
      </c>
      <c r="G4918" s="538">
        <f t="shared" si="1706"/>
        <v>11.63</v>
      </c>
      <c r="H4918" s="537">
        <f t="shared" si="1707"/>
        <v>9.3000000000000007</v>
      </c>
      <c r="I4918" s="537">
        <f t="shared" si="1715"/>
        <v>2.73</v>
      </c>
      <c r="J4918" s="549">
        <v>43496</v>
      </c>
      <c r="K4918" s="11"/>
      <c r="M4918" s="339"/>
      <c r="N4918" s="266" t="str">
        <f t="shared" si="1711"/>
        <v>Jul19</v>
      </c>
      <c r="O4918" s="461">
        <v>1.4E-2</v>
      </c>
      <c r="P4918" s="11">
        <f t="shared" si="1712"/>
        <v>11.037988321502635</v>
      </c>
      <c r="Q4918" s="11">
        <f t="shared" si="1713"/>
        <v>10.742483122344296</v>
      </c>
      <c r="R4918" s="11">
        <f t="shared" si="1716"/>
        <v>8.5314087783999994</v>
      </c>
      <c r="S4918" s="11"/>
      <c r="T4918" s="11"/>
      <c r="U4918" s="11">
        <f t="shared" si="1708"/>
        <v>10.637988321502634</v>
      </c>
      <c r="V4918" s="11">
        <f t="shared" si="1709"/>
        <v>10.342483122344296</v>
      </c>
      <c r="W4918" s="11">
        <f t="shared" si="1710"/>
        <v>8.1314087783999991</v>
      </c>
      <c r="X4918" s="11"/>
    </row>
    <row r="4919" spans="1:24" x14ac:dyDescent="0.35">
      <c r="A4919" s="527" t="str">
        <f>"SgK4821--"&amp;RIGHT(A4918,5)</f>
        <v>SgK4821--Mrz19</v>
      </c>
      <c r="B4919" s="526" t="s">
        <v>5434</v>
      </c>
      <c r="C4919" s="526" t="str">
        <f t="shared" si="1704"/>
        <v>Inbetriebnahme 03/2019</v>
      </c>
      <c r="D4919" s="526" t="str">
        <f t="shared" si="1714"/>
        <v>10 - 40 kW</v>
      </c>
      <c r="E4919" s="526"/>
      <c r="F4919" s="538">
        <f t="shared" si="1705"/>
        <v>10.92</v>
      </c>
      <c r="G4919" s="538">
        <f t="shared" si="1706"/>
        <v>11.32</v>
      </c>
      <c r="H4919" s="537">
        <f t="shared" si="1707"/>
        <v>9.06</v>
      </c>
      <c r="I4919" s="537">
        <f t="shared" si="1715"/>
        <v>2.42</v>
      </c>
      <c r="J4919" s="549">
        <v>43496</v>
      </c>
      <c r="K4919" s="11"/>
      <c r="M4919" s="101"/>
      <c r="N4919" s="266" t="str">
        <f t="shared" si="1711"/>
        <v>Aug19</v>
      </c>
      <c r="O4919" s="461">
        <v>1.4E-2</v>
      </c>
      <c r="P4919" s="11">
        <f t="shared" si="1712"/>
        <v>10.883456485001597</v>
      </c>
      <c r="Q4919" s="11">
        <f t="shared" si="1713"/>
        <v>10.592088358631477</v>
      </c>
      <c r="R4919" s="11">
        <f t="shared" si="1716"/>
        <v>8.4119690555024</v>
      </c>
      <c r="S4919" s="11"/>
      <c r="T4919" s="11"/>
      <c r="U4919" s="11">
        <f t="shared" si="1708"/>
        <v>10.483456485001597</v>
      </c>
      <c r="V4919" s="11">
        <f t="shared" si="1709"/>
        <v>10.192088358631477</v>
      </c>
      <c r="W4919" s="11">
        <f t="shared" si="1710"/>
        <v>8.0119690555023997</v>
      </c>
      <c r="X4919" s="11"/>
    </row>
    <row r="4920" spans="1:24" x14ac:dyDescent="0.35">
      <c r="A4920" s="527" t="str">
        <f>"SgK4822--"&amp;RIGHT(A4919,5)</f>
        <v>SgK4822--Mrz19</v>
      </c>
      <c r="B4920" s="526" t="s">
        <v>5434</v>
      </c>
      <c r="C4920" s="526" t="str">
        <f t="shared" si="1704"/>
        <v>Inbetriebnahme 03/2019</v>
      </c>
      <c r="D4920" s="526" t="str">
        <f t="shared" si="1714"/>
        <v>40 - 750 kW</v>
      </c>
      <c r="E4920" s="526"/>
      <c r="F4920" s="538">
        <f t="shared" si="1705"/>
        <v>8.99</v>
      </c>
      <c r="G4920" s="538">
        <f t="shared" si="1706"/>
        <v>9.39</v>
      </c>
      <c r="H4920" s="537">
        <f t="shared" si="1707"/>
        <v>7.51</v>
      </c>
      <c r="I4920" s="537">
        <f t="shared" si="1715"/>
        <v>0.99</v>
      </c>
      <c r="J4920" s="549">
        <v>43496</v>
      </c>
      <c r="K4920" s="11"/>
      <c r="N4920" s="266" t="str">
        <f t="shared" si="1711"/>
        <v>Sep19</v>
      </c>
      <c r="O4920" s="461">
        <v>1.4E-2</v>
      </c>
      <c r="P4920" s="11">
        <f t="shared" si="1712"/>
        <v>10.731088094211575</v>
      </c>
      <c r="Q4920" s="11">
        <f t="shared" si="1713"/>
        <v>10.443799121610637</v>
      </c>
      <c r="R4920" s="11">
        <f t="shared" si="1716"/>
        <v>8.294201488725367</v>
      </c>
      <c r="S4920" s="11"/>
      <c r="T4920" s="11"/>
      <c r="U4920" s="11">
        <f t="shared" si="1708"/>
        <v>10.331088094211575</v>
      </c>
      <c r="V4920" s="11">
        <f t="shared" si="1709"/>
        <v>10.043799121610636</v>
      </c>
      <c r="W4920" s="11">
        <f t="shared" si="1710"/>
        <v>7.8942014887253666</v>
      </c>
      <c r="X4920" s="11"/>
    </row>
    <row r="4921" spans="1:24" x14ac:dyDescent="0.35">
      <c r="A4921" s="527" t="s">
        <v>6446</v>
      </c>
      <c r="B4921" s="526" t="s">
        <v>5434</v>
      </c>
      <c r="C4921" s="526" t="str">
        <f t="shared" si="1704"/>
        <v>Inbetriebnahme 04/2019</v>
      </c>
      <c r="D4921" s="526" t="str">
        <f t="shared" si="1714"/>
        <v>0 - 10 kW</v>
      </c>
      <c r="E4921" s="526"/>
      <c r="F4921" s="538">
        <f t="shared" si="1705"/>
        <v>11.11</v>
      </c>
      <c r="G4921" s="538">
        <f t="shared" si="1706"/>
        <v>11.51</v>
      </c>
      <c r="H4921" s="537">
        <f t="shared" si="1707"/>
        <v>9.2100000000000009</v>
      </c>
      <c r="I4921" s="537">
        <f t="shared" si="1715"/>
        <v>2.61</v>
      </c>
      <c r="J4921" s="549">
        <v>43496</v>
      </c>
      <c r="K4921" s="11"/>
      <c r="N4921" s="266" t="str">
        <f t="shared" si="1711"/>
        <v>Okt19</v>
      </c>
      <c r="O4921" s="461">
        <v>1.4E-2</v>
      </c>
      <c r="P4921" s="11">
        <f t="shared" si="1712"/>
        <v>10.580852860892612</v>
      </c>
      <c r="Q4921" s="11">
        <f t="shared" si="1713"/>
        <v>10.297585933908087</v>
      </c>
      <c r="R4921" s="11">
        <f t="shared" si="1716"/>
        <v>8.1780826678832117</v>
      </c>
      <c r="S4921" s="11"/>
      <c r="T4921" s="11"/>
      <c r="U4921" s="11">
        <f t="shared" si="1708"/>
        <v>10.180852860892612</v>
      </c>
      <c r="V4921" s="11">
        <f t="shared" si="1709"/>
        <v>9.8975859339080863</v>
      </c>
      <c r="W4921" s="11">
        <f t="shared" si="1710"/>
        <v>7.7780826678832113</v>
      </c>
      <c r="X4921" s="11"/>
    </row>
    <row r="4922" spans="1:24" x14ac:dyDescent="0.35">
      <c r="A4922" s="527" t="str">
        <f>"SgK4821--"&amp;RIGHT(A4921,5)</f>
        <v>SgK4821--Apr19</v>
      </c>
      <c r="B4922" s="526" t="s">
        <v>5434</v>
      </c>
      <c r="C4922" s="526" t="str">
        <f t="shared" si="1704"/>
        <v>Inbetriebnahme 04/2019</v>
      </c>
      <c r="D4922" s="526" t="str">
        <f t="shared" si="1714"/>
        <v>10 - 40 kW</v>
      </c>
      <c r="E4922" s="526"/>
      <c r="F4922" s="538">
        <f t="shared" si="1705"/>
        <v>10.81</v>
      </c>
      <c r="G4922" s="538">
        <f t="shared" si="1706"/>
        <v>11.21</v>
      </c>
      <c r="H4922" s="537">
        <f t="shared" si="1707"/>
        <v>8.9700000000000006</v>
      </c>
      <c r="I4922" s="537">
        <f t="shared" si="1715"/>
        <v>2.31</v>
      </c>
      <c r="J4922" s="549">
        <v>43496</v>
      </c>
      <c r="K4922" s="11"/>
      <c r="N4922" s="266" t="str">
        <f t="shared" si="1711"/>
        <v>Nov19</v>
      </c>
      <c r="O4922" s="461">
        <v>0.01</v>
      </c>
      <c r="P4922" s="11">
        <f t="shared" si="1712"/>
        <v>10.475044332283685</v>
      </c>
      <c r="Q4922" s="11">
        <f t="shared" si="1713"/>
        <v>10.194610074569006</v>
      </c>
      <c r="R4922" s="11">
        <f t="shared" si="1716"/>
        <v>8.0963018412043795</v>
      </c>
      <c r="S4922" s="11"/>
      <c r="T4922" s="11"/>
      <c r="U4922" s="11">
        <f t="shared" si="1708"/>
        <v>10.075044332283685</v>
      </c>
      <c r="V4922" s="11">
        <f t="shared" si="1709"/>
        <v>9.7946100745690057</v>
      </c>
      <c r="W4922" s="11">
        <f t="shared" si="1710"/>
        <v>7.6963018412043791</v>
      </c>
      <c r="X4922" s="11"/>
    </row>
    <row r="4923" spans="1:24" x14ac:dyDescent="0.35">
      <c r="A4923" s="527" t="str">
        <f>"SgK4822--"&amp;RIGHT(A4922,5)</f>
        <v>SgK4822--Apr19</v>
      </c>
      <c r="B4923" s="526" t="s">
        <v>5434</v>
      </c>
      <c r="C4923" s="526" t="str">
        <f t="shared" si="1704"/>
        <v>Inbetriebnahme 04/2019</v>
      </c>
      <c r="D4923" s="526" t="str">
        <f t="shared" si="1714"/>
        <v>40 - 750 kW</v>
      </c>
      <c r="E4923" s="526"/>
      <c r="F4923" s="538">
        <f t="shared" si="1705"/>
        <v>8.5</v>
      </c>
      <c r="G4923" s="538">
        <f t="shared" si="1706"/>
        <v>8.9</v>
      </c>
      <c r="H4923" s="537">
        <f t="shared" si="1707"/>
        <v>7.12</v>
      </c>
      <c r="I4923" s="537">
        <f t="shared" si="1715"/>
        <v>0.5</v>
      </c>
      <c r="J4923" s="549">
        <v>43496</v>
      </c>
      <c r="K4923" s="11"/>
      <c r="N4923" s="266" t="str">
        <f t="shared" si="1711"/>
        <v>Dez19</v>
      </c>
      <c r="O4923" s="461">
        <v>0.01</v>
      </c>
      <c r="P4923" s="11">
        <f t="shared" si="1712"/>
        <v>10.370293888960848</v>
      </c>
      <c r="Q4923" s="11">
        <f t="shared" si="1713"/>
        <v>10.092663973823315</v>
      </c>
      <c r="R4923" s="11">
        <f t="shared" si="1716"/>
        <v>8.0153388227923354</v>
      </c>
      <c r="S4923" s="11"/>
      <c r="T4923" s="11"/>
      <c r="U4923" s="11">
        <f t="shared" si="1708"/>
        <v>9.9702938889608479</v>
      </c>
      <c r="V4923" s="11">
        <f t="shared" si="1709"/>
        <v>9.6926639738233149</v>
      </c>
      <c r="W4923" s="11">
        <f t="shared" si="1710"/>
        <v>7.6153388227923351</v>
      </c>
      <c r="X4923" s="11"/>
    </row>
    <row r="4924" spans="1:24" x14ac:dyDescent="0.35">
      <c r="A4924" s="527" t="s">
        <v>6447</v>
      </c>
      <c r="B4924" s="526" t="s">
        <v>5434</v>
      </c>
      <c r="C4924" s="526" t="str">
        <f t="shared" si="1704"/>
        <v>Inbetriebnahme 05/2019</v>
      </c>
      <c r="D4924" s="526" t="str">
        <f t="shared" si="1714"/>
        <v>0 - 10 kW</v>
      </c>
      <c r="E4924" s="526"/>
      <c r="F4924" s="538">
        <f t="shared" si="1705"/>
        <v>10.95</v>
      </c>
      <c r="G4924" s="538">
        <f t="shared" si="1706"/>
        <v>11.35</v>
      </c>
      <c r="H4924" s="537">
        <f t="shared" si="1707"/>
        <v>9.08</v>
      </c>
      <c r="I4924" s="537">
        <f t="shared" si="1715"/>
        <v>2.4500000000000002</v>
      </c>
      <c r="J4924" s="549">
        <v>43585</v>
      </c>
      <c r="K4924" s="11"/>
      <c r="M4924" s="339"/>
      <c r="N4924" s="108"/>
      <c r="O4924" s="266"/>
      <c r="P4924" s="260"/>
      <c r="Q4924" s="261"/>
      <c r="R4924" s="261"/>
      <c r="S4924" s="261"/>
      <c r="T4924" s="261"/>
    </row>
    <row r="4925" spans="1:24" x14ac:dyDescent="0.35">
      <c r="A4925" s="527" t="str">
        <f>"SgK4821--"&amp;RIGHT(A4924,5)</f>
        <v>SgK4821--Mai19</v>
      </c>
      <c r="B4925" s="526" t="s">
        <v>5434</v>
      </c>
      <c r="C4925" s="526" t="str">
        <f t="shared" si="1704"/>
        <v>Inbetriebnahme 05/2019</v>
      </c>
      <c r="D4925" s="526" t="str">
        <f t="shared" si="1714"/>
        <v>10 - 40 kW</v>
      </c>
      <c r="E4925" s="526"/>
      <c r="F4925" s="538">
        <f t="shared" si="1705"/>
        <v>10.65</v>
      </c>
      <c r="G4925" s="538">
        <f t="shared" si="1706"/>
        <v>11.05</v>
      </c>
      <c r="H4925" s="537">
        <f t="shared" si="1707"/>
        <v>8.84</v>
      </c>
      <c r="I4925" s="537">
        <f t="shared" si="1715"/>
        <v>2.15</v>
      </c>
      <c r="J4925" s="549">
        <v>43585</v>
      </c>
      <c r="K4925" s="11"/>
      <c r="M4925" s="339"/>
      <c r="N4925" s="108"/>
      <c r="O4925" s="266"/>
      <c r="P4925" s="260"/>
      <c r="Q4925" s="261"/>
      <c r="R4925" s="261"/>
      <c r="S4925" s="261"/>
      <c r="T4925" s="261"/>
    </row>
    <row r="4926" spans="1:24" x14ac:dyDescent="0.35">
      <c r="A4926" s="527" t="str">
        <f>"SgK4822--"&amp;RIGHT(A4925,5)</f>
        <v>SgK4822--Mai19</v>
      </c>
      <c r="B4926" s="526" t="s">
        <v>5434</v>
      </c>
      <c r="C4926" s="526" t="str">
        <f t="shared" si="1704"/>
        <v>Inbetriebnahme 05/2019</v>
      </c>
      <c r="D4926" s="526" t="str">
        <f t="shared" si="1714"/>
        <v>40 - 750 kW</v>
      </c>
      <c r="E4926" s="526"/>
      <c r="F4926" s="538">
        <f t="shared" si="1705"/>
        <v>8.3800000000000008</v>
      </c>
      <c r="G4926" s="538">
        <f t="shared" si="1706"/>
        <v>8.7799999999999994</v>
      </c>
      <c r="H4926" s="537">
        <f t="shared" si="1707"/>
        <v>7.02</v>
      </c>
      <c r="I4926" s="537">
        <f t="shared" si="1715"/>
        <v>0.38</v>
      </c>
      <c r="J4926" s="549">
        <v>43585</v>
      </c>
      <c r="K4926" s="11"/>
      <c r="L4926" s="102"/>
      <c r="M4926" s="339"/>
      <c r="N4926" s="108"/>
      <c r="O4926" s="266"/>
      <c r="P4926" s="260"/>
      <c r="Q4926" s="261"/>
      <c r="R4926" s="261"/>
      <c r="S4926" s="261"/>
      <c r="T4926" s="261"/>
    </row>
    <row r="4927" spans="1:24" x14ac:dyDescent="0.35">
      <c r="A4927" s="527" t="s">
        <v>6448</v>
      </c>
      <c r="B4927" s="526" t="s">
        <v>5434</v>
      </c>
      <c r="C4927" s="526" t="str">
        <f t="shared" si="1704"/>
        <v>Inbetriebnahme 06/2019</v>
      </c>
      <c r="D4927" s="526" t="str">
        <f t="shared" si="1714"/>
        <v>0 - 10 kW</v>
      </c>
      <c r="E4927" s="526"/>
      <c r="F4927" s="538">
        <f t="shared" si="1705"/>
        <v>10.79</v>
      </c>
      <c r="G4927" s="538">
        <f t="shared" si="1706"/>
        <v>11.19</v>
      </c>
      <c r="H4927" s="537">
        <f t="shared" si="1707"/>
        <v>8.9499999999999993</v>
      </c>
      <c r="I4927" s="537">
        <f t="shared" si="1715"/>
        <v>2.29</v>
      </c>
      <c r="J4927" s="549">
        <v>43585</v>
      </c>
      <c r="K4927" s="11"/>
      <c r="L4927" s="102"/>
      <c r="M4927" s="339"/>
      <c r="N4927" s="108"/>
      <c r="O4927" s="266"/>
      <c r="P4927" s="260"/>
      <c r="Q4927" s="261"/>
      <c r="R4927" s="261"/>
      <c r="S4927" s="261"/>
      <c r="T4927" s="261"/>
    </row>
    <row r="4928" spans="1:24" x14ac:dyDescent="0.35">
      <c r="A4928" s="527" t="str">
        <f>"SgK4821--"&amp;RIGHT(A4927,5)</f>
        <v>SgK4821--Jun19</v>
      </c>
      <c r="B4928" s="526" t="s">
        <v>5434</v>
      </c>
      <c r="C4928" s="526" t="str">
        <f t="shared" si="1704"/>
        <v>Inbetriebnahme 06/2019</v>
      </c>
      <c r="D4928" s="526" t="str">
        <f t="shared" si="1714"/>
        <v>10 - 40 kW</v>
      </c>
      <c r="E4928" s="526"/>
      <c r="F4928" s="538">
        <f t="shared" si="1705"/>
        <v>10.5</v>
      </c>
      <c r="G4928" s="538">
        <f t="shared" si="1706"/>
        <v>10.9</v>
      </c>
      <c r="H4928" s="537">
        <f t="shared" si="1707"/>
        <v>8.7200000000000006</v>
      </c>
      <c r="I4928" s="537">
        <f t="shared" si="1715"/>
        <v>2</v>
      </c>
      <c r="J4928" s="549">
        <v>43585</v>
      </c>
      <c r="K4928" s="11"/>
      <c r="L4928" s="102"/>
      <c r="M4928" s="339"/>
      <c r="N4928" s="108"/>
      <c r="O4928" s="266"/>
      <c r="P4928" s="260"/>
      <c r="Q4928" s="261"/>
      <c r="R4928" s="261"/>
      <c r="S4928" s="261"/>
      <c r="T4928" s="261"/>
    </row>
    <row r="4929" spans="1:24" x14ac:dyDescent="0.35">
      <c r="A4929" s="527" t="str">
        <f>"SgK4822--"&amp;RIGHT(A4928,5)</f>
        <v>SgK4822--Jun19</v>
      </c>
      <c r="B4929" s="526" t="s">
        <v>5434</v>
      </c>
      <c r="C4929" s="526" t="str">
        <f t="shared" si="1704"/>
        <v>Inbetriebnahme 06/2019</v>
      </c>
      <c r="D4929" s="526" t="str">
        <f t="shared" si="1714"/>
        <v>40 - 750 kW</v>
      </c>
      <c r="E4929" s="526"/>
      <c r="F4929" s="538">
        <f t="shared" si="1705"/>
        <v>8.25</v>
      </c>
      <c r="G4929" s="538">
        <f t="shared" si="1706"/>
        <v>8.65</v>
      </c>
      <c r="H4929" s="537">
        <f t="shared" si="1707"/>
        <v>6.92</v>
      </c>
      <c r="I4929" s="537">
        <f t="shared" si="1715"/>
        <v>0.25</v>
      </c>
      <c r="J4929" s="549">
        <v>43585</v>
      </c>
      <c r="K4929" s="11"/>
      <c r="L4929" s="102"/>
      <c r="M4929" s="339"/>
      <c r="N4929" s="108"/>
      <c r="O4929" s="266"/>
      <c r="P4929" s="277"/>
      <c r="Q4929" s="261"/>
      <c r="R4929" s="261"/>
      <c r="S4929" s="261"/>
      <c r="T4929" s="261"/>
    </row>
    <row r="4930" spans="1:24" x14ac:dyDescent="0.35">
      <c r="A4930" s="527" t="s">
        <v>6449</v>
      </c>
      <c r="B4930" s="526" t="s">
        <v>5434</v>
      </c>
      <c r="C4930" s="526" t="str">
        <f t="shared" si="1704"/>
        <v>Inbetriebnahme 07/2019</v>
      </c>
      <c r="D4930" s="526" t="str">
        <f t="shared" si="1714"/>
        <v>0 - 10 kW</v>
      </c>
      <c r="E4930" s="526"/>
      <c r="F4930" s="538">
        <f t="shared" si="1705"/>
        <v>10.64</v>
      </c>
      <c r="G4930" s="538">
        <f t="shared" si="1706"/>
        <v>11.04</v>
      </c>
      <c r="H4930" s="537">
        <f t="shared" si="1707"/>
        <v>8.83</v>
      </c>
      <c r="I4930" s="537">
        <f t="shared" si="1715"/>
        <v>2.14</v>
      </c>
      <c r="J4930" s="549">
        <v>43585</v>
      </c>
      <c r="K4930" s="11"/>
      <c r="L4930" s="102"/>
      <c r="M4930" s="339"/>
      <c r="N4930" s="108"/>
      <c r="O4930" s="259"/>
    </row>
    <row r="4931" spans="1:24" x14ac:dyDescent="0.35">
      <c r="A4931" s="527" t="str">
        <f>"SgK4821--"&amp;RIGHT(A4930,5)</f>
        <v>SgK4821--Jul19</v>
      </c>
      <c r="B4931" s="526" t="s">
        <v>5434</v>
      </c>
      <c r="C4931" s="526" t="str">
        <f t="shared" si="1704"/>
        <v>Inbetriebnahme 07/2019</v>
      </c>
      <c r="D4931" s="526" t="str">
        <f t="shared" si="1714"/>
        <v>10 - 40 kW</v>
      </c>
      <c r="E4931" s="526"/>
      <c r="F4931" s="538">
        <f t="shared" si="1705"/>
        <v>10.34</v>
      </c>
      <c r="G4931" s="538">
        <f t="shared" si="1706"/>
        <v>10.74</v>
      </c>
      <c r="H4931" s="537">
        <f t="shared" si="1707"/>
        <v>8.59</v>
      </c>
      <c r="I4931" s="537">
        <f t="shared" si="1715"/>
        <v>1.84</v>
      </c>
      <c r="J4931" s="549">
        <v>43585</v>
      </c>
      <c r="K4931" s="11"/>
      <c r="L4931" s="102"/>
      <c r="M4931" s="339"/>
      <c r="O4931" s="259"/>
    </row>
    <row r="4932" spans="1:24" x14ac:dyDescent="0.35">
      <c r="A4932" s="527" t="str">
        <f>"SgK4822--"&amp;RIGHT(A4931,5)</f>
        <v>SgK4822--Jul19</v>
      </c>
      <c r="B4932" s="526" t="s">
        <v>5434</v>
      </c>
      <c r="C4932" s="526" t="str">
        <f t="shared" si="1704"/>
        <v>Inbetriebnahme 07/2019</v>
      </c>
      <c r="D4932" s="526" t="str">
        <f t="shared" si="1714"/>
        <v>40 - 750 kW</v>
      </c>
      <c r="E4932" s="526"/>
      <c r="F4932" s="538">
        <f t="shared" si="1705"/>
        <v>8.1300000000000008</v>
      </c>
      <c r="G4932" s="538">
        <f t="shared" si="1706"/>
        <v>8.5299999999999994</v>
      </c>
      <c r="H4932" s="537">
        <f t="shared" si="1707"/>
        <v>6.82</v>
      </c>
      <c r="I4932" s="537">
        <f t="shared" si="1715"/>
        <v>0.13</v>
      </c>
      <c r="J4932" s="549">
        <v>43585</v>
      </c>
      <c r="K4932" s="11"/>
      <c r="L4932" s="102"/>
      <c r="M4932" s="339"/>
      <c r="O4932" s="259"/>
    </row>
    <row r="4933" spans="1:24" x14ac:dyDescent="0.35">
      <c r="A4933" s="527" t="s">
        <v>6450</v>
      </c>
      <c r="B4933" s="526" t="s">
        <v>5434</v>
      </c>
      <c r="C4933" s="526" t="str">
        <f t="shared" si="1704"/>
        <v>Inbetriebnahme 08/2019</v>
      </c>
      <c r="D4933" s="526" t="str">
        <f t="shared" si="1714"/>
        <v>0 - 10 kW</v>
      </c>
      <c r="E4933" s="526"/>
      <c r="F4933" s="538">
        <f t="shared" si="1705"/>
        <v>10.48</v>
      </c>
      <c r="G4933" s="538">
        <f t="shared" si="1706"/>
        <v>10.88</v>
      </c>
      <c r="H4933" s="537">
        <f t="shared" si="1707"/>
        <v>8.6999999999999993</v>
      </c>
      <c r="I4933" s="537">
        <f t="shared" ref="I4933:I4947" si="1717">IF(ISNUMBER($G4933),IF(AND(MID($A4933,1,7)="SgK4822",VALUE(MID($A4933,13,2))&gt;=19),ROUND(G4933-8-0.4,2),ROUND(G4933-8.5-0.4,2)),"")</f>
        <v>1.98</v>
      </c>
      <c r="J4933" s="549">
        <v>43677</v>
      </c>
      <c r="K4933" s="11"/>
      <c r="L4933" s="102"/>
      <c r="M4933" s="339"/>
      <c r="O4933" s="259"/>
    </row>
    <row r="4934" spans="1:24" x14ac:dyDescent="0.35">
      <c r="A4934" s="527" t="str">
        <f>"SgK4821--"&amp;RIGHT(A4933,5)</f>
        <v>SgK4821--Aug19</v>
      </c>
      <c r="B4934" s="526" t="s">
        <v>5434</v>
      </c>
      <c r="C4934" s="526" t="str">
        <f t="shared" si="1704"/>
        <v>Inbetriebnahme 08/2019</v>
      </c>
      <c r="D4934" s="526" t="str">
        <f t="shared" si="1714"/>
        <v>10 - 40 kW</v>
      </c>
      <c r="E4934" s="526"/>
      <c r="F4934" s="538">
        <f t="shared" si="1705"/>
        <v>10.19</v>
      </c>
      <c r="G4934" s="538">
        <f t="shared" si="1706"/>
        <v>10.59</v>
      </c>
      <c r="H4934" s="537">
        <f t="shared" si="1707"/>
        <v>8.4700000000000006</v>
      </c>
      <c r="I4934" s="537">
        <f t="shared" si="1717"/>
        <v>1.69</v>
      </c>
      <c r="J4934" s="549">
        <v>43677</v>
      </c>
      <c r="K4934" s="11"/>
      <c r="L4934" s="102"/>
      <c r="M4934" s="339"/>
      <c r="O4934" s="259"/>
    </row>
    <row r="4935" spans="1:24" x14ac:dyDescent="0.35">
      <c r="A4935" s="527" t="str">
        <f>"SgK4822--"&amp;RIGHT(A4934,5)</f>
        <v>SgK4822--Aug19</v>
      </c>
      <c r="B4935" s="526" t="s">
        <v>5434</v>
      </c>
      <c r="C4935" s="526" t="str">
        <f t="shared" si="1704"/>
        <v>Inbetriebnahme 08/2019</v>
      </c>
      <c r="D4935" s="526" t="str">
        <f t="shared" si="1714"/>
        <v>40 - 750 kW</v>
      </c>
      <c r="E4935" s="526"/>
      <c r="F4935" s="538">
        <f t="shared" si="1705"/>
        <v>8.01</v>
      </c>
      <c r="G4935" s="538">
        <f t="shared" si="1706"/>
        <v>8.41</v>
      </c>
      <c r="H4935" s="537">
        <f t="shared" si="1707"/>
        <v>6.73</v>
      </c>
      <c r="I4935" s="537">
        <f t="shared" si="1717"/>
        <v>0.01</v>
      </c>
      <c r="J4935" s="549">
        <v>43677</v>
      </c>
      <c r="M4935" s="339"/>
      <c r="O4935" s="259"/>
    </row>
    <row r="4936" spans="1:24" x14ac:dyDescent="0.35">
      <c r="A4936" s="527" t="s">
        <v>6451</v>
      </c>
      <c r="B4936" s="526" t="s">
        <v>5434</v>
      </c>
      <c r="C4936" s="526" t="str">
        <f t="shared" si="1704"/>
        <v>Inbetriebnahme 09/2019</v>
      </c>
      <c r="D4936" s="526" t="str">
        <f t="shared" si="1714"/>
        <v>0 - 10 kW</v>
      </c>
      <c r="E4936" s="526"/>
      <c r="F4936" s="538">
        <f t="shared" si="1705"/>
        <v>10.33</v>
      </c>
      <c r="G4936" s="538">
        <f t="shared" si="1706"/>
        <v>10.73</v>
      </c>
      <c r="H4936" s="537">
        <f t="shared" si="1707"/>
        <v>8.58</v>
      </c>
      <c r="I4936" s="537">
        <f t="shared" si="1717"/>
        <v>1.83</v>
      </c>
      <c r="J4936" s="549">
        <v>43677</v>
      </c>
    </row>
    <row r="4937" spans="1:24" x14ac:dyDescent="0.35">
      <c r="A4937" s="527" t="str">
        <f>"SgK4821--"&amp;RIGHT(A4936,5)</f>
        <v>SgK4821--Sep19</v>
      </c>
      <c r="B4937" s="526" t="s">
        <v>5434</v>
      </c>
      <c r="C4937" s="526" t="str">
        <f t="shared" si="1704"/>
        <v>Inbetriebnahme 09/2019</v>
      </c>
      <c r="D4937" s="526" t="str">
        <f t="shared" si="1714"/>
        <v>10 - 40 kW</v>
      </c>
      <c r="E4937" s="526"/>
      <c r="F4937" s="538">
        <f t="shared" si="1705"/>
        <v>10.039999999999999</v>
      </c>
      <c r="G4937" s="538">
        <f t="shared" si="1706"/>
        <v>10.44</v>
      </c>
      <c r="H4937" s="537">
        <f t="shared" si="1707"/>
        <v>8.35</v>
      </c>
      <c r="I4937" s="537">
        <f t="shared" si="1717"/>
        <v>1.54</v>
      </c>
      <c r="J4937" s="549">
        <v>43677</v>
      </c>
    </row>
    <row r="4938" spans="1:24" x14ac:dyDescent="0.35">
      <c r="A4938" s="527" t="str">
        <f>"SgK4822--"&amp;RIGHT(A4937,5)</f>
        <v>SgK4822--Sep19</v>
      </c>
      <c r="B4938" s="526" t="s">
        <v>5434</v>
      </c>
      <c r="C4938" s="526" t="str">
        <f t="shared" si="1704"/>
        <v>Inbetriebnahme 09/2019</v>
      </c>
      <c r="D4938" s="526" t="str">
        <f t="shared" si="1714"/>
        <v>40 - 750 kW</v>
      </c>
      <c r="E4938" s="526"/>
      <c r="F4938" s="538">
        <f t="shared" si="1705"/>
        <v>7.89</v>
      </c>
      <c r="G4938" s="538">
        <f t="shared" si="1706"/>
        <v>8.2899999999999991</v>
      </c>
      <c r="H4938" s="537">
        <f t="shared" si="1707"/>
        <v>6.63</v>
      </c>
      <c r="I4938" s="537">
        <f t="shared" si="1717"/>
        <v>-0.11</v>
      </c>
      <c r="J4938" s="549">
        <v>43677</v>
      </c>
    </row>
    <row r="4939" spans="1:24" x14ac:dyDescent="0.35">
      <c r="A4939" s="527" t="s">
        <v>6452</v>
      </c>
      <c r="B4939" s="526" t="s">
        <v>5434</v>
      </c>
      <c r="C4939" s="526" t="str">
        <f t="shared" si="1704"/>
        <v>Inbetriebnahme 10/2019</v>
      </c>
      <c r="D4939" s="526" t="str">
        <f t="shared" si="1714"/>
        <v>0 - 10 kW</v>
      </c>
      <c r="E4939" s="526"/>
      <c r="F4939" s="538">
        <f t="shared" si="1705"/>
        <v>10.18</v>
      </c>
      <c r="G4939" s="538">
        <f t="shared" si="1706"/>
        <v>10.58</v>
      </c>
      <c r="H4939" s="537">
        <f t="shared" si="1707"/>
        <v>8.4600000000000009</v>
      </c>
      <c r="I4939" s="537">
        <f t="shared" si="1717"/>
        <v>1.68</v>
      </c>
      <c r="J4939" s="549">
        <v>43677</v>
      </c>
      <c r="O4939" s="322"/>
      <c r="P4939" s="261" t="str">
        <f>IF($O4939&lt;&gt;"",(1-$O4939)*P4923,"")</f>
        <v/>
      </c>
      <c r="Q4939" s="261" t="str">
        <f>IF($O4939&lt;&gt;"",(1-$O4939)*Q4923,"")</f>
        <v/>
      </c>
      <c r="R4939" s="261" t="str">
        <f>IF($O4939&lt;&gt;"",(1-$O4939)*R4923,"")</f>
        <v/>
      </c>
      <c r="S4939" s="261" t="str">
        <f>IF($O4939&lt;&gt;"",(1-$O4939)*S4923,"")</f>
        <v/>
      </c>
      <c r="U4939" s="261" t="str">
        <f>IF($O4939&lt;&gt;"",(1-$O4939)*U4923,"")</f>
        <v/>
      </c>
      <c r="V4939" s="261" t="str">
        <f>IF($O4939&lt;&gt;"",(1-$O4939)*V4923,"")</f>
        <v/>
      </c>
      <c r="W4939" s="261" t="str">
        <f>IF($O4939&lt;&gt;"",(1-$O4939)*W4923,"")</f>
        <v/>
      </c>
      <c r="X4939" s="261" t="str">
        <f>IF($O4939&lt;&gt;"",(1-$O4939)*X4923,"")</f>
        <v/>
      </c>
    </row>
    <row r="4940" spans="1:24" x14ac:dyDescent="0.35">
      <c r="A4940" s="527" t="str">
        <f>"SgK4821--"&amp;RIGHT(A4939,5)</f>
        <v>SgK4821--Okt19</v>
      </c>
      <c r="B4940" s="526" t="s">
        <v>5434</v>
      </c>
      <c r="C4940" s="526" t="str">
        <f t="shared" si="1704"/>
        <v>Inbetriebnahme 10/2019</v>
      </c>
      <c r="D4940" s="526" t="str">
        <f t="shared" si="1714"/>
        <v>10 - 40 kW</v>
      </c>
      <c r="E4940" s="526"/>
      <c r="F4940" s="538">
        <f t="shared" si="1705"/>
        <v>9.9</v>
      </c>
      <c r="G4940" s="538">
        <f t="shared" si="1706"/>
        <v>10.3</v>
      </c>
      <c r="H4940" s="537">
        <f t="shared" si="1707"/>
        <v>8.24</v>
      </c>
      <c r="I4940" s="537">
        <f t="shared" si="1717"/>
        <v>1.4</v>
      </c>
      <c r="J4940" s="549">
        <v>43677</v>
      </c>
      <c r="O4940" s="322"/>
      <c r="P4940" s="261" t="str">
        <f>IF($O4940&lt;&gt;"",(1-$O4940)*P4923,"")</f>
        <v/>
      </c>
      <c r="Q4940" s="261" t="str">
        <f>IF($O4940&lt;&gt;"",(1-$O4940)*Q4923,"")</f>
        <v/>
      </c>
      <c r="R4940" s="261" t="str">
        <f>IF($O4940&lt;&gt;"",(1-$O4940)*R4923,"")</f>
        <v/>
      </c>
      <c r="S4940" s="261" t="str">
        <f>IF($O4940&lt;&gt;"",(1-$O4940)*S4923,"")</f>
        <v/>
      </c>
      <c r="U4940" s="261" t="str">
        <f>IF($O4940&lt;&gt;"",(1-$O4940)*U4923,"")</f>
        <v/>
      </c>
      <c r="V4940" s="261" t="str">
        <f>IF($O4940&lt;&gt;"",(1-$O4940)*V4923,"")</f>
        <v/>
      </c>
      <c r="W4940" s="261" t="str">
        <f>IF($O4940&lt;&gt;"",(1-$O4940)*W4923,"")</f>
        <v/>
      </c>
      <c r="X4940" s="261" t="str">
        <f>IF($O4940&lt;&gt;"",(1-$O4940)*X4923,"")</f>
        <v/>
      </c>
    </row>
    <row r="4941" spans="1:24" x14ac:dyDescent="0.35">
      <c r="A4941" s="527" t="str">
        <f>"SgK4822--"&amp;RIGHT(A4940,5)</f>
        <v>SgK4822--Okt19</v>
      </c>
      <c r="B4941" s="526" t="s">
        <v>5434</v>
      </c>
      <c r="C4941" s="526" t="str">
        <f t="shared" si="1704"/>
        <v>Inbetriebnahme 10/2019</v>
      </c>
      <c r="D4941" s="526" t="str">
        <f t="shared" si="1714"/>
        <v>40 - 750 kW</v>
      </c>
      <c r="E4941" s="526"/>
      <c r="F4941" s="538">
        <f t="shared" si="1705"/>
        <v>7.78</v>
      </c>
      <c r="G4941" s="538">
        <f t="shared" si="1706"/>
        <v>8.18</v>
      </c>
      <c r="H4941" s="537">
        <f t="shared" si="1707"/>
        <v>6.54</v>
      </c>
      <c r="I4941" s="537">
        <f t="shared" si="1717"/>
        <v>-0.22</v>
      </c>
      <c r="J4941" s="549">
        <v>43677</v>
      </c>
      <c r="O4941" s="322"/>
      <c r="P4941" s="261" t="str">
        <f>IF($O4941&lt;&gt;"",(1-$O4941)*P4939,"")</f>
        <v/>
      </c>
      <c r="Q4941" s="261" t="str">
        <f>IF($O4941&lt;&gt;"",(1-$O4941)*Q4939,"")</f>
        <v/>
      </c>
      <c r="R4941" s="261" t="str">
        <f>IF($O4941&lt;&gt;"",(1-$O4941)*R4939,"")</f>
        <v/>
      </c>
      <c r="S4941" s="261" t="str">
        <f>IF($O4941&lt;&gt;"",(1-$O4941)*S4939,"")</f>
        <v/>
      </c>
      <c r="U4941" s="261" t="str">
        <f>IF($O4941&lt;&gt;"",(1-$O4941)*U4939,"")</f>
        <v/>
      </c>
      <c r="V4941" s="261" t="str">
        <f>IF($O4941&lt;&gt;"",(1-$O4941)*V4939,"")</f>
        <v/>
      </c>
      <c r="W4941" s="261" t="str">
        <f>IF($O4941&lt;&gt;"",(1-$O4941)*W4939,"")</f>
        <v/>
      </c>
      <c r="X4941" s="261" t="str">
        <f>IF($O4941&lt;&gt;"",(1-$O4941)*X4939,"")</f>
        <v/>
      </c>
    </row>
    <row r="4942" spans="1:24" x14ac:dyDescent="0.35">
      <c r="A4942" s="527" t="s">
        <v>6453</v>
      </c>
      <c r="B4942" s="526" t="s">
        <v>5434</v>
      </c>
      <c r="C4942" s="526" t="str">
        <f t="shared" si="1704"/>
        <v>Inbetriebnahme 11/2019</v>
      </c>
      <c r="D4942" s="526" t="str">
        <f t="shared" si="1714"/>
        <v>0 - 10 kW</v>
      </c>
      <c r="E4942" s="526"/>
      <c r="F4942" s="538">
        <f t="shared" si="1705"/>
        <v>10.08</v>
      </c>
      <c r="G4942" s="538">
        <f t="shared" si="1706"/>
        <v>10.48</v>
      </c>
      <c r="H4942" s="537">
        <f t="shared" si="1707"/>
        <v>8.3800000000000008</v>
      </c>
      <c r="I4942" s="537">
        <f t="shared" si="1717"/>
        <v>1.58</v>
      </c>
      <c r="J4942" s="549">
        <v>43769</v>
      </c>
      <c r="O4942" s="322"/>
      <c r="P4942" s="261" t="str">
        <f>IF($O4942&lt;&gt;"",(1-$O4942)*#REF!,"")</f>
        <v/>
      </c>
      <c r="Q4942" s="261" t="str">
        <f>IF($O4942&lt;&gt;"",(1-$O4942)*#REF!,"")</f>
        <v/>
      </c>
      <c r="R4942" s="261" t="str">
        <f>IF($O4942&lt;&gt;"",(1-$O4942)*#REF!,"")</f>
        <v/>
      </c>
      <c r="S4942" s="261" t="str">
        <f>IF($O4942&lt;&gt;"",(1-$O4942)*#REF!,"")</f>
        <v/>
      </c>
      <c r="U4942" s="261" t="str">
        <f>IF($O4942&lt;&gt;"",(1-$O4942)*#REF!,"")</f>
        <v/>
      </c>
      <c r="V4942" s="261" t="str">
        <f>IF($O4942&lt;&gt;"",(1-$O4942)*#REF!,"")</f>
        <v/>
      </c>
      <c r="W4942" s="261" t="str">
        <f>IF($O4942&lt;&gt;"",(1-$O4942)*#REF!,"")</f>
        <v/>
      </c>
      <c r="X4942" s="261" t="str">
        <f>IF($O4942&lt;&gt;"",(1-$O4942)*#REF!,"")</f>
        <v/>
      </c>
    </row>
    <row r="4943" spans="1:24" x14ac:dyDescent="0.35">
      <c r="A4943" s="527" t="str">
        <f>"SgK4821--"&amp;RIGHT(A4942,5)</f>
        <v>SgK4821--Nov19</v>
      </c>
      <c r="B4943" s="526" t="s">
        <v>5434</v>
      </c>
      <c r="C4943" s="526" t="str">
        <f t="shared" si="1704"/>
        <v>Inbetriebnahme 11/2019</v>
      </c>
      <c r="D4943" s="526" t="str">
        <f t="shared" si="1714"/>
        <v>10 - 40 kW</v>
      </c>
      <c r="E4943" s="526"/>
      <c r="F4943" s="538">
        <f t="shared" si="1705"/>
        <v>9.7899999999999991</v>
      </c>
      <c r="G4943" s="538">
        <f t="shared" si="1706"/>
        <v>10.19</v>
      </c>
      <c r="H4943" s="537">
        <f t="shared" si="1707"/>
        <v>8.15</v>
      </c>
      <c r="I4943" s="537">
        <f t="shared" si="1717"/>
        <v>1.29</v>
      </c>
      <c r="J4943" s="549">
        <v>43769</v>
      </c>
      <c r="O4943" s="322"/>
      <c r="P4943" s="261" t="str">
        <f>IF($O4943&lt;&gt;"",(1-$O4943)*#REF!,"")</f>
        <v/>
      </c>
      <c r="Q4943" s="261" t="str">
        <f>IF($O4943&lt;&gt;"",(1-$O4943)*#REF!,"")</f>
        <v/>
      </c>
      <c r="R4943" s="261" t="str">
        <f>IF($O4943&lt;&gt;"",(1-$O4943)*#REF!,"")</f>
        <v/>
      </c>
      <c r="S4943" s="261" t="str">
        <f>IF($O4943&lt;&gt;"",(1-$O4943)*#REF!,"")</f>
        <v/>
      </c>
      <c r="U4943" s="261" t="str">
        <f>IF($O4943&lt;&gt;"",(1-$O4943)*#REF!,"")</f>
        <v/>
      </c>
      <c r="V4943" s="261" t="str">
        <f>IF($O4943&lt;&gt;"",(1-$O4943)*#REF!,"")</f>
        <v/>
      </c>
      <c r="W4943" s="261" t="str">
        <f>IF($O4943&lt;&gt;"",(1-$O4943)*#REF!,"")</f>
        <v/>
      </c>
      <c r="X4943" s="261" t="str">
        <f>IF($O4943&lt;&gt;"",(1-$O4943)*#REF!,"")</f>
        <v/>
      </c>
    </row>
    <row r="4944" spans="1:24" x14ac:dyDescent="0.35">
      <c r="A4944" s="527" t="str">
        <f>"SgK4822--"&amp;RIGHT(A4943,5)</f>
        <v>SgK4822--Nov19</v>
      </c>
      <c r="B4944" s="526" t="s">
        <v>5434</v>
      </c>
      <c r="C4944" s="526" t="str">
        <f t="shared" si="1704"/>
        <v>Inbetriebnahme 11/2019</v>
      </c>
      <c r="D4944" s="526" t="str">
        <f t="shared" si="1714"/>
        <v>40 - 750 kW</v>
      </c>
      <c r="E4944" s="526"/>
      <c r="F4944" s="538">
        <f t="shared" si="1705"/>
        <v>7.7</v>
      </c>
      <c r="G4944" s="538">
        <f t="shared" si="1706"/>
        <v>8.1</v>
      </c>
      <c r="H4944" s="537">
        <f t="shared" si="1707"/>
        <v>6.48</v>
      </c>
      <c r="I4944" s="537">
        <f t="shared" si="1717"/>
        <v>-0.3</v>
      </c>
      <c r="J4944" s="549">
        <v>43769</v>
      </c>
      <c r="O4944" s="322"/>
      <c r="P4944" s="261" t="str">
        <f>IF($O4944&lt;&gt;"",(1-$O4944)*P4942,"")</f>
        <v/>
      </c>
      <c r="Q4944" s="261" t="str">
        <f>IF($O4944&lt;&gt;"",(1-$O4944)*Q4942,"")</f>
        <v/>
      </c>
      <c r="R4944" s="261" t="str">
        <f>IF($O4944&lt;&gt;"",(1-$O4944)*R4942,"")</f>
        <v/>
      </c>
      <c r="S4944" s="261" t="str">
        <f>IF($O4944&lt;&gt;"",(1-$O4944)*S4942,"")</f>
        <v/>
      </c>
      <c r="U4944" s="261" t="str">
        <f>IF($O4944&lt;&gt;"",(1-$O4944)*U4942,"")</f>
        <v/>
      </c>
      <c r="V4944" s="261" t="str">
        <f>IF($O4944&lt;&gt;"",(1-$O4944)*V4942,"")</f>
        <v/>
      </c>
      <c r="W4944" s="261" t="str">
        <f>IF($O4944&lt;&gt;"",(1-$O4944)*W4942,"")</f>
        <v/>
      </c>
      <c r="X4944" s="261" t="str">
        <f>IF($O4944&lt;&gt;"",(1-$O4944)*X4942,"")</f>
        <v/>
      </c>
    </row>
    <row r="4945" spans="1:25" x14ac:dyDescent="0.35">
      <c r="A4945" s="527" t="s">
        <v>6454</v>
      </c>
      <c r="B4945" s="526" t="s">
        <v>5434</v>
      </c>
      <c r="C4945" s="526" t="str">
        <f t="shared" si="1704"/>
        <v>Inbetriebnahme 12/2019</v>
      </c>
      <c r="D4945" s="526" t="str">
        <f t="shared" si="1714"/>
        <v>0 - 10 kW</v>
      </c>
      <c r="E4945" s="526"/>
      <c r="F4945" s="538">
        <f t="shared" si="1705"/>
        <v>9.9700000000000006</v>
      </c>
      <c r="G4945" s="538">
        <f t="shared" si="1706"/>
        <v>10.37</v>
      </c>
      <c r="H4945" s="537">
        <f t="shared" si="1707"/>
        <v>8.3000000000000007</v>
      </c>
      <c r="I4945" s="537">
        <f t="shared" si="1717"/>
        <v>1.47</v>
      </c>
      <c r="J4945" s="549">
        <v>43769</v>
      </c>
      <c r="O4945" s="322"/>
      <c r="P4945" s="261" t="str">
        <f>IF($O4945&lt;&gt;"",(1-$O4945)*#REF!,"")</f>
        <v/>
      </c>
      <c r="Q4945" s="261" t="str">
        <f>IF($O4945&lt;&gt;"",(1-$O4945)*#REF!,"")</f>
        <v/>
      </c>
      <c r="R4945" s="261" t="str">
        <f>IF($O4945&lt;&gt;"",(1-$O4945)*#REF!,"")</f>
        <v/>
      </c>
      <c r="S4945" s="261" t="str">
        <f>IF($O4945&lt;&gt;"",(1-$O4945)*#REF!,"")</f>
        <v/>
      </c>
      <c r="U4945" s="261" t="str">
        <f>IF($O4945&lt;&gt;"",(1-$O4945)*#REF!,"")</f>
        <v/>
      </c>
      <c r="V4945" s="261" t="str">
        <f>IF($O4945&lt;&gt;"",(1-$O4945)*#REF!,"")</f>
        <v/>
      </c>
      <c r="W4945" s="261" t="str">
        <f>IF($O4945&lt;&gt;"",(1-$O4945)*#REF!,"")</f>
        <v/>
      </c>
      <c r="X4945" s="261" t="str">
        <f>IF($O4945&lt;&gt;"",(1-$O4945)*#REF!,"")</f>
        <v/>
      </c>
    </row>
    <row r="4946" spans="1:25" x14ac:dyDescent="0.35">
      <c r="A4946" s="527" t="str">
        <f>"SgK4821--"&amp;RIGHT(A4945,5)</f>
        <v>SgK4821--Dez19</v>
      </c>
      <c r="B4946" s="526" t="s">
        <v>5434</v>
      </c>
      <c r="C4946" s="526" t="str">
        <f t="shared" si="1704"/>
        <v>Inbetriebnahme 12/2019</v>
      </c>
      <c r="D4946" s="526" t="str">
        <f t="shared" si="1714"/>
        <v>10 - 40 kW</v>
      </c>
      <c r="E4946" s="526"/>
      <c r="F4946" s="538">
        <f t="shared" si="1705"/>
        <v>9.69</v>
      </c>
      <c r="G4946" s="538">
        <f t="shared" si="1706"/>
        <v>10.09</v>
      </c>
      <c r="H4946" s="537">
        <f t="shared" si="1707"/>
        <v>8.07</v>
      </c>
      <c r="I4946" s="537">
        <f t="shared" si="1717"/>
        <v>1.19</v>
      </c>
      <c r="J4946" s="549">
        <v>43769</v>
      </c>
      <c r="O4946" s="322"/>
      <c r="P4946" s="261" t="str">
        <f>IF($O4946&lt;&gt;"",(1-$O4946)*#REF!,"")</f>
        <v/>
      </c>
      <c r="Q4946" s="261" t="str">
        <f>IF($O4946&lt;&gt;"",(1-$O4946)*#REF!,"")</f>
        <v/>
      </c>
      <c r="R4946" s="261" t="str">
        <f>IF($O4946&lt;&gt;"",(1-$O4946)*#REF!,"")</f>
        <v/>
      </c>
      <c r="S4946" s="261" t="str">
        <f>IF($O4946&lt;&gt;"",(1-$O4946)*#REF!,"")</f>
        <v/>
      </c>
      <c r="U4946" s="261" t="str">
        <f>IF($O4946&lt;&gt;"",(1-$O4946)*#REF!,"")</f>
        <v/>
      </c>
      <c r="V4946" s="261" t="str">
        <f>IF($O4946&lt;&gt;"",(1-$O4946)*#REF!,"")</f>
        <v/>
      </c>
      <c r="W4946" s="261" t="str">
        <f>IF($O4946&lt;&gt;"",(1-$O4946)*#REF!,"")</f>
        <v/>
      </c>
      <c r="X4946" s="261" t="str">
        <f>IF($O4946&lt;&gt;"",(1-$O4946)*#REF!,"")</f>
        <v/>
      </c>
    </row>
    <row r="4947" spans="1:25" ht="14.25" customHeight="1" x14ac:dyDescent="0.35">
      <c r="A4947" s="527" t="str">
        <f>"SgK4822--"&amp;RIGHT(A4946,5)</f>
        <v>SgK4822--Dez19</v>
      </c>
      <c r="B4947" s="526" t="s">
        <v>5434</v>
      </c>
      <c r="C4947" s="526" t="str">
        <f t="shared" si="1704"/>
        <v>Inbetriebnahme 12/2019</v>
      </c>
      <c r="D4947" s="526" t="str">
        <f t="shared" si="1714"/>
        <v>40 - 750 kW</v>
      </c>
      <c r="E4947" s="526"/>
      <c r="F4947" s="538">
        <f t="shared" si="1705"/>
        <v>7.62</v>
      </c>
      <c r="G4947" s="538">
        <f t="shared" si="1706"/>
        <v>8.02</v>
      </c>
      <c r="H4947" s="537">
        <f t="shared" si="1707"/>
        <v>6.42</v>
      </c>
      <c r="I4947" s="537">
        <f t="shared" si="1717"/>
        <v>-0.38</v>
      </c>
      <c r="J4947" s="549">
        <v>43769</v>
      </c>
      <c r="O4947" s="322"/>
      <c r="P4947" s="261" t="str">
        <f>IF($O4947&lt;&gt;"",(1-$O4947)*P4945,"")</f>
        <v/>
      </c>
      <c r="Q4947" s="261" t="str">
        <f>IF($O4947&lt;&gt;"",(1-$O4947)*Q4945,"")</f>
        <v/>
      </c>
      <c r="R4947" s="261" t="str">
        <f>IF($O4947&lt;&gt;"",(1-$O4947)*R4945,"")</f>
        <v/>
      </c>
      <c r="S4947" s="261" t="str">
        <f>IF($O4947&lt;&gt;"",(1-$O4947)*S4945,"")</f>
        <v/>
      </c>
      <c r="U4947" s="261" t="str">
        <f>IF($O4947&lt;&gt;"",(1-$O4947)*U4945,"")</f>
        <v/>
      </c>
      <c r="V4947" s="261" t="str">
        <f>IF($O4947&lt;&gt;"",(1-$O4947)*V4945,"")</f>
        <v/>
      </c>
      <c r="W4947" s="261" t="str">
        <f>IF($O4947&lt;&gt;"",(1-$O4947)*W4945,"")</f>
        <v/>
      </c>
      <c r="X4947" s="261" t="str">
        <f>IF($O4947&lt;&gt;"",(1-$O4947)*X4945,"")</f>
        <v/>
      </c>
    </row>
    <row r="4948" spans="1:25" x14ac:dyDescent="0.35">
      <c r="A4948" s="496"/>
      <c r="B4948" s="1"/>
      <c r="C4948" s="1"/>
      <c r="D4948" s="1"/>
      <c r="E4948" s="1"/>
      <c r="F4948" s="362"/>
      <c r="G4948" s="10"/>
      <c r="H4948" s="10"/>
      <c r="I4948" s="566"/>
      <c r="J4948" s="549" t="s">
        <v>4179</v>
      </c>
      <c r="K4948" s="11"/>
      <c r="N4948" s="109" t="s">
        <v>3901</v>
      </c>
      <c r="O4948" s="29" t="s">
        <v>5489</v>
      </c>
      <c r="P4948" t="s">
        <v>3918</v>
      </c>
      <c r="Q4948" t="s">
        <v>3919</v>
      </c>
      <c r="R4948" t="s">
        <v>7439</v>
      </c>
      <c r="T4948" t="s">
        <v>49</v>
      </c>
      <c r="U4948" t="s">
        <v>3918</v>
      </c>
      <c r="V4948" t="s">
        <v>3919</v>
      </c>
      <c r="W4948" t="s">
        <v>7439</v>
      </c>
      <c r="Y4948" t="s">
        <v>50</v>
      </c>
    </row>
    <row r="4949" spans="1:25" x14ac:dyDescent="0.35">
      <c r="A4949" s="527" t="s">
        <v>6582</v>
      </c>
      <c r="B4949" s="526" t="s">
        <v>5434</v>
      </c>
      <c r="C4949" s="526" t="str">
        <f t="shared" ref="C4949:C4984" si="1718">"Inbetriebnahme "&amp;TEXT(DATEVALUE(RIGHT(A4949,5)),"MM/JJJJ")</f>
        <v>Inbetriebnahme 01/2020</v>
      </c>
      <c r="D4949" s="526" t="str">
        <f>$Q$4687</f>
        <v>0 - 10 kW</v>
      </c>
      <c r="E4949" s="526"/>
      <c r="F4949" s="538">
        <f t="shared" ref="F4949:F4984" si="1719">IF(HLOOKUP($D4949,$U$4948:$W$4960,MATCH(RIGHT($A4949,5),$N$4948:$N$4960,0),FALSE)&lt;&gt;"",ROUND(HLOOKUP($D4949,$U$4948:$W$4960,MATCH(RIGHT($A4949,5),$N$4948:$N$4960,0),FALSE),2),"")</f>
        <v>9.8699999999999992</v>
      </c>
      <c r="G4949" s="538">
        <f t="shared" ref="G4949:G4984" si="1720">IF(HLOOKUP($D4949,$P$4948:$W$4960,MATCH(RIGHT($A4949,5),$N$4948:$N$4960,0),FALSE)&lt;&gt;"",ROUND(HLOOKUP($D4949,$P$4948:$W$4960,MATCH(RIGHT($A4949,5),$N$4948:$N$4960,0),FALSE),2),"")</f>
        <v>10.27</v>
      </c>
      <c r="H4949" s="537">
        <f t="shared" ref="H4949:H4984" si="1721">IF(ISNUMBER($G4949),ROUND(0.8*$G4949,2),"")</f>
        <v>8.2200000000000006</v>
      </c>
      <c r="I4949" s="537">
        <f>IF(ISNUMBER($G4949),IF(AND(MID($A4949,1,7)="SgK4822",VALUE(MID($A4949,13,2))&gt;=19),MAX(0,ROUND(G4949-8-0.4,2)),MAX(0,ROUND(G4949-8.5-0.4,2))),"")</f>
        <v>1.37</v>
      </c>
      <c r="J4949" s="549">
        <v>43796</v>
      </c>
      <c r="K4949" s="11"/>
      <c r="M4949" s="101">
        <v>2020</v>
      </c>
      <c r="N4949" s="522" t="s">
        <v>6581</v>
      </c>
      <c r="O4949" s="461">
        <v>0.01</v>
      </c>
      <c r="P4949" s="11">
        <f>IF($O4949&lt;&gt;"",P4923*(100%-$O4949),"")</f>
        <v>10.26659095007124</v>
      </c>
      <c r="Q4949" s="11">
        <f>IF($O4949&lt;&gt;"",Q4923*(100%-$O4949),"")</f>
        <v>9.9917373340850819</v>
      </c>
      <c r="R4949" s="630">
        <f>IF($O4949&lt;&gt;"",R4923*(100%-$O4949),"")</f>
        <v>7.9351854345644117</v>
      </c>
      <c r="S4949" s="11"/>
      <c r="T4949" s="11"/>
      <c r="U4949" s="11">
        <f t="shared" ref="U4949:U4960" si="1722">IF($O4949&lt;&gt;"",P4949-0.4,"")</f>
        <v>9.8665909500712399</v>
      </c>
      <c r="V4949" s="11">
        <f t="shared" ref="V4949:V4960" si="1723">IF($O4949&lt;&gt;"",Q4949-0.4,"")</f>
        <v>9.5917373340850816</v>
      </c>
      <c r="W4949" s="11">
        <f t="shared" ref="W4949:W4960" si="1724">IF($O4949&lt;&gt;"",R4949-0.4,"")</f>
        <v>7.5351854345644114</v>
      </c>
      <c r="X4949" s="11"/>
    </row>
    <row r="4950" spans="1:25" x14ac:dyDescent="0.35">
      <c r="A4950" s="527" t="str">
        <f>"SgK4821--"&amp;RIGHT(A4949,5)</f>
        <v>SgK4821--Jan20</v>
      </c>
      <c r="B4950" s="526" t="s">
        <v>5434</v>
      </c>
      <c r="C4950" s="526" t="str">
        <f t="shared" si="1718"/>
        <v>Inbetriebnahme 01/2020</v>
      </c>
      <c r="D4950" s="526" t="str">
        <f>$R$4687</f>
        <v>10 - 40 kW</v>
      </c>
      <c r="E4950" s="526"/>
      <c r="F4950" s="538">
        <f t="shared" si="1719"/>
        <v>9.59</v>
      </c>
      <c r="G4950" s="538">
        <f t="shared" si="1720"/>
        <v>9.99</v>
      </c>
      <c r="H4950" s="537">
        <f t="shared" si="1721"/>
        <v>7.99</v>
      </c>
      <c r="I4950" s="537">
        <f t="shared" ref="I4950:I4984" si="1725">IF(ISNUMBER($G4950),IF(AND(MID($A4950,1,7)="SgK4822",VALUE(MID($A4950,13,2))&gt;=19),ROUND(G4950-8-0.4,2),ROUND(G4950-8.5-0.4,2)),"")</f>
        <v>1.0900000000000001</v>
      </c>
      <c r="J4950" s="549">
        <v>43796</v>
      </c>
      <c r="K4950" s="11"/>
      <c r="M4950" s="339"/>
      <c r="N4950" s="266" t="str">
        <f t="shared" ref="N4950:N4960" si="1726">TEXT(DATE(YEAR(DATEVALUE(N4949)),MONTH(DATEVALUE(N4949))+1,1),"MMMJJ")</f>
        <v>Feb20</v>
      </c>
      <c r="O4950" s="461">
        <v>1.4E-2</v>
      </c>
      <c r="P4950" s="11">
        <f t="shared" ref="P4950:P4960" si="1727">IF($O4950&lt;&gt;"",P4949*(100%-$O4950),"")</f>
        <v>10.122858676770242</v>
      </c>
      <c r="Q4950" s="11">
        <f t="shared" ref="Q4950:Q4960" si="1728">IF($O4950&lt;&gt;"",Q4949*(100%-$O4950),"")</f>
        <v>9.8518530114078899</v>
      </c>
      <c r="R4950" s="11">
        <f t="shared" ref="R4950:R4960" si="1729">IF($O4950&lt;&gt;"",R4949*(100%-$O4950),"")</f>
        <v>7.8240928384805102</v>
      </c>
      <c r="S4950" s="11"/>
      <c r="T4950" s="11"/>
      <c r="U4950" s="11">
        <f t="shared" si="1722"/>
        <v>9.7228586767702421</v>
      </c>
      <c r="V4950" s="11">
        <f t="shared" si="1723"/>
        <v>9.4518530114078896</v>
      </c>
      <c r="W4950" s="11">
        <f t="shared" si="1724"/>
        <v>7.4240928384805098</v>
      </c>
      <c r="X4950" s="11"/>
    </row>
    <row r="4951" spans="1:25" x14ac:dyDescent="0.35">
      <c r="A4951" s="527" t="str">
        <f>"SgK4822--"&amp;RIGHT(A4950,5)</f>
        <v>SgK4822--Jan20</v>
      </c>
      <c r="B4951" s="526" t="s">
        <v>5434</v>
      </c>
      <c r="C4951" s="526" t="str">
        <f t="shared" si="1718"/>
        <v>Inbetriebnahme 01/2020</v>
      </c>
      <c r="D4951" s="526" t="s">
        <v>7439</v>
      </c>
      <c r="E4951" s="526"/>
      <c r="F4951" s="538">
        <f t="shared" si="1719"/>
        <v>7.54</v>
      </c>
      <c r="G4951" s="538">
        <f t="shared" si="1720"/>
        <v>7.94</v>
      </c>
      <c r="H4951" s="537">
        <f t="shared" si="1721"/>
        <v>6.35</v>
      </c>
      <c r="I4951" s="537">
        <f t="shared" si="1725"/>
        <v>-0.46</v>
      </c>
      <c r="J4951" s="549">
        <v>43796</v>
      </c>
      <c r="K4951" s="11"/>
      <c r="M4951" s="339"/>
      <c r="N4951" s="266" t="str">
        <f t="shared" si="1726"/>
        <v>Mrz20</v>
      </c>
      <c r="O4951" s="461">
        <v>1.4E-2</v>
      </c>
      <c r="P4951" s="11">
        <f t="shared" si="1727"/>
        <v>9.9811386552954584</v>
      </c>
      <c r="Q4951" s="11">
        <f t="shared" si="1728"/>
        <v>9.7139270692481787</v>
      </c>
      <c r="R4951" s="11">
        <f t="shared" si="1729"/>
        <v>7.7145555387417826</v>
      </c>
      <c r="S4951" s="11"/>
      <c r="T4951" s="11"/>
      <c r="U4951" s="11">
        <f t="shared" si="1722"/>
        <v>9.5811386552954581</v>
      </c>
      <c r="V4951" s="11">
        <f t="shared" si="1723"/>
        <v>9.3139270692481784</v>
      </c>
      <c r="W4951" s="11">
        <f t="shared" si="1724"/>
        <v>7.3145555387417822</v>
      </c>
      <c r="X4951" s="11"/>
    </row>
    <row r="4952" spans="1:25" x14ac:dyDescent="0.35">
      <c r="A4952" s="527" t="s">
        <v>6583</v>
      </c>
      <c r="B4952" s="526" t="s">
        <v>5434</v>
      </c>
      <c r="C4952" s="526" t="str">
        <f t="shared" si="1718"/>
        <v>Inbetriebnahme 02/2020</v>
      </c>
      <c r="D4952" s="526" t="str">
        <f t="shared" ref="D4952:D4984" si="1730">D4949</f>
        <v>0 - 10 kW</v>
      </c>
      <c r="E4952" s="526"/>
      <c r="F4952" s="538">
        <f t="shared" si="1719"/>
        <v>9.7200000000000006</v>
      </c>
      <c r="G4952" s="538">
        <f t="shared" si="1720"/>
        <v>10.119999999999999</v>
      </c>
      <c r="H4952" s="537">
        <f t="shared" si="1721"/>
        <v>8.1</v>
      </c>
      <c r="I4952" s="537">
        <f t="shared" si="1725"/>
        <v>1.22</v>
      </c>
      <c r="J4952" s="549">
        <v>43873</v>
      </c>
      <c r="K4952" s="11"/>
      <c r="M4952" s="339"/>
      <c r="N4952" s="266" t="str">
        <f t="shared" si="1726"/>
        <v>Apr20</v>
      </c>
      <c r="O4952" s="461">
        <v>1.4E-2</v>
      </c>
      <c r="P4952" s="11">
        <f t="shared" si="1727"/>
        <v>9.8414027141213225</v>
      </c>
      <c r="Q4952" s="11">
        <f t="shared" si="1728"/>
        <v>9.5779320902787042</v>
      </c>
      <c r="R4952" s="11">
        <f t="shared" si="1729"/>
        <v>7.6065517611993974</v>
      </c>
      <c r="S4952" s="11"/>
      <c r="T4952" s="11"/>
      <c r="U4952" s="11">
        <f t="shared" si="1722"/>
        <v>9.4414027141213221</v>
      </c>
      <c r="V4952" s="11">
        <f t="shared" si="1723"/>
        <v>9.1779320902787038</v>
      </c>
      <c r="W4952" s="11">
        <f t="shared" si="1724"/>
        <v>7.206551761199397</v>
      </c>
      <c r="X4952" s="11"/>
    </row>
    <row r="4953" spans="1:25" x14ac:dyDescent="0.35">
      <c r="A4953" s="527" t="str">
        <f>"SgK4821--"&amp;RIGHT(A4952,5)</f>
        <v>SgK4821--Feb20</v>
      </c>
      <c r="B4953" s="526" t="s">
        <v>5434</v>
      </c>
      <c r="C4953" s="526" t="str">
        <f t="shared" si="1718"/>
        <v>Inbetriebnahme 02/2020</v>
      </c>
      <c r="D4953" s="526" t="str">
        <f t="shared" si="1730"/>
        <v>10 - 40 kW</v>
      </c>
      <c r="E4953" s="526"/>
      <c r="F4953" s="538">
        <f t="shared" si="1719"/>
        <v>9.4499999999999993</v>
      </c>
      <c r="G4953" s="538">
        <f t="shared" si="1720"/>
        <v>9.85</v>
      </c>
      <c r="H4953" s="537">
        <f t="shared" si="1721"/>
        <v>7.88</v>
      </c>
      <c r="I4953" s="537">
        <f t="shared" si="1725"/>
        <v>0.95</v>
      </c>
      <c r="J4953" s="549">
        <v>43873</v>
      </c>
      <c r="K4953" s="11"/>
      <c r="M4953" s="339"/>
      <c r="N4953" s="266" t="str">
        <f t="shared" si="1726"/>
        <v>Mai20</v>
      </c>
      <c r="O4953" s="461">
        <v>1.4E-2</v>
      </c>
      <c r="P4953" s="11">
        <f t="shared" si="1727"/>
        <v>9.7036230761236233</v>
      </c>
      <c r="Q4953" s="11">
        <f t="shared" si="1728"/>
        <v>9.443841041014803</v>
      </c>
      <c r="R4953" s="11">
        <f t="shared" si="1729"/>
        <v>7.5000600365426058</v>
      </c>
      <c r="S4953" s="11"/>
      <c r="T4953" s="11"/>
      <c r="U4953" s="11">
        <f t="shared" si="1722"/>
        <v>9.3036230761236229</v>
      </c>
      <c r="V4953" s="11">
        <f t="shared" si="1723"/>
        <v>9.0438410410148027</v>
      </c>
      <c r="W4953" s="11">
        <f t="shared" si="1724"/>
        <v>7.1000600365426054</v>
      </c>
      <c r="X4953" s="11"/>
    </row>
    <row r="4954" spans="1:25" x14ac:dyDescent="0.35">
      <c r="A4954" s="527" t="str">
        <f>"SgK4822--"&amp;RIGHT(A4953,5)</f>
        <v>SgK4822--Feb20</v>
      </c>
      <c r="B4954" s="526" t="s">
        <v>5434</v>
      </c>
      <c r="C4954" s="526" t="str">
        <f t="shared" si="1718"/>
        <v>Inbetriebnahme 02/2020</v>
      </c>
      <c r="D4954" s="526" t="str">
        <f t="shared" si="1730"/>
        <v>40 - 750 kW</v>
      </c>
      <c r="E4954" s="526"/>
      <c r="F4954" s="538">
        <f t="shared" si="1719"/>
        <v>7.42</v>
      </c>
      <c r="G4954" s="538">
        <f t="shared" si="1720"/>
        <v>7.82</v>
      </c>
      <c r="H4954" s="537">
        <f t="shared" si="1721"/>
        <v>6.26</v>
      </c>
      <c r="I4954" s="537">
        <f t="shared" si="1725"/>
        <v>-0.57999999999999996</v>
      </c>
      <c r="J4954" s="549">
        <v>43873</v>
      </c>
      <c r="K4954" s="11"/>
      <c r="M4954" s="339"/>
      <c r="N4954" s="266" t="str">
        <f t="shared" si="1726"/>
        <v>Jun20</v>
      </c>
      <c r="O4954" s="461">
        <v>1.4E-2</v>
      </c>
      <c r="P4954" s="11">
        <f t="shared" si="1727"/>
        <v>9.567772353057892</v>
      </c>
      <c r="Q4954" s="11">
        <f t="shared" si="1728"/>
        <v>9.3116272664405955</v>
      </c>
      <c r="R4954" s="11">
        <f t="shared" si="1729"/>
        <v>7.395059196031009</v>
      </c>
      <c r="S4954" s="11"/>
      <c r="T4954" s="11"/>
      <c r="U4954" s="11">
        <f t="shared" si="1722"/>
        <v>9.1677723530578916</v>
      </c>
      <c r="V4954" s="11">
        <f t="shared" si="1723"/>
        <v>8.9116272664405951</v>
      </c>
      <c r="W4954" s="11">
        <f t="shared" si="1724"/>
        <v>6.9950591960310087</v>
      </c>
      <c r="X4954" s="11"/>
    </row>
    <row r="4955" spans="1:25" x14ac:dyDescent="0.35">
      <c r="A4955" s="527" t="s">
        <v>6584</v>
      </c>
      <c r="B4955" s="526" t="s">
        <v>5434</v>
      </c>
      <c r="C4955" s="526" t="str">
        <f t="shared" si="1718"/>
        <v>Inbetriebnahme 03/2020</v>
      </c>
      <c r="D4955" s="526" t="str">
        <f t="shared" si="1730"/>
        <v>0 - 10 kW</v>
      </c>
      <c r="E4955" s="526"/>
      <c r="F4955" s="538">
        <f t="shared" si="1719"/>
        <v>9.58</v>
      </c>
      <c r="G4955" s="538">
        <f t="shared" si="1720"/>
        <v>9.98</v>
      </c>
      <c r="H4955" s="537">
        <f t="shared" si="1721"/>
        <v>7.98</v>
      </c>
      <c r="I4955" s="537">
        <f t="shared" si="1725"/>
        <v>1.08</v>
      </c>
      <c r="J4955" s="549">
        <v>43873</v>
      </c>
      <c r="K4955" s="11"/>
      <c r="M4955" s="339"/>
      <c r="N4955" s="266" t="str">
        <f t="shared" si="1726"/>
        <v>Jul20</v>
      </c>
      <c r="O4955" s="461">
        <v>1.4E-2</v>
      </c>
      <c r="P4955" s="11">
        <f t="shared" si="1727"/>
        <v>9.4338235401150818</v>
      </c>
      <c r="Q4955" s="11">
        <f t="shared" si="1728"/>
        <v>9.181264484710427</v>
      </c>
      <c r="R4955" s="11">
        <f t="shared" si="1729"/>
        <v>7.2915283672865749</v>
      </c>
      <c r="S4955" s="11"/>
      <c r="T4955" s="11"/>
      <c r="U4955" s="11">
        <f t="shared" si="1722"/>
        <v>9.0338235401150815</v>
      </c>
      <c r="V4955" s="11">
        <f t="shared" si="1723"/>
        <v>8.7812644847104266</v>
      </c>
      <c r="W4955" s="11">
        <f t="shared" si="1724"/>
        <v>6.8915283672865746</v>
      </c>
      <c r="X4955" s="11"/>
    </row>
    <row r="4956" spans="1:25" x14ac:dyDescent="0.35">
      <c r="A4956" s="527" t="str">
        <f>"SgK4821--"&amp;RIGHT(A4955,5)</f>
        <v>SgK4821--Mrz20</v>
      </c>
      <c r="B4956" s="526" t="s">
        <v>5434</v>
      </c>
      <c r="C4956" s="526" t="str">
        <f t="shared" si="1718"/>
        <v>Inbetriebnahme 03/2020</v>
      </c>
      <c r="D4956" s="526" t="str">
        <f t="shared" si="1730"/>
        <v>10 - 40 kW</v>
      </c>
      <c r="E4956" s="526"/>
      <c r="F4956" s="538">
        <f t="shared" si="1719"/>
        <v>9.31</v>
      </c>
      <c r="G4956" s="538">
        <f t="shared" si="1720"/>
        <v>9.7100000000000009</v>
      </c>
      <c r="H4956" s="537">
        <f t="shared" si="1721"/>
        <v>7.77</v>
      </c>
      <c r="I4956" s="537">
        <f t="shared" si="1725"/>
        <v>0.81</v>
      </c>
      <c r="J4956" s="549">
        <v>43873</v>
      </c>
      <c r="K4956" s="11"/>
      <c r="M4956" s="101"/>
      <c r="N4956" s="266" t="str">
        <f t="shared" si="1726"/>
        <v>Aug20</v>
      </c>
      <c r="O4956" s="461">
        <v>1.4E-2</v>
      </c>
      <c r="P4956" s="11">
        <f t="shared" si="1727"/>
        <v>9.3017500105534712</v>
      </c>
      <c r="Q4956" s="11">
        <f t="shared" si="1728"/>
        <v>9.0527267819244805</v>
      </c>
      <c r="R4956" s="11">
        <f t="shared" si="1729"/>
        <v>7.1894469701445631</v>
      </c>
      <c r="S4956" s="11"/>
      <c r="T4956" s="11"/>
      <c r="U4956" s="11">
        <f t="shared" si="1722"/>
        <v>8.9017500105534708</v>
      </c>
      <c r="V4956" s="11">
        <f t="shared" si="1723"/>
        <v>8.6527267819244802</v>
      </c>
      <c r="W4956" s="11">
        <f t="shared" si="1724"/>
        <v>6.7894469701445628</v>
      </c>
      <c r="X4956" s="11"/>
    </row>
    <row r="4957" spans="1:25" x14ac:dyDescent="0.35">
      <c r="A4957" s="527" t="str">
        <f>"SgK4822--"&amp;RIGHT(A4956,5)</f>
        <v>SgK4822--Mrz20</v>
      </c>
      <c r="B4957" s="526" t="s">
        <v>5434</v>
      </c>
      <c r="C4957" s="526" t="str">
        <f t="shared" si="1718"/>
        <v>Inbetriebnahme 03/2020</v>
      </c>
      <c r="D4957" s="526" t="str">
        <f t="shared" si="1730"/>
        <v>40 - 750 kW</v>
      </c>
      <c r="E4957" s="526"/>
      <c r="F4957" s="538">
        <f t="shared" si="1719"/>
        <v>7.31</v>
      </c>
      <c r="G4957" s="538">
        <f t="shared" si="1720"/>
        <v>7.71</v>
      </c>
      <c r="H4957" s="537">
        <f t="shared" si="1721"/>
        <v>6.17</v>
      </c>
      <c r="I4957" s="537">
        <f t="shared" si="1725"/>
        <v>-0.69</v>
      </c>
      <c r="J4957" s="549">
        <v>43873</v>
      </c>
      <c r="K4957" s="11"/>
      <c r="N4957" s="266" t="str">
        <f t="shared" si="1726"/>
        <v>Sep20</v>
      </c>
      <c r="O4957" s="461">
        <v>1.4E-2</v>
      </c>
      <c r="P4957" s="11">
        <f t="shared" si="1727"/>
        <v>9.1715255104057221</v>
      </c>
      <c r="Q4957" s="11">
        <f t="shared" si="1728"/>
        <v>8.9259886069775369</v>
      </c>
      <c r="R4957" s="11">
        <f t="shared" si="1729"/>
        <v>7.0887947125625388</v>
      </c>
      <c r="S4957" s="11"/>
      <c r="T4957" s="11"/>
      <c r="U4957" s="11">
        <f t="shared" si="1722"/>
        <v>8.7715255104057217</v>
      </c>
      <c r="V4957" s="11">
        <f t="shared" si="1723"/>
        <v>8.5259886069775366</v>
      </c>
      <c r="W4957" s="11">
        <f t="shared" si="1724"/>
        <v>6.6887947125625384</v>
      </c>
      <c r="X4957" s="11"/>
    </row>
    <row r="4958" spans="1:25" x14ac:dyDescent="0.35">
      <c r="A4958" s="527" t="s">
        <v>6585</v>
      </c>
      <c r="B4958" s="526" t="s">
        <v>5434</v>
      </c>
      <c r="C4958" s="526" t="str">
        <f t="shared" si="1718"/>
        <v>Inbetriebnahme 04/2020</v>
      </c>
      <c r="D4958" s="526" t="str">
        <f t="shared" si="1730"/>
        <v>0 - 10 kW</v>
      </c>
      <c r="E4958" s="526"/>
      <c r="F4958" s="538">
        <f t="shared" si="1719"/>
        <v>9.44</v>
      </c>
      <c r="G4958" s="538">
        <f t="shared" si="1720"/>
        <v>9.84</v>
      </c>
      <c r="H4958" s="537">
        <f t="shared" si="1721"/>
        <v>7.87</v>
      </c>
      <c r="I4958" s="537">
        <f t="shared" si="1725"/>
        <v>0.94</v>
      </c>
      <c r="J4958" s="549">
        <v>43873</v>
      </c>
      <c r="K4958" s="11"/>
      <c r="N4958" s="266" t="str">
        <f t="shared" si="1726"/>
        <v>Okt20</v>
      </c>
      <c r="O4958" s="461">
        <v>1.4E-2</v>
      </c>
      <c r="P4958" s="11">
        <f t="shared" si="1727"/>
        <v>9.0431241532600417</v>
      </c>
      <c r="Q4958" s="11">
        <f t="shared" si="1728"/>
        <v>8.801024766479852</v>
      </c>
      <c r="R4958" s="11">
        <f t="shared" si="1729"/>
        <v>6.9895515865866633</v>
      </c>
      <c r="S4958" s="11"/>
      <c r="T4958" s="11"/>
      <c r="U4958" s="11">
        <f t="shared" si="1722"/>
        <v>8.6431241532600414</v>
      </c>
      <c r="V4958" s="11">
        <f t="shared" si="1723"/>
        <v>8.4010247664798516</v>
      </c>
      <c r="W4958" s="11">
        <f t="shared" si="1724"/>
        <v>6.589551586586663</v>
      </c>
      <c r="X4958" s="11"/>
    </row>
    <row r="4959" spans="1:25" x14ac:dyDescent="0.35">
      <c r="A4959" s="527" t="str">
        <f>"SgK4821--"&amp;RIGHT(A4958,5)</f>
        <v>SgK4821--Apr20</v>
      </c>
      <c r="B4959" s="526" t="s">
        <v>5434</v>
      </c>
      <c r="C4959" s="526" t="str">
        <f t="shared" si="1718"/>
        <v>Inbetriebnahme 04/2020</v>
      </c>
      <c r="D4959" s="526" t="str">
        <f t="shared" si="1730"/>
        <v>10 - 40 kW</v>
      </c>
      <c r="E4959" s="526"/>
      <c r="F4959" s="538">
        <f t="shared" si="1719"/>
        <v>9.18</v>
      </c>
      <c r="G4959" s="538">
        <f t="shared" si="1720"/>
        <v>9.58</v>
      </c>
      <c r="H4959" s="537">
        <f t="shared" si="1721"/>
        <v>7.66</v>
      </c>
      <c r="I4959" s="537">
        <f t="shared" si="1725"/>
        <v>0.68</v>
      </c>
      <c r="J4959" s="549">
        <v>43873</v>
      </c>
      <c r="K4959" s="11"/>
      <c r="N4959" s="266" t="str">
        <f t="shared" si="1726"/>
        <v>Nov20</v>
      </c>
      <c r="O4959" s="461">
        <v>1.7999999999999999E-2</v>
      </c>
      <c r="P4959" s="11">
        <f t="shared" si="1727"/>
        <v>8.8803479185013607</v>
      </c>
      <c r="Q4959" s="11">
        <f t="shared" si="1728"/>
        <v>8.642606320683214</v>
      </c>
      <c r="R4959" s="11">
        <f t="shared" si="1729"/>
        <v>6.8637396580281029</v>
      </c>
      <c r="S4959" s="11"/>
      <c r="T4959" s="11"/>
      <c r="U4959" s="11">
        <f t="shared" si="1722"/>
        <v>8.4803479185013604</v>
      </c>
      <c r="V4959" s="11">
        <f t="shared" si="1723"/>
        <v>8.2426063206832136</v>
      </c>
      <c r="W4959" s="11">
        <f t="shared" si="1724"/>
        <v>6.4637396580281026</v>
      </c>
      <c r="X4959" s="11"/>
    </row>
    <row r="4960" spans="1:25" x14ac:dyDescent="0.35">
      <c r="A4960" s="527" t="str">
        <f>"SgK4822--"&amp;RIGHT(A4959,5)</f>
        <v>SgK4822--Apr20</v>
      </c>
      <c r="B4960" s="526" t="s">
        <v>5434</v>
      </c>
      <c r="C4960" s="526" t="str">
        <f t="shared" si="1718"/>
        <v>Inbetriebnahme 04/2020</v>
      </c>
      <c r="D4960" s="526" t="str">
        <f t="shared" si="1730"/>
        <v>40 - 750 kW</v>
      </c>
      <c r="E4960" s="526"/>
      <c r="F4960" s="538">
        <f t="shared" si="1719"/>
        <v>7.21</v>
      </c>
      <c r="G4960" s="538">
        <f t="shared" si="1720"/>
        <v>7.61</v>
      </c>
      <c r="H4960" s="537">
        <f t="shared" si="1721"/>
        <v>6.09</v>
      </c>
      <c r="I4960" s="537">
        <f t="shared" si="1725"/>
        <v>-0.79</v>
      </c>
      <c r="J4960" s="549">
        <v>43873</v>
      </c>
      <c r="K4960" s="11"/>
      <c r="N4960" s="266" t="str">
        <f t="shared" si="1726"/>
        <v>Dez20</v>
      </c>
      <c r="O4960" s="461">
        <v>1.7999999999999999E-2</v>
      </c>
      <c r="P4960" s="11">
        <f t="shared" si="1727"/>
        <v>8.7205016559683362</v>
      </c>
      <c r="Q4960" s="11">
        <f t="shared" si="1728"/>
        <v>8.4870394069109167</v>
      </c>
      <c r="R4960" s="11">
        <f t="shared" si="1729"/>
        <v>6.7401923441835967</v>
      </c>
      <c r="S4960" s="11"/>
      <c r="T4960" s="11"/>
      <c r="U4960" s="11">
        <f t="shared" si="1722"/>
        <v>8.3205016559683358</v>
      </c>
      <c r="V4960" s="11">
        <f t="shared" si="1723"/>
        <v>8.0870394069109164</v>
      </c>
      <c r="W4960" s="11">
        <f t="shared" si="1724"/>
        <v>6.3401923441835963</v>
      </c>
      <c r="X4960" s="11"/>
    </row>
    <row r="4961" spans="1:24" x14ac:dyDescent="0.35">
      <c r="A4961" s="527" t="s">
        <v>6586</v>
      </c>
      <c r="B4961" s="526" t="s">
        <v>5434</v>
      </c>
      <c r="C4961" s="526" t="str">
        <f t="shared" si="1718"/>
        <v>Inbetriebnahme 05/2020</v>
      </c>
      <c r="D4961" s="526" t="str">
        <f t="shared" si="1730"/>
        <v>0 - 10 kW</v>
      </c>
      <c r="E4961" s="526"/>
      <c r="F4961" s="538">
        <f t="shared" si="1719"/>
        <v>9.3000000000000007</v>
      </c>
      <c r="G4961" s="538">
        <f t="shared" si="1720"/>
        <v>9.6999999999999993</v>
      </c>
      <c r="H4961" s="537">
        <f t="shared" si="1721"/>
        <v>7.76</v>
      </c>
      <c r="I4961" s="537">
        <f t="shared" si="1725"/>
        <v>0.8</v>
      </c>
      <c r="J4961" s="549">
        <v>43951</v>
      </c>
      <c r="K4961" s="11"/>
      <c r="M4961" s="339"/>
      <c r="N4961" s="108"/>
      <c r="O4961" s="266"/>
      <c r="P4961" s="260"/>
      <c r="Q4961" s="261"/>
      <c r="R4961" s="261"/>
      <c r="S4961" s="261"/>
      <c r="T4961" s="261"/>
    </row>
    <row r="4962" spans="1:24" x14ac:dyDescent="0.35">
      <c r="A4962" s="527" t="str">
        <f>"SgK4821--"&amp;RIGHT(A4961,5)</f>
        <v>SgK4821--Mai20</v>
      </c>
      <c r="B4962" s="526" t="s">
        <v>5434</v>
      </c>
      <c r="C4962" s="526" t="str">
        <f t="shared" si="1718"/>
        <v>Inbetriebnahme 05/2020</v>
      </c>
      <c r="D4962" s="526" t="str">
        <f t="shared" si="1730"/>
        <v>10 - 40 kW</v>
      </c>
      <c r="E4962" s="526"/>
      <c r="F4962" s="538">
        <f t="shared" si="1719"/>
        <v>9.0399999999999991</v>
      </c>
      <c r="G4962" s="538">
        <f t="shared" si="1720"/>
        <v>9.44</v>
      </c>
      <c r="H4962" s="537">
        <f t="shared" si="1721"/>
        <v>7.55</v>
      </c>
      <c r="I4962" s="537">
        <f t="shared" si="1725"/>
        <v>0.54</v>
      </c>
      <c r="J4962" s="549">
        <v>43951</v>
      </c>
      <c r="K4962" s="11"/>
      <c r="M4962" s="339"/>
      <c r="N4962" s="108"/>
      <c r="O4962" s="266"/>
      <c r="P4962" s="260"/>
      <c r="Q4962" s="261"/>
      <c r="R4962" s="261"/>
      <c r="S4962" s="261"/>
      <c r="T4962" s="261"/>
    </row>
    <row r="4963" spans="1:24" x14ac:dyDescent="0.35">
      <c r="A4963" s="527" t="str">
        <f>"SgK4822--"&amp;RIGHT(A4962,5)</f>
        <v>SgK4822--Mai20</v>
      </c>
      <c r="B4963" s="526" t="s">
        <v>5434</v>
      </c>
      <c r="C4963" s="526" t="str">
        <f t="shared" si="1718"/>
        <v>Inbetriebnahme 05/2020</v>
      </c>
      <c r="D4963" s="526" t="str">
        <f t="shared" si="1730"/>
        <v>40 - 750 kW</v>
      </c>
      <c r="E4963" s="526"/>
      <c r="F4963" s="538">
        <f t="shared" si="1719"/>
        <v>7.1</v>
      </c>
      <c r="G4963" s="538">
        <f t="shared" si="1720"/>
        <v>7.5</v>
      </c>
      <c r="H4963" s="537">
        <f t="shared" si="1721"/>
        <v>6</v>
      </c>
      <c r="I4963" s="537">
        <f t="shared" si="1725"/>
        <v>-0.9</v>
      </c>
      <c r="J4963" s="549">
        <v>43951</v>
      </c>
      <c r="K4963" s="11"/>
      <c r="L4963" s="102"/>
      <c r="M4963" s="339"/>
      <c r="N4963" s="108"/>
      <c r="O4963" s="266"/>
      <c r="P4963" s="260"/>
      <c r="Q4963" s="261"/>
      <c r="R4963" s="261"/>
      <c r="S4963" s="261"/>
      <c r="T4963" s="261"/>
    </row>
    <row r="4964" spans="1:24" x14ac:dyDescent="0.35">
      <c r="A4964" s="527" t="s">
        <v>6587</v>
      </c>
      <c r="B4964" s="526" t="s">
        <v>5434</v>
      </c>
      <c r="C4964" s="526" t="str">
        <f t="shared" si="1718"/>
        <v>Inbetriebnahme 06/2020</v>
      </c>
      <c r="D4964" s="526" t="str">
        <f t="shared" si="1730"/>
        <v>0 - 10 kW</v>
      </c>
      <c r="E4964" s="526"/>
      <c r="F4964" s="538">
        <f t="shared" si="1719"/>
        <v>9.17</v>
      </c>
      <c r="G4964" s="538">
        <f t="shared" si="1720"/>
        <v>9.57</v>
      </c>
      <c r="H4964" s="537">
        <f t="shared" si="1721"/>
        <v>7.66</v>
      </c>
      <c r="I4964" s="537">
        <f t="shared" si="1725"/>
        <v>0.67</v>
      </c>
      <c r="J4964" s="549">
        <v>43951</v>
      </c>
      <c r="K4964" s="11"/>
      <c r="L4964" s="102"/>
      <c r="M4964" s="339"/>
      <c r="N4964" s="108"/>
      <c r="O4964" s="266"/>
      <c r="P4964" s="260"/>
      <c r="Q4964" s="261"/>
      <c r="R4964" s="261"/>
      <c r="S4964" s="261"/>
      <c r="T4964" s="261"/>
    </row>
    <row r="4965" spans="1:24" x14ac:dyDescent="0.35">
      <c r="A4965" s="527" t="str">
        <f>"SgK4821--"&amp;RIGHT(A4964,5)</f>
        <v>SgK4821--Jun20</v>
      </c>
      <c r="B4965" s="526" t="s">
        <v>5434</v>
      </c>
      <c r="C4965" s="526" t="str">
        <f t="shared" si="1718"/>
        <v>Inbetriebnahme 06/2020</v>
      </c>
      <c r="D4965" s="526" t="str">
        <f t="shared" si="1730"/>
        <v>10 - 40 kW</v>
      </c>
      <c r="E4965" s="526"/>
      <c r="F4965" s="538">
        <f t="shared" si="1719"/>
        <v>8.91</v>
      </c>
      <c r="G4965" s="538">
        <f t="shared" si="1720"/>
        <v>9.31</v>
      </c>
      <c r="H4965" s="537">
        <f t="shared" si="1721"/>
        <v>7.45</v>
      </c>
      <c r="I4965" s="537">
        <f t="shared" si="1725"/>
        <v>0.41</v>
      </c>
      <c r="J4965" s="549">
        <v>43951</v>
      </c>
      <c r="K4965" s="11"/>
      <c r="L4965" s="102"/>
      <c r="M4965" s="339"/>
      <c r="N4965" s="108"/>
      <c r="O4965" s="266"/>
      <c r="P4965" s="260"/>
      <c r="Q4965" s="261"/>
      <c r="R4965" s="261"/>
      <c r="S4965" s="261"/>
      <c r="T4965" s="261"/>
    </row>
    <row r="4966" spans="1:24" x14ac:dyDescent="0.35">
      <c r="A4966" s="527" t="str">
        <f>"SgK4822--"&amp;RIGHT(A4965,5)</f>
        <v>SgK4822--Jun20</v>
      </c>
      <c r="B4966" s="526" t="s">
        <v>5434</v>
      </c>
      <c r="C4966" s="526" t="str">
        <f t="shared" si="1718"/>
        <v>Inbetriebnahme 06/2020</v>
      </c>
      <c r="D4966" s="526" t="str">
        <f t="shared" si="1730"/>
        <v>40 - 750 kW</v>
      </c>
      <c r="E4966" s="526"/>
      <c r="F4966" s="538">
        <f t="shared" si="1719"/>
        <v>7</v>
      </c>
      <c r="G4966" s="538">
        <f t="shared" si="1720"/>
        <v>7.4</v>
      </c>
      <c r="H4966" s="537">
        <f t="shared" si="1721"/>
        <v>5.92</v>
      </c>
      <c r="I4966" s="537">
        <f t="shared" si="1725"/>
        <v>-1</v>
      </c>
      <c r="J4966" s="549">
        <v>43951</v>
      </c>
      <c r="K4966" s="11"/>
      <c r="L4966" s="102"/>
      <c r="M4966" s="339"/>
      <c r="N4966" s="108"/>
      <c r="O4966" s="266"/>
      <c r="P4966" s="277"/>
      <c r="Q4966" s="261"/>
      <c r="R4966" s="261"/>
      <c r="S4966" s="261"/>
      <c r="T4966" s="261"/>
    </row>
    <row r="4967" spans="1:24" x14ac:dyDescent="0.35">
      <c r="A4967" s="527" t="s">
        <v>6588</v>
      </c>
      <c r="B4967" s="526" t="s">
        <v>5434</v>
      </c>
      <c r="C4967" s="526" t="str">
        <f t="shared" si="1718"/>
        <v>Inbetriebnahme 07/2020</v>
      </c>
      <c r="D4967" s="526" t="str">
        <f t="shared" si="1730"/>
        <v>0 - 10 kW</v>
      </c>
      <c r="E4967" s="526"/>
      <c r="F4967" s="538">
        <f t="shared" si="1719"/>
        <v>9.0299999999999994</v>
      </c>
      <c r="G4967" s="538">
        <f t="shared" si="1720"/>
        <v>9.43</v>
      </c>
      <c r="H4967" s="537">
        <f t="shared" si="1721"/>
        <v>7.54</v>
      </c>
      <c r="I4967" s="537">
        <f t="shared" si="1725"/>
        <v>0.53</v>
      </c>
      <c r="J4967" s="549">
        <v>43951</v>
      </c>
      <c r="K4967" s="11"/>
      <c r="L4967" s="102"/>
      <c r="M4967" s="339"/>
      <c r="N4967" s="108"/>
      <c r="O4967" s="259"/>
    </row>
    <row r="4968" spans="1:24" x14ac:dyDescent="0.35">
      <c r="A4968" s="527" t="str">
        <f>"SgK4821--"&amp;RIGHT(A4967,5)</f>
        <v>SgK4821--Jul20</v>
      </c>
      <c r="B4968" s="526" t="s">
        <v>5434</v>
      </c>
      <c r="C4968" s="526" t="str">
        <f t="shared" si="1718"/>
        <v>Inbetriebnahme 07/2020</v>
      </c>
      <c r="D4968" s="526" t="str">
        <f t="shared" si="1730"/>
        <v>10 - 40 kW</v>
      </c>
      <c r="E4968" s="526"/>
      <c r="F4968" s="538">
        <f t="shared" si="1719"/>
        <v>8.7799999999999994</v>
      </c>
      <c r="G4968" s="538">
        <f t="shared" si="1720"/>
        <v>9.18</v>
      </c>
      <c r="H4968" s="537">
        <f t="shared" si="1721"/>
        <v>7.34</v>
      </c>
      <c r="I4968" s="537">
        <f t="shared" si="1725"/>
        <v>0.28000000000000003</v>
      </c>
      <c r="J4968" s="549">
        <v>43951</v>
      </c>
      <c r="K4968" s="11"/>
      <c r="L4968" s="102"/>
      <c r="M4968" s="339"/>
      <c r="O4968" s="259"/>
    </row>
    <row r="4969" spans="1:24" x14ac:dyDescent="0.35">
      <c r="A4969" s="527" t="str">
        <f>"SgK4822--"&amp;RIGHT(A4968,5)</f>
        <v>SgK4822--Jul20</v>
      </c>
      <c r="B4969" s="526" t="s">
        <v>5434</v>
      </c>
      <c r="C4969" s="526" t="str">
        <f t="shared" si="1718"/>
        <v>Inbetriebnahme 07/2020</v>
      </c>
      <c r="D4969" s="526" t="str">
        <f t="shared" si="1730"/>
        <v>40 - 750 kW</v>
      </c>
      <c r="E4969" s="526"/>
      <c r="F4969" s="538">
        <f t="shared" si="1719"/>
        <v>6.89</v>
      </c>
      <c r="G4969" s="538">
        <f t="shared" si="1720"/>
        <v>7.29</v>
      </c>
      <c r="H4969" s="537">
        <f t="shared" si="1721"/>
        <v>5.83</v>
      </c>
      <c r="I4969" s="537">
        <f t="shared" si="1725"/>
        <v>-1.1100000000000001</v>
      </c>
      <c r="J4969" s="549">
        <v>43951</v>
      </c>
      <c r="K4969" s="11"/>
      <c r="L4969" s="102"/>
      <c r="M4969" s="339"/>
      <c r="O4969" s="259"/>
    </row>
    <row r="4970" spans="1:24" x14ac:dyDescent="0.35">
      <c r="A4970" s="527" t="s">
        <v>6589</v>
      </c>
      <c r="B4970" s="526" t="s">
        <v>5434</v>
      </c>
      <c r="C4970" s="526" t="str">
        <f t="shared" si="1718"/>
        <v>Inbetriebnahme 08/2020</v>
      </c>
      <c r="D4970" s="526" t="str">
        <f t="shared" si="1730"/>
        <v>0 - 10 kW</v>
      </c>
      <c r="E4970" s="526"/>
      <c r="F4970" s="538">
        <f t="shared" si="1719"/>
        <v>8.9</v>
      </c>
      <c r="G4970" s="538">
        <f t="shared" si="1720"/>
        <v>9.3000000000000007</v>
      </c>
      <c r="H4970" s="537">
        <f t="shared" si="1721"/>
        <v>7.44</v>
      </c>
      <c r="I4970" s="537">
        <f t="shared" si="1725"/>
        <v>0.4</v>
      </c>
      <c r="J4970" s="549">
        <v>44064</v>
      </c>
      <c r="K4970" s="11"/>
      <c r="L4970" s="102"/>
      <c r="M4970" s="339"/>
      <c r="O4970" s="259"/>
    </row>
    <row r="4971" spans="1:24" x14ac:dyDescent="0.35">
      <c r="A4971" s="527" t="str">
        <f>"SgK4821--"&amp;RIGHT(A4970,5)</f>
        <v>SgK4821--Aug20</v>
      </c>
      <c r="B4971" s="526" t="s">
        <v>5434</v>
      </c>
      <c r="C4971" s="526" t="str">
        <f t="shared" si="1718"/>
        <v>Inbetriebnahme 08/2020</v>
      </c>
      <c r="D4971" s="526" t="str">
        <f t="shared" si="1730"/>
        <v>10 - 40 kW</v>
      </c>
      <c r="E4971" s="526"/>
      <c r="F4971" s="538">
        <f t="shared" si="1719"/>
        <v>8.65</v>
      </c>
      <c r="G4971" s="538">
        <f t="shared" si="1720"/>
        <v>9.0500000000000007</v>
      </c>
      <c r="H4971" s="537">
        <f t="shared" si="1721"/>
        <v>7.24</v>
      </c>
      <c r="I4971" s="537">
        <f t="shared" si="1725"/>
        <v>0.15</v>
      </c>
      <c r="J4971" s="549">
        <v>44064</v>
      </c>
      <c r="K4971" s="11"/>
      <c r="L4971" s="102"/>
      <c r="M4971" s="339"/>
      <c r="O4971" s="259"/>
    </row>
    <row r="4972" spans="1:24" x14ac:dyDescent="0.35">
      <c r="A4972" s="527" t="str">
        <f>"SgK4822--"&amp;RIGHT(A4971,5)</f>
        <v>SgK4822--Aug20</v>
      </c>
      <c r="B4972" s="526" t="s">
        <v>5434</v>
      </c>
      <c r="C4972" s="526" t="str">
        <f t="shared" si="1718"/>
        <v>Inbetriebnahme 08/2020</v>
      </c>
      <c r="D4972" s="526" t="str">
        <f t="shared" si="1730"/>
        <v>40 - 750 kW</v>
      </c>
      <c r="E4972" s="526"/>
      <c r="F4972" s="538">
        <f t="shared" si="1719"/>
        <v>6.79</v>
      </c>
      <c r="G4972" s="538">
        <f t="shared" si="1720"/>
        <v>7.19</v>
      </c>
      <c r="H4972" s="537">
        <f t="shared" si="1721"/>
        <v>5.75</v>
      </c>
      <c r="I4972" s="537">
        <f t="shared" si="1725"/>
        <v>-1.21</v>
      </c>
      <c r="J4972" s="549">
        <v>44064</v>
      </c>
      <c r="M4972" s="339"/>
      <c r="O4972" s="259"/>
    </row>
    <row r="4973" spans="1:24" x14ac:dyDescent="0.35">
      <c r="A4973" s="527" t="s">
        <v>6590</v>
      </c>
      <c r="B4973" s="526" t="s">
        <v>5434</v>
      </c>
      <c r="C4973" s="526" t="str">
        <f t="shared" si="1718"/>
        <v>Inbetriebnahme 09/2020</v>
      </c>
      <c r="D4973" s="526" t="str">
        <f t="shared" si="1730"/>
        <v>0 - 10 kW</v>
      </c>
      <c r="E4973" s="526"/>
      <c r="F4973" s="538">
        <f t="shared" si="1719"/>
        <v>8.77</v>
      </c>
      <c r="G4973" s="538">
        <f t="shared" si="1720"/>
        <v>9.17</v>
      </c>
      <c r="H4973" s="537">
        <f t="shared" si="1721"/>
        <v>7.34</v>
      </c>
      <c r="I4973" s="537">
        <f t="shared" si="1725"/>
        <v>0.27</v>
      </c>
      <c r="J4973" s="549">
        <v>44064</v>
      </c>
    </row>
    <row r="4974" spans="1:24" x14ac:dyDescent="0.35">
      <c r="A4974" s="527" t="str">
        <f>"SgK4821--"&amp;RIGHT(A4973,5)</f>
        <v>SgK4821--Sep20</v>
      </c>
      <c r="B4974" s="526" t="s">
        <v>5434</v>
      </c>
      <c r="C4974" s="526" t="str">
        <f t="shared" si="1718"/>
        <v>Inbetriebnahme 09/2020</v>
      </c>
      <c r="D4974" s="526" t="str">
        <f t="shared" si="1730"/>
        <v>10 - 40 kW</v>
      </c>
      <c r="E4974" s="526"/>
      <c r="F4974" s="538">
        <f t="shared" si="1719"/>
        <v>8.5299999999999994</v>
      </c>
      <c r="G4974" s="538">
        <f t="shared" si="1720"/>
        <v>8.93</v>
      </c>
      <c r="H4974" s="537">
        <f t="shared" si="1721"/>
        <v>7.14</v>
      </c>
      <c r="I4974" s="537">
        <f t="shared" si="1725"/>
        <v>0.03</v>
      </c>
      <c r="J4974" s="549">
        <v>44064</v>
      </c>
    </row>
    <row r="4975" spans="1:24" x14ac:dyDescent="0.35">
      <c r="A4975" s="527" t="str">
        <f>"SgK4822--"&amp;RIGHT(A4974,5)</f>
        <v>SgK4822--Sep20</v>
      </c>
      <c r="B4975" s="526" t="s">
        <v>5434</v>
      </c>
      <c r="C4975" s="526" t="str">
        <f t="shared" si="1718"/>
        <v>Inbetriebnahme 09/2020</v>
      </c>
      <c r="D4975" s="526" t="str">
        <f t="shared" si="1730"/>
        <v>40 - 750 kW</v>
      </c>
      <c r="E4975" s="526"/>
      <c r="F4975" s="538">
        <f t="shared" si="1719"/>
        <v>6.69</v>
      </c>
      <c r="G4975" s="538">
        <f t="shared" si="1720"/>
        <v>7.09</v>
      </c>
      <c r="H4975" s="537">
        <f t="shared" si="1721"/>
        <v>5.67</v>
      </c>
      <c r="I4975" s="537">
        <f t="shared" si="1725"/>
        <v>-1.31</v>
      </c>
      <c r="J4975" s="549">
        <v>44064</v>
      </c>
    </row>
    <row r="4976" spans="1:24" x14ac:dyDescent="0.35">
      <c r="A4976" s="527" t="s">
        <v>6591</v>
      </c>
      <c r="B4976" s="526" t="s">
        <v>5434</v>
      </c>
      <c r="C4976" s="526" t="str">
        <f t="shared" si="1718"/>
        <v>Inbetriebnahme 10/2020</v>
      </c>
      <c r="D4976" s="526" t="str">
        <f t="shared" si="1730"/>
        <v>0 - 10 kW</v>
      </c>
      <c r="E4976" s="526"/>
      <c r="F4976" s="538">
        <f t="shared" si="1719"/>
        <v>8.64</v>
      </c>
      <c r="G4976" s="538">
        <f t="shared" si="1720"/>
        <v>9.0399999999999991</v>
      </c>
      <c r="H4976" s="537">
        <f t="shared" si="1721"/>
        <v>7.23</v>
      </c>
      <c r="I4976" s="537">
        <f t="shared" si="1725"/>
        <v>0.14000000000000001</v>
      </c>
      <c r="J4976" s="549">
        <v>44064</v>
      </c>
      <c r="O4976" s="322"/>
      <c r="P4976" s="261" t="str">
        <f>IF($O4976&lt;&gt;"",(1-$O4976)*P4960,"")</f>
        <v/>
      </c>
      <c r="Q4976" s="261" t="str">
        <f>IF($O4976&lt;&gt;"",(1-$O4976)*Q4960,"")</f>
        <v/>
      </c>
      <c r="R4976" s="261" t="str">
        <f>IF($O4976&lt;&gt;"",(1-$O4976)*R4960,"")</f>
        <v/>
      </c>
      <c r="S4976" s="261" t="str">
        <f>IF($O4976&lt;&gt;"",(1-$O4976)*S4960,"")</f>
        <v/>
      </c>
      <c r="U4976" s="261" t="str">
        <f>IF($O4976&lt;&gt;"",(1-$O4976)*U4960,"")</f>
        <v/>
      </c>
      <c r="V4976" s="261" t="str">
        <f>IF($O4976&lt;&gt;"",(1-$O4976)*V4960,"")</f>
        <v/>
      </c>
      <c r="W4976" s="261" t="str">
        <f>IF($O4976&lt;&gt;"",(1-$O4976)*W4960,"")</f>
        <v/>
      </c>
      <c r="X4976" s="261" t="str">
        <f>IF($O4976&lt;&gt;"",(1-$O4976)*X4960,"")</f>
        <v/>
      </c>
    </row>
    <row r="4977" spans="1:28" x14ac:dyDescent="0.35">
      <c r="A4977" s="527" t="str">
        <f>"SgK4821--"&amp;RIGHT(A4976,5)</f>
        <v>SgK4821--Okt20</v>
      </c>
      <c r="B4977" s="526" t="s">
        <v>5434</v>
      </c>
      <c r="C4977" s="526" t="str">
        <f t="shared" si="1718"/>
        <v>Inbetriebnahme 10/2020</v>
      </c>
      <c r="D4977" s="526" t="str">
        <f t="shared" si="1730"/>
        <v>10 - 40 kW</v>
      </c>
      <c r="E4977" s="526"/>
      <c r="F4977" s="538">
        <f t="shared" si="1719"/>
        <v>8.4</v>
      </c>
      <c r="G4977" s="538">
        <f t="shared" si="1720"/>
        <v>8.8000000000000007</v>
      </c>
      <c r="H4977" s="537">
        <f t="shared" si="1721"/>
        <v>7.04</v>
      </c>
      <c r="I4977" s="537">
        <f t="shared" si="1725"/>
        <v>-0.1</v>
      </c>
      <c r="J4977" s="549">
        <v>44064</v>
      </c>
      <c r="O4977" s="322"/>
      <c r="P4977" s="261" t="str">
        <f>IF($O4977&lt;&gt;"",(1-$O4977)*P4960,"")</f>
        <v/>
      </c>
      <c r="Q4977" s="261" t="str">
        <f>IF($O4977&lt;&gt;"",(1-$O4977)*Q4960,"")</f>
        <v/>
      </c>
      <c r="R4977" s="261" t="str">
        <f>IF($O4977&lt;&gt;"",(1-$O4977)*R4960,"")</f>
        <v/>
      </c>
      <c r="S4977" s="261" t="str">
        <f>IF($O4977&lt;&gt;"",(1-$O4977)*S4960,"")</f>
        <v/>
      </c>
      <c r="U4977" s="261" t="str">
        <f>IF($O4977&lt;&gt;"",(1-$O4977)*U4960,"")</f>
        <v/>
      </c>
      <c r="V4977" s="261" t="str">
        <f>IF($O4977&lt;&gt;"",(1-$O4977)*V4960,"")</f>
        <v/>
      </c>
      <c r="W4977" s="261" t="str">
        <f>IF($O4977&lt;&gt;"",(1-$O4977)*W4960,"")</f>
        <v/>
      </c>
      <c r="X4977" s="261" t="str">
        <f>IF($O4977&lt;&gt;"",(1-$O4977)*X4960,"")</f>
        <v/>
      </c>
    </row>
    <row r="4978" spans="1:28" x14ac:dyDescent="0.35">
      <c r="A4978" s="527" t="str">
        <f>"SgK4822--"&amp;RIGHT(A4977,5)</f>
        <v>SgK4822--Okt20</v>
      </c>
      <c r="B4978" s="526" t="s">
        <v>5434</v>
      </c>
      <c r="C4978" s="526" t="str">
        <f t="shared" si="1718"/>
        <v>Inbetriebnahme 10/2020</v>
      </c>
      <c r="D4978" s="526" t="str">
        <f t="shared" si="1730"/>
        <v>40 - 750 kW</v>
      </c>
      <c r="E4978" s="526"/>
      <c r="F4978" s="538">
        <f t="shared" si="1719"/>
        <v>6.59</v>
      </c>
      <c r="G4978" s="538">
        <f t="shared" si="1720"/>
        <v>6.99</v>
      </c>
      <c r="H4978" s="537">
        <f t="shared" si="1721"/>
        <v>5.59</v>
      </c>
      <c r="I4978" s="537">
        <f t="shared" si="1725"/>
        <v>-1.41</v>
      </c>
      <c r="J4978" s="549">
        <v>44064</v>
      </c>
      <c r="O4978" s="322"/>
      <c r="P4978" s="261" t="str">
        <f>IF($O4978&lt;&gt;"",(1-$O4978)*P4976,"")</f>
        <v/>
      </c>
      <c r="Q4978" s="261" t="str">
        <f>IF($O4978&lt;&gt;"",(1-$O4978)*Q4976,"")</f>
        <v/>
      </c>
      <c r="R4978" s="261" t="str">
        <f>IF($O4978&lt;&gt;"",(1-$O4978)*R4976,"")</f>
        <v/>
      </c>
      <c r="S4978" s="261" t="str">
        <f>IF($O4978&lt;&gt;"",(1-$O4978)*S4976,"")</f>
        <v/>
      </c>
      <c r="U4978" s="261" t="str">
        <f>IF($O4978&lt;&gt;"",(1-$O4978)*U4976,"")</f>
        <v/>
      </c>
      <c r="V4978" s="261" t="str">
        <f>IF($O4978&lt;&gt;"",(1-$O4978)*V4976,"")</f>
        <v/>
      </c>
      <c r="W4978" s="261" t="str">
        <f>IF($O4978&lt;&gt;"",(1-$O4978)*W4976,"")</f>
        <v/>
      </c>
      <c r="X4978" s="261" t="str">
        <f>IF($O4978&lt;&gt;"",(1-$O4978)*X4976,"")</f>
        <v/>
      </c>
    </row>
    <row r="4979" spans="1:28" x14ac:dyDescent="0.35">
      <c r="A4979" s="527" t="s">
        <v>6592</v>
      </c>
      <c r="B4979" s="526" t="s">
        <v>5434</v>
      </c>
      <c r="C4979" s="526" t="str">
        <f t="shared" si="1718"/>
        <v>Inbetriebnahme 11/2020</v>
      </c>
      <c r="D4979" s="526" t="str">
        <f t="shared" si="1730"/>
        <v>0 - 10 kW</v>
      </c>
      <c r="E4979" s="526"/>
      <c r="F4979" s="538">
        <f t="shared" si="1719"/>
        <v>8.48</v>
      </c>
      <c r="G4979" s="538">
        <f t="shared" si="1720"/>
        <v>8.8800000000000008</v>
      </c>
      <c r="H4979" s="537">
        <f t="shared" si="1721"/>
        <v>7.1</v>
      </c>
      <c r="I4979" s="537">
        <f t="shared" si="1725"/>
        <v>-0.02</v>
      </c>
      <c r="J4979" s="549">
        <v>44140</v>
      </c>
      <c r="O4979" s="322"/>
      <c r="P4979" s="261" t="str">
        <f>IF($O4979&lt;&gt;"",(1-$O4979)*#REF!,"")</f>
        <v/>
      </c>
      <c r="Q4979" s="261" t="str">
        <f>IF($O4979&lt;&gt;"",(1-$O4979)*#REF!,"")</f>
        <v/>
      </c>
      <c r="R4979" s="261" t="str">
        <f>IF($O4979&lt;&gt;"",(1-$O4979)*#REF!,"")</f>
        <v/>
      </c>
      <c r="S4979" s="261" t="str">
        <f>IF($O4979&lt;&gt;"",(1-$O4979)*#REF!,"")</f>
        <v/>
      </c>
      <c r="U4979" s="261" t="str">
        <f>IF($O4979&lt;&gt;"",(1-$O4979)*#REF!,"")</f>
        <v/>
      </c>
      <c r="V4979" s="261" t="str">
        <f>IF($O4979&lt;&gt;"",(1-$O4979)*#REF!,"")</f>
        <v/>
      </c>
      <c r="W4979" s="261" t="str">
        <f>IF($O4979&lt;&gt;"",(1-$O4979)*#REF!,"")</f>
        <v/>
      </c>
      <c r="X4979" s="261" t="str">
        <f>IF($O4979&lt;&gt;"",(1-$O4979)*#REF!,"")</f>
        <v/>
      </c>
    </row>
    <row r="4980" spans="1:28" x14ac:dyDescent="0.35">
      <c r="A4980" s="527" t="str">
        <f>"SgK4821--"&amp;RIGHT(A4979,5)</f>
        <v>SgK4821--Nov20</v>
      </c>
      <c r="B4980" s="526" t="s">
        <v>5434</v>
      </c>
      <c r="C4980" s="526" t="str">
        <f t="shared" si="1718"/>
        <v>Inbetriebnahme 11/2020</v>
      </c>
      <c r="D4980" s="526" t="str">
        <f t="shared" si="1730"/>
        <v>10 - 40 kW</v>
      </c>
      <c r="E4980" s="526"/>
      <c r="F4980" s="538">
        <f t="shared" si="1719"/>
        <v>8.24</v>
      </c>
      <c r="G4980" s="538">
        <f t="shared" si="1720"/>
        <v>8.64</v>
      </c>
      <c r="H4980" s="537">
        <f t="shared" si="1721"/>
        <v>6.91</v>
      </c>
      <c r="I4980" s="537">
        <f t="shared" si="1725"/>
        <v>-0.26</v>
      </c>
      <c r="J4980" s="549">
        <v>44140</v>
      </c>
      <c r="O4980" s="322"/>
      <c r="P4980" s="261" t="str">
        <f>IF($O4980&lt;&gt;"",(1-$O4980)*#REF!,"")</f>
        <v/>
      </c>
      <c r="Q4980" s="261" t="str">
        <f>IF($O4980&lt;&gt;"",(1-$O4980)*#REF!,"")</f>
        <v/>
      </c>
      <c r="R4980" s="261" t="str">
        <f>IF($O4980&lt;&gt;"",(1-$O4980)*#REF!,"")</f>
        <v/>
      </c>
      <c r="S4980" s="261" t="str">
        <f>IF($O4980&lt;&gt;"",(1-$O4980)*#REF!,"")</f>
        <v/>
      </c>
      <c r="U4980" s="261" t="str">
        <f>IF($O4980&lt;&gt;"",(1-$O4980)*#REF!,"")</f>
        <v/>
      </c>
      <c r="V4980" s="261" t="str">
        <f>IF($O4980&lt;&gt;"",(1-$O4980)*#REF!,"")</f>
        <v/>
      </c>
      <c r="W4980" s="261" t="str">
        <f>IF($O4980&lt;&gt;"",(1-$O4980)*#REF!,"")</f>
        <v/>
      </c>
      <c r="X4980" s="261" t="str">
        <f>IF($O4980&lt;&gt;"",(1-$O4980)*#REF!,"")</f>
        <v/>
      </c>
    </row>
    <row r="4981" spans="1:28" x14ac:dyDescent="0.35">
      <c r="A4981" s="527" t="str">
        <f>"SgK4822--"&amp;RIGHT(A4980,5)</f>
        <v>SgK4822--Nov20</v>
      </c>
      <c r="B4981" s="526" t="s">
        <v>5434</v>
      </c>
      <c r="C4981" s="526" t="str">
        <f t="shared" si="1718"/>
        <v>Inbetriebnahme 11/2020</v>
      </c>
      <c r="D4981" s="526" t="str">
        <f t="shared" si="1730"/>
        <v>40 - 750 kW</v>
      </c>
      <c r="E4981" s="526"/>
      <c r="F4981" s="538">
        <f t="shared" si="1719"/>
        <v>6.46</v>
      </c>
      <c r="G4981" s="538">
        <f t="shared" si="1720"/>
        <v>6.86</v>
      </c>
      <c r="H4981" s="537">
        <f t="shared" si="1721"/>
        <v>5.49</v>
      </c>
      <c r="I4981" s="537">
        <f t="shared" si="1725"/>
        <v>-1.54</v>
      </c>
      <c r="J4981" s="549">
        <v>44140</v>
      </c>
      <c r="O4981" s="322"/>
      <c r="P4981" s="261" t="str">
        <f>IF($O4981&lt;&gt;"",(1-$O4981)*P4979,"")</f>
        <v/>
      </c>
      <c r="Q4981" s="261" t="str">
        <f>IF($O4981&lt;&gt;"",(1-$O4981)*Q4979,"")</f>
        <v/>
      </c>
      <c r="R4981" s="261" t="str">
        <f>IF($O4981&lt;&gt;"",(1-$O4981)*R4979,"")</f>
        <v/>
      </c>
      <c r="S4981" s="261" t="str">
        <f>IF($O4981&lt;&gt;"",(1-$O4981)*S4979,"")</f>
        <v/>
      </c>
      <c r="U4981" s="261" t="str">
        <f>IF($O4981&lt;&gt;"",(1-$O4981)*U4979,"")</f>
        <v/>
      </c>
      <c r="V4981" s="261" t="str">
        <f>IF($O4981&lt;&gt;"",(1-$O4981)*V4979,"")</f>
        <v/>
      </c>
      <c r="W4981" s="261" t="str">
        <f>IF($O4981&lt;&gt;"",(1-$O4981)*W4979,"")</f>
        <v/>
      </c>
      <c r="X4981" s="261" t="str">
        <f>IF($O4981&lt;&gt;"",(1-$O4981)*X4979,"")</f>
        <v/>
      </c>
    </row>
    <row r="4982" spans="1:28" x14ac:dyDescent="0.35">
      <c r="A4982" s="527" t="s">
        <v>6593</v>
      </c>
      <c r="B4982" s="526" t="s">
        <v>5434</v>
      </c>
      <c r="C4982" s="526" t="str">
        <f t="shared" si="1718"/>
        <v>Inbetriebnahme 12/2020</v>
      </c>
      <c r="D4982" s="526" t="str">
        <f t="shared" si="1730"/>
        <v>0 - 10 kW</v>
      </c>
      <c r="E4982" s="526"/>
      <c r="F4982" s="538">
        <f t="shared" si="1719"/>
        <v>8.32</v>
      </c>
      <c r="G4982" s="538">
        <f t="shared" si="1720"/>
        <v>8.7200000000000006</v>
      </c>
      <c r="H4982" s="537">
        <f t="shared" si="1721"/>
        <v>6.98</v>
      </c>
      <c r="I4982" s="537">
        <f t="shared" si="1725"/>
        <v>-0.18</v>
      </c>
      <c r="J4982" s="549">
        <v>44140</v>
      </c>
      <c r="O4982" s="322"/>
      <c r="P4982" s="261" t="str">
        <f>IF($O4982&lt;&gt;"",(1-$O4982)*#REF!,"")</f>
        <v/>
      </c>
      <c r="Q4982" s="261" t="str">
        <f>IF($O4982&lt;&gt;"",(1-$O4982)*#REF!,"")</f>
        <v/>
      </c>
      <c r="R4982" s="261" t="str">
        <f>IF($O4982&lt;&gt;"",(1-$O4982)*#REF!,"")</f>
        <v/>
      </c>
      <c r="S4982" s="261" t="str">
        <f>IF($O4982&lt;&gt;"",(1-$O4982)*#REF!,"")</f>
        <v/>
      </c>
      <c r="U4982" s="261" t="str">
        <f>IF($O4982&lt;&gt;"",(1-$O4982)*#REF!,"")</f>
        <v/>
      </c>
      <c r="V4982" s="261" t="str">
        <f>IF($O4982&lt;&gt;"",(1-$O4982)*#REF!,"")</f>
        <v/>
      </c>
      <c r="W4982" s="261" t="str">
        <f>IF($O4982&lt;&gt;"",(1-$O4982)*#REF!,"")</f>
        <v/>
      </c>
      <c r="X4982" s="261" t="str">
        <f>IF($O4982&lt;&gt;"",(1-$O4982)*#REF!,"")</f>
        <v/>
      </c>
    </row>
    <row r="4983" spans="1:28" x14ac:dyDescent="0.35">
      <c r="A4983" s="527" t="str">
        <f>"SgK4821--"&amp;RIGHT(A4982,5)</f>
        <v>SgK4821--Dez20</v>
      </c>
      <c r="B4983" s="526" t="s">
        <v>5434</v>
      </c>
      <c r="C4983" s="526" t="str">
        <f t="shared" si="1718"/>
        <v>Inbetriebnahme 12/2020</v>
      </c>
      <c r="D4983" s="526" t="str">
        <f t="shared" si="1730"/>
        <v>10 - 40 kW</v>
      </c>
      <c r="E4983" s="526"/>
      <c r="F4983" s="538">
        <f t="shared" si="1719"/>
        <v>8.09</v>
      </c>
      <c r="G4983" s="538">
        <f t="shared" si="1720"/>
        <v>8.49</v>
      </c>
      <c r="H4983" s="537">
        <f t="shared" si="1721"/>
        <v>6.79</v>
      </c>
      <c r="I4983" s="537">
        <f t="shared" si="1725"/>
        <v>-0.41</v>
      </c>
      <c r="J4983" s="549">
        <v>44140</v>
      </c>
      <c r="O4983" s="322"/>
      <c r="P4983" s="261" t="str">
        <f>IF($O4983&lt;&gt;"",(1-$O4983)*#REF!,"")</f>
        <v/>
      </c>
      <c r="Q4983" s="261" t="str">
        <f>IF($O4983&lt;&gt;"",(1-$O4983)*#REF!,"")</f>
        <v/>
      </c>
      <c r="R4983" s="261" t="str">
        <f>IF($O4983&lt;&gt;"",(1-$O4983)*#REF!,"")</f>
        <v/>
      </c>
      <c r="S4983" s="261" t="str">
        <f>IF($O4983&lt;&gt;"",(1-$O4983)*#REF!,"")</f>
        <v/>
      </c>
      <c r="U4983" s="261" t="str">
        <f>IF($O4983&lt;&gt;"",(1-$O4983)*#REF!,"")</f>
        <v/>
      </c>
      <c r="V4983" s="261" t="str">
        <f>IF($O4983&lt;&gt;"",(1-$O4983)*#REF!,"")</f>
        <v/>
      </c>
      <c r="W4983" s="261" t="str">
        <f>IF($O4983&lt;&gt;"",(1-$O4983)*#REF!,"")</f>
        <v/>
      </c>
      <c r="X4983" s="261" t="str">
        <f>IF($O4983&lt;&gt;"",(1-$O4983)*#REF!,"")</f>
        <v/>
      </c>
    </row>
    <row r="4984" spans="1:28" ht="14.25" customHeight="1" x14ac:dyDescent="0.35">
      <c r="A4984" s="527" t="str">
        <f>"SgK4822--"&amp;RIGHT(A4983,5)</f>
        <v>SgK4822--Dez20</v>
      </c>
      <c r="B4984" s="526" t="s">
        <v>5434</v>
      </c>
      <c r="C4984" s="526" t="str">
        <f t="shared" si="1718"/>
        <v>Inbetriebnahme 12/2020</v>
      </c>
      <c r="D4984" s="526" t="str">
        <f t="shared" si="1730"/>
        <v>40 - 750 kW</v>
      </c>
      <c r="E4984" s="526"/>
      <c r="F4984" s="538">
        <f t="shared" si="1719"/>
        <v>6.34</v>
      </c>
      <c r="G4984" s="538">
        <f t="shared" si="1720"/>
        <v>6.74</v>
      </c>
      <c r="H4984" s="537">
        <f t="shared" si="1721"/>
        <v>5.39</v>
      </c>
      <c r="I4984" s="537">
        <f t="shared" si="1725"/>
        <v>-1.66</v>
      </c>
      <c r="J4984" s="549">
        <v>44140</v>
      </c>
      <c r="O4984" s="322"/>
      <c r="P4984" s="261" t="str">
        <f>IF($O4984&lt;&gt;"",(1-$O4984)*P4982,"")</f>
        <v/>
      </c>
      <c r="Q4984" s="261" t="str">
        <f>IF($O4984&lt;&gt;"",(1-$O4984)*Q4982,"")</f>
        <v/>
      </c>
      <c r="R4984" s="261" t="str">
        <f>IF($O4984&lt;&gt;"",(1-$O4984)*R4982,"")</f>
        <v/>
      </c>
      <c r="S4984" s="261" t="str">
        <f>IF($O4984&lt;&gt;"",(1-$O4984)*S4982,"")</f>
        <v/>
      </c>
      <c r="U4984" s="261" t="str">
        <f>IF($O4984&lt;&gt;"",(1-$O4984)*U4982,"")</f>
        <v/>
      </c>
      <c r="V4984" s="261" t="str">
        <f>IF($O4984&lt;&gt;"",(1-$O4984)*V4982,"")</f>
        <v/>
      </c>
      <c r="W4984" s="261" t="str">
        <f>IF($O4984&lt;&gt;"",(1-$O4984)*W4982,"")</f>
        <v/>
      </c>
      <c r="X4984" s="261" t="str">
        <f>IF($O4984&lt;&gt;"",(1-$O4984)*X4982,"")</f>
        <v/>
      </c>
    </row>
    <row r="4985" spans="1:28" x14ac:dyDescent="0.35">
      <c r="A4985" s="496"/>
      <c r="B4985" s="1"/>
      <c r="C4985" s="1"/>
      <c r="D4985" s="1"/>
      <c r="E4985" s="1"/>
      <c r="F4985" s="362"/>
      <c r="G4985" s="10"/>
      <c r="H4985" s="10"/>
      <c r="I4985" s="566"/>
      <c r="J4985" s="549" t="s">
        <v>4179</v>
      </c>
      <c r="K4985" s="11"/>
      <c r="N4985" s="109" t="s">
        <v>3901</v>
      </c>
      <c r="O4985" s="29" t="s">
        <v>5489</v>
      </c>
      <c r="P4985" t="s">
        <v>3918</v>
      </c>
      <c r="Q4985" t="s">
        <v>3919</v>
      </c>
      <c r="R4985" t="s">
        <v>7439</v>
      </c>
      <c r="T4985" t="s">
        <v>49</v>
      </c>
      <c r="U4985" t="s">
        <v>3918</v>
      </c>
      <c r="V4985" t="s">
        <v>3919</v>
      </c>
      <c r="W4985" t="s">
        <v>7439</v>
      </c>
    </row>
    <row r="4986" spans="1:28" x14ac:dyDescent="0.35">
      <c r="A4986" s="527" t="str">
        <f>"SgK4820--"&amp;RIGHT(N4986,5)</f>
        <v>SgK4820--Jan21</v>
      </c>
      <c r="B4986" s="526" t="s">
        <v>5434</v>
      </c>
      <c r="C4986" s="526" t="str">
        <f t="shared" ref="C4986:C5021" si="1731">"Inbetriebnahme "&amp;TEXT(DATEVALUE(RIGHT(A4986,5)),"MM/JJJJ")</f>
        <v>Inbetriebnahme 01/2021</v>
      </c>
      <c r="D4986" s="526" t="str">
        <f>$Q$4687</f>
        <v>0 - 10 kW</v>
      </c>
      <c r="E4986" s="526"/>
      <c r="F4986" s="639">
        <f t="shared" ref="F4986:F5021" si="1732">IF(HLOOKUP($D4986,$U$4985:$W$4997,MATCH(RIGHT($A4986,5),$N$4985:$N$4997,0),FALSE)&lt;&gt;"",ROUND(HLOOKUP($D4986,$U$4985:$W$4997,MATCH(RIGHT($A4986,5),$N$4985:$N$4997,0),FALSE),2),"")</f>
        <v>8.16</v>
      </c>
      <c r="G4986" s="639">
        <f t="shared" ref="G4986:G5021" si="1733">IF(HLOOKUP($D4986,$P$4985:$R$4997,MATCH(RIGHT($A4986,5),$N$4985:$N$4997,0),FALSE)&lt;&gt;"",ROUND(HLOOKUP($D4986,$P$4985:$R$4997,MATCH(RIGHT($A4986,5),$N$4985:$N$4997,0),FALSE),2),"")</f>
        <v>8.56</v>
      </c>
      <c r="H4986" s="641">
        <f t="shared" ref="H4986:H5021" si="1734">IF(ISNUMBER($G4986),ROUND(0.8*$G4986,2),"")</f>
        <v>6.85</v>
      </c>
      <c r="I4986" s="641"/>
      <c r="J4986" s="549">
        <v>44424</v>
      </c>
      <c r="K4986" s="11"/>
      <c r="M4986" s="101">
        <v>2021</v>
      </c>
      <c r="N4986" s="522" t="s">
        <v>6679</v>
      </c>
      <c r="O4986" s="461" t="s">
        <v>7532</v>
      </c>
      <c r="P4986" s="11">
        <v>8.56</v>
      </c>
      <c r="Q4986" s="11">
        <v>8.33</v>
      </c>
      <c r="R4986" s="630">
        <v>6.62</v>
      </c>
      <c r="S4986" s="11"/>
      <c r="T4986" s="11"/>
      <c r="U4986" s="11">
        <f t="shared" ref="U4986:U4997" si="1735">IF($O4986&lt;&gt;"",P4986-0.4,"")</f>
        <v>8.16</v>
      </c>
      <c r="V4986" s="11">
        <f t="shared" ref="V4986:V4997" si="1736">IF($O4986&lt;&gt;"",Q4986-0.4,"")</f>
        <v>7.93</v>
      </c>
      <c r="W4986" s="11">
        <f t="shared" ref="W4986:W4997" si="1737">IF($O4986&lt;&gt;"",R4986-0.4,"")</f>
        <v>6.22</v>
      </c>
      <c r="X4986" s="11"/>
    </row>
    <row r="4987" spans="1:28" x14ac:dyDescent="0.35">
      <c r="A4987" s="527" t="str">
        <f>"SgK4821--"&amp;RIGHT(A4986,5)</f>
        <v>SgK4821--Jan21</v>
      </c>
      <c r="B4987" s="526" t="s">
        <v>5434</v>
      </c>
      <c r="C4987" s="526" t="str">
        <f t="shared" si="1731"/>
        <v>Inbetriebnahme 01/2021</v>
      </c>
      <c r="D4987" s="526" t="str">
        <f>$R$4687</f>
        <v>10 - 40 kW</v>
      </c>
      <c r="E4987" s="526"/>
      <c r="F4987" s="639">
        <f t="shared" si="1732"/>
        <v>7.93</v>
      </c>
      <c r="G4987" s="639">
        <f t="shared" si="1733"/>
        <v>8.33</v>
      </c>
      <c r="H4987" s="641">
        <f t="shared" si="1734"/>
        <v>6.66</v>
      </c>
      <c r="I4987" s="641"/>
      <c r="J4987" s="549">
        <v>44424</v>
      </c>
      <c r="K4987" s="11"/>
      <c r="M4987" s="339"/>
      <c r="N4987" s="266" t="str">
        <f t="shared" ref="N4987:N4997" si="1738">TEXT(DATE(YEAR(DATEVALUE(N4986)),MONTH(DATEVALUE(N4986))+1,1),"MMMJJ")</f>
        <v>Feb21</v>
      </c>
      <c r="O4987" s="461">
        <v>1.4E-2</v>
      </c>
      <c r="P4987" s="11">
        <f t="shared" ref="P4987:P4997" si="1739">IF($O4987&lt;&gt;"",P4986*(100%-$O4987),"")</f>
        <v>8.4401600000000006</v>
      </c>
      <c r="Q4987" s="11">
        <f t="shared" ref="Q4987:Q4997" si="1740">IF($O4987&lt;&gt;"",Q4986*(100%-$O4987),"")</f>
        <v>8.2133800000000008</v>
      </c>
      <c r="R4987" s="11">
        <f t="shared" ref="R4987:R4997" si="1741">IF($O4987&lt;&gt;"",R4986*(100%-$O4987),"")</f>
        <v>6.5273200000000005</v>
      </c>
      <c r="S4987" s="11"/>
      <c r="T4987" s="11"/>
      <c r="U4987" s="11">
        <f t="shared" si="1735"/>
        <v>8.0401600000000002</v>
      </c>
      <c r="V4987" s="11">
        <f t="shared" si="1736"/>
        <v>7.8133800000000004</v>
      </c>
      <c r="W4987" s="11">
        <f t="shared" si="1737"/>
        <v>6.1273200000000001</v>
      </c>
      <c r="X4987" s="11"/>
      <c r="Z4987" s="11"/>
      <c r="AA4987" s="11"/>
      <c r="AB4987" s="11"/>
    </row>
    <row r="4988" spans="1:28" x14ac:dyDescent="0.35">
      <c r="A4988" s="527" t="str">
        <f>"SgK4822--"&amp;RIGHT(A4987,5)</f>
        <v>SgK4822--Jan21</v>
      </c>
      <c r="B4988" s="526" t="s">
        <v>5434</v>
      </c>
      <c r="C4988" s="526" t="str">
        <f t="shared" si="1731"/>
        <v>Inbetriebnahme 01/2021</v>
      </c>
      <c r="D4988" s="526" t="s">
        <v>7439</v>
      </c>
      <c r="E4988" s="526"/>
      <c r="F4988" s="639">
        <f t="shared" si="1732"/>
        <v>6.22</v>
      </c>
      <c r="G4988" s="639">
        <f t="shared" si="1733"/>
        <v>6.62</v>
      </c>
      <c r="H4988" s="641">
        <f t="shared" si="1734"/>
        <v>5.3</v>
      </c>
      <c r="I4988" s="641"/>
      <c r="J4988" s="549">
        <v>44424</v>
      </c>
      <c r="K4988" s="11"/>
      <c r="M4988" s="339"/>
      <c r="N4988" s="266" t="str">
        <f t="shared" si="1738"/>
        <v>Mrz21</v>
      </c>
      <c r="O4988" s="461">
        <v>1.4E-2</v>
      </c>
      <c r="P4988" s="11">
        <f t="shared" si="1739"/>
        <v>8.3219977600000004</v>
      </c>
      <c r="Q4988" s="11">
        <f t="shared" si="1740"/>
        <v>8.0983926799999999</v>
      </c>
      <c r="R4988" s="11">
        <f t="shared" si="1741"/>
        <v>6.4359375200000004</v>
      </c>
      <c r="S4988" s="11"/>
      <c r="T4988" s="11"/>
      <c r="U4988" s="11">
        <f t="shared" si="1735"/>
        <v>7.92199776</v>
      </c>
      <c r="V4988" s="11">
        <f t="shared" si="1736"/>
        <v>7.6983926799999995</v>
      </c>
      <c r="W4988" s="11">
        <f t="shared" si="1737"/>
        <v>6.0359375200000001</v>
      </c>
      <c r="X4988" s="11"/>
      <c r="Z4988" s="11"/>
      <c r="AA4988" s="11"/>
      <c r="AB4988" s="11"/>
    </row>
    <row r="4989" spans="1:28" x14ac:dyDescent="0.35">
      <c r="A4989" s="527" t="str">
        <f>"SgK4820--"&amp;RIGHT(N4987,5)</f>
        <v>SgK4820--Feb21</v>
      </c>
      <c r="B4989" s="526" t="s">
        <v>5434</v>
      </c>
      <c r="C4989" s="526" t="str">
        <f t="shared" si="1731"/>
        <v>Inbetriebnahme 02/2021</v>
      </c>
      <c r="D4989" s="526" t="str">
        <f t="shared" ref="D4989:D5021" si="1742">D4986</f>
        <v>0 - 10 kW</v>
      </c>
      <c r="E4989" s="526"/>
      <c r="F4989" s="639">
        <f t="shared" si="1732"/>
        <v>8.0399999999999991</v>
      </c>
      <c r="G4989" s="639">
        <f t="shared" si="1733"/>
        <v>8.44</v>
      </c>
      <c r="H4989" s="641">
        <f t="shared" si="1734"/>
        <v>6.75</v>
      </c>
      <c r="I4989" s="641"/>
      <c r="J4989" s="549">
        <v>44424</v>
      </c>
      <c r="K4989" s="11"/>
      <c r="M4989" s="339"/>
      <c r="N4989" s="266" t="str">
        <f t="shared" si="1738"/>
        <v>Apr21</v>
      </c>
      <c r="O4989" s="461">
        <v>1.4E-2</v>
      </c>
      <c r="P4989" s="11">
        <f t="shared" si="1739"/>
        <v>8.2054897913599998</v>
      </c>
      <c r="Q4989" s="11">
        <f t="shared" si="1740"/>
        <v>7.9850151824799998</v>
      </c>
      <c r="R4989" s="11">
        <f t="shared" si="1741"/>
        <v>6.3458343947200007</v>
      </c>
      <c r="S4989" s="11"/>
      <c r="T4989" s="11"/>
      <c r="U4989" s="11">
        <f t="shared" si="1735"/>
        <v>7.8054897913599994</v>
      </c>
      <c r="V4989" s="11">
        <f t="shared" si="1736"/>
        <v>7.5850151824799994</v>
      </c>
      <c r="W4989" s="11">
        <f t="shared" si="1737"/>
        <v>5.9458343947200003</v>
      </c>
      <c r="X4989" s="11"/>
      <c r="Z4989" s="11">
        <f t="shared" ref="Z4989:Z4997" si="1743">IF($O4989&lt;&gt;"",Z4988*(100%-$O4989),"")</f>
        <v>0</v>
      </c>
      <c r="AA4989" s="11">
        <f t="shared" ref="AA4989:AA4997" si="1744">IF($O4989&lt;&gt;"",AA4988*(100%-$O4989),"")</f>
        <v>0</v>
      </c>
      <c r="AB4989" s="11">
        <f t="shared" ref="AB4989:AB4997" si="1745">IF($O4989&lt;&gt;"",AB4988*(100%-$O4989),"")</f>
        <v>0</v>
      </c>
    </row>
    <row r="4990" spans="1:28" x14ac:dyDescent="0.35">
      <c r="A4990" s="527" t="str">
        <f>"SgK4821--"&amp;RIGHT(A4989,5)</f>
        <v>SgK4821--Feb21</v>
      </c>
      <c r="B4990" s="526" t="s">
        <v>5434</v>
      </c>
      <c r="C4990" s="526" t="str">
        <f t="shared" si="1731"/>
        <v>Inbetriebnahme 02/2021</v>
      </c>
      <c r="D4990" s="526" t="str">
        <f t="shared" si="1742"/>
        <v>10 - 40 kW</v>
      </c>
      <c r="E4990" s="526"/>
      <c r="F4990" s="639">
        <f t="shared" si="1732"/>
        <v>7.81</v>
      </c>
      <c r="G4990" s="639">
        <f t="shared" si="1733"/>
        <v>8.2100000000000009</v>
      </c>
      <c r="H4990" s="641">
        <f t="shared" si="1734"/>
        <v>6.57</v>
      </c>
      <c r="I4990" s="641"/>
      <c r="J4990" s="549">
        <v>44424</v>
      </c>
      <c r="K4990" s="11"/>
      <c r="M4990" s="339"/>
      <c r="N4990" s="266" t="str">
        <f t="shared" si="1738"/>
        <v>Mai21</v>
      </c>
      <c r="O4990" s="461">
        <v>1.4E-2</v>
      </c>
      <c r="P4990" s="11">
        <f t="shared" si="1739"/>
        <v>8.0906129342809603</v>
      </c>
      <c r="Q4990" s="11">
        <f t="shared" si="1740"/>
        <v>7.8732249699252801</v>
      </c>
      <c r="R4990" s="11">
        <f t="shared" si="1741"/>
        <v>6.2569927131939203</v>
      </c>
      <c r="S4990" s="11"/>
      <c r="T4990" s="11"/>
      <c r="U4990" s="11">
        <f t="shared" si="1735"/>
        <v>7.6906129342809599</v>
      </c>
      <c r="V4990" s="11">
        <f t="shared" si="1736"/>
        <v>7.4732249699252797</v>
      </c>
      <c r="W4990" s="11">
        <f t="shared" si="1737"/>
        <v>5.8569927131939199</v>
      </c>
      <c r="X4990" s="11"/>
      <c r="Z4990" s="11">
        <f t="shared" si="1743"/>
        <v>0</v>
      </c>
      <c r="AA4990" s="11">
        <f t="shared" si="1744"/>
        <v>0</v>
      </c>
      <c r="AB4990" s="11">
        <f t="shared" si="1745"/>
        <v>0</v>
      </c>
    </row>
    <row r="4991" spans="1:28" x14ac:dyDescent="0.35">
      <c r="A4991" s="527" t="str">
        <f>"SgK4822--"&amp;RIGHT(A4990,5)</f>
        <v>SgK4822--Feb21</v>
      </c>
      <c r="B4991" s="526" t="s">
        <v>5434</v>
      </c>
      <c r="C4991" s="526" t="str">
        <f t="shared" si="1731"/>
        <v>Inbetriebnahme 02/2021</v>
      </c>
      <c r="D4991" s="526" t="str">
        <f t="shared" si="1742"/>
        <v>40 - 750 kW</v>
      </c>
      <c r="E4991" s="526"/>
      <c r="F4991" s="639">
        <f t="shared" si="1732"/>
        <v>6.13</v>
      </c>
      <c r="G4991" s="639">
        <f t="shared" si="1733"/>
        <v>6.53</v>
      </c>
      <c r="H4991" s="641">
        <f t="shared" si="1734"/>
        <v>5.22</v>
      </c>
      <c r="I4991" s="641"/>
      <c r="J4991" s="549">
        <v>44424</v>
      </c>
      <c r="K4991" s="11"/>
      <c r="M4991" s="339"/>
      <c r="N4991" s="266" t="str">
        <f t="shared" si="1738"/>
        <v>Jun21</v>
      </c>
      <c r="O4991" s="461">
        <v>1.4E-2</v>
      </c>
      <c r="P4991" s="11">
        <f t="shared" si="1739"/>
        <v>7.9773443532010271</v>
      </c>
      <c r="Q4991" s="11">
        <f t="shared" si="1740"/>
        <v>7.7629998203463257</v>
      </c>
      <c r="R4991" s="11">
        <f t="shared" si="1741"/>
        <v>6.1693948152092055</v>
      </c>
      <c r="S4991" s="11"/>
      <c r="T4991" s="11"/>
      <c r="U4991" s="11">
        <f t="shared" si="1735"/>
        <v>7.5773443532010267</v>
      </c>
      <c r="V4991" s="11">
        <f t="shared" si="1736"/>
        <v>7.3629998203463254</v>
      </c>
      <c r="W4991" s="11">
        <f t="shared" si="1737"/>
        <v>5.7693948152092052</v>
      </c>
      <c r="X4991" s="11"/>
      <c r="Z4991" s="11">
        <f t="shared" si="1743"/>
        <v>0</v>
      </c>
      <c r="AA4991" s="11">
        <f t="shared" si="1744"/>
        <v>0</v>
      </c>
      <c r="AB4991" s="11">
        <f t="shared" si="1745"/>
        <v>0</v>
      </c>
    </row>
    <row r="4992" spans="1:28" x14ac:dyDescent="0.35">
      <c r="A4992" s="527" t="str">
        <f>"SgK4820--"&amp;RIGHT(N4988,5)</f>
        <v>SgK4820--Mrz21</v>
      </c>
      <c r="B4992" s="526" t="s">
        <v>5434</v>
      </c>
      <c r="C4992" s="526" t="str">
        <f t="shared" si="1731"/>
        <v>Inbetriebnahme 03/2021</v>
      </c>
      <c r="D4992" s="526" t="str">
        <f t="shared" si="1742"/>
        <v>0 - 10 kW</v>
      </c>
      <c r="E4992" s="526"/>
      <c r="F4992" s="639">
        <f t="shared" si="1732"/>
        <v>7.92</v>
      </c>
      <c r="G4992" s="639">
        <f t="shared" si="1733"/>
        <v>8.32</v>
      </c>
      <c r="H4992" s="641">
        <f t="shared" si="1734"/>
        <v>6.66</v>
      </c>
      <c r="I4992" s="641"/>
      <c r="J4992" s="549">
        <v>44424</v>
      </c>
      <c r="K4992" s="11"/>
      <c r="M4992" s="339"/>
      <c r="N4992" s="266" t="str">
        <f t="shared" si="1738"/>
        <v>Jul21</v>
      </c>
      <c r="O4992" s="461">
        <v>1.4E-2</v>
      </c>
      <c r="P4992" s="11">
        <f t="shared" si="1739"/>
        <v>7.8656615322562127</v>
      </c>
      <c r="Q4992" s="11">
        <f t="shared" si="1740"/>
        <v>7.6543178228614774</v>
      </c>
      <c r="R4992" s="11">
        <f t="shared" si="1741"/>
        <v>6.0830232877962764</v>
      </c>
      <c r="S4992" s="11"/>
      <c r="T4992" s="11"/>
      <c r="U4992" s="11">
        <f t="shared" si="1735"/>
        <v>7.4656615322562123</v>
      </c>
      <c r="V4992" s="11">
        <f t="shared" si="1736"/>
        <v>7.2543178228614771</v>
      </c>
      <c r="W4992" s="11">
        <f t="shared" si="1737"/>
        <v>5.6830232877962761</v>
      </c>
      <c r="X4992" s="11"/>
      <c r="Z4992" s="11">
        <f t="shared" si="1743"/>
        <v>0</v>
      </c>
      <c r="AA4992" s="11">
        <f t="shared" si="1744"/>
        <v>0</v>
      </c>
      <c r="AB4992" s="11">
        <f t="shared" si="1745"/>
        <v>0</v>
      </c>
    </row>
    <row r="4993" spans="1:28" x14ac:dyDescent="0.35">
      <c r="A4993" s="527" t="str">
        <f>"SgK4821--"&amp;RIGHT(A4992,5)</f>
        <v>SgK4821--Mrz21</v>
      </c>
      <c r="B4993" s="526" t="s">
        <v>5434</v>
      </c>
      <c r="C4993" s="526" t="str">
        <f t="shared" si="1731"/>
        <v>Inbetriebnahme 03/2021</v>
      </c>
      <c r="D4993" s="526" t="str">
        <f t="shared" si="1742"/>
        <v>10 - 40 kW</v>
      </c>
      <c r="E4993" s="526"/>
      <c r="F4993" s="639">
        <f t="shared" si="1732"/>
        <v>7.7</v>
      </c>
      <c r="G4993" s="639">
        <f t="shared" si="1733"/>
        <v>8.1</v>
      </c>
      <c r="H4993" s="641">
        <f t="shared" si="1734"/>
        <v>6.48</v>
      </c>
      <c r="I4993" s="641"/>
      <c r="J4993" s="549">
        <v>44424</v>
      </c>
      <c r="K4993" s="11"/>
      <c r="M4993" s="101"/>
      <c r="N4993" s="266" t="str">
        <f t="shared" si="1738"/>
        <v>Aug21</v>
      </c>
      <c r="O4993" s="461">
        <v>1.4E-2</v>
      </c>
      <c r="P4993" s="11">
        <f t="shared" si="1739"/>
        <v>7.755542270804626</v>
      </c>
      <c r="Q4993" s="11">
        <f t="shared" si="1740"/>
        <v>7.5471573733414168</v>
      </c>
      <c r="R4993" s="11">
        <f t="shared" si="1741"/>
        <v>5.9978609617671284</v>
      </c>
      <c r="S4993" s="11"/>
      <c r="T4993" s="11"/>
      <c r="U4993" s="11">
        <f t="shared" si="1735"/>
        <v>7.3555422708046256</v>
      </c>
      <c r="V4993" s="11">
        <f t="shared" si="1736"/>
        <v>7.1471573733414164</v>
      </c>
      <c r="W4993" s="11">
        <f t="shared" si="1737"/>
        <v>5.597860961767128</v>
      </c>
      <c r="X4993" s="11"/>
      <c r="Z4993" s="11">
        <f t="shared" si="1743"/>
        <v>0</v>
      </c>
      <c r="AA4993" s="11">
        <f t="shared" si="1744"/>
        <v>0</v>
      </c>
      <c r="AB4993" s="11">
        <f t="shared" si="1745"/>
        <v>0</v>
      </c>
    </row>
    <row r="4994" spans="1:28" x14ac:dyDescent="0.35">
      <c r="A4994" s="527" t="str">
        <f>"SgK4822--"&amp;RIGHT(A4993,5)</f>
        <v>SgK4822--Mrz21</v>
      </c>
      <c r="B4994" s="526" t="s">
        <v>5434</v>
      </c>
      <c r="C4994" s="526" t="str">
        <f t="shared" si="1731"/>
        <v>Inbetriebnahme 03/2021</v>
      </c>
      <c r="D4994" s="526" t="str">
        <f t="shared" si="1742"/>
        <v>40 - 750 kW</v>
      </c>
      <c r="E4994" s="526"/>
      <c r="F4994" s="639">
        <f t="shared" si="1732"/>
        <v>6.04</v>
      </c>
      <c r="G4994" s="639">
        <f t="shared" si="1733"/>
        <v>6.44</v>
      </c>
      <c r="H4994" s="641">
        <f t="shared" si="1734"/>
        <v>5.15</v>
      </c>
      <c r="I4994" s="641"/>
      <c r="J4994" s="549">
        <v>44424</v>
      </c>
      <c r="K4994" s="11"/>
      <c r="N4994" s="266" t="str">
        <f t="shared" si="1738"/>
        <v>Sep21</v>
      </c>
      <c r="O4994" s="461">
        <v>1.4E-2</v>
      </c>
      <c r="P4994" s="11">
        <f t="shared" si="1739"/>
        <v>7.6469646790133607</v>
      </c>
      <c r="Q4994" s="11">
        <f t="shared" si="1740"/>
        <v>7.4414971701146371</v>
      </c>
      <c r="R4994" s="11">
        <f t="shared" si="1741"/>
        <v>5.9138909083023883</v>
      </c>
      <c r="S4994" s="11"/>
      <c r="T4994" s="11"/>
      <c r="U4994" s="11">
        <f t="shared" si="1735"/>
        <v>7.2469646790133604</v>
      </c>
      <c r="V4994" s="11">
        <f t="shared" si="1736"/>
        <v>7.0414971701146367</v>
      </c>
      <c r="W4994" s="11">
        <f t="shared" si="1737"/>
        <v>5.5138909083023879</v>
      </c>
      <c r="X4994" s="11"/>
      <c r="Z4994" s="11">
        <f t="shared" si="1743"/>
        <v>0</v>
      </c>
      <c r="AA4994" s="11">
        <f t="shared" si="1744"/>
        <v>0</v>
      </c>
      <c r="AB4994" s="11">
        <f t="shared" si="1745"/>
        <v>0</v>
      </c>
    </row>
    <row r="4995" spans="1:28" x14ac:dyDescent="0.35">
      <c r="A4995" s="527" t="str">
        <f>"SgK4820--"&amp;RIGHT(N4989,5)</f>
        <v>SgK4820--Apr21</v>
      </c>
      <c r="B4995" s="526" t="s">
        <v>5434</v>
      </c>
      <c r="C4995" s="526" t="str">
        <f t="shared" si="1731"/>
        <v>Inbetriebnahme 04/2021</v>
      </c>
      <c r="D4995" s="526" t="str">
        <f t="shared" si="1742"/>
        <v>0 - 10 kW</v>
      </c>
      <c r="E4995" s="526"/>
      <c r="F4995" s="639">
        <f t="shared" si="1732"/>
        <v>7.81</v>
      </c>
      <c r="G4995" s="639">
        <f t="shared" si="1733"/>
        <v>8.2100000000000009</v>
      </c>
      <c r="H4995" s="641">
        <f t="shared" si="1734"/>
        <v>6.57</v>
      </c>
      <c r="I4995" s="641"/>
      <c r="J4995" s="549">
        <v>44424</v>
      </c>
      <c r="K4995" s="11"/>
      <c r="N4995" s="266" t="str">
        <f t="shared" si="1738"/>
        <v>Okt21</v>
      </c>
      <c r="O4995" s="461">
        <v>1.4E-2</v>
      </c>
      <c r="P4995" s="11">
        <f t="shared" si="1739"/>
        <v>7.5399071735071734</v>
      </c>
      <c r="Q4995" s="11">
        <f t="shared" si="1740"/>
        <v>7.3373162097330322</v>
      </c>
      <c r="R4995" s="11">
        <f t="shared" si="1741"/>
        <v>5.8310964355861552</v>
      </c>
      <c r="S4995" s="11"/>
      <c r="T4995" s="11"/>
      <c r="U4995" s="11">
        <f t="shared" si="1735"/>
        <v>7.1399071735071731</v>
      </c>
      <c r="V4995" s="11">
        <f t="shared" si="1736"/>
        <v>6.9373162097330319</v>
      </c>
      <c r="W4995" s="11">
        <f t="shared" si="1737"/>
        <v>5.4310964355861548</v>
      </c>
      <c r="X4995" s="11"/>
      <c r="Z4995" s="11">
        <f t="shared" si="1743"/>
        <v>0</v>
      </c>
      <c r="AA4995" s="11">
        <f t="shared" si="1744"/>
        <v>0</v>
      </c>
      <c r="AB4995" s="11">
        <f t="shared" si="1745"/>
        <v>0</v>
      </c>
    </row>
    <row r="4996" spans="1:28" x14ac:dyDescent="0.35">
      <c r="A4996" s="527" t="str">
        <f>"SgK4821--"&amp;RIGHT(A4995,5)</f>
        <v>SgK4821--Apr21</v>
      </c>
      <c r="B4996" s="526" t="s">
        <v>5434</v>
      </c>
      <c r="C4996" s="526" t="str">
        <f t="shared" si="1731"/>
        <v>Inbetriebnahme 04/2021</v>
      </c>
      <c r="D4996" s="526" t="str">
        <f t="shared" si="1742"/>
        <v>10 - 40 kW</v>
      </c>
      <c r="E4996" s="526"/>
      <c r="F4996" s="639">
        <f t="shared" si="1732"/>
        <v>7.59</v>
      </c>
      <c r="G4996" s="639">
        <f t="shared" si="1733"/>
        <v>7.99</v>
      </c>
      <c r="H4996" s="641">
        <f t="shared" si="1734"/>
        <v>6.39</v>
      </c>
      <c r="I4996" s="641"/>
      <c r="J4996" s="549">
        <v>44424</v>
      </c>
      <c r="K4996" s="11"/>
      <c r="N4996" s="266" t="str">
        <f t="shared" si="1738"/>
        <v>Nov21</v>
      </c>
      <c r="O4996" s="461">
        <v>1.4E-2</v>
      </c>
      <c r="P4996" s="11">
        <f t="shared" si="1739"/>
        <v>7.4343484730780727</v>
      </c>
      <c r="Q4996" s="11">
        <f t="shared" si="1740"/>
        <v>7.2345937827967699</v>
      </c>
      <c r="R4996" s="11">
        <f t="shared" si="1741"/>
        <v>5.7494610854879493</v>
      </c>
      <c r="S4996" s="11"/>
      <c r="T4996" s="11"/>
      <c r="U4996" s="11">
        <f t="shared" si="1735"/>
        <v>7.0343484730780723</v>
      </c>
      <c r="V4996" s="11">
        <f t="shared" si="1736"/>
        <v>6.8345937827967695</v>
      </c>
      <c r="W4996" s="11">
        <f t="shared" si="1737"/>
        <v>5.349461085487949</v>
      </c>
      <c r="X4996" s="11"/>
      <c r="Z4996" s="11">
        <f t="shared" si="1743"/>
        <v>0</v>
      </c>
      <c r="AA4996" s="11">
        <f t="shared" si="1744"/>
        <v>0</v>
      </c>
      <c r="AB4996" s="11">
        <f t="shared" si="1745"/>
        <v>0</v>
      </c>
    </row>
    <row r="4997" spans="1:28" x14ac:dyDescent="0.35">
      <c r="A4997" s="527" t="str">
        <f>"SgK4822--"&amp;RIGHT(A4996,5)</f>
        <v>SgK4822--Apr21</v>
      </c>
      <c r="B4997" s="526" t="s">
        <v>5434</v>
      </c>
      <c r="C4997" s="526" t="str">
        <f t="shared" si="1731"/>
        <v>Inbetriebnahme 04/2021</v>
      </c>
      <c r="D4997" s="526" t="str">
        <f t="shared" si="1742"/>
        <v>40 - 750 kW</v>
      </c>
      <c r="E4997" s="526"/>
      <c r="F4997" s="639">
        <f t="shared" si="1732"/>
        <v>5.95</v>
      </c>
      <c r="G4997" s="639">
        <f t="shared" si="1733"/>
        <v>6.35</v>
      </c>
      <c r="H4997" s="641">
        <f t="shared" si="1734"/>
        <v>5.08</v>
      </c>
      <c r="I4997" s="641"/>
      <c r="J4997" s="549">
        <v>44424</v>
      </c>
      <c r="K4997" s="11"/>
      <c r="N4997" s="266" t="str">
        <f t="shared" si="1738"/>
        <v>Dez21</v>
      </c>
      <c r="O4997" s="461">
        <v>1.4E-2</v>
      </c>
      <c r="P4997" s="11">
        <f t="shared" si="1739"/>
        <v>7.3302675944549796</v>
      </c>
      <c r="Q4997" s="11">
        <f t="shared" si="1740"/>
        <v>7.1333094698376147</v>
      </c>
      <c r="R4997" s="11">
        <f t="shared" si="1741"/>
        <v>5.6689686302911175</v>
      </c>
      <c r="S4997" s="11"/>
      <c r="T4997" s="11"/>
      <c r="U4997" s="11">
        <f t="shared" si="1735"/>
        <v>6.9302675944549792</v>
      </c>
      <c r="V4997" s="11">
        <f t="shared" si="1736"/>
        <v>6.7333094698376144</v>
      </c>
      <c r="W4997" s="11">
        <f t="shared" si="1737"/>
        <v>5.2689686302911172</v>
      </c>
      <c r="X4997" s="11"/>
      <c r="Z4997" s="11">
        <f t="shared" si="1743"/>
        <v>0</v>
      </c>
      <c r="AA4997" s="11">
        <f t="shared" si="1744"/>
        <v>0</v>
      </c>
      <c r="AB4997" s="11">
        <f t="shared" si="1745"/>
        <v>0</v>
      </c>
    </row>
    <row r="4998" spans="1:28" x14ac:dyDescent="0.35">
      <c r="A4998" s="527" t="str">
        <f>"SgK4820--"&amp;RIGHT(N4990,5)</f>
        <v>SgK4820--Mai21</v>
      </c>
      <c r="B4998" s="526" t="s">
        <v>5434</v>
      </c>
      <c r="C4998" s="526" t="str">
        <f t="shared" si="1731"/>
        <v>Inbetriebnahme 05/2021</v>
      </c>
      <c r="D4998" s="526" t="str">
        <f t="shared" si="1742"/>
        <v>0 - 10 kW</v>
      </c>
      <c r="E4998" s="526"/>
      <c r="F4998" s="639">
        <f t="shared" si="1732"/>
        <v>7.69</v>
      </c>
      <c r="G4998" s="639">
        <f t="shared" si="1733"/>
        <v>8.09</v>
      </c>
      <c r="H4998" s="641">
        <f t="shared" si="1734"/>
        <v>6.47</v>
      </c>
      <c r="I4998" s="641"/>
      <c r="J4998" s="549">
        <v>44424</v>
      </c>
      <c r="K4998" s="11"/>
      <c r="M4998" s="339"/>
      <c r="N4998" s="108"/>
      <c r="O4998" s="266"/>
      <c r="P4998" s="260"/>
      <c r="Q4998" s="261"/>
      <c r="R4998" s="261"/>
      <c r="S4998" s="261"/>
      <c r="T4998" s="261"/>
    </row>
    <row r="4999" spans="1:28" x14ac:dyDescent="0.35">
      <c r="A4999" s="527" t="str">
        <f>"SgK4821--"&amp;RIGHT(A4998,5)</f>
        <v>SgK4821--Mai21</v>
      </c>
      <c r="B4999" s="526" t="s">
        <v>5434</v>
      </c>
      <c r="C4999" s="526" t="str">
        <f t="shared" si="1731"/>
        <v>Inbetriebnahme 05/2021</v>
      </c>
      <c r="D4999" s="526" t="str">
        <f t="shared" si="1742"/>
        <v>10 - 40 kW</v>
      </c>
      <c r="E4999" s="526"/>
      <c r="F4999" s="639">
        <f t="shared" si="1732"/>
        <v>7.47</v>
      </c>
      <c r="G4999" s="639">
        <f t="shared" si="1733"/>
        <v>7.87</v>
      </c>
      <c r="H4999" s="641">
        <f t="shared" si="1734"/>
        <v>6.3</v>
      </c>
      <c r="I4999" s="641"/>
      <c r="J4999" s="549">
        <v>44424</v>
      </c>
      <c r="K4999" s="11"/>
      <c r="M4999" s="339"/>
      <c r="N4999" s="108"/>
      <c r="O4999" s="266"/>
      <c r="P4999" s="260"/>
      <c r="Q4999" s="261"/>
      <c r="R4999" s="261"/>
      <c r="S4999" s="261"/>
      <c r="T4999" s="261"/>
    </row>
    <row r="5000" spans="1:28" x14ac:dyDescent="0.35">
      <c r="A5000" s="527" t="str">
        <f>"SgK4822--"&amp;RIGHT(A4999,5)</f>
        <v>SgK4822--Mai21</v>
      </c>
      <c r="B5000" s="526" t="s">
        <v>5434</v>
      </c>
      <c r="C5000" s="526" t="str">
        <f t="shared" si="1731"/>
        <v>Inbetriebnahme 05/2021</v>
      </c>
      <c r="D5000" s="526" t="str">
        <f t="shared" si="1742"/>
        <v>40 - 750 kW</v>
      </c>
      <c r="E5000" s="526"/>
      <c r="F5000" s="639">
        <f t="shared" si="1732"/>
        <v>5.86</v>
      </c>
      <c r="G5000" s="639">
        <f t="shared" si="1733"/>
        <v>6.26</v>
      </c>
      <c r="H5000" s="641">
        <f t="shared" si="1734"/>
        <v>5.01</v>
      </c>
      <c r="I5000" s="641"/>
      <c r="J5000" s="549">
        <v>44424</v>
      </c>
      <c r="K5000" s="11"/>
      <c r="L5000" s="102"/>
      <c r="M5000" s="339"/>
      <c r="N5000" s="108"/>
      <c r="O5000" s="266"/>
      <c r="P5000" s="260"/>
      <c r="Q5000" s="261"/>
      <c r="R5000" s="261"/>
      <c r="S5000" s="261"/>
      <c r="T5000" s="261"/>
    </row>
    <row r="5001" spans="1:28" x14ac:dyDescent="0.35">
      <c r="A5001" s="527" t="str">
        <f>"SgK4820--"&amp;RIGHT(N4991,5)</f>
        <v>SgK4820--Jun21</v>
      </c>
      <c r="B5001" s="526" t="s">
        <v>5434</v>
      </c>
      <c r="C5001" s="526" t="str">
        <f t="shared" si="1731"/>
        <v>Inbetriebnahme 06/2021</v>
      </c>
      <c r="D5001" s="526" t="str">
        <f t="shared" si="1742"/>
        <v>0 - 10 kW</v>
      </c>
      <c r="E5001" s="526"/>
      <c r="F5001" s="639">
        <f t="shared" si="1732"/>
        <v>7.58</v>
      </c>
      <c r="G5001" s="639">
        <f t="shared" si="1733"/>
        <v>7.98</v>
      </c>
      <c r="H5001" s="641">
        <f t="shared" si="1734"/>
        <v>6.38</v>
      </c>
      <c r="I5001" s="641"/>
      <c r="J5001" s="549">
        <v>44424</v>
      </c>
      <c r="K5001" s="11"/>
      <c r="L5001" s="102"/>
      <c r="M5001" s="339"/>
      <c r="N5001" s="108"/>
      <c r="O5001" s="266"/>
      <c r="P5001" s="260"/>
      <c r="Q5001" s="261"/>
      <c r="R5001" s="261"/>
      <c r="S5001" s="261"/>
      <c r="T5001" s="261"/>
    </row>
    <row r="5002" spans="1:28" x14ac:dyDescent="0.35">
      <c r="A5002" s="527" t="str">
        <f>"SgK4821--"&amp;RIGHT(A5001,5)</f>
        <v>SgK4821--Jun21</v>
      </c>
      <c r="B5002" s="526" t="s">
        <v>5434</v>
      </c>
      <c r="C5002" s="526" t="str">
        <f t="shared" si="1731"/>
        <v>Inbetriebnahme 06/2021</v>
      </c>
      <c r="D5002" s="526" t="str">
        <f t="shared" si="1742"/>
        <v>10 - 40 kW</v>
      </c>
      <c r="E5002" s="526"/>
      <c r="F5002" s="639">
        <f t="shared" si="1732"/>
        <v>7.36</v>
      </c>
      <c r="G5002" s="639">
        <f t="shared" si="1733"/>
        <v>7.76</v>
      </c>
      <c r="H5002" s="641">
        <f t="shared" si="1734"/>
        <v>6.21</v>
      </c>
      <c r="I5002" s="641"/>
      <c r="J5002" s="549">
        <v>44424</v>
      </c>
      <c r="K5002" s="11"/>
      <c r="L5002" s="102"/>
      <c r="M5002" s="339"/>
      <c r="N5002" s="108"/>
      <c r="O5002" s="266"/>
      <c r="P5002" s="260"/>
      <c r="Q5002" s="261"/>
      <c r="R5002" s="261"/>
      <c r="S5002" s="261"/>
      <c r="T5002" s="261"/>
    </row>
    <row r="5003" spans="1:28" x14ac:dyDescent="0.35">
      <c r="A5003" s="527" t="str">
        <f>"SgK4822--"&amp;RIGHT(A5002,5)</f>
        <v>SgK4822--Jun21</v>
      </c>
      <c r="B5003" s="526" t="s">
        <v>5434</v>
      </c>
      <c r="C5003" s="526" t="str">
        <f t="shared" si="1731"/>
        <v>Inbetriebnahme 06/2021</v>
      </c>
      <c r="D5003" s="526" t="str">
        <f t="shared" si="1742"/>
        <v>40 - 750 kW</v>
      </c>
      <c r="E5003" s="526"/>
      <c r="F5003" s="639">
        <f t="shared" si="1732"/>
        <v>5.77</v>
      </c>
      <c r="G5003" s="639">
        <f t="shared" si="1733"/>
        <v>6.17</v>
      </c>
      <c r="H5003" s="641">
        <f t="shared" si="1734"/>
        <v>4.9400000000000004</v>
      </c>
      <c r="I5003" s="641"/>
      <c r="J5003" s="549">
        <v>44424</v>
      </c>
      <c r="K5003" s="11"/>
      <c r="L5003" s="102"/>
      <c r="M5003" s="339"/>
      <c r="N5003" s="108"/>
      <c r="O5003" s="266"/>
      <c r="P5003" s="277"/>
      <c r="Q5003" s="261"/>
      <c r="R5003" s="261"/>
      <c r="S5003" s="261"/>
      <c r="T5003" s="261"/>
    </row>
    <row r="5004" spans="1:28" x14ac:dyDescent="0.35">
      <c r="A5004" s="527" t="str">
        <f>"SgK4820--"&amp;RIGHT(N4992,5)</f>
        <v>SgK4820--Jul21</v>
      </c>
      <c r="B5004" s="526" t="s">
        <v>5434</v>
      </c>
      <c r="C5004" s="526" t="str">
        <f t="shared" si="1731"/>
        <v>Inbetriebnahme 07/2021</v>
      </c>
      <c r="D5004" s="526" t="str">
        <f t="shared" si="1742"/>
        <v>0 - 10 kW</v>
      </c>
      <c r="E5004" s="526"/>
      <c r="F5004" s="639">
        <f t="shared" si="1732"/>
        <v>7.47</v>
      </c>
      <c r="G5004" s="639">
        <f t="shared" si="1733"/>
        <v>7.87</v>
      </c>
      <c r="H5004" s="641">
        <f t="shared" si="1734"/>
        <v>6.3</v>
      </c>
      <c r="I5004" s="641"/>
      <c r="J5004" s="549">
        <v>44424</v>
      </c>
      <c r="K5004" s="11"/>
      <c r="L5004" s="102"/>
      <c r="M5004" s="339"/>
      <c r="N5004" s="108"/>
      <c r="O5004" s="259"/>
    </row>
    <row r="5005" spans="1:28" x14ac:dyDescent="0.35">
      <c r="A5005" s="527" t="str">
        <f>"SgK4821--"&amp;RIGHT(A5004,5)</f>
        <v>SgK4821--Jul21</v>
      </c>
      <c r="B5005" s="526" t="s">
        <v>5434</v>
      </c>
      <c r="C5005" s="526" t="str">
        <f t="shared" si="1731"/>
        <v>Inbetriebnahme 07/2021</v>
      </c>
      <c r="D5005" s="526" t="str">
        <f t="shared" si="1742"/>
        <v>10 - 40 kW</v>
      </c>
      <c r="E5005" s="526"/>
      <c r="F5005" s="639">
        <f t="shared" si="1732"/>
        <v>7.25</v>
      </c>
      <c r="G5005" s="639">
        <f t="shared" si="1733"/>
        <v>7.65</v>
      </c>
      <c r="H5005" s="641">
        <f t="shared" si="1734"/>
        <v>6.12</v>
      </c>
      <c r="I5005" s="641"/>
      <c r="J5005" s="549">
        <v>44424</v>
      </c>
      <c r="K5005" s="11"/>
      <c r="L5005" s="102"/>
      <c r="M5005" s="339"/>
      <c r="O5005" s="259"/>
    </row>
    <row r="5006" spans="1:28" x14ac:dyDescent="0.35">
      <c r="A5006" s="527" t="str">
        <f>"SgK4822--"&amp;RIGHT(A5005,5)</f>
        <v>SgK4822--Jul21</v>
      </c>
      <c r="B5006" s="526" t="s">
        <v>5434</v>
      </c>
      <c r="C5006" s="526" t="str">
        <f t="shared" si="1731"/>
        <v>Inbetriebnahme 07/2021</v>
      </c>
      <c r="D5006" s="526" t="str">
        <f t="shared" si="1742"/>
        <v>40 - 750 kW</v>
      </c>
      <c r="E5006" s="526"/>
      <c r="F5006" s="639">
        <f t="shared" si="1732"/>
        <v>5.68</v>
      </c>
      <c r="G5006" s="639">
        <f t="shared" si="1733"/>
        <v>6.08</v>
      </c>
      <c r="H5006" s="641">
        <f t="shared" si="1734"/>
        <v>4.8600000000000003</v>
      </c>
      <c r="I5006" s="641"/>
      <c r="J5006" s="549">
        <v>44424</v>
      </c>
      <c r="K5006" s="11"/>
      <c r="L5006" s="102"/>
      <c r="M5006" s="339"/>
      <c r="O5006" s="259"/>
    </row>
    <row r="5007" spans="1:28" x14ac:dyDescent="0.35">
      <c r="A5007" s="527" t="str">
        <f>"SgK4820--"&amp;RIGHT(N4993,5)</f>
        <v>SgK4820--Aug21</v>
      </c>
      <c r="B5007" s="526" t="s">
        <v>5434</v>
      </c>
      <c r="C5007" s="526" t="str">
        <f t="shared" si="1731"/>
        <v>Inbetriebnahme 08/2021</v>
      </c>
      <c r="D5007" s="526" t="str">
        <f t="shared" si="1742"/>
        <v>0 - 10 kW</v>
      </c>
      <c r="E5007" s="526"/>
      <c r="F5007" s="639">
        <f t="shared" si="1732"/>
        <v>7.36</v>
      </c>
      <c r="G5007" s="639">
        <f t="shared" si="1733"/>
        <v>7.76</v>
      </c>
      <c r="H5007" s="641">
        <f t="shared" si="1734"/>
        <v>6.21</v>
      </c>
      <c r="I5007" s="641"/>
      <c r="J5007" s="549">
        <v>44424</v>
      </c>
      <c r="K5007" s="11"/>
      <c r="L5007" s="102"/>
      <c r="M5007" s="339"/>
      <c r="O5007" s="259"/>
    </row>
    <row r="5008" spans="1:28" x14ac:dyDescent="0.35">
      <c r="A5008" s="527" t="str">
        <f>"SgK4821--"&amp;RIGHT(A5007,5)</f>
        <v>SgK4821--Aug21</v>
      </c>
      <c r="B5008" s="526" t="s">
        <v>5434</v>
      </c>
      <c r="C5008" s="526" t="str">
        <f t="shared" si="1731"/>
        <v>Inbetriebnahme 08/2021</v>
      </c>
      <c r="D5008" s="526" t="str">
        <f t="shared" si="1742"/>
        <v>10 - 40 kW</v>
      </c>
      <c r="E5008" s="526"/>
      <c r="F5008" s="639">
        <f t="shared" si="1732"/>
        <v>7.15</v>
      </c>
      <c r="G5008" s="639">
        <f t="shared" si="1733"/>
        <v>7.55</v>
      </c>
      <c r="H5008" s="641">
        <f t="shared" si="1734"/>
        <v>6.04</v>
      </c>
      <c r="I5008" s="641"/>
      <c r="J5008" s="549">
        <v>44424</v>
      </c>
      <c r="K5008" s="11"/>
      <c r="L5008" s="102"/>
      <c r="M5008" s="339"/>
      <c r="O5008" s="259"/>
    </row>
    <row r="5009" spans="1:33" x14ac:dyDescent="0.35">
      <c r="A5009" s="527" t="str">
        <f>"SgK4822--"&amp;RIGHT(A5008,5)</f>
        <v>SgK4822--Aug21</v>
      </c>
      <c r="B5009" s="526" t="s">
        <v>5434</v>
      </c>
      <c r="C5009" s="526" t="str">
        <f t="shared" si="1731"/>
        <v>Inbetriebnahme 08/2021</v>
      </c>
      <c r="D5009" s="526" t="str">
        <f t="shared" si="1742"/>
        <v>40 - 750 kW</v>
      </c>
      <c r="E5009" s="526"/>
      <c r="F5009" s="639">
        <f t="shared" si="1732"/>
        <v>5.6</v>
      </c>
      <c r="G5009" s="639">
        <f t="shared" si="1733"/>
        <v>6</v>
      </c>
      <c r="H5009" s="641">
        <f t="shared" si="1734"/>
        <v>4.8</v>
      </c>
      <c r="I5009" s="641"/>
      <c r="J5009" s="549">
        <v>44424</v>
      </c>
      <c r="M5009" s="339"/>
      <c r="O5009" s="259"/>
    </row>
    <row r="5010" spans="1:33" x14ac:dyDescent="0.35">
      <c r="A5010" s="527" t="str">
        <f>"SgK4820--"&amp;RIGHT(N4994,5)</f>
        <v>SgK4820--Sep21</v>
      </c>
      <c r="B5010" s="526" t="s">
        <v>5434</v>
      </c>
      <c r="C5010" s="526" t="str">
        <f t="shared" si="1731"/>
        <v>Inbetriebnahme 09/2021</v>
      </c>
      <c r="D5010" s="526" t="str">
        <f t="shared" si="1742"/>
        <v>0 - 10 kW</v>
      </c>
      <c r="E5010" s="526"/>
      <c r="F5010" s="639">
        <f t="shared" si="1732"/>
        <v>7.25</v>
      </c>
      <c r="G5010" s="639">
        <f t="shared" si="1733"/>
        <v>7.65</v>
      </c>
      <c r="H5010" s="641">
        <f t="shared" si="1734"/>
        <v>6.12</v>
      </c>
      <c r="I5010" s="641"/>
      <c r="J5010" s="549">
        <v>44424</v>
      </c>
    </row>
    <row r="5011" spans="1:33" x14ac:dyDescent="0.35">
      <c r="A5011" s="527" t="str">
        <f>"SgK4821--"&amp;RIGHT(A5010,5)</f>
        <v>SgK4821--Sep21</v>
      </c>
      <c r="B5011" s="526" t="s">
        <v>5434</v>
      </c>
      <c r="C5011" s="526" t="str">
        <f t="shared" si="1731"/>
        <v>Inbetriebnahme 09/2021</v>
      </c>
      <c r="D5011" s="526" t="str">
        <f t="shared" si="1742"/>
        <v>10 - 40 kW</v>
      </c>
      <c r="E5011" s="526"/>
      <c r="F5011" s="639">
        <f t="shared" si="1732"/>
        <v>7.04</v>
      </c>
      <c r="G5011" s="639">
        <f t="shared" si="1733"/>
        <v>7.44</v>
      </c>
      <c r="H5011" s="641">
        <f t="shared" si="1734"/>
        <v>5.95</v>
      </c>
      <c r="I5011" s="641"/>
      <c r="J5011" s="549">
        <v>44424</v>
      </c>
    </row>
    <row r="5012" spans="1:33" x14ac:dyDescent="0.35">
      <c r="A5012" s="527" t="str">
        <f>"SgK4822--"&amp;RIGHT(A5011,5)</f>
        <v>SgK4822--Sep21</v>
      </c>
      <c r="B5012" s="526" t="s">
        <v>5434</v>
      </c>
      <c r="C5012" s="526" t="str">
        <f t="shared" si="1731"/>
        <v>Inbetriebnahme 09/2021</v>
      </c>
      <c r="D5012" s="526" t="str">
        <f t="shared" si="1742"/>
        <v>40 - 750 kW</v>
      </c>
      <c r="E5012" s="526"/>
      <c r="F5012" s="639">
        <f t="shared" si="1732"/>
        <v>5.51</v>
      </c>
      <c r="G5012" s="639">
        <f t="shared" si="1733"/>
        <v>5.91</v>
      </c>
      <c r="H5012" s="641">
        <f t="shared" si="1734"/>
        <v>4.7300000000000004</v>
      </c>
      <c r="I5012" s="641"/>
      <c r="J5012" s="549">
        <v>44424</v>
      </c>
    </row>
    <row r="5013" spans="1:33" x14ac:dyDescent="0.35">
      <c r="A5013" s="527" t="str">
        <f>"SgK4820--"&amp;RIGHT(N4995,5)</f>
        <v>SgK4820--Okt21</v>
      </c>
      <c r="B5013" s="526" t="s">
        <v>5434</v>
      </c>
      <c r="C5013" s="526" t="str">
        <f t="shared" si="1731"/>
        <v>Inbetriebnahme 10/2021</v>
      </c>
      <c r="D5013" s="526" t="str">
        <f t="shared" si="1742"/>
        <v>0 - 10 kW</v>
      </c>
      <c r="E5013" s="526"/>
      <c r="F5013" s="639">
        <f t="shared" si="1732"/>
        <v>7.14</v>
      </c>
      <c r="G5013" s="639">
        <f t="shared" si="1733"/>
        <v>7.54</v>
      </c>
      <c r="H5013" s="641">
        <f t="shared" si="1734"/>
        <v>6.03</v>
      </c>
      <c r="I5013" s="641"/>
      <c r="J5013" s="549">
        <v>44424</v>
      </c>
      <c r="O5013" s="322"/>
      <c r="P5013" s="261" t="str">
        <f>IF($O5013&lt;&gt;"",(1-$O5013)*P4997,"")</f>
        <v/>
      </c>
      <c r="Q5013" s="261" t="str">
        <f>IF($O5013&lt;&gt;"",(1-$O5013)*Q4997,"")</f>
        <v/>
      </c>
      <c r="R5013" s="261" t="str">
        <f>IF($O5013&lt;&gt;"",(1-$O5013)*R4997,"")</f>
        <v/>
      </c>
      <c r="S5013" s="261" t="str">
        <f>IF($O5013&lt;&gt;"",(1-$O5013)*S4997,"")</f>
        <v/>
      </c>
      <c r="U5013" s="261" t="str">
        <f>IF($O5013&lt;&gt;"",(1-$O5013)*U4997,"")</f>
        <v/>
      </c>
      <c r="V5013" s="261" t="str">
        <f>IF($O5013&lt;&gt;"",(1-$O5013)*V4997,"")</f>
        <v/>
      </c>
      <c r="W5013" s="261" t="str">
        <f>IF($O5013&lt;&gt;"",(1-$O5013)*W4997,"")</f>
        <v/>
      </c>
      <c r="X5013" s="261" t="str">
        <f>IF($O5013&lt;&gt;"",(1-$O5013)*X4997,"")</f>
        <v/>
      </c>
    </row>
    <row r="5014" spans="1:33" x14ac:dyDescent="0.35">
      <c r="A5014" s="527" t="str">
        <f>"SgK4821--"&amp;RIGHT(A5013,5)</f>
        <v>SgK4821--Okt21</v>
      </c>
      <c r="B5014" s="526" t="s">
        <v>5434</v>
      </c>
      <c r="C5014" s="526" t="str">
        <f t="shared" si="1731"/>
        <v>Inbetriebnahme 10/2021</v>
      </c>
      <c r="D5014" s="526" t="str">
        <f t="shared" si="1742"/>
        <v>10 - 40 kW</v>
      </c>
      <c r="E5014" s="526"/>
      <c r="F5014" s="639">
        <f t="shared" si="1732"/>
        <v>6.94</v>
      </c>
      <c r="G5014" s="639">
        <f t="shared" si="1733"/>
        <v>7.34</v>
      </c>
      <c r="H5014" s="641">
        <f t="shared" si="1734"/>
        <v>5.87</v>
      </c>
      <c r="I5014" s="641"/>
      <c r="J5014" s="549">
        <v>44424</v>
      </c>
      <c r="O5014" s="322"/>
      <c r="P5014" s="261" t="str">
        <f>IF($O5014&lt;&gt;"",(1-$O5014)*P4997,"")</f>
        <v/>
      </c>
      <c r="Q5014" s="261" t="str">
        <f>IF($O5014&lt;&gt;"",(1-$O5014)*Q4997,"")</f>
        <v/>
      </c>
      <c r="R5014" s="261" t="str">
        <f>IF($O5014&lt;&gt;"",(1-$O5014)*R4997,"")</f>
        <v/>
      </c>
      <c r="S5014" s="261" t="str">
        <f>IF($O5014&lt;&gt;"",(1-$O5014)*S4997,"")</f>
        <v/>
      </c>
      <c r="U5014" s="261" t="str">
        <f>IF($O5014&lt;&gt;"",(1-$O5014)*U4997,"")</f>
        <v/>
      </c>
      <c r="V5014" s="261" t="str">
        <f>IF($O5014&lt;&gt;"",(1-$O5014)*V4997,"")</f>
        <v/>
      </c>
      <c r="W5014" s="261" t="str">
        <f>IF($O5014&lt;&gt;"",(1-$O5014)*W4997,"")</f>
        <v/>
      </c>
      <c r="X5014" s="261" t="str">
        <f>IF($O5014&lt;&gt;"",(1-$O5014)*X4997,"")</f>
        <v/>
      </c>
    </row>
    <row r="5015" spans="1:33" x14ac:dyDescent="0.35">
      <c r="A5015" s="527" t="str">
        <f>"SgK4822--"&amp;RIGHT(A5014,5)</f>
        <v>SgK4822--Okt21</v>
      </c>
      <c r="B5015" s="526" t="s">
        <v>5434</v>
      </c>
      <c r="C5015" s="526" t="str">
        <f t="shared" si="1731"/>
        <v>Inbetriebnahme 10/2021</v>
      </c>
      <c r="D5015" s="526" t="str">
        <f t="shared" si="1742"/>
        <v>40 - 750 kW</v>
      </c>
      <c r="E5015" s="526"/>
      <c r="F5015" s="639">
        <f t="shared" si="1732"/>
        <v>5.43</v>
      </c>
      <c r="G5015" s="639">
        <f t="shared" si="1733"/>
        <v>5.83</v>
      </c>
      <c r="H5015" s="641">
        <f t="shared" si="1734"/>
        <v>4.66</v>
      </c>
      <c r="I5015" s="641"/>
      <c r="J5015" s="549">
        <v>44424</v>
      </c>
      <c r="O5015" s="322"/>
      <c r="P5015" s="261" t="str">
        <f>IF($O5015&lt;&gt;"",(1-$O5015)*P5013,"")</f>
        <v/>
      </c>
      <c r="Q5015" s="261" t="str">
        <f>IF($O5015&lt;&gt;"",(1-$O5015)*Q5013,"")</f>
        <v/>
      </c>
      <c r="R5015" s="261" t="str">
        <f>IF($O5015&lt;&gt;"",(1-$O5015)*R5013,"")</f>
        <v/>
      </c>
      <c r="S5015" s="261" t="str">
        <f>IF($O5015&lt;&gt;"",(1-$O5015)*S5013,"")</f>
        <v/>
      </c>
      <c r="U5015" s="261" t="str">
        <f>IF($O5015&lt;&gt;"",(1-$O5015)*U5013,"")</f>
        <v/>
      </c>
      <c r="V5015" s="261" t="str">
        <f>IF($O5015&lt;&gt;"",(1-$O5015)*V5013,"")</f>
        <v/>
      </c>
      <c r="W5015" s="261" t="str">
        <f>IF($O5015&lt;&gt;"",(1-$O5015)*W5013,"")</f>
        <v/>
      </c>
      <c r="X5015" s="261" t="str">
        <f>IF($O5015&lt;&gt;"",(1-$O5015)*X5013,"")</f>
        <v/>
      </c>
    </row>
    <row r="5016" spans="1:33" x14ac:dyDescent="0.35">
      <c r="A5016" s="527" t="str">
        <f>"SgK4820--"&amp;RIGHT(N4996,5)</f>
        <v>SgK4820--Nov21</v>
      </c>
      <c r="B5016" s="526" t="s">
        <v>5434</v>
      </c>
      <c r="C5016" s="526" t="str">
        <f t="shared" si="1731"/>
        <v>Inbetriebnahme 11/2021</v>
      </c>
      <c r="D5016" s="526" t="str">
        <f t="shared" si="1742"/>
        <v>0 - 10 kW</v>
      </c>
      <c r="E5016" s="526"/>
      <c r="F5016" s="639">
        <f t="shared" si="1732"/>
        <v>7.03</v>
      </c>
      <c r="G5016" s="639">
        <f t="shared" si="1733"/>
        <v>7.43</v>
      </c>
      <c r="H5016" s="641">
        <f t="shared" si="1734"/>
        <v>5.94</v>
      </c>
      <c r="I5016" s="641"/>
      <c r="J5016" s="549">
        <v>44511</v>
      </c>
      <c r="O5016" s="322"/>
      <c r="P5016" s="261" t="str">
        <f>IF($O5016&lt;&gt;"",(1-$O5016)*#REF!,"")</f>
        <v/>
      </c>
      <c r="Q5016" s="261" t="str">
        <f>IF($O5016&lt;&gt;"",(1-$O5016)*#REF!,"")</f>
        <v/>
      </c>
      <c r="R5016" s="261" t="str">
        <f>IF($O5016&lt;&gt;"",(1-$O5016)*#REF!,"")</f>
        <v/>
      </c>
      <c r="S5016" s="261" t="str">
        <f>IF($O5016&lt;&gt;"",(1-$O5016)*#REF!,"")</f>
        <v/>
      </c>
      <c r="U5016" s="261" t="str">
        <f>IF($O5016&lt;&gt;"",(1-$O5016)*#REF!,"")</f>
        <v/>
      </c>
      <c r="V5016" s="261" t="str">
        <f>IF($O5016&lt;&gt;"",(1-$O5016)*#REF!,"")</f>
        <v/>
      </c>
      <c r="W5016" s="261" t="str">
        <f>IF($O5016&lt;&gt;"",(1-$O5016)*#REF!,"")</f>
        <v/>
      </c>
      <c r="X5016" s="261" t="str">
        <f>IF($O5016&lt;&gt;"",(1-$O5016)*#REF!,"")</f>
        <v/>
      </c>
    </row>
    <row r="5017" spans="1:33" x14ac:dyDescent="0.35">
      <c r="A5017" s="527" t="str">
        <f>"SgK4821--"&amp;RIGHT(A5016,5)</f>
        <v>SgK4821--Nov21</v>
      </c>
      <c r="B5017" s="526" t="s">
        <v>5434</v>
      </c>
      <c r="C5017" s="526" t="str">
        <f t="shared" si="1731"/>
        <v>Inbetriebnahme 11/2021</v>
      </c>
      <c r="D5017" s="526" t="str">
        <f t="shared" si="1742"/>
        <v>10 - 40 kW</v>
      </c>
      <c r="E5017" s="526"/>
      <c r="F5017" s="639">
        <f t="shared" si="1732"/>
        <v>6.83</v>
      </c>
      <c r="G5017" s="639">
        <f t="shared" si="1733"/>
        <v>7.23</v>
      </c>
      <c r="H5017" s="641">
        <f t="shared" si="1734"/>
        <v>5.78</v>
      </c>
      <c r="I5017" s="641"/>
      <c r="J5017" s="549">
        <v>44511</v>
      </c>
      <c r="O5017" s="322"/>
      <c r="P5017" s="261" t="str">
        <f>IF($O5017&lt;&gt;"",(1-$O5017)*#REF!,"")</f>
        <v/>
      </c>
      <c r="Q5017" s="261" t="str">
        <f>IF($O5017&lt;&gt;"",(1-$O5017)*#REF!,"")</f>
        <v/>
      </c>
      <c r="R5017" s="261" t="str">
        <f>IF($O5017&lt;&gt;"",(1-$O5017)*#REF!,"")</f>
        <v/>
      </c>
      <c r="S5017" s="261" t="str">
        <f>IF($O5017&lt;&gt;"",(1-$O5017)*#REF!,"")</f>
        <v/>
      </c>
      <c r="U5017" s="261" t="str">
        <f>IF($O5017&lt;&gt;"",(1-$O5017)*#REF!,"")</f>
        <v/>
      </c>
      <c r="V5017" s="261" t="str">
        <f>IF($O5017&lt;&gt;"",(1-$O5017)*#REF!,"")</f>
        <v/>
      </c>
      <c r="W5017" s="261" t="str">
        <f>IF($O5017&lt;&gt;"",(1-$O5017)*#REF!,"")</f>
        <v/>
      </c>
      <c r="X5017" s="261" t="str">
        <f>IF($O5017&lt;&gt;"",(1-$O5017)*#REF!,"")</f>
        <v/>
      </c>
    </row>
    <row r="5018" spans="1:33" x14ac:dyDescent="0.35">
      <c r="A5018" s="527" t="str">
        <f>"SgK4822--"&amp;RIGHT(A5017,5)</f>
        <v>SgK4822--Nov21</v>
      </c>
      <c r="B5018" s="526" t="s">
        <v>5434</v>
      </c>
      <c r="C5018" s="526" t="str">
        <f t="shared" si="1731"/>
        <v>Inbetriebnahme 11/2021</v>
      </c>
      <c r="D5018" s="526" t="str">
        <f t="shared" si="1742"/>
        <v>40 - 750 kW</v>
      </c>
      <c r="E5018" s="526"/>
      <c r="F5018" s="639">
        <f t="shared" si="1732"/>
        <v>5.35</v>
      </c>
      <c r="G5018" s="639">
        <f t="shared" si="1733"/>
        <v>5.75</v>
      </c>
      <c r="H5018" s="641">
        <f t="shared" si="1734"/>
        <v>4.5999999999999996</v>
      </c>
      <c r="I5018" s="641"/>
      <c r="J5018" s="549">
        <v>44511</v>
      </c>
      <c r="O5018" s="322"/>
      <c r="P5018" s="261" t="str">
        <f>IF($O5018&lt;&gt;"",(1-$O5018)*P5016,"")</f>
        <v/>
      </c>
      <c r="Q5018" s="261" t="str">
        <f>IF($O5018&lt;&gt;"",(1-$O5018)*Q5016,"")</f>
        <v/>
      </c>
      <c r="R5018" s="261" t="str">
        <f>IF($O5018&lt;&gt;"",(1-$O5018)*R5016,"")</f>
        <v/>
      </c>
      <c r="S5018" s="261" t="str">
        <f>IF($O5018&lt;&gt;"",(1-$O5018)*S5016,"")</f>
        <v/>
      </c>
      <c r="U5018" s="261" t="str">
        <f>IF($O5018&lt;&gt;"",(1-$O5018)*U5016,"")</f>
        <v/>
      </c>
      <c r="V5018" s="261" t="str">
        <f>IF($O5018&lt;&gt;"",(1-$O5018)*V5016,"")</f>
        <v/>
      </c>
      <c r="W5018" s="261" t="str">
        <f>IF($O5018&lt;&gt;"",(1-$O5018)*W5016,"")</f>
        <v/>
      </c>
      <c r="X5018" s="261" t="str">
        <f>IF($O5018&lt;&gt;"",(1-$O5018)*X5016,"")</f>
        <v/>
      </c>
    </row>
    <row r="5019" spans="1:33" x14ac:dyDescent="0.35">
      <c r="A5019" s="527" t="str">
        <f>"SgK4820--"&amp;RIGHT(N4997,5)</f>
        <v>SgK4820--Dez21</v>
      </c>
      <c r="B5019" s="526" t="s">
        <v>5434</v>
      </c>
      <c r="C5019" s="526" t="str">
        <f t="shared" si="1731"/>
        <v>Inbetriebnahme 12/2021</v>
      </c>
      <c r="D5019" s="526" t="str">
        <f t="shared" si="1742"/>
        <v>0 - 10 kW</v>
      </c>
      <c r="E5019" s="526"/>
      <c r="F5019" s="639">
        <f t="shared" si="1732"/>
        <v>6.93</v>
      </c>
      <c r="G5019" s="639">
        <f t="shared" si="1733"/>
        <v>7.33</v>
      </c>
      <c r="H5019" s="641">
        <f t="shared" si="1734"/>
        <v>5.86</v>
      </c>
      <c r="I5019" s="641"/>
      <c r="J5019" s="549">
        <v>44511</v>
      </c>
      <c r="O5019" s="322"/>
      <c r="P5019" s="261" t="str">
        <f>IF($O5019&lt;&gt;"",(1-$O5019)*#REF!,"")</f>
        <v/>
      </c>
      <c r="Q5019" s="261" t="str">
        <f>IF($O5019&lt;&gt;"",(1-$O5019)*#REF!,"")</f>
        <v/>
      </c>
      <c r="R5019" s="261" t="str">
        <f>IF($O5019&lt;&gt;"",(1-$O5019)*#REF!,"")</f>
        <v/>
      </c>
      <c r="S5019" s="261" t="str">
        <f>IF($O5019&lt;&gt;"",(1-$O5019)*#REF!,"")</f>
        <v/>
      </c>
      <c r="U5019" s="261" t="str">
        <f>IF($O5019&lt;&gt;"",(1-$O5019)*#REF!,"")</f>
        <v/>
      </c>
      <c r="V5019" s="261" t="str">
        <f>IF($O5019&lt;&gt;"",(1-$O5019)*#REF!,"")</f>
        <v/>
      </c>
      <c r="W5019" s="261" t="str">
        <f>IF($O5019&lt;&gt;"",(1-$O5019)*#REF!,"")</f>
        <v/>
      </c>
      <c r="X5019" s="261" t="str">
        <f>IF($O5019&lt;&gt;"",(1-$O5019)*#REF!,"")</f>
        <v/>
      </c>
    </row>
    <row r="5020" spans="1:33" x14ac:dyDescent="0.35">
      <c r="A5020" s="527" t="str">
        <f>"SgK4821--"&amp;RIGHT(A5019,5)</f>
        <v>SgK4821--Dez21</v>
      </c>
      <c r="B5020" s="526" t="s">
        <v>5434</v>
      </c>
      <c r="C5020" s="526" t="str">
        <f t="shared" si="1731"/>
        <v>Inbetriebnahme 12/2021</v>
      </c>
      <c r="D5020" s="526" t="str">
        <f t="shared" si="1742"/>
        <v>10 - 40 kW</v>
      </c>
      <c r="E5020" s="526"/>
      <c r="F5020" s="639">
        <f t="shared" si="1732"/>
        <v>6.73</v>
      </c>
      <c r="G5020" s="639">
        <f t="shared" si="1733"/>
        <v>7.13</v>
      </c>
      <c r="H5020" s="641">
        <f t="shared" si="1734"/>
        <v>5.7</v>
      </c>
      <c r="I5020" s="641"/>
      <c r="J5020" s="549">
        <v>44511</v>
      </c>
      <c r="O5020" s="322"/>
      <c r="P5020" s="261" t="str">
        <f>IF($O5020&lt;&gt;"",(1-$O5020)*#REF!,"")</f>
        <v/>
      </c>
      <c r="Q5020" s="261" t="str">
        <f>IF($O5020&lt;&gt;"",(1-$O5020)*#REF!,"")</f>
        <v/>
      </c>
      <c r="R5020" s="261" t="str">
        <f>IF($O5020&lt;&gt;"",(1-$O5020)*#REF!,"")</f>
        <v/>
      </c>
      <c r="S5020" s="261" t="str">
        <f>IF($O5020&lt;&gt;"",(1-$O5020)*#REF!,"")</f>
        <v/>
      </c>
      <c r="U5020" s="261" t="str">
        <f>IF($O5020&lt;&gt;"",(1-$O5020)*#REF!,"")</f>
        <v/>
      </c>
      <c r="V5020" s="261" t="str">
        <f>IF($O5020&lt;&gt;"",(1-$O5020)*#REF!,"")</f>
        <v/>
      </c>
      <c r="W5020" s="261" t="str">
        <f>IF($O5020&lt;&gt;"",(1-$O5020)*#REF!,"")</f>
        <v/>
      </c>
      <c r="X5020" s="261" t="str">
        <f>IF($O5020&lt;&gt;"",(1-$O5020)*#REF!,"")</f>
        <v/>
      </c>
    </row>
    <row r="5021" spans="1:33" ht="14.25" customHeight="1" x14ac:dyDescent="0.35">
      <c r="A5021" s="527" t="str">
        <f>"SgK4822--"&amp;RIGHT(A5020,5)</f>
        <v>SgK4822--Dez21</v>
      </c>
      <c r="B5021" s="526" t="s">
        <v>5434</v>
      </c>
      <c r="C5021" s="526" t="str">
        <f t="shared" si="1731"/>
        <v>Inbetriebnahme 12/2021</v>
      </c>
      <c r="D5021" s="526" t="str">
        <f t="shared" si="1742"/>
        <v>40 - 750 kW</v>
      </c>
      <c r="E5021" s="526"/>
      <c r="F5021" s="639">
        <f t="shared" si="1732"/>
        <v>5.27</v>
      </c>
      <c r="G5021" s="639">
        <f t="shared" si="1733"/>
        <v>5.67</v>
      </c>
      <c r="H5021" s="641">
        <f t="shared" si="1734"/>
        <v>4.54</v>
      </c>
      <c r="I5021" s="641"/>
      <c r="J5021" s="549">
        <v>44511</v>
      </c>
      <c r="O5021" s="322"/>
      <c r="P5021" s="261" t="str">
        <f>IF($O5021&lt;&gt;"",(1-$O5021)*P5019,"")</f>
        <v/>
      </c>
      <c r="Q5021" s="261" t="str">
        <f>IF($O5021&lt;&gt;"",(1-$O5021)*Q5019,"")</f>
        <v/>
      </c>
      <c r="R5021" s="261" t="str">
        <f>IF($O5021&lt;&gt;"",(1-$O5021)*R5019,"")</f>
        <v/>
      </c>
      <c r="S5021" s="261" t="str">
        <f>IF($O5021&lt;&gt;"",(1-$O5021)*S5019,"")</f>
        <v/>
      </c>
      <c r="U5021" s="261" t="str">
        <f>IF($O5021&lt;&gt;"",(1-$O5021)*U5019,"")</f>
        <v/>
      </c>
      <c r="V5021" s="261" t="str">
        <f>IF($O5021&lt;&gt;"",(1-$O5021)*V5019,"")</f>
        <v/>
      </c>
      <c r="W5021" s="261" t="str">
        <f>IF($O5021&lt;&gt;"",(1-$O5021)*W5019,"")</f>
        <v/>
      </c>
      <c r="X5021" s="261" t="str">
        <f>IF($O5021&lt;&gt;"",(1-$O5021)*X5019,"")</f>
        <v/>
      </c>
    </row>
    <row r="5022" spans="1:33" x14ac:dyDescent="0.35">
      <c r="A5022" s="496"/>
      <c r="B5022" s="1"/>
      <c r="C5022" s="1"/>
      <c r="D5022" s="1"/>
      <c r="E5022" s="1"/>
      <c r="F5022" s="362"/>
      <c r="G5022" s="10"/>
      <c r="H5022" s="10"/>
      <c r="I5022" s="566"/>
      <c r="J5022" s="549" t="s">
        <v>4179</v>
      </c>
      <c r="K5022" s="11"/>
      <c r="N5022" s="109" t="s">
        <v>3901</v>
      </c>
      <c r="O5022" s="29" t="s">
        <v>5489</v>
      </c>
      <c r="P5022" t="s">
        <v>3918</v>
      </c>
      <c r="Q5022" t="s">
        <v>3919</v>
      </c>
      <c r="R5022" t="s">
        <v>7439</v>
      </c>
      <c r="T5022" t="s">
        <v>49</v>
      </c>
      <c r="U5022" t="s">
        <v>3918</v>
      </c>
      <c r="V5022" t="s">
        <v>3919</v>
      </c>
      <c r="W5022" t="s">
        <v>7439</v>
      </c>
    </row>
    <row r="5023" spans="1:33" x14ac:dyDescent="0.35">
      <c r="A5023" s="527" t="str">
        <f>"SgK4820--"&amp;RIGHT(N5023,5)</f>
        <v>SgK4820--Jan22</v>
      </c>
      <c r="B5023" s="526" t="s">
        <v>5434</v>
      </c>
      <c r="C5023" s="526" t="str">
        <f t="shared" ref="C5023:C5040" si="1746">"Inbetriebnahme "&amp;TEXT(DATEVALUE(RIGHT(A5023,5)),"MM/JJJJ")</f>
        <v>Inbetriebnahme 01/2022</v>
      </c>
      <c r="D5023" s="526" t="str">
        <f>$Q$4687</f>
        <v>0 - 10 kW</v>
      </c>
      <c r="E5023" s="526"/>
      <c r="F5023" s="639">
        <f t="shared" ref="F5023:F5043" si="1747">IF(HLOOKUP($D5023,$U$5022:$W$5034,MATCH(RIGHT($A5023,5),$N$5022:$N$5034,0),FALSE)&lt;&gt;"",ROUND(HLOOKUP($D5023,$U$5022:$W$5034,MATCH(RIGHT($A5023,5),$N$5022:$N$5034,0),FALSE),2),"")</f>
        <v>6.83</v>
      </c>
      <c r="G5023" s="639">
        <f t="shared" ref="G5023:G5043" si="1748">IF(HLOOKUP($D5023,$P$5022:$R$5034,MATCH(RIGHT($A5023,5),$N$5022:$N$5034,0),FALSE)&lt;&gt;"",ROUND(HLOOKUP($D5023,$P$5022:$R$5034,MATCH(RIGHT($A5023,5),$N$5022:$N$5034,0),FALSE),2),"")</f>
        <v>7.23</v>
      </c>
      <c r="H5023" s="641">
        <f t="shared" ref="H5023:H5043" si="1749">IF(ISNUMBER($G5023),ROUND(0.8*$G5023,2),"")</f>
        <v>5.78</v>
      </c>
      <c r="I5023" s="641"/>
      <c r="J5023" s="549">
        <v>44536</v>
      </c>
      <c r="K5023" s="11"/>
      <c r="M5023" s="101">
        <v>2022</v>
      </c>
      <c r="N5023" s="522" t="s">
        <v>7650</v>
      </c>
      <c r="O5023" s="461">
        <v>1.4E-2</v>
      </c>
      <c r="P5023" s="11">
        <f>IF($O5023&lt;&gt;"",P4997*(100%-$O5023),"")</f>
        <v>7.22764384813261</v>
      </c>
      <c r="Q5023" s="11">
        <f>IF($O5023&lt;&gt;"",Q4997*(100%-$O5023),"")</f>
        <v>7.033443137259888</v>
      </c>
      <c r="R5023" s="11">
        <f>IF($O5023&lt;&gt;"",R4997*(100%-$O5023),"")</f>
        <v>5.5896030694670422</v>
      </c>
      <c r="S5023" s="11"/>
      <c r="T5023" s="11"/>
      <c r="U5023" s="11">
        <f t="shared" ref="U5023:U5034" si="1750">IF($O5023&lt;&gt;"",P5023-0.4,"")</f>
        <v>6.8276438481326096</v>
      </c>
      <c r="V5023" s="11">
        <f t="shared" ref="V5023:V5034" si="1751">IF($O5023&lt;&gt;"",Q5023-0.4,"")</f>
        <v>6.6334431372598877</v>
      </c>
      <c r="W5023" s="11">
        <f t="shared" ref="W5023:W5034" si="1752">IF($O5023&lt;&gt;"",R5023-0.4,"")</f>
        <v>5.1896030694670419</v>
      </c>
      <c r="X5023" s="11"/>
      <c r="Z5023" s="11"/>
      <c r="AA5023" s="11"/>
      <c r="AB5023" s="11"/>
      <c r="AC5023" s="11"/>
      <c r="AD5023" s="11"/>
      <c r="AE5023" s="11"/>
      <c r="AF5023" s="11"/>
      <c r="AG5023" s="11"/>
    </row>
    <row r="5024" spans="1:33" x14ac:dyDescent="0.35">
      <c r="A5024" s="527" t="str">
        <f>"SgK4821--"&amp;RIGHT(A5023,5)</f>
        <v>SgK4821--Jan22</v>
      </c>
      <c r="B5024" s="526" t="s">
        <v>5434</v>
      </c>
      <c r="C5024" s="526" t="str">
        <f t="shared" si="1746"/>
        <v>Inbetriebnahme 01/2022</v>
      </c>
      <c r="D5024" s="526" t="str">
        <f>$R$4687</f>
        <v>10 - 40 kW</v>
      </c>
      <c r="E5024" s="526"/>
      <c r="F5024" s="639">
        <f t="shared" si="1747"/>
        <v>6.63</v>
      </c>
      <c r="G5024" s="639">
        <f t="shared" si="1748"/>
        <v>7.03</v>
      </c>
      <c r="H5024" s="641">
        <f t="shared" si="1749"/>
        <v>5.62</v>
      </c>
      <c r="I5024" s="641"/>
      <c r="J5024" s="549">
        <v>44592</v>
      </c>
      <c r="K5024" s="11"/>
      <c r="N5024" s="266" t="str">
        <f t="shared" ref="N5024:N5034" si="1753">TEXT(DATE(YEAR(DATEVALUE(N5023)),MONTH(DATEVALUE(N5023))+1,1),"MMMJJ")</f>
        <v>Feb22</v>
      </c>
      <c r="O5024" s="461">
        <v>1.4E-2</v>
      </c>
      <c r="P5024" s="11">
        <f t="shared" ref="P5024:P5034" si="1754">IF($O5024&lt;&gt;"",P5023*(100%-$O5024),"")</f>
        <v>7.1264568342587538</v>
      </c>
      <c r="Q5024" s="11">
        <f t="shared" ref="Q5024:Q5034" si="1755">IF($O5024&lt;&gt;"",Q5023*(100%-$O5024),"")</f>
        <v>6.9349749333382498</v>
      </c>
      <c r="R5024" s="11">
        <f t="shared" ref="R5024:R5034" si="1756">IF($O5024&lt;&gt;"",R5023*(100%-$O5024),"")</f>
        <v>5.5113486264945033</v>
      </c>
      <c r="S5024" s="694"/>
      <c r="T5024" s="11"/>
      <c r="U5024" s="11">
        <f t="shared" si="1750"/>
        <v>6.7264568342587534</v>
      </c>
      <c r="V5024" s="11">
        <f t="shared" si="1751"/>
        <v>6.5349749333382494</v>
      </c>
      <c r="W5024" s="11">
        <f t="shared" si="1752"/>
        <v>5.1113486264945029</v>
      </c>
      <c r="X5024" s="11"/>
      <c r="Z5024" s="11"/>
      <c r="AA5024" s="11"/>
      <c r="AB5024" s="11"/>
      <c r="AE5024" s="11"/>
      <c r="AF5024" s="11"/>
      <c r="AG5024" s="11"/>
    </row>
    <row r="5025" spans="1:28" x14ac:dyDescent="0.35">
      <c r="A5025" s="527" t="str">
        <f>"SgK4822--"&amp;RIGHT(A5024,5)</f>
        <v>SgK4822--Jan22</v>
      </c>
      <c r="B5025" s="526" t="s">
        <v>5434</v>
      </c>
      <c r="C5025" s="526" t="str">
        <f t="shared" si="1746"/>
        <v>Inbetriebnahme 01/2022</v>
      </c>
      <c r="D5025" s="526" t="s">
        <v>7439</v>
      </c>
      <c r="E5025" s="526"/>
      <c r="F5025" s="639">
        <f t="shared" si="1747"/>
        <v>5.19</v>
      </c>
      <c r="G5025" s="639">
        <f t="shared" si="1748"/>
        <v>5.59</v>
      </c>
      <c r="H5025" s="641">
        <f t="shared" si="1749"/>
        <v>4.47</v>
      </c>
      <c r="I5025" s="641"/>
      <c r="J5025" s="549">
        <v>44592</v>
      </c>
      <c r="K5025" s="11"/>
      <c r="M5025" s="339"/>
      <c r="N5025" s="266" t="str">
        <f t="shared" si="1753"/>
        <v>Mrz22</v>
      </c>
      <c r="O5025" s="461">
        <v>1.4E-2</v>
      </c>
      <c r="P5025" s="11">
        <f t="shared" si="1754"/>
        <v>7.026686438579131</v>
      </c>
      <c r="Q5025" s="11">
        <f t="shared" si="1755"/>
        <v>6.8378852842715139</v>
      </c>
      <c r="R5025" s="11">
        <f t="shared" si="1756"/>
        <v>5.4341897457235806</v>
      </c>
      <c r="T5025" s="11"/>
      <c r="U5025" s="11">
        <f t="shared" si="1750"/>
        <v>6.6266864385791306</v>
      </c>
      <c r="V5025" s="11">
        <f t="shared" si="1751"/>
        <v>6.4378852842715135</v>
      </c>
      <c r="W5025" s="11">
        <f t="shared" si="1752"/>
        <v>5.0341897457235802</v>
      </c>
      <c r="X5025" s="11"/>
      <c r="Z5025" s="11"/>
      <c r="AA5025" s="11"/>
      <c r="AB5025" s="11"/>
    </row>
    <row r="5026" spans="1:28" x14ac:dyDescent="0.35">
      <c r="A5026" s="527" t="str">
        <f>"SgK4820--"&amp;RIGHT(N5024,5)</f>
        <v>SgK4820--Feb22</v>
      </c>
      <c r="B5026" s="526" t="s">
        <v>5434</v>
      </c>
      <c r="C5026" s="526" t="str">
        <f t="shared" si="1746"/>
        <v>Inbetriebnahme 02/2022</v>
      </c>
      <c r="D5026" s="526" t="str">
        <f t="shared" ref="D5026:D5043" si="1757">D5023</f>
        <v>0 - 10 kW</v>
      </c>
      <c r="E5026" s="526"/>
      <c r="F5026" s="639">
        <f t="shared" si="1747"/>
        <v>6.73</v>
      </c>
      <c r="G5026" s="639">
        <f t="shared" si="1748"/>
        <v>7.13</v>
      </c>
      <c r="H5026" s="641">
        <f t="shared" si="1749"/>
        <v>5.7</v>
      </c>
      <c r="I5026" s="641"/>
      <c r="J5026" s="549">
        <v>44592</v>
      </c>
      <c r="K5026" s="11"/>
      <c r="M5026" s="339"/>
      <c r="N5026" s="266" t="str">
        <f t="shared" si="1753"/>
        <v>Apr22</v>
      </c>
      <c r="O5026" s="461">
        <v>1.4E-2</v>
      </c>
      <c r="P5026" s="11">
        <f t="shared" si="1754"/>
        <v>6.9283128284390232</v>
      </c>
      <c r="Q5026" s="11">
        <f t="shared" si="1755"/>
        <v>6.7421548902917126</v>
      </c>
      <c r="R5026" s="11">
        <f t="shared" si="1756"/>
        <v>5.35811108928345</v>
      </c>
      <c r="S5026" s="696"/>
      <c r="T5026" s="11"/>
      <c r="U5026" s="11">
        <f t="shared" si="1750"/>
        <v>6.5283128284390228</v>
      </c>
      <c r="V5026" s="11">
        <f t="shared" si="1751"/>
        <v>6.3421548902917122</v>
      </c>
      <c r="W5026" s="11">
        <f t="shared" si="1752"/>
        <v>4.9581110892834497</v>
      </c>
      <c r="X5026" s="11"/>
      <c r="Z5026" s="11"/>
      <c r="AA5026" s="11"/>
      <c r="AB5026" s="11"/>
    </row>
    <row r="5027" spans="1:28" x14ac:dyDescent="0.35">
      <c r="A5027" s="527" t="str">
        <f>"SgK4821--"&amp;RIGHT(A5026,5)</f>
        <v>SgK4821--Feb22</v>
      </c>
      <c r="B5027" s="526" t="s">
        <v>5434</v>
      </c>
      <c r="C5027" s="526" t="str">
        <f t="shared" si="1746"/>
        <v>Inbetriebnahme 02/2022</v>
      </c>
      <c r="D5027" s="526" t="str">
        <f t="shared" si="1757"/>
        <v>10 - 40 kW</v>
      </c>
      <c r="E5027" s="526"/>
      <c r="F5027" s="639">
        <f t="shared" si="1747"/>
        <v>6.53</v>
      </c>
      <c r="G5027" s="639">
        <f t="shared" si="1748"/>
        <v>6.93</v>
      </c>
      <c r="H5027" s="641">
        <f t="shared" si="1749"/>
        <v>5.54</v>
      </c>
      <c r="I5027" s="641"/>
      <c r="J5027" s="549">
        <v>44592</v>
      </c>
      <c r="K5027" s="11"/>
      <c r="M5027" s="339"/>
      <c r="N5027" s="266" t="str">
        <f t="shared" si="1753"/>
        <v>Mai22</v>
      </c>
      <c r="O5027" s="461">
        <v>1.4E-2</v>
      </c>
      <c r="P5027" s="11">
        <f t="shared" si="1754"/>
        <v>6.8313164488408766</v>
      </c>
      <c r="Q5027" s="11">
        <f t="shared" si="1755"/>
        <v>6.6477647218276283</v>
      </c>
      <c r="R5027" s="11">
        <f t="shared" si="1756"/>
        <v>5.283097534033482</v>
      </c>
      <c r="S5027" s="694"/>
      <c r="T5027" s="11"/>
      <c r="U5027" s="11">
        <f t="shared" si="1750"/>
        <v>6.4313164488408763</v>
      </c>
      <c r="V5027" s="11">
        <f t="shared" si="1751"/>
        <v>6.247764721827628</v>
      </c>
      <c r="W5027" s="11">
        <f t="shared" si="1752"/>
        <v>4.8830975340334817</v>
      </c>
      <c r="X5027" s="11"/>
      <c r="Z5027" s="11"/>
      <c r="AA5027" s="11"/>
      <c r="AB5027" s="11"/>
    </row>
    <row r="5028" spans="1:28" x14ac:dyDescent="0.35">
      <c r="A5028" s="527" t="str">
        <f>"SgK4822--"&amp;RIGHT(A5027,5)</f>
        <v>SgK4822--Feb22</v>
      </c>
      <c r="B5028" s="526" t="s">
        <v>5434</v>
      </c>
      <c r="C5028" s="526" t="str">
        <f t="shared" si="1746"/>
        <v>Inbetriebnahme 02/2022</v>
      </c>
      <c r="D5028" s="526" t="str">
        <f t="shared" si="1757"/>
        <v>40 - 750 kW</v>
      </c>
      <c r="E5028" s="526"/>
      <c r="F5028" s="639">
        <f t="shared" si="1747"/>
        <v>5.1100000000000003</v>
      </c>
      <c r="G5028" s="639">
        <f t="shared" si="1748"/>
        <v>5.51</v>
      </c>
      <c r="H5028" s="641">
        <f t="shared" si="1749"/>
        <v>4.41</v>
      </c>
      <c r="I5028" s="641"/>
      <c r="J5028" s="549">
        <v>44592</v>
      </c>
      <c r="K5028" s="11"/>
      <c r="M5028" s="339"/>
      <c r="N5028" s="266" t="str">
        <f t="shared" si="1753"/>
        <v>Jun22</v>
      </c>
      <c r="O5028" s="461">
        <v>1.4E-2</v>
      </c>
      <c r="P5028" s="11">
        <f t="shared" si="1754"/>
        <v>6.7356780185571044</v>
      </c>
      <c r="Q5028" s="11">
        <f t="shared" si="1755"/>
        <v>6.5546960157220413</v>
      </c>
      <c r="R5028" s="11">
        <f t="shared" si="1756"/>
        <v>5.2091341685570134</v>
      </c>
      <c r="S5028" s="696"/>
      <c r="T5028" s="11"/>
      <c r="U5028" s="11">
        <f t="shared" si="1750"/>
        <v>6.335678018557104</v>
      </c>
      <c r="V5028" s="11">
        <f t="shared" si="1751"/>
        <v>6.1546960157220409</v>
      </c>
      <c r="W5028" s="11">
        <f t="shared" si="1752"/>
        <v>4.809134168557013</v>
      </c>
      <c r="X5028" s="11"/>
      <c r="Z5028" s="11"/>
      <c r="AA5028" s="11"/>
      <c r="AB5028" s="11"/>
    </row>
    <row r="5029" spans="1:28" x14ac:dyDescent="0.35">
      <c r="A5029" s="527" t="str">
        <f>"SgK4820--"&amp;RIGHT(N5025,5)</f>
        <v>SgK4820--Mrz22</v>
      </c>
      <c r="B5029" s="526" t="s">
        <v>5434</v>
      </c>
      <c r="C5029" s="526" t="str">
        <f t="shared" si="1746"/>
        <v>Inbetriebnahme 03/2022</v>
      </c>
      <c r="D5029" s="526" t="str">
        <f t="shared" si="1757"/>
        <v>0 - 10 kW</v>
      </c>
      <c r="E5029" s="526"/>
      <c r="F5029" s="639">
        <f t="shared" si="1747"/>
        <v>6.63</v>
      </c>
      <c r="G5029" s="639">
        <f t="shared" si="1748"/>
        <v>7.03</v>
      </c>
      <c r="H5029" s="641">
        <f t="shared" si="1749"/>
        <v>5.62</v>
      </c>
      <c r="I5029" s="641"/>
      <c r="J5029" s="549">
        <v>44592</v>
      </c>
      <c r="K5029" s="11"/>
      <c r="M5029" s="339"/>
      <c r="N5029" s="266" t="str">
        <f t="shared" si="1753"/>
        <v>Jul22</v>
      </c>
      <c r="O5029" s="461">
        <v>1.4E-2</v>
      </c>
      <c r="P5029" s="630">
        <f t="shared" si="1754"/>
        <v>6.6413785262973049</v>
      </c>
      <c r="Q5029" s="630">
        <f t="shared" si="1755"/>
        <v>6.462930271501933</v>
      </c>
      <c r="R5029" s="630">
        <f t="shared" si="1756"/>
        <v>5.1362062901972152</v>
      </c>
      <c r="S5029" s="694"/>
      <c r="T5029" s="11"/>
      <c r="U5029" s="11">
        <f t="shared" si="1750"/>
        <v>6.2413785262973045</v>
      </c>
      <c r="V5029" s="11">
        <f t="shared" si="1751"/>
        <v>6.0629302715019326</v>
      </c>
      <c r="W5029" s="11">
        <f t="shared" si="1752"/>
        <v>4.7362062901972148</v>
      </c>
      <c r="X5029" s="11"/>
      <c r="Z5029" s="11"/>
      <c r="AA5029" s="11"/>
      <c r="AB5029" s="11"/>
    </row>
    <row r="5030" spans="1:28" x14ac:dyDescent="0.35">
      <c r="A5030" s="527" t="str">
        <f>"SgK4821--"&amp;RIGHT(A5029,5)</f>
        <v>SgK4821--Mrz22</v>
      </c>
      <c r="B5030" s="526" t="s">
        <v>5434</v>
      </c>
      <c r="C5030" s="526" t="str">
        <f t="shared" si="1746"/>
        <v>Inbetriebnahme 03/2022</v>
      </c>
      <c r="D5030" s="526" t="str">
        <f t="shared" si="1757"/>
        <v>10 - 40 kW</v>
      </c>
      <c r="E5030" s="526"/>
      <c r="F5030" s="639">
        <f t="shared" si="1747"/>
        <v>6.44</v>
      </c>
      <c r="G5030" s="639">
        <f t="shared" si="1748"/>
        <v>6.84</v>
      </c>
      <c r="H5030" s="641">
        <f t="shared" si="1749"/>
        <v>5.47</v>
      </c>
      <c r="I5030" s="641"/>
      <c r="J5030" s="549">
        <v>44592</v>
      </c>
      <c r="K5030" s="11"/>
      <c r="M5030" s="101"/>
      <c r="N5030" s="266" t="str">
        <f t="shared" si="1753"/>
        <v>Aug22</v>
      </c>
      <c r="O5030" s="461"/>
      <c r="P5030" s="11" t="str">
        <f t="shared" si="1754"/>
        <v/>
      </c>
      <c r="Q5030" s="11" t="str">
        <f t="shared" si="1755"/>
        <v/>
      </c>
      <c r="R5030" s="11" t="str">
        <f t="shared" si="1756"/>
        <v/>
      </c>
      <c r="S5030" s="11"/>
      <c r="T5030" s="11"/>
      <c r="U5030" s="11" t="str">
        <f t="shared" si="1750"/>
        <v/>
      </c>
      <c r="V5030" s="11" t="str">
        <f t="shared" si="1751"/>
        <v/>
      </c>
      <c r="W5030" s="11" t="str">
        <f t="shared" si="1752"/>
        <v/>
      </c>
      <c r="X5030" s="11"/>
      <c r="Z5030" s="11"/>
      <c r="AA5030" s="11"/>
      <c r="AB5030" s="11"/>
    </row>
    <row r="5031" spans="1:28" x14ac:dyDescent="0.35">
      <c r="A5031" s="527" t="str">
        <f>"SgK4822--"&amp;RIGHT(A5030,5)</f>
        <v>SgK4822--Mrz22</v>
      </c>
      <c r="B5031" s="526" t="s">
        <v>5434</v>
      </c>
      <c r="C5031" s="526" t="str">
        <f t="shared" si="1746"/>
        <v>Inbetriebnahme 03/2022</v>
      </c>
      <c r="D5031" s="526" t="str">
        <f t="shared" si="1757"/>
        <v>40 - 750 kW</v>
      </c>
      <c r="E5031" s="526"/>
      <c r="F5031" s="639">
        <f t="shared" si="1747"/>
        <v>5.03</v>
      </c>
      <c r="G5031" s="639">
        <f t="shared" si="1748"/>
        <v>5.43</v>
      </c>
      <c r="H5031" s="641">
        <f t="shared" si="1749"/>
        <v>4.34</v>
      </c>
      <c r="I5031" s="641"/>
      <c r="J5031" s="549">
        <v>44592</v>
      </c>
      <c r="K5031" s="11"/>
      <c r="N5031" s="266" t="str">
        <f t="shared" si="1753"/>
        <v>Sep22</v>
      </c>
      <c r="O5031" s="461"/>
      <c r="P5031" s="11" t="str">
        <f t="shared" si="1754"/>
        <v/>
      </c>
      <c r="Q5031" s="11" t="str">
        <f t="shared" si="1755"/>
        <v/>
      </c>
      <c r="R5031" s="11" t="str">
        <f t="shared" si="1756"/>
        <v/>
      </c>
      <c r="S5031" s="11"/>
      <c r="T5031" s="11"/>
      <c r="U5031" s="11" t="str">
        <f t="shared" si="1750"/>
        <v/>
      </c>
      <c r="V5031" s="11" t="str">
        <f t="shared" si="1751"/>
        <v/>
      </c>
      <c r="W5031" s="11" t="str">
        <f t="shared" si="1752"/>
        <v/>
      </c>
      <c r="X5031" s="11"/>
      <c r="Z5031" s="11"/>
      <c r="AA5031" s="11"/>
      <c r="AB5031" s="11"/>
    </row>
    <row r="5032" spans="1:28" x14ac:dyDescent="0.35">
      <c r="A5032" s="527" t="str">
        <f>"SgK4820--"&amp;RIGHT(N5026,5)</f>
        <v>SgK4820--Apr22</v>
      </c>
      <c r="B5032" s="526" t="s">
        <v>5434</v>
      </c>
      <c r="C5032" s="526" t="str">
        <f t="shared" si="1746"/>
        <v>Inbetriebnahme 04/2022</v>
      </c>
      <c r="D5032" s="526" t="str">
        <f t="shared" si="1757"/>
        <v>0 - 10 kW</v>
      </c>
      <c r="E5032" s="526"/>
      <c r="F5032" s="639">
        <f t="shared" si="1747"/>
        <v>6.53</v>
      </c>
      <c r="G5032" s="639">
        <f t="shared" si="1748"/>
        <v>6.93</v>
      </c>
      <c r="H5032" s="641">
        <f t="shared" si="1749"/>
        <v>5.54</v>
      </c>
      <c r="I5032" s="641"/>
      <c r="J5032" s="549">
        <v>44592</v>
      </c>
      <c r="K5032" s="11"/>
      <c r="N5032" s="266" t="str">
        <f t="shared" si="1753"/>
        <v>Okt22</v>
      </c>
      <c r="O5032" s="461"/>
      <c r="P5032" s="11" t="str">
        <f t="shared" si="1754"/>
        <v/>
      </c>
      <c r="Q5032" s="11" t="str">
        <f t="shared" si="1755"/>
        <v/>
      </c>
      <c r="R5032" s="11" t="str">
        <f t="shared" si="1756"/>
        <v/>
      </c>
      <c r="S5032" s="11"/>
      <c r="T5032" s="11"/>
      <c r="U5032" s="11" t="str">
        <f t="shared" si="1750"/>
        <v/>
      </c>
      <c r="V5032" s="11" t="str">
        <f t="shared" si="1751"/>
        <v/>
      </c>
      <c r="W5032" s="11" t="str">
        <f t="shared" si="1752"/>
        <v/>
      </c>
      <c r="X5032" s="11"/>
      <c r="Z5032" s="11"/>
      <c r="AA5032" s="11"/>
      <c r="AB5032" s="11"/>
    </row>
    <row r="5033" spans="1:28" x14ac:dyDescent="0.35">
      <c r="A5033" s="527" t="str">
        <f>"SgK4821--"&amp;RIGHT(A5032,5)</f>
        <v>SgK4821--Apr22</v>
      </c>
      <c r="B5033" s="526" t="s">
        <v>5434</v>
      </c>
      <c r="C5033" s="526" t="str">
        <f t="shared" si="1746"/>
        <v>Inbetriebnahme 04/2022</v>
      </c>
      <c r="D5033" s="526" t="str">
        <f t="shared" si="1757"/>
        <v>10 - 40 kW</v>
      </c>
      <c r="E5033" s="526"/>
      <c r="F5033" s="639">
        <f t="shared" si="1747"/>
        <v>6.34</v>
      </c>
      <c r="G5033" s="639">
        <f t="shared" si="1748"/>
        <v>6.74</v>
      </c>
      <c r="H5033" s="641">
        <f t="shared" si="1749"/>
        <v>5.39</v>
      </c>
      <c r="I5033" s="641"/>
      <c r="J5033" s="549">
        <v>44592</v>
      </c>
      <c r="K5033" s="11"/>
      <c r="N5033" s="266" t="str">
        <f t="shared" si="1753"/>
        <v>Nov22</v>
      </c>
      <c r="O5033" s="461"/>
      <c r="P5033" s="11" t="str">
        <f t="shared" si="1754"/>
        <v/>
      </c>
      <c r="Q5033" s="11" t="str">
        <f t="shared" si="1755"/>
        <v/>
      </c>
      <c r="R5033" s="11" t="str">
        <f t="shared" si="1756"/>
        <v/>
      </c>
      <c r="S5033" s="11"/>
      <c r="T5033" s="11"/>
      <c r="U5033" s="11" t="str">
        <f t="shared" si="1750"/>
        <v/>
      </c>
      <c r="V5033" s="11" t="str">
        <f t="shared" si="1751"/>
        <v/>
      </c>
      <c r="W5033" s="11" t="str">
        <f t="shared" si="1752"/>
        <v/>
      </c>
      <c r="X5033" s="11"/>
      <c r="Z5033" s="11"/>
      <c r="AA5033" s="11"/>
      <c r="AB5033" s="11"/>
    </row>
    <row r="5034" spans="1:28" x14ac:dyDescent="0.35">
      <c r="A5034" s="527" t="str">
        <f>"SgK4822--"&amp;RIGHT(A5033,5)</f>
        <v>SgK4822--Apr22</v>
      </c>
      <c r="B5034" s="526" t="s">
        <v>5434</v>
      </c>
      <c r="C5034" s="526" t="str">
        <f t="shared" si="1746"/>
        <v>Inbetriebnahme 04/2022</v>
      </c>
      <c r="D5034" s="526" t="str">
        <f t="shared" si="1757"/>
        <v>40 - 750 kW</v>
      </c>
      <c r="E5034" s="526"/>
      <c r="F5034" s="639">
        <f t="shared" si="1747"/>
        <v>4.96</v>
      </c>
      <c r="G5034" s="639">
        <f t="shared" si="1748"/>
        <v>5.36</v>
      </c>
      <c r="H5034" s="641">
        <f t="shared" si="1749"/>
        <v>4.29</v>
      </c>
      <c r="I5034" s="641"/>
      <c r="J5034" s="549">
        <v>44592</v>
      </c>
      <c r="K5034" s="11"/>
      <c r="N5034" s="266" t="str">
        <f t="shared" si="1753"/>
        <v>Dez22</v>
      </c>
      <c r="O5034" s="461"/>
      <c r="P5034" s="11" t="str">
        <f t="shared" si="1754"/>
        <v/>
      </c>
      <c r="Q5034" s="11" t="str">
        <f t="shared" si="1755"/>
        <v/>
      </c>
      <c r="R5034" s="11" t="str">
        <f t="shared" si="1756"/>
        <v/>
      </c>
      <c r="S5034" s="11"/>
      <c r="T5034" s="11"/>
      <c r="U5034" s="11" t="str">
        <f t="shared" si="1750"/>
        <v/>
      </c>
      <c r="V5034" s="11" t="str">
        <f t="shared" si="1751"/>
        <v/>
      </c>
      <c r="W5034" s="11" t="str">
        <f t="shared" si="1752"/>
        <v/>
      </c>
      <c r="X5034" s="11"/>
      <c r="Z5034" s="11"/>
      <c r="AA5034" s="11"/>
      <c r="AB5034" s="11"/>
    </row>
    <row r="5035" spans="1:28" x14ac:dyDescent="0.35">
      <c r="A5035" s="527" t="str">
        <f>"SgK4820--"&amp;RIGHT(N5027,5)</f>
        <v>SgK4820--Mai22</v>
      </c>
      <c r="B5035" s="526" t="s">
        <v>5434</v>
      </c>
      <c r="C5035" s="526" t="str">
        <f t="shared" si="1746"/>
        <v>Inbetriebnahme 05/2022</v>
      </c>
      <c r="D5035" s="526" t="str">
        <f t="shared" si="1757"/>
        <v>0 - 10 kW</v>
      </c>
      <c r="E5035" s="526"/>
      <c r="F5035" s="639">
        <f t="shared" si="1747"/>
        <v>6.43</v>
      </c>
      <c r="G5035" s="639">
        <f t="shared" si="1748"/>
        <v>6.83</v>
      </c>
      <c r="H5035" s="641">
        <f t="shared" si="1749"/>
        <v>5.46</v>
      </c>
      <c r="I5035" s="641"/>
      <c r="J5035" s="549">
        <v>44681</v>
      </c>
      <c r="K5035" s="11"/>
      <c r="M5035" s="339"/>
      <c r="N5035" s="108"/>
      <c r="O5035" s="266"/>
      <c r="P5035" s="260"/>
      <c r="Q5035" s="261"/>
      <c r="R5035" s="261"/>
      <c r="S5035" s="261"/>
      <c r="T5035" s="261"/>
    </row>
    <row r="5036" spans="1:28" x14ac:dyDescent="0.35">
      <c r="A5036" s="527" t="str">
        <f>"SgK4821--"&amp;RIGHT(A5035,5)</f>
        <v>SgK4821--Mai22</v>
      </c>
      <c r="B5036" s="526" t="s">
        <v>5434</v>
      </c>
      <c r="C5036" s="526" t="str">
        <f t="shared" si="1746"/>
        <v>Inbetriebnahme 05/2022</v>
      </c>
      <c r="D5036" s="526" t="str">
        <f t="shared" si="1757"/>
        <v>10 - 40 kW</v>
      </c>
      <c r="E5036" s="526"/>
      <c r="F5036" s="639">
        <f t="shared" si="1747"/>
        <v>6.25</v>
      </c>
      <c r="G5036" s="639">
        <f t="shared" si="1748"/>
        <v>6.65</v>
      </c>
      <c r="H5036" s="641">
        <f t="shared" si="1749"/>
        <v>5.32</v>
      </c>
      <c r="I5036" s="641"/>
      <c r="J5036" s="549">
        <v>44681</v>
      </c>
      <c r="K5036" s="11"/>
      <c r="M5036" s="339"/>
      <c r="N5036" s="108"/>
      <c r="O5036" s="266"/>
      <c r="P5036" s="260"/>
      <c r="Q5036" s="261"/>
      <c r="R5036" s="261"/>
      <c r="S5036" s="261"/>
      <c r="T5036" s="261"/>
    </row>
    <row r="5037" spans="1:28" x14ac:dyDescent="0.35">
      <c r="A5037" s="527" t="str">
        <f>"SgK4822--"&amp;RIGHT(A5036,5)</f>
        <v>SgK4822--Mai22</v>
      </c>
      <c r="B5037" s="526" t="s">
        <v>5434</v>
      </c>
      <c r="C5037" s="526" t="str">
        <f t="shared" si="1746"/>
        <v>Inbetriebnahme 05/2022</v>
      </c>
      <c r="D5037" s="526" t="str">
        <f t="shared" si="1757"/>
        <v>40 - 750 kW</v>
      </c>
      <c r="E5037" s="526"/>
      <c r="F5037" s="639">
        <f t="shared" si="1747"/>
        <v>4.88</v>
      </c>
      <c r="G5037" s="639">
        <f t="shared" si="1748"/>
        <v>5.28</v>
      </c>
      <c r="H5037" s="641">
        <f t="shared" si="1749"/>
        <v>4.22</v>
      </c>
      <c r="I5037" s="641"/>
      <c r="J5037" s="549">
        <v>44681</v>
      </c>
      <c r="K5037" s="11"/>
      <c r="L5037" s="102"/>
      <c r="M5037" s="339"/>
      <c r="N5037" s="108"/>
      <c r="O5037" s="266"/>
      <c r="P5037" s="260"/>
      <c r="Q5037" s="261"/>
      <c r="R5037" s="261"/>
      <c r="S5037" s="261"/>
      <c r="T5037" s="261"/>
    </row>
    <row r="5038" spans="1:28" x14ac:dyDescent="0.35">
      <c r="A5038" s="527" t="str">
        <f>"SgK4820--"&amp;RIGHT(N5028,5)</f>
        <v>SgK4820--Jun22</v>
      </c>
      <c r="B5038" s="526" t="s">
        <v>5434</v>
      </c>
      <c r="C5038" s="526" t="str">
        <f t="shared" si="1746"/>
        <v>Inbetriebnahme 06/2022</v>
      </c>
      <c r="D5038" s="526" t="str">
        <f t="shared" si="1757"/>
        <v>0 - 10 kW</v>
      </c>
      <c r="E5038" s="526"/>
      <c r="F5038" s="639">
        <f t="shared" si="1747"/>
        <v>6.34</v>
      </c>
      <c r="G5038" s="639">
        <f t="shared" si="1748"/>
        <v>6.74</v>
      </c>
      <c r="H5038" s="641">
        <f t="shared" si="1749"/>
        <v>5.39</v>
      </c>
      <c r="I5038" s="641"/>
      <c r="J5038" s="549">
        <v>44681</v>
      </c>
      <c r="K5038" s="11"/>
      <c r="L5038" s="102"/>
      <c r="M5038" s="339"/>
      <c r="N5038" s="108"/>
      <c r="O5038" s="266"/>
      <c r="P5038" s="260"/>
      <c r="Q5038" s="261"/>
      <c r="R5038" s="261"/>
      <c r="S5038" s="261"/>
      <c r="T5038" s="261"/>
    </row>
    <row r="5039" spans="1:28" x14ac:dyDescent="0.35">
      <c r="A5039" s="527" t="str">
        <f>"SgK4821--"&amp;RIGHT(A5038,5)</f>
        <v>SgK4821--Jun22</v>
      </c>
      <c r="B5039" s="526" t="s">
        <v>5434</v>
      </c>
      <c r="C5039" s="526" t="str">
        <f t="shared" si="1746"/>
        <v>Inbetriebnahme 06/2022</v>
      </c>
      <c r="D5039" s="526" t="str">
        <f t="shared" si="1757"/>
        <v>10 - 40 kW</v>
      </c>
      <c r="E5039" s="526"/>
      <c r="F5039" s="639">
        <f t="shared" si="1747"/>
        <v>6.15</v>
      </c>
      <c r="G5039" s="639">
        <f t="shared" si="1748"/>
        <v>6.55</v>
      </c>
      <c r="H5039" s="641">
        <f t="shared" si="1749"/>
        <v>5.24</v>
      </c>
      <c r="I5039" s="641"/>
      <c r="J5039" s="549">
        <v>44681</v>
      </c>
      <c r="K5039" s="11"/>
      <c r="L5039" s="102"/>
      <c r="M5039" s="339"/>
      <c r="N5039" s="108"/>
      <c r="O5039" s="266"/>
      <c r="P5039" s="260"/>
      <c r="Q5039" s="261"/>
      <c r="R5039" s="261"/>
      <c r="S5039" s="261"/>
      <c r="T5039" s="261"/>
    </row>
    <row r="5040" spans="1:28" x14ac:dyDescent="0.35">
      <c r="A5040" s="527" t="str">
        <f>"SgK4822--"&amp;RIGHT(A5039,5)</f>
        <v>SgK4822--Jun22</v>
      </c>
      <c r="B5040" s="526" t="s">
        <v>5434</v>
      </c>
      <c r="C5040" s="526" t="str">
        <f t="shared" si="1746"/>
        <v>Inbetriebnahme 06/2022</v>
      </c>
      <c r="D5040" s="526" t="str">
        <f t="shared" si="1757"/>
        <v>40 - 750 kW</v>
      </c>
      <c r="E5040" s="526"/>
      <c r="F5040" s="639">
        <f t="shared" si="1747"/>
        <v>4.8099999999999996</v>
      </c>
      <c r="G5040" s="639">
        <f t="shared" si="1748"/>
        <v>5.21</v>
      </c>
      <c r="H5040" s="641">
        <f t="shared" si="1749"/>
        <v>4.17</v>
      </c>
      <c r="I5040" s="641"/>
      <c r="J5040" s="549">
        <v>44681</v>
      </c>
      <c r="K5040" s="11"/>
      <c r="L5040" s="102"/>
      <c r="M5040" s="339"/>
      <c r="N5040" s="108"/>
      <c r="O5040" s="266"/>
      <c r="P5040" s="277"/>
      <c r="Q5040" s="261"/>
      <c r="R5040" s="261"/>
      <c r="S5040" s="261"/>
      <c r="T5040" s="261"/>
    </row>
    <row r="5041" spans="1:24" x14ac:dyDescent="0.35">
      <c r="A5041" s="527" t="str">
        <f>"SgK4820--"&amp;RIGHT(N5029,5)</f>
        <v>SgK4820--Jul22</v>
      </c>
      <c r="B5041" s="526" t="s">
        <v>5434</v>
      </c>
      <c r="C5041" s="526" t="s">
        <v>7871</v>
      </c>
      <c r="D5041" s="526" t="str">
        <f t="shared" si="1757"/>
        <v>0 - 10 kW</v>
      </c>
      <c r="E5041" s="526"/>
      <c r="F5041" s="639">
        <f t="shared" si="1747"/>
        <v>6.24</v>
      </c>
      <c r="G5041" s="639">
        <f t="shared" si="1748"/>
        <v>6.64</v>
      </c>
      <c r="H5041" s="641">
        <f t="shared" si="1749"/>
        <v>5.31</v>
      </c>
      <c r="I5041" s="641"/>
      <c r="J5041" s="549">
        <v>44848</v>
      </c>
      <c r="K5041" s="11"/>
      <c r="L5041" s="102"/>
      <c r="M5041" s="339"/>
      <c r="N5041" s="108"/>
      <c r="O5041" s="259"/>
    </row>
    <row r="5042" spans="1:24" x14ac:dyDescent="0.35">
      <c r="A5042" s="527" t="str">
        <f>"SgK4821--"&amp;RIGHT(A5041,5)</f>
        <v>SgK4821--Jul22</v>
      </c>
      <c r="B5042" s="526" t="s">
        <v>5434</v>
      </c>
      <c r="C5042" s="526" t="s">
        <v>7871</v>
      </c>
      <c r="D5042" s="526" t="str">
        <f t="shared" si="1757"/>
        <v>10 - 40 kW</v>
      </c>
      <c r="E5042" s="526"/>
      <c r="F5042" s="639">
        <f t="shared" si="1747"/>
        <v>6.06</v>
      </c>
      <c r="G5042" s="639">
        <f t="shared" si="1748"/>
        <v>6.46</v>
      </c>
      <c r="H5042" s="641">
        <f t="shared" si="1749"/>
        <v>5.17</v>
      </c>
      <c r="I5042" s="641"/>
      <c r="J5042" s="549">
        <v>44848</v>
      </c>
      <c r="K5042" s="11"/>
      <c r="L5042" s="102"/>
      <c r="M5042" s="339"/>
      <c r="O5042" s="259"/>
    </row>
    <row r="5043" spans="1:24" x14ac:dyDescent="0.35">
      <c r="A5043" s="527" t="str">
        <f>"SgK4822--"&amp;RIGHT(A5042,5)</f>
        <v>SgK4822--Jul22</v>
      </c>
      <c r="B5043" s="526" t="s">
        <v>5434</v>
      </c>
      <c r="C5043" s="526" t="s">
        <v>7871</v>
      </c>
      <c r="D5043" s="526" t="str">
        <f t="shared" si="1757"/>
        <v>40 - 750 kW</v>
      </c>
      <c r="E5043" s="526"/>
      <c r="F5043" s="639">
        <f t="shared" si="1747"/>
        <v>4.74</v>
      </c>
      <c r="G5043" s="639">
        <f t="shared" si="1748"/>
        <v>5.14</v>
      </c>
      <c r="H5043" s="641">
        <f t="shared" si="1749"/>
        <v>4.1100000000000003</v>
      </c>
      <c r="I5043" s="641"/>
      <c r="J5043" s="549">
        <v>44848</v>
      </c>
      <c r="K5043" s="11"/>
      <c r="L5043" s="102"/>
      <c r="M5043" s="339"/>
      <c r="O5043" s="259"/>
    </row>
    <row r="5044" spans="1:24" x14ac:dyDescent="0.35">
      <c r="A5044" s="527" t="s">
        <v>7854</v>
      </c>
      <c r="B5044" s="526" t="s">
        <v>5434</v>
      </c>
      <c r="C5044" s="526" t="s">
        <v>7872</v>
      </c>
      <c r="D5044" s="526" t="s">
        <v>7866</v>
      </c>
      <c r="E5044" s="526"/>
      <c r="F5044" s="639">
        <f t="shared" ref="F5044:F5050" si="1758">G5044-0.4</f>
        <v>8.1999999999999993</v>
      </c>
      <c r="G5044" s="639">
        <v>8.6</v>
      </c>
      <c r="H5044" s="641">
        <f t="shared" ref="H5044:H5050" si="1759">G5044*0.8</f>
        <v>6.88</v>
      </c>
      <c r="I5044" s="822"/>
      <c r="J5044" s="549">
        <v>44848</v>
      </c>
      <c r="K5044" s="11"/>
      <c r="L5044" s="102"/>
      <c r="M5044" s="339"/>
      <c r="N5044" s="108"/>
      <c r="O5044" s="259"/>
    </row>
    <row r="5045" spans="1:24" x14ac:dyDescent="0.35">
      <c r="A5045" s="527" t="s">
        <v>7855</v>
      </c>
      <c r="B5045" s="526" t="s">
        <v>5434</v>
      </c>
      <c r="C5045" s="526" t="s">
        <v>7872</v>
      </c>
      <c r="D5045" s="526" t="s">
        <v>7867</v>
      </c>
      <c r="E5045" s="526"/>
      <c r="F5045" s="639">
        <f t="shared" si="1758"/>
        <v>7.1</v>
      </c>
      <c r="G5045" s="639">
        <v>7.5</v>
      </c>
      <c r="H5045" s="641">
        <f t="shared" si="1759"/>
        <v>6</v>
      </c>
      <c r="I5045" s="822"/>
      <c r="J5045" s="549">
        <v>44848</v>
      </c>
      <c r="K5045" s="11"/>
      <c r="L5045" s="102"/>
      <c r="M5045" s="339"/>
      <c r="O5045" s="259"/>
    </row>
    <row r="5046" spans="1:24" x14ac:dyDescent="0.35">
      <c r="A5046" s="527" t="s">
        <v>7856</v>
      </c>
      <c r="B5046" s="526" t="s">
        <v>5434</v>
      </c>
      <c r="C5046" s="526" t="s">
        <v>7872</v>
      </c>
      <c r="D5046" s="526" t="s">
        <v>7868</v>
      </c>
      <c r="E5046" s="526"/>
      <c r="F5046" s="639">
        <f t="shared" si="1758"/>
        <v>5.8</v>
      </c>
      <c r="G5046" s="639">
        <v>6.2</v>
      </c>
      <c r="H5046" s="641">
        <f t="shared" si="1759"/>
        <v>4.9600000000000009</v>
      </c>
      <c r="I5046" s="822"/>
      <c r="J5046" s="549">
        <v>44848</v>
      </c>
      <c r="K5046" s="11"/>
      <c r="L5046" s="102"/>
      <c r="M5046" s="339"/>
      <c r="O5046" s="259"/>
    </row>
    <row r="5047" spans="1:24" x14ac:dyDescent="0.35">
      <c r="A5047" s="527" t="s">
        <v>7857</v>
      </c>
      <c r="B5047" s="526" t="s">
        <v>5434</v>
      </c>
      <c r="C5047" s="526" t="s">
        <v>7872</v>
      </c>
      <c r="D5047" s="526" t="s">
        <v>7862</v>
      </c>
      <c r="E5047" s="526" t="s">
        <v>7861</v>
      </c>
      <c r="F5047" s="639">
        <f t="shared" si="1758"/>
        <v>12.999999999999998</v>
      </c>
      <c r="G5047" s="639">
        <f>G5044+4.8</f>
        <v>13.399999999999999</v>
      </c>
      <c r="H5047" s="641">
        <f t="shared" si="1759"/>
        <v>10.719999999999999</v>
      </c>
      <c r="I5047" s="822"/>
      <c r="J5047" s="549">
        <v>44848</v>
      </c>
      <c r="K5047" s="11"/>
      <c r="L5047" s="102"/>
      <c r="M5047" s="823"/>
      <c r="N5047" s="108"/>
      <c r="O5047" s="259"/>
    </row>
    <row r="5048" spans="1:24" x14ac:dyDescent="0.35">
      <c r="A5048" s="527" t="s">
        <v>7858</v>
      </c>
      <c r="B5048" s="526" t="s">
        <v>5434</v>
      </c>
      <c r="C5048" s="526" t="s">
        <v>7872</v>
      </c>
      <c r="D5048" s="526" t="s">
        <v>7863</v>
      </c>
      <c r="E5048" s="526" t="s">
        <v>7861</v>
      </c>
      <c r="F5048" s="639">
        <f t="shared" si="1758"/>
        <v>10.9</v>
      </c>
      <c r="G5048" s="639">
        <f>G5045+3.8</f>
        <v>11.3</v>
      </c>
      <c r="H5048" s="641">
        <f t="shared" si="1759"/>
        <v>9.0400000000000009</v>
      </c>
      <c r="I5048" s="822"/>
      <c r="J5048" s="549">
        <v>44848</v>
      </c>
      <c r="K5048" s="11"/>
      <c r="L5048" s="102"/>
      <c r="M5048" s="339"/>
      <c r="N5048" s="108"/>
      <c r="O5048" s="259"/>
    </row>
    <row r="5049" spans="1:24" x14ac:dyDescent="0.35">
      <c r="A5049" s="527" t="s">
        <v>7859</v>
      </c>
      <c r="B5049" s="526" t="s">
        <v>5434</v>
      </c>
      <c r="C5049" s="526" t="s">
        <v>7872</v>
      </c>
      <c r="D5049" s="526" t="s">
        <v>7864</v>
      </c>
      <c r="E5049" s="526" t="s">
        <v>7861</v>
      </c>
      <c r="F5049" s="639">
        <f t="shared" si="1758"/>
        <v>10.9</v>
      </c>
      <c r="G5049" s="639">
        <f>G5046+5.1</f>
        <v>11.3</v>
      </c>
      <c r="H5049" s="641">
        <f t="shared" si="1759"/>
        <v>9.0400000000000009</v>
      </c>
      <c r="I5049" s="822"/>
      <c r="J5049" s="549">
        <v>44848</v>
      </c>
      <c r="K5049" s="11"/>
      <c r="L5049" s="102"/>
      <c r="M5049" s="339"/>
      <c r="O5049" s="259"/>
    </row>
    <row r="5050" spans="1:24" x14ac:dyDescent="0.35">
      <c r="A5050" s="527" t="s">
        <v>7860</v>
      </c>
      <c r="B5050" s="526" t="s">
        <v>5434</v>
      </c>
      <c r="C5050" s="526" t="s">
        <v>7872</v>
      </c>
      <c r="D5050" s="526" t="s">
        <v>7865</v>
      </c>
      <c r="E5050" s="526" t="s">
        <v>7861</v>
      </c>
      <c r="F5050" s="639">
        <f t="shared" si="1758"/>
        <v>9</v>
      </c>
      <c r="G5050" s="639">
        <f>G5046+3.2</f>
        <v>9.4</v>
      </c>
      <c r="H5050" s="641">
        <f t="shared" si="1759"/>
        <v>7.5200000000000005</v>
      </c>
      <c r="I5050" s="822"/>
      <c r="J5050" s="549">
        <v>44848</v>
      </c>
      <c r="K5050" s="11"/>
      <c r="L5050" s="102"/>
      <c r="M5050" s="339"/>
      <c r="O5050" s="261"/>
      <c r="P5050" s="11"/>
      <c r="Q5050" s="11"/>
    </row>
    <row r="5051" spans="1:24" x14ac:dyDescent="0.35">
      <c r="H5051" s="11" t="str">
        <f t="shared" ref="H5051:H5084" si="1760">IF(ISNUMBER(G5051),ROUND(0.8*G5051,2),"")</f>
        <v/>
      </c>
      <c r="J5051" s="549" t="s">
        <v>4179</v>
      </c>
      <c r="K5051" s="11"/>
      <c r="O5051" s="261" t="s">
        <v>3918</v>
      </c>
      <c r="P5051" s="261" t="s">
        <v>3919</v>
      </c>
      <c r="Q5051" s="261" t="s">
        <v>7920</v>
      </c>
      <c r="U5051" s="261"/>
      <c r="V5051" s="261"/>
      <c r="W5051" s="261"/>
      <c r="X5051" s="261"/>
    </row>
    <row r="5052" spans="1:24" x14ac:dyDescent="0.35">
      <c r="A5052" s="527" t="str">
        <f>"SgK4820-----"&amp;RIGHT(M$5052,2)</f>
        <v>SgK4820-----23</v>
      </c>
      <c r="B5052" s="526" t="s">
        <v>5434</v>
      </c>
      <c r="C5052" s="526" t="str">
        <f t="shared" ref="C5052:C5059" si="1761">"Inbetriebnahme "&amp;$M$5052</f>
        <v>Inbetriebnahme 2023</v>
      </c>
      <c r="D5052" s="526" t="s">
        <v>3918</v>
      </c>
      <c r="E5052" s="526"/>
      <c r="F5052" s="639">
        <f>ROUND(HLOOKUP(D5052,O$5051:Q$5053,3,FALSE),2)</f>
        <v>8.1999999999999993</v>
      </c>
      <c r="G5052" s="641">
        <f>ROUND(HLOOKUP(D5052,O$5051:Q$5053,2,FALSE),2)</f>
        <v>8.6</v>
      </c>
      <c r="H5052" s="641">
        <f t="shared" si="1760"/>
        <v>6.88</v>
      </c>
      <c r="I5052" s="638"/>
      <c r="J5052" s="549">
        <f t="shared" ref="J5052:J5059" si="1762">J$31</f>
        <v>44896</v>
      </c>
      <c r="M5052" s="101">
        <v>2023</v>
      </c>
      <c r="N5052" s="322" t="s">
        <v>7905</v>
      </c>
      <c r="O5052" s="261">
        <v>8.6</v>
      </c>
      <c r="P5052" s="261">
        <v>7.5</v>
      </c>
      <c r="Q5052" s="261">
        <v>6.2</v>
      </c>
      <c r="S5052" t="s">
        <v>49</v>
      </c>
    </row>
    <row r="5053" spans="1:24" x14ac:dyDescent="0.35">
      <c r="A5053" s="527" t="str">
        <f>"SgK4821-----"&amp;RIGHT(M$5052,2)</f>
        <v>SgK4821-----23</v>
      </c>
      <c r="B5053" s="526" t="s">
        <v>5434</v>
      </c>
      <c r="C5053" s="526" t="str">
        <f t="shared" si="1761"/>
        <v>Inbetriebnahme 2023</v>
      </c>
      <c r="D5053" s="526" t="s">
        <v>3919</v>
      </c>
      <c r="E5053" s="526"/>
      <c r="F5053" s="639">
        <f>ROUND(HLOOKUP(D5053,O$5051:Q$5053,3,FALSE),2)</f>
        <v>7.1</v>
      </c>
      <c r="G5053" s="641">
        <f>ROUND(HLOOKUP(D5053,O$5051:Q$5053,2,FALSE),2)</f>
        <v>7.5</v>
      </c>
      <c r="H5053" s="641">
        <f t="shared" si="1760"/>
        <v>6</v>
      </c>
      <c r="I5053" s="638"/>
      <c r="J5053" s="549">
        <f t="shared" si="1762"/>
        <v>44896</v>
      </c>
      <c r="N5053" s="322" t="s">
        <v>5881</v>
      </c>
      <c r="O5053" s="261">
        <f>O5052-0.4</f>
        <v>8.1999999999999993</v>
      </c>
      <c r="P5053" s="261">
        <f>P5052-0.4</f>
        <v>7.1</v>
      </c>
      <c r="Q5053" s="261">
        <f>Q5052-0.4</f>
        <v>5.8</v>
      </c>
      <c r="S5053" t="s">
        <v>50</v>
      </c>
    </row>
    <row r="5054" spans="1:24" x14ac:dyDescent="0.35">
      <c r="A5054" s="527" t="str">
        <f>"SgK4822-----"&amp;RIGHT(M$5052,2)</f>
        <v>SgK4822-----23</v>
      </c>
      <c r="B5054" s="526" t="s">
        <v>5434</v>
      </c>
      <c r="C5054" s="526" t="str">
        <f t="shared" si="1761"/>
        <v>Inbetriebnahme 2023</v>
      </c>
      <c r="D5054" s="526" t="s">
        <v>7920</v>
      </c>
      <c r="E5054" s="526"/>
      <c r="F5054" s="639">
        <f>ROUND(HLOOKUP(D5054,O$5051:Q$5053,3,FALSE),2)</f>
        <v>5.8</v>
      </c>
      <c r="G5054" s="641">
        <f>ROUND(HLOOKUP(D5054,O$5051:Q$5053,2,FALSE),2)</f>
        <v>6.2</v>
      </c>
      <c r="H5054" s="641">
        <f t="shared" si="1760"/>
        <v>4.96</v>
      </c>
      <c r="I5054" s="638"/>
      <c r="J5054" s="549">
        <f t="shared" si="1762"/>
        <v>44896</v>
      </c>
      <c r="N5054" s="322"/>
      <c r="O5054" s="261" t="s">
        <v>3918</v>
      </c>
      <c r="P5054" s="261" t="s">
        <v>3919</v>
      </c>
      <c r="Q5054" s="261" t="s">
        <v>7907</v>
      </c>
      <c r="R5054" t="s">
        <v>7908</v>
      </c>
      <c r="S5054" t="s">
        <v>7919</v>
      </c>
    </row>
    <row r="5055" spans="1:24" x14ac:dyDescent="0.35">
      <c r="A5055" s="527" t="str">
        <f>"SgK482a0----"&amp;RIGHT(M$5052,2)</f>
        <v>SgK482a0----23</v>
      </c>
      <c r="B5055" s="526" t="s">
        <v>5434</v>
      </c>
      <c r="C5055" s="526" t="str">
        <f t="shared" si="1761"/>
        <v>Inbetriebnahme 2023</v>
      </c>
      <c r="D5055" s="526" t="s">
        <v>3918</v>
      </c>
      <c r="E5055" s="526" t="s">
        <v>7861</v>
      </c>
      <c r="F5055" s="639">
        <f>ROUND(HLOOKUP(D5055,O$5054:S$5056,3,FALSE),2)</f>
        <v>13</v>
      </c>
      <c r="G5055" s="641">
        <f>ROUND(HLOOKUP(D5055,O$5054:S$5056,2,FALSE),2)</f>
        <v>13.4</v>
      </c>
      <c r="H5055" s="641">
        <f t="shared" si="1760"/>
        <v>10.72</v>
      </c>
      <c r="I5055" s="638"/>
      <c r="J5055" s="549">
        <f t="shared" si="1762"/>
        <v>44896</v>
      </c>
      <c r="M5055" s="101">
        <v>2023</v>
      </c>
      <c r="N5055" s="322" t="s">
        <v>7909</v>
      </c>
      <c r="O5055" s="261">
        <f>O5052+4.8</f>
        <v>13.399999999999999</v>
      </c>
      <c r="P5055" s="261">
        <f>P5052+3.8</f>
        <v>11.3</v>
      </c>
      <c r="Q5055" s="261">
        <f>Q5052+5.1</f>
        <v>11.3</v>
      </c>
      <c r="R5055" s="261">
        <f>Q5052+3.2</f>
        <v>9.4</v>
      </c>
      <c r="S5055" s="261">
        <f>Q5052+1.9</f>
        <v>8.1</v>
      </c>
      <c r="U5055" t="s">
        <v>49</v>
      </c>
    </row>
    <row r="5056" spans="1:24" x14ac:dyDescent="0.35">
      <c r="A5056" s="527" t="str">
        <f>"SgK482a1----"&amp;RIGHT(M$5052,2)</f>
        <v>SgK482a1----23</v>
      </c>
      <c r="B5056" s="526" t="s">
        <v>5434</v>
      </c>
      <c r="C5056" s="526" t="str">
        <f t="shared" si="1761"/>
        <v>Inbetriebnahme 2023</v>
      </c>
      <c r="D5056" s="526" t="s">
        <v>3919</v>
      </c>
      <c r="E5056" s="526" t="s">
        <v>7861</v>
      </c>
      <c r="F5056" s="639">
        <f>ROUND(HLOOKUP(D5056,O$5054:S$5056,3,FALSE),2)</f>
        <v>10.9</v>
      </c>
      <c r="G5056" s="641">
        <f>ROUND(HLOOKUP(D5056,O$5054:S$5056,2,FALSE),2)</f>
        <v>11.3</v>
      </c>
      <c r="H5056" s="641">
        <f t="shared" si="1760"/>
        <v>9.0399999999999991</v>
      </c>
      <c r="I5056" s="638"/>
      <c r="J5056" s="549">
        <f t="shared" si="1762"/>
        <v>44896</v>
      </c>
      <c r="N5056" s="322" t="s">
        <v>5881</v>
      </c>
      <c r="O5056" s="261">
        <f>O5055-0.4</f>
        <v>12.999999999999998</v>
      </c>
      <c r="P5056" s="261">
        <f>P5055-0.4</f>
        <v>10.9</v>
      </c>
      <c r="Q5056" s="261">
        <f>Q5055-0.4</f>
        <v>10.9</v>
      </c>
      <c r="R5056" s="261">
        <f>R5055-0.4</f>
        <v>9</v>
      </c>
      <c r="S5056" s="261">
        <f>S5055-0.4</f>
        <v>7.6999999999999993</v>
      </c>
      <c r="U5056" t="s">
        <v>50</v>
      </c>
    </row>
    <row r="5057" spans="1:28" x14ac:dyDescent="0.35">
      <c r="A5057" s="527" t="str">
        <f>"SgK482a2----"&amp;RIGHT(M$5052,2)</f>
        <v>SgK482a2----23</v>
      </c>
      <c r="B5057" s="526" t="s">
        <v>5434</v>
      </c>
      <c r="C5057" s="526" t="str">
        <f t="shared" si="1761"/>
        <v>Inbetriebnahme 2023</v>
      </c>
      <c r="D5057" s="526" t="s">
        <v>7907</v>
      </c>
      <c r="E5057" s="526" t="s">
        <v>7861</v>
      </c>
      <c r="F5057" s="639">
        <f>ROUND(HLOOKUP(D5057,O$5054:S$5056,3,FALSE),2)</f>
        <v>10.9</v>
      </c>
      <c r="G5057" s="641">
        <f>ROUND(HLOOKUP(D5057,O$5054:S$5056,2,FALSE),2)</f>
        <v>11.3</v>
      </c>
      <c r="H5057" s="641">
        <f t="shared" si="1760"/>
        <v>9.0399999999999991</v>
      </c>
      <c r="I5057" s="638"/>
      <c r="J5057" s="549">
        <f t="shared" si="1762"/>
        <v>44896</v>
      </c>
      <c r="N5057" s="322"/>
      <c r="O5057" s="261"/>
      <c r="P5057" s="261"/>
      <c r="Q5057" s="261"/>
    </row>
    <row r="5058" spans="1:28" x14ac:dyDescent="0.35">
      <c r="A5058" s="527" t="str">
        <f>"SgK482a3----"&amp;RIGHT(M$5052,2)</f>
        <v>SgK482a3----23</v>
      </c>
      <c r="B5058" s="526" t="s">
        <v>5434</v>
      </c>
      <c r="C5058" s="526" t="str">
        <f t="shared" si="1761"/>
        <v>Inbetriebnahme 2023</v>
      </c>
      <c r="D5058" s="526" t="s">
        <v>7908</v>
      </c>
      <c r="E5058" s="526" t="s">
        <v>7861</v>
      </c>
      <c r="F5058" s="639">
        <f>ROUND(HLOOKUP(D5058,O$5054:S$5056,3,FALSE),2)</f>
        <v>9</v>
      </c>
      <c r="G5058" s="641">
        <f>ROUND(HLOOKUP(D5058,O$5054:S$5056,2,FALSE),2)</f>
        <v>9.4</v>
      </c>
      <c r="H5058" s="641">
        <f t="shared" si="1760"/>
        <v>7.52</v>
      </c>
      <c r="I5058" s="638"/>
      <c r="J5058" s="549">
        <f t="shared" si="1762"/>
        <v>44896</v>
      </c>
      <c r="N5058" s="322"/>
      <c r="O5058" s="261"/>
      <c r="P5058" s="261"/>
      <c r="Q5058" s="261"/>
    </row>
    <row r="5059" spans="1:28" x14ac:dyDescent="0.35">
      <c r="A5059" s="527" t="str">
        <f>"SgK482a4----"&amp;RIGHT(M$5052,2)</f>
        <v>SgK482a4----23</v>
      </c>
      <c r="B5059" s="526" t="s">
        <v>5434</v>
      </c>
      <c r="C5059" s="526" t="str">
        <f t="shared" si="1761"/>
        <v>Inbetriebnahme 2023</v>
      </c>
      <c r="D5059" s="526" t="s">
        <v>7919</v>
      </c>
      <c r="E5059" s="526" t="s">
        <v>7861</v>
      </c>
      <c r="F5059" s="639">
        <f>ROUND(HLOOKUP(D5059,O$5054:S$5056,3,FALSE),2)</f>
        <v>7.7</v>
      </c>
      <c r="G5059" s="641">
        <f>ROUND(HLOOKUP(D5059,O$5054:S$5056,2,FALSE),2)</f>
        <v>8.1</v>
      </c>
      <c r="H5059" s="641">
        <f t="shared" si="1760"/>
        <v>6.48</v>
      </c>
      <c r="I5059" s="638"/>
      <c r="J5059" s="549">
        <f t="shared" si="1762"/>
        <v>44896</v>
      </c>
      <c r="N5059" s="322"/>
      <c r="O5059" s="261"/>
      <c r="P5059" s="261"/>
      <c r="Q5059" s="261"/>
    </row>
    <row r="5060" spans="1:28" x14ac:dyDescent="0.35">
      <c r="H5060" s="11" t="str">
        <f t="shared" si="1760"/>
        <v/>
      </c>
      <c r="J5060" s="549" t="s">
        <v>4179</v>
      </c>
      <c r="K5060" s="11"/>
      <c r="N5060" s="109" t="s">
        <v>3901</v>
      </c>
      <c r="O5060" s="29" t="s">
        <v>5489</v>
      </c>
      <c r="P5060" t="s">
        <v>3918</v>
      </c>
      <c r="Q5060" t="s">
        <v>3919</v>
      </c>
      <c r="R5060" t="s">
        <v>7920</v>
      </c>
      <c r="S5060" t="s">
        <v>49</v>
      </c>
      <c r="U5060" t="s">
        <v>3918</v>
      </c>
      <c r="V5060" t="s">
        <v>3919</v>
      </c>
      <c r="W5060" t="s">
        <v>7920</v>
      </c>
      <c r="X5060" t="s">
        <v>50</v>
      </c>
    </row>
    <row r="5061" spans="1:28" x14ac:dyDescent="0.35">
      <c r="A5061" s="527" t="str">
        <f>"SgK4820--"&amp;RIGHT(N5061,5)</f>
        <v>SgK4820--Jan24</v>
      </c>
      <c r="B5061" s="526" t="s">
        <v>5434</v>
      </c>
      <c r="C5061" s="526" t="str">
        <f>"Inbetriebnahme "&amp;TEXT(DATEVALUE(RIGHT(X$5061,5)),"MM/JJJJ")</f>
        <v>Inbetriebnahme 01/2024</v>
      </c>
      <c r="D5061" s="526" t="s">
        <v>3918</v>
      </c>
      <c r="E5061" s="537"/>
      <c r="F5061" s="639">
        <f>IF(HLOOKUP($D5061,$U$5060:$W$5063,MATCH(RIGHT($A5061,5),$N$5060:$N$5063,0),FALSE)&lt;&gt;"",ROUND(HLOOKUP($D5061,$U$5060:$W$5063,MATCH(RIGHT($A5061,5),$N$5060:$N$5063,0),FALSE),2),"")</f>
        <v>8.1999999999999993</v>
      </c>
      <c r="G5061" s="639">
        <f>IF(HLOOKUP($D5061,$P$5060:$R$5063,MATCH(RIGHT($A5061,5),$N$5060:$N$5063,0),FALSE)&lt;&gt;"",ROUND(HLOOKUP($D5061,$P$5060:$R$5063,MATCH(RIGHT($A5061,5),$N$5060:$N$5063,0),FALSE),2),"")</f>
        <v>8.6</v>
      </c>
      <c r="H5061" s="641">
        <f t="shared" si="1760"/>
        <v>6.88</v>
      </c>
      <c r="I5061" s="574"/>
      <c r="J5061" s="549">
        <v>45268</v>
      </c>
      <c r="M5061" s="101">
        <v>2024</v>
      </c>
      <c r="N5061" s="873" t="s">
        <v>8237</v>
      </c>
      <c r="O5061" s="461">
        <v>0</v>
      </c>
      <c r="P5061" s="11">
        <f>IF($O5061&lt;&gt;"",O5052*(100%-$O5061),"")</f>
        <v>8.6</v>
      </c>
      <c r="Q5061" s="11">
        <f>IF($O5061&lt;&gt;"",P5052*(100%-$O5061),"")</f>
        <v>7.5</v>
      </c>
      <c r="R5061" s="11">
        <f>IF($O5061&lt;&gt;"",Q5052*(100%-$O5061),"")</f>
        <v>6.2</v>
      </c>
      <c r="U5061" s="11">
        <f t="shared" ref="U5061:W5063" si="1763">IF($O5061&lt;&gt;"",P5061-0.4,"")</f>
        <v>8.1999999999999993</v>
      </c>
      <c r="V5061" s="11">
        <f t="shared" si="1763"/>
        <v>7.1</v>
      </c>
      <c r="W5061" s="11">
        <f t="shared" si="1763"/>
        <v>5.8</v>
      </c>
      <c r="X5061" t="str">
        <f>"Jan"&amp;RIGHT(M5061,2)</f>
        <v>Jan24</v>
      </c>
    </row>
    <row r="5062" spans="1:28" x14ac:dyDescent="0.35">
      <c r="A5062" s="527" t="str">
        <f>"SgK4821--"&amp;RIGHT(A5061,5)</f>
        <v>SgK4821--Jan24</v>
      </c>
      <c r="B5062" s="526" t="s">
        <v>5434</v>
      </c>
      <c r="C5062" s="526" t="str">
        <f>"Inbetriebnahme "&amp;TEXT(DATEVALUE(RIGHT(X$5061,5)),"MM/JJJJ")</f>
        <v>Inbetriebnahme 01/2024</v>
      </c>
      <c r="D5062" s="526" t="s">
        <v>3919</v>
      </c>
      <c r="E5062" s="537"/>
      <c r="F5062" s="639">
        <f t="shared" ref="F5062:F5069" si="1764">IF(HLOOKUP($D5062,$U$5060:$W$5063,MATCH(RIGHT($A5062,5),$N$5060:$N$5063,0),FALSE)&lt;&gt;"",ROUND(HLOOKUP($D5062,$U$5060:$W$5063,MATCH(RIGHT($A5062,5),$N$5060:$N$5063,0),FALSE),2),"")</f>
        <v>7.1</v>
      </c>
      <c r="G5062" s="639">
        <f t="shared" ref="G5062:G5069" si="1765">IF(HLOOKUP($D5062,$P$5060:$R$5063,MATCH(RIGHT($A5062,5),$N$5060:$N$5063,0),FALSE)&lt;&gt;"",ROUND(HLOOKUP($D5062,$P$5060:$R$5063,MATCH(RIGHT($A5062,5),$N$5060:$N$5063,0),FALSE),2),"")</f>
        <v>7.5</v>
      </c>
      <c r="H5062" s="537">
        <f t="shared" si="1760"/>
        <v>6</v>
      </c>
      <c r="I5062" s="574"/>
      <c r="J5062" s="549">
        <v>45268</v>
      </c>
      <c r="M5062" s="339"/>
      <c r="N5062" s="873" t="s">
        <v>8244</v>
      </c>
      <c r="O5062" s="461">
        <v>0.01</v>
      </c>
      <c r="P5062" s="11">
        <f t="shared" ref="P5062:R5063" si="1766">IF($O5062&lt;&gt;"",P5061*(100%-$O5062),"")</f>
        <v>8.5139999999999993</v>
      </c>
      <c r="Q5062" s="11">
        <f t="shared" si="1766"/>
        <v>7.4249999999999998</v>
      </c>
      <c r="R5062" s="11">
        <f t="shared" si="1766"/>
        <v>6.1379999999999999</v>
      </c>
      <c r="S5062" s="694"/>
      <c r="U5062" s="11">
        <f t="shared" si="1763"/>
        <v>8.113999999999999</v>
      </c>
      <c r="V5062" s="11">
        <f t="shared" si="1763"/>
        <v>7.0249999999999995</v>
      </c>
      <c r="W5062" s="11">
        <f t="shared" si="1763"/>
        <v>5.7379999999999995</v>
      </c>
      <c r="X5062" t="str">
        <f>"Feb"&amp;RIGHT($M5061,2)</f>
        <v>Feb24</v>
      </c>
      <c r="Y5062" t="str">
        <f>"Jul"&amp;RIGHT($M5061,2)</f>
        <v>Jul24</v>
      </c>
    </row>
    <row r="5063" spans="1:28" x14ac:dyDescent="0.35">
      <c r="A5063" s="527" t="str">
        <f>"SgK4822--"&amp;RIGHT(A5062,5)</f>
        <v>SgK4822--Jan24</v>
      </c>
      <c r="B5063" s="526" t="s">
        <v>5434</v>
      </c>
      <c r="C5063" s="526" t="str">
        <f>"Inbetriebnahme "&amp;TEXT(DATEVALUE(RIGHT(X$5061,5)),"MM/JJJJ")</f>
        <v>Inbetriebnahme 01/2024</v>
      </c>
      <c r="D5063" s="526" t="s">
        <v>7920</v>
      </c>
      <c r="E5063" s="537"/>
      <c r="F5063" s="639">
        <f t="shared" si="1764"/>
        <v>5.8</v>
      </c>
      <c r="G5063" s="639">
        <f t="shared" si="1765"/>
        <v>6.2</v>
      </c>
      <c r="H5063" s="537">
        <f t="shared" si="1760"/>
        <v>4.96</v>
      </c>
      <c r="I5063" s="574"/>
      <c r="J5063" s="549">
        <v>45268</v>
      </c>
      <c r="M5063" s="339"/>
      <c r="N5063" s="873" t="s">
        <v>8243</v>
      </c>
      <c r="O5063" s="461">
        <v>0.01</v>
      </c>
      <c r="P5063" s="11">
        <f t="shared" si="1766"/>
        <v>8.4288599999999985</v>
      </c>
      <c r="Q5063" s="11">
        <f t="shared" si="1766"/>
        <v>7.3507499999999997</v>
      </c>
      <c r="R5063" s="11">
        <f t="shared" si="1766"/>
        <v>6.0766200000000001</v>
      </c>
      <c r="S5063" s="694"/>
      <c r="U5063" s="11">
        <f t="shared" si="1763"/>
        <v>8.0288599999999981</v>
      </c>
      <c r="V5063" s="11">
        <f t="shared" si="1763"/>
        <v>6.9507499999999993</v>
      </c>
      <c r="W5063" s="11">
        <f t="shared" si="1763"/>
        <v>5.6766199999999998</v>
      </c>
      <c r="X5063" t="str">
        <f>"Aug"&amp;RIGHT($M5061,2)</f>
        <v>Aug24</v>
      </c>
      <c r="Y5063" t="str">
        <f>"Dez"&amp;RIGHT($M5061,2)</f>
        <v>Dez24</v>
      </c>
    </row>
    <row r="5064" spans="1:28" x14ac:dyDescent="0.35">
      <c r="A5064" s="527" t="str">
        <f>"SgK4820--"&amp;RIGHT(N5062,5)</f>
        <v>SgK4820--Feb24</v>
      </c>
      <c r="B5064" s="526" t="s">
        <v>5434</v>
      </c>
      <c r="C5064" s="526" t="str">
        <f>"Inbetriebnahme "&amp;TEXT(DATEVALUE(RIGHT(X$5062,5)),"MM")&amp;"-"&amp;TEXT(DATEVALUE(RIGHT(Y$5062,5)),"MM/JJJJ")</f>
        <v>Inbetriebnahme 02-07/2024</v>
      </c>
      <c r="D5064" s="526" t="s">
        <v>3918</v>
      </c>
      <c r="E5064" s="537"/>
      <c r="F5064" s="639">
        <f t="shared" si="1764"/>
        <v>8.11</v>
      </c>
      <c r="G5064" s="639">
        <f t="shared" si="1765"/>
        <v>8.51</v>
      </c>
      <c r="H5064" s="641">
        <f t="shared" si="1760"/>
        <v>6.81</v>
      </c>
      <c r="I5064" s="574"/>
      <c r="J5064" s="549">
        <v>45268</v>
      </c>
      <c r="M5064" s="339"/>
      <c r="N5064" s="266"/>
      <c r="O5064" s="461"/>
      <c r="P5064" s="11"/>
      <c r="Q5064" s="11"/>
      <c r="R5064" s="11"/>
      <c r="S5064" s="694"/>
    </row>
    <row r="5065" spans="1:28" x14ac:dyDescent="0.35">
      <c r="A5065" s="527" t="str">
        <f>"SgK4821--"&amp;RIGHT(A5064,5)</f>
        <v>SgK4821--Feb24</v>
      </c>
      <c r="B5065" s="526" t="s">
        <v>5434</v>
      </c>
      <c r="C5065" s="526" t="str">
        <f>"Inbetriebnahme "&amp;TEXT(DATEVALUE(RIGHT(X$5062,5)),"MM")&amp;"-"&amp;TEXT(DATEVALUE(RIGHT(Y$5062,5)),"MM/JJJJ")</f>
        <v>Inbetriebnahme 02-07/2024</v>
      </c>
      <c r="D5065" s="526" t="s">
        <v>3919</v>
      </c>
      <c r="E5065" s="537"/>
      <c r="F5065" s="639">
        <f t="shared" si="1764"/>
        <v>7.03</v>
      </c>
      <c r="G5065" s="639">
        <f t="shared" si="1765"/>
        <v>7.43</v>
      </c>
      <c r="H5065" s="537">
        <f t="shared" si="1760"/>
        <v>5.94</v>
      </c>
      <c r="I5065" s="574"/>
      <c r="J5065" s="549">
        <v>45268</v>
      </c>
      <c r="M5065" s="339"/>
      <c r="N5065" s="266"/>
      <c r="O5065" s="461"/>
      <c r="P5065" s="11"/>
      <c r="Q5065" s="11"/>
      <c r="R5065" s="11"/>
      <c r="S5065" s="694"/>
    </row>
    <row r="5066" spans="1:28" x14ac:dyDescent="0.35">
      <c r="A5066" s="527" t="str">
        <f>"SgK4822--"&amp;RIGHT(A5064,5)</f>
        <v>SgK4822--Feb24</v>
      </c>
      <c r="B5066" s="526" t="s">
        <v>5434</v>
      </c>
      <c r="C5066" s="526" t="str">
        <f>"Inbetriebnahme "&amp;TEXT(DATEVALUE(RIGHT(X$5062,5)),"MM")&amp;"-"&amp;TEXT(DATEVALUE(RIGHT(Y$5062,5)),"MM/JJJJ")</f>
        <v>Inbetriebnahme 02-07/2024</v>
      </c>
      <c r="D5066" s="526" t="s">
        <v>7920</v>
      </c>
      <c r="E5066" s="537"/>
      <c r="F5066" s="639">
        <f t="shared" si="1764"/>
        <v>5.74</v>
      </c>
      <c r="G5066" s="639">
        <f t="shared" si="1765"/>
        <v>6.14</v>
      </c>
      <c r="H5066" s="537">
        <f t="shared" si="1760"/>
        <v>4.91</v>
      </c>
      <c r="I5066" s="574"/>
      <c r="J5066" s="549">
        <v>45268</v>
      </c>
      <c r="M5066" s="339"/>
      <c r="N5066" s="266"/>
      <c r="O5066" s="461"/>
      <c r="P5066" s="11"/>
      <c r="Q5066" s="11"/>
      <c r="R5066" s="11"/>
      <c r="S5066" s="694"/>
    </row>
    <row r="5067" spans="1:28" x14ac:dyDescent="0.35">
      <c r="A5067" s="527" t="str">
        <f>"SgK4820--"&amp;RIGHT(N5063,5)</f>
        <v>SgK4820--Aug24</v>
      </c>
      <c r="B5067" s="526" t="s">
        <v>5434</v>
      </c>
      <c r="C5067" s="526" t="str">
        <f>"Inbetriebnahme "&amp;TEXT(DATEVALUE(RIGHT(X$5063,5)),"MM")&amp;"-"&amp;TEXT(DATEVALUE(RIGHT(Y$5063,5)),"MM/JJJJ")</f>
        <v>Inbetriebnahme 08-12/2024</v>
      </c>
      <c r="D5067" s="526" t="s">
        <v>3918</v>
      </c>
      <c r="E5067" s="537"/>
      <c r="F5067" s="639">
        <f t="shared" si="1764"/>
        <v>8.0299999999999994</v>
      </c>
      <c r="G5067" s="639">
        <f t="shared" si="1765"/>
        <v>8.43</v>
      </c>
      <c r="H5067" s="641">
        <f t="shared" si="1760"/>
        <v>6.74</v>
      </c>
      <c r="I5067" s="574"/>
      <c r="J5067" s="549">
        <v>45268</v>
      </c>
      <c r="M5067" s="339"/>
      <c r="N5067" s="266"/>
      <c r="O5067" s="461"/>
      <c r="P5067" s="11"/>
      <c r="Q5067" s="11"/>
      <c r="R5067" s="11"/>
      <c r="S5067" s="694"/>
    </row>
    <row r="5068" spans="1:28" x14ac:dyDescent="0.35">
      <c r="A5068" s="527" t="str">
        <f>"SgK4821--"&amp;RIGHT(A5067,5)</f>
        <v>SgK4821--Aug24</v>
      </c>
      <c r="B5068" s="526" t="s">
        <v>5434</v>
      </c>
      <c r="C5068" s="526" t="str">
        <f>"Inbetriebnahme "&amp;TEXT(DATEVALUE(RIGHT(X$5063,5)),"MM")&amp;"-"&amp;TEXT(DATEVALUE(RIGHT(Y$5063,5)),"MM/JJJJ")</f>
        <v>Inbetriebnahme 08-12/2024</v>
      </c>
      <c r="D5068" s="526" t="s">
        <v>3919</v>
      </c>
      <c r="E5068" s="537"/>
      <c r="F5068" s="639">
        <f t="shared" si="1764"/>
        <v>6.95</v>
      </c>
      <c r="G5068" s="639">
        <f t="shared" si="1765"/>
        <v>7.35</v>
      </c>
      <c r="H5068" s="537">
        <f t="shared" si="1760"/>
        <v>5.88</v>
      </c>
      <c r="I5068" s="574"/>
      <c r="J5068" s="549">
        <v>45268</v>
      </c>
      <c r="M5068" s="339"/>
      <c r="N5068" s="266"/>
      <c r="O5068" s="461"/>
      <c r="P5068" s="11"/>
      <c r="Q5068" s="11"/>
      <c r="R5068" s="11"/>
      <c r="S5068" s="694"/>
    </row>
    <row r="5069" spans="1:28" x14ac:dyDescent="0.35">
      <c r="A5069" s="527" t="str">
        <f>"SgK4822--"&amp;RIGHT(A5068,5)</f>
        <v>SgK4822--Aug24</v>
      </c>
      <c r="B5069" s="526" t="s">
        <v>5434</v>
      </c>
      <c r="C5069" s="526" t="str">
        <f>"Inbetriebnahme "&amp;TEXT(DATEVALUE(RIGHT(X$5063,5)),"MM")&amp;"-"&amp;TEXT(DATEVALUE(RIGHT(Y$5063,5)),"MM/JJJJ")</f>
        <v>Inbetriebnahme 08-12/2024</v>
      </c>
      <c r="D5069" s="526" t="s">
        <v>7920</v>
      </c>
      <c r="E5069" s="537"/>
      <c r="F5069" s="639">
        <f t="shared" si="1764"/>
        <v>5.68</v>
      </c>
      <c r="G5069" s="639">
        <f t="shared" si="1765"/>
        <v>6.08</v>
      </c>
      <c r="H5069" s="537">
        <f t="shared" si="1760"/>
        <v>4.8600000000000003</v>
      </c>
      <c r="I5069" s="574"/>
      <c r="J5069" s="549">
        <v>45268</v>
      </c>
      <c r="M5069" s="339"/>
      <c r="N5069" s="266"/>
      <c r="O5069" s="461"/>
      <c r="P5069" s="261" t="s">
        <v>3918</v>
      </c>
      <c r="Q5069" s="261" t="s">
        <v>3919</v>
      </c>
      <c r="R5069" s="261" t="s">
        <v>7907</v>
      </c>
      <c r="S5069" t="s">
        <v>7908</v>
      </c>
      <c r="T5069" t="s">
        <v>7919</v>
      </c>
      <c r="U5069" t="s">
        <v>49</v>
      </c>
      <c r="V5069" s="261" t="s">
        <v>3918</v>
      </c>
      <c r="W5069" s="261" t="s">
        <v>3919</v>
      </c>
      <c r="X5069" s="261" t="s">
        <v>7907</v>
      </c>
      <c r="Y5069" t="s">
        <v>7908</v>
      </c>
      <c r="Z5069" t="s">
        <v>7919</v>
      </c>
      <c r="AA5069" t="s">
        <v>50</v>
      </c>
    </row>
    <row r="5070" spans="1:28" x14ac:dyDescent="0.35">
      <c r="A5070" s="527" t="str">
        <f>"SgK482a0-"&amp;RIGHT(N$5070,5)</f>
        <v>SgK482a0-Jan24</v>
      </c>
      <c r="B5070" s="526" t="s">
        <v>5434</v>
      </c>
      <c r="C5070" s="526" t="str">
        <f>"Inbetriebnahme "&amp;TEXT(DATEVALUE(RIGHT(AA$5070,5)),"MM/JJJJ")</f>
        <v>Inbetriebnahme 01/2024</v>
      </c>
      <c r="D5070" s="526" t="s">
        <v>3918</v>
      </c>
      <c r="E5070" s="526" t="s">
        <v>7861</v>
      </c>
      <c r="F5070" s="639">
        <f t="shared" ref="F5070:F5075" si="1767">IF(HLOOKUP($D5070,$U$5069:$Z$5072,MATCH(RIGHT($A5070,5),$N$5069:$N$5072,0),FALSE)&lt;&gt;"",ROUND(HLOOKUP($D5070,$U$5069:$Z$5072,MATCH(RIGHT($A5070,5),$N$5069:$N$5072,0),FALSE),2),"")</f>
        <v>13</v>
      </c>
      <c r="G5070" s="639">
        <f t="shared" ref="G5070:G5075" si="1768">IF(HLOOKUP($D5070,$P$5069:$T$5072,MATCH(RIGHT($A5070,5),$N$5069:$N$5072,0),FALSE)&lt;&gt;"",ROUND(HLOOKUP($D5070,$P$5069:$T$5072,MATCH(RIGHT($A5070,5),$N$5069:$N$5072,0),FALSE),2),"")</f>
        <v>13.4</v>
      </c>
      <c r="H5070" s="537">
        <f t="shared" si="1760"/>
        <v>10.72</v>
      </c>
      <c r="I5070" s="637"/>
      <c r="J5070" s="549">
        <v>45268</v>
      </c>
      <c r="M5070" s="101">
        <v>2024</v>
      </c>
      <c r="N5070" s="873" t="s">
        <v>8237</v>
      </c>
      <c r="O5070" s="461">
        <v>0</v>
      </c>
      <c r="P5070" s="11">
        <f>IF($O5070&lt;&gt;"",O5055*(100%-$O5070),"")</f>
        <v>13.399999999999999</v>
      </c>
      <c r="Q5070" s="11">
        <f>IF($O5070&lt;&gt;"",P5055*(100%-$O5070),"")</f>
        <v>11.3</v>
      </c>
      <c r="R5070" s="11">
        <f>IF($O5070&lt;&gt;"",Q5055*(100%-$O5070),"")</f>
        <v>11.3</v>
      </c>
      <c r="S5070" s="11">
        <f>IF($O5070&lt;&gt;"",R5055*(100%-$O5070),"")</f>
        <v>9.4</v>
      </c>
      <c r="T5070" s="11">
        <f>IF($O5070&lt;&gt;"",S5055*(100%-$O5070),"")</f>
        <v>8.1</v>
      </c>
      <c r="V5070" s="11">
        <f t="shared" ref="V5070:Z5072" si="1769">IF($O5070&lt;&gt;"",P5070-0.4,"")</f>
        <v>12.999999999999998</v>
      </c>
      <c r="W5070" s="11">
        <f t="shared" si="1769"/>
        <v>10.9</v>
      </c>
      <c r="X5070" s="11">
        <f t="shared" si="1769"/>
        <v>10.9</v>
      </c>
      <c r="Y5070" s="11">
        <f t="shared" si="1769"/>
        <v>9</v>
      </c>
      <c r="Z5070" s="11">
        <f t="shared" si="1769"/>
        <v>7.6999999999999993</v>
      </c>
      <c r="AA5070" t="str">
        <f>"Jan"&amp;RIGHT(M5070,2)</f>
        <v>Jan24</v>
      </c>
    </row>
    <row r="5071" spans="1:28" x14ac:dyDescent="0.35">
      <c r="A5071" s="527" t="str">
        <f>"SgK482a1-"&amp;RIGHT(N$5070,5)</f>
        <v>SgK482a1-Jan24</v>
      </c>
      <c r="B5071" s="526" t="s">
        <v>5434</v>
      </c>
      <c r="C5071" s="526" t="str">
        <f>"Inbetriebnahme "&amp;TEXT(DATEVALUE(RIGHT(AA$5070,5)),"MM/JJJJ")</f>
        <v>Inbetriebnahme 01/2024</v>
      </c>
      <c r="D5071" s="526" t="s">
        <v>3919</v>
      </c>
      <c r="E5071" s="526" t="s">
        <v>7861</v>
      </c>
      <c r="F5071" s="639">
        <f t="shared" si="1767"/>
        <v>10.9</v>
      </c>
      <c r="G5071" s="639">
        <f t="shared" si="1768"/>
        <v>11.3</v>
      </c>
      <c r="H5071" s="537">
        <f t="shared" si="1760"/>
        <v>9.0399999999999991</v>
      </c>
      <c r="I5071" s="637"/>
      <c r="J5071" s="549">
        <v>45268</v>
      </c>
      <c r="N5071" s="873" t="s">
        <v>8244</v>
      </c>
      <c r="O5071" s="461"/>
      <c r="P5071" s="11" t="str">
        <f t="shared" ref="P5071:T5072" si="1770">IF($O5071&lt;&gt;"",P5070*(100%-$O5071),"")</f>
        <v/>
      </c>
      <c r="Q5071" s="11" t="str">
        <f t="shared" si="1770"/>
        <v/>
      </c>
      <c r="R5071" s="11" t="str">
        <f t="shared" si="1770"/>
        <v/>
      </c>
      <c r="S5071" s="11" t="str">
        <f t="shared" si="1770"/>
        <v/>
      </c>
      <c r="T5071" s="11" t="str">
        <f t="shared" si="1770"/>
        <v/>
      </c>
      <c r="V5071" s="11" t="str">
        <f t="shared" si="1769"/>
        <v/>
      </c>
      <c r="W5071" s="11" t="str">
        <f t="shared" si="1769"/>
        <v/>
      </c>
      <c r="X5071" s="11" t="str">
        <f t="shared" si="1769"/>
        <v/>
      </c>
      <c r="Y5071" s="11" t="str">
        <f t="shared" si="1769"/>
        <v/>
      </c>
      <c r="Z5071" s="11" t="str">
        <f t="shared" si="1769"/>
        <v/>
      </c>
      <c r="AA5071" t="str">
        <f>"Feb"&amp;RIGHT($M5070,2)</f>
        <v>Feb24</v>
      </c>
      <c r="AB5071" t="str">
        <f>"Jul"&amp;RIGHT($M5070,2)</f>
        <v>Jul24</v>
      </c>
    </row>
    <row r="5072" spans="1:28" x14ac:dyDescent="0.35">
      <c r="A5072" s="527" t="str">
        <f>"SgK482a2-"&amp;RIGHT(N$5070,5)</f>
        <v>SgK482a2-Jan24</v>
      </c>
      <c r="B5072" s="526" t="s">
        <v>5434</v>
      </c>
      <c r="C5072" s="526" t="str">
        <f>"Inbetriebnahme "&amp;TEXT(DATEVALUE(RIGHT(AA$5070,5)),"MM/JJJJ")</f>
        <v>Inbetriebnahme 01/2024</v>
      </c>
      <c r="D5072" s="526" t="s">
        <v>7907</v>
      </c>
      <c r="E5072" s="526" t="s">
        <v>7861</v>
      </c>
      <c r="F5072" s="639">
        <f t="shared" si="1767"/>
        <v>10.9</v>
      </c>
      <c r="G5072" s="639">
        <f t="shared" si="1768"/>
        <v>11.3</v>
      </c>
      <c r="H5072" s="537">
        <f t="shared" si="1760"/>
        <v>9.0399999999999991</v>
      </c>
      <c r="I5072" s="637"/>
      <c r="J5072" s="549">
        <v>45268</v>
      </c>
      <c r="N5072" s="873" t="s">
        <v>8243</v>
      </c>
      <c r="O5072" s="461"/>
      <c r="P5072" s="11" t="str">
        <f t="shared" si="1770"/>
        <v/>
      </c>
      <c r="Q5072" s="11" t="str">
        <f t="shared" si="1770"/>
        <v/>
      </c>
      <c r="R5072" s="11" t="str">
        <f t="shared" si="1770"/>
        <v/>
      </c>
      <c r="S5072" s="11" t="str">
        <f t="shared" si="1770"/>
        <v/>
      </c>
      <c r="T5072" s="11" t="str">
        <f t="shared" si="1770"/>
        <v/>
      </c>
      <c r="V5072" s="11" t="str">
        <f t="shared" si="1769"/>
        <v/>
      </c>
      <c r="W5072" s="11" t="str">
        <f t="shared" si="1769"/>
        <v/>
      </c>
      <c r="X5072" s="11" t="str">
        <f t="shared" si="1769"/>
        <v/>
      </c>
      <c r="Y5072" s="11" t="str">
        <f t="shared" si="1769"/>
        <v/>
      </c>
      <c r="Z5072" s="11" t="str">
        <f t="shared" si="1769"/>
        <v/>
      </c>
      <c r="AA5072" t="str">
        <f>"Aug"&amp;RIGHT($M5070,2)</f>
        <v>Aug24</v>
      </c>
      <c r="AB5072" t="str">
        <f>"Dez"&amp;RIGHT($M5070,2)</f>
        <v>Dez24</v>
      </c>
    </row>
    <row r="5073" spans="1:26" x14ac:dyDescent="0.35">
      <c r="A5073" s="527" t="str">
        <f>"SgK482a3-"&amp;RIGHT(N$5070,5)</f>
        <v>SgK482a3-Jan24</v>
      </c>
      <c r="B5073" s="526" t="s">
        <v>5434</v>
      </c>
      <c r="C5073" s="526" t="str">
        <f>"Inbetriebnahme "&amp;TEXT(DATEVALUE(RIGHT(AA$5070,5)),"MM/JJJJ")</f>
        <v>Inbetriebnahme 01/2024</v>
      </c>
      <c r="D5073" s="526" t="s">
        <v>7908</v>
      </c>
      <c r="E5073" s="526" t="s">
        <v>7861</v>
      </c>
      <c r="F5073" s="639">
        <f t="shared" si="1767"/>
        <v>9</v>
      </c>
      <c r="G5073" s="639">
        <f t="shared" si="1768"/>
        <v>9.4</v>
      </c>
      <c r="H5073" s="537">
        <f t="shared" si="1760"/>
        <v>7.52</v>
      </c>
      <c r="I5073" s="637"/>
      <c r="J5073" s="549">
        <v>45268</v>
      </c>
      <c r="N5073" s="266"/>
      <c r="O5073" s="461"/>
      <c r="P5073" s="11"/>
      <c r="Q5073" s="11"/>
      <c r="R5073" s="11"/>
      <c r="S5073" s="11"/>
      <c r="T5073" s="11"/>
      <c r="V5073" s="11"/>
      <c r="W5073" s="11"/>
      <c r="X5073" s="11"/>
      <c r="Y5073" s="11"/>
      <c r="Z5073" s="11"/>
    </row>
    <row r="5074" spans="1:26" x14ac:dyDescent="0.35">
      <c r="A5074" s="527" t="str">
        <f>"SgK482a4-"&amp;RIGHT(N$5070,5)</f>
        <v>SgK482a4-Jan24</v>
      </c>
      <c r="B5074" s="526" t="s">
        <v>5434</v>
      </c>
      <c r="C5074" s="526" t="str">
        <f>"Inbetriebnahme "&amp;TEXT(DATEVALUE(RIGHT(AA$5070,5)),"MM/JJJJ")</f>
        <v>Inbetriebnahme 01/2024</v>
      </c>
      <c r="D5074" s="526" t="s">
        <v>7919</v>
      </c>
      <c r="E5074" s="526" t="s">
        <v>7861</v>
      </c>
      <c r="F5074" s="639">
        <f t="shared" si="1767"/>
        <v>7.7</v>
      </c>
      <c r="G5074" s="639">
        <f t="shared" si="1768"/>
        <v>8.1</v>
      </c>
      <c r="H5074" s="537">
        <f t="shared" si="1760"/>
        <v>6.48</v>
      </c>
      <c r="I5074" s="637"/>
      <c r="J5074" s="549">
        <v>45268</v>
      </c>
      <c r="N5074" s="876" t="s">
        <v>8245</v>
      </c>
      <c r="O5074" s="461"/>
      <c r="P5074" s="11"/>
      <c r="Q5074" s="11"/>
      <c r="R5074" s="11"/>
      <c r="S5074" s="11"/>
      <c r="T5074" s="11"/>
      <c r="V5074" s="11"/>
      <c r="W5074" s="11"/>
      <c r="X5074" s="11"/>
      <c r="Y5074" s="11"/>
      <c r="Z5074" s="11"/>
    </row>
    <row r="5075" spans="1:26" x14ac:dyDescent="0.35">
      <c r="A5075" s="527" t="str">
        <f>"SgK482a0-"&amp;RIGHT(N$5071,5)</f>
        <v>SgK482a0-Feb24</v>
      </c>
      <c r="B5075" s="526" t="s">
        <v>5434</v>
      </c>
      <c r="C5075" s="526" t="str">
        <f>"Inbetriebnahme "&amp;TEXT(DATEVALUE(RIGHT(AA$5071,5)),"MM")&amp;"-"&amp;TEXT(DATEVALUE(RIGHT(AB$5071,5)),"MM/JJJJ")</f>
        <v>Inbetriebnahme 02-07/2024</v>
      </c>
      <c r="D5075" s="526" t="s">
        <v>3918</v>
      </c>
      <c r="E5075" s="526" t="s">
        <v>7861</v>
      </c>
      <c r="F5075" s="639" t="str">
        <f t="shared" si="1767"/>
        <v/>
      </c>
      <c r="G5075" s="639" t="str">
        <f t="shared" si="1768"/>
        <v/>
      </c>
      <c r="H5075" s="537" t="str">
        <f t="shared" si="1760"/>
        <v/>
      </c>
      <c r="I5075" s="637"/>
      <c r="J5075" s="549">
        <v>45268</v>
      </c>
      <c r="O5075" s="461"/>
      <c r="P5075" s="11"/>
      <c r="Q5075" s="11"/>
      <c r="R5075" s="11"/>
      <c r="S5075" s="11"/>
      <c r="T5075" s="11"/>
      <c r="V5075" s="11"/>
      <c r="W5075" s="11"/>
      <c r="X5075" s="11"/>
      <c r="Y5075" s="11"/>
      <c r="Z5075" s="11"/>
    </row>
    <row r="5076" spans="1:26" x14ac:dyDescent="0.35">
      <c r="A5076" s="527" t="str">
        <f>"SgK482a1-"&amp;RIGHT(N$5071,5)</f>
        <v>SgK482a1-Feb24</v>
      </c>
      <c r="B5076" s="526" t="s">
        <v>5434</v>
      </c>
      <c r="C5076" s="526" t="str">
        <f>"Inbetriebnahme "&amp;TEXT(DATEVALUE(RIGHT(AA$5071,5)),"MM")&amp;"-"&amp;TEXT(DATEVALUE(RIGHT(AB$5071,5)),"MM/JJJJ")</f>
        <v>Inbetriebnahme 02-07/2024</v>
      </c>
      <c r="D5076" s="526" t="s">
        <v>3919</v>
      </c>
      <c r="E5076" s="526" t="s">
        <v>7861</v>
      </c>
      <c r="F5076" s="639" t="str">
        <f t="shared" ref="F5076:F5084" si="1771">IF(HLOOKUP($D5076,$U$5069:$Z$5072,MATCH(RIGHT($A5076,5),$N$5069:$N$5072,0),FALSE)&lt;&gt;"",ROUND(HLOOKUP($D5076,$U$5069:$Z$5072,MATCH(RIGHT($A5076,5),$N$5069:$N$5072,0),FALSE),2),"")</f>
        <v/>
      </c>
      <c r="G5076" s="639" t="str">
        <f t="shared" ref="G5076:G5084" si="1772">IF(HLOOKUP($D5076,$P$5069:$T$5072,MATCH(RIGHT($A5076,5),$N$5069:$N$5072,0),FALSE)&lt;&gt;"",ROUND(HLOOKUP($D5076,$P$5069:$T$5072,MATCH(RIGHT($A5076,5),$N$5069:$N$5072,0),FALSE),2),"")</f>
        <v/>
      </c>
      <c r="H5076" s="537" t="str">
        <f t="shared" si="1760"/>
        <v/>
      </c>
      <c r="I5076" s="637"/>
      <c r="J5076" s="549">
        <v>45268</v>
      </c>
      <c r="N5076" s="266"/>
      <c r="O5076" s="461"/>
      <c r="P5076" s="11"/>
      <c r="Q5076" s="11"/>
      <c r="R5076" s="11"/>
      <c r="S5076" s="11"/>
      <c r="T5076" s="11"/>
      <c r="V5076" s="11"/>
      <c r="W5076" s="11"/>
      <c r="X5076" s="11"/>
      <c r="Y5076" s="11"/>
      <c r="Z5076" s="11"/>
    </row>
    <row r="5077" spans="1:26" x14ac:dyDescent="0.35">
      <c r="A5077" s="527" t="str">
        <f>"SgK482a2-"&amp;RIGHT(N$5071,5)</f>
        <v>SgK482a2-Feb24</v>
      </c>
      <c r="B5077" s="526" t="s">
        <v>5434</v>
      </c>
      <c r="C5077" s="526" t="str">
        <f>"Inbetriebnahme "&amp;TEXT(DATEVALUE(RIGHT(AA$5071,5)),"MM")&amp;"-"&amp;TEXT(DATEVALUE(RIGHT(AB$5071,5)),"MM/JJJJ")</f>
        <v>Inbetriebnahme 02-07/2024</v>
      </c>
      <c r="D5077" s="526" t="s">
        <v>7907</v>
      </c>
      <c r="E5077" s="526" t="s">
        <v>7861</v>
      </c>
      <c r="F5077" s="639" t="str">
        <f t="shared" si="1771"/>
        <v/>
      </c>
      <c r="G5077" s="639" t="str">
        <f t="shared" si="1772"/>
        <v/>
      </c>
      <c r="H5077" s="537" t="str">
        <f t="shared" si="1760"/>
        <v/>
      </c>
      <c r="I5077" s="637"/>
      <c r="J5077" s="549">
        <v>45268</v>
      </c>
      <c r="N5077" s="266"/>
      <c r="O5077" s="461"/>
      <c r="P5077" s="11"/>
      <c r="Q5077" s="11"/>
      <c r="R5077" s="11"/>
      <c r="S5077" s="11"/>
      <c r="T5077" s="11"/>
      <c r="V5077" s="11"/>
      <c r="W5077" s="11"/>
      <c r="X5077" s="11"/>
      <c r="Y5077" s="11"/>
      <c r="Z5077" s="11"/>
    </row>
    <row r="5078" spans="1:26" x14ac:dyDescent="0.35">
      <c r="A5078" s="527" t="str">
        <f>"SgK482a3-"&amp;RIGHT(N$5071,5)</f>
        <v>SgK482a3-Feb24</v>
      </c>
      <c r="B5078" s="526" t="s">
        <v>5434</v>
      </c>
      <c r="C5078" s="526" t="str">
        <f>"Inbetriebnahme "&amp;TEXT(DATEVALUE(RIGHT(AA$5071,5)),"MM")&amp;"-"&amp;TEXT(DATEVALUE(RIGHT(AB$5071,5)),"MM/JJJJ")</f>
        <v>Inbetriebnahme 02-07/2024</v>
      </c>
      <c r="D5078" s="526" t="s">
        <v>7908</v>
      </c>
      <c r="E5078" s="526" t="s">
        <v>7861</v>
      </c>
      <c r="F5078" s="639" t="str">
        <f t="shared" si="1771"/>
        <v/>
      </c>
      <c r="G5078" s="639" t="str">
        <f t="shared" si="1772"/>
        <v/>
      </c>
      <c r="H5078" s="537" t="str">
        <f t="shared" si="1760"/>
        <v/>
      </c>
      <c r="I5078" s="637"/>
      <c r="J5078" s="549">
        <v>45268</v>
      </c>
      <c r="N5078" s="266"/>
      <c r="O5078" s="461"/>
      <c r="P5078" s="11"/>
      <c r="Q5078" s="11"/>
      <c r="R5078" s="11"/>
      <c r="S5078" s="11"/>
      <c r="T5078" s="11"/>
      <c r="V5078" s="11"/>
      <c r="W5078" s="11"/>
      <c r="X5078" s="11"/>
      <c r="Y5078" s="11"/>
      <c r="Z5078" s="11"/>
    </row>
    <row r="5079" spans="1:26" x14ac:dyDescent="0.35">
      <c r="A5079" s="527" t="str">
        <f>"SgK482a4-"&amp;RIGHT(N$5071,5)</f>
        <v>SgK482a4-Feb24</v>
      </c>
      <c r="B5079" s="526" t="s">
        <v>5434</v>
      </c>
      <c r="C5079" s="526" t="str">
        <f>"Inbetriebnahme "&amp;TEXT(DATEVALUE(RIGHT(AA$5071,5)),"MM")&amp;"-"&amp;TEXT(DATEVALUE(RIGHT(AB$5071,5)),"MM/JJJJ")</f>
        <v>Inbetriebnahme 02-07/2024</v>
      </c>
      <c r="D5079" s="526" t="s">
        <v>7919</v>
      </c>
      <c r="E5079" s="526" t="s">
        <v>7861</v>
      </c>
      <c r="F5079" s="639" t="str">
        <f t="shared" si="1771"/>
        <v/>
      </c>
      <c r="G5079" s="639" t="str">
        <f t="shared" si="1772"/>
        <v/>
      </c>
      <c r="H5079" s="537" t="str">
        <f t="shared" si="1760"/>
        <v/>
      </c>
      <c r="I5079" s="637"/>
      <c r="J5079" s="549">
        <v>45268</v>
      </c>
      <c r="N5079" s="266"/>
      <c r="O5079" s="461"/>
      <c r="P5079" s="11"/>
      <c r="Q5079" s="11"/>
      <c r="R5079" s="11"/>
      <c r="S5079" s="11"/>
      <c r="T5079" s="11"/>
      <c r="V5079" s="11"/>
      <c r="W5079" s="11"/>
      <c r="X5079" s="11"/>
      <c r="Y5079" s="11"/>
      <c r="Z5079" s="11"/>
    </row>
    <row r="5080" spans="1:26" x14ac:dyDescent="0.35">
      <c r="A5080" s="527" t="str">
        <f>"SgK482a0-"&amp;RIGHT(N$5072,5)</f>
        <v>SgK482a0-Aug24</v>
      </c>
      <c r="B5080" s="526" t="s">
        <v>5434</v>
      </c>
      <c r="C5080" s="526" t="str">
        <f>"Inbetriebnahme "&amp;TEXT(DATEVALUE(RIGHT(AA$5072,5)),"MM")&amp;"-"&amp;TEXT(DATEVALUE(RIGHT(AB$5072,5)),"MM/JJJJ")</f>
        <v>Inbetriebnahme 08-12/2024</v>
      </c>
      <c r="D5080" s="526" t="s">
        <v>3918</v>
      </c>
      <c r="E5080" s="526" t="s">
        <v>7861</v>
      </c>
      <c r="F5080" s="639" t="str">
        <f t="shared" si="1771"/>
        <v/>
      </c>
      <c r="G5080" s="639" t="str">
        <f t="shared" si="1772"/>
        <v/>
      </c>
      <c r="H5080" s="537" t="str">
        <f t="shared" si="1760"/>
        <v/>
      </c>
      <c r="I5080" s="637"/>
      <c r="J5080" s="549">
        <v>45268</v>
      </c>
      <c r="N5080" s="266"/>
      <c r="O5080" s="461"/>
      <c r="P5080" s="11"/>
      <c r="Q5080" s="11"/>
      <c r="R5080" s="11"/>
      <c r="S5080" s="11"/>
      <c r="T5080" s="11"/>
      <c r="V5080" s="11"/>
      <c r="W5080" s="11"/>
      <c r="X5080" s="11"/>
      <c r="Y5080" s="11"/>
      <c r="Z5080" s="11"/>
    </row>
    <row r="5081" spans="1:26" x14ac:dyDescent="0.35">
      <c r="A5081" s="527" t="str">
        <f>"SgK482a1-"&amp;RIGHT(N$5072,6)</f>
        <v>SgK482a1-Aug24</v>
      </c>
      <c r="B5081" s="526" t="s">
        <v>5434</v>
      </c>
      <c r="C5081" s="526" t="str">
        <f>"Inbetriebnahme "&amp;TEXT(DATEVALUE(RIGHT(AA$5072,5)),"MM")&amp;"-"&amp;TEXT(DATEVALUE(RIGHT(AB$5072,5)),"MM/JJJJ")</f>
        <v>Inbetriebnahme 08-12/2024</v>
      </c>
      <c r="D5081" s="526" t="s">
        <v>3919</v>
      </c>
      <c r="E5081" s="526" t="s">
        <v>7861</v>
      </c>
      <c r="F5081" s="639" t="str">
        <f t="shared" si="1771"/>
        <v/>
      </c>
      <c r="G5081" s="639" t="str">
        <f t="shared" si="1772"/>
        <v/>
      </c>
      <c r="H5081" s="537" t="str">
        <f t="shared" si="1760"/>
        <v/>
      </c>
      <c r="I5081" s="637"/>
      <c r="J5081" s="549">
        <v>45268</v>
      </c>
      <c r="N5081" s="266"/>
      <c r="O5081" s="461"/>
      <c r="P5081" s="11"/>
      <c r="Q5081" s="11"/>
      <c r="R5081" s="11"/>
      <c r="S5081" s="11"/>
      <c r="T5081" s="11"/>
      <c r="V5081" s="11"/>
      <c r="W5081" s="11"/>
      <c r="X5081" s="11"/>
      <c r="Y5081" s="11"/>
      <c r="Z5081" s="11"/>
    </row>
    <row r="5082" spans="1:26" x14ac:dyDescent="0.35">
      <c r="A5082" s="527" t="str">
        <f>"SgK482a2-"&amp;RIGHT(N$5072,5)</f>
        <v>SgK482a2-Aug24</v>
      </c>
      <c r="B5082" s="526" t="s">
        <v>5434</v>
      </c>
      <c r="C5082" s="526" t="str">
        <f>"Inbetriebnahme "&amp;TEXT(DATEVALUE(RIGHT(AA$5072,5)),"MM")&amp;"-"&amp;TEXT(DATEVALUE(RIGHT(AB$5072,5)),"MM/JJJJ")</f>
        <v>Inbetriebnahme 08-12/2024</v>
      </c>
      <c r="D5082" s="526" t="s">
        <v>7907</v>
      </c>
      <c r="E5082" s="526" t="s">
        <v>7861</v>
      </c>
      <c r="F5082" s="639" t="str">
        <f t="shared" si="1771"/>
        <v/>
      </c>
      <c r="G5082" s="639" t="str">
        <f t="shared" si="1772"/>
        <v/>
      </c>
      <c r="H5082" s="537" t="str">
        <f t="shared" si="1760"/>
        <v/>
      </c>
      <c r="I5082" s="637"/>
      <c r="J5082" s="549">
        <v>45268</v>
      </c>
      <c r="N5082" s="266"/>
      <c r="O5082" s="461"/>
      <c r="P5082" s="11"/>
      <c r="Q5082" s="11"/>
      <c r="R5082" s="11"/>
      <c r="S5082" s="11"/>
      <c r="T5082" s="11"/>
      <c r="V5082" s="11"/>
      <c r="W5082" s="11"/>
      <c r="X5082" s="11"/>
      <c r="Y5082" s="11"/>
      <c r="Z5082" s="11"/>
    </row>
    <row r="5083" spans="1:26" x14ac:dyDescent="0.35">
      <c r="A5083" s="527" t="str">
        <f>"SgK482a3-"&amp;RIGHT(N$5072,6)</f>
        <v>SgK482a3-Aug24</v>
      </c>
      <c r="B5083" s="526" t="s">
        <v>5434</v>
      </c>
      <c r="C5083" s="526" t="str">
        <f>"Inbetriebnahme "&amp;TEXT(DATEVALUE(RIGHT(AA$5072,5)),"MM")&amp;"-"&amp;TEXT(DATEVALUE(RIGHT(AB$5072,5)),"MM/JJJJ")</f>
        <v>Inbetriebnahme 08-12/2024</v>
      </c>
      <c r="D5083" s="526" t="s">
        <v>7908</v>
      </c>
      <c r="E5083" s="526" t="s">
        <v>7861</v>
      </c>
      <c r="F5083" s="639" t="str">
        <f t="shared" si="1771"/>
        <v/>
      </c>
      <c r="G5083" s="639" t="str">
        <f t="shared" si="1772"/>
        <v/>
      </c>
      <c r="H5083" s="537" t="str">
        <f t="shared" si="1760"/>
        <v/>
      </c>
      <c r="I5083" s="637"/>
      <c r="J5083" s="549">
        <v>45268</v>
      </c>
      <c r="N5083" s="266"/>
      <c r="O5083" s="461"/>
      <c r="P5083" s="11"/>
      <c r="Q5083" s="11"/>
      <c r="R5083" s="11"/>
      <c r="S5083" s="11"/>
      <c r="T5083" s="11"/>
      <c r="V5083" s="11"/>
      <c r="W5083" s="11"/>
      <c r="X5083" s="11"/>
      <c r="Y5083" s="11"/>
      <c r="Z5083" s="11"/>
    </row>
    <row r="5084" spans="1:26" x14ac:dyDescent="0.35">
      <c r="A5084" s="527" t="str">
        <f>"SgK482a4-"&amp;RIGHT(N$5072,5)</f>
        <v>SgK482a4-Aug24</v>
      </c>
      <c r="B5084" s="526" t="s">
        <v>5434</v>
      </c>
      <c r="C5084" s="526" t="str">
        <f>"Inbetriebnahme "&amp;TEXT(DATEVALUE(RIGHT(AA$5072,5)),"MM")&amp;"-"&amp;TEXT(DATEVALUE(RIGHT(AB$5072,5)),"MM/JJJJ")</f>
        <v>Inbetriebnahme 08-12/2024</v>
      </c>
      <c r="D5084" s="526" t="s">
        <v>7919</v>
      </c>
      <c r="E5084" s="526" t="s">
        <v>7861</v>
      </c>
      <c r="F5084" s="639" t="str">
        <f t="shared" si="1771"/>
        <v/>
      </c>
      <c r="G5084" s="639" t="str">
        <f t="shared" si="1772"/>
        <v/>
      </c>
      <c r="H5084" s="537" t="str">
        <f t="shared" si="1760"/>
        <v/>
      </c>
      <c r="I5084" s="637"/>
      <c r="J5084" s="549">
        <v>45268</v>
      </c>
      <c r="N5084" s="266"/>
      <c r="O5084" s="461"/>
      <c r="P5084" s="11"/>
      <c r="Q5084" s="11"/>
      <c r="R5084" s="11"/>
      <c r="S5084" s="11"/>
      <c r="T5084" s="11"/>
      <c r="V5084" s="11"/>
      <c r="W5084" s="11"/>
      <c r="X5084" s="11"/>
      <c r="Y5084" s="11"/>
      <c r="Z5084" s="11"/>
    </row>
    <row r="5085" spans="1:26" x14ac:dyDescent="0.35">
      <c r="J5085" s="549"/>
      <c r="K5085" s="11"/>
      <c r="N5085" s="266"/>
      <c r="O5085" s="461"/>
      <c r="P5085" s="261"/>
      <c r="Q5085" s="261"/>
      <c r="U5085" s="261"/>
      <c r="V5085" s="261"/>
      <c r="W5085" s="261"/>
      <c r="X5085" s="261"/>
    </row>
    <row r="5086" spans="1:26" ht="30" customHeight="1" x14ac:dyDescent="0.35">
      <c r="A5086" s="651" t="s">
        <v>7921</v>
      </c>
      <c r="B5086" s="50"/>
      <c r="C5086" s="50"/>
      <c r="D5086" s="50"/>
      <c r="E5086" s="50"/>
      <c r="F5086" s="363"/>
      <c r="G5086" s="50"/>
      <c r="H5086" s="59"/>
      <c r="I5086" s="567"/>
      <c r="J5086" s="549">
        <f>J$31</f>
        <v>44896</v>
      </c>
      <c r="N5086" s="266"/>
      <c r="O5086" s="461"/>
      <c r="P5086" s="261"/>
      <c r="Q5086" s="261"/>
    </row>
    <row r="5087" spans="1:26" ht="46.5" customHeight="1" x14ac:dyDescent="0.35">
      <c r="A5087" s="907" t="s">
        <v>7922</v>
      </c>
      <c r="B5087" s="905"/>
      <c r="C5087" s="905"/>
      <c r="D5087" s="905"/>
      <c r="E5087" s="905"/>
      <c r="F5087" s="905"/>
      <c r="G5087" s="353"/>
      <c r="H5087" s="413"/>
      <c r="I5087" s="599"/>
      <c r="J5087" s="549">
        <f>J$31</f>
        <v>44896</v>
      </c>
      <c r="N5087" s="266"/>
      <c r="O5087" s="461"/>
      <c r="P5087" s="261"/>
      <c r="Q5087" s="261"/>
    </row>
    <row r="5088" spans="1:26" x14ac:dyDescent="0.35">
      <c r="D5088" s="103"/>
      <c r="J5088" s="549"/>
      <c r="N5088" s="266"/>
      <c r="O5088" s="461"/>
    </row>
    <row r="5089" spans="1:29" x14ac:dyDescent="0.35">
      <c r="A5089" s="527" t="str">
        <f>"SoK481a-----"&amp;RIGHT(M$5052,2)</f>
        <v>SoK481a-----23</v>
      </c>
      <c r="B5089" s="526" t="s">
        <v>740</v>
      </c>
      <c r="C5089" s="526" t="str">
        <f>"Inbetriebnahme "&amp;$M$5052</f>
        <v>Inbetriebnahme 2023</v>
      </c>
      <c r="D5089" s="526" t="s">
        <v>7918</v>
      </c>
      <c r="E5089" s="526"/>
      <c r="F5089" s="639"/>
      <c r="G5089" s="641">
        <v>5.71</v>
      </c>
      <c r="H5089" s="641"/>
      <c r="I5089" s="638"/>
      <c r="J5089" s="549">
        <v>45001</v>
      </c>
      <c r="M5089" s="101"/>
      <c r="N5089" s="698" t="s">
        <v>8239</v>
      </c>
      <c r="O5089" s="461"/>
    </row>
    <row r="5090" spans="1:29" x14ac:dyDescent="0.35">
      <c r="A5090" s="527" t="str">
        <f>"SgK481a-----"&amp;RIGHT(M$5052,2)</f>
        <v>SgK481a-----23</v>
      </c>
      <c r="B5090" s="526" t="s">
        <v>5434</v>
      </c>
      <c r="C5090" s="526" t="str">
        <f>"Inbetriebnahme "&amp;$M$5052</f>
        <v>Inbetriebnahme 2023</v>
      </c>
      <c r="D5090" s="526" t="s">
        <v>7916</v>
      </c>
      <c r="E5090" s="526"/>
      <c r="F5090" s="639"/>
      <c r="G5090" s="641">
        <v>8.91</v>
      </c>
      <c r="H5090" s="641"/>
      <c r="I5090" s="638"/>
      <c r="J5090" s="549">
        <v>45001</v>
      </c>
      <c r="M5090" s="101"/>
      <c r="N5090" s="698" t="s">
        <v>8239</v>
      </c>
      <c r="O5090" s="461"/>
    </row>
    <row r="5091" spans="1:29" x14ac:dyDescent="0.35">
      <c r="A5091" s="496"/>
      <c r="B5091" s="1"/>
      <c r="C5091" s="1"/>
      <c r="D5091" s="1"/>
      <c r="E5091" s="1"/>
      <c r="F5091" s="362"/>
      <c r="G5091" s="10"/>
      <c r="H5091" s="10"/>
      <c r="I5091" s="566"/>
      <c r="J5091" s="549" t="s">
        <v>4179</v>
      </c>
      <c r="K5091" s="11"/>
      <c r="N5091" s="109"/>
      <c r="O5091" s="29"/>
    </row>
    <row r="5092" spans="1:29" x14ac:dyDescent="0.35">
      <c r="A5092" s="527" t="str">
        <f>"SoK481a-----"&amp;RIGHT(M5061,2)</f>
        <v>SoK481a-----24</v>
      </c>
      <c r="B5092" s="526" t="s">
        <v>740</v>
      </c>
      <c r="C5092" s="526" t="str">
        <f>"Inbetriebnahme "&amp;M5061</f>
        <v>Inbetriebnahme 2024</v>
      </c>
      <c r="D5092" s="526" t="s">
        <v>7918</v>
      </c>
      <c r="E5092" s="526"/>
      <c r="F5092" s="639"/>
      <c r="G5092" s="641"/>
      <c r="H5092" s="641"/>
      <c r="I5092" s="638"/>
      <c r="J5092" s="549">
        <v>45268</v>
      </c>
      <c r="M5092" s="101"/>
      <c r="N5092" s="698" t="s">
        <v>8265</v>
      </c>
      <c r="O5092" s="461"/>
    </row>
    <row r="5093" spans="1:29" x14ac:dyDescent="0.35">
      <c r="A5093" s="527" t="str">
        <f>"SgK481a-----"&amp;RIGHT(M5061,2)</f>
        <v>SgK481a-----24</v>
      </c>
      <c r="B5093" s="526" t="s">
        <v>5434</v>
      </c>
      <c r="C5093" s="526" t="str">
        <f>"Inbetriebnahme "&amp;M5061</f>
        <v>Inbetriebnahme 2024</v>
      </c>
      <c r="D5093" s="526" t="s">
        <v>7916</v>
      </c>
      <c r="E5093" s="526"/>
      <c r="F5093" s="639"/>
      <c r="G5093" s="641"/>
      <c r="H5093" s="641"/>
      <c r="I5093" s="638"/>
      <c r="J5093" s="549">
        <v>45268</v>
      </c>
      <c r="M5093" s="101"/>
      <c r="N5093" s="698" t="s">
        <v>8265</v>
      </c>
      <c r="O5093" s="461"/>
    </row>
    <row r="5094" spans="1:29" x14ac:dyDescent="0.35">
      <c r="D5094" s="654"/>
      <c r="J5094" s="549"/>
      <c r="N5094" s="266"/>
      <c r="O5094" s="461"/>
    </row>
    <row r="5095" spans="1:29" ht="32.25" customHeight="1" x14ac:dyDescent="0.35">
      <c r="A5095" s="651" t="s">
        <v>8109</v>
      </c>
      <c r="B5095" s="50"/>
      <c r="C5095" s="50"/>
      <c r="D5095" s="50"/>
      <c r="E5095" s="50"/>
      <c r="F5095" s="363"/>
      <c r="G5095" s="50"/>
      <c r="H5095" s="59" t="str">
        <f>IF(ISNUMBER(G5095),ROUND(0.8*G5095,2),"")</f>
        <v/>
      </c>
      <c r="I5095" s="567"/>
      <c r="J5095" s="549">
        <v>43077</v>
      </c>
      <c r="N5095" s="266"/>
      <c r="O5095" s="187"/>
      <c r="P5095" s="187"/>
      <c r="Q5095" s="187"/>
      <c r="R5095" s="187"/>
      <c r="S5095" s="187"/>
      <c r="T5095" s="187"/>
    </row>
    <row r="5096" spans="1:29" s="187" customFormat="1" ht="33.75" customHeight="1" x14ac:dyDescent="0.35">
      <c r="A5096" s="907" t="s">
        <v>8110</v>
      </c>
      <c r="B5096" s="905"/>
      <c r="C5096" s="905"/>
      <c r="D5096" s="905"/>
      <c r="E5096" s="905"/>
      <c r="F5096" s="905"/>
      <c r="G5096" s="353"/>
      <c r="H5096" s="413" t="str">
        <f>IF(ISNUMBER(G5096),ROUND(0.8*G5096,2),"")</f>
        <v/>
      </c>
      <c r="I5096" s="599"/>
      <c r="J5096" s="549">
        <v>44196</v>
      </c>
      <c r="O5096"/>
      <c r="P5096"/>
      <c r="Q5096"/>
      <c r="R5096"/>
      <c r="S5096"/>
      <c r="T5096"/>
    </row>
    <row r="5097" spans="1:29" s="187" customFormat="1" ht="32.25" customHeight="1" x14ac:dyDescent="0.35">
      <c r="A5097" s="898" t="s">
        <v>8111</v>
      </c>
      <c r="B5097" s="898"/>
      <c r="C5097" s="898"/>
      <c r="D5097" s="898"/>
      <c r="E5097" s="898"/>
      <c r="F5097" s="898"/>
      <c r="G5097" s="349"/>
      <c r="H5097" s="410" t="str">
        <f>IF(ISNUMBER(G5097),ROUND(0.8*G5097,2),"")</f>
        <v/>
      </c>
      <c r="I5097" s="595"/>
      <c r="J5097" s="549">
        <v>43077</v>
      </c>
    </row>
    <row r="5098" spans="1:29" s="187" customFormat="1" ht="33" customHeight="1" x14ac:dyDescent="0.35">
      <c r="A5098" s="907" t="s">
        <v>8112</v>
      </c>
      <c r="B5098" s="905"/>
      <c r="C5098" s="905"/>
      <c r="D5098" s="905"/>
      <c r="E5098" s="905"/>
      <c r="F5098" s="905"/>
      <c r="G5098" s="352"/>
      <c r="H5098" s="411" t="str">
        <f>IF(ISNUMBER(G5098),ROUND(0.8*G5098,2),"")</f>
        <v/>
      </c>
      <c r="I5098" s="596"/>
      <c r="J5098" s="549">
        <v>43077</v>
      </c>
      <c r="M5098"/>
      <c r="N5098"/>
      <c r="U5098"/>
      <c r="V5098"/>
      <c r="W5098"/>
      <c r="X5098"/>
      <c r="Y5098"/>
      <c r="Z5098"/>
      <c r="AA5098"/>
      <c r="AB5098"/>
      <c r="AC5098"/>
    </row>
    <row r="5099" spans="1:29" ht="33.75" customHeight="1" x14ac:dyDescent="0.35">
      <c r="A5099" s="907" t="s">
        <v>6327</v>
      </c>
      <c r="B5099" s="905"/>
      <c r="C5099" s="905"/>
      <c r="D5099" s="905"/>
      <c r="E5099" s="905"/>
      <c r="F5099" s="905"/>
      <c r="G5099" s="352"/>
      <c r="H5099" s="411" t="str">
        <f>IF(ISNUMBER(G5099),ROUND(0.8*G5099,2),"")</f>
        <v/>
      </c>
      <c r="I5099" s="596"/>
      <c r="J5099" s="549">
        <v>43077</v>
      </c>
      <c r="K5099" s="102"/>
      <c r="M5099" s="187"/>
      <c r="N5099" s="187"/>
      <c r="U5099" s="187"/>
      <c r="V5099" s="187"/>
      <c r="W5099" s="187"/>
      <c r="X5099" s="187"/>
      <c r="Y5099" s="187"/>
      <c r="Z5099" s="187"/>
      <c r="AA5099" s="187"/>
      <c r="AB5099" s="187"/>
      <c r="AC5099" s="187"/>
    </row>
    <row r="5100" spans="1:29" x14ac:dyDescent="0.35">
      <c r="D5100" s="103"/>
      <c r="J5100" s="549" t="s">
        <v>4179</v>
      </c>
    </row>
    <row r="5101" spans="1:29" x14ac:dyDescent="0.35">
      <c r="A5101" s="527" t="s">
        <v>6323</v>
      </c>
      <c r="B5101" s="526" t="s">
        <v>5434</v>
      </c>
      <c r="C5101" s="526" t="s">
        <v>7438</v>
      </c>
      <c r="D5101" s="526" t="s">
        <v>6317</v>
      </c>
      <c r="E5101" s="537"/>
      <c r="F5101" s="538" t="str">
        <f>IF($O5101&lt;&gt;"",ROUND(Q5101,2),"")</f>
        <v/>
      </c>
      <c r="G5101" s="538" t="str">
        <f>IF($O5101&lt;&gt;"",ROUND(R5101,2),"")</f>
        <v/>
      </c>
      <c r="H5101" s="537" t="str">
        <f>IF(ISNUMBER(G5101),ROUND(0.8*G5101,2),"")</f>
        <v/>
      </c>
      <c r="I5101" s="574"/>
      <c r="J5101" s="549">
        <v>43077</v>
      </c>
      <c r="K5101" s="102"/>
      <c r="N5101" s="266"/>
      <c r="O5101" s="322"/>
      <c r="P5101" s="462" t="str">
        <f>IF($O5101&lt;&gt;"",#REF!*(100%-$O5101),"")</f>
        <v/>
      </c>
      <c r="Q5101" s="261" t="str">
        <f>IF($O5101&lt;&gt;"",(1-$O5101)*#REF!,"")</f>
        <v/>
      </c>
      <c r="R5101" s="261"/>
    </row>
    <row r="5102" spans="1:29" x14ac:dyDescent="0.35">
      <c r="A5102" s="527" t="s">
        <v>8096</v>
      </c>
      <c r="B5102" s="526" t="s">
        <v>5434</v>
      </c>
      <c r="C5102" s="526" t="s">
        <v>7438</v>
      </c>
      <c r="D5102" s="526" t="s">
        <v>8097</v>
      </c>
      <c r="E5102" s="537"/>
      <c r="F5102" s="538"/>
      <c r="G5102" s="538"/>
      <c r="H5102" s="537"/>
      <c r="I5102" s="574"/>
      <c r="J5102" s="549">
        <v>44896</v>
      </c>
      <c r="K5102" s="102"/>
      <c r="N5102" s="266"/>
      <c r="O5102" s="322"/>
      <c r="P5102" s="462"/>
      <c r="Q5102" s="261"/>
      <c r="R5102" s="261"/>
    </row>
    <row r="5103" spans="1:29" x14ac:dyDescent="0.35">
      <c r="A5103" s="496"/>
      <c r="B5103" s="1"/>
      <c r="C5103" s="1"/>
      <c r="D5103" s="1"/>
      <c r="E5103" s="1"/>
      <c r="F5103" s="362"/>
      <c r="G5103" s="10"/>
      <c r="H5103" s="10"/>
      <c r="I5103" s="566"/>
      <c r="J5103" s="549" t="s">
        <v>4179</v>
      </c>
      <c r="K5103" s="11"/>
      <c r="N5103" s="109" t="s">
        <v>3901</v>
      </c>
      <c r="O5103" s="29" t="s">
        <v>5489</v>
      </c>
      <c r="P5103" t="s">
        <v>6317</v>
      </c>
      <c r="Q5103" t="s">
        <v>3918</v>
      </c>
      <c r="R5103" t="s">
        <v>3919</v>
      </c>
      <c r="S5103" t="s">
        <v>7439</v>
      </c>
    </row>
    <row r="5104" spans="1:29" x14ac:dyDescent="0.35">
      <c r="A5104" s="527" t="str">
        <f>"SgK48a0--"&amp;RIGHT(N5104,5)</f>
        <v>SgK48a0--Jan21</v>
      </c>
      <c r="B5104" s="526" t="s">
        <v>5434</v>
      </c>
      <c r="C5104" s="526" t="str">
        <f t="shared" ref="C5104:C5139" si="1773">"Inbetriebnahme "&amp;TEXT(DATEVALUE(RIGHT(A5104,5)),"MM/JJJJ")</f>
        <v>Inbetriebnahme 01/2021</v>
      </c>
      <c r="D5104" s="526" t="str">
        <f>$Q$4687</f>
        <v>0 - 10 kW</v>
      </c>
      <c r="E5104" s="526" t="s">
        <v>6317</v>
      </c>
      <c r="F5104" s="639"/>
      <c r="G5104" s="639"/>
      <c r="H5104" s="641"/>
      <c r="I5104" s="641">
        <f t="shared" ref="I5104:I5139" si="1774">IF(HLOOKUP($D5104,$Q$5103:$S$5115,MATCH(RIGHT($A5104,5),$N$5103:$N$5115,0),FALSE)&lt;&gt;"",ROUND(HLOOKUP($D5104,$Q$5103:$S$5115,MATCH(RIGHT($A5104,5),$N$5103:$N$5115,0),FALSE),2),"")</f>
        <v>3.79</v>
      </c>
      <c r="J5104" s="549">
        <v>44196</v>
      </c>
      <c r="K5104" s="11"/>
      <c r="M5104" s="101">
        <v>2021</v>
      </c>
      <c r="N5104" s="522" t="s">
        <v>6679</v>
      </c>
      <c r="O5104" s="461" t="s">
        <v>7533</v>
      </c>
      <c r="Q5104">
        <v>3.79</v>
      </c>
      <c r="R5104">
        <v>3.52</v>
      </c>
      <c r="S5104">
        <v>2.37</v>
      </c>
    </row>
    <row r="5105" spans="1:20" x14ac:dyDescent="0.35">
      <c r="A5105" s="527" t="str">
        <f>"SgK48a1--"&amp;RIGHT(A5104,5)</f>
        <v>SgK48a1--Jan21</v>
      </c>
      <c r="B5105" s="526" t="s">
        <v>5434</v>
      </c>
      <c r="C5105" s="526" t="str">
        <f t="shared" si="1773"/>
        <v>Inbetriebnahme 01/2021</v>
      </c>
      <c r="D5105" s="526" t="str">
        <f>$R$4687</f>
        <v>10 - 40 kW</v>
      </c>
      <c r="E5105" s="526" t="s">
        <v>6317</v>
      </c>
      <c r="F5105" s="639"/>
      <c r="G5105" s="639"/>
      <c r="H5105" s="641"/>
      <c r="I5105" s="641">
        <f t="shared" si="1774"/>
        <v>3.52</v>
      </c>
      <c r="J5105" s="549">
        <v>44196</v>
      </c>
      <c r="K5105" s="11"/>
      <c r="M5105" s="339"/>
      <c r="N5105" s="266" t="str">
        <f t="shared" ref="N5105:N5115" si="1775">TEXT(DATE(YEAR(DATEVALUE(N5104)),MONTH(DATEVALUE(N5104))+1,1),"MMMJJ")</f>
        <v>Feb21</v>
      </c>
      <c r="O5105" s="461">
        <v>1.4E-2</v>
      </c>
      <c r="Q5105" s="11">
        <f t="shared" ref="Q5105:Q5115" si="1776">IF($O5105&lt;&gt;"",Q5104*(100%-$O5105),"")</f>
        <v>3.7369400000000002</v>
      </c>
      <c r="R5105" s="11">
        <f t="shared" ref="R5105:R5115" si="1777">IF($O5105&lt;&gt;"",R5104*(100%-$O5105),"")</f>
        <v>3.47072</v>
      </c>
      <c r="S5105" s="11">
        <f t="shared" ref="S5105:S5115" si="1778">IF($O5105&lt;&gt;"",S5104*(100%-$O5105),"")</f>
        <v>2.3368199999999999</v>
      </c>
    </row>
    <row r="5106" spans="1:20" x14ac:dyDescent="0.35">
      <c r="A5106" s="527" t="str">
        <f>"SgK48a2--"&amp;RIGHT(A5105,5)</f>
        <v>SgK48a2--Jan21</v>
      </c>
      <c r="B5106" s="526" t="s">
        <v>5434</v>
      </c>
      <c r="C5106" s="526" t="str">
        <f t="shared" si="1773"/>
        <v>Inbetriebnahme 01/2021</v>
      </c>
      <c r="D5106" s="526" t="s">
        <v>7439</v>
      </c>
      <c r="E5106" s="526" t="s">
        <v>6317</v>
      </c>
      <c r="F5106" s="639"/>
      <c r="G5106" s="639"/>
      <c r="H5106" s="641"/>
      <c r="I5106" s="641">
        <f t="shared" si="1774"/>
        <v>2.37</v>
      </c>
      <c r="J5106" s="549">
        <v>44196</v>
      </c>
      <c r="K5106" s="11"/>
      <c r="M5106" s="339"/>
      <c r="N5106" s="266" t="str">
        <f t="shared" si="1775"/>
        <v>Mrz21</v>
      </c>
      <c r="O5106" s="461">
        <v>1.4E-2</v>
      </c>
      <c r="Q5106" s="11">
        <f t="shared" si="1776"/>
        <v>3.6846228400000003</v>
      </c>
      <c r="R5106" s="11">
        <f t="shared" si="1777"/>
        <v>3.4221299200000002</v>
      </c>
      <c r="S5106" s="11">
        <f t="shared" si="1778"/>
        <v>2.3041045199999997</v>
      </c>
    </row>
    <row r="5107" spans="1:20" x14ac:dyDescent="0.35">
      <c r="A5107" s="527" t="str">
        <f>"SgK48a0--"&amp;RIGHT(N5105,5)</f>
        <v>SgK48a0--Feb21</v>
      </c>
      <c r="B5107" s="526" t="s">
        <v>5434</v>
      </c>
      <c r="C5107" s="526" t="str">
        <f t="shared" si="1773"/>
        <v>Inbetriebnahme 02/2021</v>
      </c>
      <c r="D5107" s="526" t="str">
        <f t="shared" ref="D5107:D5139" si="1779">D5104</f>
        <v>0 - 10 kW</v>
      </c>
      <c r="E5107" s="526" t="s">
        <v>6317</v>
      </c>
      <c r="F5107" s="639"/>
      <c r="G5107" s="639"/>
      <c r="H5107" s="641"/>
      <c r="I5107" s="641">
        <f t="shared" si="1774"/>
        <v>3.74</v>
      </c>
      <c r="J5107" s="549">
        <v>44260</v>
      </c>
      <c r="K5107" s="11"/>
      <c r="M5107" s="339"/>
      <c r="N5107" s="266" t="str">
        <f t="shared" si="1775"/>
        <v>Apr21</v>
      </c>
      <c r="O5107" s="461">
        <v>1.4E-2</v>
      </c>
      <c r="Q5107" s="11">
        <f t="shared" si="1776"/>
        <v>3.6330381202400002</v>
      </c>
      <c r="R5107" s="11">
        <f t="shared" si="1777"/>
        <v>3.3742201011200001</v>
      </c>
      <c r="S5107" s="11">
        <f t="shared" si="1778"/>
        <v>2.2718470567199995</v>
      </c>
    </row>
    <row r="5108" spans="1:20" x14ac:dyDescent="0.35">
      <c r="A5108" s="527" t="str">
        <f>"SgK48a1--"&amp;RIGHT(A5107,5)</f>
        <v>SgK48a1--Feb21</v>
      </c>
      <c r="B5108" s="526" t="s">
        <v>5434</v>
      </c>
      <c r="C5108" s="526" t="str">
        <f t="shared" si="1773"/>
        <v>Inbetriebnahme 02/2021</v>
      </c>
      <c r="D5108" s="526" t="str">
        <f t="shared" si="1779"/>
        <v>10 - 40 kW</v>
      </c>
      <c r="E5108" s="526" t="s">
        <v>6317</v>
      </c>
      <c r="F5108" s="639"/>
      <c r="G5108" s="639"/>
      <c r="H5108" s="641"/>
      <c r="I5108" s="641">
        <f t="shared" si="1774"/>
        <v>3.47</v>
      </c>
      <c r="J5108" s="549">
        <v>44260</v>
      </c>
      <c r="K5108" s="11"/>
      <c r="M5108" s="339"/>
      <c r="N5108" s="266" t="str">
        <f t="shared" si="1775"/>
        <v>Mai21</v>
      </c>
      <c r="O5108" s="461">
        <v>1.4E-2</v>
      </c>
      <c r="Q5108" s="11">
        <f t="shared" si="1776"/>
        <v>3.58217558655664</v>
      </c>
      <c r="R5108" s="11">
        <f t="shared" si="1777"/>
        <v>3.3269810197043199</v>
      </c>
      <c r="S5108" s="11">
        <f t="shared" si="1778"/>
        <v>2.2400411979259194</v>
      </c>
    </row>
    <row r="5109" spans="1:20" x14ac:dyDescent="0.35">
      <c r="A5109" s="527" t="str">
        <f>"SgK48a2--"&amp;RIGHT(A5108,5)</f>
        <v>SgK48a2--Feb21</v>
      </c>
      <c r="B5109" s="526" t="s">
        <v>5434</v>
      </c>
      <c r="C5109" s="526" t="str">
        <f t="shared" si="1773"/>
        <v>Inbetriebnahme 02/2021</v>
      </c>
      <c r="D5109" s="526" t="str">
        <f t="shared" si="1779"/>
        <v>40 - 750 kW</v>
      </c>
      <c r="E5109" s="526" t="s">
        <v>6317</v>
      </c>
      <c r="F5109" s="639"/>
      <c r="G5109" s="639"/>
      <c r="H5109" s="641"/>
      <c r="I5109" s="641">
        <f t="shared" si="1774"/>
        <v>2.34</v>
      </c>
      <c r="J5109" s="549">
        <v>44260</v>
      </c>
      <c r="K5109" s="11"/>
      <c r="M5109" s="339"/>
      <c r="N5109" s="266" t="str">
        <f t="shared" si="1775"/>
        <v>Jun21</v>
      </c>
      <c r="O5109" s="461">
        <v>1.4E-2</v>
      </c>
      <c r="Q5109" s="11">
        <f t="shared" si="1776"/>
        <v>3.5320251283448472</v>
      </c>
      <c r="R5109" s="11">
        <f t="shared" si="1777"/>
        <v>3.2804032854284593</v>
      </c>
      <c r="S5109" s="11">
        <f t="shared" si="1778"/>
        <v>2.2086806211549566</v>
      </c>
    </row>
    <row r="5110" spans="1:20" x14ac:dyDescent="0.35">
      <c r="A5110" s="527" t="str">
        <f>"SgK48a0--"&amp;RIGHT(N5106,5)</f>
        <v>SgK48a0--Mrz21</v>
      </c>
      <c r="B5110" s="526" t="s">
        <v>5434</v>
      </c>
      <c r="C5110" s="526" t="str">
        <f t="shared" si="1773"/>
        <v>Inbetriebnahme 03/2021</v>
      </c>
      <c r="D5110" s="526" t="str">
        <f t="shared" si="1779"/>
        <v>0 - 10 kW</v>
      </c>
      <c r="E5110" s="526" t="s">
        <v>6317</v>
      </c>
      <c r="F5110" s="639"/>
      <c r="G5110" s="639"/>
      <c r="H5110" s="641"/>
      <c r="I5110" s="641">
        <f t="shared" si="1774"/>
        <v>3.68</v>
      </c>
      <c r="J5110" s="549">
        <v>44260</v>
      </c>
      <c r="K5110" s="11"/>
      <c r="M5110" s="339"/>
      <c r="N5110" s="266" t="str">
        <f t="shared" si="1775"/>
        <v>Jul21</v>
      </c>
      <c r="O5110" s="461">
        <v>1.4E-2</v>
      </c>
      <c r="Q5110" s="11">
        <f t="shared" si="1776"/>
        <v>3.4825767765480191</v>
      </c>
      <c r="R5110" s="11">
        <f t="shared" si="1777"/>
        <v>3.2344776394324608</v>
      </c>
      <c r="S5110" s="11">
        <f t="shared" si="1778"/>
        <v>2.1777590924587873</v>
      </c>
    </row>
    <row r="5111" spans="1:20" x14ac:dyDescent="0.35">
      <c r="A5111" s="527" t="str">
        <f>"SgK48a1--"&amp;RIGHT(A5110,5)</f>
        <v>SgK48a1--Mrz21</v>
      </c>
      <c r="B5111" s="526" t="s">
        <v>5434</v>
      </c>
      <c r="C5111" s="526" t="str">
        <f t="shared" si="1773"/>
        <v>Inbetriebnahme 03/2021</v>
      </c>
      <c r="D5111" s="526" t="str">
        <f t="shared" si="1779"/>
        <v>10 - 40 kW</v>
      </c>
      <c r="E5111" s="526" t="s">
        <v>6317</v>
      </c>
      <c r="F5111" s="639"/>
      <c r="G5111" s="639"/>
      <c r="H5111" s="641"/>
      <c r="I5111" s="641">
        <f t="shared" si="1774"/>
        <v>3.42</v>
      </c>
      <c r="J5111" s="549">
        <v>44260</v>
      </c>
      <c r="K5111" s="11"/>
      <c r="M5111" s="101"/>
      <c r="N5111" s="266" t="str">
        <f t="shared" si="1775"/>
        <v>Aug21</v>
      </c>
      <c r="O5111" s="461">
        <v>1.4E-2</v>
      </c>
      <c r="Q5111" s="11">
        <f t="shared" si="1776"/>
        <v>3.4338207016763467</v>
      </c>
      <c r="R5111" s="11">
        <f t="shared" si="1777"/>
        <v>3.1891949524804062</v>
      </c>
      <c r="S5111" s="11">
        <f t="shared" si="1778"/>
        <v>2.1472704651643642</v>
      </c>
    </row>
    <row r="5112" spans="1:20" x14ac:dyDescent="0.35">
      <c r="A5112" s="527" t="str">
        <f>"SgK48a2--"&amp;RIGHT(A5111,5)</f>
        <v>SgK48a2--Mrz21</v>
      </c>
      <c r="B5112" s="526" t="s">
        <v>5434</v>
      </c>
      <c r="C5112" s="526" t="str">
        <f t="shared" si="1773"/>
        <v>Inbetriebnahme 03/2021</v>
      </c>
      <c r="D5112" s="526" t="str">
        <f t="shared" si="1779"/>
        <v>40 - 750 kW</v>
      </c>
      <c r="E5112" s="526" t="s">
        <v>6317</v>
      </c>
      <c r="F5112" s="639"/>
      <c r="G5112" s="639"/>
      <c r="H5112" s="641"/>
      <c r="I5112" s="641">
        <f t="shared" si="1774"/>
        <v>2.2999999999999998</v>
      </c>
      <c r="J5112" s="549">
        <v>44260</v>
      </c>
      <c r="K5112" s="11"/>
      <c r="N5112" s="266" t="str">
        <f t="shared" si="1775"/>
        <v>Sep21</v>
      </c>
      <c r="O5112" s="461">
        <v>1.4E-2</v>
      </c>
      <c r="Q5112" s="11">
        <f t="shared" si="1776"/>
        <v>3.3857472118528777</v>
      </c>
      <c r="R5112" s="11">
        <f t="shared" si="1777"/>
        <v>3.1445462231456807</v>
      </c>
      <c r="S5112" s="11">
        <f t="shared" si="1778"/>
        <v>2.1172086786520632</v>
      </c>
    </row>
    <row r="5113" spans="1:20" x14ac:dyDescent="0.35">
      <c r="A5113" s="527" t="str">
        <f>"SgK48a0--"&amp;RIGHT(N5107,5)</f>
        <v>SgK48a0--Apr21</v>
      </c>
      <c r="B5113" s="526" t="s">
        <v>5434</v>
      </c>
      <c r="C5113" s="526" t="str">
        <f t="shared" si="1773"/>
        <v>Inbetriebnahme 04/2021</v>
      </c>
      <c r="D5113" s="526" t="str">
        <f t="shared" si="1779"/>
        <v>0 - 10 kW</v>
      </c>
      <c r="E5113" s="526" t="s">
        <v>6317</v>
      </c>
      <c r="F5113" s="639"/>
      <c r="G5113" s="639"/>
      <c r="H5113" s="641"/>
      <c r="I5113" s="641">
        <f t="shared" si="1774"/>
        <v>3.63</v>
      </c>
      <c r="J5113" s="549">
        <v>44260</v>
      </c>
      <c r="K5113" s="11"/>
      <c r="N5113" s="266" t="str">
        <f t="shared" si="1775"/>
        <v>Okt21</v>
      </c>
      <c r="O5113" s="461">
        <v>1.4E-2</v>
      </c>
      <c r="Q5113" s="11">
        <f t="shared" si="1776"/>
        <v>3.3383467508869376</v>
      </c>
      <c r="R5113" s="11">
        <f t="shared" si="1777"/>
        <v>3.1005225760216413</v>
      </c>
      <c r="S5113" s="11">
        <f t="shared" si="1778"/>
        <v>2.0875677571509343</v>
      </c>
    </row>
    <row r="5114" spans="1:20" x14ac:dyDescent="0.35">
      <c r="A5114" s="527" t="str">
        <f>"SgK48a1--"&amp;RIGHT(A5113,5)</f>
        <v>SgK48a1--Apr21</v>
      </c>
      <c r="B5114" s="526" t="s">
        <v>5434</v>
      </c>
      <c r="C5114" s="526" t="str">
        <f t="shared" si="1773"/>
        <v>Inbetriebnahme 04/2021</v>
      </c>
      <c r="D5114" s="526" t="str">
        <f t="shared" si="1779"/>
        <v>10 - 40 kW</v>
      </c>
      <c r="E5114" s="526" t="s">
        <v>6317</v>
      </c>
      <c r="F5114" s="639"/>
      <c r="G5114" s="639"/>
      <c r="H5114" s="641"/>
      <c r="I5114" s="641">
        <f t="shared" si="1774"/>
        <v>3.37</v>
      </c>
      <c r="J5114" s="549">
        <v>44260</v>
      </c>
      <c r="K5114" s="11"/>
      <c r="N5114" s="266" t="str">
        <f t="shared" si="1775"/>
        <v>Nov21</v>
      </c>
      <c r="O5114" s="461">
        <v>1.4E-2</v>
      </c>
      <c r="Q5114" s="11">
        <f t="shared" si="1776"/>
        <v>3.2916098963745202</v>
      </c>
      <c r="R5114" s="11">
        <f t="shared" si="1777"/>
        <v>3.0571152599573383</v>
      </c>
      <c r="S5114" s="11">
        <f t="shared" si="1778"/>
        <v>2.0583418085508214</v>
      </c>
    </row>
    <row r="5115" spans="1:20" x14ac:dyDescent="0.35">
      <c r="A5115" s="527" t="str">
        <f>"SgK48a2--"&amp;RIGHT(A5114,5)</f>
        <v>SgK48a2--Apr21</v>
      </c>
      <c r="B5115" s="526" t="s">
        <v>5434</v>
      </c>
      <c r="C5115" s="526" t="str">
        <f t="shared" si="1773"/>
        <v>Inbetriebnahme 04/2021</v>
      </c>
      <c r="D5115" s="526" t="str">
        <f t="shared" si="1779"/>
        <v>40 - 750 kW</v>
      </c>
      <c r="E5115" s="526" t="s">
        <v>6317</v>
      </c>
      <c r="F5115" s="639"/>
      <c r="G5115" s="639"/>
      <c r="H5115" s="641"/>
      <c r="I5115" s="641">
        <f t="shared" si="1774"/>
        <v>2.27</v>
      </c>
      <c r="J5115" s="549">
        <v>44260</v>
      </c>
      <c r="K5115" s="11"/>
      <c r="N5115" s="266" t="str">
        <f t="shared" si="1775"/>
        <v>Dez21</v>
      </c>
      <c r="O5115" s="461">
        <v>1.4E-2</v>
      </c>
      <c r="Q5115" s="11">
        <f t="shared" si="1776"/>
        <v>3.245527357825277</v>
      </c>
      <c r="R5115" s="11">
        <f t="shared" si="1777"/>
        <v>3.0143156463179355</v>
      </c>
      <c r="S5115" s="11">
        <f t="shared" si="1778"/>
        <v>2.0295250232311099</v>
      </c>
    </row>
    <row r="5116" spans="1:20" x14ac:dyDescent="0.35">
      <c r="A5116" s="527" t="str">
        <f>"SgK48a0--"&amp;RIGHT(N5108,5)</f>
        <v>SgK48a0--Mai21</v>
      </c>
      <c r="B5116" s="526" t="s">
        <v>5434</v>
      </c>
      <c r="C5116" s="526" t="str">
        <f t="shared" si="1773"/>
        <v>Inbetriebnahme 05/2021</v>
      </c>
      <c r="D5116" s="526" t="str">
        <f t="shared" si="1779"/>
        <v>0 - 10 kW</v>
      </c>
      <c r="E5116" s="526" t="s">
        <v>6317</v>
      </c>
      <c r="F5116" s="639"/>
      <c r="G5116" s="639"/>
      <c r="H5116" s="641"/>
      <c r="I5116" s="641">
        <f t="shared" si="1774"/>
        <v>3.58</v>
      </c>
      <c r="J5116" s="549">
        <v>44351</v>
      </c>
      <c r="K5116" s="11"/>
      <c r="M5116" s="339"/>
      <c r="N5116" s="108"/>
      <c r="O5116" s="266"/>
      <c r="P5116" s="260"/>
      <c r="Q5116" s="261"/>
      <c r="R5116" s="261"/>
      <c r="S5116" s="261"/>
      <c r="T5116" s="261"/>
    </row>
    <row r="5117" spans="1:20" x14ac:dyDescent="0.35">
      <c r="A5117" s="527" t="str">
        <f>"SgK48a1--"&amp;RIGHT(A5116,5)</f>
        <v>SgK48a1--Mai21</v>
      </c>
      <c r="B5117" s="526" t="s">
        <v>5434</v>
      </c>
      <c r="C5117" s="526" t="str">
        <f t="shared" si="1773"/>
        <v>Inbetriebnahme 05/2021</v>
      </c>
      <c r="D5117" s="526" t="str">
        <f t="shared" si="1779"/>
        <v>10 - 40 kW</v>
      </c>
      <c r="E5117" s="526" t="s">
        <v>6317</v>
      </c>
      <c r="F5117" s="639"/>
      <c r="G5117" s="639"/>
      <c r="H5117" s="641"/>
      <c r="I5117" s="641">
        <f t="shared" si="1774"/>
        <v>3.33</v>
      </c>
      <c r="J5117" s="549">
        <v>44351</v>
      </c>
      <c r="K5117" s="11"/>
      <c r="M5117" s="339"/>
      <c r="N5117" s="108"/>
      <c r="O5117" s="266"/>
      <c r="P5117" s="260"/>
      <c r="Q5117" s="261"/>
      <c r="R5117" s="261"/>
      <c r="S5117" s="261"/>
      <c r="T5117" s="261"/>
    </row>
    <row r="5118" spans="1:20" x14ac:dyDescent="0.35">
      <c r="A5118" s="527" t="str">
        <f>"SgK48a2--"&amp;RIGHT(A5117,5)</f>
        <v>SgK48a2--Mai21</v>
      </c>
      <c r="B5118" s="526" t="s">
        <v>5434</v>
      </c>
      <c r="C5118" s="526" t="str">
        <f t="shared" si="1773"/>
        <v>Inbetriebnahme 05/2021</v>
      </c>
      <c r="D5118" s="526" t="str">
        <f t="shared" si="1779"/>
        <v>40 - 750 kW</v>
      </c>
      <c r="E5118" s="526" t="s">
        <v>6317</v>
      </c>
      <c r="F5118" s="639"/>
      <c r="G5118" s="639"/>
      <c r="H5118" s="641"/>
      <c r="I5118" s="641">
        <f t="shared" si="1774"/>
        <v>2.2400000000000002</v>
      </c>
      <c r="J5118" s="549">
        <v>44351</v>
      </c>
      <c r="K5118" s="11"/>
      <c r="L5118" s="102"/>
      <c r="M5118" s="339"/>
      <c r="N5118" s="108"/>
      <c r="O5118" s="266"/>
      <c r="P5118" s="260"/>
      <c r="Q5118" s="261"/>
      <c r="R5118" s="261"/>
      <c r="S5118" s="261"/>
      <c r="T5118" s="261"/>
    </row>
    <row r="5119" spans="1:20" x14ac:dyDescent="0.35">
      <c r="A5119" s="527" t="str">
        <f>"SgK48a0--"&amp;RIGHT(N5109,5)</f>
        <v>SgK48a0--Jun21</v>
      </c>
      <c r="B5119" s="526" t="s">
        <v>5434</v>
      </c>
      <c r="C5119" s="526" t="str">
        <f t="shared" si="1773"/>
        <v>Inbetriebnahme 06/2021</v>
      </c>
      <c r="D5119" s="526" t="str">
        <f t="shared" si="1779"/>
        <v>0 - 10 kW</v>
      </c>
      <c r="E5119" s="526" t="s">
        <v>6317</v>
      </c>
      <c r="F5119" s="639"/>
      <c r="G5119" s="639"/>
      <c r="H5119" s="641"/>
      <c r="I5119" s="641">
        <f t="shared" si="1774"/>
        <v>3.53</v>
      </c>
      <c r="J5119" s="549">
        <v>44351</v>
      </c>
      <c r="K5119" s="11"/>
      <c r="L5119" s="102"/>
      <c r="M5119" s="339"/>
      <c r="N5119" s="108"/>
      <c r="O5119" s="266"/>
      <c r="P5119" s="260"/>
      <c r="Q5119" s="261"/>
      <c r="R5119" s="261"/>
      <c r="S5119" s="261"/>
      <c r="T5119" s="261"/>
    </row>
    <row r="5120" spans="1:20" x14ac:dyDescent="0.35">
      <c r="A5120" s="527" t="str">
        <f>"SgK48a1--"&amp;RIGHT(A5119,5)</f>
        <v>SgK48a1--Jun21</v>
      </c>
      <c r="B5120" s="526" t="s">
        <v>5434</v>
      </c>
      <c r="C5120" s="526" t="str">
        <f t="shared" si="1773"/>
        <v>Inbetriebnahme 06/2021</v>
      </c>
      <c r="D5120" s="526" t="str">
        <f t="shared" si="1779"/>
        <v>10 - 40 kW</v>
      </c>
      <c r="E5120" s="526" t="s">
        <v>6317</v>
      </c>
      <c r="F5120" s="639"/>
      <c r="G5120" s="639"/>
      <c r="H5120" s="641"/>
      <c r="I5120" s="641">
        <f t="shared" si="1774"/>
        <v>3.28</v>
      </c>
      <c r="J5120" s="549">
        <v>44351</v>
      </c>
      <c r="K5120" s="11"/>
      <c r="L5120" s="102"/>
      <c r="M5120" s="339"/>
      <c r="N5120" s="108"/>
      <c r="O5120" s="266"/>
      <c r="P5120" s="260"/>
      <c r="Q5120" s="261"/>
      <c r="R5120" s="261"/>
      <c r="S5120" s="261"/>
      <c r="T5120" s="261"/>
    </row>
    <row r="5121" spans="1:24" x14ac:dyDescent="0.35">
      <c r="A5121" s="527" t="str">
        <f>"SgK48a2--"&amp;RIGHT(A5120,5)</f>
        <v>SgK48a2--Jun21</v>
      </c>
      <c r="B5121" s="526" t="s">
        <v>5434</v>
      </c>
      <c r="C5121" s="526" t="str">
        <f t="shared" si="1773"/>
        <v>Inbetriebnahme 06/2021</v>
      </c>
      <c r="D5121" s="526" t="str">
        <f t="shared" si="1779"/>
        <v>40 - 750 kW</v>
      </c>
      <c r="E5121" s="526" t="s">
        <v>6317</v>
      </c>
      <c r="F5121" s="639"/>
      <c r="G5121" s="639"/>
      <c r="H5121" s="641"/>
      <c r="I5121" s="641">
        <f t="shared" si="1774"/>
        <v>2.21</v>
      </c>
      <c r="J5121" s="549">
        <v>44351</v>
      </c>
      <c r="K5121" s="11"/>
      <c r="L5121" s="102"/>
      <c r="M5121" s="339"/>
      <c r="N5121" s="108"/>
      <c r="O5121" s="266"/>
      <c r="P5121" s="277"/>
      <c r="Q5121" s="261"/>
      <c r="R5121" s="261"/>
      <c r="S5121" s="261"/>
      <c r="T5121" s="261"/>
    </row>
    <row r="5122" spans="1:24" x14ac:dyDescent="0.35">
      <c r="A5122" s="527" t="str">
        <f>"SgK48a0--"&amp;RIGHT(N5110,5)</f>
        <v>SgK48a0--Jul21</v>
      </c>
      <c r="B5122" s="526" t="s">
        <v>5434</v>
      </c>
      <c r="C5122" s="526" t="str">
        <f t="shared" si="1773"/>
        <v>Inbetriebnahme 07/2021</v>
      </c>
      <c r="D5122" s="526" t="str">
        <f t="shared" si="1779"/>
        <v>0 - 10 kW</v>
      </c>
      <c r="E5122" s="526" t="s">
        <v>6317</v>
      </c>
      <c r="F5122" s="639"/>
      <c r="G5122" s="639"/>
      <c r="H5122" s="641"/>
      <c r="I5122" s="641">
        <f t="shared" si="1774"/>
        <v>3.48</v>
      </c>
      <c r="J5122" s="549">
        <v>44351</v>
      </c>
      <c r="K5122" s="11"/>
      <c r="L5122" s="102"/>
      <c r="M5122" s="339"/>
      <c r="N5122" s="108"/>
      <c r="O5122" s="259"/>
    </row>
    <row r="5123" spans="1:24" x14ac:dyDescent="0.35">
      <c r="A5123" s="527" t="str">
        <f>"SgK48a1--"&amp;RIGHT(A5122,5)</f>
        <v>SgK48a1--Jul21</v>
      </c>
      <c r="B5123" s="526" t="s">
        <v>5434</v>
      </c>
      <c r="C5123" s="526" t="str">
        <f t="shared" si="1773"/>
        <v>Inbetriebnahme 07/2021</v>
      </c>
      <c r="D5123" s="526" t="str">
        <f t="shared" si="1779"/>
        <v>10 - 40 kW</v>
      </c>
      <c r="E5123" s="526" t="s">
        <v>6317</v>
      </c>
      <c r="F5123" s="639"/>
      <c r="G5123" s="639"/>
      <c r="H5123" s="641"/>
      <c r="I5123" s="641">
        <f t="shared" si="1774"/>
        <v>3.23</v>
      </c>
      <c r="J5123" s="549">
        <v>44351</v>
      </c>
      <c r="K5123" s="11"/>
      <c r="L5123" s="102"/>
      <c r="M5123" s="339"/>
      <c r="O5123" s="259"/>
    </row>
    <row r="5124" spans="1:24" x14ac:dyDescent="0.35">
      <c r="A5124" s="527" t="str">
        <f>"SgK48a2--"&amp;RIGHT(A5123,5)</f>
        <v>SgK48a2--Jul21</v>
      </c>
      <c r="B5124" s="526" t="s">
        <v>5434</v>
      </c>
      <c r="C5124" s="526" t="str">
        <f t="shared" si="1773"/>
        <v>Inbetriebnahme 07/2021</v>
      </c>
      <c r="D5124" s="526" t="str">
        <f t="shared" si="1779"/>
        <v>40 - 750 kW</v>
      </c>
      <c r="E5124" s="526" t="s">
        <v>6317</v>
      </c>
      <c r="F5124" s="639"/>
      <c r="G5124" s="639"/>
      <c r="H5124" s="641"/>
      <c r="I5124" s="641">
        <f t="shared" si="1774"/>
        <v>2.1800000000000002</v>
      </c>
      <c r="J5124" s="549">
        <v>44351</v>
      </c>
      <c r="K5124" s="11"/>
      <c r="L5124" s="102"/>
      <c r="M5124" s="339"/>
      <c r="O5124" s="259"/>
    </row>
    <row r="5125" spans="1:24" x14ac:dyDescent="0.35">
      <c r="A5125" s="527" t="str">
        <f>"SgK48a0--"&amp;RIGHT(N5111,5)</f>
        <v>SgK48a0--Aug21</v>
      </c>
      <c r="B5125" s="526" t="s">
        <v>5434</v>
      </c>
      <c r="C5125" s="526" t="str">
        <f t="shared" si="1773"/>
        <v>Inbetriebnahme 08/2021</v>
      </c>
      <c r="D5125" s="526" t="str">
        <f t="shared" si="1779"/>
        <v>0 - 10 kW</v>
      </c>
      <c r="E5125" s="526" t="s">
        <v>6317</v>
      </c>
      <c r="F5125" s="639"/>
      <c r="G5125" s="639"/>
      <c r="H5125" s="641"/>
      <c r="I5125" s="641">
        <f t="shared" si="1774"/>
        <v>3.43</v>
      </c>
      <c r="J5125" s="549">
        <v>44424</v>
      </c>
      <c r="K5125" s="11"/>
      <c r="L5125" s="102"/>
      <c r="M5125" s="339"/>
      <c r="O5125" s="259"/>
    </row>
    <row r="5126" spans="1:24" x14ac:dyDescent="0.35">
      <c r="A5126" s="527" t="str">
        <f>"SgK48a1--"&amp;RIGHT(A5125,5)</f>
        <v>SgK48a1--Aug21</v>
      </c>
      <c r="B5126" s="526" t="s">
        <v>5434</v>
      </c>
      <c r="C5126" s="526" t="str">
        <f t="shared" si="1773"/>
        <v>Inbetriebnahme 08/2021</v>
      </c>
      <c r="D5126" s="526" t="str">
        <f t="shared" si="1779"/>
        <v>10 - 40 kW</v>
      </c>
      <c r="E5126" s="526" t="s">
        <v>6317</v>
      </c>
      <c r="F5126" s="639"/>
      <c r="G5126" s="639"/>
      <c r="H5126" s="641"/>
      <c r="I5126" s="641">
        <f t="shared" si="1774"/>
        <v>3.19</v>
      </c>
      <c r="J5126" s="549">
        <v>44424</v>
      </c>
      <c r="K5126" s="11"/>
      <c r="L5126" s="102"/>
      <c r="M5126" s="339"/>
      <c r="O5126" s="259"/>
    </row>
    <row r="5127" spans="1:24" x14ac:dyDescent="0.35">
      <c r="A5127" s="527" t="str">
        <f>"SgK48a2--"&amp;RIGHT(A5126,5)</f>
        <v>SgK48a2--Aug21</v>
      </c>
      <c r="B5127" s="526" t="s">
        <v>5434</v>
      </c>
      <c r="C5127" s="526" t="str">
        <f t="shared" si="1773"/>
        <v>Inbetriebnahme 08/2021</v>
      </c>
      <c r="D5127" s="526" t="str">
        <f t="shared" si="1779"/>
        <v>40 - 750 kW</v>
      </c>
      <c r="E5127" s="526" t="s">
        <v>6317</v>
      </c>
      <c r="F5127" s="639"/>
      <c r="G5127" s="639"/>
      <c r="H5127" s="641"/>
      <c r="I5127" s="641">
        <f t="shared" si="1774"/>
        <v>2.15</v>
      </c>
      <c r="J5127" s="549">
        <v>44424</v>
      </c>
      <c r="M5127" s="339"/>
      <c r="O5127" s="259"/>
    </row>
    <row r="5128" spans="1:24" x14ac:dyDescent="0.35">
      <c r="A5128" s="527" t="str">
        <f>"SgK48a0--"&amp;RIGHT(N5112,5)</f>
        <v>SgK48a0--Sep21</v>
      </c>
      <c r="B5128" s="526" t="s">
        <v>5434</v>
      </c>
      <c r="C5128" s="526" t="str">
        <f t="shared" si="1773"/>
        <v>Inbetriebnahme 09/2021</v>
      </c>
      <c r="D5128" s="526" t="str">
        <f t="shared" si="1779"/>
        <v>0 - 10 kW</v>
      </c>
      <c r="E5128" s="526" t="s">
        <v>6317</v>
      </c>
      <c r="F5128" s="639"/>
      <c r="G5128" s="639"/>
      <c r="H5128" s="641"/>
      <c r="I5128" s="641">
        <f t="shared" si="1774"/>
        <v>3.39</v>
      </c>
      <c r="J5128" s="549">
        <v>44424</v>
      </c>
    </row>
    <row r="5129" spans="1:24" x14ac:dyDescent="0.35">
      <c r="A5129" s="527" t="str">
        <f>"SgK48a1--"&amp;RIGHT(A5128,5)</f>
        <v>SgK48a1--Sep21</v>
      </c>
      <c r="B5129" s="526" t="s">
        <v>5434</v>
      </c>
      <c r="C5129" s="526" t="str">
        <f t="shared" si="1773"/>
        <v>Inbetriebnahme 09/2021</v>
      </c>
      <c r="D5129" s="526" t="str">
        <f t="shared" si="1779"/>
        <v>10 - 40 kW</v>
      </c>
      <c r="E5129" s="526" t="s">
        <v>6317</v>
      </c>
      <c r="F5129" s="639"/>
      <c r="G5129" s="639"/>
      <c r="H5129" s="641"/>
      <c r="I5129" s="641">
        <f t="shared" si="1774"/>
        <v>3.14</v>
      </c>
      <c r="J5129" s="549">
        <v>44424</v>
      </c>
    </row>
    <row r="5130" spans="1:24" x14ac:dyDescent="0.35">
      <c r="A5130" s="527" t="str">
        <f>"SgK48a2--"&amp;RIGHT(A5129,5)</f>
        <v>SgK48a2--Sep21</v>
      </c>
      <c r="B5130" s="526" t="s">
        <v>5434</v>
      </c>
      <c r="C5130" s="526" t="str">
        <f t="shared" si="1773"/>
        <v>Inbetriebnahme 09/2021</v>
      </c>
      <c r="D5130" s="526" t="str">
        <f t="shared" si="1779"/>
        <v>40 - 750 kW</v>
      </c>
      <c r="E5130" s="526" t="s">
        <v>6317</v>
      </c>
      <c r="F5130" s="639"/>
      <c r="G5130" s="639"/>
      <c r="H5130" s="641"/>
      <c r="I5130" s="641">
        <f t="shared" si="1774"/>
        <v>2.12</v>
      </c>
      <c r="J5130" s="549">
        <v>44424</v>
      </c>
    </row>
    <row r="5131" spans="1:24" x14ac:dyDescent="0.35">
      <c r="A5131" s="527" t="str">
        <f>"SgK48a0--"&amp;RIGHT(N5113,5)</f>
        <v>SgK48a0--Okt21</v>
      </c>
      <c r="B5131" s="526" t="s">
        <v>5434</v>
      </c>
      <c r="C5131" s="526" t="str">
        <f t="shared" si="1773"/>
        <v>Inbetriebnahme 10/2021</v>
      </c>
      <c r="D5131" s="526" t="str">
        <f t="shared" si="1779"/>
        <v>0 - 10 kW</v>
      </c>
      <c r="E5131" s="526" t="s">
        <v>6317</v>
      </c>
      <c r="F5131" s="639"/>
      <c r="G5131" s="639"/>
      <c r="H5131" s="641"/>
      <c r="I5131" s="641">
        <f t="shared" si="1774"/>
        <v>3.34</v>
      </c>
      <c r="J5131" s="549">
        <v>44424</v>
      </c>
      <c r="O5131" s="322"/>
      <c r="P5131" s="261" t="str">
        <f>IF($O5131&lt;&gt;"",(1-$O5131)*#REF!,"")</f>
        <v/>
      </c>
      <c r="Q5131" s="261" t="str">
        <f>IF($O5131&lt;&gt;"",(1-$O5131)*#REF!,"")</f>
        <v/>
      </c>
      <c r="R5131" s="261" t="str">
        <f>IF($O5131&lt;&gt;"",(1-$O5131)*#REF!,"")</f>
        <v/>
      </c>
      <c r="S5131" s="261" t="str">
        <f>IF($O5131&lt;&gt;"",(1-$O5131)*#REF!,"")</f>
        <v/>
      </c>
      <c r="U5131" s="261" t="str">
        <f>IF($O5131&lt;&gt;"",(1-$O5131)*#REF!,"")</f>
        <v/>
      </c>
      <c r="V5131" s="261" t="str">
        <f>IF($O5131&lt;&gt;"",(1-$O5131)*#REF!,"")</f>
        <v/>
      </c>
      <c r="W5131" s="261" t="str">
        <f>IF($O5131&lt;&gt;"",(1-$O5131)*#REF!,"")</f>
        <v/>
      </c>
      <c r="X5131" s="261" t="str">
        <f>IF($O5131&lt;&gt;"",(1-$O5131)*#REF!,"")</f>
        <v/>
      </c>
    </row>
    <row r="5132" spans="1:24" x14ac:dyDescent="0.35">
      <c r="A5132" s="527" t="str">
        <f>"SgK48a1--"&amp;RIGHT(A5131,5)</f>
        <v>SgK48a1--Okt21</v>
      </c>
      <c r="B5132" s="526" t="s">
        <v>5434</v>
      </c>
      <c r="C5132" s="526" t="str">
        <f t="shared" si="1773"/>
        <v>Inbetriebnahme 10/2021</v>
      </c>
      <c r="D5132" s="526" t="str">
        <f t="shared" si="1779"/>
        <v>10 - 40 kW</v>
      </c>
      <c r="E5132" s="526" t="s">
        <v>6317</v>
      </c>
      <c r="F5132" s="639"/>
      <c r="G5132" s="639"/>
      <c r="H5132" s="641"/>
      <c r="I5132" s="641">
        <f t="shared" si="1774"/>
        <v>3.1</v>
      </c>
      <c r="J5132" s="549">
        <v>44424</v>
      </c>
      <c r="O5132" s="322"/>
      <c r="P5132" s="261" t="str">
        <f>IF($O5132&lt;&gt;"",(1-$O5132)*#REF!,"")</f>
        <v/>
      </c>
      <c r="Q5132" s="261" t="str">
        <f>IF($O5132&lt;&gt;"",(1-$O5132)*#REF!,"")</f>
        <v/>
      </c>
      <c r="R5132" s="261" t="str">
        <f>IF($O5132&lt;&gt;"",(1-$O5132)*#REF!,"")</f>
        <v/>
      </c>
      <c r="S5132" s="261" t="str">
        <f>IF($O5132&lt;&gt;"",(1-$O5132)*#REF!,"")</f>
        <v/>
      </c>
      <c r="U5132" s="261" t="str">
        <f>IF($O5132&lt;&gt;"",(1-$O5132)*#REF!,"")</f>
        <v/>
      </c>
      <c r="V5132" s="261" t="str">
        <f>IF($O5132&lt;&gt;"",(1-$O5132)*#REF!,"")</f>
        <v/>
      </c>
      <c r="W5132" s="261" t="str">
        <f>IF($O5132&lt;&gt;"",(1-$O5132)*#REF!,"")</f>
        <v/>
      </c>
      <c r="X5132" s="261" t="str">
        <f>IF($O5132&lt;&gt;"",(1-$O5132)*#REF!,"")</f>
        <v/>
      </c>
    </row>
    <row r="5133" spans="1:24" x14ac:dyDescent="0.35">
      <c r="A5133" s="527" t="str">
        <f>"SgK48a2--"&amp;RIGHT(A5132,5)</f>
        <v>SgK48a2--Okt21</v>
      </c>
      <c r="B5133" s="526" t="s">
        <v>5434</v>
      </c>
      <c r="C5133" s="526" t="str">
        <f t="shared" si="1773"/>
        <v>Inbetriebnahme 10/2021</v>
      </c>
      <c r="D5133" s="526" t="str">
        <f t="shared" si="1779"/>
        <v>40 - 750 kW</v>
      </c>
      <c r="E5133" s="526" t="s">
        <v>6317</v>
      </c>
      <c r="F5133" s="639"/>
      <c r="G5133" s="639"/>
      <c r="H5133" s="641"/>
      <c r="I5133" s="641">
        <f t="shared" si="1774"/>
        <v>2.09</v>
      </c>
      <c r="J5133" s="549">
        <v>44424</v>
      </c>
      <c r="O5133" s="322"/>
      <c r="P5133" s="261"/>
      <c r="Q5133" s="261"/>
      <c r="R5133" s="261"/>
      <c r="S5133" s="261"/>
      <c r="U5133" s="261"/>
      <c r="V5133" s="261"/>
      <c r="W5133" s="261"/>
      <c r="X5133" s="261"/>
    </row>
    <row r="5134" spans="1:24" x14ac:dyDescent="0.35">
      <c r="A5134" s="527" t="str">
        <f>"SgK48a0--"&amp;RIGHT(N5114,5)</f>
        <v>SgK48a0--Nov21</v>
      </c>
      <c r="B5134" s="526" t="s">
        <v>5434</v>
      </c>
      <c r="C5134" s="526" t="str">
        <f t="shared" si="1773"/>
        <v>Inbetriebnahme 11/2021</v>
      </c>
      <c r="D5134" s="526" t="str">
        <f t="shared" si="1779"/>
        <v>0 - 10 kW</v>
      </c>
      <c r="E5134" s="526" t="s">
        <v>6317</v>
      </c>
      <c r="F5134" s="639"/>
      <c r="G5134" s="639"/>
      <c r="H5134" s="641"/>
      <c r="I5134" s="641">
        <f t="shared" si="1774"/>
        <v>3.29</v>
      </c>
      <c r="J5134" s="549">
        <v>44511</v>
      </c>
      <c r="O5134" s="322"/>
      <c r="P5134" s="261"/>
      <c r="Q5134" s="261"/>
      <c r="R5134" s="261"/>
      <c r="S5134" s="261"/>
      <c r="U5134" s="261"/>
      <c r="V5134" s="261"/>
      <c r="W5134" s="261"/>
      <c r="X5134" s="261"/>
    </row>
    <row r="5135" spans="1:24" x14ac:dyDescent="0.35">
      <c r="A5135" s="527" t="str">
        <f>"SgK48a1--"&amp;RIGHT(A5134,5)</f>
        <v>SgK48a1--Nov21</v>
      </c>
      <c r="B5135" s="526" t="s">
        <v>5434</v>
      </c>
      <c r="C5135" s="526" t="str">
        <f t="shared" si="1773"/>
        <v>Inbetriebnahme 11/2021</v>
      </c>
      <c r="D5135" s="526" t="str">
        <f t="shared" si="1779"/>
        <v>10 - 40 kW</v>
      </c>
      <c r="E5135" s="526" t="s">
        <v>6317</v>
      </c>
      <c r="F5135" s="639"/>
      <c r="G5135" s="639"/>
      <c r="H5135" s="641"/>
      <c r="I5135" s="641">
        <f t="shared" si="1774"/>
        <v>3.06</v>
      </c>
      <c r="J5135" s="549">
        <v>44511</v>
      </c>
      <c r="O5135" s="322"/>
      <c r="P5135" s="261"/>
      <c r="Q5135" s="261"/>
      <c r="R5135" s="261"/>
      <c r="S5135" s="261"/>
      <c r="U5135" s="261"/>
      <c r="V5135" s="261"/>
      <c r="W5135" s="261"/>
      <c r="X5135" s="261"/>
    </row>
    <row r="5136" spans="1:24" x14ac:dyDescent="0.35">
      <c r="A5136" s="527" t="str">
        <f>"SgK48a2--"&amp;RIGHT(A5135,5)</f>
        <v>SgK48a2--Nov21</v>
      </c>
      <c r="B5136" s="526" t="s">
        <v>5434</v>
      </c>
      <c r="C5136" s="526" t="str">
        <f t="shared" si="1773"/>
        <v>Inbetriebnahme 11/2021</v>
      </c>
      <c r="D5136" s="526" t="str">
        <f t="shared" si="1779"/>
        <v>40 - 750 kW</v>
      </c>
      <c r="E5136" s="526" t="s">
        <v>6317</v>
      </c>
      <c r="F5136" s="639"/>
      <c r="G5136" s="639"/>
      <c r="H5136" s="641"/>
      <c r="I5136" s="641">
        <f t="shared" si="1774"/>
        <v>2.06</v>
      </c>
      <c r="J5136" s="549">
        <v>44511</v>
      </c>
      <c r="O5136" s="322"/>
      <c r="P5136" s="261"/>
      <c r="Q5136" s="261"/>
      <c r="R5136" s="261"/>
      <c r="S5136" s="261"/>
      <c r="U5136" s="261"/>
      <c r="V5136" s="261"/>
      <c r="W5136" s="261"/>
      <c r="X5136" s="261"/>
    </row>
    <row r="5137" spans="1:24" x14ac:dyDescent="0.35">
      <c r="A5137" s="527" t="str">
        <f>"SgK48a0--"&amp;RIGHT(N5115,5)</f>
        <v>SgK48a0--Dez21</v>
      </c>
      <c r="B5137" s="526" t="s">
        <v>5434</v>
      </c>
      <c r="C5137" s="526" t="str">
        <f t="shared" si="1773"/>
        <v>Inbetriebnahme 12/2021</v>
      </c>
      <c r="D5137" s="526" t="str">
        <f t="shared" si="1779"/>
        <v>0 - 10 kW</v>
      </c>
      <c r="E5137" s="526" t="s">
        <v>6317</v>
      </c>
      <c r="F5137" s="639"/>
      <c r="G5137" s="639"/>
      <c r="H5137" s="641"/>
      <c r="I5137" s="641">
        <f t="shared" si="1774"/>
        <v>3.25</v>
      </c>
      <c r="J5137" s="549">
        <v>44511</v>
      </c>
      <c r="O5137" s="322"/>
      <c r="P5137" s="261" t="str">
        <f>IF($O5137&lt;&gt;"",(1-$O5137)*#REF!,"")</f>
        <v/>
      </c>
      <c r="Q5137" s="261" t="str">
        <f>IF($O5137&lt;&gt;"",(1-$O5137)*#REF!,"")</f>
        <v/>
      </c>
      <c r="R5137" s="261" t="str">
        <f>IF($O5137&lt;&gt;"",(1-$O5137)*#REF!,"")</f>
        <v/>
      </c>
      <c r="S5137" s="261" t="str">
        <f>IF($O5137&lt;&gt;"",(1-$O5137)*#REF!,"")</f>
        <v/>
      </c>
      <c r="U5137" s="261" t="str">
        <f>IF($O5137&lt;&gt;"",(1-$O5137)*#REF!,"")</f>
        <v/>
      </c>
      <c r="V5137" s="261" t="str">
        <f>IF($O5137&lt;&gt;"",(1-$O5137)*#REF!,"")</f>
        <v/>
      </c>
      <c r="W5137" s="261" t="str">
        <f>IF($O5137&lt;&gt;"",(1-$O5137)*#REF!,"")</f>
        <v/>
      </c>
      <c r="X5137" s="261" t="str">
        <f>IF($O5137&lt;&gt;"",(1-$O5137)*#REF!,"")</f>
        <v/>
      </c>
    </row>
    <row r="5138" spans="1:24" x14ac:dyDescent="0.35">
      <c r="A5138" s="527" t="str">
        <f>"SgK48a1--"&amp;RIGHT(A5137,5)</f>
        <v>SgK48a1--Dez21</v>
      </c>
      <c r="B5138" s="526" t="s">
        <v>5434</v>
      </c>
      <c r="C5138" s="526" t="str">
        <f t="shared" si="1773"/>
        <v>Inbetriebnahme 12/2021</v>
      </c>
      <c r="D5138" s="526" t="str">
        <f t="shared" si="1779"/>
        <v>10 - 40 kW</v>
      </c>
      <c r="E5138" s="526" t="s">
        <v>6317</v>
      </c>
      <c r="F5138" s="639"/>
      <c r="G5138" s="639"/>
      <c r="H5138" s="641"/>
      <c r="I5138" s="641">
        <f t="shared" si="1774"/>
        <v>3.01</v>
      </c>
      <c r="J5138" s="549">
        <v>44511</v>
      </c>
      <c r="O5138" s="322"/>
      <c r="P5138" s="261" t="str">
        <f>IF($O5138&lt;&gt;"",(1-$O5138)*#REF!,"")</f>
        <v/>
      </c>
      <c r="Q5138" s="261" t="str">
        <f>IF($O5138&lt;&gt;"",(1-$O5138)*#REF!,"")</f>
        <v/>
      </c>
      <c r="R5138" s="261" t="str">
        <f>IF($O5138&lt;&gt;"",(1-$O5138)*#REF!,"")</f>
        <v/>
      </c>
      <c r="S5138" s="261" t="str">
        <f>IF($O5138&lt;&gt;"",(1-$O5138)*#REF!,"")</f>
        <v/>
      </c>
      <c r="U5138" s="261" t="str">
        <f>IF($O5138&lt;&gt;"",(1-$O5138)*#REF!,"")</f>
        <v/>
      </c>
      <c r="V5138" s="261" t="str">
        <f>IF($O5138&lt;&gt;"",(1-$O5138)*#REF!,"")</f>
        <v/>
      </c>
      <c r="W5138" s="261" t="str">
        <f>IF($O5138&lt;&gt;"",(1-$O5138)*#REF!,"")</f>
        <v/>
      </c>
      <c r="X5138" s="261" t="str">
        <f>IF($O5138&lt;&gt;"",(1-$O5138)*#REF!,"")</f>
        <v/>
      </c>
    </row>
    <row r="5139" spans="1:24" ht="14.25" customHeight="1" x14ac:dyDescent="0.35">
      <c r="A5139" s="527" t="str">
        <f>"SgK48a2--"&amp;RIGHT(A5138,5)</f>
        <v>SgK48a2--Dez21</v>
      </c>
      <c r="B5139" s="526" t="s">
        <v>5434</v>
      </c>
      <c r="C5139" s="526" t="str">
        <f t="shared" si="1773"/>
        <v>Inbetriebnahme 12/2021</v>
      </c>
      <c r="D5139" s="526" t="str">
        <f t="shared" si="1779"/>
        <v>40 - 750 kW</v>
      </c>
      <c r="E5139" s="526" t="s">
        <v>6317</v>
      </c>
      <c r="F5139" s="639"/>
      <c r="G5139" s="639"/>
      <c r="H5139" s="641"/>
      <c r="I5139" s="641">
        <f t="shared" si="1774"/>
        <v>2.0299999999999998</v>
      </c>
      <c r="J5139" s="549">
        <v>44511</v>
      </c>
      <c r="O5139" s="322"/>
      <c r="P5139" s="261" t="str">
        <f>IF($O5139&lt;&gt;"",(1-$O5139)*P5137,"")</f>
        <v/>
      </c>
      <c r="Q5139" s="261" t="str">
        <f>IF($O5139&lt;&gt;"",(1-$O5139)*Q5137,"")</f>
        <v/>
      </c>
      <c r="R5139" s="261" t="str">
        <f>IF($O5139&lt;&gt;"",(1-$O5139)*R5137,"")</f>
        <v/>
      </c>
      <c r="S5139" s="261" t="str">
        <f>IF($O5139&lt;&gt;"",(1-$O5139)*S5137,"")</f>
        <v/>
      </c>
      <c r="U5139" s="261" t="str">
        <f>IF($O5139&lt;&gt;"",(1-$O5139)*U5137,"")</f>
        <v/>
      </c>
      <c r="V5139" s="261" t="str">
        <f>IF($O5139&lt;&gt;"",(1-$O5139)*V5137,"")</f>
        <v/>
      </c>
      <c r="W5139" s="261" t="str">
        <f>IF($O5139&lt;&gt;"",(1-$O5139)*W5137,"")</f>
        <v/>
      </c>
      <c r="X5139" s="261" t="str">
        <f>IF($O5139&lt;&gt;"",(1-$O5139)*X5137,"")</f>
        <v/>
      </c>
    </row>
    <row r="5140" spans="1:24" x14ac:dyDescent="0.35">
      <c r="A5140" s="496"/>
      <c r="B5140" s="1"/>
      <c r="C5140" s="1"/>
      <c r="D5140" s="1"/>
      <c r="E5140" s="1"/>
      <c r="F5140" s="362"/>
      <c r="G5140" s="10"/>
      <c r="H5140" s="10"/>
      <c r="I5140" s="566"/>
      <c r="J5140" s="549" t="s">
        <v>4179</v>
      </c>
      <c r="K5140" s="11"/>
      <c r="N5140" s="109" t="s">
        <v>3901</v>
      </c>
      <c r="O5140" s="29" t="s">
        <v>5489</v>
      </c>
      <c r="P5140" t="s">
        <v>6317</v>
      </c>
      <c r="Q5140" t="s">
        <v>3918</v>
      </c>
      <c r="R5140" t="s">
        <v>3919</v>
      </c>
      <c r="S5140" t="s">
        <v>7439</v>
      </c>
    </row>
    <row r="5141" spans="1:24" x14ac:dyDescent="0.35">
      <c r="A5141" s="527" t="str">
        <f>"SgK48a0--"&amp;RIGHT(N5141,5)</f>
        <v>SgK48a0--Jan22</v>
      </c>
      <c r="B5141" s="526" t="s">
        <v>5434</v>
      </c>
      <c r="C5141" s="526" t="str">
        <f t="shared" ref="C5141:C5176" si="1780">"Inbetriebnahme "&amp;TEXT(DATEVALUE(RIGHT(A5141,5)),"MM/JJJJ")</f>
        <v>Inbetriebnahme 01/2022</v>
      </c>
      <c r="D5141" s="526" t="str">
        <f>$Q$4687</f>
        <v>0 - 10 kW</v>
      </c>
      <c r="E5141" s="526" t="s">
        <v>6317</v>
      </c>
      <c r="F5141" s="639"/>
      <c r="G5141" s="639"/>
      <c r="H5141" s="641"/>
      <c r="I5141" s="641">
        <f t="shared" ref="I5141:I5176" si="1781">IF(HLOOKUP($D5141,$Q$5140:$S$5152,MATCH(RIGHT($A5141,5),$N$5140:$N$5152,0),FALSE)&lt;&gt;"",ROUND(HLOOKUP($D5141,$Q$5140:$S$5152,MATCH(RIGHT($A5141,5),$N$5140:$N$5152,0),FALSE),2),"")</f>
        <v>3.2</v>
      </c>
      <c r="J5141" s="549">
        <v>44536</v>
      </c>
      <c r="K5141" s="11"/>
      <c r="M5141" s="101">
        <v>2022</v>
      </c>
      <c r="N5141" s="522" t="s">
        <v>7650</v>
      </c>
      <c r="O5141" s="461">
        <v>1.4E-2</v>
      </c>
      <c r="P5141" s="11"/>
      <c r="Q5141" s="11">
        <f>IF($O5141&lt;&gt;"",Q5115*(100%-$O5141),"")</f>
        <v>3.200089974815723</v>
      </c>
      <c r="R5141" s="11">
        <f>IF($O5141&lt;&gt;"",R5115*(100%-$O5141),"")</f>
        <v>2.9721152272694842</v>
      </c>
      <c r="S5141" s="11">
        <f>IF($O5141&lt;&gt;"",S5115*(100%-$O5141),"")</f>
        <v>2.0011116729058744</v>
      </c>
    </row>
    <row r="5142" spans="1:24" x14ac:dyDescent="0.35">
      <c r="A5142" s="527" t="str">
        <f>"SgK48a1--"&amp;RIGHT(A5141,5)</f>
        <v>SgK48a1--Jan22</v>
      </c>
      <c r="B5142" s="526" t="s">
        <v>5434</v>
      </c>
      <c r="C5142" s="526" t="str">
        <f t="shared" si="1780"/>
        <v>Inbetriebnahme 01/2022</v>
      </c>
      <c r="D5142" s="526" t="str">
        <f>$R$4687</f>
        <v>10 - 40 kW</v>
      </c>
      <c r="E5142" s="526" t="s">
        <v>6317</v>
      </c>
      <c r="F5142" s="639"/>
      <c r="G5142" s="639"/>
      <c r="H5142" s="641"/>
      <c r="I5142" s="641">
        <f t="shared" si="1781"/>
        <v>2.97</v>
      </c>
      <c r="J5142" s="549">
        <v>44536</v>
      </c>
      <c r="K5142" s="11"/>
      <c r="M5142" s="339"/>
      <c r="N5142" s="266" t="str">
        <f t="shared" ref="N5142:N5152" si="1782">TEXT(DATE(YEAR(DATEVALUE(N5141)),MONTH(DATEVALUE(N5141))+1,1),"MMMJJ")</f>
        <v>Feb22</v>
      </c>
      <c r="O5142" s="461">
        <v>1.4E-2</v>
      </c>
      <c r="Q5142" s="11">
        <f t="shared" ref="Q5142:Q5152" si="1783">IF($O5142&lt;&gt;"",Q5141*(100%-$O5142),"")</f>
        <v>3.1552887151683029</v>
      </c>
      <c r="R5142" s="11">
        <f t="shared" ref="R5142:R5152" si="1784">IF($O5142&lt;&gt;"",R5141*(100%-$O5142),"")</f>
        <v>2.9305056140877115</v>
      </c>
      <c r="S5142" s="11">
        <f t="shared" ref="S5142:S5152" si="1785">IF($O5142&lt;&gt;"",S5141*(100%-$O5142),"")</f>
        <v>1.9730961094851922</v>
      </c>
    </row>
    <row r="5143" spans="1:24" x14ac:dyDescent="0.35">
      <c r="A5143" s="527" t="str">
        <f>"SgK48a2--"&amp;RIGHT(A5142,5)</f>
        <v>SgK48a2--Jan22</v>
      </c>
      <c r="B5143" s="526" t="s">
        <v>5434</v>
      </c>
      <c r="C5143" s="526" t="str">
        <f t="shared" si="1780"/>
        <v>Inbetriebnahme 01/2022</v>
      </c>
      <c r="D5143" s="526" t="s">
        <v>7439</v>
      </c>
      <c r="E5143" s="526" t="s">
        <v>6317</v>
      </c>
      <c r="F5143" s="639"/>
      <c r="G5143" s="639"/>
      <c r="H5143" s="641"/>
      <c r="I5143" s="641">
        <f t="shared" si="1781"/>
        <v>2</v>
      </c>
      <c r="J5143" s="549">
        <v>44536</v>
      </c>
      <c r="K5143" s="11"/>
      <c r="M5143" s="339"/>
      <c r="N5143" s="266" t="str">
        <f t="shared" si="1782"/>
        <v>Mrz22</v>
      </c>
      <c r="O5143" s="461">
        <v>1.4E-2</v>
      </c>
      <c r="Q5143" s="11">
        <f t="shared" si="1783"/>
        <v>3.1111146731559467</v>
      </c>
      <c r="R5143" s="11">
        <f t="shared" si="1784"/>
        <v>2.8894785354904835</v>
      </c>
      <c r="S5143" s="11">
        <f t="shared" si="1785"/>
        <v>1.9454727639523994</v>
      </c>
    </row>
    <row r="5144" spans="1:24" x14ac:dyDescent="0.35">
      <c r="A5144" s="527" t="str">
        <f>"SgK48a0--"&amp;RIGHT(N5142,5)</f>
        <v>SgK48a0--Feb22</v>
      </c>
      <c r="B5144" s="526" t="s">
        <v>5434</v>
      </c>
      <c r="C5144" s="526" t="str">
        <f t="shared" si="1780"/>
        <v>Inbetriebnahme 02/2022</v>
      </c>
      <c r="D5144" s="526" t="str">
        <f t="shared" ref="D5144:D5176" si="1786">D5141</f>
        <v>0 - 10 kW</v>
      </c>
      <c r="E5144" s="526" t="s">
        <v>6317</v>
      </c>
      <c r="F5144" s="639"/>
      <c r="G5144" s="639"/>
      <c r="H5144" s="641"/>
      <c r="I5144" s="641">
        <f t="shared" si="1781"/>
        <v>3.16</v>
      </c>
      <c r="J5144" s="549">
        <v>44592</v>
      </c>
      <c r="K5144" s="11"/>
      <c r="M5144" s="339"/>
      <c r="N5144" s="266" t="str">
        <f t="shared" si="1782"/>
        <v>Apr22</v>
      </c>
      <c r="O5144" s="461">
        <v>1.4E-2</v>
      </c>
      <c r="Q5144" s="11">
        <f t="shared" si="1783"/>
        <v>3.0675590677317635</v>
      </c>
      <c r="R5144" s="11">
        <f t="shared" si="1784"/>
        <v>2.8490258359936167</v>
      </c>
      <c r="S5144" s="11">
        <f t="shared" si="1785"/>
        <v>1.9182361452570658</v>
      </c>
    </row>
    <row r="5145" spans="1:24" x14ac:dyDescent="0.35">
      <c r="A5145" s="527" t="str">
        <f>"SgK48a1--"&amp;RIGHT(A5144,5)</f>
        <v>SgK48a1--Feb22</v>
      </c>
      <c r="B5145" s="526" t="s">
        <v>5434</v>
      </c>
      <c r="C5145" s="526" t="str">
        <f t="shared" si="1780"/>
        <v>Inbetriebnahme 02/2022</v>
      </c>
      <c r="D5145" s="526" t="str">
        <f t="shared" si="1786"/>
        <v>10 - 40 kW</v>
      </c>
      <c r="E5145" s="526" t="s">
        <v>6317</v>
      </c>
      <c r="F5145" s="639"/>
      <c r="G5145" s="639"/>
      <c r="H5145" s="641"/>
      <c r="I5145" s="641">
        <f t="shared" si="1781"/>
        <v>2.93</v>
      </c>
      <c r="J5145" s="549">
        <v>44592</v>
      </c>
      <c r="K5145" s="11"/>
      <c r="M5145" s="339"/>
      <c r="N5145" s="266" t="str">
        <f t="shared" si="1782"/>
        <v>Mai22</v>
      </c>
      <c r="O5145" s="461">
        <v>1.4E-2</v>
      </c>
      <c r="Q5145" s="11">
        <f t="shared" si="1783"/>
        <v>3.0246132407835189</v>
      </c>
      <c r="R5145" s="11">
        <f t="shared" si="1784"/>
        <v>2.8091394742897062</v>
      </c>
      <c r="S5145" s="11">
        <f t="shared" si="1785"/>
        <v>1.8913808392234668</v>
      </c>
    </row>
    <row r="5146" spans="1:24" x14ac:dyDescent="0.35">
      <c r="A5146" s="527" t="str">
        <f>"SgK48a2--"&amp;RIGHT(A5145,5)</f>
        <v>SgK48a2--Feb22</v>
      </c>
      <c r="B5146" s="526" t="s">
        <v>5434</v>
      </c>
      <c r="C5146" s="526" t="str">
        <f t="shared" si="1780"/>
        <v>Inbetriebnahme 02/2022</v>
      </c>
      <c r="D5146" s="526" t="str">
        <f t="shared" si="1786"/>
        <v>40 - 750 kW</v>
      </c>
      <c r="E5146" s="526" t="s">
        <v>6317</v>
      </c>
      <c r="F5146" s="639"/>
      <c r="G5146" s="639"/>
      <c r="H5146" s="641"/>
      <c r="I5146" s="641">
        <f t="shared" si="1781"/>
        <v>1.97</v>
      </c>
      <c r="J5146" s="549">
        <v>44592</v>
      </c>
      <c r="K5146" s="11"/>
      <c r="M5146" s="339"/>
      <c r="N5146" s="266" t="str">
        <f t="shared" si="1782"/>
        <v>Jun22</v>
      </c>
      <c r="O5146" s="461">
        <v>1.4E-2</v>
      </c>
      <c r="Q5146" s="11">
        <f t="shared" si="1783"/>
        <v>2.9822686554125495</v>
      </c>
      <c r="R5146" s="11">
        <f t="shared" si="1784"/>
        <v>2.7698115216496504</v>
      </c>
      <c r="S5146" s="11">
        <f t="shared" si="1785"/>
        <v>1.8649015074743382</v>
      </c>
    </row>
    <row r="5147" spans="1:24" x14ac:dyDescent="0.35">
      <c r="A5147" s="527" t="str">
        <f>"SgK48a0--"&amp;RIGHT(N5143,5)</f>
        <v>SgK48a0--Mrz22</v>
      </c>
      <c r="B5147" s="526" t="s">
        <v>5434</v>
      </c>
      <c r="C5147" s="526" t="str">
        <f t="shared" si="1780"/>
        <v>Inbetriebnahme 03/2022</v>
      </c>
      <c r="D5147" s="526" t="str">
        <f t="shared" si="1786"/>
        <v>0 - 10 kW</v>
      </c>
      <c r="E5147" s="526" t="s">
        <v>6317</v>
      </c>
      <c r="F5147" s="639"/>
      <c r="G5147" s="639"/>
      <c r="H5147" s="641"/>
      <c r="I5147" s="641">
        <f t="shared" si="1781"/>
        <v>3.11</v>
      </c>
      <c r="J5147" s="549">
        <v>44592</v>
      </c>
      <c r="K5147" s="11"/>
      <c r="M5147" s="339"/>
      <c r="N5147" s="266" t="str">
        <f t="shared" si="1782"/>
        <v>Jul22</v>
      </c>
      <c r="O5147" s="461">
        <v>1.4E-2</v>
      </c>
      <c r="Q5147" s="11">
        <f t="shared" si="1783"/>
        <v>2.9405168942367736</v>
      </c>
      <c r="R5147" s="11">
        <f t="shared" si="1784"/>
        <v>2.7310341603465553</v>
      </c>
      <c r="S5147" s="11">
        <f t="shared" si="1785"/>
        <v>1.8387928863696974</v>
      </c>
    </row>
    <row r="5148" spans="1:24" x14ac:dyDescent="0.35">
      <c r="A5148" s="527" t="str">
        <f>"SgK48a1--"&amp;RIGHT(A5147,5)</f>
        <v>SgK48a1--Mrz22</v>
      </c>
      <c r="B5148" s="526" t="s">
        <v>5434</v>
      </c>
      <c r="C5148" s="526" t="str">
        <f t="shared" si="1780"/>
        <v>Inbetriebnahme 03/2022</v>
      </c>
      <c r="D5148" s="526" t="str">
        <f t="shared" si="1786"/>
        <v>10 - 40 kW</v>
      </c>
      <c r="E5148" s="526" t="s">
        <v>6317</v>
      </c>
      <c r="F5148" s="639"/>
      <c r="G5148" s="639"/>
      <c r="H5148" s="641"/>
      <c r="I5148" s="641">
        <f t="shared" si="1781"/>
        <v>2.89</v>
      </c>
      <c r="J5148" s="549">
        <v>44592</v>
      </c>
      <c r="K5148" s="11"/>
      <c r="M5148" s="101"/>
      <c r="N5148" s="266" t="str">
        <f t="shared" si="1782"/>
        <v>Aug22</v>
      </c>
      <c r="O5148" s="461">
        <v>1.4E-2</v>
      </c>
      <c r="Q5148" s="11">
        <f t="shared" si="1783"/>
        <v>2.8993496577174587</v>
      </c>
      <c r="R5148" s="11">
        <f t="shared" si="1784"/>
        <v>2.6927996821017035</v>
      </c>
      <c r="S5148" s="11">
        <f t="shared" si="1785"/>
        <v>1.8130497859605217</v>
      </c>
    </row>
    <row r="5149" spans="1:24" x14ac:dyDescent="0.35">
      <c r="A5149" s="527" t="str">
        <f>"SgK48a2--"&amp;RIGHT(A5148,5)</f>
        <v>SgK48a2--Mrz22</v>
      </c>
      <c r="B5149" s="526" t="s">
        <v>5434</v>
      </c>
      <c r="C5149" s="526" t="str">
        <f t="shared" si="1780"/>
        <v>Inbetriebnahme 03/2022</v>
      </c>
      <c r="D5149" s="526" t="str">
        <f t="shared" si="1786"/>
        <v>40 - 750 kW</v>
      </c>
      <c r="E5149" s="526" t="s">
        <v>6317</v>
      </c>
      <c r="F5149" s="639"/>
      <c r="G5149" s="639"/>
      <c r="H5149" s="641"/>
      <c r="I5149" s="641">
        <f t="shared" si="1781"/>
        <v>1.95</v>
      </c>
      <c r="J5149" s="549">
        <v>44592</v>
      </c>
      <c r="K5149" s="11"/>
      <c r="N5149" s="266" t="str">
        <f t="shared" si="1782"/>
        <v>Sep22</v>
      </c>
      <c r="O5149" s="461">
        <v>1.4E-2</v>
      </c>
      <c r="Q5149" s="11">
        <f t="shared" si="1783"/>
        <v>2.8587587625094142</v>
      </c>
      <c r="R5149" s="11">
        <f t="shared" si="1784"/>
        <v>2.6551004865522798</v>
      </c>
      <c r="S5149" s="11">
        <f t="shared" si="1785"/>
        <v>1.7876670889570743</v>
      </c>
    </row>
    <row r="5150" spans="1:24" x14ac:dyDescent="0.35">
      <c r="A5150" s="527" t="str">
        <f>"SgK48a0--"&amp;RIGHT(N5144,5)</f>
        <v>SgK48a0--Apr22</v>
      </c>
      <c r="B5150" s="526" t="s">
        <v>5434</v>
      </c>
      <c r="C5150" s="526" t="str">
        <f t="shared" si="1780"/>
        <v>Inbetriebnahme 04/2022</v>
      </c>
      <c r="D5150" s="526" t="str">
        <f t="shared" si="1786"/>
        <v>0 - 10 kW</v>
      </c>
      <c r="E5150" s="526" t="s">
        <v>6317</v>
      </c>
      <c r="F5150" s="639"/>
      <c r="G5150" s="639"/>
      <c r="H5150" s="641"/>
      <c r="I5150" s="641">
        <f t="shared" si="1781"/>
        <v>3.07</v>
      </c>
      <c r="J5150" s="549">
        <v>44592</v>
      </c>
      <c r="K5150" s="11"/>
      <c r="N5150" s="266" t="str">
        <f t="shared" si="1782"/>
        <v>Okt22</v>
      </c>
      <c r="O5150" s="461">
        <v>1.4E-2</v>
      </c>
      <c r="Q5150" s="11">
        <f t="shared" si="1783"/>
        <v>2.8187361398342823</v>
      </c>
      <c r="R5150" s="11">
        <f t="shared" si="1784"/>
        <v>2.6179290797405477</v>
      </c>
      <c r="S5150" s="11">
        <f t="shared" si="1785"/>
        <v>1.7626397497116753</v>
      </c>
    </row>
    <row r="5151" spans="1:24" x14ac:dyDescent="0.35">
      <c r="A5151" s="527" t="str">
        <f>"SgK48a1--"&amp;RIGHT(A5150,5)</f>
        <v>SgK48a1--Apr22</v>
      </c>
      <c r="B5151" s="526" t="s">
        <v>5434</v>
      </c>
      <c r="C5151" s="526" t="str">
        <f t="shared" si="1780"/>
        <v>Inbetriebnahme 04/2022</v>
      </c>
      <c r="D5151" s="526" t="str">
        <f t="shared" si="1786"/>
        <v>10 - 40 kW</v>
      </c>
      <c r="E5151" s="526" t="s">
        <v>6317</v>
      </c>
      <c r="F5151" s="639"/>
      <c r="G5151" s="639"/>
      <c r="H5151" s="641"/>
      <c r="I5151" s="641">
        <f t="shared" si="1781"/>
        <v>2.85</v>
      </c>
      <c r="J5151" s="549">
        <v>44592</v>
      </c>
      <c r="K5151" s="11"/>
      <c r="N5151" s="266" t="str">
        <f t="shared" si="1782"/>
        <v>Nov22</v>
      </c>
      <c r="O5151" s="461">
        <v>1.7999999999999999E-2</v>
      </c>
      <c r="Q5151" s="11">
        <f t="shared" si="1783"/>
        <v>2.7679988893172651</v>
      </c>
      <c r="R5151" s="11">
        <f t="shared" si="1784"/>
        <v>2.5708063563052179</v>
      </c>
      <c r="S5151" s="11">
        <f t="shared" si="1785"/>
        <v>1.730912234216865</v>
      </c>
    </row>
    <row r="5152" spans="1:24" x14ac:dyDescent="0.35">
      <c r="A5152" s="527" t="str">
        <f>"SgK48a2--"&amp;RIGHT(A5151,5)</f>
        <v>SgK48a2--Apr22</v>
      </c>
      <c r="B5152" s="526" t="s">
        <v>5434</v>
      </c>
      <c r="C5152" s="526" t="str">
        <f t="shared" si="1780"/>
        <v>Inbetriebnahme 04/2022</v>
      </c>
      <c r="D5152" s="526" t="str">
        <f t="shared" si="1786"/>
        <v>40 - 750 kW</v>
      </c>
      <c r="E5152" s="526" t="s">
        <v>6317</v>
      </c>
      <c r="F5152" s="639"/>
      <c r="G5152" s="639"/>
      <c r="H5152" s="641"/>
      <c r="I5152" s="641">
        <f t="shared" si="1781"/>
        <v>1.92</v>
      </c>
      <c r="J5152" s="549">
        <v>44592</v>
      </c>
      <c r="K5152" s="11"/>
      <c r="N5152" s="266" t="str">
        <f t="shared" si="1782"/>
        <v>Dez22</v>
      </c>
      <c r="O5152" s="461">
        <v>1.7999999999999999E-2</v>
      </c>
      <c r="Q5152" s="11">
        <f t="shared" si="1783"/>
        <v>2.7181749093095542</v>
      </c>
      <c r="R5152" s="11">
        <f t="shared" si="1784"/>
        <v>2.524531841891724</v>
      </c>
      <c r="S5152" s="11">
        <f t="shared" si="1785"/>
        <v>1.6997558140009614</v>
      </c>
    </row>
    <row r="5153" spans="1:24" x14ac:dyDescent="0.35">
      <c r="A5153" s="527" t="str">
        <f>"SgK48a0--"&amp;RIGHT(N5145,5)</f>
        <v>SgK48a0--Mai22</v>
      </c>
      <c r="B5153" s="526" t="s">
        <v>5434</v>
      </c>
      <c r="C5153" s="526" t="str">
        <f t="shared" si="1780"/>
        <v>Inbetriebnahme 05/2022</v>
      </c>
      <c r="D5153" s="526" t="str">
        <f t="shared" si="1786"/>
        <v>0 - 10 kW</v>
      </c>
      <c r="E5153" s="526" t="s">
        <v>6317</v>
      </c>
      <c r="F5153" s="639"/>
      <c r="G5153" s="639"/>
      <c r="H5153" s="641"/>
      <c r="I5153" s="641">
        <f t="shared" si="1781"/>
        <v>3.02</v>
      </c>
      <c r="J5153" s="549">
        <v>44681</v>
      </c>
      <c r="K5153" s="11"/>
      <c r="M5153" s="339"/>
      <c r="N5153" s="108"/>
      <c r="O5153" s="266"/>
      <c r="P5153" s="260"/>
      <c r="Q5153" s="261"/>
      <c r="R5153" s="261"/>
      <c r="S5153" s="261"/>
      <c r="T5153" s="261"/>
    </row>
    <row r="5154" spans="1:24" x14ac:dyDescent="0.35">
      <c r="A5154" s="527" t="str">
        <f>"SgK48a1--"&amp;RIGHT(A5153,5)</f>
        <v>SgK48a1--Mai22</v>
      </c>
      <c r="B5154" s="526" t="s">
        <v>5434</v>
      </c>
      <c r="C5154" s="526" t="str">
        <f t="shared" si="1780"/>
        <v>Inbetriebnahme 05/2022</v>
      </c>
      <c r="D5154" s="526" t="str">
        <f t="shared" si="1786"/>
        <v>10 - 40 kW</v>
      </c>
      <c r="E5154" s="526" t="s">
        <v>6317</v>
      </c>
      <c r="F5154" s="639"/>
      <c r="G5154" s="639"/>
      <c r="H5154" s="641"/>
      <c r="I5154" s="641">
        <f t="shared" si="1781"/>
        <v>2.81</v>
      </c>
      <c r="J5154" s="549">
        <v>44681</v>
      </c>
      <c r="K5154" s="11"/>
      <c r="M5154" s="339"/>
      <c r="N5154" s="108"/>
      <c r="O5154" s="266"/>
      <c r="P5154" s="260"/>
      <c r="Q5154" s="261"/>
      <c r="R5154" s="261"/>
      <c r="S5154" s="261"/>
      <c r="T5154" s="261"/>
    </row>
    <row r="5155" spans="1:24" x14ac:dyDescent="0.35">
      <c r="A5155" s="527" t="str">
        <f>"SgK48a2--"&amp;RIGHT(A5154,5)</f>
        <v>SgK48a2--Mai22</v>
      </c>
      <c r="B5155" s="526" t="s">
        <v>5434</v>
      </c>
      <c r="C5155" s="526" t="str">
        <f t="shared" si="1780"/>
        <v>Inbetriebnahme 05/2022</v>
      </c>
      <c r="D5155" s="526" t="str">
        <f t="shared" si="1786"/>
        <v>40 - 750 kW</v>
      </c>
      <c r="E5155" s="526" t="s">
        <v>6317</v>
      </c>
      <c r="F5155" s="639"/>
      <c r="G5155" s="639"/>
      <c r="H5155" s="641"/>
      <c r="I5155" s="641">
        <f t="shared" si="1781"/>
        <v>1.89</v>
      </c>
      <c r="J5155" s="549">
        <v>44681</v>
      </c>
      <c r="K5155" s="11"/>
      <c r="L5155" s="102"/>
      <c r="M5155" s="339"/>
      <c r="N5155" s="108"/>
      <c r="O5155" s="266"/>
      <c r="P5155" s="260"/>
      <c r="Q5155" s="261"/>
      <c r="R5155" s="261"/>
      <c r="S5155" s="261"/>
      <c r="T5155" s="261"/>
    </row>
    <row r="5156" spans="1:24" x14ac:dyDescent="0.35">
      <c r="A5156" s="527" t="str">
        <f>"SgK48a0--"&amp;RIGHT(N5146,5)</f>
        <v>SgK48a0--Jun22</v>
      </c>
      <c r="B5156" s="526" t="s">
        <v>5434</v>
      </c>
      <c r="C5156" s="526" t="str">
        <f t="shared" si="1780"/>
        <v>Inbetriebnahme 06/2022</v>
      </c>
      <c r="D5156" s="526" t="str">
        <f t="shared" si="1786"/>
        <v>0 - 10 kW</v>
      </c>
      <c r="E5156" s="526" t="s">
        <v>6317</v>
      </c>
      <c r="F5156" s="639"/>
      <c r="G5156" s="639"/>
      <c r="H5156" s="641"/>
      <c r="I5156" s="641">
        <f t="shared" si="1781"/>
        <v>2.98</v>
      </c>
      <c r="J5156" s="549">
        <v>44681</v>
      </c>
      <c r="K5156" s="11"/>
      <c r="L5156" s="102"/>
      <c r="M5156" s="339"/>
      <c r="N5156" s="108"/>
      <c r="O5156" s="266"/>
      <c r="P5156" s="260"/>
      <c r="Q5156" s="261"/>
      <c r="R5156" s="261"/>
      <c r="S5156" s="261"/>
      <c r="T5156" s="261"/>
    </row>
    <row r="5157" spans="1:24" x14ac:dyDescent="0.35">
      <c r="A5157" s="527" t="str">
        <f>"SgK48a1--"&amp;RIGHT(A5156,5)</f>
        <v>SgK48a1--Jun22</v>
      </c>
      <c r="B5157" s="526" t="s">
        <v>5434</v>
      </c>
      <c r="C5157" s="526" t="str">
        <f t="shared" si="1780"/>
        <v>Inbetriebnahme 06/2022</v>
      </c>
      <c r="D5157" s="526" t="str">
        <f t="shared" si="1786"/>
        <v>10 - 40 kW</v>
      </c>
      <c r="E5157" s="526" t="s">
        <v>6317</v>
      </c>
      <c r="F5157" s="639"/>
      <c r="G5157" s="639"/>
      <c r="H5157" s="641"/>
      <c r="I5157" s="641">
        <f t="shared" si="1781"/>
        <v>2.77</v>
      </c>
      <c r="J5157" s="549">
        <v>44681</v>
      </c>
      <c r="K5157" s="11"/>
      <c r="L5157" s="102"/>
      <c r="M5157" s="339"/>
      <c r="N5157" s="108"/>
      <c r="O5157" s="266"/>
      <c r="P5157" s="260"/>
      <c r="Q5157" s="261"/>
      <c r="R5157" s="261"/>
      <c r="S5157" s="261"/>
      <c r="T5157" s="261"/>
    </row>
    <row r="5158" spans="1:24" x14ac:dyDescent="0.35">
      <c r="A5158" s="527" t="str">
        <f>"SgK48a2--"&amp;RIGHT(A5157,5)</f>
        <v>SgK48a2--Jun22</v>
      </c>
      <c r="B5158" s="526" t="s">
        <v>5434</v>
      </c>
      <c r="C5158" s="526" t="str">
        <f t="shared" si="1780"/>
        <v>Inbetriebnahme 06/2022</v>
      </c>
      <c r="D5158" s="526" t="str">
        <f t="shared" si="1786"/>
        <v>40 - 750 kW</v>
      </c>
      <c r="E5158" s="526" t="s">
        <v>6317</v>
      </c>
      <c r="F5158" s="639"/>
      <c r="G5158" s="639"/>
      <c r="H5158" s="641"/>
      <c r="I5158" s="641">
        <f t="shared" si="1781"/>
        <v>1.86</v>
      </c>
      <c r="J5158" s="549">
        <v>44681</v>
      </c>
      <c r="K5158" s="11"/>
      <c r="L5158" s="102"/>
      <c r="M5158" s="339"/>
      <c r="N5158" s="108"/>
      <c r="O5158" s="266"/>
      <c r="P5158" s="277"/>
      <c r="Q5158" s="261"/>
      <c r="R5158" s="261"/>
      <c r="S5158" s="261"/>
      <c r="T5158" s="261"/>
    </row>
    <row r="5159" spans="1:24" x14ac:dyDescent="0.35">
      <c r="A5159" s="527" t="str">
        <f>"SgK48a0--"&amp;RIGHT(N5147,5)</f>
        <v>SgK48a0--Jul22</v>
      </c>
      <c r="B5159" s="526" t="s">
        <v>5434</v>
      </c>
      <c r="C5159" s="526" t="str">
        <f t="shared" si="1780"/>
        <v>Inbetriebnahme 07/2022</v>
      </c>
      <c r="D5159" s="526" t="str">
        <f t="shared" si="1786"/>
        <v>0 - 10 kW</v>
      </c>
      <c r="E5159" s="526" t="s">
        <v>6317</v>
      </c>
      <c r="F5159" s="639"/>
      <c r="G5159" s="639"/>
      <c r="H5159" s="641"/>
      <c r="I5159" s="641">
        <f t="shared" si="1781"/>
        <v>2.94</v>
      </c>
      <c r="J5159" s="549">
        <v>44681</v>
      </c>
      <c r="K5159" s="11"/>
      <c r="L5159" s="102"/>
      <c r="M5159" s="339"/>
      <c r="N5159" s="108"/>
      <c r="O5159" s="259"/>
    </row>
    <row r="5160" spans="1:24" x14ac:dyDescent="0.35">
      <c r="A5160" s="527" t="str">
        <f>"SgK48a1--"&amp;RIGHT(A5159,5)</f>
        <v>SgK48a1--Jul22</v>
      </c>
      <c r="B5160" s="526" t="s">
        <v>5434</v>
      </c>
      <c r="C5160" s="526" t="str">
        <f t="shared" si="1780"/>
        <v>Inbetriebnahme 07/2022</v>
      </c>
      <c r="D5160" s="526" t="str">
        <f t="shared" si="1786"/>
        <v>10 - 40 kW</v>
      </c>
      <c r="E5160" s="526" t="s">
        <v>6317</v>
      </c>
      <c r="F5160" s="639"/>
      <c r="G5160" s="639"/>
      <c r="H5160" s="641"/>
      <c r="I5160" s="641">
        <f t="shared" si="1781"/>
        <v>2.73</v>
      </c>
      <c r="J5160" s="549">
        <v>44681</v>
      </c>
      <c r="K5160" s="11"/>
      <c r="L5160" s="102"/>
      <c r="M5160" s="339"/>
      <c r="O5160" s="259"/>
    </row>
    <row r="5161" spans="1:24" x14ac:dyDescent="0.35">
      <c r="A5161" s="527" t="str">
        <f>"SgK48a2--"&amp;RIGHT(A5160,5)</f>
        <v>SgK48a2--Jul22</v>
      </c>
      <c r="B5161" s="526" t="s">
        <v>5434</v>
      </c>
      <c r="C5161" s="526" t="str">
        <f t="shared" si="1780"/>
        <v>Inbetriebnahme 07/2022</v>
      </c>
      <c r="D5161" s="526" t="str">
        <f t="shared" si="1786"/>
        <v>40 - 750 kW</v>
      </c>
      <c r="E5161" s="526" t="s">
        <v>6317</v>
      </c>
      <c r="F5161" s="639"/>
      <c r="G5161" s="639"/>
      <c r="H5161" s="641"/>
      <c r="I5161" s="641">
        <f t="shared" si="1781"/>
        <v>1.84</v>
      </c>
      <c r="J5161" s="549">
        <v>44681</v>
      </c>
      <c r="K5161" s="11"/>
      <c r="L5161" s="102"/>
      <c r="M5161" s="339"/>
      <c r="O5161" s="259"/>
    </row>
    <row r="5162" spans="1:24" x14ac:dyDescent="0.35">
      <c r="A5162" s="527" t="str">
        <f>"SgK48a0--"&amp;RIGHT(N5148,5)</f>
        <v>SgK48a0--Aug22</v>
      </c>
      <c r="B5162" s="526" t="s">
        <v>5434</v>
      </c>
      <c r="C5162" s="526" t="str">
        <f t="shared" si="1780"/>
        <v>Inbetriebnahme 08/2022</v>
      </c>
      <c r="D5162" s="526" t="str">
        <f t="shared" si="1786"/>
        <v>0 - 10 kW</v>
      </c>
      <c r="E5162" s="526" t="s">
        <v>6317</v>
      </c>
      <c r="F5162" s="639"/>
      <c r="G5162" s="639"/>
      <c r="H5162" s="641"/>
      <c r="I5162" s="641">
        <f t="shared" si="1781"/>
        <v>2.9</v>
      </c>
      <c r="J5162" s="549">
        <v>44774</v>
      </c>
      <c r="K5162" s="11"/>
      <c r="L5162" s="102"/>
      <c r="M5162" s="339"/>
      <c r="O5162" s="259"/>
    </row>
    <row r="5163" spans="1:24" x14ac:dyDescent="0.35">
      <c r="A5163" s="527" t="str">
        <f>"SgK48a1--"&amp;RIGHT(A5162,5)</f>
        <v>SgK48a1--Aug22</v>
      </c>
      <c r="B5163" s="526" t="s">
        <v>5434</v>
      </c>
      <c r="C5163" s="526" t="str">
        <f t="shared" si="1780"/>
        <v>Inbetriebnahme 08/2022</v>
      </c>
      <c r="D5163" s="526" t="str">
        <f t="shared" si="1786"/>
        <v>10 - 40 kW</v>
      </c>
      <c r="E5163" s="526" t="s">
        <v>6317</v>
      </c>
      <c r="F5163" s="639"/>
      <c r="G5163" s="639"/>
      <c r="H5163" s="641"/>
      <c r="I5163" s="641">
        <f t="shared" si="1781"/>
        <v>2.69</v>
      </c>
      <c r="J5163" s="549">
        <v>44774</v>
      </c>
      <c r="K5163" s="11"/>
      <c r="L5163" s="102"/>
      <c r="M5163" s="339"/>
      <c r="O5163" s="259"/>
    </row>
    <row r="5164" spans="1:24" x14ac:dyDescent="0.35">
      <c r="A5164" s="527" t="str">
        <f>"SgK48a2--"&amp;RIGHT(A5163,5)</f>
        <v>SgK48a2--Aug22</v>
      </c>
      <c r="B5164" s="526" t="s">
        <v>5434</v>
      </c>
      <c r="C5164" s="526" t="str">
        <f t="shared" si="1780"/>
        <v>Inbetriebnahme 08/2022</v>
      </c>
      <c r="D5164" s="526" t="str">
        <f t="shared" si="1786"/>
        <v>40 - 750 kW</v>
      </c>
      <c r="E5164" s="526" t="s">
        <v>6317</v>
      </c>
      <c r="F5164" s="639"/>
      <c r="G5164" s="639"/>
      <c r="H5164" s="641"/>
      <c r="I5164" s="641">
        <f t="shared" si="1781"/>
        <v>1.81</v>
      </c>
      <c r="J5164" s="549">
        <v>44774</v>
      </c>
      <c r="M5164" s="339"/>
      <c r="O5164" s="259"/>
    </row>
    <row r="5165" spans="1:24" x14ac:dyDescent="0.35">
      <c r="A5165" s="527" t="str">
        <f>"SgK48a0--"&amp;RIGHT(N5149,5)</f>
        <v>SgK48a0--Sep22</v>
      </c>
      <c r="B5165" s="526" t="s">
        <v>5434</v>
      </c>
      <c r="C5165" s="526" t="str">
        <f t="shared" si="1780"/>
        <v>Inbetriebnahme 09/2022</v>
      </c>
      <c r="D5165" s="526" t="str">
        <f t="shared" si="1786"/>
        <v>0 - 10 kW</v>
      </c>
      <c r="E5165" s="526" t="s">
        <v>6317</v>
      </c>
      <c r="F5165" s="639"/>
      <c r="G5165" s="639"/>
      <c r="H5165" s="641"/>
      <c r="I5165" s="641">
        <f t="shared" si="1781"/>
        <v>2.86</v>
      </c>
      <c r="J5165" s="549">
        <v>44774</v>
      </c>
    </row>
    <row r="5166" spans="1:24" x14ac:dyDescent="0.35">
      <c r="A5166" s="527" t="str">
        <f>"SgK48a1--"&amp;RIGHT(A5165,5)</f>
        <v>SgK48a1--Sep22</v>
      </c>
      <c r="B5166" s="526" t="s">
        <v>5434</v>
      </c>
      <c r="C5166" s="526" t="str">
        <f t="shared" si="1780"/>
        <v>Inbetriebnahme 09/2022</v>
      </c>
      <c r="D5166" s="526" t="str">
        <f t="shared" si="1786"/>
        <v>10 - 40 kW</v>
      </c>
      <c r="E5166" s="526" t="s">
        <v>6317</v>
      </c>
      <c r="F5166" s="639"/>
      <c r="G5166" s="639"/>
      <c r="H5166" s="641"/>
      <c r="I5166" s="641">
        <f t="shared" si="1781"/>
        <v>2.66</v>
      </c>
      <c r="J5166" s="549">
        <v>44774</v>
      </c>
    </row>
    <row r="5167" spans="1:24" x14ac:dyDescent="0.35">
      <c r="A5167" s="527" t="str">
        <f>"SgK48a2--"&amp;RIGHT(A5166,5)</f>
        <v>SgK48a2--Sep22</v>
      </c>
      <c r="B5167" s="526" t="s">
        <v>5434</v>
      </c>
      <c r="C5167" s="526" t="str">
        <f t="shared" si="1780"/>
        <v>Inbetriebnahme 09/2022</v>
      </c>
      <c r="D5167" s="526" t="str">
        <f t="shared" si="1786"/>
        <v>40 - 750 kW</v>
      </c>
      <c r="E5167" s="526" t="s">
        <v>6317</v>
      </c>
      <c r="F5167" s="639"/>
      <c r="G5167" s="639"/>
      <c r="H5167" s="641"/>
      <c r="I5167" s="641">
        <f t="shared" si="1781"/>
        <v>1.79</v>
      </c>
      <c r="J5167" s="549">
        <v>44774</v>
      </c>
    </row>
    <row r="5168" spans="1:24" x14ac:dyDescent="0.35">
      <c r="A5168" s="527" t="str">
        <f>"SgK48a0--"&amp;RIGHT(N5150,5)</f>
        <v>SgK48a0--Okt22</v>
      </c>
      <c r="B5168" s="526" t="s">
        <v>5434</v>
      </c>
      <c r="C5168" s="526" t="str">
        <f t="shared" si="1780"/>
        <v>Inbetriebnahme 10/2022</v>
      </c>
      <c r="D5168" s="526" t="str">
        <f t="shared" si="1786"/>
        <v>0 - 10 kW</v>
      </c>
      <c r="E5168" s="526" t="s">
        <v>6317</v>
      </c>
      <c r="F5168" s="639"/>
      <c r="G5168" s="639"/>
      <c r="H5168" s="641"/>
      <c r="I5168" s="641">
        <f t="shared" si="1781"/>
        <v>2.82</v>
      </c>
      <c r="J5168" s="549">
        <v>44774</v>
      </c>
      <c r="O5168" s="322"/>
      <c r="P5168" s="261" t="str">
        <f>IF($O5168&lt;&gt;"",(1-$O5168)*#REF!,"")</f>
        <v/>
      </c>
      <c r="Q5168" s="261" t="str">
        <f>IF($O5168&lt;&gt;"",(1-$O5168)*#REF!,"")</f>
        <v/>
      </c>
      <c r="R5168" s="261" t="str">
        <f>IF($O5168&lt;&gt;"",(1-$O5168)*#REF!,"")</f>
        <v/>
      </c>
      <c r="S5168" s="261" t="str">
        <f>IF($O5168&lt;&gt;"",(1-$O5168)*#REF!,"")</f>
        <v/>
      </c>
      <c r="U5168" s="261" t="str">
        <f>IF($O5168&lt;&gt;"",(1-$O5168)*#REF!,"")</f>
        <v/>
      </c>
      <c r="V5168" s="261" t="str">
        <f>IF($O5168&lt;&gt;"",(1-$O5168)*#REF!,"")</f>
        <v/>
      </c>
      <c r="W5168" s="261" t="str">
        <f>IF($O5168&lt;&gt;"",(1-$O5168)*#REF!,"")</f>
        <v/>
      </c>
      <c r="X5168" s="261" t="str">
        <f>IF($O5168&lt;&gt;"",(1-$O5168)*#REF!,"")</f>
        <v/>
      </c>
    </row>
    <row r="5169" spans="1:29" x14ac:dyDescent="0.35">
      <c r="A5169" s="527" t="str">
        <f>"SgK48a1--"&amp;RIGHT(A5168,5)</f>
        <v>SgK48a1--Okt22</v>
      </c>
      <c r="B5169" s="526" t="s">
        <v>5434</v>
      </c>
      <c r="C5169" s="526" t="str">
        <f t="shared" si="1780"/>
        <v>Inbetriebnahme 10/2022</v>
      </c>
      <c r="D5169" s="526" t="str">
        <f t="shared" si="1786"/>
        <v>10 - 40 kW</v>
      </c>
      <c r="E5169" s="526" t="s">
        <v>6317</v>
      </c>
      <c r="F5169" s="639"/>
      <c r="G5169" s="639"/>
      <c r="H5169" s="641"/>
      <c r="I5169" s="641">
        <f t="shared" si="1781"/>
        <v>2.62</v>
      </c>
      <c r="J5169" s="549">
        <v>44774</v>
      </c>
      <c r="O5169" s="322"/>
      <c r="P5169" s="261"/>
      <c r="Q5169" s="261"/>
      <c r="R5169" s="261"/>
      <c r="S5169" s="261"/>
      <c r="U5169" s="261"/>
      <c r="V5169" s="261"/>
      <c r="W5169" s="261"/>
      <c r="X5169" s="261"/>
    </row>
    <row r="5170" spans="1:29" x14ac:dyDescent="0.35">
      <c r="A5170" s="527" t="str">
        <f>"SgK48a2--"&amp;RIGHT(A5169,5)</f>
        <v>SgK48a2--Okt22</v>
      </c>
      <c r="B5170" s="526" t="s">
        <v>5434</v>
      </c>
      <c r="C5170" s="526" t="str">
        <f t="shared" si="1780"/>
        <v>Inbetriebnahme 10/2022</v>
      </c>
      <c r="D5170" s="526" t="str">
        <f t="shared" si="1786"/>
        <v>40 - 750 kW</v>
      </c>
      <c r="E5170" s="526" t="s">
        <v>6317</v>
      </c>
      <c r="F5170" s="639"/>
      <c r="G5170" s="639"/>
      <c r="H5170" s="641"/>
      <c r="I5170" s="641">
        <f t="shared" si="1781"/>
        <v>1.76</v>
      </c>
      <c r="J5170" s="549">
        <v>44774</v>
      </c>
      <c r="O5170" s="322"/>
      <c r="P5170" s="261"/>
      <c r="Q5170" s="261"/>
      <c r="R5170" s="261"/>
      <c r="S5170" s="261"/>
      <c r="U5170" s="261"/>
      <c r="V5170" s="261"/>
      <c r="W5170" s="261"/>
      <c r="X5170" s="261"/>
    </row>
    <row r="5171" spans="1:29" x14ac:dyDescent="0.35">
      <c r="A5171" s="527" t="str">
        <f>"SgK48a0--"&amp;RIGHT(N5151,5)</f>
        <v>SgK48a0--Nov22</v>
      </c>
      <c r="B5171" s="526" t="s">
        <v>5434</v>
      </c>
      <c r="C5171" s="526" t="str">
        <f t="shared" si="1780"/>
        <v>Inbetriebnahme 11/2022</v>
      </c>
      <c r="D5171" s="526" t="str">
        <f t="shared" si="1786"/>
        <v>0 - 10 kW</v>
      </c>
      <c r="E5171" s="526" t="s">
        <v>6317</v>
      </c>
      <c r="F5171" s="639"/>
      <c r="G5171" s="639"/>
      <c r="H5171" s="641"/>
      <c r="I5171" s="641">
        <f t="shared" si="1781"/>
        <v>2.77</v>
      </c>
      <c r="J5171" s="549">
        <v>44865</v>
      </c>
      <c r="O5171" s="322"/>
      <c r="P5171" s="261"/>
      <c r="Q5171" s="261"/>
      <c r="R5171" s="261"/>
      <c r="S5171" s="261"/>
      <c r="U5171" s="261"/>
      <c r="V5171" s="261"/>
      <c r="W5171" s="261"/>
      <c r="X5171" s="261"/>
    </row>
    <row r="5172" spans="1:29" x14ac:dyDescent="0.35">
      <c r="A5172" s="527" t="str">
        <f>"SgK48a1--"&amp;RIGHT(A5171,5)</f>
        <v>SgK48a1--Nov22</v>
      </c>
      <c r="B5172" s="526" t="s">
        <v>5434</v>
      </c>
      <c r="C5172" s="526" t="str">
        <f t="shared" si="1780"/>
        <v>Inbetriebnahme 11/2022</v>
      </c>
      <c r="D5172" s="526" t="str">
        <f t="shared" si="1786"/>
        <v>10 - 40 kW</v>
      </c>
      <c r="E5172" s="526" t="s">
        <v>6317</v>
      </c>
      <c r="F5172" s="639"/>
      <c r="G5172" s="639"/>
      <c r="H5172" s="641"/>
      <c r="I5172" s="641">
        <f t="shared" si="1781"/>
        <v>2.57</v>
      </c>
      <c r="J5172" s="549">
        <v>44865</v>
      </c>
      <c r="O5172" s="322"/>
      <c r="P5172" s="261"/>
      <c r="Q5172" s="261"/>
      <c r="R5172" s="261"/>
      <c r="S5172" s="261"/>
      <c r="U5172" s="261"/>
      <c r="V5172" s="261"/>
      <c r="W5172" s="261"/>
      <c r="X5172" s="261"/>
    </row>
    <row r="5173" spans="1:29" x14ac:dyDescent="0.35">
      <c r="A5173" s="527" t="str">
        <f>"SgK48a2--"&amp;RIGHT(A5172,5)</f>
        <v>SgK48a2--Nov22</v>
      </c>
      <c r="B5173" s="526" t="s">
        <v>5434</v>
      </c>
      <c r="C5173" s="526" t="str">
        <f t="shared" si="1780"/>
        <v>Inbetriebnahme 11/2022</v>
      </c>
      <c r="D5173" s="526" t="str">
        <f t="shared" si="1786"/>
        <v>40 - 750 kW</v>
      </c>
      <c r="E5173" s="526" t="s">
        <v>6317</v>
      </c>
      <c r="F5173" s="639"/>
      <c r="G5173" s="639"/>
      <c r="H5173" s="641"/>
      <c r="I5173" s="641">
        <f t="shared" si="1781"/>
        <v>1.73</v>
      </c>
      <c r="J5173" s="549">
        <v>44865</v>
      </c>
      <c r="O5173" s="322"/>
      <c r="P5173" s="261"/>
      <c r="Q5173" s="261"/>
      <c r="R5173" s="261"/>
      <c r="S5173" s="261"/>
      <c r="U5173" s="261"/>
      <c r="V5173" s="261"/>
      <c r="W5173" s="261"/>
      <c r="X5173" s="261"/>
    </row>
    <row r="5174" spans="1:29" x14ac:dyDescent="0.35">
      <c r="A5174" s="527" t="str">
        <f>"SgK48a0--"&amp;RIGHT(N5152,5)</f>
        <v>SgK48a0--Dez22</v>
      </c>
      <c r="B5174" s="526" t="s">
        <v>5434</v>
      </c>
      <c r="C5174" s="526" t="str">
        <f t="shared" si="1780"/>
        <v>Inbetriebnahme 12/2022</v>
      </c>
      <c r="D5174" s="526" t="str">
        <f t="shared" si="1786"/>
        <v>0 - 10 kW</v>
      </c>
      <c r="E5174" s="526" t="s">
        <v>6317</v>
      </c>
      <c r="F5174" s="639"/>
      <c r="G5174" s="639"/>
      <c r="H5174" s="641"/>
      <c r="I5174" s="641">
        <f t="shared" si="1781"/>
        <v>2.72</v>
      </c>
      <c r="J5174" s="549">
        <v>44865</v>
      </c>
      <c r="O5174" s="322"/>
      <c r="P5174" s="261" t="str">
        <f>IF($O5174&lt;&gt;"",(1-$O5174)*#REF!,"")</f>
        <v/>
      </c>
      <c r="Q5174" s="261" t="str">
        <f>IF($O5174&lt;&gt;"",(1-$O5174)*#REF!,"")</f>
        <v/>
      </c>
      <c r="R5174" s="261" t="str">
        <f>IF($O5174&lt;&gt;"",(1-$O5174)*#REF!,"")</f>
        <v/>
      </c>
      <c r="S5174" s="261" t="str">
        <f>IF($O5174&lt;&gt;"",(1-$O5174)*#REF!,"")</f>
        <v/>
      </c>
      <c r="U5174" s="261" t="str">
        <f>IF($O5174&lt;&gt;"",(1-$O5174)*#REF!,"")</f>
        <v/>
      </c>
      <c r="V5174" s="261" t="str">
        <f>IF($O5174&lt;&gt;"",(1-$O5174)*#REF!,"")</f>
        <v/>
      </c>
      <c r="W5174" s="261" t="str">
        <f>IF($O5174&lt;&gt;"",(1-$O5174)*#REF!,"")</f>
        <v/>
      </c>
      <c r="X5174" s="261" t="str">
        <f>IF($O5174&lt;&gt;"",(1-$O5174)*#REF!,"")</f>
        <v/>
      </c>
    </row>
    <row r="5175" spans="1:29" x14ac:dyDescent="0.35">
      <c r="A5175" s="527" t="str">
        <f>"SgK48a1--"&amp;RIGHT(A5174,5)</f>
        <v>SgK48a1--Dez22</v>
      </c>
      <c r="B5175" s="526" t="s">
        <v>5434</v>
      </c>
      <c r="C5175" s="526" t="str">
        <f t="shared" si="1780"/>
        <v>Inbetriebnahme 12/2022</v>
      </c>
      <c r="D5175" s="526" t="str">
        <f t="shared" si="1786"/>
        <v>10 - 40 kW</v>
      </c>
      <c r="E5175" s="526" t="s">
        <v>6317</v>
      </c>
      <c r="F5175" s="639"/>
      <c r="G5175" s="639"/>
      <c r="H5175" s="641"/>
      <c r="I5175" s="641">
        <f t="shared" si="1781"/>
        <v>2.52</v>
      </c>
      <c r="J5175" s="549">
        <v>44865</v>
      </c>
      <c r="O5175" s="322"/>
      <c r="P5175" s="261" t="str">
        <f>IF($O5175&lt;&gt;"",(1-$O5175)*#REF!,"")</f>
        <v/>
      </c>
      <c r="Q5175" s="261" t="str">
        <f>IF($O5175&lt;&gt;"",(1-$O5175)*#REF!,"")</f>
        <v/>
      </c>
      <c r="R5175" s="261" t="str">
        <f>IF($O5175&lt;&gt;"",(1-$O5175)*#REF!,"")</f>
        <v/>
      </c>
      <c r="S5175" s="261" t="str">
        <f>IF($O5175&lt;&gt;"",(1-$O5175)*#REF!,"")</f>
        <v/>
      </c>
      <c r="U5175" s="261" t="str">
        <f>IF($O5175&lt;&gt;"",(1-$O5175)*#REF!,"")</f>
        <v/>
      </c>
      <c r="V5175" s="261" t="str">
        <f>IF($O5175&lt;&gt;"",(1-$O5175)*#REF!,"")</f>
        <v/>
      </c>
      <c r="W5175" s="261" t="str">
        <f>IF($O5175&lt;&gt;"",(1-$O5175)*#REF!,"")</f>
        <v/>
      </c>
      <c r="X5175" s="261" t="str">
        <f>IF($O5175&lt;&gt;"",(1-$O5175)*#REF!,"")</f>
        <v/>
      </c>
    </row>
    <row r="5176" spans="1:29" ht="14.25" customHeight="1" x14ac:dyDescent="0.35">
      <c r="A5176" s="527" t="str">
        <f>"SgK48a2--"&amp;RIGHT(A5175,5)</f>
        <v>SgK48a2--Dez22</v>
      </c>
      <c r="B5176" s="526" t="s">
        <v>5434</v>
      </c>
      <c r="C5176" s="526" t="str">
        <f t="shared" si="1780"/>
        <v>Inbetriebnahme 12/2022</v>
      </c>
      <c r="D5176" s="526" t="str">
        <f t="shared" si="1786"/>
        <v>40 - 750 kW</v>
      </c>
      <c r="E5176" s="526" t="s">
        <v>6317</v>
      </c>
      <c r="F5176" s="639"/>
      <c r="G5176" s="639"/>
      <c r="H5176" s="641"/>
      <c r="I5176" s="641">
        <f t="shared" si="1781"/>
        <v>1.7</v>
      </c>
      <c r="J5176" s="549">
        <v>44865</v>
      </c>
      <c r="O5176" s="322"/>
      <c r="P5176" s="261" t="str">
        <f>IF($O5176&lt;&gt;"",(1-$O5176)*P5174,"")</f>
        <v/>
      </c>
      <c r="Q5176" s="261" t="str">
        <f>IF($O5176&lt;&gt;"",(1-$O5176)*Q5174,"")</f>
        <v/>
      </c>
      <c r="R5176" s="261" t="str">
        <f>IF($O5176&lt;&gt;"",(1-$O5176)*R5174,"")</f>
        <v/>
      </c>
      <c r="S5176" s="261" t="str">
        <f>IF($O5176&lt;&gt;"",(1-$O5176)*S5174,"")</f>
        <v/>
      </c>
      <c r="U5176" s="261" t="str">
        <f>IF($O5176&lt;&gt;"",(1-$O5176)*U5174,"")</f>
        <v/>
      </c>
      <c r="V5176" s="261" t="str">
        <f>IF($O5176&lt;&gt;"",(1-$O5176)*V5174,"")</f>
        <v/>
      </c>
      <c r="W5176" s="261" t="str">
        <f>IF($O5176&lt;&gt;"",(1-$O5176)*W5174,"")</f>
        <v/>
      </c>
      <c r="X5176" s="261" t="str">
        <f>IF($O5176&lt;&gt;"",(1-$O5176)*X5174,"")</f>
        <v/>
      </c>
    </row>
    <row r="5177" spans="1:29" s="207" customFormat="1" x14ac:dyDescent="0.35">
      <c r="A5177"/>
      <c r="B5177"/>
      <c r="C5177"/>
      <c r="D5177"/>
      <c r="E5177"/>
      <c r="F5177" s="387"/>
      <c r="G5177" s="11"/>
      <c r="H5177" s="11"/>
      <c r="I5177" s="565"/>
      <c r="J5177" s="549"/>
      <c r="K5177" s="209"/>
      <c r="M5177"/>
      <c r="N5177"/>
      <c r="O5177" s="29" t="s">
        <v>5489</v>
      </c>
      <c r="Q5177" t="s">
        <v>3918</v>
      </c>
      <c r="R5177" t="s">
        <v>3919</v>
      </c>
      <c r="S5177" t="s">
        <v>7906</v>
      </c>
      <c r="T5177"/>
      <c r="U5177"/>
      <c r="V5177"/>
      <c r="W5177"/>
      <c r="X5177"/>
      <c r="Y5177"/>
      <c r="Z5177"/>
      <c r="AA5177"/>
      <c r="AB5177"/>
      <c r="AC5177"/>
    </row>
    <row r="5178" spans="1:29" x14ac:dyDescent="0.35">
      <c r="A5178" s="527" t="str">
        <f>"SgK48a0-----"&amp;RIGHT(M5178,2)</f>
        <v>SgK48a0-----23</v>
      </c>
      <c r="B5178" s="526" t="s">
        <v>5434</v>
      </c>
      <c r="C5178" s="526" t="str">
        <f>"Inbetriebnahme "&amp;M$5178</f>
        <v>Inbetriebnahme 2023</v>
      </c>
      <c r="D5178" s="526" t="s">
        <v>3918</v>
      </c>
      <c r="E5178" s="526" t="s">
        <v>6317</v>
      </c>
      <c r="F5178" s="639"/>
      <c r="G5178" s="639"/>
      <c r="H5178" s="641"/>
      <c r="I5178" s="641">
        <f>ROUND(HLOOKUP($D5178,$Q$5177:$S$5178,2,FALSE),2)</f>
        <v>2.67</v>
      </c>
      <c r="J5178" s="549">
        <f>$J$31</f>
        <v>44896</v>
      </c>
      <c r="M5178">
        <v>2023</v>
      </c>
      <c r="N5178" t="s">
        <v>7910</v>
      </c>
      <c r="O5178" s="830">
        <v>1.7999999999999999E-2</v>
      </c>
      <c r="Q5178" s="11">
        <f>Q5152*(100%-$O5178)</f>
        <v>2.6692477609419822</v>
      </c>
      <c r="R5178" s="11">
        <f>R5152*(100%-$O5178)</f>
        <v>2.4790902687376728</v>
      </c>
      <c r="S5178" s="11">
        <f>S5152*(100%-$O5178)</f>
        <v>1.6691602093489442</v>
      </c>
      <c r="U5178" s="261"/>
      <c r="V5178" s="261"/>
      <c r="W5178" s="261"/>
      <c r="X5178" s="261"/>
    </row>
    <row r="5179" spans="1:29" x14ac:dyDescent="0.35">
      <c r="A5179" s="527" t="str">
        <f>"SgK48a1-----"&amp;RIGHT(A5178,2)</f>
        <v>SgK48a1-----23</v>
      </c>
      <c r="B5179" s="526" t="s">
        <v>5434</v>
      </c>
      <c r="C5179" s="526" t="str">
        <f>"Inbetriebnahme "&amp;M$5178</f>
        <v>Inbetriebnahme 2023</v>
      </c>
      <c r="D5179" s="526" t="s">
        <v>3919</v>
      </c>
      <c r="E5179" s="526" t="s">
        <v>6317</v>
      </c>
      <c r="F5179" s="639"/>
      <c r="G5179" s="639"/>
      <c r="H5179" s="641"/>
      <c r="I5179" s="641">
        <f>ROUND(HLOOKUP($D5179,$Q$5177:$S$5178,2,FALSE),2)</f>
        <v>2.48</v>
      </c>
      <c r="J5179" s="549">
        <v>44938</v>
      </c>
      <c r="O5179" s="322"/>
      <c r="P5179" s="261" t="str">
        <f>IF($O5179&lt;&gt;"",(1-$O5179)*#REF!,"")</f>
        <v/>
      </c>
      <c r="Q5179" s="261" t="str">
        <f>IF($O5179&lt;&gt;"",(1-$O5179)*#REF!,"")</f>
        <v/>
      </c>
      <c r="R5179" s="261" t="str">
        <f>IF($O5179&lt;&gt;"",(1-$O5179)*#REF!,"")</f>
        <v/>
      </c>
      <c r="S5179" s="261" t="str">
        <f>IF($O5179&lt;&gt;"",(1-$O5179)*#REF!,"")</f>
        <v/>
      </c>
      <c r="U5179" s="261" t="str">
        <f>IF($O5179&lt;&gt;"",(1-$O5179)*#REF!,"")</f>
        <v/>
      </c>
      <c r="V5179" s="261" t="str">
        <f>IF($O5179&lt;&gt;"",(1-$O5179)*#REF!,"")</f>
        <v/>
      </c>
      <c r="W5179" s="261" t="str">
        <f>IF($O5179&lt;&gt;"",(1-$O5179)*#REF!,"")</f>
        <v/>
      </c>
      <c r="X5179" s="261" t="str">
        <f>IF($O5179&lt;&gt;"",(1-$O5179)*#REF!,"")</f>
        <v/>
      </c>
    </row>
    <row r="5180" spans="1:29" ht="14.25" customHeight="1" x14ac:dyDescent="0.35">
      <c r="A5180" s="527" t="str">
        <f>"SgK48a2-----"&amp;RIGHT(A5179,2)</f>
        <v>SgK48a2-----23</v>
      </c>
      <c r="B5180" s="526" t="s">
        <v>5434</v>
      </c>
      <c r="C5180" s="526" t="str">
        <f>"Inbetriebnahme "&amp;M$5178</f>
        <v>Inbetriebnahme 2023</v>
      </c>
      <c r="D5180" s="526" t="s">
        <v>7906</v>
      </c>
      <c r="E5180" s="526" t="s">
        <v>6317</v>
      </c>
      <c r="F5180" s="639"/>
      <c r="G5180" s="639"/>
      <c r="H5180" s="641"/>
      <c r="I5180" s="641">
        <f>ROUND(HLOOKUP($D5180,$Q$5177:$S$5178,2,FALSE),2)</f>
        <v>1.67</v>
      </c>
      <c r="J5180" s="549">
        <v>44938</v>
      </c>
      <c r="O5180" s="322"/>
      <c r="P5180" s="261" t="str">
        <f>IF($O5180&lt;&gt;"",(1-$O5180)*R5178,"")</f>
        <v/>
      </c>
      <c r="Q5180" s="261" t="str">
        <f>IF($O5180&lt;&gt;"",(1-$O5180)*S5178,"")</f>
        <v/>
      </c>
      <c r="R5180" s="261" t="str">
        <f>IF($O5180&lt;&gt;"",(1-$O5180)*#REF!,"")</f>
        <v/>
      </c>
      <c r="S5180" s="261" t="str">
        <f>IF($O5180&lt;&gt;"",(1-$O5180)*#REF!,"")</f>
        <v/>
      </c>
      <c r="U5180" s="261" t="str">
        <f>IF($O5180&lt;&gt;"",(1-$O5180)*U5178,"")</f>
        <v/>
      </c>
      <c r="V5180" s="261" t="str">
        <f>IF($O5180&lt;&gt;"",(1-$O5180)*V5178,"")</f>
        <v/>
      </c>
      <c r="W5180" s="261" t="str">
        <f>IF($O5180&lt;&gt;"",(1-$O5180)*W5178,"")</f>
        <v/>
      </c>
      <c r="X5180" s="261" t="str">
        <f>IF($O5180&lt;&gt;"",(1-$O5180)*X5178,"")</f>
        <v/>
      </c>
    </row>
    <row r="5181" spans="1:29" x14ac:dyDescent="0.35">
      <c r="A5181" s="496"/>
      <c r="B5181" s="1"/>
      <c r="C5181" s="1"/>
      <c r="D5181" s="1"/>
      <c r="E5181" s="1"/>
      <c r="F5181" s="362"/>
      <c r="G5181" s="10"/>
      <c r="H5181" s="10"/>
      <c r="I5181" s="566"/>
      <c r="J5181" s="549" t="s">
        <v>4179</v>
      </c>
      <c r="K5181" s="11"/>
      <c r="N5181" s="109" t="s">
        <v>3901</v>
      </c>
      <c r="O5181" s="29" t="s">
        <v>5489</v>
      </c>
      <c r="P5181" t="s">
        <v>6317</v>
      </c>
      <c r="Q5181" t="s">
        <v>3918</v>
      </c>
      <c r="R5181" t="s">
        <v>3919</v>
      </c>
      <c r="S5181" t="s">
        <v>7439</v>
      </c>
    </row>
    <row r="5182" spans="1:29" x14ac:dyDescent="0.35">
      <c r="A5182" s="527" t="str">
        <f>"SgK48a0--"&amp;RIGHT(N5182,5)</f>
        <v>SgK48a0--Jan24</v>
      </c>
      <c r="B5182" s="526" t="s">
        <v>5434</v>
      </c>
      <c r="C5182" s="526" t="str">
        <f>"Inbetriebnahme "&amp;TEXT(DATEVALUE(RIGHT(T5182,5)),"MM/JJJJ")</f>
        <v>Inbetriebnahme 01/2024</v>
      </c>
      <c r="D5182" s="526" t="str">
        <f>$Q$4687</f>
        <v>0 - 10 kW</v>
      </c>
      <c r="E5182" s="526" t="s">
        <v>6317</v>
      </c>
      <c r="F5182" s="639"/>
      <c r="G5182" s="639"/>
      <c r="H5182" s="641"/>
      <c r="I5182" s="641">
        <f>IF(HLOOKUP($D5182,$Q$5181:$S$5184,MATCH(RIGHT($A5182,5),$N$5181:$N$5184,0),FALSE)&lt;&gt;"",ROUND(HLOOKUP($D5182,$Q$5181:$S$5184,MATCH(RIGHT($A5182,5),$N$5181:$N$5184,0),FALSE),2),"")</f>
        <v>2.67</v>
      </c>
      <c r="J5182" s="549">
        <v>45268</v>
      </c>
      <c r="K5182" s="11"/>
      <c r="M5182" s="101">
        <v>2024</v>
      </c>
      <c r="N5182" s="873" t="s">
        <v>8237</v>
      </c>
      <c r="O5182" s="461">
        <v>0</v>
      </c>
      <c r="P5182" s="11"/>
      <c r="Q5182" s="11">
        <f>IF($O5182&lt;&gt;"",Q5178*(100%-$O5182),"")</f>
        <v>2.6692477609419822</v>
      </c>
      <c r="R5182" s="11">
        <f>IF($O5182&lt;&gt;"",R5178*(100%-$O5182),"")</f>
        <v>2.4790902687376728</v>
      </c>
      <c r="S5182" s="11">
        <f>IF($O5182&lt;&gt;"",S5178*(100%-$O5182),"")</f>
        <v>1.6691602093489442</v>
      </c>
      <c r="T5182" s="101" t="str">
        <f>"Jan"&amp;RIGHT(M$5182,2)</f>
        <v>Jan24</v>
      </c>
    </row>
    <row r="5183" spans="1:29" x14ac:dyDescent="0.35">
      <c r="A5183" s="527" t="str">
        <f>"SgK48a1--"&amp;RIGHT(A5182,5)</f>
        <v>SgK48a1--Jan24</v>
      </c>
      <c r="B5183" s="526" t="s">
        <v>5434</v>
      </c>
      <c r="C5183" s="526" t="str">
        <f>"Inbetriebnahme "&amp;TEXT(DATEVALUE(RIGHT(T5182,5)),"MM/JJJJ")</f>
        <v>Inbetriebnahme 01/2024</v>
      </c>
      <c r="D5183" s="526" t="str">
        <f>$R$4687</f>
        <v>10 - 40 kW</v>
      </c>
      <c r="E5183" s="526" t="s">
        <v>6317</v>
      </c>
      <c r="F5183" s="639"/>
      <c r="G5183" s="639"/>
      <c r="H5183" s="641"/>
      <c r="I5183" s="641">
        <f>IF(HLOOKUP($D5183,$Q$5181:$S$5184,MATCH(RIGHT($A5183,5),$N$5181:$N$5184,0),FALSE)&lt;&gt;"",ROUND(HLOOKUP($D5183,$Q$5181:$S$5184,MATCH(RIGHT($A5183,5),$N$5181:$N$5184,0),FALSE),2),"")</f>
        <v>2.48</v>
      </c>
      <c r="J5183" s="549">
        <v>45268</v>
      </c>
      <c r="K5183" s="11"/>
      <c r="M5183" s="339"/>
      <c r="N5183" s="873" t="s">
        <v>8244</v>
      </c>
      <c r="O5183" s="461">
        <v>0.01</v>
      </c>
      <c r="Q5183" s="11">
        <f t="shared" ref="Q5183:S5184" si="1787">IF($O5183&lt;&gt;"",Q5182*(100%-$O5183),"")</f>
        <v>2.6425552833325625</v>
      </c>
      <c r="R5183" s="11">
        <f t="shared" si="1787"/>
        <v>2.4542993660502961</v>
      </c>
      <c r="S5183" s="11">
        <f t="shared" si="1787"/>
        <v>1.6524686072554546</v>
      </c>
      <c r="T5183" s="101" t="str">
        <f>"Feb"&amp;RIGHT(M$5182,2)</f>
        <v>Feb24</v>
      </c>
      <c r="U5183" s="101" t="str">
        <f>"Jul"&amp;RIGHT(N$5182,2)</f>
        <v>Jul24</v>
      </c>
    </row>
    <row r="5184" spans="1:29" x14ac:dyDescent="0.35">
      <c r="A5184" s="527" t="str">
        <f>"SgK48a2--"&amp;RIGHT(A5183,5)</f>
        <v>SgK48a2--Jan24</v>
      </c>
      <c r="B5184" s="526" t="s">
        <v>5434</v>
      </c>
      <c r="C5184" s="526" t="str">
        <f>"Inbetriebnahme "&amp;TEXT(DATEVALUE(RIGHT(T5182,5)),"MM/JJJJ")</f>
        <v>Inbetriebnahme 01/2024</v>
      </c>
      <c r="D5184" s="526" t="s">
        <v>7439</v>
      </c>
      <c r="E5184" s="526" t="s">
        <v>6317</v>
      </c>
      <c r="F5184" s="639"/>
      <c r="G5184" s="639"/>
      <c r="H5184" s="641"/>
      <c r="I5184" s="641">
        <f>IF(HLOOKUP($D5184,$Q$5181:$S$5184,MATCH(RIGHT($A5184,5),$N$5181:$N$5184,0),FALSE)&lt;&gt;"",ROUND(HLOOKUP($D5184,$Q$5181:$S$5184,MATCH(RIGHT($A5184,5),$N$5181:$N$5184,0),FALSE),2),"")</f>
        <v>1.67</v>
      </c>
      <c r="J5184" s="549">
        <v>45268</v>
      </c>
      <c r="K5184" s="11"/>
      <c r="M5184" s="339"/>
      <c r="N5184" s="873" t="s">
        <v>8243</v>
      </c>
      <c r="O5184" s="461">
        <v>0.01</v>
      </c>
      <c r="Q5184" s="11">
        <f t="shared" si="1787"/>
        <v>2.616129730499237</v>
      </c>
      <c r="R5184" s="11">
        <f t="shared" si="1787"/>
        <v>2.429756372389793</v>
      </c>
      <c r="S5184" s="11">
        <f t="shared" si="1787"/>
        <v>1.6359439211829001</v>
      </c>
      <c r="T5184" s="101" t="str">
        <f>"Aug"&amp;RIGHT(M$5182,2)</f>
        <v>Aug24</v>
      </c>
      <c r="U5184" s="101" t="str">
        <f>"Dez"&amp;RIGHT(N$5182,2)</f>
        <v>Dez24</v>
      </c>
    </row>
    <row r="5185" spans="1:29" x14ac:dyDescent="0.35">
      <c r="A5185" s="527" t="str">
        <f>"SgK48a0--"&amp;RIGHT(N$5183,5)</f>
        <v>SgK48a0--Feb24</v>
      </c>
      <c r="B5185" s="526" t="s">
        <v>5434</v>
      </c>
      <c r="C5185" s="526" t="str">
        <f>"Inbetriebnahme "&amp;TEXT(DATEVALUE(RIGHT(T5183,5)),"MM")&amp;"-"&amp;TEXT(DATEVALUE(RIGHT(U5183,5)),"MM/JJJJ")</f>
        <v>Inbetriebnahme 02-07/2024</v>
      </c>
      <c r="D5185" s="526" t="str">
        <f t="shared" ref="D5185:D5190" si="1788">D5182</f>
        <v>0 - 10 kW</v>
      </c>
      <c r="E5185" s="526" t="s">
        <v>6317</v>
      </c>
      <c r="F5185" s="639"/>
      <c r="G5185" s="639"/>
      <c r="H5185" s="641"/>
      <c r="I5185" s="641">
        <f>IF(HLOOKUP($D5185,$Q$5181:$S$5184,MATCH(RIGHT($A5185,5),$N$5181:$N$5184,0),FALSE)&lt;&gt;"",ROUND(HLOOKUP($D5185,$Q$5181:$S$5184,MATCH(RIGHT($A5185,5),$N$5181:$N$5184,0),FALSE),2),"")</f>
        <v>2.64</v>
      </c>
      <c r="J5185" s="549">
        <v>45268</v>
      </c>
      <c r="K5185" s="11"/>
      <c r="M5185" s="339"/>
      <c r="N5185" s="266"/>
      <c r="O5185" s="461"/>
      <c r="Q5185" s="11"/>
      <c r="R5185" s="11"/>
      <c r="S5185" s="11"/>
    </row>
    <row r="5186" spans="1:29" x14ac:dyDescent="0.35">
      <c r="A5186" s="527" t="str">
        <f>"SgK48a1--"&amp;RIGHT(N$5183,5)</f>
        <v>SgK48a1--Feb24</v>
      </c>
      <c r="B5186" s="526" t="s">
        <v>5434</v>
      </c>
      <c r="C5186" s="526" t="str">
        <f>"Inbetriebnahme "&amp;TEXT(DATEVALUE(RIGHT(T5183,5)),"MM")&amp;"-"&amp;TEXT(DATEVALUE(RIGHT(U5183,5)),"MM/JJJJ")</f>
        <v>Inbetriebnahme 02-07/2024</v>
      </c>
      <c r="D5186" s="526" t="str">
        <f t="shared" si="1788"/>
        <v>10 - 40 kW</v>
      </c>
      <c r="E5186" s="526" t="s">
        <v>6317</v>
      </c>
      <c r="F5186" s="639"/>
      <c r="G5186" s="639"/>
      <c r="H5186" s="641"/>
      <c r="I5186" s="641">
        <f t="shared" ref="I5186:I5190" si="1789">IF(HLOOKUP($D5186,$Q$5181:$S$5184,MATCH(RIGHT($A5186,5),$N$5181:$N$5184,0),FALSE)&lt;&gt;"",ROUND(HLOOKUP($D5186,$Q$5181:$S$5184,MATCH(RIGHT($A5186,5),$N$5181:$N$5184,0),FALSE),2),"")</f>
        <v>2.4500000000000002</v>
      </c>
      <c r="J5186" s="549">
        <v>45268</v>
      </c>
      <c r="K5186" s="11"/>
      <c r="M5186" s="339"/>
      <c r="N5186" s="266"/>
      <c r="O5186" s="461"/>
      <c r="Q5186" s="11"/>
      <c r="R5186" s="11"/>
      <c r="S5186" s="11"/>
    </row>
    <row r="5187" spans="1:29" x14ac:dyDescent="0.35">
      <c r="A5187" s="527" t="str">
        <f>"SgK48a2--"&amp;RIGHT(N$5183,5)</f>
        <v>SgK48a2--Feb24</v>
      </c>
      <c r="B5187" s="526" t="s">
        <v>5434</v>
      </c>
      <c r="C5187" s="526" t="str">
        <f>"Inbetriebnahme "&amp;TEXT(DATEVALUE(RIGHT(T5183,5)),"MM")&amp;"-"&amp;TEXT(DATEVALUE(RIGHT(U5183,5)),"MM/JJJJ")</f>
        <v>Inbetriebnahme 02-07/2024</v>
      </c>
      <c r="D5187" s="526" t="str">
        <f t="shared" si="1788"/>
        <v>40 - 750 kW</v>
      </c>
      <c r="E5187" s="526" t="s">
        <v>6317</v>
      </c>
      <c r="F5187" s="639"/>
      <c r="G5187" s="639"/>
      <c r="H5187" s="641"/>
      <c r="I5187" s="641">
        <f t="shared" si="1789"/>
        <v>1.65</v>
      </c>
      <c r="J5187" s="549">
        <v>45268</v>
      </c>
      <c r="K5187" s="11"/>
      <c r="M5187" s="339"/>
      <c r="N5187" s="266"/>
      <c r="O5187" s="461"/>
      <c r="Q5187" s="11"/>
      <c r="R5187" s="11"/>
      <c r="S5187" s="11"/>
    </row>
    <row r="5188" spans="1:29" x14ac:dyDescent="0.35">
      <c r="A5188" s="527" t="str">
        <f>"SgK48a0--"&amp;RIGHT(N$5184,5)</f>
        <v>SgK48a0--Aug24</v>
      </c>
      <c r="B5188" s="526" t="s">
        <v>5434</v>
      </c>
      <c r="C5188" s="526" t="str">
        <f>"Inbetriebnahme "&amp;TEXT(DATEVALUE(RIGHT(T5184,5)),"MM")&amp;"-"&amp;TEXT(DATEVALUE(RIGHT(U5184,5)),"MM/JJJJ")</f>
        <v>Inbetriebnahme 08-12/2024</v>
      </c>
      <c r="D5188" s="526" t="str">
        <f t="shared" si="1788"/>
        <v>0 - 10 kW</v>
      </c>
      <c r="E5188" s="526" t="s">
        <v>6317</v>
      </c>
      <c r="F5188" s="639"/>
      <c r="G5188" s="639"/>
      <c r="H5188" s="641"/>
      <c r="I5188" s="641">
        <f t="shared" si="1789"/>
        <v>2.62</v>
      </c>
      <c r="J5188" s="549">
        <v>45268</v>
      </c>
      <c r="K5188" s="11"/>
      <c r="M5188" s="339"/>
      <c r="N5188" s="266"/>
      <c r="O5188" s="461"/>
      <c r="Q5188" s="11"/>
      <c r="R5188" s="11"/>
      <c r="S5188" s="11"/>
    </row>
    <row r="5189" spans="1:29" x14ac:dyDescent="0.35">
      <c r="A5189" s="527" t="str">
        <f>"SgK48a1--"&amp;RIGHT(N$5184,5)</f>
        <v>SgK48a1--Aug24</v>
      </c>
      <c r="B5189" s="526" t="s">
        <v>5434</v>
      </c>
      <c r="C5189" s="526" t="str">
        <f>"Inbetriebnahme "&amp;TEXT(DATEVALUE(RIGHT(T5184,5)),"MM")&amp;"-"&amp;TEXT(DATEVALUE(RIGHT(U5184,5)),"MM/JJJJ")</f>
        <v>Inbetriebnahme 08-12/2024</v>
      </c>
      <c r="D5189" s="526" t="str">
        <f t="shared" si="1788"/>
        <v>10 - 40 kW</v>
      </c>
      <c r="E5189" s="526" t="s">
        <v>6317</v>
      </c>
      <c r="F5189" s="639"/>
      <c r="G5189" s="639"/>
      <c r="H5189" s="641"/>
      <c r="I5189" s="641">
        <f t="shared" si="1789"/>
        <v>2.4300000000000002</v>
      </c>
      <c r="J5189" s="549">
        <v>45268</v>
      </c>
      <c r="K5189" s="11"/>
      <c r="M5189" s="101"/>
      <c r="N5189" s="266"/>
      <c r="O5189" s="461"/>
      <c r="Q5189" s="11"/>
      <c r="R5189" s="11"/>
      <c r="S5189" s="11"/>
    </row>
    <row r="5190" spans="1:29" x14ac:dyDescent="0.35">
      <c r="A5190" s="527" t="str">
        <f>"SgK48a2--"&amp;RIGHT(N$5184,5)</f>
        <v>SgK48a2--Aug24</v>
      </c>
      <c r="B5190" s="526" t="s">
        <v>5434</v>
      </c>
      <c r="C5190" s="526" t="str">
        <f>"Inbetriebnahme "&amp;TEXT(DATEVALUE(RIGHT(T5184,5)),"MM")&amp;"-"&amp;TEXT(DATEVALUE(RIGHT(U5184,5)),"MM/JJJJ")</f>
        <v>Inbetriebnahme 08-12/2024</v>
      </c>
      <c r="D5190" s="526" t="str">
        <f t="shared" si="1788"/>
        <v>40 - 750 kW</v>
      </c>
      <c r="E5190" s="526" t="s">
        <v>6317</v>
      </c>
      <c r="F5190" s="639"/>
      <c r="G5190" s="639"/>
      <c r="H5190" s="641"/>
      <c r="I5190" s="641">
        <f t="shared" si="1789"/>
        <v>1.64</v>
      </c>
      <c r="J5190" s="549">
        <v>45268</v>
      </c>
      <c r="K5190" s="11"/>
      <c r="N5190" s="266"/>
      <c r="O5190" s="461"/>
      <c r="Q5190" s="11"/>
      <c r="R5190" s="11"/>
      <c r="S5190" s="11"/>
    </row>
    <row r="5191" spans="1:29" s="207" customFormat="1" x14ac:dyDescent="0.35">
      <c r="A5191"/>
      <c r="B5191"/>
      <c r="C5191"/>
      <c r="D5191"/>
      <c r="E5191"/>
      <c r="F5191" s="387"/>
      <c r="G5191" s="11"/>
      <c r="H5191" s="11"/>
      <c r="I5191" s="565"/>
      <c r="J5191" s="549"/>
      <c r="K5191" s="209"/>
      <c r="M5191"/>
      <c r="N5191"/>
      <c r="O5191"/>
      <c r="P5191"/>
      <c r="Q5191"/>
      <c r="R5191"/>
      <c r="S5191"/>
      <c r="T5191"/>
      <c r="U5191"/>
      <c r="V5191"/>
      <c r="W5191"/>
      <c r="X5191"/>
      <c r="Y5191"/>
      <c r="Z5191"/>
      <c r="AA5191"/>
      <c r="AB5191"/>
      <c r="AC5191"/>
    </row>
    <row r="5192" spans="1:29" s="187" customFormat="1" ht="33.75" customHeight="1" x14ac:dyDescent="0.35">
      <c r="A5192" s="543" t="s">
        <v>6087</v>
      </c>
      <c r="B5192" s="493"/>
      <c r="C5192" s="493"/>
      <c r="D5192" s="493"/>
      <c r="E5192" s="493"/>
      <c r="F5192" s="494"/>
      <c r="G5192" s="493"/>
      <c r="H5192" s="544" t="str">
        <f>IF(ISNUMBER(G5192),ROUND(0.8*G5192,2),"")</f>
        <v/>
      </c>
      <c r="I5192" s="593"/>
      <c r="J5192" s="549">
        <v>42705</v>
      </c>
      <c r="K5192" s="547"/>
      <c r="M5192" s="207"/>
      <c r="N5192" s="207"/>
      <c r="O5192" s="207"/>
      <c r="P5192" s="207"/>
      <c r="Q5192" s="207"/>
      <c r="R5192" s="207"/>
      <c r="S5192" s="207"/>
      <c r="T5192" s="207"/>
      <c r="U5192" s="207"/>
      <c r="V5192" s="207"/>
      <c r="W5192" s="207"/>
      <c r="X5192" s="207"/>
      <c r="Y5192" s="207"/>
      <c r="Z5192" s="207"/>
      <c r="AA5192" s="207"/>
      <c r="AB5192" s="207"/>
      <c r="AC5192" s="207"/>
    </row>
    <row r="5193" spans="1:29" ht="184.5" customHeight="1" x14ac:dyDescent="0.35">
      <c r="A5193" s="908" t="s">
        <v>8260</v>
      </c>
      <c r="B5193" s="908"/>
      <c r="C5193" s="908"/>
      <c r="D5193" s="908"/>
      <c r="E5193" s="908"/>
      <c r="F5193" s="908"/>
      <c r="G5193" s="545"/>
      <c r="H5193" s="546"/>
      <c r="I5193" s="594"/>
      <c r="J5193" s="549">
        <v>45183</v>
      </c>
      <c r="K5193" s="11"/>
      <c r="M5193" s="187"/>
      <c r="N5193" s="187"/>
      <c r="O5193" s="187"/>
      <c r="P5193" s="187"/>
      <c r="Q5193" s="187"/>
      <c r="R5193" s="187"/>
      <c r="S5193" s="187"/>
      <c r="T5193" s="187"/>
      <c r="U5193" s="187"/>
      <c r="V5193" s="187"/>
      <c r="W5193" s="187"/>
      <c r="X5193" s="187"/>
      <c r="Y5193" s="187"/>
      <c r="Z5193" s="187"/>
      <c r="AA5193" s="187"/>
      <c r="AB5193" s="187"/>
      <c r="AC5193" s="187"/>
    </row>
    <row r="5194" spans="1:29" x14ac:dyDescent="0.35">
      <c r="D5194" s="103"/>
      <c r="J5194" s="549"/>
    </row>
    <row r="5195" spans="1:29" x14ac:dyDescent="0.35">
      <c r="A5195" s="527" t="s">
        <v>5645</v>
      </c>
      <c r="B5195" s="526" t="s">
        <v>740</v>
      </c>
      <c r="C5195" s="526" t="s">
        <v>5636</v>
      </c>
      <c r="D5195" s="526" t="s">
        <v>5848</v>
      </c>
      <c r="E5195" s="537"/>
      <c r="F5195" s="538" t="str">
        <f>IF($O5195&lt;&gt;"",ROUND(Q5195,2),"")</f>
        <v/>
      </c>
      <c r="G5195" s="538" t="str">
        <f>IF($O5195&lt;&gt;"",ROUND(P5195,2),"")</f>
        <v/>
      </c>
      <c r="H5195" s="537" t="str">
        <f>IF(ISNUMBER(G5195),ROUND(0.8*G5195,2),"")</f>
        <v/>
      </c>
      <c r="I5195" s="574"/>
      <c r="J5195" s="549" t="s">
        <v>5804</v>
      </c>
      <c r="K5195" s="11"/>
      <c r="N5195" s="266"/>
      <c r="O5195" s="322"/>
      <c r="P5195" s="462" t="str">
        <f>IF($O5195&lt;&gt;"",#REF!*(100%-$O5195),"")</f>
        <v/>
      </c>
      <c r="Q5195" s="261" t="str">
        <f>IF($O5195&lt;&gt;"",(1-$O5195)*#REF!,"")</f>
        <v/>
      </c>
      <c r="R5195" s="261"/>
    </row>
    <row r="5196" spans="1:29" x14ac:dyDescent="0.35">
      <c r="D5196" s="103"/>
      <c r="J5196" s="549"/>
      <c r="K5196" s="11"/>
    </row>
    <row r="5197" spans="1:29" x14ac:dyDescent="0.35">
      <c r="A5197" s="527" t="s">
        <v>5849</v>
      </c>
      <c r="B5197" s="526" t="s">
        <v>5547</v>
      </c>
      <c r="C5197" s="526" t="s">
        <v>5853</v>
      </c>
      <c r="D5197" s="526" t="s">
        <v>8214</v>
      </c>
      <c r="E5197" s="537"/>
      <c r="F5197" s="538" t="str">
        <f>IF($O5197&lt;&gt;"",ROUND(Q5197,2),"")</f>
        <v/>
      </c>
      <c r="G5197" s="538" t="str">
        <f>IF($O5197&lt;&gt;"",ROUND(P5197,2),"")</f>
        <v/>
      </c>
      <c r="H5197" s="537" t="str">
        <f>IF(ISNUMBER(G5197),ROUND(0.8*G5197,2),"")</f>
        <v/>
      </c>
      <c r="I5197" s="574"/>
      <c r="J5197" s="549">
        <v>45183</v>
      </c>
      <c r="K5197" s="11"/>
    </row>
    <row r="5198" spans="1:29" x14ac:dyDescent="0.35">
      <c r="A5198" s="527" t="s">
        <v>5850</v>
      </c>
      <c r="B5198" s="526" t="s">
        <v>6008</v>
      </c>
      <c r="C5198" s="526" t="s">
        <v>5853</v>
      </c>
      <c r="D5198" s="526" t="s">
        <v>8214</v>
      </c>
      <c r="E5198" s="537"/>
      <c r="F5198" s="538" t="str">
        <f>IF($O5198&lt;&gt;"",ROUND(Q5198,2),"")</f>
        <v/>
      </c>
      <c r="G5198" s="538" t="str">
        <f>IF($O5198&lt;&gt;"",ROUND(P5198,2),"")</f>
        <v/>
      </c>
      <c r="H5198" s="537" t="str">
        <f>IF(ISNUMBER(G5198),ROUND(0.8*G5198,2),"")</f>
        <v/>
      </c>
      <c r="I5198" s="574"/>
      <c r="J5198" s="549">
        <v>45183</v>
      </c>
      <c r="K5198" s="11"/>
    </row>
    <row r="5199" spans="1:29" x14ac:dyDescent="0.35">
      <c r="A5199" s="527" t="s">
        <v>5851</v>
      </c>
      <c r="B5199" s="526" t="s">
        <v>6009</v>
      </c>
      <c r="C5199" s="526" t="s">
        <v>5853</v>
      </c>
      <c r="D5199" s="526" t="s">
        <v>8214</v>
      </c>
      <c r="E5199" s="537"/>
      <c r="F5199" s="538" t="str">
        <f>IF($O5199&lt;&gt;"",ROUND(Q5199,2),"")</f>
        <v/>
      </c>
      <c r="G5199" s="538" t="str">
        <f>IF($O5199&lt;&gt;"",ROUND(P5199,2),"")</f>
        <v/>
      </c>
      <c r="H5199" s="537" t="str">
        <f>IF(ISNUMBER(G5199),ROUND(0.8*G5199,2),"")</f>
        <v/>
      </c>
      <c r="I5199" s="574"/>
      <c r="J5199" s="549">
        <v>45183</v>
      </c>
      <c r="K5199" s="11"/>
    </row>
    <row r="5200" spans="1:29" x14ac:dyDescent="0.35">
      <c r="A5200" s="527" t="s">
        <v>5852</v>
      </c>
      <c r="B5200" s="526" t="s">
        <v>740</v>
      </c>
      <c r="C5200" s="526" t="s">
        <v>5853</v>
      </c>
      <c r="D5200" s="526" t="s">
        <v>8214</v>
      </c>
      <c r="E5200" s="537"/>
      <c r="F5200" s="538" t="str">
        <f>IF($O5200&lt;&gt;"",ROUND(Q5200,2),"")</f>
        <v/>
      </c>
      <c r="G5200" s="538" t="str">
        <f>IF($O5200&lt;&gt;"",ROUND(P5200,2),"")</f>
        <v/>
      </c>
      <c r="H5200" s="537" t="str">
        <f>IF(ISNUMBER(G5200),ROUND(0.8*G5200,2),"")</f>
        <v/>
      </c>
      <c r="I5200" s="574"/>
      <c r="J5200" s="549">
        <v>45183</v>
      </c>
      <c r="K5200" s="11"/>
    </row>
    <row r="5201" spans="1:29" x14ac:dyDescent="0.35">
      <c r="A5201" s="527" t="s">
        <v>5854</v>
      </c>
      <c r="B5201" s="526" t="s">
        <v>5434</v>
      </c>
      <c r="C5201" s="526" t="s">
        <v>5853</v>
      </c>
      <c r="D5201" s="526" t="s">
        <v>8214</v>
      </c>
      <c r="E5201" s="537"/>
      <c r="F5201" s="538" t="str">
        <f>IF($O5201&lt;&gt;"",ROUND(Q5201,2),"")</f>
        <v/>
      </c>
      <c r="G5201" s="538" t="str">
        <f>IF($O5201&lt;&gt;"",ROUND(P5201,2),"")</f>
        <v/>
      </c>
      <c r="H5201" s="537" t="str">
        <f>IF(ISNUMBER(G5201),ROUND(0.8*G5201,2),"")</f>
        <v/>
      </c>
      <c r="I5201" s="574"/>
      <c r="J5201" s="549">
        <v>45183</v>
      </c>
      <c r="K5201" s="11"/>
    </row>
    <row r="5202" spans="1:29" x14ac:dyDescent="0.35">
      <c r="D5202" s="103"/>
      <c r="J5202" s="549"/>
      <c r="K5202" s="11"/>
    </row>
    <row r="5203" spans="1:29" x14ac:dyDescent="0.35">
      <c r="A5203" s="527" t="s">
        <v>7478</v>
      </c>
      <c r="B5203" s="526" t="s">
        <v>5547</v>
      </c>
      <c r="C5203" s="526" t="s">
        <v>5853</v>
      </c>
      <c r="D5203" s="526" t="s">
        <v>7875</v>
      </c>
      <c r="E5203" s="537"/>
      <c r="F5203" s="538" t="str">
        <f>IF($O5203&lt;&gt;"",ROUND(Q5203,2),"")</f>
        <v/>
      </c>
      <c r="G5203" s="538" t="str">
        <f>IF($O5203&lt;&gt;"",ROUND(P5203,2),"")</f>
        <v/>
      </c>
      <c r="H5203" s="537" t="str">
        <f>IF(ISNUMBER(G5203),ROUND(0.8*G5203,2),"")</f>
        <v/>
      </c>
      <c r="I5203" s="574"/>
      <c r="J5203" s="549">
        <v>44848</v>
      </c>
      <c r="K5203" s="11"/>
    </row>
    <row r="5204" spans="1:29" x14ac:dyDescent="0.35">
      <c r="A5204" s="527" t="s">
        <v>7479</v>
      </c>
      <c r="B5204" s="526" t="s">
        <v>6008</v>
      </c>
      <c r="C5204" s="526" t="s">
        <v>5853</v>
      </c>
      <c r="D5204" s="526" t="s">
        <v>7875</v>
      </c>
      <c r="E5204" s="537"/>
      <c r="F5204" s="538" t="str">
        <f>IF($O5204&lt;&gt;"",ROUND(Q5204,2),"")</f>
        <v/>
      </c>
      <c r="G5204" s="538" t="str">
        <f>IF($O5204&lt;&gt;"",ROUND(P5204,2),"")</f>
        <v/>
      </c>
      <c r="H5204" s="537" t="str">
        <f>IF(ISNUMBER(G5204),ROUND(0.8*G5204,2),"")</f>
        <v/>
      </c>
      <c r="I5204" s="574"/>
      <c r="J5204" s="549">
        <v>44848</v>
      </c>
      <c r="K5204" s="11"/>
    </row>
    <row r="5205" spans="1:29" x14ac:dyDescent="0.35">
      <c r="A5205" s="527" t="s">
        <v>7480</v>
      </c>
      <c r="B5205" s="526" t="s">
        <v>6009</v>
      </c>
      <c r="C5205" s="526" t="s">
        <v>5853</v>
      </c>
      <c r="D5205" s="526" t="s">
        <v>7875</v>
      </c>
      <c r="E5205" s="537"/>
      <c r="F5205" s="538" t="str">
        <f>IF($O5205&lt;&gt;"",ROUND(Q5205,2),"")</f>
        <v/>
      </c>
      <c r="G5205" s="538" t="str">
        <f>IF($O5205&lt;&gt;"",ROUND(P5205,2),"")</f>
        <v/>
      </c>
      <c r="H5205" s="537" t="str">
        <f>IF(ISNUMBER(G5205),ROUND(0.8*G5205,2),"")</f>
        <v/>
      </c>
      <c r="I5205" s="574"/>
      <c r="J5205" s="549">
        <v>44848</v>
      </c>
      <c r="K5205" s="11"/>
    </row>
    <row r="5206" spans="1:29" x14ac:dyDescent="0.35">
      <c r="A5206" s="527" t="s">
        <v>7481</v>
      </c>
      <c r="B5206" s="526" t="s">
        <v>740</v>
      </c>
      <c r="C5206" s="526" t="s">
        <v>5853</v>
      </c>
      <c r="D5206" s="526" t="s">
        <v>7875</v>
      </c>
      <c r="E5206" s="537"/>
      <c r="F5206" s="538" t="str">
        <f>IF($O5206&lt;&gt;"",ROUND(Q5206,2),"")</f>
        <v/>
      </c>
      <c r="G5206" s="538" t="str">
        <f>IF($O5206&lt;&gt;"",ROUND(P5206,2),"")</f>
        <v/>
      </c>
      <c r="H5206" s="537" t="str">
        <f>IF(ISNUMBER(G5206),ROUND(0.8*G5206,2),"")</f>
        <v/>
      </c>
      <c r="I5206" s="574"/>
      <c r="J5206" s="549">
        <v>44848</v>
      </c>
      <c r="K5206" s="11"/>
    </row>
    <row r="5207" spans="1:29" x14ac:dyDescent="0.35">
      <c r="A5207" s="527" t="s">
        <v>7482</v>
      </c>
      <c r="B5207" s="526" t="s">
        <v>5434</v>
      </c>
      <c r="C5207" s="526" t="s">
        <v>5853</v>
      </c>
      <c r="D5207" s="526" t="s">
        <v>7875</v>
      </c>
      <c r="E5207" s="537"/>
      <c r="F5207" s="538" t="str">
        <f>IF($O5207&lt;&gt;"",ROUND(Q5207,2),"")</f>
        <v/>
      </c>
      <c r="G5207" s="538" t="str">
        <f>IF($O5207&lt;&gt;"",ROUND(P5207,2),"")</f>
        <v/>
      </c>
      <c r="H5207" s="537" t="str">
        <f>IF(ISNUMBER(G5207),ROUND(0.8*G5207,2),"")</f>
        <v/>
      </c>
      <c r="I5207" s="574"/>
      <c r="J5207" s="549">
        <v>44848</v>
      </c>
      <c r="K5207" s="11"/>
    </row>
    <row r="5208" spans="1:29" x14ac:dyDescent="0.35">
      <c r="D5208" s="103"/>
      <c r="J5208" s="549"/>
      <c r="K5208" s="11"/>
    </row>
    <row r="5209" spans="1:29" x14ac:dyDescent="0.35">
      <c r="A5209" s="527" t="s">
        <v>8215</v>
      </c>
      <c r="B5209" s="526" t="s">
        <v>5547</v>
      </c>
      <c r="C5209" s="526" t="s">
        <v>8220</v>
      </c>
      <c r="D5209" s="526" t="s">
        <v>8221</v>
      </c>
      <c r="E5209" s="537"/>
      <c r="F5209" s="538" t="str">
        <f>IF($O5209&lt;&gt;"",ROUND(Q5209,2),"")</f>
        <v/>
      </c>
      <c r="G5209" s="538" t="str">
        <f>IF($O5209&lt;&gt;"",ROUND(P5209,2),"")</f>
        <v/>
      </c>
      <c r="H5209" s="537" t="str">
        <f>IF(ISNUMBER(G5209),ROUND(0.8*G5209,2),"")</f>
        <v/>
      </c>
      <c r="I5209" s="574"/>
      <c r="J5209" s="549">
        <v>45183</v>
      </c>
      <c r="K5209" s="11"/>
    </row>
    <row r="5210" spans="1:29" x14ac:dyDescent="0.35">
      <c r="A5210" s="527" t="s">
        <v>8216</v>
      </c>
      <c r="B5210" s="526" t="s">
        <v>6008</v>
      </c>
      <c r="C5210" s="526" t="s">
        <v>8220</v>
      </c>
      <c r="D5210" s="526" t="s">
        <v>8221</v>
      </c>
      <c r="E5210" s="537"/>
      <c r="F5210" s="538" t="str">
        <f>IF($O5210&lt;&gt;"",ROUND(Q5210,2),"")</f>
        <v/>
      </c>
      <c r="G5210" s="538" t="str">
        <f>IF($O5210&lt;&gt;"",ROUND(P5210,2),"")</f>
        <v/>
      </c>
      <c r="H5210" s="537" t="str">
        <f>IF(ISNUMBER(G5210),ROUND(0.8*G5210,2),"")</f>
        <v/>
      </c>
      <c r="I5210" s="574"/>
      <c r="J5210" s="549">
        <v>45183</v>
      </c>
      <c r="K5210" s="11"/>
    </row>
    <row r="5211" spans="1:29" x14ac:dyDescent="0.35">
      <c r="A5211" s="527" t="s">
        <v>8217</v>
      </c>
      <c r="B5211" s="526" t="s">
        <v>6009</v>
      </c>
      <c r="C5211" s="526" t="s">
        <v>8220</v>
      </c>
      <c r="D5211" s="526" t="s">
        <v>8221</v>
      </c>
      <c r="E5211" s="537"/>
      <c r="F5211" s="538" t="str">
        <f>IF($O5211&lt;&gt;"",ROUND(Q5211,2),"")</f>
        <v/>
      </c>
      <c r="G5211" s="538" t="str">
        <f>IF($O5211&lt;&gt;"",ROUND(P5211,2),"")</f>
        <v/>
      </c>
      <c r="H5211" s="537" t="str">
        <f>IF(ISNUMBER(G5211),ROUND(0.8*G5211,2),"")</f>
        <v/>
      </c>
      <c r="I5211" s="574"/>
      <c r="J5211" s="549">
        <v>45183</v>
      </c>
      <c r="K5211" s="11"/>
    </row>
    <row r="5212" spans="1:29" x14ac:dyDescent="0.35">
      <c r="A5212" s="527" t="s">
        <v>8218</v>
      </c>
      <c r="B5212" s="526" t="s">
        <v>740</v>
      </c>
      <c r="C5212" s="526" t="s">
        <v>8220</v>
      </c>
      <c r="D5212" s="526" t="s">
        <v>8221</v>
      </c>
      <c r="E5212" s="537"/>
      <c r="F5212" s="538" t="str">
        <f>IF($O5212&lt;&gt;"",ROUND(Q5212,2),"")</f>
        <v/>
      </c>
      <c r="G5212" s="538" t="str">
        <f>IF($O5212&lt;&gt;"",ROUND(P5212,2),"")</f>
        <v/>
      </c>
      <c r="H5212" s="537" t="str">
        <f>IF(ISNUMBER(G5212),ROUND(0.8*G5212,2),"")</f>
        <v/>
      </c>
      <c r="I5212" s="574"/>
      <c r="J5212" s="549">
        <v>45183</v>
      </c>
      <c r="K5212" s="11"/>
    </row>
    <row r="5213" spans="1:29" x14ac:dyDescent="0.35">
      <c r="A5213" s="527" t="s">
        <v>8219</v>
      </c>
      <c r="B5213" s="526" t="s">
        <v>5434</v>
      </c>
      <c r="C5213" s="526" t="s">
        <v>8220</v>
      </c>
      <c r="D5213" s="526" t="s">
        <v>8221</v>
      </c>
      <c r="E5213" s="537"/>
      <c r="F5213" s="538" t="str">
        <f>IF($O5213&lt;&gt;"",ROUND(Q5213,2),"")</f>
        <v/>
      </c>
      <c r="G5213" s="538" t="str">
        <f>IF($O5213&lt;&gt;"",ROUND(P5213,2),"")</f>
        <v/>
      </c>
      <c r="H5213" s="537" t="str">
        <f>IF(ISNUMBER(G5213),ROUND(0.8*G5213,2),"")</f>
        <v/>
      </c>
      <c r="I5213" s="574"/>
      <c r="J5213" s="549">
        <v>45183</v>
      </c>
      <c r="K5213" s="11"/>
    </row>
    <row r="5214" spans="1:29" x14ac:dyDescent="0.35">
      <c r="D5214" s="103"/>
      <c r="J5214" s="549"/>
    </row>
    <row r="5215" spans="1:29" s="187" customFormat="1" ht="33.75" customHeight="1" x14ac:dyDescent="0.35">
      <c r="A5215" s="543" t="s">
        <v>8113</v>
      </c>
      <c r="B5215" s="493"/>
      <c r="C5215" s="493"/>
      <c r="D5215" s="493"/>
      <c r="E5215" s="493"/>
      <c r="F5215" s="494"/>
      <c r="G5215" s="493"/>
      <c r="H5215" s="544" t="str">
        <f>IF(ISNUMBER(G5215),ROUND(0.8*G5215,2),"")</f>
        <v/>
      </c>
      <c r="I5215" s="593"/>
      <c r="J5215" s="549">
        <v>44616</v>
      </c>
      <c r="K5215" s="547"/>
      <c r="M5215" s="207"/>
      <c r="N5215" s="207"/>
      <c r="O5215" s="207"/>
      <c r="P5215" s="207"/>
      <c r="Q5215" s="207"/>
      <c r="R5215" s="207"/>
      <c r="S5215" s="207"/>
      <c r="T5215" s="207"/>
      <c r="U5215" s="207"/>
      <c r="V5215" s="207"/>
      <c r="W5215" s="207"/>
      <c r="X5215" s="207"/>
      <c r="Y5215" s="207"/>
      <c r="Z5215" s="207"/>
      <c r="AA5215" s="207"/>
      <c r="AB5215" s="207"/>
      <c r="AC5215" s="207"/>
    </row>
    <row r="5216" spans="1:29" ht="121.4" customHeight="1" x14ac:dyDescent="0.35">
      <c r="A5216" s="908" t="s">
        <v>7840</v>
      </c>
      <c r="B5216" s="908"/>
      <c r="C5216" s="908"/>
      <c r="D5216" s="908"/>
      <c r="E5216" s="908"/>
      <c r="F5216" s="908"/>
      <c r="G5216" s="545"/>
      <c r="H5216" s="546"/>
      <c r="I5216" s="594"/>
      <c r="J5216" s="549">
        <v>44616</v>
      </c>
      <c r="K5216" s="11"/>
      <c r="M5216" s="187"/>
      <c r="N5216" s="187"/>
      <c r="O5216" s="187"/>
      <c r="P5216" s="187"/>
      <c r="Q5216" s="187"/>
      <c r="R5216" s="187"/>
      <c r="S5216" s="187"/>
      <c r="T5216" s="187"/>
      <c r="U5216" s="187"/>
      <c r="V5216" s="187"/>
      <c r="W5216" s="187"/>
      <c r="X5216" s="187"/>
      <c r="Y5216" s="187"/>
      <c r="Z5216" s="187"/>
      <c r="AA5216" s="187"/>
      <c r="AB5216" s="187"/>
      <c r="AC5216" s="187"/>
    </row>
    <row r="5217" spans="1:29" x14ac:dyDescent="0.35">
      <c r="D5217" s="103"/>
      <c r="J5217" s="549"/>
    </row>
    <row r="5218" spans="1:29" x14ac:dyDescent="0.35">
      <c r="A5218" s="527" t="s">
        <v>7835</v>
      </c>
      <c r="B5218" s="526" t="s">
        <v>6008</v>
      </c>
      <c r="C5218" s="526" t="s">
        <v>5853</v>
      </c>
      <c r="D5218" s="526" t="s">
        <v>8114</v>
      </c>
      <c r="E5218" s="537"/>
      <c r="F5218" s="538" t="str">
        <f>IF($O5218&lt;&gt;"",ROUND(Q5218,2),"")</f>
        <v/>
      </c>
      <c r="G5218" s="538" t="str">
        <f>IF($O5218&lt;&gt;"",ROUND(P5218,2),"")</f>
        <v/>
      </c>
      <c r="H5218" s="537" t="str">
        <f>IF(ISNUMBER(G5218),ROUND(0.8*G5218,2),"")</f>
        <v/>
      </c>
      <c r="I5218" s="574"/>
      <c r="J5218" s="549">
        <v>44896</v>
      </c>
      <c r="K5218" s="11"/>
      <c r="N5218" s="266"/>
      <c r="O5218" s="322"/>
      <c r="P5218" s="462" t="str">
        <f>IF($O5218&lt;&gt;"",#REF!*(100%-$O5218),"")</f>
        <v/>
      </c>
      <c r="Q5218" s="261" t="str">
        <f>IF($O5218&lt;&gt;"",(1-$O5218)*#REF!,"")</f>
        <v/>
      </c>
      <c r="R5218" s="261"/>
    </row>
    <row r="5219" spans="1:29" x14ac:dyDescent="0.35">
      <c r="A5219" s="527" t="s">
        <v>7836</v>
      </c>
      <c r="B5219" s="526" t="s">
        <v>6008</v>
      </c>
      <c r="C5219" s="526" t="s">
        <v>5853</v>
      </c>
      <c r="D5219" s="526" t="s">
        <v>8115</v>
      </c>
      <c r="E5219" s="537"/>
      <c r="F5219" s="538" t="str">
        <f>IF($O5219&lt;&gt;"",ROUND(Q5219,2),"")</f>
        <v/>
      </c>
      <c r="G5219" s="538" t="str">
        <f>IF($O5219&lt;&gt;"",ROUND(P5219,2),"")</f>
        <v/>
      </c>
      <c r="H5219" s="537" t="str">
        <f>IF(ISNUMBER(G5219),ROUND(0.8*G5219,2),"")</f>
        <v/>
      </c>
      <c r="I5219" s="574"/>
      <c r="J5219" s="549">
        <v>44896</v>
      </c>
      <c r="K5219" s="11"/>
      <c r="N5219" s="266"/>
      <c r="O5219" s="322"/>
      <c r="P5219" s="462" t="str">
        <f>IF($O5219&lt;&gt;"",#REF!*(100%-$O5219),"")</f>
        <v/>
      </c>
      <c r="Q5219" s="261" t="str">
        <f>IF($O5219&lt;&gt;"",(1-$O5219)*#REF!,"")</f>
        <v/>
      </c>
      <c r="R5219" s="261"/>
    </row>
    <row r="5220" spans="1:29" x14ac:dyDescent="0.35">
      <c r="A5220" s="527" t="s">
        <v>7837</v>
      </c>
      <c r="B5220" s="526" t="s">
        <v>6008</v>
      </c>
      <c r="C5220" s="526" t="s">
        <v>5853</v>
      </c>
      <c r="D5220" s="526" t="s">
        <v>8116</v>
      </c>
      <c r="E5220" s="537"/>
      <c r="F5220" s="538" t="str">
        <f>IF($O5220&lt;&gt;"",ROUND(Q5220,2),"")</f>
        <v/>
      </c>
      <c r="G5220" s="538" t="str">
        <f>IF($O5220&lt;&gt;"",ROUND(P5220,2),"")</f>
        <v/>
      </c>
      <c r="H5220" s="537" t="str">
        <f>IF(ISNUMBER(G5220),ROUND(0.8*G5220,2),"")</f>
        <v/>
      </c>
      <c r="I5220" s="574"/>
      <c r="J5220" s="549">
        <v>44896</v>
      </c>
      <c r="K5220" s="11"/>
      <c r="N5220" s="266"/>
      <c r="O5220" s="322"/>
      <c r="P5220" s="462" t="str">
        <f>IF($O5220&lt;&gt;"",#REF!*(100%-$O5220),"")</f>
        <v/>
      </c>
      <c r="Q5220" s="261" t="str">
        <f>IF($O5220&lt;&gt;"",(1-$O5220)*#REF!,"")</f>
        <v/>
      </c>
      <c r="R5220" s="261"/>
    </row>
    <row r="5221" spans="1:29" x14ac:dyDescent="0.35">
      <c r="A5221" s="527" t="s">
        <v>7838</v>
      </c>
      <c r="B5221" s="526" t="s">
        <v>6008</v>
      </c>
      <c r="C5221" s="526" t="s">
        <v>5853</v>
      </c>
      <c r="D5221" s="526" t="s">
        <v>8117</v>
      </c>
      <c r="E5221" s="537"/>
      <c r="F5221" s="538" t="str">
        <f>IF($O5221&lt;&gt;"",ROUND(Q5221,2),"")</f>
        <v/>
      </c>
      <c r="G5221" s="538" t="str">
        <f>IF($O5221&lt;&gt;"",ROUND(P5221,2),"")</f>
        <v/>
      </c>
      <c r="H5221" s="537" t="str">
        <f>IF(ISNUMBER(G5221),ROUND(0.8*G5221,2),"")</f>
        <v/>
      </c>
      <c r="I5221" s="574"/>
      <c r="J5221" s="549">
        <v>44896</v>
      </c>
      <c r="K5221" s="11"/>
      <c r="N5221" s="266"/>
      <c r="O5221" s="322"/>
      <c r="P5221" s="462" t="str">
        <f>IF($O5221&lt;&gt;"",#REF!*(100%-$O5221),"")</f>
        <v/>
      </c>
      <c r="Q5221" s="261" t="str">
        <f>IF($O5221&lt;&gt;"",(1-$O5221)*#REF!,"")</f>
        <v/>
      </c>
      <c r="R5221" s="261"/>
    </row>
    <row r="5222" spans="1:29" x14ac:dyDescent="0.35">
      <c r="D5222" s="103"/>
      <c r="J5222" s="549"/>
      <c r="K5222" s="11"/>
    </row>
    <row r="5223" spans="1:29" s="187" customFormat="1" ht="33.75" customHeight="1" x14ac:dyDescent="0.35">
      <c r="A5223" s="543" t="s">
        <v>8118</v>
      </c>
      <c r="B5223" s="493"/>
      <c r="C5223" s="493"/>
      <c r="D5223" s="493"/>
      <c r="E5223" s="493"/>
      <c r="F5223" s="494"/>
      <c r="G5223" s="493"/>
      <c r="H5223" s="544" t="str">
        <f>IF(ISNUMBER(G5223),ROUND(0.8*G5223,2),"")</f>
        <v/>
      </c>
      <c r="I5223" s="593"/>
      <c r="J5223" s="549">
        <v>44536</v>
      </c>
      <c r="K5223" s="547"/>
      <c r="M5223" s="207"/>
      <c r="N5223" s="207"/>
      <c r="O5223" s="207"/>
      <c r="P5223" s="207"/>
      <c r="Q5223" s="207"/>
      <c r="R5223" s="207"/>
      <c r="S5223" s="207"/>
      <c r="T5223" s="207"/>
      <c r="U5223" s="207"/>
      <c r="V5223" s="207"/>
      <c r="W5223" s="207"/>
      <c r="X5223" s="207"/>
      <c r="Y5223" s="207"/>
      <c r="Z5223" s="207"/>
      <c r="AA5223" s="207"/>
      <c r="AB5223" s="207"/>
      <c r="AC5223" s="207"/>
    </row>
    <row r="5224" spans="1:29" ht="96" customHeight="1" x14ac:dyDescent="0.35">
      <c r="A5224" s="912" t="s">
        <v>8120</v>
      </c>
      <c r="B5224" s="912"/>
      <c r="C5224" s="912"/>
      <c r="D5224" s="912"/>
      <c r="E5224" s="912"/>
      <c r="F5224" s="912"/>
      <c r="G5224" s="545"/>
      <c r="H5224" s="546"/>
      <c r="I5224" s="594"/>
      <c r="J5224" s="549">
        <v>44536</v>
      </c>
      <c r="K5224" s="11"/>
      <c r="M5224" s="187"/>
      <c r="N5224" s="187"/>
      <c r="O5224" s="187"/>
      <c r="P5224" s="187"/>
      <c r="Q5224" s="187"/>
      <c r="R5224" s="187"/>
      <c r="S5224" s="187"/>
      <c r="T5224" s="187"/>
      <c r="U5224" s="187"/>
      <c r="V5224" s="187"/>
      <c r="W5224" s="187"/>
      <c r="X5224" s="187"/>
      <c r="Y5224" s="187"/>
      <c r="Z5224" s="187"/>
      <c r="AA5224" s="187"/>
      <c r="AB5224" s="187"/>
      <c r="AC5224" s="187"/>
    </row>
    <row r="5225" spans="1:29" x14ac:dyDescent="0.35">
      <c r="D5225" s="103"/>
      <c r="J5225" s="549"/>
    </row>
    <row r="5226" spans="1:29" x14ac:dyDescent="0.35">
      <c r="A5226" s="527" t="s">
        <v>7730</v>
      </c>
      <c r="B5226" s="526" t="s">
        <v>5434</v>
      </c>
      <c r="C5226" s="526" t="s">
        <v>7731</v>
      </c>
      <c r="D5226" s="526" t="s">
        <v>8119</v>
      </c>
      <c r="E5226" s="537"/>
      <c r="F5226" s="538" t="str">
        <f>IF($O5226&lt;&gt;"",ROUND(Q5226,2),"")</f>
        <v/>
      </c>
      <c r="G5226" s="538" t="str">
        <f>IF($O5226&lt;&gt;"",ROUND(P5226,2),"")</f>
        <v/>
      </c>
      <c r="H5226" s="537" t="str">
        <f>IF(ISNUMBER(G5226),ROUND(0.8*G5226,2),"")</f>
        <v/>
      </c>
      <c r="I5226" s="574"/>
      <c r="J5226" s="549">
        <v>44896</v>
      </c>
      <c r="K5226" s="11"/>
      <c r="N5226" s="266"/>
      <c r="O5226" s="322"/>
      <c r="P5226" s="462" t="str">
        <f>IF($O5226&lt;&gt;"",#REF!*(100%-$O5226),"")</f>
        <v/>
      </c>
      <c r="Q5226" s="261" t="str">
        <f>IF($O5226&lt;&gt;"",(1-$O5226)*#REF!,"")</f>
        <v/>
      </c>
      <c r="R5226" s="261"/>
    </row>
    <row r="5227" spans="1:29" x14ac:dyDescent="0.35">
      <c r="D5227" s="615"/>
      <c r="J5227" s="549"/>
    </row>
    <row r="5228" spans="1:29" ht="23.5" x14ac:dyDescent="0.35">
      <c r="A5228" s="543" t="s">
        <v>7474</v>
      </c>
      <c r="B5228" s="493"/>
      <c r="C5228" s="493"/>
      <c r="D5228" s="493"/>
      <c r="E5228" s="493"/>
      <c r="F5228" s="494"/>
      <c r="G5228" s="493"/>
      <c r="H5228" s="544" t="str">
        <f>IF(ISNUMBER(G5228),ROUND(0.8*G5228,2),"")</f>
        <v/>
      </c>
      <c r="I5228" s="593"/>
      <c r="J5228" s="549">
        <v>45211</v>
      </c>
      <c r="K5228" s="11"/>
    </row>
    <row r="5229" spans="1:29" ht="144" customHeight="1" x14ac:dyDescent="0.35">
      <c r="A5229" s="908" t="s">
        <v>8225</v>
      </c>
      <c r="B5229" s="908"/>
      <c r="C5229" s="908"/>
      <c r="D5229" s="908"/>
      <c r="E5229" s="908"/>
      <c r="F5229" s="908"/>
      <c r="G5229" s="493"/>
      <c r="H5229" s="544"/>
      <c r="I5229" s="593"/>
      <c r="J5229" s="549">
        <v>45268</v>
      </c>
      <c r="K5229" s="11"/>
    </row>
    <row r="5230" spans="1:29" x14ac:dyDescent="0.35">
      <c r="D5230" s="103"/>
      <c r="J5230" s="549"/>
      <c r="K5230" s="11"/>
    </row>
    <row r="5231" spans="1:29" x14ac:dyDescent="0.35">
      <c r="A5231" s="527" t="s">
        <v>7539</v>
      </c>
      <c r="B5231" s="526" t="s">
        <v>6008</v>
      </c>
      <c r="C5231" s="526"/>
      <c r="D5231" s="526" t="s">
        <v>8224</v>
      </c>
      <c r="E5231" s="537"/>
      <c r="F5231" s="538" t="str">
        <f>IF($O5231&lt;&gt;"",ROUND(Q5231,2),"")</f>
        <v/>
      </c>
      <c r="G5231" s="538" t="str">
        <f>IF($O5231&lt;&gt;"",ROUND(P5231,2),"")</f>
        <v/>
      </c>
      <c r="H5231" s="537" t="str">
        <f>IF(ISNUMBER(G5231),ROUND(0.8*G5231,2),"")</f>
        <v/>
      </c>
      <c r="I5231" s="574"/>
      <c r="J5231" s="549">
        <v>45211</v>
      </c>
      <c r="K5231" s="11"/>
    </row>
    <row r="5232" spans="1:29" x14ac:dyDescent="0.35">
      <c r="A5232" s="527" t="s">
        <v>7540</v>
      </c>
      <c r="B5232" s="526" t="s">
        <v>740</v>
      </c>
      <c r="C5232" s="526"/>
      <c r="D5232" s="526" t="s">
        <v>8223</v>
      </c>
      <c r="E5232" s="537"/>
      <c r="F5232" s="538" t="str">
        <f>IF($O5232&lt;&gt;"",ROUND(Q5232,2),"")</f>
        <v/>
      </c>
      <c r="G5232" s="538" t="str">
        <f>IF($O5232&lt;&gt;"",ROUND(P5232,2),"")</f>
        <v/>
      </c>
      <c r="H5232" s="537" t="str">
        <f>IF(ISNUMBER(G5232),ROUND(0.8*G5232,2),"")</f>
        <v/>
      </c>
      <c r="I5232" s="574"/>
      <c r="J5232" s="549">
        <v>45211</v>
      </c>
      <c r="K5232" s="11"/>
    </row>
    <row r="5233" spans="1:29" x14ac:dyDescent="0.35">
      <c r="F5233"/>
      <c r="G5233"/>
      <c r="H5233"/>
      <c r="I5233"/>
      <c r="J5233" s="549"/>
    </row>
    <row r="5234" spans="1:29" ht="23.5" x14ac:dyDescent="0.35">
      <c r="A5234" s="651" t="s">
        <v>8121</v>
      </c>
      <c r="B5234" s="50"/>
      <c r="C5234" s="50"/>
      <c r="D5234" s="50"/>
      <c r="E5234" s="50"/>
      <c r="F5234" s="363"/>
      <c r="G5234" s="50"/>
      <c r="H5234" s="59"/>
      <c r="I5234" s="567"/>
      <c r="J5234" s="549">
        <v>44196</v>
      </c>
    </row>
    <row r="5235" spans="1:29" s="187" customFormat="1" ht="28.5" customHeight="1" x14ac:dyDescent="0.35">
      <c r="A5235" s="915" t="s">
        <v>8122</v>
      </c>
      <c r="B5235" s="915"/>
      <c r="C5235" s="915"/>
      <c r="D5235" s="915"/>
      <c r="E5235" s="915"/>
      <c r="F5235" s="915"/>
      <c r="G5235" s="915"/>
      <c r="H5235" s="915"/>
      <c r="I5235" s="598"/>
      <c r="J5235" s="549">
        <v>44196</v>
      </c>
      <c r="M5235"/>
      <c r="N5235"/>
      <c r="U5235"/>
      <c r="V5235"/>
      <c r="W5235"/>
      <c r="X5235"/>
      <c r="Y5235"/>
      <c r="Z5235"/>
      <c r="AA5235"/>
      <c r="AB5235"/>
      <c r="AC5235"/>
    </row>
    <row r="5236" spans="1:29" s="187" customFormat="1" ht="38.15" customHeight="1" x14ac:dyDescent="0.35">
      <c r="A5236" s="914" t="s">
        <v>8172</v>
      </c>
      <c r="B5236" s="914"/>
      <c r="C5236" s="914"/>
      <c r="D5236" s="914"/>
      <c r="E5236" s="914"/>
      <c r="F5236" s="914"/>
      <c r="G5236" s="914"/>
      <c r="H5236" s="914"/>
      <c r="I5236" s="598"/>
      <c r="J5236" s="549">
        <v>44958</v>
      </c>
      <c r="M5236"/>
      <c r="N5236"/>
      <c r="U5236"/>
      <c r="V5236"/>
      <c r="W5236"/>
      <c r="X5236"/>
      <c r="Y5236"/>
      <c r="Z5236"/>
      <c r="AA5236"/>
      <c r="AB5236"/>
      <c r="AC5236"/>
    </row>
    <row r="5237" spans="1:29" s="187" customFormat="1" x14ac:dyDescent="0.35">
      <c r="A5237" s="640" t="s">
        <v>8123</v>
      </c>
      <c r="B5237" s="640"/>
      <c r="C5237" s="640"/>
      <c r="D5237" s="640"/>
      <c r="E5237" s="640"/>
      <c r="F5237" s="640"/>
      <c r="G5237" s="354"/>
      <c r="H5237" s="412"/>
      <c r="I5237" s="598"/>
      <c r="J5237" s="549">
        <v>44196</v>
      </c>
      <c r="M5237"/>
      <c r="N5237"/>
      <c r="U5237"/>
      <c r="V5237"/>
      <c r="W5237"/>
      <c r="X5237"/>
      <c r="Y5237"/>
      <c r="Z5237"/>
      <c r="AA5237"/>
      <c r="AB5237"/>
      <c r="AC5237"/>
    </row>
    <row r="5238" spans="1:29" s="187" customFormat="1" ht="30.75" customHeight="1" x14ac:dyDescent="0.35">
      <c r="A5238" s="915" t="s">
        <v>7826</v>
      </c>
      <c r="B5238" s="915"/>
      <c r="C5238" s="915"/>
      <c r="D5238" s="915"/>
      <c r="E5238" s="915"/>
      <c r="F5238" s="915"/>
      <c r="G5238" s="915"/>
      <c r="H5238" s="915"/>
      <c r="I5238" s="598"/>
      <c r="J5238" s="549">
        <v>44196</v>
      </c>
      <c r="M5238"/>
      <c r="N5238"/>
      <c r="U5238"/>
      <c r="V5238"/>
      <c r="W5238"/>
      <c r="X5238"/>
      <c r="Y5238"/>
      <c r="Z5238"/>
      <c r="AA5238"/>
      <c r="AB5238"/>
      <c r="AC5238"/>
    </row>
    <row r="5239" spans="1:29" x14ac:dyDescent="0.35">
      <c r="F5239"/>
      <c r="G5239"/>
      <c r="H5239"/>
      <c r="I5239"/>
      <c r="J5239" s="549"/>
    </row>
    <row r="5240" spans="1:29" x14ac:dyDescent="0.35">
      <c r="A5240" s="527" t="s">
        <v>6693</v>
      </c>
      <c r="B5240" s="526" t="s">
        <v>2269</v>
      </c>
      <c r="C5240" s="526"/>
      <c r="D5240" s="526" t="s">
        <v>6699</v>
      </c>
      <c r="E5240" s="537"/>
      <c r="F5240" s="538"/>
      <c r="G5240" s="538"/>
      <c r="H5240" s="537"/>
      <c r="I5240" s="574"/>
      <c r="J5240" s="549">
        <v>44196</v>
      </c>
      <c r="K5240" s="102"/>
      <c r="N5240" s="266"/>
      <c r="O5240" s="322"/>
      <c r="P5240" s="462"/>
      <c r="Q5240" s="261"/>
      <c r="R5240" s="261"/>
    </row>
    <row r="5241" spans="1:29" x14ac:dyDescent="0.35">
      <c r="A5241" s="527" t="s">
        <v>6694</v>
      </c>
      <c r="B5241" s="526" t="s">
        <v>5547</v>
      </c>
      <c r="C5241" s="526"/>
      <c r="D5241" s="526" t="s">
        <v>6699</v>
      </c>
      <c r="E5241" s="537"/>
      <c r="F5241" s="538"/>
      <c r="G5241" s="538"/>
      <c r="H5241" s="537"/>
      <c r="I5241" s="574"/>
      <c r="J5241" s="549">
        <v>44196</v>
      </c>
      <c r="K5241" s="102"/>
      <c r="N5241" s="266"/>
      <c r="O5241" s="322"/>
      <c r="P5241" s="462"/>
      <c r="Q5241" s="261"/>
      <c r="R5241" s="261"/>
    </row>
    <row r="5242" spans="1:29" x14ac:dyDescent="0.35">
      <c r="A5242" s="527" t="s">
        <v>6698</v>
      </c>
      <c r="B5242" s="526" t="s">
        <v>4846</v>
      </c>
      <c r="C5242" s="526"/>
      <c r="D5242" s="526" t="s">
        <v>6699</v>
      </c>
      <c r="E5242" s="537"/>
      <c r="F5242" s="538"/>
      <c r="G5242" s="538"/>
      <c r="H5242" s="537"/>
      <c r="I5242" s="574"/>
      <c r="J5242" s="549">
        <v>44196</v>
      </c>
      <c r="K5242" s="102"/>
      <c r="N5242" s="266"/>
      <c r="O5242" s="322"/>
      <c r="P5242" s="462"/>
      <c r="Q5242" s="261"/>
      <c r="R5242" s="261"/>
    </row>
    <row r="5243" spans="1:29" x14ac:dyDescent="0.35">
      <c r="A5243" s="527" t="s">
        <v>6695</v>
      </c>
      <c r="B5243" s="526" t="s">
        <v>2034</v>
      </c>
      <c r="C5243" s="526"/>
      <c r="D5243" s="526" t="s">
        <v>6699</v>
      </c>
      <c r="E5243" s="537"/>
      <c r="F5243" s="538"/>
      <c r="G5243" s="538"/>
      <c r="H5243" s="537"/>
      <c r="I5243" s="574"/>
      <c r="J5243" s="549">
        <v>44196</v>
      </c>
      <c r="K5243" s="102"/>
      <c r="N5243" s="266"/>
      <c r="O5243" s="322"/>
      <c r="P5243" s="462"/>
      <c r="Q5243" s="261"/>
      <c r="R5243" s="261"/>
    </row>
    <row r="5244" spans="1:29" x14ac:dyDescent="0.35">
      <c r="A5244" s="527" t="s">
        <v>6696</v>
      </c>
      <c r="B5244" s="526" t="s">
        <v>740</v>
      </c>
      <c r="C5244" s="526"/>
      <c r="D5244" s="526" t="s">
        <v>6699</v>
      </c>
      <c r="E5244" s="537"/>
      <c r="F5244" s="538"/>
      <c r="G5244" s="538"/>
      <c r="H5244" s="537"/>
      <c r="I5244" s="574"/>
      <c r="J5244" s="549">
        <v>44196</v>
      </c>
      <c r="K5244" s="102"/>
      <c r="N5244" s="266"/>
      <c r="O5244" s="322"/>
      <c r="P5244" s="462"/>
      <c r="Q5244" s="261"/>
      <c r="R5244" s="261"/>
    </row>
    <row r="5245" spans="1:29" x14ac:dyDescent="0.35">
      <c r="F5245"/>
      <c r="G5245"/>
      <c r="H5245"/>
      <c r="I5245"/>
      <c r="J5245" s="549"/>
    </row>
    <row r="5246" spans="1:29" x14ac:dyDescent="0.35">
      <c r="A5246" s="527" t="s">
        <v>7431</v>
      </c>
      <c r="B5246" s="526" t="s">
        <v>2269</v>
      </c>
      <c r="C5246" s="526"/>
      <c r="D5246" s="526" t="s">
        <v>7437</v>
      </c>
      <c r="E5246" s="537"/>
      <c r="F5246" s="538"/>
      <c r="G5246" s="538"/>
      <c r="H5246" s="537"/>
      <c r="I5246" s="574"/>
      <c r="J5246" s="549">
        <v>44196</v>
      </c>
      <c r="K5246" s="102"/>
      <c r="N5246" s="266"/>
      <c r="O5246" s="322"/>
      <c r="P5246" s="462"/>
      <c r="Q5246" s="261"/>
      <c r="R5246" s="261"/>
    </row>
    <row r="5247" spans="1:29" x14ac:dyDescent="0.35">
      <c r="A5247" s="527" t="s">
        <v>7432</v>
      </c>
      <c r="B5247" s="526" t="s">
        <v>5547</v>
      </c>
      <c r="C5247" s="526"/>
      <c r="D5247" s="526" t="s">
        <v>7437</v>
      </c>
      <c r="E5247" s="537"/>
      <c r="F5247" s="538"/>
      <c r="G5247" s="538"/>
      <c r="H5247" s="537"/>
      <c r="I5247" s="574"/>
      <c r="J5247" s="549">
        <v>44196</v>
      </c>
      <c r="K5247" s="102"/>
      <c r="N5247" s="266"/>
      <c r="O5247" s="322"/>
      <c r="P5247" s="462"/>
      <c r="Q5247" s="261"/>
      <c r="R5247" s="261"/>
    </row>
    <row r="5248" spans="1:29" x14ac:dyDescent="0.35">
      <c r="A5248" s="527" t="s">
        <v>7433</v>
      </c>
      <c r="B5248" s="526" t="s">
        <v>4846</v>
      </c>
      <c r="C5248" s="526"/>
      <c r="D5248" s="526" t="s">
        <v>7437</v>
      </c>
      <c r="E5248" s="537"/>
      <c r="F5248" s="538"/>
      <c r="G5248" s="538"/>
      <c r="H5248" s="537"/>
      <c r="I5248" s="574"/>
      <c r="J5248" s="549">
        <v>44196</v>
      </c>
      <c r="K5248" s="102"/>
      <c r="N5248" s="266"/>
      <c r="O5248" s="322"/>
      <c r="P5248" s="462"/>
      <c r="Q5248" s="261"/>
      <c r="R5248" s="261"/>
    </row>
    <row r="5249" spans="1:29" x14ac:dyDescent="0.35">
      <c r="A5249" s="527" t="s">
        <v>7434</v>
      </c>
      <c r="B5249" s="526" t="s">
        <v>2034</v>
      </c>
      <c r="C5249" s="526"/>
      <c r="D5249" s="526" t="s">
        <v>7437</v>
      </c>
      <c r="E5249" s="537"/>
      <c r="F5249" s="538"/>
      <c r="G5249" s="538"/>
      <c r="H5249" s="537"/>
      <c r="I5249" s="574"/>
      <c r="J5249" s="549">
        <v>44196</v>
      </c>
      <c r="K5249" s="102"/>
      <c r="N5249" s="266"/>
      <c r="O5249" s="322"/>
      <c r="P5249" s="462"/>
      <c r="Q5249" s="261"/>
      <c r="R5249" s="261"/>
    </row>
    <row r="5250" spans="1:29" x14ac:dyDescent="0.35">
      <c r="A5250" s="527" t="s">
        <v>7436</v>
      </c>
      <c r="B5250" s="526" t="s">
        <v>740</v>
      </c>
      <c r="C5250" s="526"/>
      <c r="D5250" s="526" t="s">
        <v>7437</v>
      </c>
      <c r="E5250" s="537"/>
      <c r="F5250" s="538"/>
      <c r="G5250" s="538"/>
      <c r="H5250" s="537"/>
      <c r="I5250" s="574"/>
      <c r="J5250" s="549">
        <v>44196</v>
      </c>
      <c r="K5250" s="102"/>
      <c r="N5250" s="266"/>
      <c r="O5250" s="322"/>
      <c r="P5250" s="462"/>
      <c r="Q5250" s="261"/>
      <c r="R5250" s="261"/>
    </row>
    <row r="5251" spans="1:29" ht="15" customHeight="1" x14ac:dyDescent="0.35">
      <c r="F5251"/>
      <c r="G5251"/>
      <c r="H5251"/>
      <c r="I5251"/>
      <c r="J5251" s="549"/>
    </row>
    <row r="5252" spans="1:29" ht="23.5" x14ac:dyDescent="0.35">
      <c r="A5252" s="651" t="s">
        <v>7704</v>
      </c>
      <c r="B5252" s="50"/>
      <c r="C5252" s="50"/>
      <c r="D5252" s="50"/>
      <c r="E5252" s="50"/>
      <c r="F5252" s="751"/>
      <c r="G5252" s="50"/>
      <c r="H5252" s="59"/>
      <c r="I5252" s="567"/>
      <c r="J5252" s="549">
        <v>44536</v>
      </c>
    </row>
    <row r="5253" spans="1:29" s="187" customFormat="1" ht="39.75" customHeight="1" x14ac:dyDescent="0.35">
      <c r="A5253" s="915" t="s">
        <v>7705</v>
      </c>
      <c r="B5253" s="915"/>
      <c r="C5253" s="915"/>
      <c r="D5253" s="915"/>
      <c r="E5253" s="915"/>
      <c r="F5253" s="915"/>
      <c r="G5253" s="354"/>
      <c r="H5253" s="412"/>
      <c r="I5253" s="598"/>
      <c r="J5253" s="549">
        <v>44536</v>
      </c>
      <c r="M5253"/>
      <c r="N5253"/>
      <c r="U5253"/>
      <c r="V5253"/>
      <c r="W5253"/>
      <c r="X5253"/>
      <c r="Y5253"/>
      <c r="Z5253"/>
      <c r="AA5253"/>
      <c r="AB5253"/>
      <c r="AC5253"/>
    </row>
    <row r="5254" spans="1:29" s="187" customFormat="1" ht="60" customHeight="1" x14ac:dyDescent="0.35">
      <c r="A5254" s="915" t="s">
        <v>7706</v>
      </c>
      <c r="B5254" s="915"/>
      <c r="C5254" s="915"/>
      <c r="D5254" s="915"/>
      <c r="E5254" s="915"/>
      <c r="F5254" s="915"/>
      <c r="G5254" s="354"/>
      <c r="H5254" s="412"/>
      <c r="I5254" s="598"/>
      <c r="J5254" s="549">
        <v>44536</v>
      </c>
      <c r="M5254"/>
      <c r="N5254"/>
      <c r="U5254"/>
      <c r="V5254"/>
      <c r="W5254"/>
      <c r="X5254"/>
      <c r="Y5254"/>
      <c r="Z5254"/>
      <c r="AA5254"/>
      <c r="AB5254"/>
      <c r="AC5254"/>
    </row>
    <row r="5255" spans="1:29" x14ac:dyDescent="0.35">
      <c r="D5255" s="615"/>
      <c r="F5255" s="666"/>
      <c r="J5255" s="549"/>
    </row>
    <row r="5256" spans="1:29" x14ac:dyDescent="0.35">
      <c r="A5256" s="652" t="s">
        <v>7707</v>
      </c>
      <c r="B5256" s="526" t="s">
        <v>5547</v>
      </c>
      <c r="C5256" s="526" t="s">
        <v>2270</v>
      </c>
      <c r="D5256" s="526" t="s">
        <v>7708</v>
      </c>
      <c r="E5256" s="537"/>
      <c r="F5256" s="538"/>
      <c r="G5256" s="538"/>
      <c r="H5256" s="537"/>
      <c r="I5256" s="574"/>
      <c r="J5256" s="549">
        <v>44536</v>
      </c>
      <c r="K5256" s="102"/>
      <c r="N5256" s="266"/>
      <c r="O5256" s="322"/>
      <c r="P5256" s="462"/>
      <c r="Q5256" s="261"/>
      <c r="R5256" s="261"/>
    </row>
    <row r="5257" spans="1:29" x14ac:dyDescent="0.35">
      <c r="A5257" s="652" t="s">
        <v>7709</v>
      </c>
      <c r="B5257" s="526" t="s">
        <v>5547</v>
      </c>
      <c r="C5257" s="526" t="s">
        <v>2270</v>
      </c>
      <c r="D5257" s="526" t="s">
        <v>7710</v>
      </c>
      <c r="E5257" s="537"/>
      <c r="F5257" s="538"/>
      <c r="G5257" s="538"/>
      <c r="H5257" s="537"/>
      <c r="I5257" s="574"/>
      <c r="J5257" s="549">
        <v>44536</v>
      </c>
      <c r="K5257" s="102"/>
      <c r="N5257" s="266"/>
      <c r="O5257" s="322"/>
      <c r="P5257" s="462"/>
      <c r="Q5257" s="261"/>
      <c r="R5257" s="261"/>
    </row>
    <row r="5258" spans="1:29" x14ac:dyDescent="0.35">
      <c r="D5258" s="615"/>
      <c r="F5258" s="666"/>
      <c r="J5258"/>
    </row>
    <row r="5259" spans="1:29" x14ac:dyDescent="0.35">
      <c r="A5259" s="652" t="s">
        <v>8163</v>
      </c>
      <c r="B5259" s="526" t="s">
        <v>5547</v>
      </c>
      <c r="C5259" s="526" t="s">
        <v>3723</v>
      </c>
      <c r="D5259" s="526" t="s">
        <v>7708</v>
      </c>
      <c r="E5259" s="537"/>
      <c r="F5259" s="538"/>
      <c r="G5259" s="538"/>
      <c r="H5259" s="537"/>
      <c r="I5259" s="574"/>
      <c r="J5259" s="549">
        <v>44958</v>
      </c>
      <c r="K5259" s="102"/>
      <c r="N5259" s="266"/>
      <c r="O5259" s="322"/>
      <c r="P5259" s="462"/>
      <c r="Q5259" s="261"/>
      <c r="R5259" s="261"/>
    </row>
    <row r="5260" spans="1:29" x14ac:dyDescent="0.35">
      <c r="A5260" s="652" t="s">
        <v>8164</v>
      </c>
      <c r="B5260" s="526" t="s">
        <v>5547</v>
      </c>
      <c r="C5260" s="526" t="s">
        <v>3723</v>
      </c>
      <c r="D5260" s="526" t="s">
        <v>7710</v>
      </c>
      <c r="E5260" s="537"/>
      <c r="F5260" s="538"/>
      <c r="G5260" s="538"/>
      <c r="H5260" s="537"/>
      <c r="I5260" s="574"/>
      <c r="J5260" s="549">
        <v>44958</v>
      </c>
      <c r="K5260" s="102"/>
      <c r="N5260" s="266"/>
      <c r="O5260" s="322"/>
      <c r="P5260" s="462"/>
      <c r="Q5260" s="261"/>
      <c r="R5260" s="261"/>
    </row>
    <row r="5261" spans="1:29" x14ac:dyDescent="0.35">
      <c r="D5261" s="615"/>
      <c r="F5261" s="666"/>
      <c r="J5261"/>
    </row>
    <row r="5262" spans="1:29" x14ac:dyDescent="0.35">
      <c r="A5262" s="652" t="s">
        <v>8240</v>
      </c>
      <c r="B5262" s="526" t="s">
        <v>5547</v>
      </c>
      <c r="C5262" s="526" t="s">
        <v>3726</v>
      </c>
      <c r="D5262" s="526" t="s">
        <v>7708</v>
      </c>
      <c r="E5262" s="537"/>
      <c r="F5262" s="538"/>
      <c r="G5262" s="538"/>
      <c r="H5262" s="537"/>
      <c r="I5262" s="574"/>
      <c r="J5262" s="549">
        <v>45268</v>
      </c>
      <c r="K5262" s="102"/>
      <c r="N5262" s="266"/>
      <c r="O5262" s="322"/>
      <c r="P5262" s="462"/>
      <c r="Q5262" s="261"/>
      <c r="R5262" s="261"/>
    </row>
    <row r="5263" spans="1:29" x14ac:dyDescent="0.35">
      <c r="A5263" s="652" t="s">
        <v>8241</v>
      </c>
      <c r="B5263" s="526" t="s">
        <v>5547</v>
      </c>
      <c r="C5263" s="526" t="s">
        <v>3726</v>
      </c>
      <c r="D5263" s="526" t="s">
        <v>7710</v>
      </c>
      <c r="E5263" s="537"/>
      <c r="F5263" s="538"/>
      <c r="G5263" s="538"/>
      <c r="H5263" s="537"/>
      <c r="I5263" s="574"/>
      <c r="J5263" s="549">
        <v>45268</v>
      </c>
      <c r="K5263" s="102"/>
      <c r="N5263" s="266"/>
      <c r="O5263" s="322"/>
      <c r="P5263" s="462"/>
      <c r="Q5263" s="261"/>
      <c r="R5263" s="261"/>
    </row>
    <row r="5264" spans="1:29" x14ac:dyDescent="0.35">
      <c r="D5264" s="615"/>
      <c r="J5264" s="549"/>
    </row>
    <row r="5265" spans="1:10" ht="23.5" x14ac:dyDescent="0.35">
      <c r="A5265" s="492" t="s">
        <v>2848</v>
      </c>
      <c r="B5265" s="50"/>
      <c r="C5265" s="50"/>
      <c r="D5265" s="50"/>
      <c r="E5265" s="50"/>
      <c r="F5265" s="363"/>
      <c r="G5265" s="50"/>
      <c r="H5265" s="59" t="str">
        <f t="shared" ref="H5265:H5296" si="1790">IF(ISNUMBER(G5265),ROUND(0.8*G5265,2),"")</f>
        <v/>
      </c>
      <c r="I5265" s="567"/>
      <c r="J5265" s="549" t="s">
        <v>5804</v>
      </c>
    </row>
    <row r="5266" spans="1:10" x14ac:dyDescent="0.35">
      <c r="A5266" s="496" t="s">
        <v>820</v>
      </c>
      <c r="B5266" s="1" t="s">
        <v>2269</v>
      </c>
      <c r="C5266" s="1"/>
      <c r="D5266" s="1" t="s">
        <v>821</v>
      </c>
      <c r="E5266" s="1"/>
      <c r="F5266" s="362"/>
      <c r="G5266" s="10"/>
      <c r="H5266" s="10" t="str">
        <f t="shared" si="1790"/>
        <v/>
      </c>
      <c r="I5266" s="566"/>
      <c r="J5266" s="549" t="s">
        <v>5804</v>
      </c>
    </row>
    <row r="5267" spans="1:10" x14ac:dyDescent="0.35">
      <c r="A5267" s="496" t="s">
        <v>822</v>
      </c>
      <c r="B5267" s="1" t="s">
        <v>2269</v>
      </c>
      <c r="C5267" s="1"/>
      <c r="D5267" s="1" t="s">
        <v>823</v>
      </c>
      <c r="E5267" s="1"/>
      <c r="F5267" s="362"/>
      <c r="G5267" s="10"/>
      <c r="H5267" s="10" t="str">
        <f t="shared" si="1790"/>
        <v/>
      </c>
      <c r="I5267" s="566"/>
      <c r="J5267" s="549" t="s">
        <v>5804</v>
      </c>
    </row>
    <row r="5268" spans="1:10" x14ac:dyDescent="0.35">
      <c r="A5268" s="496" t="s">
        <v>907</v>
      </c>
      <c r="B5268" s="1" t="s">
        <v>2269</v>
      </c>
      <c r="C5268" s="1"/>
      <c r="D5268" s="1" t="s">
        <v>908</v>
      </c>
      <c r="E5268" s="1"/>
      <c r="F5268" s="362"/>
      <c r="G5268" s="10"/>
      <c r="H5268" s="10" t="str">
        <f t="shared" si="1790"/>
        <v/>
      </c>
      <c r="I5268" s="566"/>
      <c r="J5268" s="549" t="s">
        <v>5804</v>
      </c>
    </row>
    <row r="5269" spans="1:10" x14ac:dyDescent="0.35">
      <c r="A5269" s="496" t="s">
        <v>909</v>
      </c>
      <c r="B5269" s="1" t="s">
        <v>2269</v>
      </c>
      <c r="C5269" s="1"/>
      <c r="D5269" s="1" t="s">
        <v>910</v>
      </c>
      <c r="E5269" s="1"/>
      <c r="F5269" s="362"/>
      <c r="G5269" s="10"/>
      <c r="H5269" s="10" t="str">
        <f t="shared" si="1790"/>
        <v/>
      </c>
      <c r="I5269" s="566"/>
      <c r="J5269" s="549" t="s">
        <v>5804</v>
      </c>
    </row>
    <row r="5270" spans="1:10" x14ac:dyDescent="0.35">
      <c r="A5270" s="496" t="s">
        <v>911</v>
      </c>
      <c r="B5270" s="1" t="s">
        <v>2269</v>
      </c>
      <c r="C5270" s="1"/>
      <c r="D5270" s="1" t="s">
        <v>912</v>
      </c>
      <c r="E5270" s="1"/>
      <c r="F5270" s="362"/>
      <c r="G5270" s="10"/>
      <c r="H5270" s="10" t="str">
        <f t="shared" si="1790"/>
        <v/>
      </c>
      <c r="I5270" s="566"/>
      <c r="J5270" s="549" t="s">
        <v>5804</v>
      </c>
    </row>
    <row r="5271" spans="1:10" x14ac:dyDescent="0.35">
      <c r="A5271" s="496" t="s">
        <v>913</v>
      </c>
      <c r="B5271" s="1" t="s">
        <v>2269</v>
      </c>
      <c r="C5271" s="1"/>
      <c r="D5271" s="1" t="s">
        <v>914</v>
      </c>
      <c r="E5271" s="1"/>
      <c r="F5271" s="362"/>
      <c r="G5271" s="10"/>
      <c r="H5271" s="10" t="str">
        <f t="shared" si="1790"/>
        <v/>
      </c>
      <c r="I5271" s="566"/>
      <c r="J5271" s="549" t="s">
        <v>5804</v>
      </c>
    </row>
    <row r="5272" spans="1:10" x14ac:dyDescent="0.35">
      <c r="A5272" s="496" t="s">
        <v>915</v>
      </c>
      <c r="B5272" s="1" t="s">
        <v>2269</v>
      </c>
      <c r="C5272" s="1"/>
      <c r="D5272" s="1" t="s">
        <v>916</v>
      </c>
      <c r="E5272" s="1"/>
      <c r="F5272" s="362"/>
      <c r="G5272" s="10"/>
      <c r="H5272" s="10" t="str">
        <f t="shared" si="1790"/>
        <v/>
      </c>
      <c r="I5272" s="566"/>
      <c r="J5272" s="549" t="s">
        <v>5804</v>
      </c>
    </row>
    <row r="5273" spans="1:10" x14ac:dyDescent="0.35">
      <c r="A5273" s="496"/>
      <c r="B5273" s="1"/>
      <c r="C5273" s="1"/>
      <c r="D5273" s="1"/>
      <c r="E5273" s="1"/>
      <c r="F5273" s="362"/>
      <c r="G5273" s="10"/>
      <c r="H5273" s="10" t="str">
        <f t="shared" si="1790"/>
        <v/>
      </c>
      <c r="I5273" s="566"/>
      <c r="J5273" s="549" t="s">
        <v>4179</v>
      </c>
    </row>
    <row r="5274" spans="1:10" x14ac:dyDescent="0.35">
      <c r="A5274" s="496" t="s">
        <v>917</v>
      </c>
      <c r="B5274" s="1" t="s">
        <v>5547</v>
      </c>
      <c r="C5274" s="1"/>
      <c r="D5274" s="1" t="s">
        <v>821</v>
      </c>
      <c r="E5274" s="1"/>
      <c r="F5274" s="362"/>
      <c r="G5274" s="10"/>
      <c r="H5274" s="10" t="str">
        <f t="shared" si="1790"/>
        <v/>
      </c>
      <c r="I5274" s="566"/>
      <c r="J5274" s="549" t="s">
        <v>5804</v>
      </c>
    </row>
    <row r="5275" spans="1:10" x14ac:dyDescent="0.35">
      <c r="A5275" s="496" t="s">
        <v>918</v>
      </c>
      <c r="B5275" s="1" t="s">
        <v>5547</v>
      </c>
      <c r="C5275" s="1"/>
      <c r="D5275" s="1" t="s">
        <v>823</v>
      </c>
      <c r="E5275" s="1"/>
      <c r="F5275" s="362"/>
      <c r="G5275" s="10"/>
      <c r="H5275" s="10" t="str">
        <f t="shared" si="1790"/>
        <v/>
      </c>
      <c r="I5275" s="566"/>
      <c r="J5275" s="549" t="s">
        <v>5804</v>
      </c>
    </row>
    <row r="5276" spans="1:10" x14ac:dyDescent="0.35">
      <c r="A5276" s="496" t="s">
        <v>919</v>
      </c>
      <c r="B5276" s="1" t="s">
        <v>5547</v>
      </c>
      <c r="C5276" s="1"/>
      <c r="D5276" s="1" t="s">
        <v>908</v>
      </c>
      <c r="E5276" s="1"/>
      <c r="F5276" s="362"/>
      <c r="G5276" s="10"/>
      <c r="H5276" s="10" t="str">
        <f t="shared" si="1790"/>
        <v/>
      </c>
      <c r="I5276" s="566"/>
      <c r="J5276" s="549" t="s">
        <v>5804</v>
      </c>
    </row>
    <row r="5277" spans="1:10" x14ac:dyDescent="0.35">
      <c r="A5277" s="496" t="s">
        <v>920</v>
      </c>
      <c r="B5277" s="1" t="s">
        <v>5547</v>
      </c>
      <c r="C5277" s="1"/>
      <c r="D5277" s="1" t="s">
        <v>910</v>
      </c>
      <c r="E5277" s="1"/>
      <c r="F5277" s="362"/>
      <c r="G5277" s="10"/>
      <c r="H5277" s="10" t="str">
        <f t="shared" si="1790"/>
        <v/>
      </c>
      <c r="I5277" s="566"/>
      <c r="J5277" s="549" t="s">
        <v>5804</v>
      </c>
    </row>
    <row r="5278" spans="1:10" x14ac:dyDescent="0.35">
      <c r="A5278" s="496" t="s">
        <v>921</v>
      </c>
      <c r="B5278" s="1" t="s">
        <v>5547</v>
      </c>
      <c r="C5278" s="1"/>
      <c r="D5278" s="1" t="s">
        <v>912</v>
      </c>
      <c r="E5278" s="1"/>
      <c r="F5278" s="362"/>
      <c r="G5278" s="10"/>
      <c r="H5278" s="10" t="str">
        <f t="shared" si="1790"/>
        <v/>
      </c>
      <c r="I5278" s="566"/>
      <c r="J5278" s="549" t="s">
        <v>5804</v>
      </c>
    </row>
    <row r="5279" spans="1:10" x14ac:dyDescent="0.35">
      <c r="A5279" s="496" t="s">
        <v>2715</v>
      </c>
      <c r="B5279" s="1" t="s">
        <v>5547</v>
      </c>
      <c r="C5279" s="1"/>
      <c r="D5279" s="1" t="s">
        <v>914</v>
      </c>
      <c r="E5279" s="1"/>
      <c r="F5279" s="362"/>
      <c r="G5279" s="10"/>
      <c r="H5279" s="10" t="str">
        <f t="shared" si="1790"/>
        <v/>
      </c>
      <c r="I5279" s="566"/>
      <c r="J5279" s="549" t="s">
        <v>5804</v>
      </c>
    </row>
    <row r="5280" spans="1:10" x14ac:dyDescent="0.35">
      <c r="A5280" s="496" t="s">
        <v>2716</v>
      </c>
      <c r="B5280" s="1" t="s">
        <v>5547</v>
      </c>
      <c r="C5280" s="1"/>
      <c r="D5280" s="1" t="s">
        <v>916</v>
      </c>
      <c r="E5280" s="1"/>
      <c r="F5280" s="362"/>
      <c r="G5280" s="10"/>
      <c r="H5280" s="10" t="str">
        <f t="shared" si="1790"/>
        <v/>
      </c>
      <c r="I5280" s="566"/>
      <c r="J5280" s="549" t="s">
        <v>5804</v>
      </c>
    </row>
    <row r="5281" spans="1:10" x14ac:dyDescent="0.35">
      <c r="A5281" s="496"/>
      <c r="B5281" s="1"/>
      <c r="C5281" s="1"/>
      <c r="D5281" s="1"/>
      <c r="E5281" s="1"/>
      <c r="F5281" s="362"/>
      <c r="G5281" s="10"/>
      <c r="H5281" s="10" t="str">
        <f t="shared" si="1790"/>
        <v/>
      </c>
      <c r="I5281" s="566"/>
      <c r="J5281" s="549" t="s">
        <v>4179</v>
      </c>
    </row>
    <row r="5282" spans="1:10" x14ac:dyDescent="0.35">
      <c r="A5282" s="497" t="s">
        <v>2717</v>
      </c>
      <c r="B5282" s="13" t="s">
        <v>4846</v>
      </c>
      <c r="C5282" s="13"/>
      <c r="D5282" s="13" t="s">
        <v>609</v>
      </c>
      <c r="E5282" s="13"/>
      <c r="F5282" s="364"/>
      <c r="G5282" s="14"/>
      <c r="H5282" s="14" t="str">
        <f t="shared" si="1790"/>
        <v/>
      </c>
      <c r="I5282" s="568"/>
      <c r="J5282" s="549" t="s">
        <v>5804</v>
      </c>
    </row>
    <row r="5283" spans="1:10" x14ac:dyDescent="0.35">
      <c r="A5283" s="497" t="s">
        <v>2718</v>
      </c>
      <c r="B5283" s="13" t="s">
        <v>4846</v>
      </c>
      <c r="C5283" s="13"/>
      <c r="D5283" s="13" t="s">
        <v>610</v>
      </c>
      <c r="E5283" s="13"/>
      <c r="F5283" s="364"/>
      <c r="G5283" s="14"/>
      <c r="H5283" s="14" t="str">
        <f t="shared" si="1790"/>
        <v/>
      </c>
      <c r="I5283" s="568"/>
      <c r="J5283" s="549" t="s">
        <v>5804</v>
      </c>
    </row>
    <row r="5284" spans="1:10" x14ac:dyDescent="0.35">
      <c r="A5284" s="497" t="s">
        <v>2719</v>
      </c>
      <c r="B5284" s="13" t="s">
        <v>4846</v>
      </c>
      <c r="C5284" s="13"/>
      <c r="D5284" s="13" t="s">
        <v>611</v>
      </c>
      <c r="E5284" s="13"/>
      <c r="F5284" s="364"/>
      <c r="G5284" s="14"/>
      <c r="H5284" s="14" t="str">
        <f t="shared" si="1790"/>
        <v/>
      </c>
      <c r="I5284" s="568"/>
      <c r="J5284" s="549" t="s">
        <v>5804</v>
      </c>
    </row>
    <row r="5285" spans="1:10" x14ac:dyDescent="0.35">
      <c r="A5285" s="497" t="s">
        <v>2720</v>
      </c>
      <c r="B5285" s="13" t="s">
        <v>4846</v>
      </c>
      <c r="C5285" s="13"/>
      <c r="D5285" s="13" t="s">
        <v>612</v>
      </c>
      <c r="E5285" s="13"/>
      <c r="F5285" s="364"/>
      <c r="G5285" s="14"/>
      <c r="H5285" s="14" t="str">
        <f t="shared" si="1790"/>
        <v/>
      </c>
      <c r="I5285" s="568"/>
      <c r="J5285" s="549" t="s">
        <v>5804</v>
      </c>
    </row>
    <row r="5286" spans="1:10" x14ac:dyDescent="0.35">
      <c r="A5286" s="497" t="s">
        <v>2721</v>
      </c>
      <c r="B5286" s="13" t="s">
        <v>4846</v>
      </c>
      <c r="C5286" s="13"/>
      <c r="D5286" s="13" t="s">
        <v>613</v>
      </c>
      <c r="E5286" s="13"/>
      <c r="F5286" s="364"/>
      <c r="G5286" s="14"/>
      <c r="H5286" s="14" t="str">
        <f t="shared" si="1790"/>
        <v/>
      </c>
      <c r="I5286" s="568"/>
      <c r="J5286" s="549" t="s">
        <v>5804</v>
      </c>
    </row>
    <row r="5287" spans="1:10" x14ac:dyDescent="0.35">
      <c r="A5287" s="497" t="s">
        <v>2851</v>
      </c>
      <c r="B5287" s="13" t="s">
        <v>4846</v>
      </c>
      <c r="C5287" s="13"/>
      <c r="D5287" s="13" t="s">
        <v>614</v>
      </c>
      <c r="E5287" s="13"/>
      <c r="F5287" s="364"/>
      <c r="G5287" s="14"/>
      <c r="H5287" s="14" t="str">
        <f t="shared" si="1790"/>
        <v/>
      </c>
      <c r="I5287" s="568"/>
      <c r="J5287" s="549" t="s">
        <v>5804</v>
      </c>
    </row>
    <row r="5288" spans="1:10" x14ac:dyDescent="0.35">
      <c r="A5288" s="497" t="s">
        <v>2852</v>
      </c>
      <c r="B5288" s="13" t="s">
        <v>4846</v>
      </c>
      <c r="C5288" s="13"/>
      <c r="D5288" s="13" t="s">
        <v>615</v>
      </c>
      <c r="E5288" s="13"/>
      <c r="F5288" s="364"/>
      <c r="G5288" s="14"/>
      <c r="H5288" s="14" t="str">
        <f t="shared" si="1790"/>
        <v/>
      </c>
      <c r="I5288" s="568"/>
      <c r="J5288" s="549" t="s">
        <v>5804</v>
      </c>
    </row>
    <row r="5289" spans="1:10" x14ac:dyDescent="0.35">
      <c r="A5289" s="496"/>
      <c r="B5289" s="1"/>
      <c r="C5289" s="1"/>
      <c r="D5289" s="1"/>
      <c r="E5289" s="1"/>
      <c r="F5289" s="362"/>
      <c r="G5289" s="10"/>
      <c r="H5289" s="10" t="str">
        <f t="shared" si="1790"/>
        <v/>
      </c>
      <c r="I5289" s="566"/>
      <c r="J5289" s="549" t="s">
        <v>4179</v>
      </c>
    </row>
    <row r="5290" spans="1:10" x14ac:dyDescent="0.35">
      <c r="A5290" s="497" t="s">
        <v>4283</v>
      </c>
      <c r="B5290" s="17" t="s">
        <v>5405</v>
      </c>
      <c r="C5290" s="13"/>
      <c r="D5290" s="13" t="s">
        <v>616</v>
      </c>
      <c r="E5290" s="13"/>
      <c r="F5290" s="364"/>
      <c r="G5290" s="14"/>
      <c r="H5290" s="14" t="str">
        <f t="shared" si="1790"/>
        <v/>
      </c>
      <c r="I5290" s="568"/>
      <c r="J5290" s="549" t="s">
        <v>5804</v>
      </c>
    </row>
    <row r="5291" spans="1:10" x14ac:dyDescent="0.35">
      <c r="A5291" s="497" t="s">
        <v>4284</v>
      </c>
      <c r="B5291" s="13" t="s">
        <v>5405</v>
      </c>
      <c r="C5291" s="13"/>
      <c r="D5291" s="13" t="s">
        <v>3346</v>
      </c>
      <c r="E5291" s="13"/>
      <c r="F5291" s="364"/>
      <c r="G5291" s="14"/>
      <c r="H5291" s="14" t="str">
        <f t="shared" si="1790"/>
        <v/>
      </c>
      <c r="I5291" s="568"/>
      <c r="J5291" s="549" t="s">
        <v>5804</v>
      </c>
    </row>
    <row r="5292" spans="1:10" x14ac:dyDescent="0.35">
      <c r="A5292" s="497" t="s">
        <v>4285</v>
      </c>
      <c r="B5292" s="13" t="s">
        <v>5405</v>
      </c>
      <c r="C5292" s="13"/>
      <c r="D5292" s="13" t="s">
        <v>3347</v>
      </c>
      <c r="E5292" s="13"/>
      <c r="F5292" s="364"/>
      <c r="G5292" s="14"/>
      <c r="H5292" s="14" t="str">
        <f t="shared" si="1790"/>
        <v/>
      </c>
      <c r="I5292" s="568"/>
      <c r="J5292" s="549" t="s">
        <v>5804</v>
      </c>
    </row>
    <row r="5293" spans="1:10" x14ac:dyDescent="0.35">
      <c r="A5293" s="497" t="s">
        <v>4286</v>
      </c>
      <c r="B5293" s="13" t="s">
        <v>5405</v>
      </c>
      <c r="C5293" s="13"/>
      <c r="D5293" s="13" t="s">
        <v>3348</v>
      </c>
      <c r="E5293" s="13"/>
      <c r="F5293" s="364"/>
      <c r="G5293" s="14"/>
      <c r="H5293" s="14" t="str">
        <f t="shared" si="1790"/>
        <v/>
      </c>
      <c r="I5293" s="568"/>
      <c r="J5293" s="549" t="s">
        <v>5804</v>
      </c>
    </row>
    <row r="5294" spans="1:10" x14ac:dyDescent="0.35">
      <c r="A5294" s="497" t="s">
        <v>4287</v>
      </c>
      <c r="B5294" s="13" t="s">
        <v>5405</v>
      </c>
      <c r="C5294" s="13"/>
      <c r="D5294" s="13" t="s">
        <v>3349</v>
      </c>
      <c r="E5294" s="13"/>
      <c r="F5294" s="364"/>
      <c r="G5294" s="14"/>
      <c r="H5294" s="14" t="str">
        <f t="shared" si="1790"/>
        <v/>
      </c>
      <c r="I5294" s="568"/>
      <c r="J5294" s="549" t="s">
        <v>5804</v>
      </c>
    </row>
    <row r="5295" spans="1:10" x14ac:dyDescent="0.35">
      <c r="A5295" s="497" t="s">
        <v>4288</v>
      </c>
      <c r="B5295" s="13" t="s">
        <v>5405</v>
      </c>
      <c r="C5295" s="13"/>
      <c r="D5295" s="13" t="s">
        <v>3350</v>
      </c>
      <c r="E5295" s="13"/>
      <c r="F5295" s="364"/>
      <c r="G5295" s="14"/>
      <c r="H5295" s="14" t="str">
        <f t="shared" si="1790"/>
        <v/>
      </c>
      <c r="I5295" s="568"/>
      <c r="J5295" s="549" t="s">
        <v>5804</v>
      </c>
    </row>
    <row r="5296" spans="1:10" x14ac:dyDescent="0.35">
      <c r="A5296" s="497" t="s">
        <v>4289</v>
      </c>
      <c r="B5296" s="13" t="s">
        <v>5405</v>
      </c>
      <c r="C5296" s="13"/>
      <c r="D5296" s="13" t="s">
        <v>3351</v>
      </c>
      <c r="E5296" s="13"/>
      <c r="F5296" s="364"/>
      <c r="G5296" s="14"/>
      <c r="H5296" s="14" t="str">
        <f t="shared" si="1790"/>
        <v/>
      </c>
      <c r="I5296" s="568"/>
      <c r="J5296" s="549" t="s">
        <v>5804</v>
      </c>
    </row>
    <row r="5297" spans="1:10" x14ac:dyDescent="0.35">
      <c r="A5297" s="496"/>
      <c r="B5297" s="1"/>
      <c r="C5297" s="1"/>
      <c r="D5297" s="1"/>
      <c r="E5297" s="1"/>
      <c r="F5297" s="362"/>
      <c r="G5297" s="10"/>
      <c r="H5297" s="10" t="str">
        <f t="shared" ref="H5297:H5321" si="1791">IF(ISNUMBER(G5297),ROUND(0.8*G5297,2),"")</f>
        <v/>
      </c>
      <c r="I5297" s="566"/>
      <c r="J5297" s="549" t="s">
        <v>4179</v>
      </c>
    </row>
    <row r="5298" spans="1:10" x14ac:dyDescent="0.35">
      <c r="A5298" s="497" t="s">
        <v>3352</v>
      </c>
      <c r="B5298" s="13" t="s">
        <v>5410</v>
      </c>
      <c r="C5298" s="13"/>
      <c r="D5298" s="13" t="s">
        <v>616</v>
      </c>
      <c r="E5298" s="13"/>
      <c r="F5298" s="364"/>
      <c r="G5298" s="14"/>
      <c r="H5298" s="14" t="str">
        <f t="shared" si="1791"/>
        <v/>
      </c>
      <c r="I5298" s="568"/>
      <c r="J5298" s="549" t="s">
        <v>5804</v>
      </c>
    </row>
    <row r="5299" spans="1:10" x14ac:dyDescent="0.35">
      <c r="A5299" s="497" t="s">
        <v>3353</v>
      </c>
      <c r="B5299" s="13" t="s">
        <v>5410</v>
      </c>
      <c r="C5299" s="13"/>
      <c r="D5299" s="13" t="s">
        <v>3346</v>
      </c>
      <c r="E5299" s="13"/>
      <c r="F5299" s="364"/>
      <c r="G5299" s="14"/>
      <c r="H5299" s="14" t="str">
        <f t="shared" si="1791"/>
        <v/>
      </c>
      <c r="I5299" s="568"/>
      <c r="J5299" s="549" t="s">
        <v>5804</v>
      </c>
    </row>
    <row r="5300" spans="1:10" x14ac:dyDescent="0.35">
      <c r="A5300" s="497" t="s">
        <v>3354</v>
      </c>
      <c r="B5300" s="13" t="s">
        <v>5410</v>
      </c>
      <c r="C5300" s="13"/>
      <c r="D5300" s="13" t="s">
        <v>3347</v>
      </c>
      <c r="E5300" s="13"/>
      <c r="F5300" s="364"/>
      <c r="G5300" s="14"/>
      <c r="H5300" s="14" t="str">
        <f t="shared" si="1791"/>
        <v/>
      </c>
      <c r="I5300" s="568"/>
      <c r="J5300" s="549" t="s">
        <v>5804</v>
      </c>
    </row>
    <row r="5301" spans="1:10" x14ac:dyDescent="0.35">
      <c r="A5301" s="497" t="s">
        <v>3355</v>
      </c>
      <c r="B5301" s="13" t="s">
        <v>5410</v>
      </c>
      <c r="C5301" s="13"/>
      <c r="D5301" s="13" t="s">
        <v>3348</v>
      </c>
      <c r="E5301" s="13"/>
      <c r="F5301" s="364"/>
      <c r="G5301" s="14"/>
      <c r="H5301" s="14" t="str">
        <f t="shared" si="1791"/>
        <v/>
      </c>
      <c r="I5301" s="568"/>
      <c r="J5301" s="549" t="s">
        <v>5804</v>
      </c>
    </row>
    <row r="5302" spans="1:10" x14ac:dyDescent="0.35">
      <c r="A5302" s="497" t="s">
        <v>3356</v>
      </c>
      <c r="B5302" s="13" t="s">
        <v>5410</v>
      </c>
      <c r="C5302" s="13"/>
      <c r="D5302" s="13" t="s">
        <v>3349</v>
      </c>
      <c r="E5302" s="13"/>
      <c r="F5302" s="364"/>
      <c r="G5302" s="14"/>
      <c r="H5302" s="14" t="str">
        <f t="shared" si="1791"/>
        <v/>
      </c>
      <c r="I5302" s="568"/>
      <c r="J5302" s="549" t="s">
        <v>5804</v>
      </c>
    </row>
    <row r="5303" spans="1:10" x14ac:dyDescent="0.35">
      <c r="A5303" s="497" t="s">
        <v>3357</v>
      </c>
      <c r="B5303" s="13" t="s">
        <v>5410</v>
      </c>
      <c r="C5303" s="13"/>
      <c r="D5303" s="13" t="s">
        <v>3350</v>
      </c>
      <c r="E5303" s="13"/>
      <c r="F5303" s="364"/>
      <c r="G5303" s="14"/>
      <c r="H5303" s="14" t="str">
        <f t="shared" si="1791"/>
        <v/>
      </c>
      <c r="I5303" s="568"/>
      <c r="J5303" s="549" t="s">
        <v>5804</v>
      </c>
    </row>
    <row r="5304" spans="1:10" x14ac:dyDescent="0.35">
      <c r="A5304" s="497" t="s">
        <v>3358</v>
      </c>
      <c r="B5304" s="13" t="s">
        <v>5410</v>
      </c>
      <c r="C5304" s="13"/>
      <c r="D5304" s="13" t="s">
        <v>3351</v>
      </c>
      <c r="E5304" s="13"/>
      <c r="F5304" s="364"/>
      <c r="G5304" s="14"/>
      <c r="H5304" s="14" t="str">
        <f t="shared" si="1791"/>
        <v/>
      </c>
      <c r="I5304" s="568"/>
      <c r="J5304" s="549" t="s">
        <v>5804</v>
      </c>
    </row>
    <row r="5305" spans="1:10" x14ac:dyDescent="0.35">
      <c r="A5305" s="496"/>
      <c r="B5305" s="1"/>
      <c r="C5305" s="1"/>
      <c r="D5305" s="1"/>
      <c r="E5305" s="1"/>
      <c r="F5305" s="362"/>
      <c r="G5305" s="10"/>
      <c r="H5305" s="10" t="str">
        <f t="shared" si="1791"/>
        <v/>
      </c>
      <c r="I5305" s="566"/>
      <c r="J5305" s="549" t="s">
        <v>4179</v>
      </c>
    </row>
    <row r="5306" spans="1:10" x14ac:dyDescent="0.35">
      <c r="A5306" s="497" t="s">
        <v>3359</v>
      </c>
      <c r="B5306" s="13" t="s">
        <v>5411</v>
      </c>
      <c r="C5306" s="13"/>
      <c r="D5306" s="13" t="s">
        <v>616</v>
      </c>
      <c r="E5306" s="13"/>
      <c r="F5306" s="364"/>
      <c r="G5306" s="14"/>
      <c r="H5306" s="14" t="str">
        <f t="shared" si="1791"/>
        <v/>
      </c>
      <c r="I5306" s="568"/>
      <c r="J5306" s="549" t="s">
        <v>5804</v>
      </c>
    </row>
    <row r="5307" spans="1:10" x14ac:dyDescent="0.35">
      <c r="A5307" s="497" t="s">
        <v>3360</v>
      </c>
      <c r="B5307" s="13" t="s">
        <v>5411</v>
      </c>
      <c r="C5307" s="13"/>
      <c r="D5307" s="13" t="s">
        <v>3346</v>
      </c>
      <c r="E5307" s="13"/>
      <c r="F5307" s="364"/>
      <c r="G5307" s="14"/>
      <c r="H5307" s="14" t="str">
        <f t="shared" si="1791"/>
        <v/>
      </c>
      <c r="I5307" s="568"/>
      <c r="J5307" s="549" t="s">
        <v>5804</v>
      </c>
    </row>
    <row r="5308" spans="1:10" x14ac:dyDescent="0.35">
      <c r="A5308" s="497" t="s">
        <v>3361</v>
      </c>
      <c r="B5308" s="13" t="s">
        <v>5411</v>
      </c>
      <c r="C5308" s="13"/>
      <c r="D5308" s="13" t="s">
        <v>3347</v>
      </c>
      <c r="E5308" s="13"/>
      <c r="F5308" s="364"/>
      <c r="G5308" s="14"/>
      <c r="H5308" s="14" t="str">
        <f t="shared" si="1791"/>
        <v/>
      </c>
      <c r="I5308" s="568"/>
      <c r="J5308" s="549" t="s">
        <v>5804</v>
      </c>
    </row>
    <row r="5309" spans="1:10" x14ac:dyDescent="0.35">
      <c r="A5309" s="497" t="s">
        <v>3362</v>
      </c>
      <c r="B5309" s="13" t="s">
        <v>5411</v>
      </c>
      <c r="C5309" s="13"/>
      <c r="D5309" s="13" t="s">
        <v>3348</v>
      </c>
      <c r="E5309" s="13"/>
      <c r="F5309" s="364"/>
      <c r="G5309" s="14"/>
      <c r="H5309" s="14" t="str">
        <f t="shared" si="1791"/>
        <v/>
      </c>
      <c r="I5309" s="568"/>
      <c r="J5309" s="549" t="s">
        <v>5804</v>
      </c>
    </row>
    <row r="5310" spans="1:10" x14ac:dyDescent="0.35">
      <c r="A5310" s="497" t="s">
        <v>3363</v>
      </c>
      <c r="B5310" s="13" t="s">
        <v>5411</v>
      </c>
      <c r="C5310" s="13"/>
      <c r="D5310" s="13" t="s">
        <v>3349</v>
      </c>
      <c r="E5310" s="13"/>
      <c r="F5310" s="364"/>
      <c r="G5310" s="14"/>
      <c r="H5310" s="14" t="str">
        <f t="shared" si="1791"/>
        <v/>
      </c>
      <c r="I5310" s="568"/>
      <c r="J5310" s="549" t="s">
        <v>5804</v>
      </c>
    </row>
    <row r="5311" spans="1:10" x14ac:dyDescent="0.35">
      <c r="A5311" s="497" t="s">
        <v>3364</v>
      </c>
      <c r="B5311" s="13" t="s">
        <v>5411</v>
      </c>
      <c r="C5311" s="13"/>
      <c r="D5311" s="13" t="s">
        <v>3350</v>
      </c>
      <c r="E5311" s="13"/>
      <c r="F5311" s="364"/>
      <c r="G5311" s="14"/>
      <c r="H5311" s="14" t="str">
        <f t="shared" si="1791"/>
        <v/>
      </c>
      <c r="I5311" s="568"/>
      <c r="J5311" s="549" t="s">
        <v>5804</v>
      </c>
    </row>
    <row r="5312" spans="1:10" x14ac:dyDescent="0.35">
      <c r="A5312" s="497" t="s">
        <v>3365</v>
      </c>
      <c r="B5312" s="13" t="s">
        <v>5411</v>
      </c>
      <c r="C5312" s="13"/>
      <c r="D5312" s="13" t="s">
        <v>3351</v>
      </c>
      <c r="E5312" s="13"/>
      <c r="F5312" s="364"/>
      <c r="G5312" s="14"/>
      <c r="H5312" s="14" t="str">
        <f t="shared" si="1791"/>
        <v/>
      </c>
      <c r="I5312" s="568"/>
      <c r="J5312" s="549" t="s">
        <v>5804</v>
      </c>
    </row>
    <row r="5313" spans="1:29" x14ac:dyDescent="0.35">
      <c r="A5313" s="496"/>
      <c r="B5313" s="1"/>
      <c r="C5313" s="1"/>
      <c r="D5313" s="1"/>
      <c r="E5313" s="1"/>
      <c r="F5313" s="362"/>
      <c r="G5313" s="10"/>
      <c r="H5313" s="10" t="str">
        <f t="shared" si="1791"/>
        <v/>
      </c>
      <c r="I5313" s="566"/>
      <c r="J5313" s="549" t="s">
        <v>4179</v>
      </c>
    </row>
    <row r="5314" spans="1:29" x14ac:dyDescent="0.35">
      <c r="A5314" s="496" t="s">
        <v>2853</v>
      </c>
      <c r="B5314" s="1" t="s">
        <v>2034</v>
      </c>
      <c r="C5314" s="1"/>
      <c r="D5314" s="1" t="s">
        <v>821</v>
      </c>
      <c r="E5314" s="1"/>
      <c r="F5314" s="362"/>
      <c r="G5314" s="10"/>
      <c r="H5314" s="10" t="str">
        <f t="shared" si="1791"/>
        <v/>
      </c>
      <c r="I5314" s="566"/>
      <c r="J5314" s="549" t="s">
        <v>5804</v>
      </c>
    </row>
    <row r="5315" spans="1:29" x14ac:dyDescent="0.35">
      <c r="A5315" s="496" t="s">
        <v>2854</v>
      </c>
      <c r="B5315" s="1" t="s">
        <v>2034</v>
      </c>
      <c r="C5315" s="1"/>
      <c r="D5315" s="1" t="s">
        <v>823</v>
      </c>
      <c r="E5315" s="1"/>
      <c r="F5315" s="362"/>
      <c r="G5315" s="10"/>
      <c r="H5315" s="10" t="str">
        <f t="shared" si="1791"/>
        <v/>
      </c>
      <c r="I5315" s="566"/>
      <c r="J5315" s="549" t="s">
        <v>5804</v>
      </c>
    </row>
    <row r="5316" spans="1:29" x14ac:dyDescent="0.35">
      <c r="A5316" s="496" t="s">
        <v>2855</v>
      </c>
      <c r="B5316" s="1" t="s">
        <v>2034</v>
      </c>
      <c r="C5316" s="1"/>
      <c r="D5316" s="1" t="s">
        <v>908</v>
      </c>
      <c r="E5316" s="1"/>
      <c r="F5316" s="362"/>
      <c r="G5316" s="10"/>
      <c r="H5316" s="10" t="str">
        <f t="shared" si="1791"/>
        <v/>
      </c>
      <c r="I5316" s="566"/>
      <c r="J5316" s="549" t="s">
        <v>5804</v>
      </c>
    </row>
    <row r="5317" spans="1:29" x14ac:dyDescent="0.35">
      <c r="A5317" s="496" t="s">
        <v>2856</v>
      </c>
      <c r="B5317" s="1" t="s">
        <v>2034</v>
      </c>
      <c r="C5317" s="1"/>
      <c r="D5317" s="1" t="s">
        <v>910</v>
      </c>
      <c r="E5317" s="1"/>
      <c r="F5317" s="362"/>
      <c r="G5317" s="10"/>
      <c r="H5317" s="10" t="str">
        <f t="shared" si="1791"/>
        <v/>
      </c>
      <c r="I5317" s="566"/>
      <c r="J5317" s="549" t="s">
        <v>5804</v>
      </c>
    </row>
    <row r="5318" spans="1:29" x14ac:dyDescent="0.35">
      <c r="A5318" s="496" t="s">
        <v>2857</v>
      </c>
      <c r="B5318" s="1" t="s">
        <v>2034</v>
      </c>
      <c r="C5318" s="1"/>
      <c r="D5318" s="1" t="s">
        <v>912</v>
      </c>
      <c r="E5318" s="1"/>
      <c r="F5318" s="362"/>
      <c r="G5318" s="10"/>
      <c r="H5318" s="10" t="str">
        <f t="shared" si="1791"/>
        <v/>
      </c>
      <c r="I5318" s="566"/>
      <c r="J5318" s="549" t="s">
        <v>5804</v>
      </c>
    </row>
    <row r="5319" spans="1:29" x14ac:dyDescent="0.35">
      <c r="A5319" s="496" t="s">
        <v>2858</v>
      </c>
      <c r="B5319" s="1" t="s">
        <v>2034</v>
      </c>
      <c r="C5319" s="1"/>
      <c r="D5319" s="1" t="s">
        <v>914</v>
      </c>
      <c r="E5319" s="1"/>
      <c r="F5319" s="362"/>
      <c r="G5319" s="10"/>
      <c r="H5319" s="10" t="str">
        <f t="shared" si="1791"/>
        <v/>
      </c>
      <c r="I5319" s="566"/>
      <c r="J5319" s="549" t="s">
        <v>5804</v>
      </c>
    </row>
    <row r="5320" spans="1:29" x14ac:dyDescent="0.35">
      <c r="A5320" s="496" t="s">
        <v>2859</v>
      </c>
      <c r="B5320" s="1" t="s">
        <v>2034</v>
      </c>
      <c r="C5320" s="1"/>
      <c r="D5320" s="1" t="s">
        <v>916</v>
      </c>
      <c r="E5320" s="1"/>
      <c r="F5320" s="362"/>
      <c r="G5320" s="10"/>
      <c r="H5320" s="10" t="str">
        <f t="shared" si="1791"/>
        <v/>
      </c>
      <c r="I5320" s="566"/>
      <c r="J5320" s="549" t="s">
        <v>5804</v>
      </c>
    </row>
    <row r="5321" spans="1:29" s="207" customFormat="1" x14ac:dyDescent="0.35">
      <c r="A5321"/>
      <c r="B5321"/>
      <c r="C5321"/>
      <c r="D5321"/>
      <c r="E5321"/>
      <c r="F5321" s="387"/>
      <c r="G5321" s="11"/>
      <c r="H5321" s="11" t="str">
        <f t="shared" si="1791"/>
        <v/>
      </c>
      <c r="I5321" s="565"/>
      <c r="J5321" s="549" t="s">
        <v>4179</v>
      </c>
      <c r="M5321"/>
      <c r="N5321"/>
      <c r="O5321" s="187"/>
      <c r="P5321" s="187"/>
      <c r="Q5321" s="187"/>
      <c r="R5321" s="187"/>
      <c r="S5321" s="187"/>
      <c r="T5321" s="187"/>
      <c r="U5321"/>
      <c r="V5321"/>
      <c r="W5321"/>
      <c r="X5321"/>
      <c r="Y5321"/>
      <c r="Z5321"/>
      <c r="AA5321"/>
      <c r="AB5321"/>
      <c r="AC5321"/>
    </row>
    <row r="5322" spans="1:29" s="187" customFormat="1" ht="42" customHeight="1" x14ac:dyDescent="0.35">
      <c r="A5322" s="651" t="s">
        <v>8124</v>
      </c>
      <c r="B5322" s="493"/>
      <c r="C5322" s="493"/>
      <c r="D5322" s="493"/>
      <c r="E5322" s="493"/>
      <c r="F5322" s="494"/>
      <c r="G5322" s="493"/>
      <c r="H5322" s="544"/>
      <c r="I5322" s="593"/>
      <c r="J5322" s="549" t="s">
        <v>5804</v>
      </c>
      <c r="M5322" s="207"/>
      <c r="N5322" s="207"/>
      <c r="O5322" s="207"/>
      <c r="P5322" s="207"/>
      <c r="Q5322" s="207"/>
      <c r="R5322" s="207"/>
      <c r="S5322" s="207"/>
      <c r="T5322" s="207"/>
      <c r="U5322" s="207"/>
      <c r="V5322" s="207"/>
      <c r="W5322" s="207"/>
      <c r="X5322" s="207"/>
      <c r="Y5322" s="207"/>
      <c r="Z5322" s="207"/>
      <c r="AA5322" s="207"/>
      <c r="AB5322" s="207"/>
      <c r="AC5322" s="207"/>
    </row>
    <row r="5323" spans="1:29" s="187" customFormat="1" ht="46.5" customHeight="1" x14ac:dyDescent="0.35">
      <c r="A5323" s="898" t="s">
        <v>8125</v>
      </c>
      <c r="B5323" s="898"/>
      <c r="C5323" s="898"/>
      <c r="D5323" s="898"/>
      <c r="E5323" s="898"/>
      <c r="F5323" s="898"/>
      <c r="G5323" s="349"/>
      <c r="H5323" s="410"/>
      <c r="I5323" s="595"/>
      <c r="J5323" s="549" t="s">
        <v>5804</v>
      </c>
    </row>
    <row r="5324" spans="1:29" s="187" customFormat="1" ht="19.5" customHeight="1" x14ac:dyDescent="0.35">
      <c r="A5324" s="905" t="s">
        <v>1068</v>
      </c>
      <c r="B5324" s="905"/>
      <c r="C5324" s="905"/>
      <c r="D5324" s="905"/>
      <c r="E5324" s="905"/>
      <c r="F5324" s="905"/>
      <c r="G5324" s="352"/>
      <c r="H5324" s="411"/>
      <c r="I5324" s="596"/>
      <c r="J5324" s="549" t="s">
        <v>5804</v>
      </c>
    </row>
    <row r="5325" spans="1:29" s="187" customFormat="1" ht="24" customHeight="1" x14ac:dyDescent="0.35">
      <c r="A5325" s="905" t="s">
        <v>2196</v>
      </c>
      <c r="B5325" s="905"/>
      <c r="C5325" s="905"/>
      <c r="D5325" s="905"/>
      <c r="E5325" s="905"/>
      <c r="F5325" s="905"/>
      <c r="G5325" s="352"/>
      <c r="H5325" s="411"/>
      <c r="I5325" s="596"/>
      <c r="J5325" s="549" t="s">
        <v>5804</v>
      </c>
      <c r="O5325"/>
      <c r="P5325"/>
      <c r="Q5325"/>
      <c r="R5325"/>
      <c r="S5325"/>
      <c r="T5325"/>
    </row>
    <row r="5326" spans="1:29" ht="75.75" customHeight="1" x14ac:dyDescent="0.35">
      <c r="A5326" s="907" t="s">
        <v>8126</v>
      </c>
      <c r="B5326" s="905"/>
      <c r="C5326" s="905"/>
      <c r="D5326" s="905"/>
      <c r="E5326" s="905"/>
      <c r="F5326" s="905"/>
      <c r="G5326" s="352"/>
      <c r="H5326" s="411"/>
      <c r="I5326" s="596"/>
      <c r="J5326" s="549" t="s">
        <v>5804</v>
      </c>
      <c r="M5326" s="187"/>
      <c r="N5326" s="187"/>
      <c r="U5326" s="187"/>
      <c r="V5326" s="187"/>
      <c r="W5326" s="187"/>
      <c r="X5326" s="187"/>
      <c r="Y5326" s="187"/>
      <c r="Z5326" s="187"/>
      <c r="AA5326" s="187"/>
      <c r="AB5326" s="187"/>
      <c r="AC5326" s="187"/>
    </row>
    <row r="5327" spans="1:29" x14ac:dyDescent="0.35">
      <c r="H5327" s="11" t="str">
        <f t="shared" ref="H5327:H5358" si="1792">IF(ISNUMBER(G5327),ROUND(0.8*G5327,2),"")</f>
        <v/>
      </c>
      <c r="J5327" s="549" t="s">
        <v>4179</v>
      </c>
    </row>
    <row r="5328" spans="1:29" x14ac:dyDescent="0.35">
      <c r="A5328" s="247" t="s">
        <v>1069</v>
      </c>
      <c r="B5328" s="248" t="s">
        <v>2269</v>
      </c>
      <c r="C5328" s="248"/>
      <c r="D5328" s="248" t="s">
        <v>1070</v>
      </c>
      <c r="E5328" s="248"/>
      <c r="F5328" s="391">
        <v>0</v>
      </c>
      <c r="G5328" s="249">
        <v>0</v>
      </c>
      <c r="H5328" s="249">
        <f t="shared" si="1792"/>
        <v>0</v>
      </c>
      <c r="I5328" s="597"/>
      <c r="J5328" s="549" t="s">
        <v>5804</v>
      </c>
    </row>
    <row r="5329" spans="1:29" x14ac:dyDescent="0.35">
      <c r="A5329" s="247" t="s">
        <v>1071</v>
      </c>
      <c r="B5329" s="248" t="s">
        <v>5547</v>
      </c>
      <c r="C5329" s="248"/>
      <c r="D5329" s="248" t="s">
        <v>1070</v>
      </c>
      <c r="E5329" s="248"/>
      <c r="F5329" s="391">
        <v>0</v>
      </c>
      <c r="G5329" s="249">
        <v>0</v>
      </c>
      <c r="H5329" s="249">
        <f t="shared" si="1792"/>
        <v>0</v>
      </c>
      <c r="I5329" s="597"/>
      <c r="J5329" s="549" t="s">
        <v>5804</v>
      </c>
    </row>
    <row r="5330" spans="1:29" x14ac:dyDescent="0.35">
      <c r="A5330" s="247" t="s">
        <v>1072</v>
      </c>
      <c r="B5330" s="248" t="s">
        <v>4846</v>
      </c>
      <c r="C5330" s="248"/>
      <c r="D5330" s="248" t="s">
        <v>1070</v>
      </c>
      <c r="E5330" s="248"/>
      <c r="F5330" s="391">
        <v>0</v>
      </c>
      <c r="G5330" s="249">
        <v>0</v>
      </c>
      <c r="H5330" s="249">
        <f t="shared" si="1792"/>
        <v>0</v>
      </c>
      <c r="I5330" s="597"/>
      <c r="J5330" s="549" t="s">
        <v>5804</v>
      </c>
    </row>
    <row r="5331" spans="1:29" x14ac:dyDescent="0.35">
      <c r="A5331" s="247" t="s">
        <v>1073</v>
      </c>
      <c r="B5331" s="248" t="s">
        <v>5405</v>
      </c>
      <c r="C5331" s="248"/>
      <c r="D5331" s="248" t="s">
        <v>1070</v>
      </c>
      <c r="E5331" s="248"/>
      <c r="F5331" s="391">
        <v>0</v>
      </c>
      <c r="G5331" s="249">
        <v>0</v>
      </c>
      <c r="H5331" s="249">
        <f t="shared" si="1792"/>
        <v>0</v>
      </c>
      <c r="I5331" s="597"/>
      <c r="J5331" s="549" t="s">
        <v>5804</v>
      </c>
    </row>
    <row r="5332" spans="1:29" x14ac:dyDescent="0.35">
      <c r="A5332" s="247" t="s">
        <v>1074</v>
      </c>
      <c r="B5332" s="248" t="s">
        <v>5410</v>
      </c>
      <c r="C5332" s="248"/>
      <c r="D5332" s="248" t="s">
        <v>1070</v>
      </c>
      <c r="E5332" s="248"/>
      <c r="F5332" s="391">
        <v>0</v>
      </c>
      <c r="G5332" s="249">
        <v>0</v>
      </c>
      <c r="H5332" s="249">
        <f t="shared" si="1792"/>
        <v>0</v>
      </c>
      <c r="I5332" s="597"/>
      <c r="J5332" s="549" t="s">
        <v>5804</v>
      </c>
    </row>
    <row r="5333" spans="1:29" x14ac:dyDescent="0.35">
      <c r="A5333" s="247" t="s">
        <v>1075</v>
      </c>
      <c r="B5333" s="248" t="s">
        <v>5411</v>
      </c>
      <c r="C5333" s="248"/>
      <c r="D5333" s="248" t="s">
        <v>1070</v>
      </c>
      <c r="E5333" s="248"/>
      <c r="F5333" s="391">
        <v>0</v>
      </c>
      <c r="G5333" s="249">
        <v>0</v>
      </c>
      <c r="H5333" s="249">
        <f t="shared" si="1792"/>
        <v>0</v>
      </c>
      <c r="I5333" s="597"/>
      <c r="J5333" s="549" t="s">
        <v>5804</v>
      </c>
    </row>
    <row r="5334" spans="1:29" x14ac:dyDescent="0.35">
      <c r="A5334" s="247" t="s">
        <v>1076</v>
      </c>
      <c r="B5334" s="248" t="s">
        <v>2034</v>
      </c>
      <c r="C5334" s="248"/>
      <c r="D5334" s="248" t="s">
        <v>1070</v>
      </c>
      <c r="E5334" s="248"/>
      <c r="F5334" s="391">
        <v>0</v>
      </c>
      <c r="G5334" s="249">
        <v>0</v>
      </c>
      <c r="H5334" s="249">
        <f t="shared" si="1792"/>
        <v>0</v>
      </c>
      <c r="I5334" s="597"/>
      <c r="J5334" s="549" t="s">
        <v>5804</v>
      </c>
    </row>
    <row r="5335" spans="1:29" x14ac:dyDescent="0.35">
      <c r="A5335" s="247" t="s">
        <v>1077</v>
      </c>
      <c r="B5335" s="248" t="s">
        <v>2067</v>
      </c>
      <c r="C5335" s="248"/>
      <c r="D5335" s="248" t="s">
        <v>1070</v>
      </c>
      <c r="E5335" s="248"/>
      <c r="F5335" s="391">
        <v>0</v>
      </c>
      <c r="G5335" s="249">
        <v>0</v>
      </c>
      <c r="H5335" s="249">
        <f t="shared" si="1792"/>
        <v>0</v>
      </c>
      <c r="I5335" s="597"/>
      <c r="J5335" s="549" t="s">
        <v>5804</v>
      </c>
    </row>
    <row r="5336" spans="1:29" x14ac:dyDescent="0.35">
      <c r="A5336" s="247" t="s">
        <v>1078</v>
      </c>
      <c r="B5336" s="248" t="s">
        <v>3373</v>
      </c>
      <c r="C5336" s="248"/>
      <c r="D5336" s="248" t="s">
        <v>1070</v>
      </c>
      <c r="E5336" s="248"/>
      <c r="F5336" s="391">
        <v>0</v>
      </c>
      <c r="G5336" s="249">
        <v>0</v>
      </c>
      <c r="H5336" s="249">
        <f t="shared" si="1792"/>
        <v>0</v>
      </c>
      <c r="I5336" s="597"/>
      <c r="J5336" s="549" t="s">
        <v>5804</v>
      </c>
    </row>
    <row r="5337" spans="1:29" x14ac:dyDescent="0.35">
      <c r="A5337" s="247" t="s">
        <v>1079</v>
      </c>
      <c r="B5337" s="248" t="s">
        <v>3381</v>
      </c>
      <c r="C5337" s="248"/>
      <c r="D5337" s="248" t="s">
        <v>1070</v>
      </c>
      <c r="E5337" s="248"/>
      <c r="F5337" s="391">
        <v>0</v>
      </c>
      <c r="G5337" s="249">
        <v>0</v>
      </c>
      <c r="H5337" s="249">
        <f t="shared" si="1792"/>
        <v>0</v>
      </c>
      <c r="I5337" s="597"/>
      <c r="J5337" s="549" t="s">
        <v>5804</v>
      </c>
    </row>
    <row r="5338" spans="1:29" x14ac:dyDescent="0.35">
      <c r="A5338" s="247" t="s">
        <v>1080</v>
      </c>
      <c r="B5338" s="248" t="s">
        <v>3389</v>
      </c>
      <c r="C5338" s="248"/>
      <c r="D5338" s="248" t="s">
        <v>1070</v>
      </c>
      <c r="E5338" s="248"/>
      <c r="F5338" s="391">
        <v>0</v>
      </c>
      <c r="G5338" s="249">
        <v>0</v>
      </c>
      <c r="H5338" s="249">
        <f t="shared" si="1792"/>
        <v>0</v>
      </c>
      <c r="I5338" s="597"/>
      <c r="J5338" s="549" t="s">
        <v>5804</v>
      </c>
    </row>
    <row r="5339" spans="1:29" x14ac:dyDescent="0.35">
      <c r="A5339" s="247" t="s">
        <v>1081</v>
      </c>
      <c r="B5339" s="248" t="s">
        <v>740</v>
      </c>
      <c r="C5339" s="248"/>
      <c r="D5339" s="248" t="s">
        <v>1070</v>
      </c>
      <c r="E5339" s="248"/>
      <c r="F5339" s="391">
        <v>0</v>
      </c>
      <c r="G5339" s="249">
        <v>0</v>
      </c>
      <c r="H5339" s="249">
        <f t="shared" si="1792"/>
        <v>0</v>
      </c>
      <c r="I5339" s="597"/>
      <c r="J5339" s="549" t="s">
        <v>5804</v>
      </c>
    </row>
    <row r="5340" spans="1:29" x14ac:dyDescent="0.35">
      <c r="A5340" s="247" t="s">
        <v>1082</v>
      </c>
      <c r="B5340" s="248" t="s">
        <v>5434</v>
      </c>
      <c r="C5340" s="248"/>
      <c r="D5340" s="248" t="s">
        <v>1070</v>
      </c>
      <c r="E5340" s="248"/>
      <c r="F5340" s="391">
        <v>0</v>
      </c>
      <c r="G5340" s="249">
        <v>0</v>
      </c>
      <c r="H5340" s="249">
        <f t="shared" si="1792"/>
        <v>0</v>
      </c>
      <c r="I5340" s="597"/>
      <c r="J5340" s="549" t="s">
        <v>5804</v>
      </c>
    </row>
    <row r="5341" spans="1:29" ht="25.5" customHeight="1" x14ac:dyDescent="0.35">
      <c r="H5341" s="11" t="str">
        <f t="shared" si="1792"/>
        <v/>
      </c>
      <c r="J5341" s="549" t="s">
        <v>4179</v>
      </c>
    </row>
    <row r="5342" spans="1:29" ht="23.5" x14ac:dyDescent="0.35">
      <c r="A5342" s="651" t="s">
        <v>8127</v>
      </c>
      <c r="B5342" s="50"/>
      <c r="C5342" s="50"/>
      <c r="D5342" s="50"/>
      <c r="E5342" s="50"/>
      <c r="F5342" s="363"/>
      <c r="G5342" s="50"/>
      <c r="H5342" s="59" t="str">
        <f t="shared" si="1792"/>
        <v/>
      </c>
      <c r="I5342" s="567"/>
      <c r="J5342" s="549">
        <v>42705</v>
      </c>
      <c r="O5342" s="187"/>
      <c r="P5342" s="187"/>
      <c r="Q5342" s="187"/>
      <c r="R5342" s="187"/>
      <c r="S5342" s="187"/>
      <c r="T5342" s="187"/>
    </row>
    <row r="5343" spans="1:29" s="187" customFormat="1" ht="18" customHeight="1" x14ac:dyDescent="0.35">
      <c r="A5343" s="935" t="s">
        <v>1083</v>
      </c>
      <c r="B5343" s="935"/>
      <c r="C5343" s="935"/>
      <c r="D5343" s="935"/>
      <c r="E5343" s="935"/>
      <c r="F5343" s="935"/>
      <c r="G5343" s="354"/>
      <c r="H5343" s="412" t="str">
        <f t="shared" si="1792"/>
        <v/>
      </c>
      <c r="I5343" s="598"/>
      <c r="J5343" s="549">
        <v>42705</v>
      </c>
      <c r="M5343"/>
      <c r="N5343"/>
      <c r="U5343"/>
      <c r="V5343"/>
      <c r="W5343"/>
      <c r="X5343"/>
      <c r="Y5343"/>
      <c r="Z5343"/>
      <c r="AA5343"/>
      <c r="AB5343"/>
      <c r="AC5343"/>
    </row>
    <row r="5344" spans="1:29" s="187" customFormat="1" ht="22.5" customHeight="1" x14ac:dyDescent="0.35">
      <c r="A5344" s="910" t="s">
        <v>37</v>
      </c>
      <c r="B5344" s="910"/>
      <c r="C5344" s="910"/>
      <c r="D5344" s="910"/>
      <c r="E5344" s="910"/>
      <c r="F5344" s="910"/>
      <c r="G5344" s="353"/>
      <c r="H5344" s="413" t="str">
        <f t="shared" si="1792"/>
        <v/>
      </c>
      <c r="I5344" s="599"/>
      <c r="J5344" s="549">
        <v>42705</v>
      </c>
      <c r="O5344"/>
      <c r="P5344"/>
      <c r="Q5344"/>
      <c r="R5344"/>
      <c r="S5344"/>
      <c r="T5344"/>
    </row>
    <row r="5345" spans="1:29" ht="35.25" customHeight="1" x14ac:dyDescent="0.35">
      <c r="A5345" s="898" t="s">
        <v>8128</v>
      </c>
      <c r="B5345" s="898"/>
      <c r="C5345" s="898"/>
      <c r="D5345" s="898"/>
      <c r="E5345" s="898"/>
      <c r="F5345" s="898"/>
      <c r="G5345" s="349"/>
      <c r="H5345" s="410" t="str">
        <f t="shared" si="1792"/>
        <v/>
      </c>
      <c r="I5345" s="595"/>
      <c r="J5345" s="549">
        <v>42705</v>
      </c>
      <c r="M5345" s="187"/>
      <c r="N5345" s="187"/>
      <c r="O5345" s="187"/>
      <c r="P5345" s="187"/>
      <c r="Q5345" s="187"/>
      <c r="R5345" s="187"/>
      <c r="S5345" s="187"/>
      <c r="T5345" s="187"/>
      <c r="U5345" s="187"/>
      <c r="V5345" s="187"/>
      <c r="W5345" s="187"/>
      <c r="X5345" s="187"/>
      <c r="Y5345" s="187"/>
      <c r="Z5345" s="187"/>
      <c r="AA5345" s="187"/>
      <c r="AB5345" s="187"/>
      <c r="AC5345" s="187"/>
    </row>
    <row r="5346" spans="1:29" ht="68.900000000000006" customHeight="1" x14ac:dyDescent="0.35">
      <c r="A5346" s="907" t="s">
        <v>7699</v>
      </c>
      <c r="B5346" s="905"/>
      <c r="C5346" s="905"/>
      <c r="D5346" s="905"/>
      <c r="E5346" s="905"/>
      <c r="F5346" s="905"/>
      <c r="G5346" s="352"/>
      <c r="H5346" s="411" t="str">
        <f t="shared" si="1792"/>
        <v/>
      </c>
      <c r="I5346" s="596"/>
      <c r="J5346" s="549">
        <v>44536</v>
      </c>
      <c r="O5346" s="187"/>
      <c r="P5346" s="187"/>
      <c r="Q5346" s="187"/>
      <c r="R5346" s="187"/>
      <c r="S5346" s="187"/>
      <c r="T5346" s="187"/>
    </row>
    <row r="5347" spans="1:29" s="187" customFormat="1" ht="51.75" customHeight="1" x14ac:dyDescent="0.35">
      <c r="A5347" s="911" t="s">
        <v>8129</v>
      </c>
      <c r="B5347" s="911"/>
      <c r="C5347" s="911"/>
      <c r="D5347" s="911"/>
      <c r="E5347" s="911"/>
      <c r="F5347" s="911"/>
      <c r="G5347" s="352"/>
      <c r="H5347" s="411" t="str">
        <f t="shared" si="1792"/>
        <v/>
      </c>
      <c r="I5347" s="596"/>
      <c r="J5347" s="549">
        <v>42705</v>
      </c>
      <c r="M5347"/>
      <c r="N5347"/>
      <c r="U5347"/>
      <c r="V5347"/>
      <c r="W5347"/>
      <c r="X5347"/>
      <c r="Y5347"/>
      <c r="Z5347"/>
      <c r="AA5347"/>
      <c r="AB5347"/>
      <c r="AC5347"/>
    </row>
    <row r="5348" spans="1:29" s="187" customFormat="1" ht="24.75" customHeight="1" x14ac:dyDescent="0.35">
      <c r="A5348" s="905" t="s">
        <v>1374</v>
      </c>
      <c r="B5348" s="905"/>
      <c r="C5348" s="905"/>
      <c r="D5348" s="905"/>
      <c r="E5348" s="905"/>
      <c r="F5348" s="905"/>
      <c r="G5348" s="352"/>
      <c r="H5348" s="411" t="str">
        <f t="shared" si="1792"/>
        <v/>
      </c>
      <c r="I5348" s="596"/>
      <c r="J5348" s="549">
        <v>42705</v>
      </c>
      <c r="O5348"/>
      <c r="P5348"/>
      <c r="Q5348"/>
      <c r="R5348"/>
      <c r="S5348"/>
      <c r="T5348"/>
    </row>
    <row r="5349" spans="1:29" x14ac:dyDescent="0.35">
      <c r="A5349" s="905" t="s">
        <v>4254</v>
      </c>
      <c r="B5349" s="905"/>
      <c r="C5349" s="905"/>
      <c r="D5349" s="905"/>
      <c r="E5349" s="905"/>
      <c r="F5349" s="905"/>
      <c r="G5349" s="352"/>
      <c r="H5349" s="411" t="str">
        <f t="shared" si="1792"/>
        <v/>
      </c>
      <c r="I5349" s="596"/>
      <c r="J5349" s="549">
        <v>42705</v>
      </c>
      <c r="M5349" s="187"/>
      <c r="N5349" s="187"/>
      <c r="U5349" s="187"/>
      <c r="V5349" s="187"/>
      <c r="W5349" s="187"/>
      <c r="X5349" s="187"/>
      <c r="Y5349" s="187"/>
      <c r="Z5349" s="187"/>
      <c r="AA5349" s="187"/>
      <c r="AB5349" s="187"/>
      <c r="AC5349" s="187"/>
    </row>
    <row r="5350" spans="1:29" x14ac:dyDescent="0.35">
      <c r="H5350" s="11" t="str">
        <f t="shared" si="1792"/>
        <v/>
      </c>
      <c r="J5350" s="549" t="s">
        <v>4179</v>
      </c>
    </row>
    <row r="5351" spans="1:29" x14ac:dyDescent="0.35">
      <c r="A5351" s="247" t="s">
        <v>1375</v>
      </c>
      <c r="B5351" s="248" t="s">
        <v>2269</v>
      </c>
      <c r="C5351" s="248"/>
      <c r="D5351" s="248" t="s">
        <v>1376</v>
      </c>
      <c r="E5351" s="248"/>
      <c r="F5351" s="391"/>
      <c r="G5351" s="391"/>
      <c r="H5351" s="551" t="str">
        <f t="shared" si="1792"/>
        <v/>
      </c>
      <c r="I5351" s="600"/>
      <c r="J5351" s="549" t="s">
        <v>5804</v>
      </c>
    </row>
    <row r="5352" spans="1:29" x14ac:dyDescent="0.35">
      <c r="A5352" s="247" t="s">
        <v>1377</v>
      </c>
      <c r="B5352" s="248" t="s">
        <v>2269</v>
      </c>
      <c r="C5352" s="248"/>
      <c r="D5352" s="248" t="s">
        <v>1378</v>
      </c>
      <c r="E5352" s="248"/>
      <c r="F5352" s="391"/>
      <c r="G5352" s="391"/>
      <c r="H5352" s="551" t="str">
        <f t="shared" si="1792"/>
        <v/>
      </c>
      <c r="I5352" s="600"/>
      <c r="J5352" s="549" t="s">
        <v>5804</v>
      </c>
    </row>
    <row r="5353" spans="1:29" x14ac:dyDescent="0.35">
      <c r="A5353" s="247" t="s">
        <v>1379</v>
      </c>
      <c r="B5353" s="248" t="s">
        <v>2269</v>
      </c>
      <c r="C5353" s="248"/>
      <c r="D5353" s="248" t="s">
        <v>1380</v>
      </c>
      <c r="E5353" s="248"/>
      <c r="F5353" s="391"/>
      <c r="G5353" s="391"/>
      <c r="H5353" s="551" t="str">
        <f t="shared" si="1792"/>
        <v/>
      </c>
      <c r="I5353" s="600"/>
      <c r="J5353" s="549" t="s">
        <v>5804</v>
      </c>
    </row>
    <row r="5354" spans="1:29" x14ac:dyDescent="0.35">
      <c r="A5354" s="247" t="s">
        <v>1381</v>
      </c>
      <c r="B5354" s="248" t="s">
        <v>2269</v>
      </c>
      <c r="C5354" s="248"/>
      <c r="D5354" s="248" t="s">
        <v>1382</v>
      </c>
      <c r="E5354" s="248"/>
      <c r="F5354" s="391"/>
      <c r="G5354" s="391"/>
      <c r="H5354" s="551" t="str">
        <f t="shared" si="1792"/>
        <v/>
      </c>
      <c r="I5354" s="600"/>
      <c r="J5354" s="549" t="s">
        <v>5804</v>
      </c>
    </row>
    <row r="5355" spans="1:29" x14ac:dyDescent="0.35">
      <c r="A5355" s="247" t="s">
        <v>1383</v>
      </c>
      <c r="B5355" s="248" t="s">
        <v>2269</v>
      </c>
      <c r="C5355" s="248"/>
      <c r="D5355" s="248" t="s">
        <v>1384</v>
      </c>
      <c r="E5355" s="248"/>
      <c r="F5355" s="391"/>
      <c r="G5355" s="391"/>
      <c r="H5355" s="551" t="str">
        <f t="shared" si="1792"/>
        <v/>
      </c>
      <c r="I5355" s="600"/>
      <c r="J5355" s="549" t="s">
        <v>5804</v>
      </c>
    </row>
    <row r="5356" spans="1:29" x14ac:dyDescent="0.35">
      <c r="A5356" s="247" t="s">
        <v>1385</v>
      </c>
      <c r="B5356" s="248" t="s">
        <v>2269</v>
      </c>
      <c r="C5356" s="248"/>
      <c r="D5356" s="248" t="s">
        <v>1386</v>
      </c>
      <c r="E5356" s="248"/>
      <c r="F5356" s="391"/>
      <c r="G5356" s="391"/>
      <c r="H5356" s="551" t="str">
        <f t="shared" si="1792"/>
        <v/>
      </c>
      <c r="I5356" s="600"/>
      <c r="J5356" s="549" t="s">
        <v>5804</v>
      </c>
    </row>
    <row r="5357" spans="1:29" x14ac:dyDescent="0.35">
      <c r="A5357" s="247" t="s">
        <v>1387</v>
      </c>
      <c r="B5357" s="248" t="s">
        <v>2269</v>
      </c>
      <c r="C5357" s="248"/>
      <c r="D5357" s="248" t="s">
        <v>1388</v>
      </c>
      <c r="E5357" s="248"/>
      <c r="F5357" s="391"/>
      <c r="G5357" s="391"/>
      <c r="H5357" s="551" t="str">
        <f t="shared" si="1792"/>
        <v/>
      </c>
      <c r="I5357" s="600"/>
      <c r="J5357" s="549" t="s">
        <v>5804</v>
      </c>
    </row>
    <row r="5358" spans="1:29" x14ac:dyDescent="0.35">
      <c r="A5358" s="247" t="s">
        <v>1389</v>
      </c>
      <c r="B5358" s="248" t="s">
        <v>2269</v>
      </c>
      <c r="C5358" s="248"/>
      <c r="D5358" s="248" t="s">
        <v>1390</v>
      </c>
      <c r="E5358" s="248"/>
      <c r="F5358" s="391"/>
      <c r="G5358" s="391"/>
      <c r="H5358" s="551" t="str">
        <f t="shared" si="1792"/>
        <v/>
      </c>
      <c r="I5358" s="600"/>
      <c r="J5358" s="549" t="s">
        <v>5804</v>
      </c>
    </row>
    <row r="5359" spans="1:29" x14ac:dyDescent="0.35">
      <c r="A5359" s="247" t="s">
        <v>1391</v>
      </c>
      <c r="B5359" s="248" t="s">
        <v>2269</v>
      </c>
      <c r="C5359" s="248"/>
      <c r="D5359" s="248" t="s">
        <v>1392</v>
      </c>
      <c r="E5359" s="248"/>
      <c r="F5359" s="391"/>
      <c r="G5359" s="391"/>
      <c r="H5359" s="551" t="str">
        <f t="shared" ref="H5359:H5390" si="1793">IF(ISNUMBER(G5359),ROUND(0.8*G5359,2),"")</f>
        <v/>
      </c>
      <c r="I5359" s="600"/>
      <c r="J5359" s="549" t="s">
        <v>5804</v>
      </c>
    </row>
    <row r="5360" spans="1:29" x14ac:dyDescent="0.35">
      <c r="A5360" s="247" t="s">
        <v>1393</v>
      </c>
      <c r="B5360" s="248" t="s">
        <v>2269</v>
      </c>
      <c r="C5360" s="248"/>
      <c r="D5360" s="248" t="s">
        <v>1394</v>
      </c>
      <c r="E5360" s="248"/>
      <c r="F5360" s="391"/>
      <c r="G5360" s="391"/>
      <c r="H5360" s="551" t="str">
        <f t="shared" si="1793"/>
        <v/>
      </c>
      <c r="I5360" s="600"/>
      <c r="J5360" s="549" t="s">
        <v>5804</v>
      </c>
    </row>
    <row r="5361" spans="1:10" x14ac:dyDescent="0.35">
      <c r="A5361" s="247" t="s">
        <v>1395</v>
      </c>
      <c r="B5361" s="248" t="s">
        <v>2269</v>
      </c>
      <c r="C5361" s="248"/>
      <c r="D5361" s="248" t="s">
        <v>1396</v>
      </c>
      <c r="E5361" s="248"/>
      <c r="F5361" s="391"/>
      <c r="G5361" s="391"/>
      <c r="H5361" s="551" t="str">
        <f t="shared" si="1793"/>
        <v/>
      </c>
      <c r="I5361" s="600"/>
      <c r="J5361" s="549" t="s">
        <v>5804</v>
      </c>
    </row>
    <row r="5362" spans="1:10" x14ac:dyDescent="0.35">
      <c r="A5362" s="247" t="s">
        <v>1397</v>
      </c>
      <c r="B5362" s="248" t="s">
        <v>2269</v>
      </c>
      <c r="C5362" s="248"/>
      <c r="D5362" s="248" t="s">
        <v>1398</v>
      </c>
      <c r="E5362" s="248"/>
      <c r="F5362" s="391"/>
      <c r="G5362" s="391"/>
      <c r="H5362" s="551" t="str">
        <f t="shared" si="1793"/>
        <v/>
      </c>
      <c r="I5362" s="600"/>
      <c r="J5362" s="549" t="s">
        <v>5804</v>
      </c>
    </row>
    <row r="5363" spans="1:10" x14ac:dyDescent="0.35">
      <c r="A5363" s="250"/>
      <c r="B5363" s="251"/>
      <c r="C5363" s="251"/>
      <c r="D5363" s="251"/>
      <c r="E5363" s="251"/>
      <c r="F5363" s="392"/>
      <c r="G5363" s="552"/>
      <c r="H5363" s="11" t="str">
        <f t="shared" si="1793"/>
        <v/>
      </c>
      <c r="J5363" s="549" t="s">
        <v>4179</v>
      </c>
    </row>
    <row r="5364" spans="1:10" x14ac:dyDescent="0.35">
      <c r="A5364" s="247" t="s">
        <v>1399</v>
      </c>
      <c r="B5364" s="248" t="s">
        <v>5547</v>
      </c>
      <c r="C5364" s="248"/>
      <c r="D5364" s="248" t="s">
        <v>1376</v>
      </c>
      <c r="E5364" s="248"/>
      <c r="F5364" s="391"/>
      <c r="G5364" s="391"/>
      <c r="H5364" s="551" t="str">
        <f t="shared" si="1793"/>
        <v/>
      </c>
      <c r="I5364" s="600"/>
      <c r="J5364" s="549" t="s">
        <v>5804</v>
      </c>
    </row>
    <row r="5365" spans="1:10" x14ac:dyDescent="0.35">
      <c r="A5365" s="247" t="s">
        <v>1400</v>
      </c>
      <c r="B5365" s="248" t="s">
        <v>5547</v>
      </c>
      <c r="C5365" s="248"/>
      <c r="D5365" s="248" t="s">
        <v>1378</v>
      </c>
      <c r="E5365" s="248"/>
      <c r="F5365" s="391"/>
      <c r="G5365" s="391"/>
      <c r="H5365" s="551" t="str">
        <f t="shared" si="1793"/>
        <v/>
      </c>
      <c r="I5365" s="600"/>
      <c r="J5365" s="549" t="s">
        <v>5804</v>
      </c>
    </row>
    <row r="5366" spans="1:10" x14ac:dyDescent="0.35">
      <c r="A5366" s="247" t="s">
        <v>1401</v>
      </c>
      <c r="B5366" s="248" t="s">
        <v>5547</v>
      </c>
      <c r="C5366" s="248"/>
      <c r="D5366" s="248" t="s">
        <v>1380</v>
      </c>
      <c r="E5366" s="248"/>
      <c r="F5366" s="391"/>
      <c r="G5366" s="391"/>
      <c r="H5366" s="551" t="str">
        <f t="shared" si="1793"/>
        <v/>
      </c>
      <c r="I5366" s="600"/>
      <c r="J5366" s="549" t="s">
        <v>5804</v>
      </c>
    </row>
    <row r="5367" spans="1:10" x14ac:dyDescent="0.35">
      <c r="A5367" s="247" t="s">
        <v>1402</v>
      </c>
      <c r="B5367" s="248" t="s">
        <v>5547</v>
      </c>
      <c r="C5367" s="248"/>
      <c r="D5367" s="248" t="s">
        <v>1382</v>
      </c>
      <c r="E5367" s="248"/>
      <c r="F5367" s="391"/>
      <c r="G5367" s="391"/>
      <c r="H5367" s="551" t="str">
        <f t="shared" si="1793"/>
        <v/>
      </c>
      <c r="I5367" s="600"/>
      <c r="J5367" s="549" t="s">
        <v>5804</v>
      </c>
    </row>
    <row r="5368" spans="1:10" x14ac:dyDescent="0.35">
      <c r="A5368" s="247" t="s">
        <v>1403</v>
      </c>
      <c r="B5368" s="248" t="s">
        <v>5547</v>
      </c>
      <c r="C5368" s="248"/>
      <c r="D5368" s="248" t="s">
        <v>1384</v>
      </c>
      <c r="E5368" s="248"/>
      <c r="F5368" s="391"/>
      <c r="G5368" s="391"/>
      <c r="H5368" s="551" t="str">
        <f t="shared" si="1793"/>
        <v/>
      </c>
      <c r="I5368" s="600"/>
      <c r="J5368" s="549" t="s">
        <v>5804</v>
      </c>
    </row>
    <row r="5369" spans="1:10" x14ac:dyDescent="0.35">
      <c r="A5369" s="247" t="s">
        <v>1404</v>
      </c>
      <c r="B5369" s="248" t="s">
        <v>5547</v>
      </c>
      <c r="C5369" s="248"/>
      <c r="D5369" s="248" t="s">
        <v>1386</v>
      </c>
      <c r="E5369" s="248"/>
      <c r="F5369" s="391"/>
      <c r="G5369" s="391"/>
      <c r="H5369" s="551" t="str">
        <f t="shared" si="1793"/>
        <v/>
      </c>
      <c r="I5369" s="600"/>
      <c r="J5369" s="549" t="s">
        <v>5804</v>
      </c>
    </row>
    <row r="5370" spans="1:10" x14ac:dyDescent="0.35">
      <c r="A5370" s="247" t="s">
        <v>1405</v>
      </c>
      <c r="B5370" s="248" t="s">
        <v>5547</v>
      </c>
      <c r="C5370" s="248"/>
      <c r="D5370" s="248" t="s">
        <v>1388</v>
      </c>
      <c r="E5370" s="248"/>
      <c r="F5370" s="391"/>
      <c r="G5370" s="391"/>
      <c r="H5370" s="551" t="str">
        <f t="shared" si="1793"/>
        <v/>
      </c>
      <c r="I5370" s="600"/>
      <c r="J5370" s="549" t="s">
        <v>5804</v>
      </c>
    </row>
    <row r="5371" spans="1:10" x14ac:dyDescent="0.35">
      <c r="A5371" s="247" t="s">
        <v>1406</v>
      </c>
      <c r="B5371" s="248" t="s">
        <v>5547</v>
      </c>
      <c r="C5371" s="248"/>
      <c r="D5371" s="248" t="s">
        <v>1390</v>
      </c>
      <c r="E5371" s="248"/>
      <c r="F5371" s="391"/>
      <c r="G5371" s="391"/>
      <c r="H5371" s="551" t="str">
        <f t="shared" si="1793"/>
        <v/>
      </c>
      <c r="I5371" s="600"/>
      <c r="J5371" s="549" t="s">
        <v>5804</v>
      </c>
    </row>
    <row r="5372" spans="1:10" x14ac:dyDescent="0.35">
      <c r="A5372" s="247" t="s">
        <v>1407</v>
      </c>
      <c r="B5372" s="248" t="s">
        <v>5547</v>
      </c>
      <c r="C5372" s="248"/>
      <c r="D5372" s="248" t="s">
        <v>1392</v>
      </c>
      <c r="E5372" s="248"/>
      <c r="F5372" s="391"/>
      <c r="G5372" s="391"/>
      <c r="H5372" s="551" t="str">
        <f t="shared" si="1793"/>
        <v/>
      </c>
      <c r="I5372" s="600"/>
      <c r="J5372" s="549" t="s">
        <v>5804</v>
      </c>
    </row>
    <row r="5373" spans="1:10" x14ac:dyDescent="0.35">
      <c r="A5373" s="247" t="s">
        <v>1408</v>
      </c>
      <c r="B5373" s="248" t="s">
        <v>5547</v>
      </c>
      <c r="C5373" s="248"/>
      <c r="D5373" s="248" t="s">
        <v>1394</v>
      </c>
      <c r="E5373" s="248"/>
      <c r="F5373" s="391"/>
      <c r="G5373" s="391"/>
      <c r="H5373" s="551" t="str">
        <f t="shared" si="1793"/>
        <v/>
      </c>
      <c r="I5373" s="600"/>
      <c r="J5373" s="549" t="s">
        <v>5804</v>
      </c>
    </row>
    <row r="5374" spans="1:10" x14ac:dyDescent="0.35">
      <c r="A5374" s="247" t="s">
        <v>1409</v>
      </c>
      <c r="B5374" s="248" t="s">
        <v>5547</v>
      </c>
      <c r="C5374" s="248"/>
      <c r="D5374" s="248" t="s">
        <v>1396</v>
      </c>
      <c r="E5374" s="248"/>
      <c r="F5374" s="391"/>
      <c r="G5374" s="391"/>
      <c r="H5374" s="551" t="str">
        <f t="shared" si="1793"/>
        <v/>
      </c>
      <c r="I5374" s="600"/>
      <c r="J5374" s="549" t="s">
        <v>5804</v>
      </c>
    </row>
    <row r="5375" spans="1:10" x14ac:dyDescent="0.35">
      <c r="A5375" s="247" t="s">
        <v>1410</v>
      </c>
      <c r="B5375" s="248" t="s">
        <v>5547</v>
      </c>
      <c r="C5375" s="248"/>
      <c r="D5375" s="248" t="s">
        <v>1398</v>
      </c>
      <c r="E5375" s="248"/>
      <c r="F5375" s="391"/>
      <c r="G5375" s="391"/>
      <c r="H5375" s="551" t="str">
        <f t="shared" si="1793"/>
        <v/>
      </c>
      <c r="I5375" s="600"/>
      <c r="J5375" s="549" t="s">
        <v>5804</v>
      </c>
    </row>
    <row r="5376" spans="1:10" x14ac:dyDescent="0.35">
      <c r="A5376" s="250"/>
      <c r="B5376" s="251"/>
      <c r="C5376" s="251"/>
      <c r="D5376" s="251"/>
      <c r="E5376" s="251"/>
      <c r="F5376" s="392"/>
      <c r="G5376" s="552"/>
      <c r="H5376" s="11" t="str">
        <f t="shared" si="1793"/>
        <v/>
      </c>
      <c r="J5376" s="549" t="s">
        <v>4179</v>
      </c>
    </row>
    <row r="5377" spans="1:10" x14ac:dyDescent="0.35">
      <c r="A5377" s="247" t="s">
        <v>1411</v>
      </c>
      <c r="B5377" s="248" t="s">
        <v>4846</v>
      </c>
      <c r="C5377" s="248"/>
      <c r="D5377" s="248" t="s">
        <v>1376</v>
      </c>
      <c r="E5377" s="248"/>
      <c r="F5377" s="391"/>
      <c r="G5377" s="391"/>
      <c r="H5377" s="551" t="str">
        <f t="shared" si="1793"/>
        <v/>
      </c>
      <c r="I5377" s="600"/>
      <c r="J5377" s="549" t="s">
        <v>5804</v>
      </c>
    </row>
    <row r="5378" spans="1:10" x14ac:dyDescent="0.35">
      <c r="A5378" s="247" t="s">
        <v>1412</v>
      </c>
      <c r="B5378" s="248" t="s">
        <v>4846</v>
      </c>
      <c r="C5378" s="248"/>
      <c r="D5378" s="248" t="s">
        <v>1378</v>
      </c>
      <c r="E5378" s="248"/>
      <c r="F5378" s="391"/>
      <c r="G5378" s="391"/>
      <c r="H5378" s="551" t="str">
        <f t="shared" si="1793"/>
        <v/>
      </c>
      <c r="I5378" s="600"/>
      <c r="J5378" s="549" t="s">
        <v>5804</v>
      </c>
    </row>
    <row r="5379" spans="1:10" x14ac:dyDescent="0.35">
      <c r="A5379" s="247" t="s">
        <v>1413</v>
      </c>
      <c r="B5379" s="248" t="s">
        <v>4846</v>
      </c>
      <c r="C5379" s="248"/>
      <c r="D5379" s="248" t="s">
        <v>1380</v>
      </c>
      <c r="E5379" s="248"/>
      <c r="F5379" s="391"/>
      <c r="G5379" s="391"/>
      <c r="H5379" s="551" t="str">
        <f t="shared" si="1793"/>
        <v/>
      </c>
      <c r="I5379" s="600"/>
      <c r="J5379" s="549" t="s">
        <v>5804</v>
      </c>
    </row>
    <row r="5380" spans="1:10" x14ac:dyDescent="0.35">
      <c r="A5380" s="247" t="s">
        <v>1414</v>
      </c>
      <c r="B5380" s="248" t="s">
        <v>4846</v>
      </c>
      <c r="C5380" s="248"/>
      <c r="D5380" s="248" t="s">
        <v>1382</v>
      </c>
      <c r="E5380" s="248"/>
      <c r="F5380" s="391"/>
      <c r="G5380" s="391"/>
      <c r="H5380" s="551" t="str">
        <f t="shared" si="1793"/>
        <v/>
      </c>
      <c r="I5380" s="600"/>
      <c r="J5380" s="549" t="s">
        <v>5804</v>
      </c>
    </row>
    <row r="5381" spans="1:10" x14ac:dyDescent="0.35">
      <c r="A5381" s="247" t="s">
        <v>1415</v>
      </c>
      <c r="B5381" s="248" t="s">
        <v>4846</v>
      </c>
      <c r="C5381" s="248"/>
      <c r="D5381" s="248" t="s">
        <v>1384</v>
      </c>
      <c r="E5381" s="248"/>
      <c r="F5381" s="391"/>
      <c r="G5381" s="391"/>
      <c r="H5381" s="551" t="str">
        <f t="shared" si="1793"/>
        <v/>
      </c>
      <c r="I5381" s="600"/>
      <c r="J5381" s="549" t="s">
        <v>5804</v>
      </c>
    </row>
    <row r="5382" spans="1:10" x14ac:dyDescent="0.35">
      <c r="A5382" s="247" t="s">
        <v>1416</v>
      </c>
      <c r="B5382" s="248" t="s">
        <v>4846</v>
      </c>
      <c r="C5382" s="248"/>
      <c r="D5382" s="248" t="s">
        <v>1386</v>
      </c>
      <c r="E5382" s="248"/>
      <c r="F5382" s="391"/>
      <c r="G5382" s="391"/>
      <c r="H5382" s="551" t="str">
        <f t="shared" si="1793"/>
        <v/>
      </c>
      <c r="I5382" s="600"/>
      <c r="J5382" s="549" t="s">
        <v>5804</v>
      </c>
    </row>
    <row r="5383" spans="1:10" x14ac:dyDescent="0.35">
      <c r="A5383" s="247" t="s">
        <v>1417</v>
      </c>
      <c r="B5383" s="248" t="s">
        <v>4846</v>
      </c>
      <c r="C5383" s="248"/>
      <c r="D5383" s="248" t="s">
        <v>1388</v>
      </c>
      <c r="E5383" s="248"/>
      <c r="F5383" s="391"/>
      <c r="G5383" s="391"/>
      <c r="H5383" s="551" t="str">
        <f t="shared" si="1793"/>
        <v/>
      </c>
      <c r="I5383" s="600"/>
      <c r="J5383" s="549" t="s">
        <v>5804</v>
      </c>
    </row>
    <row r="5384" spans="1:10" x14ac:dyDescent="0.35">
      <c r="A5384" s="247" t="s">
        <v>1418</v>
      </c>
      <c r="B5384" s="248" t="s">
        <v>4846</v>
      </c>
      <c r="C5384" s="248"/>
      <c r="D5384" s="248" t="s">
        <v>1390</v>
      </c>
      <c r="E5384" s="248"/>
      <c r="F5384" s="391"/>
      <c r="G5384" s="391"/>
      <c r="H5384" s="551" t="str">
        <f t="shared" si="1793"/>
        <v/>
      </c>
      <c r="I5384" s="600"/>
      <c r="J5384" s="549" t="s">
        <v>5804</v>
      </c>
    </row>
    <row r="5385" spans="1:10" x14ac:dyDescent="0.35">
      <c r="A5385" s="247" t="s">
        <v>1419</v>
      </c>
      <c r="B5385" s="248" t="s">
        <v>4846</v>
      </c>
      <c r="C5385" s="248"/>
      <c r="D5385" s="248" t="s">
        <v>1392</v>
      </c>
      <c r="E5385" s="248"/>
      <c r="F5385" s="391"/>
      <c r="G5385" s="391"/>
      <c r="H5385" s="551" t="str">
        <f t="shared" si="1793"/>
        <v/>
      </c>
      <c r="I5385" s="600"/>
      <c r="J5385" s="549" t="s">
        <v>5804</v>
      </c>
    </row>
    <row r="5386" spans="1:10" x14ac:dyDescent="0.35">
      <c r="A5386" s="247" t="s">
        <v>1420</v>
      </c>
      <c r="B5386" s="248" t="s">
        <v>4846</v>
      </c>
      <c r="C5386" s="248"/>
      <c r="D5386" s="248" t="s">
        <v>1394</v>
      </c>
      <c r="E5386" s="248"/>
      <c r="F5386" s="391"/>
      <c r="G5386" s="391"/>
      <c r="H5386" s="551" t="str">
        <f t="shared" si="1793"/>
        <v/>
      </c>
      <c r="I5386" s="600"/>
      <c r="J5386" s="549" t="s">
        <v>5804</v>
      </c>
    </row>
    <row r="5387" spans="1:10" x14ac:dyDescent="0.35">
      <c r="A5387" s="247" t="s">
        <v>1421</v>
      </c>
      <c r="B5387" s="248" t="s">
        <v>4846</v>
      </c>
      <c r="C5387" s="248"/>
      <c r="D5387" s="248" t="s">
        <v>1396</v>
      </c>
      <c r="E5387" s="248"/>
      <c r="F5387" s="391"/>
      <c r="G5387" s="391"/>
      <c r="H5387" s="551" t="str">
        <f t="shared" si="1793"/>
        <v/>
      </c>
      <c r="I5387" s="600"/>
      <c r="J5387" s="549" t="s">
        <v>5804</v>
      </c>
    </row>
    <row r="5388" spans="1:10" x14ac:dyDescent="0.35">
      <c r="A5388" s="247" t="s">
        <v>1422</v>
      </c>
      <c r="B5388" s="248" t="s">
        <v>4846</v>
      </c>
      <c r="C5388" s="248"/>
      <c r="D5388" s="248" t="s">
        <v>1398</v>
      </c>
      <c r="E5388" s="248"/>
      <c r="F5388" s="391"/>
      <c r="G5388" s="391"/>
      <c r="H5388" s="551" t="str">
        <f t="shared" si="1793"/>
        <v/>
      </c>
      <c r="I5388" s="600"/>
      <c r="J5388" s="549" t="s">
        <v>5804</v>
      </c>
    </row>
    <row r="5389" spans="1:10" x14ac:dyDescent="0.35">
      <c r="A5389" s="250"/>
      <c r="B5389" s="251"/>
      <c r="C5389" s="251"/>
      <c r="D5389" s="251"/>
      <c r="E5389" s="251"/>
      <c r="F5389" s="392"/>
      <c r="G5389" s="552"/>
      <c r="H5389" s="11" t="str">
        <f t="shared" si="1793"/>
        <v/>
      </c>
      <c r="J5389" s="549" t="s">
        <v>4179</v>
      </c>
    </row>
    <row r="5390" spans="1:10" x14ac:dyDescent="0.35">
      <c r="A5390" s="247" t="s">
        <v>1423</v>
      </c>
      <c r="B5390" s="248" t="s">
        <v>5405</v>
      </c>
      <c r="C5390" s="248"/>
      <c r="D5390" s="248" t="s">
        <v>1376</v>
      </c>
      <c r="E5390" s="248"/>
      <c r="F5390" s="391"/>
      <c r="G5390" s="391"/>
      <c r="H5390" s="551" t="str">
        <f t="shared" si="1793"/>
        <v/>
      </c>
      <c r="I5390" s="600"/>
      <c r="J5390" s="549" t="s">
        <v>5804</v>
      </c>
    </row>
    <row r="5391" spans="1:10" x14ac:dyDescent="0.35">
      <c r="A5391" s="247" t="s">
        <v>1424</v>
      </c>
      <c r="B5391" s="248" t="s">
        <v>5405</v>
      </c>
      <c r="C5391" s="248"/>
      <c r="D5391" s="248" t="s">
        <v>1378</v>
      </c>
      <c r="E5391" s="248"/>
      <c r="F5391" s="391"/>
      <c r="G5391" s="391"/>
      <c r="H5391" s="551" t="str">
        <f t="shared" ref="H5391:H5422" si="1794">IF(ISNUMBER(G5391),ROUND(0.8*G5391,2),"")</f>
        <v/>
      </c>
      <c r="I5391" s="600"/>
      <c r="J5391" s="549" t="s">
        <v>5804</v>
      </c>
    </row>
    <row r="5392" spans="1:10" x14ac:dyDescent="0.35">
      <c r="A5392" s="247" t="s">
        <v>1425</v>
      </c>
      <c r="B5392" s="248" t="s">
        <v>5405</v>
      </c>
      <c r="C5392" s="248"/>
      <c r="D5392" s="248" t="s">
        <v>1380</v>
      </c>
      <c r="E5392" s="248"/>
      <c r="F5392" s="391"/>
      <c r="G5392" s="391"/>
      <c r="H5392" s="551" t="str">
        <f t="shared" si="1794"/>
        <v/>
      </c>
      <c r="I5392" s="600"/>
      <c r="J5392" s="549" t="s">
        <v>5804</v>
      </c>
    </row>
    <row r="5393" spans="1:10" x14ac:dyDescent="0.35">
      <c r="A5393" s="247" t="s">
        <v>1426</v>
      </c>
      <c r="B5393" s="248" t="s">
        <v>5405</v>
      </c>
      <c r="C5393" s="248"/>
      <c r="D5393" s="248" t="s">
        <v>1382</v>
      </c>
      <c r="E5393" s="248"/>
      <c r="F5393" s="391"/>
      <c r="G5393" s="391"/>
      <c r="H5393" s="551" t="str">
        <f t="shared" si="1794"/>
        <v/>
      </c>
      <c r="I5393" s="600"/>
      <c r="J5393" s="549" t="s">
        <v>5804</v>
      </c>
    </row>
    <row r="5394" spans="1:10" x14ac:dyDescent="0.35">
      <c r="A5394" s="247" t="s">
        <v>1427</v>
      </c>
      <c r="B5394" s="248" t="s">
        <v>5405</v>
      </c>
      <c r="C5394" s="248"/>
      <c r="D5394" s="248" t="s">
        <v>1384</v>
      </c>
      <c r="E5394" s="248"/>
      <c r="F5394" s="391"/>
      <c r="G5394" s="391"/>
      <c r="H5394" s="551" t="str">
        <f t="shared" si="1794"/>
        <v/>
      </c>
      <c r="I5394" s="600"/>
      <c r="J5394" s="549" t="s">
        <v>5804</v>
      </c>
    </row>
    <row r="5395" spans="1:10" x14ac:dyDescent="0.35">
      <c r="A5395" s="247" t="s">
        <v>1428</v>
      </c>
      <c r="B5395" s="248" t="s">
        <v>5405</v>
      </c>
      <c r="C5395" s="248"/>
      <c r="D5395" s="248" t="s">
        <v>1386</v>
      </c>
      <c r="E5395" s="248"/>
      <c r="F5395" s="391"/>
      <c r="G5395" s="391"/>
      <c r="H5395" s="551" t="str">
        <f t="shared" si="1794"/>
        <v/>
      </c>
      <c r="I5395" s="600"/>
      <c r="J5395" s="549" t="s">
        <v>5804</v>
      </c>
    </row>
    <row r="5396" spans="1:10" x14ac:dyDescent="0.35">
      <c r="A5396" s="247" t="s">
        <v>1429</v>
      </c>
      <c r="B5396" s="248" t="s">
        <v>5405</v>
      </c>
      <c r="C5396" s="248"/>
      <c r="D5396" s="248" t="s">
        <v>1388</v>
      </c>
      <c r="E5396" s="248"/>
      <c r="F5396" s="391"/>
      <c r="G5396" s="391"/>
      <c r="H5396" s="551" t="str">
        <f t="shared" si="1794"/>
        <v/>
      </c>
      <c r="I5396" s="600"/>
      <c r="J5396" s="549" t="s">
        <v>5804</v>
      </c>
    </row>
    <row r="5397" spans="1:10" x14ac:dyDescent="0.35">
      <c r="A5397" s="247" t="s">
        <v>1430</v>
      </c>
      <c r="B5397" s="248" t="s">
        <v>5405</v>
      </c>
      <c r="C5397" s="248"/>
      <c r="D5397" s="248" t="s">
        <v>1390</v>
      </c>
      <c r="E5397" s="248"/>
      <c r="F5397" s="391"/>
      <c r="G5397" s="391"/>
      <c r="H5397" s="551" t="str">
        <f t="shared" si="1794"/>
        <v/>
      </c>
      <c r="I5397" s="600"/>
      <c r="J5397" s="549" t="s">
        <v>5804</v>
      </c>
    </row>
    <row r="5398" spans="1:10" x14ac:dyDescent="0.35">
      <c r="A5398" s="247" t="s">
        <v>1431</v>
      </c>
      <c r="B5398" s="248" t="s">
        <v>5405</v>
      </c>
      <c r="C5398" s="248"/>
      <c r="D5398" s="248" t="s">
        <v>1392</v>
      </c>
      <c r="E5398" s="248"/>
      <c r="F5398" s="391"/>
      <c r="G5398" s="391"/>
      <c r="H5398" s="551" t="str">
        <f t="shared" si="1794"/>
        <v/>
      </c>
      <c r="I5398" s="600"/>
      <c r="J5398" s="549" t="s">
        <v>5804</v>
      </c>
    </row>
    <row r="5399" spans="1:10" x14ac:dyDescent="0.35">
      <c r="A5399" s="247" t="s">
        <v>1432</v>
      </c>
      <c r="B5399" s="248" t="s">
        <v>5405</v>
      </c>
      <c r="C5399" s="248"/>
      <c r="D5399" s="248" t="s">
        <v>1394</v>
      </c>
      <c r="E5399" s="248"/>
      <c r="F5399" s="391"/>
      <c r="G5399" s="391"/>
      <c r="H5399" s="551" t="str">
        <f t="shared" si="1794"/>
        <v/>
      </c>
      <c r="I5399" s="600"/>
      <c r="J5399" s="549" t="s">
        <v>5804</v>
      </c>
    </row>
    <row r="5400" spans="1:10" x14ac:dyDescent="0.35">
      <c r="A5400" s="247" t="s">
        <v>1433</v>
      </c>
      <c r="B5400" s="248" t="s">
        <v>5405</v>
      </c>
      <c r="C5400" s="248"/>
      <c r="D5400" s="248" t="s">
        <v>1396</v>
      </c>
      <c r="E5400" s="248"/>
      <c r="F5400" s="391"/>
      <c r="G5400" s="391"/>
      <c r="H5400" s="551" t="str">
        <f t="shared" si="1794"/>
        <v/>
      </c>
      <c r="I5400" s="600"/>
      <c r="J5400" s="549" t="s">
        <v>5804</v>
      </c>
    </row>
    <row r="5401" spans="1:10" x14ac:dyDescent="0.35">
      <c r="A5401" s="247" t="s">
        <v>1434</v>
      </c>
      <c r="B5401" s="248" t="s">
        <v>5405</v>
      </c>
      <c r="C5401" s="248"/>
      <c r="D5401" s="248" t="s">
        <v>1398</v>
      </c>
      <c r="E5401" s="248"/>
      <c r="F5401" s="391"/>
      <c r="G5401" s="391"/>
      <c r="H5401" s="551" t="str">
        <f t="shared" si="1794"/>
        <v/>
      </c>
      <c r="I5401" s="600"/>
      <c r="J5401" s="549" t="s">
        <v>5804</v>
      </c>
    </row>
    <row r="5402" spans="1:10" x14ac:dyDescent="0.35">
      <c r="A5402" s="250"/>
      <c r="B5402" s="251"/>
      <c r="C5402" s="251"/>
      <c r="D5402" s="251"/>
      <c r="E5402" s="251"/>
      <c r="F5402" s="392"/>
      <c r="G5402" s="552"/>
      <c r="H5402" s="11" t="str">
        <f t="shared" si="1794"/>
        <v/>
      </c>
      <c r="J5402" s="549" t="s">
        <v>4179</v>
      </c>
    </row>
    <row r="5403" spans="1:10" x14ac:dyDescent="0.35">
      <c r="A5403" s="247" t="s">
        <v>1435</v>
      </c>
      <c r="B5403" s="248" t="s">
        <v>5410</v>
      </c>
      <c r="C5403" s="248"/>
      <c r="D5403" s="248" t="s">
        <v>1376</v>
      </c>
      <c r="E5403" s="248"/>
      <c r="F5403" s="391"/>
      <c r="G5403" s="391"/>
      <c r="H5403" s="551" t="str">
        <f t="shared" si="1794"/>
        <v/>
      </c>
      <c r="I5403" s="600"/>
      <c r="J5403" s="549" t="s">
        <v>5804</v>
      </c>
    </row>
    <row r="5404" spans="1:10" x14ac:dyDescent="0.35">
      <c r="A5404" s="247" t="s">
        <v>1436</v>
      </c>
      <c r="B5404" s="248" t="s">
        <v>5410</v>
      </c>
      <c r="C5404" s="248"/>
      <c r="D5404" s="248" t="s">
        <v>1378</v>
      </c>
      <c r="E5404" s="248"/>
      <c r="F5404" s="391"/>
      <c r="G5404" s="391"/>
      <c r="H5404" s="551" t="str">
        <f t="shared" si="1794"/>
        <v/>
      </c>
      <c r="I5404" s="600"/>
      <c r="J5404" s="549" t="s">
        <v>5804</v>
      </c>
    </row>
    <row r="5405" spans="1:10" x14ac:dyDescent="0.35">
      <c r="A5405" s="247" t="s">
        <v>1437</v>
      </c>
      <c r="B5405" s="248" t="s">
        <v>5410</v>
      </c>
      <c r="C5405" s="248"/>
      <c r="D5405" s="248" t="s">
        <v>1380</v>
      </c>
      <c r="E5405" s="248"/>
      <c r="F5405" s="391"/>
      <c r="G5405" s="391"/>
      <c r="H5405" s="551" t="str">
        <f t="shared" si="1794"/>
        <v/>
      </c>
      <c r="I5405" s="600"/>
      <c r="J5405" s="549" t="s">
        <v>5804</v>
      </c>
    </row>
    <row r="5406" spans="1:10" x14ac:dyDescent="0.35">
      <c r="A5406" s="247" t="s">
        <v>1438</v>
      </c>
      <c r="B5406" s="248" t="s">
        <v>5410</v>
      </c>
      <c r="C5406" s="248"/>
      <c r="D5406" s="248" t="s">
        <v>1382</v>
      </c>
      <c r="E5406" s="248"/>
      <c r="F5406" s="391"/>
      <c r="G5406" s="391"/>
      <c r="H5406" s="551" t="str">
        <f t="shared" si="1794"/>
        <v/>
      </c>
      <c r="I5406" s="600"/>
      <c r="J5406" s="549" t="s">
        <v>5804</v>
      </c>
    </row>
    <row r="5407" spans="1:10" x14ac:dyDescent="0.35">
      <c r="A5407" s="247" t="s">
        <v>5069</v>
      </c>
      <c r="B5407" s="248" t="s">
        <v>5410</v>
      </c>
      <c r="C5407" s="248"/>
      <c r="D5407" s="248" t="s">
        <v>1384</v>
      </c>
      <c r="E5407" s="248"/>
      <c r="F5407" s="391"/>
      <c r="G5407" s="391"/>
      <c r="H5407" s="551" t="str">
        <f t="shared" si="1794"/>
        <v/>
      </c>
      <c r="I5407" s="600"/>
      <c r="J5407" s="549" t="s">
        <v>5804</v>
      </c>
    </row>
    <row r="5408" spans="1:10" x14ac:dyDescent="0.35">
      <c r="A5408" s="247" t="s">
        <v>5070</v>
      </c>
      <c r="B5408" s="248" t="s">
        <v>5410</v>
      </c>
      <c r="C5408" s="248"/>
      <c r="D5408" s="248" t="s">
        <v>1386</v>
      </c>
      <c r="E5408" s="248"/>
      <c r="F5408" s="391"/>
      <c r="G5408" s="391"/>
      <c r="H5408" s="551" t="str">
        <f t="shared" si="1794"/>
        <v/>
      </c>
      <c r="I5408" s="600"/>
      <c r="J5408" s="549" t="s">
        <v>5804</v>
      </c>
    </row>
    <row r="5409" spans="1:10" x14ac:dyDescent="0.35">
      <c r="A5409" s="247" t="s">
        <v>5071</v>
      </c>
      <c r="B5409" s="248" t="s">
        <v>5410</v>
      </c>
      <c r="C5409" s="248"/>
      <c r="D5409" s="248" t="s">
        <v>1388</v>
      </c>
      <c r="E5409" s="248"/>
      <c r="F5409" s="391"/>
      <c r="G5409" s="391"/>
      <c r="H5409" s="551" t="str">
        <f t="shared" si="1794"/>
        <v/>
      </c>
      <c r="I5409" s="600"/>
      <c r="J5409" s="549" t="s">
        <v>5804</v>
      </c>
    </row>
    <row r="5410" spans="1:10" x14ac:dyDescent="0.35">
      <c r="A5410" s="247" t="s">
        <v>5072</v>
      </c>
      <c r="B5410" s="248" t="s">
        <v>5410</v>
      </c>
      <c r="C5410" s="248"/>
      <c r="D5410" s="248" t="s">
        <v>1390</v>
      </c>
      <c r="E5410" s="248"/>
      <c r="F5410" s="391"/>
      <c r="G5410" s="391"/>
      <c r="H5410" s="551" t="str">
        <f t="shared" si="1794"/>
        <v/>
      </c>
      <c r="I5410" s="600"/>
      <c r="J5410" s="549" t="s">
        <v>5804</v>
      </c>
    </row>
    <row r="5411" spans="1:10" x14ac:dyDescent="0.35">
      <c r="A5411" s="247" t="s">
        <v>5073</v>
      </c>
      <c r="B5411" s="248" t="s">
        <v>5410</v>
      </c>
      <c r="C5411" s="248"/>
      <c r="D5411" s="248" t="s">
        <v>1392</v>
      </c>
      <c r="E5411" s="248"/>
      <c r="F5411" s="391"/>
      <c r="G5411" s="391"/>
      <c r="H5411" s="551" t="str">
        <f t="shared" si="1794"/>
        <v/>
      </c>
      <c r="I5411" s="600"/>
      <c r="J5411" s="549" t="s">
        <v>5804</v>
      </c>
    </row>
    <row r="5412" spans="1:10" x14ac:dyDescent="0.35">
      <c r="A5412" s="247" t="s">
        <v>5074</v>
      </c>
      <c r="B5412" s="248" t="s">
        <v>5410</v>
      </c>
      <c r="C5412" s="248"/>
      <c r="D5412" s="248" t="s">
        <v>1394</v>
      </c>
      <c r="E5412" s="248"/>
      <c r="F5412" s="391"/>
      <c r="G5412" s="391"/>
      <c r="H5412" s="551" t="str">
        <f t="shared" si="1794"/>
        <v/>
      </c>
      <c r="I5412" s="600"/>
      <c r="J5412" s="549" t="s">
        <v>5804</v>
      </c>
    </row>
    <row r="5413" spans="1:10" x14ac:dyDescent="0.35">
      <c r="A5413" s="247" t="s">
        <v>5075</v>
      </c>
      <c r="B5413" s="248" t="s">
        <v>5410</v>
      </c>
      <c r="C5413" s="248"/>
      <c r="D5413" s="248" t="s">
        <v>1396</v>
      </c>
      <c r="E5413" s="248"/>
      <c r="F5413" s="391"/>
      <c r="G5413" s="391"/>
      <c r="H5413" s="551" t="str">
        <f t="shared" si="1794"/>
        <v/>
      </c>
      <c r="I5413" s="600"/>
      <c r="J5413" s="549" t="s">
        <v>5804</v>
      </c>
    </row>
    <row r="5414" spans="1:10" x14ac:dyDescent="0.35">
      <c r="A5414" s="247" t="s">
        <v>5076</v>
      </c>
      <c r="B5414" s="248" t="s">
        <v>5410</v>
      </c>
      <c r="C5414" s="248"/>
      <c r="D5414" s="248" t="s">
        <v>1398</v>
      </c>
      <c r="E5414" s="248"/>
      <c r="F5414" s="391"/>
      <c r="G5414" s="391"/>
      <c r="H5414" s="551" t="str">
        <f t="shared" si="1794"/>
        <v/>
      </c>
      <c r="I5414" s="600"/>
      <c r="J5414" s="549" t="s">
        <v>5804</v>
      </c>
    </row>
    <row r="5415" spans="1:10" x14ac:dyDescent="0.35">
      <c r="A5415" s="250"/>
      <c r="B5415" s="251"/>
      <c r="C5415" s="251"/>
      <c r="D5415" s="251"/>
      <c r="E5415" s="251"/>
      <c r="F5415" s="392"/>
      <c r="G5415" s="552"/>
      <c r="H5415" s="11" t="str">
        <f t="shared" si="1794"/>
        <v/>
      </c>
      <c r="J5415" s="549" t="s">
        <v>4179</v>
      </c>
    </row>
    <row r="5416" spans="1:10" x14ac:dyDescent="0.35">
      <c r="A5416" s="247" t="s">
        <v>5077</v>
      </c>
      <c r="B5416" s="248" t="s">
        <v>5411</v>
      </c>
      <c r="C5416" s="248"/>
      <c r="D5416" s="248" t="s">
        <v>1376</v>
      </c>
      <c r="E5416" s="248"/>
      <c r="F5416" s="391"/>
      <c r="G5416" s="391"/>
      <c r="H5416" s="551" t="str">
        <f t="shared" si="1794"/>
        <v/>
      </c>
      <c r="I5416" s="600"/>
      <c r="J5416" s="549" t="s">
        <v>5804</v>
      </c>
    </row>
    <row r="5417" spans="1:10" x14ac:dyDescent="0.35">
      <c r="A5417" s="247" t="s">
        <v>5078</v>
      </c>
      <c r="B5417" s="248" t="s">
        <v>5411</v>
      </c>
      <c r="C5417" s="248"/>
      <c r="D5417" s="248" t="s">
        <v>1378</v>
      </c>
      <c r="E5417" s="248"/>
      <c r="F5417" s="391"/>
      <c r="G5417" s="391"/>
      <c r="H5417" s="551" t="str">
        <f t="shared" si="1794"/>
        <v/>
      </c>
      <c r="I5417" s="600"/>
      <c r="J5417" s="549" t="s">
        <v>5804</v>
      </c>
    </row>
    <row r="5418" spans="1:10" x14ac:dyDescent="0.35">
      <c r="A5418" s="247" t="s">
        <v>5079</v>
      </c>
      <c r="B5418" s="248" t="s">
        <v>5411</v>
      </c>
      <c r="C5418" s="248"/>
      <c r="D5418" s="248" t="s">
        <v>1380</v>
      </c>
      <c r="E5418" s="248"/>
      <c r="F5418" s="391"/>
      <c r="G5418" s="391"/>
      <c r="H5418" s="551" t="str">
        <f t="shared" si="1794"/>
        <v/>
      </c>
      <c r="I5418" s="600"/>
      <c r="J5418" s="549" t="s">
        <v>5804</v>
      </c>
    </row>
    <row r="5419" spans="1:10" x14ac:dyDescent="0.35">
      <c r="A5419" s="247" t="s">
        <v>5080</v>
      </c>
      <c r="B5419" s="248" t="s">
        <v>5411</v>
      </c>
      <c r="C5419" s="248"/>
      <c r="D5419" s="248" t="s">
        <v>1382</v>
      </c>
      <c r="E5419" s="248"/>
      <c r="F5419" s="391"/>
      <c r="G5419" s="391"/>
      <c r="H5419" s="551" t="str">
        <f t="shared" si="1794"/>
        <v/>
      </c>
      <c r="I5419" s="600"/>
      <c r="J5419" s="549" t="s">
        <v>5804</v>
      </c>
    </row>
    <row r="5420" spans="1:10" x14ac:dyDescent="0.35">
      <c r="A5420" s="247" t="s">
        <v>5081</v>
      </c>
      <c r="B5420" s="248" t="s">
        <v>5411</v>
      </c>
      <c r="C5420" s="248"/>
      <c r="D5420" s="248" t="s">
        <v>1384</v>
      </c>
      <c r="E5420" s="248"/>
      <c r="F5420" s="391"/>
      <c r="G5420" s="391"/>
      <c r="H5420" s="551" t="str">
        <f t="shared" si="1794"/>
        <v/>
      </c>
      <c r="I5420" s="600"/>
      <c r="J5420" s="549" t="s">
        <v>5804</v>
      </c>
    </row>
    <row r="5421" spans="1:10" x14ac:dyDescent="0.35">
      <c r="A5421" s="247" t="s">
        <v>5082</v>
      </c>
      <c r="B5421" s="248" t="s">
        <v>5411</v>
      </c>
      <c r="C5421" s="248"/>
      <c r="D5421" s="248" t="s">
        <v>1386</v>
      </c>
      <c r="E5421" s="248"/>
      <c r="F5421" s="391"/>
      <c r="G5421" s="391"/>
      <c r="H5421" s="551" t="str">
        <f t="shared" si="1794"/>
        <v/>
      </c>
      <c r="I5421" s="600"/>
      <c r="J5421" s="549" t="s">
        <v>5804</v>
      </c>
    </row>
    <row r="5422" spans="1:10" x14ac:dyDescent="0.35">
      <c r="A5422" s="247" t="s">
        <v>5083</v>
      </c>
      <c r="B5422" s="248" t="s">
        <v>5411</v>
      </c>
      <c r="C5422" s="248"/>
      <c r="D5422" s="248" t="s">
        <v>1388</v>
      </c>
      <c r="E5422" s="248"/>
      <c r="F5422" s="391"/>
      <c r="G5422" s="391"/>
      <c r="H5422" s="551" t="str">
        <f t="shared" si="1794"/>
        <v/>
      </c>
      <c r="I5422" s="600"/>
      <c r="J5422" s="549" t="s">
        <v>5804</v>
      </c>
    </row>
    <row r="5423" spans="1:10" x14ac:dyDescent="0.35">
      <c r="A5423" s="247" t="s">
        <v>5084</v>
      </c>
      <c r="B5423" s="248" t="s">
        <v>5411</v>
      </c>
      <c r="C5423" s="248"/>
      <c r="D5423" s="248" t="s">
        <v>1390</v>
      </c>
      <c r="E5423" s="248"/>
      <c r="F5423" s="391"/>
      <c r="G5423" s="391"/>
      <c r="H5423" s="551" t="str">
        <f t="shared" ref="H5423:H5454" si="1795">IF(ISNUMBER(G5423),ROUND(0.8*G5423,2),"")</f>
        <v/>
      </c>
      <c r="I5423" s="600"/>
      <c r="J5423" s="549" t="s">
        <v>5804</v>
      </c>
    </row>
    <row r="5424" spans="1:10" x14ac:dyDescent="0.35">
      <c r="A5424" s="247" t="s">
        <v>5085</v>
      </c>
      <c r="B5424" s="248" t="s">
        <v>5411</v>
      </c>
      <c r="C5424" s="248"/>
      <c r="D5424" s="248" t="s">
        <v>1392</v>
      </c>
      <c r="E5424" s="248"/>
      <c r="F5424" s="391"/>
      <c r="G5424" s="391"/>
      <c r="H5424" s="551" t="str">
        <f t="shared" si="1795"/>
        <v/>
      </c>
      <c r="I5424" s="600"/>
      <c r="J5424" s="549" t="s">
        <v>5804</v>
      </c>
    </row>
    <row r="5425" spans="1:10" x14ac:dyDescent="0.35">
      <c r="A5425" s="247" t="s">
        <v>5086</v>
      </c>
      <c r="B5425" s="248" t="s">
        <v>5411</v>
      </c>
      <c r="C5425" s="248"/>
      <c r="D5425" s="248" t="s">
        <v>1394</v>
      </c>
      <c r="E5425" s="248"/>
      <c r="F5425" s="391"/>
      <c r="G5425" s="391"/>
      <c r="H5425" s="551" t="str">
        <f t="shared" si="1795"/>
        <v/>
      </c>
      <c r="I5425" s="600"/>
      <c r="J5425" s="549" t="s">
        <v>5804</v>
      </c>
    </row>
    <row r="5426" spans="1:10" x14ac:dyDescent="0.35">
      <c r="A5426" s="247" t="s">
        <v>5087</v>
      </c>
      <c r="B5426" s="248" t="s">
        <v>5411</v>
      </c>
      <c r="C5426" s="248"/>
      <c r="D5426" s="248" t="s">
        <v>1396</v>
      </c>
      <c r="E5426" s="248"/>
      <c r="F5426" s="391"/>
      <c r="G5426" s="391"/>
      <c r="H5426" s="551" t="str">
        <f t="shared" si="1795"/>
        <v/>
      </c>
      <c r="I5426" s="600"/>
      <c r="J5426" s="549" t="s">
        <v>5804</v>
      </c>
    </row>
    <row r="5427" spans="1:10" x14ac:dyDescent="0.35">
      <c r="A5427" s="247" t="s">
        <v>5088</v>
      </c>
      <c r="B5427" s="248" t="s">
        <v>5411</v>
      </c>
      <c r="C5427" s="248"/>
      <c r="D5427" s="248" t="s">
        <v>1398</v>
      </c>
      <c r="E5427" s="248"/>
      <c r="F5427" s="391"/>
      <c r="G5427" s="391"/>
      <c r="H5427" s="551" t="str">
        <f t="shared" si="1795"/>
        <v/>
      </c>
      <c r="I5427" s="600"/>
      <c r="J5427" s="549" t="s">
        <v>5804</v>
      </c>
    </row>
    <row r="5428" spans="1:10" x14ac:dyDescent="0.35">
      <c r="A5428" s="250"/>
      <c r="B5428" s="251"/>
      <c r="C5428" s="251"/>
      <c r="D5428" s="251"/>
      <c r="E5428" s="251"/>
      <c r="F5428" s="392"/>
      <c r="G5428" s="552"/>
      <c r="H5428" s="11" t="str">
        <f t="shared" si="1795"/>
        <v/>
      </c>
      <c r="J5428" s="549" t="s">
        <v>4179</v>
      </c>
    </row>
    <row r="5429" spans="1:10" x14ac:dyDescent="0.35">
      <c r="A5429" s="247" t="s">
        <v>5089</v>
      </c>
      <c r="B5429" s="248" t="s">
        <v>2034</v>
      </c>
      <c r="C5429" s="248"/>
      <c r="D5429" s="248" t="s">
        <v>1376</v>
      </c>
      <c r="E5429" s="248"/>
      <c r="F5429" s="391"/>
      <c r="G5429" s="391"/>
      <c r="H5429" s="551" t="str">
        <f t="shared" si="1795"/>
        <v/>
      </c>
      <c r="I5429" s="600"/>
      <c r="J5429" s="549" t="s">
        <v>5804</v>
      </c>
    </row>
    <row r="5430" spans="1:10" x14ac:dyDescent="0.35">
      <c r="A5430" s="247" t="s">
        <v>5090</v>
      </c>
      <c r="B5430" s="248" t="s">
        <v>2034</v>
      </c>
      <c r="C5430" s="248"/>
      <c r="D5430" s="248" t="s">
        <v>1378</v>
      </c>
      <c r="E5430" s="248"/>
      <c r="F5430" s="391"/>
      <c r="G5430" s="391"/>
      <c r="H5430" s="551" t="str">
        <f t="shared" si="1795"/>
        <v/>
      </c>
      <c r="I5430" s="600"/>
      <c r="J5430" s="549" t="s">
        <v>5804</v>
      </c>
    </row>
    <row r="5431" spans="1:10" x14ac:dyDescent="0.35">
      <c r="A5431" s="247" t="s">
        <v>5091</v>
      </c>
      <c r="B5431" s="248" t="s">
        <v>2034</v>
      </c>
      <c r="C5431" s="248"/>
      <c r="D5431" s="248" t="s">
        <v>1380</v>
      </c>
      <c r="E5431" s="248"/>
      <c r="F5431" s="391"/>
      <c r="G5431" s="391"/>
      <c r="H5431" s="551" t="str">
        <f t="shared" si="1795"/>
        <v/>
      </c>
      <c r="I5431" s="600"/>
      <c r="J5431" s="549" t="s">
        <v>5804</v>
      </c>
    </row>
    <row r="5432" spans="1:10" x14ac:dyDescent="0.35">
      <c r="A5432" s="247" t="s">
        <v>5092</v>
      </c>
      <c r="B5432" s="248" t="s">
        <v>2034</v>
      </c>
      <c r="C5432" s="248"/>
      <c r="D5432" s="248" t="s">
        <v>1382</v>
      </c>
      <c r="E5432" s="248"/>
      <c r="F5432" s="391"/>
      <c r="G5432" s="391"/>
      <c r="H5432" s="551" t="str">
        <f t="shared" si="1795"/>
        <v/>
      </c>
      <c r="I5432" s="600"/>
      <c r="J5432" s="549" t="s">
        <v>5804</v>
      </c>
    </row>
    <row r="5433" spans="1:10" x14ac:dyDescent="0.35">
      <c r="A5433" s="247" t="s">
        <v>5093</v>
      </c>
      <c r="B5433" s="248" t="s">
        <v>2034</v>
      </c>
      <c r="C5433" s="248"/>
      <c r="D5433" s="248" t="s">
        <v>1384</v>
      </c>
      <c r="E5433" s="248"/>
      <c r="F5433" s="391"/>
      <c r="G5433" s="391"/>
      <c r="H5433" s="551" t="str">
        <f t="shared" si="1795"/>
        <v/>
      </c>
      <c r="I5433" s="600"/>
      <c r="J5433" s="549" t="s">
        <v>5804</v>
      </c>
    </row>
    <row r="5434" spans="1:10" x14ac:dyDescent="0.35">
      <c r="A5434" s="247" t="s">
        <v>5094</v>
      </c>
      <c r="B5434" s="248" t="s">
        <v>2034</v>
      </c>
      <c r="C5434" s="248"/>
      <c r="D5434" s="248" t="s">
        <v>1386</v>
      </c>
      <c r="E5434" s="248"/>
      <c r="F5434" s="391"/>
      <c r="G5434" s="391"/>
      <c r="H5434" s="551" t="str">
        <f t="shared" si="1795"/>
        <v/>
      </c>
      <c r="I5434" s="600"/>
      <c r="J5434" s="549" t="s">
        <v>5804</v>
      </c>
    </row>
    <row r="5435" spans="1:10" x14ac:dyDescent="0.35">
      <c r="A5435" s="247" t="s">
        <v>5095</v>
      </c>
      <c r="B5435" s="248" t="s">
        <v>2034</v>
      </c>
      <c r="C5435" s="248"/>
      <c r="D5435" s="248" t="s">
        <v>1388</v>
      </c>
      <c r="E5435" s="248"/>
      <c r="F5435" s="391"/>
      <c r="G5435" s="391"/>
      <c r="H5435" s="551" t="str">
        <f t="shared" si="1795"/>
        <v/>
      </c>
      <c r="I5435" s="600"/>
      <c r="J5435" s="549" t="s">
        <v>5804</v>
      </c>
    </row>
    <row r="5436" spans="1:10" x14ac:dyDescent="0.35">
      <c r="A5436" s="247" t="s">
        <v>5096</v>
      </c>
      <c r="B5436" s="248" t="s">
        <v>2034</v>
      </c>
      <c r="C5436" s="248"/>
      <c r="D5436" s="248" t="s">
        <v>1390</v>
      </c>
      <c r="E5436" s="248"/>
      <c r="F5436" s="391"/>
      <c r="G5436" s="391"/>
      <c r="H5436" s="551" t="str">
        <f t="shared" si="1795"/>
        <v/>
      </c>
      <c r="I5436" s="600"/>
      <c r="J5436" s="549" t="s">
        <v>5804</v>
      </c>
    </row>
    <row r="5437" spans="1:10" x14ac:dyDescent="0.35">
      <c r="A5437" s="247" t="s">
        <v>5097</v>
      </c>
      <c r="B5437" s="248" t="s">
        <v>2034</v>
      </c>
      <c r="C5437" s="248"/>
      <c r="D5437" s="248" t="s">
        <v>1392</v>
      </c>
      <c r="E5437" s="248"/>
      <c r="F5437" s="391"/>
      <c r="G5437" s="391"/>
      <c r="H5437" s="551" t="str">
        <f t="shared" si="1795"/>
        <v/>
      </c>
      <c r="I5437" s="600"/>
      <c r="J5437" s="549" t="s">
        <v>5804</v>
      </c>
    </row>
    <row r="5438" spans="1:10" x14ac:dyDescent="0.35">
      <c r="A5438" s="247" t="s">
        <v>5098</v>
      </c>
      <c r="B5438" s="248" t="s">
        <v>2034</v>
      </c>
      <c r="C5438" s="248"/>
      <c r="D5438" s="248" t="s">
        <v>1394</v>
      </c>
      <c r="E5438" s="248"/>
      <c r="F5438" s="391"/>
      <c r="G5438" s="391"/>
      <c r="H5438" s="551" t="str">
        <f t="shared" si="1795"/>
        <v/>
      </c>
      <c r="I5438" s="600"/>
      <c r="J5438" s="549" t="s">
        <v>5804</v>
      </c>
    </row>
    <row r="5439" spans="1:10" x14ac:dyDescent="0.35">
      <c r="A5439" s="247" t="s">
        <v>5099</v>
      </c>
      <c r="B5439" s="248" t="s">
        <v>2034</v>
      </c>
      <c r="C5439" s="248"/>
      <c r="D5439" s="248" t="s">
        <v>1396</v>
      </c>
      <c r="E5439" s="248"/>
      <c r="F5439" s="391"/>
      <c r="G5439" s="391"/>
      <c r="H5439" s="551" t="str">
        <f t="shared" si="1795"/>
        <v/>
      </c>
      <c r="I5439" s="600"/>
      <c r="J5439" s="549" t="s">
        <v>5804</v>
      </c>
    </row>
    <row r="5440" spans="1:10" x14ac:dyDescent="0.35">
      <c r="A5440" s="247" t="s">
        <v>5100</v>
      </c>
      <c r="B5440" s="248" t="s">
        <v>2034</v>
      </c>
      <c r="C5440" s="248"/>
      <c r="D5440" s="248" t="s">
        <v>1398</v>
      </c>
      <c r="E5440" s="248"/>
      <c r="F5440" s="391"/>
      <c r="G5440" s="391"/>
      <c r="H5440" s="551" t="str">
        <f t="shared" si="1795"/>
        <v/>
      </c>
      <c r="I5440" s="600"/>
      <c r="J5440" s="549" t="s">
        <v>5804</v>
      </c>
    </row>
    <row r="5441" spans="1:10" x14ac:dyDescent="0.35">
      <c r="A5441" s="250"/>
      <c r="B5441" s="251"/>
      <c r="C5441" s="251"/>
      <c r="D5441" s="251"/>
      <c r="E5441" s="251"/>
      <c r="F5441" s="392"/>
      <c r="G5441" s="552"/>
      <c r="H5441" s="11" t="str">
        <f t="shared" si="1795"/>
        <v/>
      </c>
      <c r="J5441" s="549" t="s">
        <v>4179</v>
      </c>
    </row>
    <row r="5442" spans="1:10" x14ac:dyDescent="0.35">
      <c r="A5442" s="247" t="s">
        <v>5101</v>
      </c>
      <c r="B5442" s="248" t="s">
        <v>2067</v>
      </c>
      <c r="C5442" s="248"/>
      <c r="D5442" s="248" t="s">
        <v>1376</v>
      </c>
      <c r="E5442" s="248"/>
      <c r="F5442" s="391"/>
      <c r="G5442" s="391"/>
      <c r="H5442" s="551" t="str">
        <f t="shared" si="1795"/>
        <v/>
      </c>
      <c r="I5442" s="600"/>
      <c r="J5442" s="549">
        <v>42705</v>
      </c>
    </row>
    <row r="5443" spans="1:10" x14ac:dyDescent="0.35">
      <c r="A5443" s="247" t="s">
        <v>5102</v>
      </c>
      <c r="B5443" s="248" t="s">
        <v>2067</v>
      </c>
      <c r="C5443" s="248"/>
      <c r="D5443" s="248" t="s">
        <v>1378</v>
      </c>
      <c r="E5443" s="248"/>
      <c r="F5443" s="391"/>
      <c r="G5443" s="391"/>
      <c r="H5443" s="551" t="str">
        <f t="shared" si="1795"/>
        <v/>
      </c>
      <c r="I5443" s="600"/>
      <c r="J5443" s="549">
        <v>42705</v>
      </c>
    </row>
    <row r="5444" spans="1:10" x14ac:dyDescent="0.35">
      <c r="A5444" s="247" t="s">
        <v>5103</v>
      </c>
      <c r="B5444" s="248" t="s">
        <v>2067</v>
      </c>
      <c r="C5444" s="248"/>
      <c r="D5444" s="248" t="s">
        <v>1380</v>
      </c>
      <c r="E5444" s="248"/>
      <c r="F5444" s="391"/>
      <c r="G5444" s="391"/>
      <c r="H5444" s="551" t="str">
        <f t="shared" si="1795"/>
        <v/>
      </c>
      <c r="I5444" s="600"/>
      <c r="J5444" s="549">
        <v>42705</v>
      </c>
    </row>
    <row r="5445" spans="1:10" x14ac:dyDescent="0.35">
      <c r="A5445" s="247" t="s">
        <v>5104</v>
      </c>
      <c r="B5445" s="248" t="s">
        <v>2067</v>
      </c>
      <c r="C5445" s="248"/>
      <c r="D5445" s="248" t="s">
        <v>1382</v>
      </c>
      <c r="E5445" s="248"/>
      <c r="F5445" s="391"/>
      <c r="G5445" s="391"/>
      <c r="H5445" s="551" t="str">
        <f t="shared" si="1795"/>
        <v/>
      </c>
      <c r="I5445" s="600"/>
      <c r="J5445" s="549">
        <v>42705</v>
      </c>
    </row>
    <row r="5446" spans="1:10" x14ac:dyDescent="0.35">
      <c r="A5446" s="247" t="s">
        <v>5105</v>
      </c>
      <c r="B5446" s="248" t="s">
        <v>2067</v>
      </c>
      <c r="C5446" s="248"/>
      <c r="D5446" s="248" t="s">
        <v>1384</v>
      </c>
      <c r="E5446" s="248"/>
      <c r="F5446" s="391"/>
      <c r="G5446" s="391"/>
      <c r="H5446" s="551" t="str">
        <f t="shared" si="1795"/>
        <v/>
      </c>
      <c r="I5446" s="600"/>
      <c r="J5446" s="549">
        <v>42705</v>
      </c>
    </row>
    <row r="5447" spans="1:10" x14ac:dyDescent="0.35">
      <c r="A5447" s="247" t="s">
        <v>5106</v>
      </c>
      <c r="B5447" s="248" t="s">
        <v>2067</v>
      </c>
      <c r="C5447" s="248"/>
      <c r="D5447" s="248" t="s">
        <v>1386</v>
      </c>
      <c r="E5447" s="248"/>
      <c r="F5447" s="391"/>
      <c r="G5447" s="391"/>
      <c r="H5447" s="551" t="str">
        <f t="shared" si="1795"/>
        <v/>
      </c>
      <c r="I5447" s="600"/>
      <c r="J5447" s="549">
        <v>42705</v>
      </c>
    </row>
    <row r="5448" spans="1:10" x14ac:dyDescent="0.35">
      <c r="A5448" s="247" t="s">
        <v>5107</v>
      </c>
      <c r="B5448" s="248" t="s">
        <v>2067</v>
      </c>
      <c r="C5448" s="248"/>
      <c r="D5448" s="248" t="s">
        <v>1388</v>
      </c>
      <c r="E5448" s="248"/>
      <c r="F5448" s="391"/>
      <c r="G5448" s="391"/>
      <c r="H5448" s="551" t="str">
        <f t="shared" si="1795"/>
        <v/>
      </c>
      <c r="I5448" s="600"/>
      <c r="J5448" s="549">
        <v>42705</v>
      </c>
    </row>
    <row r="5449" spans="1:10" x14ac:dyDescent="0.35">
      <c r="A5449" s="247" t="s">
        <v>5108</v>
      </c>
      <c r="B5449" s="248" t="s">
        <v>2067</v>
      </c>
      <c r="C5449" s="248"/>
      <c r="D5449" s="248" t="s">
        <v>1390</v>
      </c>
      <c r="E5449" s="248"/>
      <c r="F5449" s="391"/>
      <c r="G5449" s="391"/>
      <c r="H5449" s="551" t="str">
        <f t="shared" si="1795"/>
        <v/>
      </c>
      <c r="I5449" s="600"/>
      <c r="J5449" s="549">
        <v>42705</v>
      </c>
    </row>
    <row r="5450" spans="1:10" x14ac:dyDescent="0.35">
      <c r="A5450" s="247" t="s">
        <v>5109</v>
      </c>
      <c r="B5450" s="248" t="s">
        <v>2067</v>
      </c>
      <c r="C5450" s="248"/>
      <c r="D5450" s="248" t="s">
        <v>1392</v>
      </c>
      <c r="E5450" s="248"/>
      <c r="F5450" s="391"/>
      <c r="G5450" s="391"/>
      <c r="H5450" s="551" t="str">
        <f t="shared" si="1795"/>
        <v/>
      </c>
      <c r="I5450" s="600"/>
      <c r="J5450" s="549">
        <v>42705</v>
      </c>
    </row>
    <row r="5451" spans="1:10" x14ac:dyDescent="0.35">
      <c r="A5451" s="247" t="s">
        <v>5110</v>
      </c>
      <c r="B5451" s="248" t="s">
        <v>2067</v>
      </c>
      <c r="C5451" s="248"/>
      <c r="D5451" s="248" t="s">
        <v>1394</v>
      </c>
      <c r="E5451" s="248"/>
      <c r="F5451" s="391"/>
      <c r="G5451" s="391"/>
      <c r="H5451" s="551" t="str">
        <f t="shared" si="1795"/>
        <v/>
      </c>
      <c r="I5451" s="600"/>
      <c r="J5451" s="549">
        <v>42705</v>
      </c>
    </row>
    <row r="5452" spans="1:10" x14ac:dyDescent="0.35">
      <c r="A5452" s="247" t="s">
        <v>5111</v>
      </c>
      <c r="B5452" s="248" t="s">
        <v>2067</v>
      </c>
      <c r="C5452" s="248"/>
      <c r="D5452" s="248" t="s">
        <v>1396</v>
      </c>
      <c r="E5452" s="248"/>
      <c r="F5452" s="391"/>
      <c r="G5452" s="391"/>
      <c r="H5452" s="551" t="str">
        <f t="shared" si="1795"/>
        <v/>
      </c>
      <c r="I5452" s="600"/>
      <c r="J5452" s="549">
        <v>42705</v>
      </c>
    </row>
    <row r="5453" spans="1:10" x14ac:dyDescent="0.35">
      <c r="A5453" s="247" t="s">
        <v>5112</v>
      </c>
      <c r="B5453" s="248" t="s">
        <v>2067</v>
      </c>
      <c r="C5453" s="248"/>
      <c r="D5453" s="248" t="s">
        <v>1398</v>
      </c>
      <c r="E5453" s="248"/>
      <c r="F5453" s="391"/>
      <c r="G5453" s="391"/>
      <c r="H5453" s="551" t="str">
        <f t="shared" si="1795"/>
        <v/>
      </c>
      <c r="I5453" s="600"/>
      <c r="J5453" s="549">
        <v>42705</v>
      </c>
    </row>
    <row r="5454" spans="1:10" x14ac:dyDescent="0.35">
      <c r="A5454" s="250"/>
      <c r="B5454" s="251"/>
      <c r="C5454" s="251"/>
      <c r="D5454" s="251"/>
      <c r="E5454" s="251"/>
      <c r="F5454" s="392"/>
      <c r="G5454" s="552"/>
      <c r="H5454" s="11" t="str">
        <f t="shared" si="1795"/>
        <v/>
      </c>
      <c r="J5454" s="549" t="s">
        <v>4179</v>
      </c>
    </row>
    <row r="5455" spans="1:10" x14ac:dyDescent="0.35">
      <c r="A5455" s="247" t="s">
        <v>5113</v>
      </c>
      <c r="B5455" s="248" t="s">
        <v>3373</v>
      </c>
      <c r="C5455" s="248"/>
      <c r="D5455" s="248" t="s">
        <v>1376</v>
      </c>
      <c r="E5455" s="248"/>
      <c r="F5455" s="391"/>
      <c r="G5455" s="391"/>
      <c r="H5455" s="551" t="str">
        <f t="shared" ref="H5455:H5479" si="1796">IF(ISNUMBER(G5455),ROUND(0.8*G5455,2),"")</f>
        <v/>
      </c>
      <c r="I5455" s="600"/>
      <c r="J5455" s="549">
        <v>42705</v>
      </c>
    </row>
    <row r="5456" spans="1:10" x14ac:dyDescent="0.35">
      <c r="A5456" s="247" t="s">
        <v>5114</v>
      </c>
      <c r="B5456" s="248" t="s">
        <v>3373</v>
      </c>
      <c r="C5456" s="248"/>
      <c r="D5456" s="248" t="s">
        <v>1378</v>
      </c>
      <c r="E5456" s="248"/>
      <c r="F5456" s="391"/>
      <c r="G5456" s="391"/>
      <c r="H5456" s="551" t="str">
        <f t="shared" si="1796"/>
        <v/>
      </c>
      <c r="I5456" s="600"/>
      <c r="J5456" s="549">
        <v>42705</v>
      </c>
    </row>
    <row r="5457" spans="1:10" x14ac:dyDescent="0.35">
      <c r="A5457" s="247" t="s">
        <v>5115</v>
      </c>
      <c r="B5457" s="248" t="s">
        <v>3373</v>
      </c>
      <c r="C5457" s="248"/>
      <c r="D5457" s="248" t="s">
        <v>1380</v>
      </c>
      <c r="E5457" s="248"/>
      <c r="F5457" s="391"/>
      <c r="G5457" s="391"/>
      <c r="H5457" s="551" t="str">
        <f t="shared" si="1796"/>
        <v/>
      </c>
      <c r="I5457" s="600"/>
      <c r="J5457" s="549">
        <v>42705</v>
      </c>
    </row>
    <row r="5458" spans="1:10" x14ac:dyDescent="0.35">
      <c r="A5458" s="247" t="s">
        <v>5116</v>
      </c>
      <c r="B5458" s="248" t="s">
        <v>3373</v>
      </c>
      <c r="C5458" s="248"/>
      <c r="D5458" s="248" t="s">
        <v>1382</v>
      </c>
      <c r="E5458" s="248"/>
      <c r="F5458" s="391"/>
      <c r="G5458" s="391"/>
      <c r="H5458" s="551" t="str">
        <f t="shared" si="1796"/>
        <v/>
      </c>
      <c r="I5458" s="600"/>
      <c r="J5458" s="549">
        <v>42705</v>
      </c>
    </row>
    <row r="5459" spans="1:10" x14ac:dyDescent="0.35">
      <c r="A5459" s="247" t="s">
        <v>5117</v>
      </c>
      <c r="B5459" s="248" t="s">
        <v>3373</v>
      </c>
      <c r="C5459" s="248"/>
      <c r="D5459" s="248" t="s">
        <v>1384</v>
      </c>
      <c r="E5459" s="248"/>
      <c r="F5459" s="391"/>
      <c r="G5459" s="391"/>
      <c r="H5459" s="551" t="str">
        <f t="shared" si="1796"/>
        <v/>
      </c>
      <c r="I5459" s="600"/>
      <c r="J5459" s="549">
        <v>42705</v>
      </c>
    </row>
    <row r="5460" spans="1:10" x14ac:dyDescent="0.35">
      <c r="A5460" s="247" t="s">
        <v>5118</v>
      </c>
      <c r="B5460" s="248" t="s">
        <v>3373</v>
      </c>
      <c r="C5460" s="248"/>
      <c r="D5460" s="248" t="s">
        <v>1386</v>
      </c>
      <c r="E5460" s="248"/>
      <c r="F5460" s="391"/>
      <c r="G5460" s="391"/>
      <c r="H5460" s="551" t="str">
        <f t="shared" si="1796"/>
        <v/>
      </c>
      <c r="I5460" s="600"/>
      <c r="J5460" s="549">
        <v>42705</v>
      </c>
    </row>
    <row r="5461" spans="1:10" x14ac:dyDescent="0.35">
      <c r="A5461" s="247" t="s">
        <v>5119</v>
      </c>
      <c r="B5461" s="248" t="s">
        <v>3373</v>
      </c>
      <c r="C5461" s="248"/>
      <c r="D5461" s="248" t="s">
        <v>1388</v>
      </c>
      <c r="E5461" s="248"/>
      <c r="F5461" s="391"/>
      <c r="G5461" s="391"/>
      <c r="H5461" s="551" t="str">
        <f t="shared" si="1796"/>
        <v/>
      </c>
      <c r="I5461" s="600"/>
      <c r="J5461" s="549">
        <v>42705</v>
      </c>
    </row>
    <row r="5462" spans="1:10" x14ac:dyDescent="0.35">
      <c r="A5462" s="247" t="s">
        <v>5120</v>
      </c>
      <c r="B5462" s="248" t="s">
        <v>3373</v>
      </c>
      <c r="C5462" s="248"/>
      <c r="D5462" s="248" t="s">
        <v>1390</v>
      </c>
      <c r="E5462" s="248"/>
      <c r="F5462" s="391"/>
      <c r="G5462" s="391"/>
      <c r="H5462" s="551" t="str">
        <f t="shared" si="1796"/>
        <v/>
      </c>
      <c r="I5462" s="600"/>
      <c r="J5462" s="549">
        <v>42705</v>
      </c>
    </row>
    <row r="5463" spans="1:10" x14ac:dyDescent="0.35">
      <c r="A5463" s="247" t="s">
        <v>5121</v>
      </c>
      <c r="B5463" s="248" t="s">
        <v>3373</v>
      </c>
      <c r="C5463" s="248"/>
      <c r="D5463" s="248" t="s">
        <v>1392</v>
      </c>
      <c r="E5463" s="248"/>
      <c r="F5463" s="391"/>
      <c r="G5463" s="391"/>
      <c r="H5463" s="551" t="str">
        <f t="shared" si="1796"/>
        <v/>
      </c>
      <c r="I5463" s="600"/>
      <c r="J5463" s="549">
        <v>42705</v>
      </c>
    </row>
    <row r="5464" spans="1:10" x14ac:dyDescent="0.35">
      <c r="A5464" s="247" t="s">
        <v>5122</v>
      </c>
      <c r="B5464" s="248" t="s">
        <v>3373</v>
      </c>
      <c r="C5464" s="248"/>
      <c r="D5464" s="248" t="s">
        <v>1394</v>
      </c>
      <c r="E5464" s="248"/>
      <c r="F5464" s="391"/>
      <c r="G5464" s="391"/>
      <c r="H5464" s="551" t="str">
        <f t="shared" si="1796"/>
        <v/>
      </c>
      <c r="I5464" s="600"/>
      <c r="J5464" s="549">
        <v>42705</v>
      </c>
    </row>
    <row r="5465" spans="1:10" x14ac:dyDescent="0.35">
      <c r="A5465" s="247" t="s">
        <v>5123</v>
      </c>
      <c r="B5465" s="248" t="s">
        <v>3373</v>
      </c>
      <c r="C5465" s="248"/>
      <c r="D5465" s="248" t="s">
        <v>1396</v>
      </c>
      <c r="E5465" s="248"/>
      <c r="F5465" s="391"/>
      <c r="G5465" s="391"/>
      <c r="H5465" s="551" t="str">
        <f t="shared" si="1796"/>
        <v/>
      </c>
      <c r="I5465" s="600"/>
      <c r="J5465" s="549">
        <v>42705</v>
      </c>
    </row>
    <row r="5466" spans="1:10" x14ac:dyDescent="0.35">
      <c r="A5466" s="247" t="s">
        <v>5124</v>
      </c>
      <c r="B5466" s="248" t="s">
        <v>3373</v>
      </c>
      <c r="C5466" s="248"/>
      <c r="D5466" s="248" t="s">
        <v>1398</v>
      </c>
      <c r="E5466" s="248"/>
      <c r="F5466" s="391"/>
      <c r="G5466" s="391"/>
      <c r="H5466" s="551" t="str">
        <f t="shared" si="1796"/>
        <v/>
      </c>
      <c r="I5466" s="600"/>
      <c r="J5466" s="549">
        <v>42705</v>
      </c>
    </row>
    <row r="5467" spans="1:10" x14ac:dyDescent="0.35">
      <c r="A5467" s="250"/>
      <c r="B5467" s="251"/>
      <c r="C5467" s="251"/>
      <c r="D5467" s="251"/>
      <c r="E5467" s="251"/>
      <c r="F5467" s="392"/>
      <c r="G5467" s="552"/>
      <c r="H5467" s="11" t="str">
        <f t="shared" si="1796"/>
        <v/>
      </c>
      <c r="J5467" s="549" t="s">
        <v>4179</v>
      </c>
    </row>
    <row r="5468" spans="1:10" x14ac:dyDescent="0.35">
      <c r="A5468" s="247" t="s">
        <v>5125</v>
      </c>
      <c r="B5468" s="248" t="s">
        <v>3381</v>
      </c>
      <c r="C5468" s="248"/>
      <c r="D5468" s="248" t="s">
        <v>1376</v>
      </c>
      <c r="E5468" s="248"/>
      <c r="F5468" s="391"/>
      <c r="G5468" s="391"/>
      <c r="H5468" s="551" t="str">
        <f t="shared" si="1796"/>
        <v/>
      </c>
      <c r="I5468" s="600"/>
      <c r="J5468" s="549">
        <v>42705</v>
      </c>
    </row>
    <row r="5469" spans="1:10" x14ac:dyDescent="0.35">
      <c r="A5469" s="247" t="s">
        <v>5126</v>
      </c>
      <c r="B5469" s="248" t="s">
        <v>3381</v>
      </c>
      <c r="C5469" s="248"/>
      <c r="D5469" s="248" t="s">
        <v>1378</v>
      </c>
      <c r="E5469" s="248"/>
      <c r="F5469" s="391"/>
      <c r="G5469" s="391"/>
      <c r="H5469" s="551" t="str">
        <f t="shared" si="1796"/>
        <v/>
      </c>
      <c r="I5469" s="600"/>
      <c r="J5469" s="549">
        <v>42705</v>
      </c>
    </row>
    <row r="5470" spans="1:10" x14ac:dyDescent="0.35">
      <c r="A5470" s="247" t="s">
        <v>5127</v>
      </c>
      <c r="B5470" s="248" t="s">
        <v>3381</v>
      </c>
      <c r="C5470" s="248"/>
      <c r="D5470" s="248" t="s">
        <v>1380</v>
      </c>
      <c r="E5470" s="248"/>
      <c r="F5470" s="391"/>
      <c r="G5470" s="391"/>
      <c r="H5470" s="551" t="str">
        <f t="shared" si="1796"/>
        <v/>
      </c>
      <c r="I5470" s="600"/>
      <c r="J5470" s="549">
        <v>42705</v>
      </c>
    </row>
    <row r="5471" spans="1:10" x14ac:dyDescent="0.35">
      <c r="A5471" s="247" t="s">
        <v>5128</v>
      </c>
      <c r="B5471" s="248" t="s">
        <v>3381</v>
      </c>
      <c r="C5471" s="248"/>
      <c r="D5471" s="248" t="s">
        <v>1382</v>
      </c>
      <c r="E5471" s="248"/>
      <c r="F5471" s="391"/>
      <c r="G5471" s="391"/>
      <c r="H5471" s="551" t="str">
        <f t="shared" si="1796"/>
        <v/>
      </c>
      <c r="I5471" s="600"/>
      <c r="J5471" s="549">
        <v>42705</v>
      </c>
    </row>
    <row r="5472" spans="1:10" x14ac:dyDescent="0.35">
      <c r="A5472" s="247" t="s">
        <v>5129</v>
      </c>
      <c r="B5472" s="248" t="s">
        <v>3381</v>
      </c>
      <c r="C5472" s="248"/>
      <c r="D5472" s="248" t="s">
        <v>1384</v>
      </c>
      <c r="E5472" s="248"/>
      <c r="F5472" s="391"/>
      <c r="G5472" s="391"/>
      <c r="H5472" s="551" t="str">
        <f t="shared" si="1796"/>
        <v/>
      </c>
      <c r="I5472" s="600"/>
      <c r="J5472" s="549">
        <v>42705</v>
      </c>
    </row>
    <row r="5473" spans="1:10" x14ac:dyDescent="0.35">
      <c r="A5473" s="247" t="s">
        <v>5130</v>
      </c>
      <c r="B5473" s="248" t="s">
        <v>3381</v>
      </c>
      <c r="C5473" s="248"/>
      <c r="D5473" s="248" t="s">
        <v>1386</v>
      </c>
      <c r="E5473" s="248"/>
      <c r="F5473" s="391"/>
      <c r="G5473" s="391"/>
      <c r="H5473" s="551" t="str">
        <f t="shared" si="1796"/>
        <v/>
      </c>
      <c r="I5473" s="600"/>
      <c r="J5473" s="549">
        <v>42705</v>
      </c>
    </row>
    <row r="5474" spans="1:10" x14ac:dyDescent="0.35">
      <c r="A5474" s="247" t="s">
        <v>5131</v>
      </c>
      <c r="B5474" s="248" t="s">
        <v>3381</v>
      </c>
      <c r="C5474" s="248"/>
      <c r="D5474" s="248" t="s">
        <v>1388</v>
      </c>
      <c r="E5474" s="248"/>
      <c r="F5474" s="391"/>
      <c r="G5474" s="391"/>
      <c r="H5474" s="551" t="str">
        <f t="shared" si="1796"/>
        <v/>
      </c>
      <c r="I5474" s="600"/>
      <c r="J5474" s="549">
        <v>42705</v>
      </c>
    </row>
    <row r="5475" spans="1:10" x14ac:dyDescent="0.35">
      <c r="A5475" s="247" t="s">
        <v>5132</v>
      </c>
      <c r="B5475" s="248" t="s">
        <v>3381</v>
      </c>
      <c r="C5475" s="248"/>
      <c r="D5475" s="248" t="s">
        <v>1390</v>
      </c>
      <c r="E5475" s="248"/>
      <c r="F5475" s="391"/>
      <c r="G5475" s="391"/>
      <c r="H5475" s="551" t="str">
        <f t="shared" si="1796"/>
        <v/>
      </c>
      <c r="I5475" s="600"/>
      <c r="J5475" s="549">
        <v>42705</v>
      </c>
    </row>
    <row r="5476" spans="1:10" x14ac:dyDescent="0.35">
      <c r="A5476" s="247" t="s">
        <v>5133</v>
      </c>
      <c r="B5476" s="248" t="s">
        <v>3381</v>
      </c>
      <c r="C5476" s="248"/>
      <c r="D5476" s="248" t="s">
        <v>1392</v>
      </c>
      <c r="E5476" s="248"/>
      <c r="F5476" s="391"/>
      <c r="G5476" s="391"/>
      <c r="H5476" s="551" t="str">
        <f t="shared" si="1796"/>
        <v/>
      </c>
      <c r="I5476" s="600"/>
      <c r="J5476" s="549">
        <v>42705</v>
      </c>
    </row>
    <row r="5477" spans="1:10" x14ac:dyDescent="0.35">
      <c r="A5477" s="247" t="s">
        <v>5134</v>
      </c>
      <c r="B5477" s="248" t="s">
        <v>3381</v>
      </c>
      <c r="C5477" s="248"/>
      <c r="D5477" s="248" t="s">
        <v>1394</v>
      </c>
      <c r="E5477" s="248"/>
      <c r="F5477" s="391"/>
      <c r="G5477" s="391"/>
      <c r="H5477" s="551" t="str">
        <f t="shared" si="1796"/>
        <v/>
      </c>
      <c r="I5477" s="600"/>
      <c r="J5477" s="549">
        <v>42705</v>
      </c>
    </row>
    <row r="5478" spans="1:10" x14ac:dyDescent="0.35">
      <c r="A5478" s="247" t="s">
        <v>5135</v>
      </c>
      <c r="B5478" s="248" t="s">
        <v>3381</v>
      </c>
      <c r="C5478" s="248"/>
      <c r="D5478" s="248" t="s">
        <v>1396</v>
      </c>
      <c r="E5478" s="248"/>
      <c r="F5478" s="391"/>
      <c r="G5478" s="391"/>
      <c r="H5478" s="551" t="str">
        <f t="shared" si="1796"/>
        <v/>
      </c>
      <c r="I5478" s="600"/>
      <c r="J5478" s="549">
        <v>42705</v>
      </c>
    </row>
    <row r="5479" spans="1:10" x14ac:dyDescent="0.35">
      <c r="A5479" s="247" t="s">
        <v>5136</v>
      </c>
      <c r="B5479" s="248" t="s">
        <v>3381</v>
      </c>
      <c r="C5479" s="248"/>
      <c r="D5479" s="248" t="s">
        <v>1398</v>
      </c>
      <c r="E5479" s="248"/>
      <c r="F5479" s="391"/>
      <c r="G5479" s="391"/>
      <c r="H5479" s="551" t="str">
        <f t="shared" si="1796"/>
        <v/>
      </c>
      <c r="I5479" s="600"/>
      <c r="J5479" s="549">
        <v>42705</v>
      </c>
    </row>
    <row r="5480" spans="1:10" x14ac:dyDescent="0.35">
      <c r="A5480" s="250"/>
      <c r="B5480" s="251"/>
      <c r="C5480" s="251"/>
      <c r="D5480" s="251"/>
      <c r="E5480" s="251"/>
      <c r="F5480" s="392"/>
      <c r="G5480" s="552"/>
      <c r="J5480" s="549" t="s">
        <v>4179</v>
      </c>
    </row>
    <row r="5481" spans="1:10" x14ac:dyDescent="0.35">
      <c r="A5481" s="247" t="s">
        <v>5137</v>
      </c>
      <c r="B5481" s="248" t="s">
        <v>3389</v>
      </c>
      <c r="C5481" s="248"/>
      <c r="D5481" s="248" t="s">
        <v>1376</v>
      </c>
      <c r="E5481" s="248"/>
      <c r="F5481" s="391"/>
      <c r="G5481" s="391"/>
      <c r="H5481" s="551" t="str">
        <f t="shared" ref="H5481:H5524" si="1797">IF(ISNUMBER(G5481),ROUND(0.8*G5481,2),"")</f>
        <v/>
      </c>
      <c r="I5481" s="600"/>
      <c r="J5481" s="549">
        <v>42705</v>
      </c>
    </row>
    <row r="5482" spans="1:10" x14ac:dyDescent="0.35">
      <c r="A5482" s="247" t="s">
        <v>5138</v>
      </c>
      <c r="B5482" s="248" t="s">
        <v>3389</v>
      </c>
      <c r="C5482" s="248"/>
      <c r="D5482" s="248" t="s">
        <v>1378</v>
      </c>
      <c r="E5482" s="248"/>
      <c r="F5482" s="391"/>
      <c r="G5482" s="391"/>
      <c r="H5482" s="551" t="str">
        <f t="shared" si="1797"/>
        <v/>
      </c>
      <c r="I5482" s="600"/>
      <c r="J5482" s="549">
        <v>42705</v>
      </c>
    </row>
    <row r="5483" spans="1:10" x14ac:dyDescent="0.35">
      <c r="A5483" s="247" t="s">
        <v>5139</v>
      </c>
      <c r="B5483" s="248" t="s">
        <v>3389</v>
      </c>
      <c r="C5483" s="248"/>
      <c r="D5483" s="248" t="s">
        <v>1380</v>
      </c>
      <c r="E5483" s="248"/>
      <c r="F5483" s="391"/>
      <c r="G5483" s="391"/>
      <c r="H5483" s="551" t="str">
        <f t="shared" si="1797"/>
        <v/>
      </c>
      <c r="I5483" s="600"/>
      <c r="J5483" s="549">
        <v>42705</v>
      </c>
    </row>
    <row r="5484" spans="1:10" x14ac:dyDescent="0.35">
      <c r="A5484" s="247" t="s">
        <v>5140</v>
      </c>
      <c r="B5484" s="248" t="s">
        <v>3389</v>
      </c>
      <c r="C5484" s="248"/>
      <c r="D5484" s="248" t="s">
        <v>1382</v>
      </c>
      <c r="E5484" s="248"/>
      <c r="F5484" s="391"/>
      <c r="G5484" s="391"/>
      <c r="H5484" s="551" t="str">
        <f t="shared" si="1797"/>
        <v/>
      </c>
      <c r="I5484" s="600"/>
      <c r="J5484" s="549">
        <v>42705</v>
      </c>
    </row>
    <row r="5485" spans="1:10" x14ac:dyDescent="0.35">
      <c r="A5485" s="247" t="s">
        <v>5141</v>
      </c>
      <c r="B5485" s="248" t="s">
        <v>3389</v>
      </c>
      <c r="C5485" s="248"/>
      <c r="D5485" s="248" t="s">
        <v>1384</v>
      </c>
      <c r="E5485" s="248"/>
      <c r="F5485" s="391"/>
      <c r="G5485" s="391"/>
      <c r="H5485" s="551" t="str">
        <f t="shared" si="1797"/>
        <v/>
      </c>
      <c r="I5485" s="600"/>
      <c r="J5485" s="549">
        <v>42705</v>
      </c>
    </row>
    <row r="5486" spans="1:10" x14ac:dyDescent="0.35">
      <c r="A5486" s="247" t="s">
        <v>5142</v>
      </c>
      <c r="B5486" s="248" t="s">
        <v>3389</v>
      </c>
      <c r="C5486" s="248"/>
      <c r="D5486" s="248" t="s">
        <v>1386</v>
      </c>
      <c r="E5486" s="248"/>
      <c r="F5486" s="391"/>
      <c r="G5486" s="391"/>
      <c r="H5486" s="551" t="str">
        <f t="shared" si="1797"/>
        <v/>
      </c>
      <c r="I5486" s="600"/>
      <c r="J5486" s="549">
        <v>42705</v>
      </c>
    </row>
    <row r="5487" spans="1:10" x14ac:dyDescent="0.35">
      <c r="A5487" s="247" t="s">
        <v>5143</v>
      </c>
      <c r="B5487" s="248" t="s">
        <v>3389</v>
      </c>
      <c r="C5487" s="248"/>
      <c r="D5487" s="248" t="s">
        <v>1388</v>
      </c>
      <c r="E5487" s="248"/>
      <c r="F5487" s="391"/>
      <c r="G5487" s="391"/>
      <c r="H5487" s="551" t="str">
        <f t="shared" si="1797"/>
        <v/>
      </c>
      <c r="I5487" s="600"/>
      <c r="J5487" s="549">
        <v>42705</v>
      </c>
    </row>
    <row r="5488" spans="1:10" x14ac:dyDescent="0.35">
      <c r="A5488" s="247" t="s">
        <v>5144</v>
      </c>
      <c r="B5488" s="248" t="s">
        <v>3389</v>
      </c>
      <c r="C5488" s="248"/>
      <c r="D5488" s="248" t="s">
        <v>1390</v>
      </c>
      <c r="E5488" s="248"/>
      <c r="F5488" s="391"/>
      <c r="G5488" s="391"/>
      <c r="H5488" s="551" t="str">
        <f t="shared" si="1797"/>
        <v/>
      </c>
      <c r="I5488" s="600"/>
      <c r="J5488" s="549">
        <v>42705</v>
      </c>
    </row>
    <row r="5489" spans="1:10" x14ac:dyDescent="0.35">
      <c r="A5489" s="247" t="s">
        <v>5145</v>
      </c>
      <c r="B5489" s="248" t="s">
        <v>3389</v>
      </c>
      <c r="C5489" s="248"/>
      <c r="D5489" s="248" t="s">
        <v>1392</v>
      </c>
      <c r="E5489" s="248"/>
      <c r="F5489" s="391"/>
      <c r="G5489" s="391"/>
      <c r="H5489" s="551" t="str">
        <f t="shared" si="1797"/>
        <v/>
      </c>
      <c r="I5489" s="600"/>
      <c r="J5489" s="549">
        <v>42705</v>
      </c>
    </row>
    <row r="5490" spans="1:10" x14ac:dyDescent="0.35">
      <c r="A5490" s="247" t="s">
        <v>5146</v>
      </c>
      <c r="B5490" s="248" t="s">
        <v>3389</v>
      </c>
      <c r="C5490" s="248"/>
      <c r="D5490" s="248" t="s">
        <v>1394</v>
      </c>
      <c r="E5490" s="248"/>
      <c r="F5490" s="391"/>
      <c r="G5490" s="391"/>
      <c r="H5490" s="551" t="str">
        <f t="shared" si="1797"/>
        <v/>
      </c>
      <c r="I5490" s="600"/>
      <c r="J5490" s="549">
        <v>42705</v>
      </c>
    </row>
    <row r="5491" spans="1:10" x14ac:dyDescent="0.35">
      <c r="A5491" s="247" t="s">
        <v>5147</v>
      </c>
      <c r="B5491" s="248" t="s">
        <v>3389</v>
      </c>
      <c r="C5491" s="248"/>
      <c r="D5491" s="248" t="s">
        <v>1396</v>
      </c>
      <c r="E5491" s="248"/>
      <c r="F5491" s="391"/>
      <c r="G5491" s="391"/>
      <c r="H5491" s="551" t="str">
        <f t="shared" si="1797"/>
        <v/>
      </c>
      <c r="I5491" s="600"/>
      <c r="J5491" s="549">
        <v>42705</v>
      </c>
    </row>
    <row r="5492" spans="1:10" x14ac:dyDescent="0.35">
      <c r="A5492" s="247" t="s">
        <v>5148</v>
      </c>
      <c r="B5492" s="248" t="s">
        <v>3389</v>
      </c>
      <c r="C5492" s="248"/>
      <c r="D5492" s="248" t="s">
        <v>1398</v>
      </c>
      <c r="E5492" s="248"/>
      <c r="F5492" s="391"/>
      <c r="G5492" s="391"/>
      <c r="H5492" s="551" t="str">
        <f t="shared" si="1797"/>
        <v/>
      </c>
      <c r="I5492" s="600"/>
      <c r="J5492" s="549">
        <v>42705</v>
      </c>
    </row>
    <row r="5493" spans="1:10" x14ac:dyDescent="0.35">
      <c r="A5493" s="250"/>
      <c r="B5493" s="251"/>
      <c r="C5493" s="251"/>
      <c r="D5493" s="251"/>
      <c r="E5493" s="251"/>
      <c r="F5493" s="392"/>
      <c r="G5493" s="552"/>
      <c r="H5493" s="11" t="str">
        <f t="shared" si="1797"/>
        <v/>
      </c>
      <c r="J5493" s="549" t="s">
        <v>4179</v>
      </c>
    </row>
    <row r="5494" spans="1:10" x14ac:dyDescent="0.35">
      <c r="A5494" s="247" t="s">
        <v>5149</v>
      </c>
      <c r="B5494" s="248" t="s">
        <v>740</v>
      </c>
      <c r="C5494" s="248"/>
      <c r="D5494" s="248" t="s">
        <v>1376</v>
      </c>
      <c r="E5494" s="248"/>
      <c r="F5494" s="391"/>
      <c r="G5494" s="391"/>
      <c r="H5494" s="551" t="str">
        <f t="shared" si="1797"/>
        <v/>
      </c>
      <c r="I5494" s="600"/>
      <c r="J5494" s="549">
        <v>42705</v>
      </c>
    </row>
    <row r="5495" spans="1:10" x14ac:dyDescent="0.35">
      <c r="A5495" s="247" t="s">
        <v>5150</v>
      </c>
      <c r="B5495" s="248" t="s">
        <v>740</v>
      </c>
      <c r="C5495" s="248"/>
      <c r="D5495" s="248" t="s">
        <v>1378</v>
      </c>
      <c r="E5495" s="248"/>
      <c r="F5495" s="391"/>
      <c r="G5495" s="391"/>
      <c r="H5495" s="551" t="str">
        <f t="shared" si="1797"/>
        <v/>
      </c>
      <c r="I5495" s="600"/>
      <c r="J5495" s="549">
        <v>42705</v>
      </c>
    </row>
    <row r="5496" spans="1:10" x14ac:dyDescent="0.35">
      <c r="A5496" s="247" t="s">
        <v>5151</v>
      </c>
      <c r="B5496" s="248" t="s">
        <v>740</v>
      </c>
      <c r="C5496" s="248"/>
      <c r="D5496" s="248" t="s">
        <v>1380</v>
      </c>
      <c r="E5496" s="248"/>
      <c r="F5496" s="391"/>
      <c r="G5496" s="391"/>
      <c r="H5496" s="551" t="str">
        <f t="shared" si="1797"/>
        <v/>
      </c>
      <c r="I5496" s="600"/>
      <c r="J5496" s="549">
        <v>42705</v>
      </c>
    </row>
    <row r="5497" spans="1:10" x14ac:dyDescent="0.35">
      <c r="A5497" s="247" t="s">
        <v>5152</v>
      </c>
      <c r="B5497" s="248" t="s">
        <v>740</v>
      </c>
      <c r="C5497" s="248"/>
      <c r="D5497" s="248" t="s">
        <v>1382</v>
      </c>
      <c r="E5497" s="248"/>
      <c r="F5497" s="391"/>
      <c r="G5497" s="391"/>
      <c r="H5497" s="551" t="str">
        <f t="shared" si="1797"/>
        <v/>
      </c>
      <c r="I5497" s="600"/>
      <c r="J5497" s="549">
        <v>42705</v>
      </c>
    </row>
    <row r="5498" spans="1:10" x14ac:dyDescent="0.35">
      <c r="A5498" s="247" t="s">
        <v>5153</v>
      </c>
      <c r="B5498" s="248" t="s">
        <v>740</v>
      </c>
      <c r="C5498" s="248"/>
      <c r="D5498" s="248" t="s">
        <v>1384</v>
      </c>
      <c r="E5498" s="248"/>
      <c r="F5498" s="391"/>
      <c r="G5498" s="391"/>
      <c r="H5498" s="551" t="str">
        <f t="shared" si="1797"/>
        <v/>
      </c>
      <c r="I5498" s="600"/>
      <c r="J5498" s="549">
        <v>42705</v>
      </c>
    </row>
    <row r="5499" spans="1:10" x14ac:dyDescent="0.35">
      <c r="A5499" s="247" t="s">
        <v>5154</v>
      </c>
      <c r="B5499" s="248" t="s">
        <v>740</v>
      </c>
      <c r="C5499" s="248"/>
      <c r="D5499" s="248" t="s">
        <v>1386</v>
      </c>
      <c r="E5499" s="248"/>
      <c r="F5499" s="391"/>
      <c r="G5499" s="391"/>
      <c r="H5499" s="551" t="str">
        <f t="shared" si="1797"/>
        <v/>
      </c>
      <c r="I5499" s="600"/>
      <c r="J5499" s="549">
        <v>42705</v>
      </c>
    </row>
    <row r="5500" spans="1:10" x14ac:dyDescent="0.35">
      <c r="A5500" s="247" t="s">
        <v>5155</v>
      </c>
      <c r="B5500" s="248" t="s">
        <v>740</v>
      </c>
      <c r="C5500" s="248"/>
      <c r="D5500" s="248" t="s">
        <v>1388</v>
      </c>
      <c r="E5500" s="248"/>
      <c r="F5500" s="391"/>
      <c r="G5500" s="391"/>
      <c r="H5500" s="551" t="str">
        <f t="shared" si="1797"/>
        <v/>
      </c>
      <c r="I5500" s="600"/>
      <c r="J5500" s="549">
        <v>42705</v>
      </c>
    </row>
    <row r="5501" spans="1:10" x14ac:dyDescent="0.35">
      <c r="A5501" s="247" t="s">
        <v>5156</v>
      </c>
      <c r="B5501" s="248" t="s">
        <v>740</v>
      </c>
      <c r="C5501" s="248"/>
      <c r="D5501" s="248" t="s">
        <v>1390</v>
      </c>
      <c r="E5501" s="248"/>
      <c r="F5501" s="391"/>
      <c r="G5501" s="391"/>
      <c r="H5501" s="551" t="str">
        <f t="shared" si="1797"/>
        <v/>
      </c>
      <c r="I5501" s="600"/>
      <c r="J5501" s="549">
        <v>42705</v>
      </c>
    </row>
    <row r="5502" spans="1:10" x14ac:dyDescent="0.35">
      <c r="A5502" s="247" t="s">
        <v>5157</v>
      </c>
      <c r="B5502" s="248" t="s">
        <v>740</v>
      </c>
      <c r="C5502" s="248"/>
      <c r="D5502" s="248" t="s">
        <v>1392</v>
      </c>
      <c r="E5502" s="248"/>
      <c r="F5502" s="391"/>
      <c r="G5502" s="391"/>
      <c r="H5502" s="551" t="str">
        <f t="shared" si="1797"/>
        <v/>
      </c>
      <c r="I5502" s="600"/>
      <c r="J5502" s="549">
        <v>42705</v>
      </c>
    </row>
    <row r="5503" spans="1:10" x14ac:dyDescent="0.35">
      <c r="A5503" s="247" t="s">
        <v>5158</v>
      </c>
      <c r="B5503" s="248" t="s">
        <v>740</v>
      </c>
      <c r="C5503" s="248"/>
      <c r="D5503" s="248" t="s">
        <v>1394</v>
      </c>
      <c r="E5503" s="248"/>
      <c r="F5503" s="391"/>
      <c r="G5503" s="391"/>
      <c r="H5503" s="551" t="str">
        <f t="shared" si="1797"/>
        <v/>
      </c>
      <c r="I5503" s="600"/>
      <c r="J5503" s="549">
        <v>42705</v>
      </c>
    </row>
    <row r="5504" spans="1:10" x14ac:dyDescent="0.35">
      <c r="A5504" s="247" t="s">
        <v>5159</v>
      </c>
      <c r="B5504" s="248" t="s">
        <v>740</v>
      </c>
      <c r="C5504" s="248"/>
      <c r="D5504" s="248" t="s">
        <v>1396</v>
      </c>
      <c r="E5504" s="248"/>
      <c r="F5504" s="391"/>
      <c r="G5504" s="391"/>
      <c r="H5504" s="551" t="str">
        <f t="shared" si="1797"/>
        <v/>
      </c>
      <c r="I5504" s="600"/>
      <c r="J5504" s="549">
        <v>42705</v>
      </c>
    </row>
    <row r="5505" spans="1:10" x14ac:dyDescent="0.35">
      <c r="A5505" s="247" t="s">
        <v>5160</v>
      </c>
      <c r="B5505" s="248" t="s">
        <v>740</v>
      </c>
      <c r="C5505" s="248"/>
      <c r="D5505" s="248" t="s">
        <v>1398</v>
      </c>
      <c r="E5505" s="248"/>
      <c r="F5505" s="391"/>
      <c r="G5505" s="391"/>
      <c r="H5505" s="551" t="str">
        <f t="shared" si="1797"/>
        <v/>
      </c>
      <c r="I5505" s="600"/>
      <c r="J5505" s="549">
        <v>42705</v>
      </c>
    </row>
    <row r="5506" spans="1:10" x14ac:dyDescent="0.35">
      <c r="A5506" s="250"/>
      <c r="B5506" s="251"/>
      <c r="C5506" s="251"/>
      <c r="D5506" s="251"/>
      <c r="E5506" s="251"/>
      <c r="F5506" s="392"/>
      <c r="G5506" s="552"/>
      <c r="H5506" s="11" t="str">
        <f t="shared" si="1797"/>
        <v/>
      </c>
      <c r="J5506" s="549" t="s">
        <v>4179</v>
      </c>
    </row>
    <row r="5507" spans="1:10" x14ac:dyDescent="0.35">
      <c r="A5507" s="253" t="s">
        <v>5161</v>
      </c>
      <c r="B5507" s="254" t="s">
        <v>5434</v>
      </c>
      <c r="C5507" s="254"/>
      <c r="D5507" s="248" t="s">
        <v>1376</v>
      </c>
      <c r="E5507" s="248"/>
      <c r="F5507" s="391"/>
      <c r="G5507" s="391"/>
      <c r="H5507" s="551" t="str">
        <f t="shared" si="1797"/>
        <v/>
      </c>
      <c r="I5507" s="600"/>
      <c r="J5507" s="549">
        <v>42705</v>
      </c>
    </row>
    <row r="5508" spans="1:10" x14ac:dyDescent="0.35">
      <c r="A5508" s="253" t="s">
        <v>5162</v>
      </c>
      <c r="B5508" s="254" t="s">
        <v>5434</v>
      </c>
      <c r="C5508" s="254"/>
      <c r="D5508" s="248" t="s">
        <v>1378</v>
      </c>
      <c r="E5508" s="248"/>
      <c r="F5508" s="391"/>
      <c r="G5508" s="391"/>
      <c r="H5508" s="551" t="str">
        <f t="shared" si="1797"/>
        <v/>
      </c>
      <c r="I5508" s="600"/>
      <c r="J5508" s="549">
        <v>42705</v>
      </c>
    </row>
    <row r="5509" spans="1:10" x14ac:dyDescent="0.35">
      <c r="A5509" s="253" t="s">
        <v>5163</v>
      </c>
      <c r="B5509" s="254" t="s">
        <v>5434</v>
      </c>
      <c r="C5509" s="254"/>
      <c r="D5509" s="248" t="s">
        <v>1380</v>
      </c>
      <c r="E5509" s="248"/>
      <c r="F5509" s="391"/>
      <c r="G5509" s="391"/>
      <c r="H5509" s="551" t="str">
        <f t="shared" si="1797"/>
        <v/>
      </c>
      <c r="I5509" s="600"/>
      <c r="J5509" s="549">
        <v>42705</v>
      </c>
    </row>
    <row r="5510" spans="1:10" x14ac:dyDescent="0.35">
      <c r="A5510" s="253" t="s">
        <v>5164</v>
      </c>
      <c r="B5510" s="254" t="s">
        <v>5434</v>
      </c>
      <c r="C5510" s="254"/>
      <c r="D5510" s="248" t="s">
        <v>1382</v>
      </c>
      <c r="E5510" s="248"/>
      <c r="F5510" s="391"/>
      <c r="G5510" s="391"/>
      <c r="H5510" s="551" t="str">
        <f t="shared" si="1797"/>
        <v/>
      </c>
      <c r="I5510" s="600"/>
      <c r="J5510" s="549">
        <v>42705</v>
      </c>
    </row>
    <row r="5511" spans="1:10" x14ac:dyDescent="0.35">
      <c r="A5511" s="253" t="s">
        <v>5165</v>
      </c>
      <c r="B5511" s="254" t="s">
        <v>5434</v>
      </c>
      <c r="C5511" s="254"/>
      <c r="D5511" s="248" t="s">
        <v>1384</v>
      </c>
      <c r="E5511" s="248"/>
      <c r="F5511" s="391"/>
      <c r="G5511" s="391"/>
      <c r="H5511" s="551" t="str">
        <f t="shared" si="1797"/>
        <v/>
      </c>
      <c r="I5511" s="600"/>
      <c r="J5511" s="549">
        <v>42705</v>
      </c>
    </row>
    <row r="5512" spans="1:10" x14ac:dyDescent="0.35">
      <c r="A5512" s="253" t="s">
        <v>5166</v>
      </c>
      <c r="B5512" s="254" t="s">
        <v>5434</v>
      </c>
      <c r="C5512" s="254"/>
      <c r="D5512" s="248" t="s">
        <v>1386</v>
      </c>
      <c r="E5512" s="248"/>
      <c r="F5512" s="391"/>
      <c r="G5512" s="391"/>
      <c r="H5512" s="551" t="str">
        <f t="shared" si="1797"/>
        <v/>
      </c>
      <c r="I5512" s="600"/>
      <c r="J5512" s="549">
        <v>42705</v>
      </c>
    </row>
    <row r="5513" spans="1:10" x14ac:dyDescent="0.35">
      <c r="A5513" s="253" t="s">
        <v>5167</v>
      </c>
      <c r="B5513" s="254" t="s">
        <v>5434</v>
      </c>
      <c r="C5513" s="254"/>
      <c r="D5513" s="248" t="s">
        <v>1388</v>
      </c>
      <c r="E5513" s="248"/>
      <c r="F5513" s="391"/>
      <c r="G5513" s="391"/>
      <c r="H5513" s="551" t="str">
        <f t="shared" si="1797"/>
        <v/>
      </c>
      <c r="I5513" s="600"/>
      <c r="J5513" s="549">
        <v>42705</v>
      </c>
    </row>
    <row r="5514" spans="1:10" x14ac:dyDescent="0.35">
      <c r="A5514" s="253" t="s">
        <v>5168</v>
      </c>
      <c r="B5514" s="254" t="s">
        <v>5434</v>
      </c>
      <c r="C5514" s="254"/>
      <c r="D5514" s="248" t="s">
        <v>1390</v>
      </c>
      <c r="E5514" s="248"/>
      <c r="F5514" s="391"/>
      <c r="G5514" s="391"/>
      <c r="H5514" s="551" t="str">
        <f t="shared" si="1797"/>
        <v/>
      </c>
      <c r="I5514" s="600"/>
      <c r="J5514" s="549">
        <v>42705</v>
      </c>
    </row>
    <row r="5515" spans="1:10" x14ac:dyDescent="0.35">
      <c r="A5515" s="253" t="s">
        <v>5169</v>
      </c>
      <c r="B5515" s="254" t="s">
        <v>5434</v>
      </c>
      <c r="C5515" s="254"/>
      <c r="D5515" s="248" t="s">
        <v>1392</v>
      </c>
      <c r="E5515" s="248"/>
      <c r="F5515" s="391"/>
      <c r="G5515" s="391"/>
      <c r="H5515" s="551" t="str">
        <f t="shared" si="1797"/>
        <v/>
      </c>
      <c r="I5515" s="600"/>
      <c r="J5515" s="549">
        <v>42705</v>
      </c>
    </row>
    <row r="5516" spans="1:10" x14ac:dyDescent="0.35">
      <c r="A5516" s="253" t="s">
        <v>5170</v>
      </c>
      <c r="B5516" s="254" t="s">
        <v>5434</v>
      </c>
      <c r="C5516" s="254"/>
      <c r="D5516" s="248" t="s">
        <v>1394</v>
      </c>
      <c r="E5516" s="248"/>
      <c r="F5516" s="391"/>
      <c r="G5516" s="391"/>
      <c r="H5516" s="551" t="str">
        <f t="shared" si="1797"/>
        <v/>
      </c>
      <c r="I5516" s="600"/>
      <c r="J5516" s="549">
        <v>42705</v>
      </c>
    </row>
    <row r="5517" spans="1:10" x14ac:dyDescent="0.35">
      <c r="A5517" s="253" t="s">
        <v>5171</v>
      </c>
      <c r="B5517" s="254" t="s">
        <v>5434</v>
      </c>
      <c r="C5517" s="254"/>
      <c r="D5517" s="248" t="s">
        <v>1396</v>
      </c>
      <c r="E5517" s="248"/>
      <c r="F5517" s="391"/>
      <c r="G5517" s="391"/>
      <c r="H5517" s="551" t="str">
        <f t="shared" si="1797"/>
        <v/>
      </c>
      <c r="I5517" s="600"/>
      <c r="J5517" s="549">
        <v>42705</v>
      </c>
    </row>
    <row r="5518" spans="1:10" x14ac:dyDescent="0.35">
      <c r="A5518" s="253" t="s">
        <v>5172</v>
      </c>
      <c r="B5518" s="254" t="s">
        <v>5434</v>
      </c>
      <c r="C5518" s="254"/>
      <c r="D5518" s="248" t="s">
        <v>1398</v>
      </c>
      <c r="E5518" s="248"/>
      <c r="F5518" s="391"/>
      <c r="G5518" s="391"/>
      <c r="H5518" s="551" t="str">
        <f t="shared" si="1797"/>
        <v/>
      </c>
      <c r="I5518" s="600"/>
      <c r="J5518" s="549">
        <v>42705</v>
      </c>
    </row>
    <row r="5519" spans="1:10" x14ac:dyDescent="0.35">
      <c r="A5519" s="203"/>
      <c r="B5519" s="662"/>
      <c r="C5519" s="662"/>
      <c r="D5519" s="662"/>
      <c r="E5519" s="662"/>
      <c r="F5519" s="392"/>
      <c r="G5519" s="552"/>
      <c r="H5519" s="11" t="str">
        <f t="shared" si="1797"/>
        <v/>
      </c>
      <c r="J5519" s="549" t="s">
        <v>4179</v>
      </c>
    </row>
    <row r="5520" spans="1:10" s="207" customFormat="1" ht="33" customHeight="1" x14ac:dyDescent="0.35">
      <c r="A5520" s="651" t="s">
        <v>8130</v>
      </c>
      <c r="B5520" s="493"/>
      <c r="C5520" s="493"/>
      <c r="D5520" s="493"/>
      <c r="E5520" s="493"/>
      <c r="F5520" s="663"/>
      <c r="G5520" s="493"/>
      <c r="H5520" s="544" t="str">
        <f t="shared" si="1797"/>
        <v/>
      </c>
      <c r="I5520" s="593"/>
      <c r="J5520" s="549">
        <v>44536</v>
      </c>
    </row>
    <row r="5521" spans="1:29" s="187" customFormat="1" ht="77.150000000000006" customHeight="1" x14ac:dyDescent="0.35">
      <c r="A5521" s="898" t="s">
        <v>8131</v>
      </c>
      <c r="B5521" s="898"/>
      <c r="C5521" s="898"/>
      <c r="D5521" s="898"/>
      <c r="E5521" s="898"/>
      <c r="F5521" s="898"/>
      <c r="G5521" s="349"/>
      <c r="H5521" s="410" t="str">
        <f t="shared" si="1797"/>
        <v/>
      </c>
      <c r="I5521" s="595"/>
      <c r="J5521" s="549">
        <v>44536</v>
      </c>
    </row>
    <row r="5522" spans="1:29" s="187" customFormat="1" ht="61.4" customHeight="1" x14ac:dyDescent="0.35">
      <c r="A5522" s="911" t="s">
        <v>7703</v>
      </c>
      <c r="B5522" s="911"/>
      <c r="C5522" s="911"/>
      <c r="D5522" s="911"/>
      <c r="E5522" s="911"/>
      <c r="F5522" s="911"/>
      <c r="G5522" s="661"/>
      <c r="H5522" s="664" t="str">
        <f t="shared" si="1797"/>
        <v/>
      </c>
      <c r="I5522" s="665"/>
      <c r="J5522" s="549">
        <v>44536</v>
      </c>
      <c r="O5522"/>
      <c r="P5522"/>
      <c r="Q5522"/>
      <c r="R5522"/>
      <c r="S5522"/>
      <c r="T5522"/>
    </row>
    <row r="5523" spans="1:29" ht="17.899999999999999" customHeight="1" x14ac:dyDescent="0.35">
      <c r="A5523" s="911" t="s">
        <v>7693</v>
      </c>
      <c r="B5523" s="911"/>
      <c r="C5523" s="911"/>
      <c r="D5523" s="911"/>
      <c r="E5523" s="911"/>
      <c r="F5523" s="911"/>
      <c r="G5523" s="661"/>
      <c r="H5523" s="664" t="str">
        <f t="shared" si="1797"/>
        <v/>
      </c>
      <c r="I5523" s="665"/>
      <c r="J5523" s="549">
        <v>44536</v>
      </c>
      <c r="M5523" s="187"/>
      <c r="N5523" s="187"/>
      <c r="U5523" s="187"/>
      <c r="V5523" s="187"/>
      <c r="W5523" s="187"/>
      <c r="X5523" s="187"/>
      <c r="Y5523" s="187"/>
      <c r="Z5523" s="187"/>
      <c r="AA5523" s="187"/>
      <c r="AB5523" s="187"/>
      <c r="AC5523" s="187"/>
    </row>
    <row r="5524" spans="1:29" x14ac:dyDescent="0.35">
      <c r="F5524" s="666"/>
      <c r="H5524" s="11" t="str">
        <f t="shared" si="1797"/>
        <v/>
      </c>
      <c r="J5524" s="549" t="s">
        <v>4179</v>
      </c>
    </row>
    <row r="5525" spans="1:29" x14ac:dyDescent="0.35">
      <c r="A5525" s="652" t="s">
        <v>7555</v>
      </c>
      <c r="B5525" s="526" t="s">
        <v>2269</v>
      </c>
      <c r="C5525" s="526"/>
      <c r="D5525" s="526" t="s">
        <v>7639</v>
      </c>
      <c r="E5525" s="537"/>
      <c r="F5525" s="538"/>
      <c r="G5525" s="538"/>
      <c r="H5525" s="537"/>
      <c r="I5525" s="574"/>
      <c r="J5525" s="549">
        <v>44536</v>
      </c>
    </row>
    <row r="5526" spans="1:29" x14ac:dyDescent="0.35">
      <c r="A5526" s="652" t="s">
        <v>7556</v>
      </c>
      <c r="B5526" s="526" t="s">
        <v>5547</v>
      </c>
      <c r="C5526" s="526"/>
      <c r="D5526" s="526" t="s">
        <v>7639</v>
      </c>
      <c r="E5526" s="537"/>
      <c r="F5526" s="538"/>
      <c r="G5526" s="538"/>
      <c r="H5526" s="537"/>
      <c r="I5526" s="574"/>
      <c r="J5526" s="549">
        <v>44536</v>
      </c>
    </row>
    <row r="5527" spans="1:29" x14ac:dyDescent="0.35">
      <c r="A5527" s="652" t="s">
        <v>7557</v>
      </c>
      <c r="B5527" s="526" t="s">
        <v>4846</v>
      </c>
      <c r="C5527" s="526"/>
      <c r="D5527" s="526" t="s">
        <v>7639</v>
      </c>
      <c r="E5527" s="537"/>
      <c r="F5527" s="538"/>
      <c r="G5527" s="538"/>
      <c r="H5527" s="537"/>
      <c r="I5527" s="574"/>
      <c r="J5527" s="549">
        <v>44536</v>
      </c>
    </row>
    <row r="5528" spans="1:29" x14ac:dyDescent="0.35">
      <c r="A5528" s="652" t="s">
        <v>7558</v>
      </c>
      <c r="B5528" s="526" t="s">
        <v>5405</v>
      </c>
      <c r="C5528" s="526"/>
      <c r="D5528" s="526" t="s">
        <v>7639</v>
      </c>
      <c r="E5528" s="537"/>
      <c r="F5528" s="538"/>
      <c r="G5528" s="538"/>
      <c r="H5528" s="537"/>
      <c r="I5528" s="574"/>
      <c r="J5528" s="549">
        <v>44536</v>
      </c>
    </row>
    <row r="5529" spans="1:29" x14ac:dyDescent="0.35">
      <c r="A5529" s="652" t="s">
        <v>7559</v>
      </c>
      <c r="B5529" s="526" t="s">
        <v>5410</v>
      </c>
      <c r="C5529" s="526"/>
      <c r="D5529" s="526" t="s">
        <v>7639</v>
      </c>
      <c r="E5529" s="537"/>
      <c r="F5529" s="538"/>
      <c r="G5529" s="538"/>
      <c r="H5529" s="537"/>
      <c r="I5529" s="574"/>
      <c r="J5529" s="549">
        <v>44536</v>
      </c>
    </row>
    <row r="5530" spans="1:29" x14ac:dyDescent="0.35">
      <c r="A5530" s="652" t="s">
        <v>7560</v>
      </c>
      <c r="B5530" s="526" t="s">
        <v>5411</v>
      </c>
      <c r="C5530" s="526"/>
      <c r="D5530" s="526" t="s">
        <v>7639</v>
      </c>
      <c r="E5530" s="537"/>
      <c r="F5530" s="538"/>
      <c r="G5530" s="538"/>
      <c r="H5530" s="537"/>
      <c r="I5530" s="574"/>
      <c r="J5530" s="549">
        <v>44536</v>
      </c>
    </row>
    <row r="5531" spans="1:29" x14ac:dyDescent="0.35">
      <c r="A5531" s="652" t="s">
        <v>7561</v>
      </c>
      <c r="B5531" s="526" t="s">
        <v>2034</v>
      </c>
      <c r="C5531" s="526"/>
      <c r="D5531" s="526" t="s">
        <v>7639</v>
      </c>
      <c r="E5531" s="537"/>
      <c r="F5531" s="538"/>
      <c r="G5531" s="538"/>
      <c r="H5531" s="537"/>
      <c r="I5531" s="574"/>
      <c r="J5531" s="549">
        <v>44536</v>
      </c>
    </row>
    <row r="5532" spans="1:29" x14ac:dyDescent="0.35">
      <c r="A5532" s="652" t="s">
        <v>7562</v>
      </c>
      <c r="B5532" s="526" t="s">
        <v>2067</v>
      </c>
      <c r="C5532" s="526"/>
      <c r="D5532" s="526" t="s">
        <v>7639</v>
      </c>
      <c r="E5532" s="537"/>
      <c r="F5532" s="538"/>
      <c r="G5532" s="538"/>
      <c r="H5532" s="537"/>
      <c r="I5532" s="574"/>
      <c r="J5532" s="549">
        <v>44536</v>
      </c>
    </row>
    <row r="5533" spans="1:29" x14ac:dyDescent="0.35">
      <c r="A5533" s="652" t="s">
        <v>7563</v>
      </c>
      <c r="B5533" s="526" t="s">
        <v>3373</v>
      </c>
      <c r="C5533" s="526"/>
      <c r="D5533" s="526" t="s">
        <v>7639</v>
      </c>
      <c r="E5533" s="537"/>
      <c r="F5533" s="538"/>
      <c r="G5533" s="538"/>
      <c r="H5533" s="537"/>
      <c r="I5533" s="574"/>
      <c r="J5533" s="549">
        <v>44536</v>
      </c>
    </row>
    <row r="5534" spans="1:29" x14ac:dyDescent="0.35">
      <c r="A5534" s="652" t="s">
        <v>7564</v>
      </c>
      <c r="B5534" s="526" t="s">
        <v>3381</v>
      </c>
      <c r="C5534" s="526"/>
      <c r="D5534" s="526" t="s">
        <v>7639</v>
      </c>
      <c r="E5534" s="537"/>
      <c r="F5534" s="538"/>
      <c r="G5534" s="538"/>
      <c r="H5534" s="537"/>
      <c r="I5534" s="574"/>
      <c r="J5534" s="549">
        <v>44536</v>
      </c>
    </row>
    <row r="5535" spans="1:29" x14ac:dyDescent="0.35">
      <c r="A5535" s="652" t="s">
        <v>7565</v>
      </c>
      <c r="B5535" s="526" t="s">
        <v>3389</v>
      </c>
      <c r="C5535" s="526"/>
      <c r="D5535" s="526" t="s">
        <v>7639</v>
      </c>
      <c r="E5535" s="537"/>
      <c r="F5535" s="538"/>
      <c r="G5535" s="538"/>
      <c r="H5535" s="537"/>
      <c r="I5535" s="574"/>
      <c r="J5535" s="549">
        <v>44536</v>
      </c>
    </row>
    <row r="5536" spans="1:29" x14ac:dyDescent="0.35">
      <c r="A5536" s="652" t="s">
        <v>7566</v>
      </c>
      <c r="B5536" s="526" t="s">
        <v>740</v>
      </c>
      <c r="C5536" s="526"/>
      <c r="D5536" s="526" t="s">
        <v>7639</v>
      </c>
      <c r="E5536" s="537"/>
      <c r="F5536" s="538"/>
      <c r="G5536" s="538"/>
      <c r="H5536" s="537"/>
      <c r="I5536" s="574"/>
      <c r="J5536" s="549">
        <v>44536</v>
      </c>
    </row>
    <row r="5537" spans="1:29" x14ac:dyDescent="0.35">
      <c r="A5537" s="652" t="s">
        <v>7567</v>
      </c>
      <c r="B5537" s="526" t="s">
        <v>5434</v>
      </c>
      <c r="C5537" s="526"/>
      <c r="D5537" s="526" t="s">
        <v>7639</v>
      </c>
      <c r="E5537" s="537"/>
      <c r="F5537" s="538"/>
      <c r="G5537" s="538"/>
      <c r="H5537" s="537"/>
      <c r="I5537" s="574"/>
      <c r="J5537" s="549">
        <v>44536</v>
      </c>
    </row>
    <row r="5538" spans="1:29" x14ac:dyDescent="0.35">
      <c r="A5538" s="250"/>
      <c r="B5538" s="251"/>
      <c r="C5538" s="251"/>
      <c r="D5538" s="251"/>
      <c r="E5538" s="251"/>
      <c r="F5538" s="392"/>
      <c r="G5538" s="252"/>
      <c r="H5538" s="11" t="str">
        <f t="shared" ref="H5538:H5567" si="1798">IF(ISNUMBER(G5538),ROUND(0.8*G5538,2),"")</f>
        <v/>
      </c>
      <c r="J5538" s="549" t="s">
        <v>4179</v>
      </c>
    </row>
    <row r="5539" spans="1:29" s="207" customFormat="1" ht="33" customHeight="1" x14ac:dyDescent="0.35">
      <c r="A5539" s="651" t="s">
        <v>8098</v>
      </c>
      <c r="B5539" s="493"/>
      <c r="C5539" s="493"/>
      <c r="D5539" s="493"/>
      <c r="E5539" s="493"/>
      <c r="F5539" s="494"/>
      <c r="G5539" s="493"/>
      <c r="H5539" s="544" t="str">
        <f t="shared" si="1798"/>
        <v/>
      </c>
      <c r="I5539" s="593"/>
      <c r="J5539" s="549">
        <v>42705</v>
      </c>
    </row>
    <row r="5540" spans="1:29" s="187" customFormat="1" ht="37.5" customHeight="1" x14ac:dyDescent="0.35">
      <c r="A5540" s="898" t="s">
        <v>8099</v>
      </c>
      <c r="B5540" s="898"/>
      <c r="C5540" s="898"/>
      <c r="D5540" s="898"/>
      <c r="E5540" s="898"/>
      <c r="F5540" s="898"/>
      <c r="G5540" s="349"/>
      <c r="H5540" s="410" t="str">
        <f t="shared" si="1798"/>
        <v/>
      </c>
      <c r="I5540" s="595"/>
      <c r="J5540" s="549">
        <v>42705</v>
      </c>
    </row>
    <row r="5541" spans="1:29" s="187" customFormat="1" ht="22.5" customHeight="1" x14ac:dyDescent="0.35">
      <c r="A5541" s="911" t="s">
        <v>1374</v>
      </c>
      <c r="B5541" s="911"/>
      <c r="C5541" s="911"/>
      <c r="D5541" s="911"/>
      <c r="E5541" s="911"/>
      <c r="F5541" s="911"/>
      <c r="G5541" s="352"/>
      <c r="H5541" s="411" t="str">
        <f t="shared" si="1798"/>
        <v/>
      </c>
      <c r="I5541" s="596"/>
      <c r="J5541" s="549">
        <v>42705</v>
      </c>
      <c r="O5541"/>
      <c r="P5541"/>
      <c r="Q5541"/>
      <c r="R5541"/>
      <c r="S5541"/>
      <c r="T5541"/>
    </row>
    <row r="5542" spans="1:29" ht="62.25" customHeight="1" x14ac:dyDescent="0.35">
      <c r="A5542" s="911" t="s">
        <v>8100</v>
      </c>
      <c r="B5542" s="911"/>
      <c r="C5542" s="911"/>
      <c r="D5542" s="911"/>
      <c r="E5542" s="911"/>
      <c r="F5542" s="911"/>
      <c r="G5542" s="352"/>
      <c r="H5542" s="411" t="str">
        <f t="shared" si="1798"/>
        <v/>
      </c>
      <c r="I5542" s="596"/>
      <c r="J5542" s="549">
        <v>44896</v>
      </c>
      <c r="M5542" s="187"/>
      <c r="N5542" s="187"/>
      <c r="U5542" s="187"/>
      <c r="V5542" s="187"/>
      <c r="W5542" s="187"/>
      <c r="X5542" s="187"/>
      <c r="Y5542" s="187"/>
      <c r="Z5542" s="187"/>
      <c r="AA5542" s="187"/>
      <c r="AB5542" s="187"/>
      <c r="AC5542" s="187"/>
    </row>
    <row r="5543" spans="1:29" x14ac:dyDescent="0.35">
      <c r="H5543" s="11" t="str">
        <f t="shared" si="1798"/>
        <v/>
      </c>
      <c r="J5543" s="549" t="s">
        <v>4179</v>
      </c>
    </row>
    <row r="5544" spans="1:29" x14ac:dyDescent="0.35">
      <c r="A5544" s="255" t="s">
        <v>3878</v>
      </c>
      <c r="B5544" s="248" t="s">
        <v>2269</v>
      </c>
      <c r="C5544" s="248"/>
      <c r="D5544" s="248" t="s">
        <v>3879</v>
      </c>
      <c r="E5544" s="248"/>
      <c r="F5544" s="391">
        <v>0</v>
      </c>
      <c r="G5544" s="249">
        <v>0</v>
      </c>
      <c r="H5544" s="249">
        <f t="shared" si="1798"/>
        <v>0</v>
      </c>
      <c r="I5544" s="597"/>
      <c r="J5544" s="549" t="s">
        <v>5804</v>
      </c>
    </row>
    <row r="5545" spans="1:29" x14ac:dyDescent="0.35">
      <c r="A5545" s="255" t="s">
        <v>3880</v>
      </c>
      <c r="B5545" s="248" t="s">
        <v>5547</v>
      </c>
      <c r="C5545" s="248"/>
      <c r="D5545" s="248" t="s">
        <v>3879</v>
      </c>
      <c r="E5545" s="248"/>
      <c r="F5545" s="391">
        <v>0</v>
      </c>
      <c r="G5545" s="249">
        <v>0</v>
      </c>
      <c r="H5545" s="249">
        <f t="shared" si="1798"/>
        <v>0</v>
      </c>
      <c r="I5545" s="597"/>
      <c r="J5545" s="549" t="s">
        <v>5804</v>
      </c>
    </row>
    <row r="5546" spans="1:29" x14ac:dyDescent="0.35">
      <c r="A5546" s="255" t="s">
        <v>3881</v>
      </c>
      <c r="B5546" s="248" t="s">
        <v>4846</v>
      </c>
      <c r="C5546" s="248"/>
      <c r="D5546" s="248" t="s">
        <v>3879</v>
      </c>
      <c r="E5546" s="248"/>
      <c r="F5546" s="391">
        <v>0</v>
      </c>
      <c r="G5546" s="249">
        <v>0</v>
      </c>
      <c r="H5546" s="249">
        <f t="shared" si="1798"/>
        <v>0</v>
      </c>
      <c r="I5546" s="597"/>
      <c r="J5546" s="549" t="s">
        <v>5804</v>
      </c>
    </row>
    <row r="5547" spans="1:29" x14ac:dyDescent="0.35">
      <c r="A5547" s="255" t="s">
        <v>3882</v>
      </c>
      <c r="B5547" s="248" t="s">
        <v>5405</v>
      </c>
      <c r="C5547" s="248"/>
      <c r="D5547" s="248" t="s">
        <v>3879</v>
      </c>
      <c r="E5547" s="248"/>
      <c r="F5547" s="391">
        <v>0</v>
      </c>
      <c r="G5547" s="249">
        <v>0</v>
      </c>
      <c r="H5547" s="249">
        <f t="shared" si="1798"/>
        <v>0</v>
      </c>
      <c r="I5547" s="597"/>
      <c r="J5547" s="549" t="s">
        <v>5804</v>
      </c>
    </row>
    <row r="5548" spans="1:29" x14ac:dyDescent="0.35">
      <c r="A5548" s="255" t="s">
        <v>3883</v>
      </c>
      <c r="B5548" s="248" t="s">
        <v>5410</v>
      </c>
      <c r="C5548" s="248"/>
      <c r="D5548" s="248" t="s">
        <v>3879</v>
      </c>
      <c r="E5548" s="248"/>
      <c r="F5548" s="391">
        <v>0</v>
      </c>
      <c r="G5548" s="249">
        <v>0</v>
      </c>
      <c r="H5548" s="249">
        <f t="shared" si="1798"/>
        <v>0</v>
      </c>
      <c r="I5548" s="597"/>
      <c r="J5548" s="549" t="s">
        <v>5804</v>
      </c>
    </row>
    <row r="5549" spans="1:29" x14ac:dyDescent="0.35">
      <c r="A5549" s="255" t="s">
        <v>3884</v>
      </c>
      <c r="B5549" s="248" t="s">
        <v>5411</v>
      </c>
      <c r="C5549" s="248"/>
      <c r="D5549" s="248" t="s">
        <v>3879</v>
      </c>
      <c r="E5549" s="248"/>
      <c r="F5549" s="391">
        <v>0</v>
      </c>
      <c r="G5549" s="249">
        <v>0</v>
      </c>
      <c r="H5549" s="249">
        <f t="shared" si="1798"/>
        <v>0</v>
      </c>
      <c r="I5549" s="597"/>
      <c r="J5549" s="549" t="s">
        <v>5804</v>
      </c>
    </row>
    <row r="5550" spans="1:29" x14ac:dyDescent="0.35">
      <c r="A5550" s="255" t="s">
        <v>3885</v>
      </c>
      <c r="B5550" s="248" t="s">
        <v>2034</v>
      </c>
      <c r="C5550" s="248"/>
      <c r="D5550" s="248" t="s">
        <v>3879</v>
      </c>
      <c r="E5550" s="248"/>
      <c r="F5550" s="391">
        <v>0</v>
      </c>
      <c r="G5550" s="249">
        <v>0</v>
      </c>
      <c r="H5550" s="249">
        <f t="shared" si="1798"/>
        <v>0</v>
      </c>
      <c r="I5550" s="597"/>
      <c r="J5550" s="549" t="s">
        <v>5804</v>
      </c>
    </row>
    <row r="5551" spans="1:29" x14ac:dyDescent="0.35">
      <c r="A5551" s="255" t="s">
        <v>3886</v>
      </c>
      <c r="B5551" s="248" t="s">
        <v>2067</v>
      </c>
      <c r="C5551" s="248"/>
      <c r="D5551" s="248" t="s">
        <v>3879</v>
      </c>
      <c r="E5551" s="248"/>
      <c r="F5551" s="391">
        <v>0</v>
      </c>
      <c r="G5551" s="249">
        <v>0</v>
      </c>
      <c r="H5551" s="249">
        <f t="shared" si="1798"/>
        <v>0</v>
      </c>
      <c r="I5551" s="597"/>
      <c r="J5551" s="549" t="s">
        <v>5804</v>
      </c>
    </row>
    <row r="5552" spans="1:29" x14ac:dyDescent="0.35">
      <c r="A5552" s="255" t="s">
        <v>3887</v>
      </c>
      <c r="B5552" s="248" t="s">
        <v>3373</v>
      </c>
      <c r="C5552" s="248"/>
      <c r="D5552" s="248" t="s">
        <v>3879</v>
      </c>
      <c r="E5552" s="248"/>
      <c r="F5552" s="391">
        <v>0</v>
      </c>
      <c r="G5552" s="249">
        <v>0</v>
      </c>
      <c r="H5552" s="249">
        <f t="shared" si="1798"/>
        <v>0</v>
      </c>
      <c r="I5552" s="597"/>
      <c r="J5552" s="549" t="s">
        <v>5804</v>
      </c>
    </row>
    <row r="5553" spans="1:29" x14ac:dyDescent="0.35">
      <c r="A5553" s="255" t="s">
        <v>3888</v>
      </c>
      <c r="B5553" s="248" t="s">
        <v>3381</v>
      </c>
      <c r="C5553" s="248"/>
      <c r="D5553" s="248" t="s">
        <v>3879</v>
      </c>
      <c r="E5553" s="248"/>
      <c r="F5553" s="391">
        <v>0</v>
      </c>
      <c r="G5553" s="249">
        <v>0</v>
      </c>
      <c r="H5553" s="249">
        <f t="shared" si="1798"/>
        <v>0</v>
      </c>
      <c r="I5553" s="597"/>
      <c r="J5553" s="549" t="s">
        <v>5804</v>
      </c>
    </row>
    <row r="5554" spans="1:29" x14ac:dyDescent="0.35">
      <c r="A5554" s="255" t="s">
        <v>3889</v>
      </c>
      <c r="B5554" s="248" t="s">
        <v>3389</v>
      </c>
      <c r="C5554" s="248"/>
      <c r="D5554" s="248" t="s">
        <v>3879</v>
      </c>
      <c r="E5554" s="248"/>
      <c r="F5554" s="391">
        <v>0</v>
      </c>
      <c r="G5554" s="249">
        <v>0</v>
      </c>
      <c r="H5554" s="249">
        <f t="shared" si="1798"/>
        <v>0</v>
      </c>
      <c r="I5554" s="597"/>
      <c r="J5554" s="549" t="s">
        <v>5804</v>
      </c>
    </row>
    <row r="5555" spans="1:29" x14ac:dyDescent="0.35">
      <c r="A5555" s="255" t="s">
        <v>3890</v>
      </c>
      <c r="B5555" s="248" t="s">
        <v>740</v>
      </c>
      <c r="C5555" s="248"/>
      <c r="D5555" s="248" t="s">
        <v>3879</v>
      </c>
      <c r="E5555" s="248"/>
      <c r="F5555" s="391">
        <v>0</v>
      </c>
      <c r="G5555" s="249">
        <v>0</v>
      </c>
      <c r="H5555" s="249">
        <f t="shared" si="1798"/>
        <v>0</v>
      </c>
      <c r="I5555" s="597"/>
      <c r="J5555" s="549" t="s">
        <v>5804</v>
      </c>
    </row>
    <row r="5556" spans="1:29" x14ac:dyDescent="0.35">
      <c r="A5556" s="255" t="s">
        <v>3891</v>
      </c>
      <c r="B5556" s="248" t="s">
        <v>5434</v>
      </c>
      <c r="C5556" s="248"/>
      <c r="D5556" s="248" t="s">
        <v>3879</v>
      </c>
      <c r="E5556" s="248"/>
      <c r="F5556" s="391">
        <v>0</v>
      </c>
      <c r="G5556" s="249">
        <v>0</v>
      </c>
      <c r="H5556" s="249">
        <f t="shared" si="1798"/>
        <v>0</v>
      </c>
      <c r="I5556" s="597"/>
      <c r="J5556" s="549" t="s">
        <v>5804</v>
      </c>
    </row>
    <row r="5557" spans="1:29" x14ac:dyDescent="0.35">
      <c r="A5557" s="256"/>
      <c r="B5557" s="251"/>
      <c r="C5557" s="251"/>
      <c r="D5557" s="251"/>
      <c r="E5557" s="251"/>
      <c r="F5557" s="392"/>
      <c r="G5557" s="252"/>
      <c r="H5557" s="252" t="str">
        <f t="shared" si="1798"/>
        <v/>
      </c>
      <c r="I5557" s="601"/>
      <c r="J5557" s="549" t="s">
        <v>4179</v>
      </c>
      <c r="O5557" s="187"/>
      <c r="P5557" s="187"/>
      <c r="Q5557" s="187"/>
      <c r="R5557" s="187"/>
      <c r="S5557" s="187"/>
      <c r="T5557" s="187"/>
    </row>
    <row r="5558" spans="1:29" ht="26.25" customHeight="1" x14ac:dyDescent="0.35">
      <c r="A5558" s="651" t="s">
        <v>8132</v>
      </c>
      <c r="B5558" s="50"/>
      <c r="C5558" s="50"/>
      <c r="D5558" s="50"/>
      <c r="E5558" s="50"/>
      <c r="F5558" s="363"/>
      <c r="G5558" s="50"/>
      <c r="H5558" s="59" t="str">
        <f t="shared" si="1798"/>
        <v/>
      </c>
      <c r="I5558" s="567"/>
      <c r="J5558" s="549">
        <v>42705</v>
      </c>
      <c r="O5558" s="187"/>
      <c r="P5558" s="187"/>
      <c r="Q5558" s="187"/>
      <c r="R5558" s="187"/>
      <c r="S5558" s="187"/>
      <c r="T5558" s="187"/>
    </row>
    <row r="5559" spans="1:29" s="187" customFormat="1" ht="22.5" customHeight="1" x14ac:dyDescent="0.35">
      <c r="A5559" s="937" t="s">
        <v>1083</v>
      </c>
      <c r="B5559" s="937"/>
      <c r="C5559" s="937"/>
      <c r="D5559" s="937"/>
      <c r="E5559" s="937"/>
      <c r="F5559" s="937"/>
      <c r="G5559" s="354"/>
      <c r="H5559" s="412" t="str">
        <f t="shared" si="1798"/>
        <v/>
      </c>
      <c r="I5559" s="598"/>
      <c r="J5559" s="549">
        <v>42705</v>
      </c>
      <c r="M5559"/>
      <c r="N5559"/>
      <c r="U5559"/>
      <c r="V5559"/>
      <c r="W5559"/>
      <c r="X5559"/>
      <c r="Y5559"/>
      <c r="Z5559"/>
      <c r="AA5559"/>
      <c r="AB5559"/>
      <c r="AC5559"/>
    </row>
    <row r="5560" spans="1:29" s="207" customFormat="1" ht="22.5" customHeight="1" x14ac:dyDescent="0.35">
      <c r="A5560" s="910" t="s">
        <v>37</v>
      </c>
      <c r="B5560" s="910"/>
      <c r="C5560" s="910"/>
      <c r="D5560" s="910"/>
      <c r="E5560" s="910"/>
      <c r="F5560" s="910"/>
      <c r="G5560" s="353"/>
      <c r="H5560" s="413" t="str">
        <f t="shared" si="1798"/>
        <v/>
      </c>
      <c r="I5560" s="599"/>
      <c r="J5560" s="549">
        <v>42705</v>
      </c>
      <c r="M5560" s="187"/>
      <c r="N5560" s="187"/>
      <c r="O5560"/>
      <c r="P5560"/>
      <c r="Q5560"/>
      <c r="R5560"/>
      <c r="S5560"/>
      <c r="T5560"/>
      <c r="U5560" s="187"/>
      <c r="V5560" s="187"/>
      <c r="W5560" s="187"/>
      <c r="X5560" s="187"/>
      <c r="Y5560" s="187"/>
      <c r="Z5560" s="187"/>
      <c r="AA5560" s="187"/>
      <c r="AB5560" s="187"/>
      <c r="AC5560" s="187"/>
    </row>
    <row r="5561" spans="1:29" s="187" customFormat="1" ht="93.75" customHeight="1" x14ac:dyDescent="0.35">
      <c r="A5561" s="898" t="s">
        <v>474</v>
      </c>
      <c r="B5561" s="898"/>
      <c r="C5561" s="898"/>
      <c r="D5561" s="898"/>
      <c r="E5561" s="898"/>
      <c r="F5561" s="898"/>
      <c r="G5561" s="515"/>
      <c r="H5561" s="516" t="str">
        <f t="shared" si="1798"/>
        <v/>
      </c>
      <c r="I5561" s="602"/>
      <c r="J5561" s="549">
        <v>42705</v>
      </c>
      <c r="M5561" s="207"/>
      <c r="N5561" s="207"/>
      <c r="O5561" s="207"/>
      <c r="P5561" s="207"/>
      <c r="Q5561" s="207"/>
      <c r="R5561" s="207"/>
      <c r="S5561" s="207"/>
      <c r="T5561" s="207"/>
      <c r="U5561" s="207"/>
      <c r="V5561" s="207"/>
      <c r="W5561" s="207"/>
      <c r="X5561" s="207"/>
      <c r="Y5561" s="207"/>
      <c r="Z5561" s="207"/>
      <c r="AA5561" s="207"/>
      <c r="AB5561" s="207"/>
      <c r="AC5561" s="207"/>
    </row>
    <row r="5562" spans="1:29" s="187" customFormat="1" ht="64.5" customHeight="1" x14ac:dyDescent="0.35">
      <c r="A5562" s="907" t="s">
        <v>476</v>
      </c>
      <c r="B5562" s="905"/>
      <c r="C5562" s="905"/>
      <c r="D5562" s="905"/>
      <c r="E5562" s="905"/>
      <c r="F5562" s="905"/>
      <c r="G5562" s="352"/>
      <c r="H5562" s="411" t="str">
        <f t="shared" si="1798"/>
        <v/>
      </c>
      <c r="I5562" s="596"/>
      <c r="J5562" s="549">
        <v>42705</v>
      </c>
      <c r="O5562"/>
      <c r="P5562"/>
      <c r="Q5562"/>
      <c r="R5562"/>
      <c r="S5562"/>
      <c r="T5562"/>
    </row>
    <row r="5563" spans="1:29" s="187" customFormat="1" ht="51.75" customHeight="1" x14ac:dyDescent="0.35">
      <c r="A5563" s="907" t="s">
        <v>477</v>
      </c>
      <c r="B5563" s="905"/>
      <c r="C5563" s="905"/>
      <c r="D5563" s="905"/>
      <c r="E5563" s="905"/>
      <c r="F5563" s="905"/>
      <c r="G5563" s="352"/>
      <c r="H5563" s="411" t="str">
        <f t="shared" si="1798"/>
        <v/>
      </c>
      <c r="I5563" s="596"/>
      <c r="J5563" s="549">
        <v>42705</v>
      </c>
    </row>
    <row r="5564" spans="1:29" s="187" customFormat="1" ht="95.25" customHeight="1" x14ac:dyDescent="0.35">
      <c r="A5564" s="911" t="s">
        <v>8166</v>
      </c>
      <c r="B5564" s="911"/>
      <c r="C5564" s="911"/>
      <c r="D5564" s="911"/>
      <c r="E5564" s="911"/>
      <c r="F5564" s="911"/>
      <c r="G5564" s="352"/>
      <c r="H5564" s="411" t="str">
        <f t="shared" si="1798"/>
        <v/>
      </c>
      <c r="I5564" s="596"/>
      <c r="J5564" s="549">
        <v>44958</v>
      </c>
    </row>
    <row r="5565" spans="1:29" s="187" customFormat="1" ht="24.75" customHeight="1" x14ac:dyDescent="0.35">
      <c r="A5565" s="907" t="s">
        <v>475</v>
      </c>
      <c r="B5565" s="905"/>
      <c r="C5565" s="905"/>
      <c r="D5565" s="905"/>
      <c r="E5565" s="905"/>
      <c r="F5565" s="905"/>
      <c r="G5565" s="352"/>
      <c r="H5565" s="411" t="str">
        <f t="shared" si="1798"/>
        <v/>
      </c>
      <c r="I5565" s="596"/>
      <c r="J5565" s="549">
        <v>42705</v>
      </c>
      <c r="O5565"/>
      <c r="P5565"/>
      <c r="Q5565"/>
      <c r="R5565"/>
      <c r="S5565"/>
      <c r="T5565"/>
    </row>
    <row r="5566" spans="1:29" ht="22.5" customHeight="1" x14ac:dyDescent="0.35">
      <c r="A5566" s="905" t="s">
        <v>4254</v>
      </c>
      <c r="B5566" s="905"/>
      <c r="C5566" s="905"/>
      <c r="D5566" s="905"/>
      <c r="E5566" s="905"/>
      <c r="F5566" s="905"/>
      <c r="G5566" s="352"/>
      <c r="H5566" s="411" t="str">
        <f t="shared" si="1798"/>
        <v/>
      </c>
      <c r="I5566" s="596"/>
      <c r="J5566" s="549">
        <v>42705</v>
      </c>
      <c r="M5566" s="187"/>
      <c r="N5566" s="187"/>
      <c r="U5566" s="187"/>
      <c r="V5566" s="187"/>
      <c r="W5566" s="187"/>
      <c r="X5566" s="187"/>
      <c r="Y5566" s="187"/>
      <c r="Z5566" s="187"/>
      <c r="AA5566" s="187"/>
      <c r="AB5566" s="187"/>
      <c r="AC5566" s="187"/>
    </row>
    <row r="5567" spans="1:29" x14ac:dyDescent="0.35">
      <c r="H5567" s="11" t="str">
        <f t="shared" si="1798"/>
        <v/>
      </c>
      <c r="J5567" s="549" t="s">
        <v>4179</v>
      </c>
    </row>
    <row r="5568" spans="1:29" x14ac:dyDescent="0.35">
      <c r="A5568" s="495" t="s">
        <v>478</v>
      </c>
      <c r="B5568" s="456" t="s">
        <v>2269</v>
      </c>
      <c r="C5568" s="456"/>
      <c r="D5568" s="458" t="s">
        <v>8133</v>
      </c>
      <c r="E5568" s="456"/>
      <c r="F5568" s="457"/>
      <c r="G5568" s="457"/>
      <c r="H5568" s="457"/>
      <c r="I5568" s="603"/>
      <c r="J5568" s="549">
        <v>44896</v>
      </c>
    </row>
    <row r="5569" spans="1:20" x14ac:dyDescent="0.35">
      <c r="A5569" s="495" t="s">
        <v>479</v>
      </c>
      <c r="B5569" s="456" t="s">
        <v>5547</v>
      </c>
      <c r="C5569" s="456"/>
      <c r="D5569" s="458" t="s">
        <v>8133</v>
      </c>
      <c r="E5569" s="456"/>
      <c r="F5569" s="457"/>
      <c r="G5569" s="457"/>
      <c r="H5569" s="457"/>
      <c r="I5569" s="603"/>
      <c r="J5569" s="549">
        <v>44896</v>
      </c>
    </row>
    <row r="5570" spans="1:20" x14ac:dyDescent="0.35">
      <c r="A5570" s="495" t="s">
        <v>480</v>
      </c>
      <c r="B5570" s="456" t="s">
        <v>4846</v>
      </c>
      <c r="C5570" s="456"/>
      <c r="D5570" s="458" t="s">
        <v>8133</v>
      </c>
      <c r="E5570" s="456"/>
      <c r="F5570" s="457"/>
      <c r="G5570" s="457"/>
      <c r="H5570" s="457"/>
      <c r="I5570" s="603"/>
      <c r="J5570" s="549">
        <v>44896</v>
      </c>
    </row>
    <row r="5571" spans="1:20" x14ac:dyDescent="0.35">
      <c r="A5571" s="495" t="s">
        <v>481</v>
      </c>
      <c r="B5571" s="456" t="s">
        <v>5405</v>
      </c>
      <c r="C5571" s="456"/>
      <c r="D5571" s="458" t="s">
        <v>8133</v>
      </c>
      <c r="E5571" s="456"/>
      <c r="F5571" s="457"/>
      <c r="G5571" s="457"/>
      <c r="H5571" s="457"/>
      <c r="I5571" s="603"/>
      <c r="J5571" s="549">
        <v>44896</v>
      </c>
    </row>
    <row r="5572" spans="1:20" x14ac:dyDescent="0.35">
      <c r="A5572" s="495" t="s">
        <v>482</v>
      </c>
      <c r="B5572" s="456" t="s">
        <v>5410</v>
      </c>
      <c r="C5572" s="456"/>
      <c r="D5572" s="458" t="s">
        <v>8133</v>
      </c>
      <c r="E5572" s="456"/>
      <c r="F5572" s="457"/>
      <c r="G5572" s="457"/>
      <c r="H5572" s="457"/>
      <c r="I5572" s="603"/>
      <c r="J5572" s="549">
        <v>44896</v>
      </c>
    </row>
    <row r="5573" spans="1:20" x14ac:dyDescent="0.35">
      <c r="A5573" s="495" t="s">
        <v>483</v>
      </c>
      <c r="B5573" s="456" t="s">
        <v>5411</v>
      </c>
      <c r="C5573" s="456"/>
      <c r="D5573" s="458" t="s">
        <v>8133</v>
      </c>
      <c r="E5573" s="456"/>
      <c r="F5573" s="457"/>
      <c r="G5573" s="457"/>
      <c r="H5573" s="457"/>
      <c r="I5573" s="603"/>
      <c r="J5573" s="549">
        <v>44896</v>
      </c>
    </row>
    <row r="5574" spans="1:20" x14ac:dyDescent="0.35">
      <c r="A5574" s="495" t="s">
        <v>484</v>
      </c>
      <c r="B5574" s="456" t="s">
        <v>2034</v>
      </c>
      <c r="C5574" s="456"/>
      <c r="D5574" s="458" t="s">
        <v>8133</v>
      </c>
      <c r="E5574" s="456"/>
      <c r="F5574" s="457"/>
      <c r="G5574" s="457"/>
      <c r="H5574" s="457"/>
      <c r="I5574" s="603"/>
      <c r="J5574" s="549">
        <v>44896</v>
      </c>
    </row>
    <row r="5575" spans="1:20" x14ac:dyDescent="0.35">
      <c r="A5575" s="495" t="s">
        <v>485</v>
      </c>
      <c r="B5575" s="456" t="s">
        <v>2067</v>
      </c>
      <c r="C5575" s="456"/>
      <c r="D5575" s="458" t="s">
        <v>8133</v>
      </c>
      <c r="E5575" s="456"/>
      <c r="F5575" s="457"/>
      <c r="G5575" s="457"/>
      <c r="H5575" s="457"/>
      <c r="I5575" s="603"/>
      <c r="J5575" s="549">
        <v>44896</v>
      </c>
    </row>
    <row r="5576" spans="1:20" x14ac:dyDescent="0.35">
      <c r="A5576" s="495" t="s">
        <v>486</v>
      </c>
      <c r="B5576" s="456" t="s">
        <v>3373</v>
      </c>
      <c r="C5576" s="456"/>
      <c r="D5576" s="458" t="s">
        <v>8133</v>
      </c>
      <c r="E5576" s="456"/>
      <c r="F5576" s="457"/>
      <c r="G5576" s="457"/>
      <c r="H5576" s="457"/>
      <c r="I5576" s="603"/>
      <c r="J5576" s="549">
        <v>44896</v>
      </c>
    </row>
    <row r="5577" spans="1:20" x14ac:dyDescent="0.35">
      <c r="A5577" s="495" t="s">
        <v>487</v>
      </c>
      <c r="B5577" s="456" t="s">
        <v>3381</v>
      </c>
      <c r="C5577" s="456"/>
      <c r="D5577" s="458" t="s">
        <v>8133</v>
      </c>
      <c r="E5577" s="456"/>
      <c r="F5577" s="457"/>
      <c r="G5577" s="457"/>
      <c r="H5577" s="457"/>
      <c r="I5577" s="603"/>
      <c r="J5577" s="549">
        <v>44896</v>
      </c>
    </row>
    <row r="5578" spans="1:20" x14ac:dyDescent="0.35">
      <c r="A5578" s="495" t="s">
        <v>488</v>
      </c>
      <c r="B5578" s="456" t="s">
        <v>3389</v>
      </c>
      <c r="C5578" s="456"/>
      <c r="D5578" s="458" t="s">
        <v>8133</v>
      </c>
      <c r="E5578" s="456"/>
      <c r="F5578" s="457"/>
      <c r="G5578" s="457"/>
      <c r="H5578" s="457"/>
      <c r="I5578" s="603"/>
      <c r="J5578" s="549">
        <v>44896</v>
      </c>
    </row>
    <row r="5579" spans="1:20" x14ac:dyDescent="0.35">
      <c r="A5579" s="495" t="s">
        <v>489</v>
      </c>
      <c r="B5579" s="456" t="s">
        <v>740</v>
      </c>
      <c r="C5579" s="456"/>
      <c r="D5579" s="458" t="s">
        <v>8133</v>
      </c>
      <c r="E5579" s="456"/>
      <c r="F5579" s="457"/>
      <c r="G5579" s="457"/>
      <c r="H5579" s="457"/>
      <c r="I5579" s="603"/>
      <c r="J5579" s="549">
        <v>44896</v>
      </c>
    </row>
    <row r="5580" spans="1:20" x14ac:dyDescent="0.35">
      <c r="A5580" s="495" t="s">
        <v>490</v>
      </c>
      <c r="B5580" s="456" t="s">
        <v>5434</v>
      </c>
      <c r="C5580" s="456"/>
      <c r="D5580" s="458" t="s">
        <v>8133</v>
      </c>
      <c r="E5580" s="456"/>
      <c r="F5580" s="457"/>
      <c r="G5580" s="457"/>
      <c r="H5580" s="457"/>
      <c r="I5580" s="603"/>
      <c r="J5580" s="549">
        <v>44896</v>
      </c>
    </row>
    <row r="5581" spans="1:20" x14ac:dyDescent="0.35">
      <c r="H5581" s="11" t="str">
        <f>IF(ISNUMBER(G5581),ROUND(0.8*G5581,2),"")</f>
        <v/>
      </c>
      <c r="J5581" s="549" t="s">
        <v>4179</v>
      </c>
    </row>
    <row r="5582" spans="1:20" s="207" customFormat="1" ht="30.75" customHeight="1" x14ac:dyDescent="0.35">
      <c r="A5582" s="651" t="s">
        <v>8134</v>
      </c>
      <c r="B5582" s="493"/>
      <c r="C5582" s="493"/>
      <c r="D5582" s="493"/>
      <c r="E5582" s="493"/>
      <c r="F5582" s="494"/>
      <c r="G5582" s="493"/>
      <c r="H5582" s="544" t="str">
        <f>IF(ISNUMBER(G5582),ROUND(0.8*G5582,2),"")</f>
        <v/>
      </c>
      <c r="I5582" s="544"/>
      <c r="J5582" s="549">
        <v>42705</v>
      </c>
    </row>
    <row r="5583" spans="1:20" ht="50.25" customHeight="1" x14ac:dyDescent="0.35">
      <c r="A5583" s="898" t="s">
        <v>8135</v>
      </c>
      <c r="B5583" s="898"/>
      <c r="C5583" s="898"/>
      <c r="D5583" s="898"/>
      <c r="E5583" s="898"/>
      <c r="F5583" s="898"/>
      <c r="G5583" s="349"/>
      <c r="H5583" s="410" t="str">
        <f>IF(ISNUMBER(G5583),ROUND(0.8*G5583,2),"")</f>
        <v/>
      </c>
      <c r="I5583" s="595"/>
      <c r="J5583" s="549">
        <v>42705</v>
      </c>
      <c r="O5583" s="187"/>
      <c r="P5583" s="187"/>
      <c r="Q5583" s="187"/>
      <c r="R5583" s="187"/>
      <c r="S5583" s="187"/>
      <c r="T5583" s="187"/>
    </row>
    <row r="5584" spans="1:20" x14ac:dyDescent="0.35">
      <c r="A5584" s="898" t="s">
        <v>6705</v>
      </c>
      <c r="B5584" s="898"/>
      <c r="C5584" s="898"/>
      <c r="D5584" s="898"/>
      <c r="E5584" s="898"/>
      <c r="F5584" s="898"/>
      <c r="G5584" s="349"/>
      <c r="H5584" s="410" t="str">
        <f>IF(ISNUMBER(G5584),ROUND(0.8*G5584,2),"")</f>
        <v/>
      </c>
      <c r="I5584" s="595"/>
      <c r="J5584" s="549">
        <v>42705</v>
      </c>
      <c r="O5584" s="187"/>
      <c r="P5584" s="187"/>
      <c r="Q5584" s="187"/>
      <c r="R5584" s="187"/>
      <c r="S5584" s="187"/>
      <c r="T5584" s="187"/>
    </row>
    <row r="5585" spans="1:20" x14ac:dyDescent="0.35">
      <c r="A5585" s="898" t="s">
        <v>6706</v>
      </c>
      <c r="B5585" s="898"/>
      <c r="C5585" s="898"/>
      <c r="D5585" s="898"/>
      <c r="E5585" s="898"/>
      <c r="F5585" s="898"/>
      <c r="G5585" s="349"/>
      <c r="H5585" s="410"/>
      <c r="I5585" s="595"/>
      <c r="J5585" s="549">
        <v>44196</v>
      </c>
      <c r="O5585" s="187"/>
      <c r="P5585" s="187"/>
      <c r="Q5585" s="187"/>
      <c r="R5585" s="187"/>
      <c r="S5585" s="187"/>
      <c r="T5585" s="187"/>
    </row>
    <row r="5586" spans="1:20" x14ac:dyDescent="0.35">
      <c r="A5586" s="909" t="s">
        <v>6010</v>
      </c>
      <c r="B5586" s="909"/>
      <c r="C5586" s="909"/>
      <c r="D5586" s="909"/>
      <c r="E5586" s="909"/>
      <c r="F5586" s="909"/>
      <c r="G5586" s="349"/>
      <c r="H5586" s="410" t="str">
        <f>IF(ISNUMBER(G5586),ROUND(0.8*G5586,2),"")</f>
        <v/>
      </c>
      <c r="I5586" s="595"/>
      <c r="J5586" s="549">
        <v>42705</v>
      </c>
      <c r="O5586" s="187"/>
      <c r="P5586" s="187"/>
      <c r="Q5586" s="187"/>
      <c r="R5586" s="187"/>
      <c r="S5586" s="187"/>
      <c r="T5586" s="187"/>
    </row>
    <row r="5587" spans="1:20" ht="43.5" customHeight="1" x14ac:dyDescent="0.35">
      <c r="A5587" s="909" t="s">
        <v>8169</v>
      </c>
      <c r="B5587" s="909"/>
      <c r="C5587" s="909"/>
      <c r="D5587" s="909"/>
      <c r="E5587" s="909"/>
      <c r="F5587" s="909"/>
      <c r="G5587" s="349"/>
      <c r="H5587" s="410" t="str">
        <f>IF(ISNUMBER(G5587),ROUND(0.8*G5587,2),"")</f>
        <v/>
      </c>
      <c r="I5587" s="595"/>
      <c r="J5587" s="549">
        <v>44958</v>
      </c>
      <c r="O5587" s="187"/>
      <c r="P5587" s="187"/>
      <c r="Q5587" s="187"/>
      <c r="R5587" s="187"/>
      <c r="S5587" s="187"/>
      <c r="T5587" s="187"/>
    </row>
    <row r="5588" spans="1:20" x14ac:dyDescent="0.35">
      <c r="H5588" s="11" t="str">
        <f>IF(ISNUMBER(G5588),ROUND(0.8*G5588,2),"")</f>
        <v/>
      </c>
      <c r="J5588" s="549" t="s">
        <v>4179</v>
      </c>
      <c r="O5588" s="187"/>
      <c r="P5588" s="187"/>
      <c r="Q5588" s="187"/>
      <c r="R5588" s="187"/>
      <c r="S5588" s="187"/>
      <c r="T5588" s="187"/>
    </row>
    <row r="5589" spans="1:20" x14ac:dyDescent="0.35">
      <c r="A5589" s="495" t="s">
        <v>278</v>
      </c>
      <c r="B5589" s="356" t="s">
        <v>5547</v>
      </c>
      <c r="C5589" s="356"/>
      <c r="D5589" s="356" t="s">
        <v>277</v>
      </c>
      <c r="E5589" s="356"/>
      <c r="F5589" s="369"/>
      <c r="G5589" s="369"/>
      <c r="H5589" s="369"/>
      <c r="I5589" s="604"/>
      <c r="J5589" s="549" t="s">
        <v>5804</v>
      </c>
      <c r="O5589" s="187"/>
      <c r="P5589" s="187"/>
      <c r="Q5589" s="187"/>
      <c r="R5589" s="187"/>
      <c r="S5589" s="187"/>
      <c r="T5589" s="187"/>
    </row>
    <row r="5590" spans="1:20" x14ac:dyDescent="0.35">
      <c r="A5590" s="495" t="s">
        <v>8167</v>
      </c>
      <c r="B5590" s="356" t="s">
        <v>5547</v>
      </c>
      <c r="C5590" s="356"/>
      <c r="D5590" s="356" t="s">
        <v>8168</v>
      </c>
      <c r="E5590" s="356"/>
      <c r="F5590" s="369"/>
      <c r="G5590" s="369"/>
      <c r="H5590" s="369"/>
      <c r="I5590" s="604"/>
      <c r="J5590" s="549">
        <v>44958</v>
      </c>
      <c r="O5590" s="187"/>
      <c r="P5590" s="187"/>
      <c r="Q5590" s="187"/>
      <c r="R5590" s="187"/>
      <c r="S5590" s="187"/>
      <c r="T5590" s="187"/>
    </row>
    <row r="5591" spans="1:20" x14ac:dyDescent="0.35">
      <c r="J5591" s="549" t="s">
        <v>4179</v>
      </c>
      <c r="O5591" s="187"/>
      <c r="P5591" s="187"/>
      <c r="Q5591" s="187"/>
      <c r="R5591" s="187"/>
      <c r="S5591" s="187"/>
      <c r="T5591" s="187"/>
    </row>
    <row r="5592" spans="1:20" ht="33.75" customHeight="1" x14ac:dyDescent="0.35">
      <c r="A5592" s="651" t="s">
        <v>8136</v>
      </c>
      <c r="B5592" s="50"/>
      <c r="C5592" s="50"/>
      <c r="D5592" s="50"/>
      <c r="E5592" s="50"/>
      <c r="F5592" s="363"/>
      <c r="G5592" s="50"/>
      <c r="H5592" s="59" t="str">
        <f>IF(ISNUMBER(G5592),ROUND(0.8*G5592,2),"")</f>
        <v/>
      </c>
      <c r="I5592" s="567"/>
      <c r="J5592" s="549">
        <v>42705</v>
      </c>
      <c r="O5592" s="187"/>
      <c r="P5592" s="187"/>
      <c r="Q5592" s="187"/>
      <c r="R5592" s="187"/>
      <c r="S5592" s="187"/>
      <c r="T5592" s="187"/>
    </row>
    <row r="5593" spans="1:20" ht="38.25" customHeight="1" x14ac:dyDescent="0.35">
      <c r="A5593" s="898" t="s">
        <v>8137</v>
      </c>
      <c r="B5593" s="898"/>
      <c r="C5593" s="898"/>
      <c r="D5593" s="898"/>
      <c r="E5593" s="898"/>
      <c r="F5593" s="898"/>
      <c r="G5593" s="349"/>
      <c r="H5593" s="410" t="str">
        <f>IF(ISNUMBER(G5593),ROUND(0.8*G5593,2),"")</f>
        <v/>
      </c>
      <c r="I5593" s="595"/>
      <c r="J5593" s="549">
        <v>42705</v>
      </c>
      <c r="O5593" s="187"/>
      <c r="P5593" s="187"/>
      <c r="Q5593" s="187"/>
      <c r="R5593" s="187"/>
      <c r="S5593" s="187"/>
      <c r="T5593" s="187"/>
    </row>
    <row r="5594" spans="1:20" ht="48" customHeight="1" x14ac:dyDescent="0.35">
      <c r="A5594" s="898" t="s">
        <v>8138</v>
      </c>
      <c r="B5594" s="898"/>
      <c r="C5594" s="898"/>
      <c r="D5594" s="898"/>
      <c r="E5594" s="898"/>
      <c r="F5594" s="898"/>
      <c r="G5594" s="349"/>
      <c r="H5594" s="410" t="str">
        <f>IF(ISNUMBER(G5594),ROUND(0.8*G5594,2),"")</f>
        <v/>
      </c>
      <c r="I5594" s="595"/>
      <c r="J5594" s="549">
        <v>42705</v>
      </c>
      <c r="O5594" s="187"/>
      <c r="P5594" s="187"/>
      <c r="Q5594" s="187"/>
      <c r="R5594" s="187"/>
      <c r="S5594" s="187"/>
      <c r="T5594" s="187"/>
    </row>
    <row r="5595" spans="1:20" ht="30" customHeight="1" x14ac:dyDescent="0.35">
      <c r="A5595" s="898" t="s">
        <v>274</v>
      </c>
      <c r="B5595" s="898"/>
      <c r="C5595" s="898"/>
      <c r="D5595" s="898"/>
      <c r="E5595" s="898"/>
      <c r="F5595" s="898"/>
      <c r="G5595" s="349"/>
      <c r="H5595" s="410" t="str">
        <f>IF(ISNUMBER(G5595),ROUND(0.8*G5595,2),"")</f>
        <v/>
      </c>
      <c r="I5595" s="595"/>
      <c r="J5595" s="549">
        <v>42705</v>
      </c>
      <c r="O5595" s="187"/>
      <c r="P5595" s="187"/>
      <c r="Q5595" s="187"/>
      <c r="R5595" s="187"/>
      <c r="S5595" s="187"/>
      <c r="T5595" s="187"/>
    </row>
    <row r="5596" spans="1:20" x14ac:dyDescent="0.35">
      <c r="H5596" s="11" t="str">
        <f>IF(ISNUMBER(G5596),ROUND(0.8*G5596,2),"")</f>
        <v/>
      </c>
      <c r="J5596" s="549" t="s">
        <v>4179</v>
      </c>
      <c r="O5596" s="187"/>
      <c r="P5596" s="187"/>
      <c r="Q5596" s="187"/>
      <c r="R5596" s="187"/>
      <c r="S5596" s="187"/>
      <c r="T5596" s="187"/>
    </row>
    <row r="5597" spans="1:20" x14ac:dyDescent="0.35">
      <c r="A5597" s="495" t="s">
        <v>279</v>
      </c>
      <c r="B5597" s="356" t="s">
        <v>5547</v>
      </c>
      <c r="C5597" s="356"/>
      <c r="D5597" s="356" t="s">
        <v>275</v>
      </c>
      <c r="E5597" s="356"/>
      <c r="F5597" s="369"/>
      <c r="G5597" s="369"/>
      <c r="H5597" s="369"/>
      <c r="I5597" s="604"/>
      <c r="J5597" s="549" t="s">
        <v>5804</v>
      </c>
      <c r="O5597" s="187"/>
      <c r="P5597" s="187"/>
      <c r="Q5597" s="187"/>
      <c r="R5597" s="187"/>
      <c r="S5597" s="187"/>
      <c r="T5597" s="187"/>
    </row>
    <row r="5598" spans="1:20" x14ac:dyDescent="0.35">
      <c r="A5598" s="495" t="s">
        <v>280</v>
      </c>
      <c r="B5598" s="356" t="s">
        <v>5547</v>
      </c>
      <c r="C5598" s="356"/>
      <c r="D5598" s="356" t="s">
        <v>276</v>
      </c>
      <c r="E5598" s="356"/>
      <c r="F5598" s="369"/>
      <c r="G5598" s="369"/>
      <c r="H5598" s="369"/>
      <c r="I5598" s="604"/>
      <c r="J5598" s="549" t="s">
        <v>5804</v>
      </c>
      <c r="O5598" s="187"/>
      <c r="P5598" s="187"/>
      <c r="Q5598" s="187"/>
      <c r="R5598" s="187"/>
      <c r="S5598" s="187"/>
      <c r="T5598" s="187"/>
    </row>
    <row r="5599" spans="1:20" x14ac:dyDescent="0.35">
      <c r="H5599" s="11" t="str">
        <f>IF(ISNUMBER(G5599),ROUND(0.8*G5599,2),"")</f>
        <v/>
      </c>
      <c r="J5599" s="549"/>
      <c r="O5599" s="187"/>
      <c r="P5599" s="187"/>
      <c r="Q5599" s="187"/>
      <c r="R5599" s="187"/>
      <c r="S5599" s="187"/>
      <c r="T5599" s="187"/>
    </row>
    <row r="5600" spans="1:20" s="207" customFormat="1" ht="33" customHeight="1" x14ac:dyDescent="0.35">
      <c r="A5600" s="651" t="s">
        <v>4273</v>
      </c>
      <c r="B5600" s="493"/>
      <c r="C5600" s="493"/>
      <c r="D5600" s="493"/>
      <c r="E5600" s="493"/>
      <c r="F5600" s="494"/>
      <c r="G5600" s="493"/>
      <c r="H5600" s="544" t="str">
        <f>IF(ISNUMBER(G5600),ROUND(0.8*G5600,2),"")</f>
        <v/>
      </c>
      <c r="I5600" s="544"/>
      <c r="J5600" s="549" t="s">
        <v>4179</v>
      </c>
    </row>
    <row r="5601" spans="1:29" ht="78" customHeight="1" x14ac:dyDescent="0.35">
      <c r="A5601" s="898" t="s">
        <v>8080</v>
      </c>
      <c r="B5601" s="898"/>
      <c r="C5601" s="898"/>
      <c r="D5601" s="898"/>
      <c r="E5601" s="898"/>
      <c r="F5601" s="898"/>
      <c r="G5601" s="349"/>
      <c r="H5601" s="410" t="str">
        <f>IF(ISNUMBER(G5601),ROUND(0.8*G5601,2),"")</f>
        <v/>
      </c>
      <c r="I5601" s="595"/>
      <c r="J5601" s="549">
        <v>44896</v>
      </c>
      <c r="N5601" s="187"/>
      <c r="O5601" s="187"/>
      <c r="P5601" s="187"/>
      <c r="Q5601" s="187"/>
      <c r="R5601" s="187"/>
      <c r="S5601" s="187"/>
      <c r="T5601" s="187"/>
      <c r="U5601" s="187"/>
      <c r="V5601" s="187"/>
      <c r="W5601" s="187"/>
      <c r="X5601" s="187"/>
      <c r="Y5601" s="187"/>
      <c r="Z5601" s="187"/>
      <c r="AA5601" s="187"/>
      <c r="AB5601" s="187"/>
      <c r="AC5601" s="187"/>
    </row>
    <row r="5602" spans="1:29" s="187" customFormat="1" ht="30" customHeight="1" x14ac:dyDescent="0.35">
      <c r="A5602" s="898" t="s">
        <v>3073</v>
      </c>
      <c r="B5602" s="898"/>
      <c r="C5602" s="898"/>
      <c r="D5602" s="898"/>
      <c r="E5602" s="898"/>
      <c r="F5602" s="898"/>
      <c r="G5602" s="349"/>
      <c r="H5602" s="410" t="str">
        <f>IF(ISNUMBER(G5602),ROUND(0.8*G5602,2),"")</f>
        <v/>
      </c>
      <c r="I5602" s="595"/>
      <c r="J5602" s="549" t="s">
        <v>4179</v>
      </c>
      <c r="M5602"/>
    </row>
    <row r="5603" spans="1:29" s="187" customFormat="1" ht="30" customHeight="1" x14ac:dyDescent="0.35">
      <c r="A5603" s="898" t="s">
        <v>8088</v>
      </c>
      <c r="B5603" s="898"/>
      <c r="C5603" s="898"/>
      <c r="D5603" s="898"/>
      <c r="E5603" s="898"/>
      <c r="F5603" s="898"/>
      <c r="G5603" s="349"/>
      <c r="H5603" s="410"/>
      <c r="I5603" s="595"/>
      <c r="J5603" s="549">
        <v>44896</v>
      </c>
      <c r="M5603"/>
    </row>
    <row r="5604" spans="1:29" s="187" customFormat="1" x14ac:dyDescent="0.35">
      <c r="A5604"/>
      <c r="B5604"/>
      <c r="C5604"/>
      <c r="D5604"/>
      <c r="E5604"/>
      <c r="F5604" s="387"/>
      <c r="G5604" s="11"/>
      <c r="H5604" s="11" t="str">
        <f>IF(ISNUMBER(G5604),ROUND(0.8*G5604,2),"")</f>
        <v/>
      </c>
      <c r="I5604" s="565"/>
      <c r="J5604" s="549" t="s">
        <v>4179</v>
      </c>
      <c r="M5604"/>
      <c r="N5604"/>
      <c r="O5604"/>
      <c r="P5604"/>
      <c r="Q5604"/>
      <c r="R5604"/>
      <c r="S5604"/>
      <c r="T5604"/>
      <c r="U5604"/>
      <c r="V5604"/>
      <c r="W5604"/>
      <c r="X5604"/>
      <c r="Y5604"/>
      <c r="Z5604"/>
      <c r="AA5604"/>
      <c r="AB5604"/>
      <c r="AC5604"/>
    </row>
    <row r="5605" spans="1:29" ht="285.75" customHeight="1" x14ac:dyDescent="0.35">
      <c r="A5605" s="897" t="s">
        <v>8081</v>
      </c>
      <c r="B5605" s="897"/>
      <c r="C5605" s="897"/>
      <c r="D5605" s="897"/>
      <c r="E5605" s="897"/>
      <c r="F5605" s="897"/>
      <c r="G5605" s="350"/>
      <c r="H5605" s="414"/>
      <c r="I5605" s="605"/>
      <c r="J5605" s="549">
        <v>44592</v>
      </c>
    </row>
    <row r="5606" spans="1:29" x14ac:dyDescent="0.35">
      <c r="J5606" s="549" t="s">
        <v>4179</v>
      </c>
    </row>
    <row r="5607" spans="1:29" x14ac:dyDescent="0.35">
      <c r="A5607" s="495" t="s">
        <v>6102</v>
      </c>
      <c r="B5607" s="356" t="s">
        <v>2269</v>
      </c>
      <c r="C5607" s="356"/>
      <c r="D5607" s="356" t="s">
        <v>7820</v>
      </c>
      <c r="E5607" s="356"/>
      <c r="F5607" s="369">
        <v>0</v>
      </c>
      <c r="G5607" s="357">
        <v>0</v>
      </c>
      <c r="H5607" s="357">
        <v>0</v>
      </c>
      <c r="I5607" s="573"/>
      <c r="J5607" s="549">
        <v>44592</v>
      </c>
    </row>
    <row r="5608" spans="1:29" x14ac:dyDescent="0.35">
      <c r="A5608" s="495" t="s">
        <v>6103</v>
      </c>
      <c r="B5608" s="356" t="s">
        <v>5547</v>
      </c>
      <c r="C5608" s="356"/>
      <c r="D5608" s="356" t="s">
        <v>7820</v>
      </c>
      <c r="E5608" s="356"/>
      <c r="F5608" s="369">
        <v>0</v>
      </c>
      <c r="G5608" s="357">
        <v>0</v>
      </c>
      <c r="H5608" s="357">
        <v>0</v>
      </c>
      <c r="I5608" s="573"/>
      <c r="J5608" s="549">
        <v>44592</v>
      </c>
    </row>
    <row r="5609" spans="1:29" x14ac:dyDescent="0.35">
      <c r="A5609" s="495" t="s">
        <v>6104</v>
      </c>
      <c r="B5609" s="356" t="s">
        <v>5405</v>
      </c>
      <c r="C5609" s="356"/>
      <c r="D5609" s="356" t="s">
        <v>7820</v>
      </c>
      <c r="E5609" s="356"/>
      <c r="F5609" s="369">
        <v>0</v>
      </c>
      <c r="G5609" s="357">
        <v>0</v>
      </c>
      <c r="H5609" s="357">
        <v>0</v>
      </c>
      <c r="I5609" s="573"/>
      <c r="J5609" s="549">
        <v>44592</v>
      </c>
    </row>
    <row r="5610" spans="1:29" x14ac:dyDescent="0.35">
      <c r="A5610" s="495" t="s">
        <v>6105</v>
      </c>
      <c r="B5610" s="356" t="s">
        <v>5410</v>
      </c>
      <c r="C5610" s="356"/>
      <c r="D5610" s="356" t="s">
        <v>7820</v>
      </c>
      <c r="E5610" s="356"/>
      <c r="F5610" s="369">
        <v>0</v>
      </c>
      <c r="G5610" s="357">
        <v>0</v>
      </c>
      <c r="H5610" s="357">
        <v>0</v>
      </c>
      <c r="I5610" s="573"/>
      <c r="J5610" s="549">
        <v>44592</v>
      </c>
    </row>
    <row r="5611" spans="1:29" x14ac:dyDescent="0.35">
      <c r="A5611" s="495" t="s">
        <v>6106</v>
      </c>
      <c r="B5611" s="356" t="s">
        <v>5411</v>
      </c>
      <c r="C5611" s="356"/>
      <c r="D5611" s="356" t="s">
        <v>7820</v>
      </c>
      <c r="E5611" s="356"/>
      <c r="F5611" s="369">
        <v>0</v>
      </c>
      <c r="G5611" s="357">
        <v>0</v>
      </c>
      <c r="H5611" s="357">
        <v>0</v>
      </c>
      <c r="I5611" s="573"/>
      <c r="J5611" s="549">
        <v>44592</v>
      </c>
    </row>
    <row r="5612" spans="1:29" x14ac:dyDescent="0.35">
      <c r="A5612" s="495" t="s">
        <v>6107</v>
      </c>
      <c r="B5612" s="356" t="s">
        <v>2034</v>
      </c>
      <c r="C5612" s="356"/>
      <c r="D5612" s="356" t="s">
        <v>7820</v>
      </c>
      <c r="E5612" s="356"/>
      <c r="F5612" s="369">
        <v>0</v>
      </c>
      <c r="G5612" s="357">
        <v>0</v>
      </c>
      <c r="H5612" s="357">
        <v>0</v>
      </c>
      <c r="I5612" s="573"/>
      <c r="J5612" s="549">
        <v>44592</v>
      </c>
    </row>
    <row r="5613" spans="1:29" x14ac:dyDescent="0.35">
      <c r="A5613" s="495" t="s">
        <v>6108</v>
      </c>
      <c r="B5613" s="356" t="s">
        <v>3373</v>
      </c>
      <c r="C5613" s="356"/>
      <c r="D5613" s="356" t="s">
        <v>7820</v>
      </c>
      <c r="E5613" s="356"/>
      <c r="F5613" s="369">
        <v>0</v>
      </c>
      <c r="G5613" s="357">
        <v>0</v>
      </c>
      <c r="H5613" s="357">
        <v>0</v>
      </c>
      <c r="I5613" s="573"/>
      <c r="J5613" s="549">
        <v>44592</v>
      </c>
    </row>
    <row r="5614" spans="1:29" x14ac:dyDescent="0.35">
      <c r="A5614" s="495" t="s">
        <v>6109</v>
      </c>
      <c r="B5614" s="356" t="s">
        <v>3389</v>
      </c>
      <c r="C5614" s="356"/>
      <c r="D5614" s="356" t="s">
        <v>7820</v>
      </c>
      <c r="E5614" s="356"/>
      <c r="F5614" s="369">
        <v>0</v>
      </c>
      <c r="G5614" s="357">
        <v>0</v>
      </c>
      <c r="H5614" s="357">
        <v>0</v>
      </c>
      <c r="I5614" s="573"/>
      <c r="J5614" s="549">
        <v>44592</v>
      </c>
    </row>
    <row r="5615" spans="1:29" x14ac:dyDescent="0.35">
      <c r="A5615" s="495" t="s">
        <v>6110</v>
      </c>
      <c r="B5615" s="356" t="s">
        <v>740</v>
      </c>
      <c r="C5615" s="356"/>
      <c r="D5615" s="356" t="s">
        <v>7820</v>
      </c>
      <c r="E5615" s="356"/>
      <c r="F5615" s="369">
        <v>0</v>
      </c>
      <c r="G5615" s="357">
        <v>0</v>
      </c>
      <c r="H5615" s="357">
        <v>0</v>
      </c>
      <c r="I5615" s="573"/>
      <c r="J5615" s="549">
        <v>44592</v>
      </c>
    </row>
    <row r="5616" spans="1:29" x14ac:dyDescent="0.35">
      <c r="A5616" s="495" t="s">
        <v>6111</v>
      </c>
      <c r="B5616" s="356" t="s">
        <v>5434</v>
      </c>
      <c r="C5616" s="356"/>
      <c r="D5616" s="356" t="s">
        <v>7820</v>
      </c>
      <c r="E5616" s="356"/>
      <c r="F5616" s="369">
        <v>0</v>
      </c>
      <c r="G5616" s="357">
        <v>0</v>
      </c>
      <c r="H5616" s="357">
        <v>0</v>
      </c>
      <c r="I5616" s="618"/>
      <c r="J5616" s="549">
        <v>44592</v>
      </c>
    </row>
    <row r="5617" spans="1:10" x14ac:dyDescent="0.35">
      <c r="J5617" s="549"/>
    </row>
    <row r="5618" spans="1:10" x14ac:dyDescent="0.35">
      <c r="A5618" s="495" t="s">
        <v>5769</v>
      </c>
      <c r="B5618" s="356" t="s">
        <v>2269</v>
      </c>
      <c r="C5618" s="356"/>
      <c r="D5618" s="356" t="s">
        <v>7820</v>
      </c>
      <c r="E5618" s="356"/>
      <c r="F5618" s="369">
        <v>0</v>
      </c>
      <c r="G5618" s="357">
        <v>0</v>
      </c>
      <c r="H5618" s="357">
        <v>0</v>
      </c>
      <c r="I5618" s="573"/>
      <c r="J5618" s="549">
        <v>44592</v>
      </c>
    </row>
    <row r="5619" spans="1:10" x14ac:dyDescent="0.35">
      <c r="A5619" s="495" t="s">
        <v>5770</v>
      </c>
      <c r="B5619" s="356" t="s">
        <v>5547</v>
      </c>
      <c r="C5619" s="356"/>
      <c r="D5619" s="356" t="s">
        <v>7820</v>
      </c>
      <c r="E5619" s="356"/>
      <c r="F5619" s="369">
        <v>0</v>
      </c>
      <c r="G5619" s="357">
        <v>0</v>
      </c>
      <c r="H5619" s="357">
        <v>0</v>
      </c>
      <c r="I5619" s="573"/>
      <c r="J5619" s="549">
        <v>44592</v>
      </c>
    </row>
    <row r="5620" spans="1:10" x14ac:dyDescent="0.35">
      <c r="A5620" s="495" t="s">
        <v>5771</v>
      </c>
      <c r="B5620" s="356" t="s">
        <v>5405</v>
      </c>
      <c r="C5620" s="356"/>
      <c r="D5620" s="356" t="s">
        <v>7820</v>
      </c>
      <c r="E5620" s="356"/>
      <c r="F5620" s="369">
        <v>0</v>
      </c>
      <c r="G5620" s="357">
        <v>0</v>
      </c>
      <c r="H5620" s="357">
        <v>0</v>
      </c>
      <c r="I5620" s="573"/>
      <c r="J5620" s="549">
        <v>44592</v>
      </c>
    </row>
    <row r="5621" spans="1:10" x14ac:dyDescent="0.35">
      <c r="A5621" s="495" t="s">
        <v>5772</v>
      </c>
      <c r="B5621" s="356" t="s">
        <v>5410</v>
      </c>
      <c r="C5621" s="356"/>
      <c r="D5621" s="356" t="s">
        <v>7820</v>
      </c>
      <c r="E5621" s="356"/>
      <c r="F5621" s="369">
        <v>0</v>
      </c>
      <c r="G5621" s="357">
        <v>0</v>
      </c>
      <c r="H5621" s="357">
        <v>0</v>
      </c>
      <c r="I5621" s="573"/>
      <c r="J5621" s="549">
        <v>44592</v>
      </c>
    </row>
    <row r="5622" spans="1:10" x14ac:dyDescent="0.35">
      <c r="A5622" s="495" t="s">
        <v>5773</v>
      </c>
      <c r="B5622" s="356" t="s">
        <v>5411</v>
      </c>
      <c r="C5622" s="356"/>
      <c r="D5622" s="356" t="s">
        <v>7820</v>
      </c>
      <c r="E5622" s="356"/>
      <c r="F5622" s="369">
        <v>0</v>
      </c>
      <c r="G5622" s="357">
        <v>0</v>
      </c>
      <c r="H5622" s="357">
        <v>0</v>
      </c>
      <c r="I5622" s="573"/>
      <c r="J5622" s="549">
        <v>44592</v>
      </c>
    </row>
    <row r="5623" spans="1:10" x14ac:dyDescent="0.35">
      <c r="A5623" s="495" t="s">
        <v>5774</v>
      </c>
      <c r="B5623" s="356" t="s">
        <v>2034</v>
      </c>
      <c r="C5623" s="356"/>
      <c r="D5623" s="356" t="s">
        <v>7820</v>
      </c>
      <c r="E5623" s="356"/>
      <c r="F5623" s="369">
        <v>0</v>
      </c>
      <c r="G5623" s="357">
        <v>0</v>
      </c>
      <c r="H5623" s="357">
        <v>0</v>
      </c>
      <c r="I5623" s="573"/>
      <c r="J5623" s="549">
        <v>44592</v>
      </c>
    </row>
    <row r="5624" spans="1:10" x14ac:dyDescent="0.35">
      <c r="A5624" s="495" t="s">
        <v>5775</v>
      </c>
      <c r="B5624" s="356" t="s">
        <v>3373</v>
      </c>
      <c r="C5624" s="356"/>
      <c r="D5624" s="356" t="s">
        <v>7820</v>
      </c>
      <c r="E5624" s="356"/>
      <c r="F5624" s="369">
        <v>0</v>
      </c>
      <c r="G5624" s="357">
        <v>0</v>
      </c>
      <c r="H5624" s="357">
        <v>0</v>
      </c>
      <c r="I5624" s="573"/>
      <c r="J5624" s="549">
        <v>44592</v>
      </c>
    </row>
    <row r="5625" spans="1:10" x14ac:dyDescent="0.35">
      <c r="A5625" s="495" t="s">
        <v>5776</v>
      </c>
      <c r="B5625" s="356" t="s">
        <v>3389</v>
      </c>
      <c r="C5625" s="356"/>
      <c r="D5625" s="356" t="s">
        <v>7820</v>
      </c>
      <c r="E5625" s="356"/>
      <c r="F5625" s="369">
        <v>0</v>
      </c>
      <c r="G5625" s="357">
        <v>0</v>
      </c>
      <c r="H5625" s="357">
        <v>0</v>
      </c>
      <c r="I5625" s="573"/>
      <c r="J5625" s="549">
        <v>44592</v>
      </c>
    </row>
    <row r="5626" spans="1:10" x14ac:dyDescent="0.35">
      <c r="A5626" s="495" t="s">
        <v>5777</v>
      </c>
      <c r="B5626" s="356" t="s">
        <v>740</v>
      </c>
      <c r="C5626" s="356"/>
      <c r="D5626" s="356" t="s">
        <v>7820</v>
      </c>
      <c r="E5626" s="356"/>
      <c r="F5626" s="369">
        <v>0</v>
      </c>
      <c r="G5626" s="357">
        <v>0</v>
      </c>
      <c r="H5626" s="357">
        <v>0</v>
      </c>
      <c r="I5626" s="573"/>
      <c r="J5626" s="549">
        <v>44592</v>
      </c>
    </row>
    <row r="5627" spans="1:10" x14ac:dyDescent="0.35">
      <c r="A5627" s="495" t="s">
        <v>5778</v>
      </c>
      <c r="B5627" s="356" t="s">
        <v>5434</v>
      </c>
      <c r="C5627" s="356"/>
      <c r="D5627" s="356" t="s">
        <v>7820</v>
      </c>
      <c r="E5627" s="356"/>
      <c r="F5627" s="369">
        <v>0</v>
      </c>
      <c r="G5627" s="357">
        <v>0</v>
      </c>
      <c r="H5627" s="357">
        <v>0</v>
      </c>
      <c r="I5627" s="618"/>
      <c r="J5627" s="549">
        <v>44592</v>
      </c>
    </row>
    <row r="5628" spans="1:10" x14ac:dyDescent="0.35">
      <c r="G5628" s="807"/>
      <c r="H5628"/>
      <c r="I5628"/>
      <c r="J5628"/>
    </row>
    <row r="5629" spans="1:10" ht="99.75" customHeight="1" x14ac:dyDescent="0.35">
      <c r="A5629" s="896" t="s">
        <v>7441</v>
      </c>
      <c r="B5629" s="896"/>
      <c r="C5629" s="896"/>
      <c r="D5629" s="896"/>
      <c r="E5629" s="896"/>
      <c r="F5629" s="896"/>
      <c r="G5629" s="350"/>
      <c r="H5629" s="414"/>
      <c r="I5629" s="605"/>
      <c r="J5629" s="549" t="s">
        <v>5804</v>
      </c>
    </row>
    <row r="5630" spans="1:10" x14ac:dyDescent="0.35">
      <c r="G5630" s="807"/>
      <c r="H5630"/>
      <c r="I5630"/>
      <c r="J5630"/>
    </row>
    <row r="5631" spans="1:10" x14ac:dyDescent="0.35">
      <c r="A5631" s="495" t="s">
        <v>171</v>
      </c>
      <c r="B5631" s="356" t="s">
        <v>5547</v>
      </c>
      <c r="C5631" s="356"/>
      <c r="D5631" s="356" t="s">
        <v>183</v>
      </c>
      <c r="E5631" s="356"/>
      <c r="F5631" s="369">
        <v>0</v>
      </c>
      <c r="G5631" s="357">
        <v>0</v>
      </c>
      <c r="H5631" s="357">
        <v>0</v>
      </c>
      <c r="I5631" s="618"/>
      <c r="J5631" s="549" t="s">
        <v>5804</v>
      </c>
    </row>
    <row r="5632" spans="1:10" x14ac:dyDescent="0.35">
      <c r="G5632" s="807"/>
      <c r="H5632"/>
      <c r="I5632"/>
      <c r="J5632"/>
    </row>
    <row r="5633" spans="1:10" ht="45.75" customHeight="1" x14ac:dyDescent="0.35">
      <c r="A5633" s="896" t="s">
        <v>34</v>
      </c>
      <c r="B5633" s="896"/>
      <c r="C5633" s="896"/>
      <c r="D5633" s="896"/>
      <c r="E5633" s="896"/>
      <c r="F5633" s="896"/>
      <c r="G5633" s="350"/>
      <c r="H5633" s="414" t="str">
        <f>IF(ISNUMBER(G5633),ROUND(0.8*G5633,2),"")</f>
        <v/>
      </c>
      <c r="I5633" s="605"/>
      <c r="J5633" s="549" t="s">
        <v>5804</v>
      </c>
    </row>
    <row r="5634" spans="1:10" x14ac:dyDescent="0.35">
      <c r="G5634" s="807"/>
      <c r="H5634"/>
      <c r="I5634"/>
      <c r="J5634"/>
    </row>
    <row r="5635" spans="1:10" x14ac:dyDescent="0.35">
      <c r="A5635" s="495" t="s">
        <v>249</v>
      </c>
      <c r="B5635" s="356" t="s">
        <v>2269</v>
      </c>
      <c r="C5635" s="356"/>
      <c r="D5635" s="356" t="s">
        <v>313</v>
      </c>
      <c r="E5635" s="356"/>
      <c r="F5635" s="369">
        <v>0</v>
      </c>
      <c r="G5635" s="357">
        <v>0</v>
      </c>
      <c r="H5635" s="357">
        <v>0</v>
      </c>
      <c r="I5635" s="618"/>
      <c r="J5635" s="549" t="s">
        <v>5804</v>
      </c>
    </row>
    <row r="5636" spans="1:10" x14ac:dyDescent="0.35">
      <c r="A5636" s="495" t="s">
        <v>250</v>
      </c>
      <c r="B5636" s="356" t="s">
        <v>5547</v>
      </c>
      <c r="C5636" s="356"/>
      <c r="D5636" s="356" t="s">
        <v>313</v>
      </c>
      <c r="E5636" s="356"/>
      <c r="F5636" s="369">
        <v>0</v>
      </c>
      <c r="G5636" s="357">
        <v>0</v>
      </c>
      <c r="H5636" s="357">
        <v>0</v>
      </c>
      <c r="I5636" s="618"/>
      <c r="J5636" s="549" t="s">
        <v>5804</v>
      </c>
    </row>
    <row r="5637" spans="1:10" x14ac:dyDescent="0.35">
      <c r="A5637" s="495" t="s">
        <v>251</v>
      </c>
      <c r="B5637" s="356" t="s">
        <v>4846</v>
      </c>
      <c r="C5637" s="356"/>
      <c r="D5637" s="356" t="s">
        <v>313</v>
      </c>
      <c r="E5637" s="356"/>
      <c r="F5637" s="369">
        <v>0</v>
      </c>
      <c r="G5637" s="357">
        <v>0</v>
      </c>
      <c r="H5637" s="357">
        <v>0</v>
      </c>
      <c r="I5637" s="618"/>
      <c r="J5637" s="549" t="s">
        <v>5804</v>
      </c>
    </row>
    <row r="5638" spans="1:10" x14ac:dyDescent="0.35">
      <c r="A5638" s="495" t="s">
        <v>252</v>
      </c>
      <c r="B5638" s="356" t="s">
        <v>5405</v>
      </c>
      <c r="C5638" s="356"/>
      <c r="D5638" s="356" t="s">
        <v>313</v>
      </c>
      <c r="E5638" s="356"/>
      <c r="F5638" s="369">
        <v>0</v>
      </c>
      <c r="G5638" s="357">
        <v>0</v>
      </c>
      <c r="H5638" s="357">
        <v>0</v>
      </c>
      <c r="I5638" s="618"/>
      <c r="J5638" s="549" t="s">
        <v>5804</v>
      </c>
    </row>
    <row r="5639" spans="1:10" x14ac:dyDescent="0.35">
      <c r="A5639" s="495" t="s">
        <v>253</v>
      </c>
      <c r="B5639" s="356" t="s">
        <v>5410</v>
      </c>
      <c r="C5639" s="356"/>
      <c r="D5639" s="356" t="s">
        <v>313</v>
      </c>
      <c r="E5639" s="356"/>
      <c r="F5639" s="369">
        <v>0</v>
      </c>
      <c r="G5639" s="357">
        <v>0</v>
      </c>
      <c r="H5639" s="357">
        <v>0</v>
      </c>
      <c r="I5639" s="618"/>
      <c r="J5639" s="549" t="s">
        <v>5804</v>
      </c>
    </row>
    <row r="5640" spans="1:10" x14ac:dyDescent="0.35">
      <c r="A5640" s="495" t="s">
        <v>254</v>
      </c>
      <c r="B5640" s="356" t="s">
        <v>5411</v>
      </c>
      <c r="C5640" s="356"/>
      <c r="D5640" s="356" t="s">
        <v>313</v>
      </c>
      <c r="E5640" s="356"/>
      <c r="F5640" s="369">
        <v>0</v>
      </c>
      <c r="G5640" s="357">
        <v>0</v>
      </c>
      <c r="H5640" s="357">
        <v>0</v>
      </c>
      <c r="I5640" s="618"/>
      <c r="J5640" s="549" t="s">
        <v>5804</v>
      </c>
    </row>
    <row r="5641" spans="1:10" x14ac:dyDescent="0.35">
      <c r="A5641" s="495" t="s">
        <v>255</v>
      </c>
      <c r="B5641" s="356" t="s">
        <v>2034</v>
      </c>
      <c r="C5641" s="356"/>
      <c r="D5641" s="356" t="s">
        <v>313</v>
      </c>
      <c r="E5641" s="356"/>
      <c r="F5641" s="369">
        <v>0</v>
      </c>
      <c r="G5641" s="357">
        <v>0</v>
      </c>
      <c r="H5641" s="357">
        <v>0</v>
      </c>
      <c r="I5641" s="618"/>
      <c r="J5641" s="549" t="s">
        <v>5804</v>
      </c>
    </row>
    <row r="5642" spans="1:10" x14ac:dyDescent="0.35">
      <c r="A5642" s="495" t="s">
        <v>256</v>
      </c>
      <c r="B5642" s="356" t="s">
        <v>2067</v>
      </c>
      <c r="C5642" s="356"/>
      <c r="D5642" s="356" t="s">
        <v>313</v>
      </c>
      <c r="E5642" s="356"/>
      <c r="F5642" s="369">
        <v>0</v>
      </c>
      <c r="G5642" s="357">
        <v>0</v>
      </c>
      <c r="H5642" s="357">
        <v>0</v>
      </c>
      <c r="I5642" s="618"/>
      <c r="J5642" s="549" t="s">
        <v>5804</v>
      </c>
    </row>
    <row r="5643" spans="1:10" x14ac:dyDescent="0.35">
      <c r="A5643" s="495" t="s">
        <v>257</v>
      </c>
      <c r="B5643" s="356" t="s">
        <v>3373</v>
      </c>
      <c r="C5643" s="356"/>
      <c r="D5643" s="356" t="s">
        <v>313</v>
      </c>
      <c r="E5643" s="356"/>
      <c r="F5643" s="369">
        <v>0</v>
      </c>
      <c r="G5643" s="357">
        <v>0</v>
      </c>
      <c r="H5643" s="357">
        <v>0</v>
      </c>
      <c r="I5643" s="618"/>
      <c r="J5643" s="549" t="s">
        <v>5804</v>
      </c>
    </row>
    <row r="5644" spans="1:10" x14ac:dyDescent="0.35">
      <c r="A5644" s="495" t="s">
        <v>258</v>
      </c>
      <c r="B5644" s="356" t="s">
        <v>3381</v>
      </c>
      <c r="C5644" s="356"/>
      <c r="D5644" s="356" t="s">
        <v>313</v>
      </c>
      <c r="E5644" s="356"/>
      <c r="F5644" s="369">
        <v>0</v>
      </c>
      <c r="G5644" s="357">
        <v>0</v>
      </c>
      <c r="H5644" s="357">
        <v>0</v>
      </c>
      <c r="I5644" s="618"/>
      <c r="J5644" s="549" t="s">
        <v>5804</v>
      </c>
    </row>
    <row r="5645" spans="1:10" x14ac:dyDescent="0.35">
      <c r="A5645" s="495" t="s">
        <v>259</v>
      </c>
      <c r="B5645" s="356" t="s">
        <v>3389</v>
      </c>
      <c r="C5645" s="356"/>
      <c r="D5645" s="356" t="s">
        <v>313</v>
      </c>
      <c r="E5645" s="356"/>
      <c r="F5645" s="369">
        <v>0</v>
      </c>
      <c r="G5645" s="357">
        <v>0</v>
      </c>
      <c r="H5645" s="357">
        <v>0</v>
      </c>
      <c r="I5645" s="618"/>
      <c r="J5645" s="549" t="s">
        <v>5804</v>
      </c>
    </row>
    <row r="5646" spans="1:10" x14ac:dyDescent="0.35">
      <c r="A5646" s="495" t="s">
        <v>260</v>
      </c>
      <c r="B5646" s="356" t="s">
        <v>740</v>
      </c>
      <c r="C5646" s="356"/>
      <c r="D5646" s="356" t="s">
        <v>313</v>
      </c>
      <c r="E5646" s="356"/>
      <c r="F5646" s="369">
        <v>0</v>
      </c>
      <c r="G5646" s="357">
        <v>0</v>
      </c>
      <c r="H5646" s="357">
        <v>0</v>
      </c>
      <c r="I5646" s="618"/>
      <c r="J5646" s="549" t="s">
        <v>5804</v>
      </c>
    </row>
    <row r="5647" spans="1:10" x14ac:dyDescent="0.35">
      <c r="A5647" s="495" t="s">
        <v>261</v>
      </c>
      <c r="B5647" s="356" t="s">
        <v>5434</v>
      </c>
      <c r="C5647" s="356"/>
      <c r="D5647" s="356" t="s">
        <v>313</v>
      </c>
      <c r="E5647" s="356"/>
      <c r="F5647" s="369">
        <v>0</v>
      </c>
      <c r="G5647" s="357">
        <v>0</v>
      </c>
      <c r="H5647" s="357">
        <v>0</v>
      </c>
      <c r="I5647" s="618"/>
      <c r="J5647" s="549" t="s">
        <v>5804</v>
      </c>
    </row>
    <row r="5648" spans="1:10" x14ac:dyDescent="0.35">
      <c r="A5648" s="495" t="s">
        <v>270</v>
      </c>
      <c r="B5648" s="356" t="s">
        <v>5434</v>
      </c>
      <c r="C5648" s="356"/>
      <c r="D5648" s="356" t="s">
        <v>313</v>
      </c>
      <c r="E5648" s="356" t="s">
        <v>1053</v>
      </c>
      <c r="F5648" s="369">
        <v>0</v>
      </c>
      <c r="G5648" s="357">
        <v>0</v>
      </c>
      <c r="H5648" s="357">
        <v>0</v>
      </c>
      <c r="I5648" s="618"/>
      <c r="J5648" s="549" t="s">
        <v>5804</v>
      </c>
    </row>
    <row r="5649" spans="1:10" x14ac:dyDescent="0.35">
      <c r="F5649" s="666"/>
      <c r="G5649" s="807"/>
      <c r="H5649"/>
      <c r="I5649"/>
      <c r="J5649" s="549"/>
    </row>
    <row r="5650" spans="1:10" ht="77.150000000000006" customHeight="1" x14ac:dyDescent="0.35">
      <c r="A5650" s="896" t="s">
        <v>8154</v>
      </c>
      <c r="B5650" s="896"/>
      <c r="C5650" s="896"/>
      <c r="D5650" s="896"/>
      <c r="E5650" s="896"/>
      <c r="F5650" s="896"/>
      <c r="G5650" s="350"/>
      <c r="H5650" s="414" t="str">
        <f>IF(ISNUMBER(G5650),ROUND(0.8*G5650,2),"")</f>
        <v/>
      </c>
      <c r="I5650" s="605"/>
      <c r="J5650" s="549">
        <v>44938</v>
      </c>
    </row>
    <row r="5651" spans="1:10" x14ac:dyDescent="0.35">
      <c r="F5651" s="666"/>
      <c r="G5651" s="807"/>
      <c r="H5651"/>
      <c r="I5651"/>
      <c r="J5651" s="549"/>
    </row>
    <row r="5652" spans="1:10" x14ac:dyDescent="0.35">
      <c r="A5652" s="527" t="s">
        <v>7416</v>
      </c>
      <c r="B5652" s="526" t="s">
        <v>2269</v>
      </c>
      <c r="C5652" s="526"/>
      <c r="D5652" s="526" t="s">
        <v>7429</v>
      </c>
      <c r="E5652" s="526"/>
      <c r="F5652" s="538">
        <v>0</v>
      </c>
      <c r="G5652" s="538">
        <v>0</v>
      </c>
      <c r="H5652" s="538">
        <f t="shared" ref="H5652:H5664" si="1799">IF(ISNUMBER(G5652),ROUND(0.8*G5652,2),"")</f>
        <v>0</v>
      </c>
      <c r="I5652" s="831"/>
      <c r="J5652" s="549">
        <v>45281</v>
      </c>
    </row>
    <row r="5653" spans="1:10" x14ac:dyDescent="0.35">
      <c r="A5653" s="527" t="s">
        <v>7417</v>
      </c>
      <c r="B5653" s="526" t="s">
        <v>5547</v>
      </c>
      <c r="C5653" s="526"/>
      <c r="D5653" s="526" t="s">
        <v>7429</v>
      </c>
      <c r="E5653" s="526"/>
      <c r="F5653" s="538">
        <v>0</v>
      </c>
      <c r="G5653" s="538">
        <v>0</v>
      </c>
      <c r="H5653" s="538">
        <f t="shared" si="1799"/>
        <v>0</v>
      </c>
      <c r="I5653" s="831"/>
      <c r="J5653" s="549">
        <v>45281</v>
      </c>
    </row>
    <row r="5654" spans="1:10" x14ac:dyDescent="0.35">
      <c r="A5654" s="527" t="s">
        <v>7418</v>
      </c>
      <c r="B5654" s="526" t="s">
        <v>4846</v>
      </c>
      <c r="C5654" s="526"/>
      <c r="D5654" s="526" t="s">
        <v>7429</v>
      </c>
      <c r="E5654" s="526"/>
      <c r="F5654" s="538">
        <v>0</v>
      </c>
      <c r="G5654" s="538">
        <v>0</v>
      </c>
      <c r="H5654" s="538">
        <f t="shared" si="1799"/>
        <v>0</v>
      </c>
      <c r="I5654" s="831"/>
      <c r="J5654" s="549">
        <v>45281</v>
      </c>
    </row>
    <row r="5655" spans="1:10" x14ac:dyDescent="0.35">
      <c r="A5655" s="527" t="s">
        <v>7419</v>
      </c>
      <c r="B5655" s="526" t="s">
        <v>5405</v>
      </c>
      <c r="C5655" s="526"/>
      <c r="D5655" s="526" t="s">
        <v>7429</v>
      </c>
      <c r="E5655" s="526"/>
      <c r="F5655" s="538">
        <v>0</v>
      </c>
      <c r="G5655" s="538">
        <v>0</v>
      </c>
      <c r="H5655" s="538">
        <f t="shared" si="1799"/>
        <v>0</v>
      </c>
      <c r="I5655" s="831"/>
      <c r="J5655" s="549">
        <v>45281</v>
      </c>
    </row>
    <row r="5656" spans="1:10" x14ac:dyDescent="0.35">
      <c r="A5656" s="527" t="s">
        <v>7420</v>
      </c>
      <c r="B5656" s="526" t="s">
        <v>5410</v>
      </c>
      <c r="C5656" s="526"/>
      <c r="D5656" s="526" t="s">
        <v>7429</v>
      </c>
      <c r="E5656" s="526"/>
      <c r="F5656" s="538">
        <v>0</v>
      </c>
      <c r="G5656" s="538">
        <v>0</v>
      </c>
      <c r="H5656" s="538">
        <f t="shared" si="1799"/>
        <v>0</v>
      </c>
      <c r="I5656" s="831"/>
      <c r="J5656" s="549">
        <v>45281</v>
      </c>
    </row>
    <row r="5657" spans="1:10" x14ac:dyDescent="0.35">
      <c r="A5657" s="527" t="s">
        <v>7421</v>
      </c>
      <c r="B5657" s="526" t="s">
        <v>5411</v>
      </c>
      <c r="C5657" s="526"/>
      <c r="D5657" s="526" t="s">
        <v>7429</v>
      </c>
      <c r="E5657" s="526"/>
      <c r="F5657" s="538">
        <v>0</v>
      </c>
      <c r="G5657" s="538">
        <v>0</v>
      </c>
      <c r="H5657" s="538">
        <f t="shared" si="1799"/>
        <v>0</v>
      </c>
      <c r="I5657" s="831"/>
      <c r="J5657" s="549">
        <v>45281</v>
      </c>
    </row>
    <row r="5658" spans="1:10" x14ac:dyDescent="0.35">
      <c r="A5658" s="527" t="s">
        <v>7422</v>
      </c>
      <c r="B5658" s="526" t="s">
        <v>2034</v>
      </c>
      <c r="C5658" s="526"/>
      <c r="D5658" s="526" t="s">
        <v>7429</v>
      </c>
      <c r="E5658" s="526"/>
      <c r="F5658" s="538">
        <v>0</v>
      </c>
      <c r="G5658" s="538">
        <v>0</v>
      </c>
      <c r="H5658" s="538">
        <f t="shared" si="1799"/>
        <v>0</v>
      </c>
      <c r="I5658" s="831"/>
      <c r="J5658" s="549">
        <v>45281</v>
      </c>
    </row>
    <row r="5659" spans="1:10" x14ac:dyDescent="0.35">
      <c r="A5659" s="527" t="s">
        <v>7423</v>
      </c>
      <c r="B5659" s="526" t="s">
        <v>2067</v>
      </c>
      <c r="C5659" s="526"/>
      <c r="D5659" s="526" t="s">
        <v>7429</v>
      </c>
      <c r="E5659" s="526"/>
      <c r="F5659" s="538">
        <v>0</v>
      </c>
      <c r="G5659" s="538">
        <v>0</v>
      </c>
      <c r="H5659" s="538">
        <f t="shared" si="1799"/>
        <v>0</v>
      </c>
      <c r="I5659" s="831"/>
      <c r="J5659" s="549">
        <v>45281</v>
      </c>
    </row>
    <row r="5660" spans="1:10" x14ac:dyDescent="0.35">
      <c r="A5660" s="527" t="s">
        <v>7424</v>
      </c>
      <c r="B5660" s="526" t="s">
        <v>3373</v>
      </c>
      <c r="C5660" s="526"/>
      <c r="D5660" s="526" t="s">
        <v>7429</v>
      </c>
      <c r="E5660" s="526"/>
      <c r="F5660" s="538">
        <v>0</v>
      </c>
      <c r="G5660" s="538">
        <v>0</v>
      </c>
      <c r="H5660" s="538">
        <f t="shared" si="1799"/>
        <v>0</v>
      </c>
      <c r="I5660" s="831"/>
      <c r="J5660" s="549">
        <v>45281</v>
      </c>
    </row>
    <row r="5661" spans="1:10" x14ac:dyDescent="0.35">
      <c r="A5661" s="527" t="s">
        <v>7425</v>
      </c>
      <c r="B5661" s="526" t="s">
        <v>3381</v>
      </c>
      <c r="C5661" s="526"/>
      <c r="D5661" s="526" t="s">
        <v>7429</v>
      </c>
      <c r="E5661" s="526"/>
      <c r="F5661" s="538">
        <v>0</v>
      </c>
      <c r="G5661" s="538">
        <v>0</v>
      </c>
      <c r="H5661" s="538">
        <f t="shared" si="1799"/>
        <v>0</v>
      </c>
      <c r="I5661" s="831"/>
      <c r="J5661" s="549">
        <v>45281</v>
      </c>
    </row>
    <row r="5662" spans="1:10" x14ac:dyDescent="0.35">
      <c r="A5662" s="527" t="s">
        <v>7426</v>
      </c>
      <c r="B5662" s="526" t="s">
        <v>3389</v>
      </c>
      <c r="C5662" s="526"/>
      <c r="D5662" s="526" t="s">
        <v>7429</v>
      </c>
      <c r="E5662" s="526"/>
      <c r="F5662" s="538">
        <v>0</v>
      </c>
      <c r="G5662" s="538">
        <v>0</v>
      </c>
      <c r="H5662" s="538">
        <f t="shared" si="1799"/>
        <v>0</v>
      </c>
      <c r="I5662" s="831"/>
      <c r="J5662" s="549">
        <v>45281</v>
      </c>
    </row>
    <row r="5663" spans="1:10" x14ac:dyDescent="0.35">
      <c r="A5663" s="527" t="s">
        <v>7427</v>
      </c>
      <c r="B5663" s="526" t="s">
        <v>740</v>
      </c>
      <c r="C5663" s="526"/>
      <c r="D5663" s="526" t="s">
        <v>7429</v>
      </c>
      <c r="E5663" s="526"/>
      <c r="F5663" s="538">
        <v>0</v>
      </c>
      <c r="G5663" s="538">
        <v>0</v>
      </c>
      <c r="H5663" s="538">
        <f t="shared" si="1799"/>
        <v>0</v>
      </c>
      <c r="I5663" s="831"/>
      <c r="J5663" s="549">
        <v>45281</v>
      </c>
    </row>
    <row r="5664" spans="1:10" x14ac:dyDescent="0.35">
      <c r="A5664" s="527" t="s">
        <v>7428</v>
      </c>
      <c r="B5664" s="526" t="s">
        <v>5434</v>
      </c>
      <c r="C5664" s="526"/>
      <c r="D5664" s="526" t="s">
        <v>7429</v>
      </c>
      <c r="E5664" s="526"/>
      <c r="F5664" s="538">
        <v>0</v>
      </c>
      <c r="G5664" s="538">
        <v>0</v>
      </c>
      <c r="H5664" s="538">
        <f t="shared" si="1799"/>
        <v>0</v>
      </c>
      <c r="I5664" s="831"/>
      <c r="J5664" s="549">
        <v>45281</v>
      </c>
    </row>
    <row r="5665" spans="1:10" x14ac:dyDescent="0.35">
      <c r="G5665" s="807"/>
      <c r="H5665"/>
      <c r="I5665"/>
      <c r="J5665"/>
    </row>
    <row r="5666" spans="1:10" ht="63.75" customHeight="1" x14ac:dyDescent="0.35">
      <c r="A5666" s="897" t="s">
        <v>7440</v>
      </c>
      <c r="B5666" s="897"/>
      <c r="C5666" s="897"/>
      <c r="D5666" s="897"/>
      <c r="E5666" s="897"/>
      <c r="F5666" s="897"/>
      <c r="G5666" s="350"/>
      <c r="H5666" s="414" t="str">
        <f t="shared" ref="H5666:H5672" si="1800">IF(ISNUMBER(G5666),ROUND(0.8*G5666,2),"")</f>
        <v/>
      </c>
      <c r="I5666" s="605"/>
      <c r="J5666" s="549">
        <v>42705</v>
      </c>
    </row>
    <row r="5667" spans="1:10" x14ac:dyDescent="0.35">
      <c r="H5667" s="11" t="str">
        <f t="shared" si="1800"/>
        <v/>
      </c>
      <c r="J5667" s="549" t="s">
        <v>4179</v>
      </c>
    </row>
    <row r="5668" spans="1:10" x14ac:dyDescent="0.35">
      <c r="A5668" s="527" t="s">
        <v>6013</v>
      </c>
      <c r="B5668" s="526" t="s">
        <v>5547</v>
      </c>
      <c r="C5668" s="526"/>
      <c r="D5668" s="526" t="s">
        <v>6025</v>
      </c>
      <c r="E5668" s="526"/>
      <c r="F5668" s="538">
        <v>0</v>
      </c>
      <c r="G5668" s="538">
        <v>0</v>
      </c>
      <c r="H5668" s="538">
        <f t="shared" si="1800"/>
        <v>0</v>
      </c>
      <c r="I5668" s="831"/>
      <c r="J5668" s="549">
        <v>42705</v>
      </c>
    </row>
    <row r="5669" spans="1:10" x14ac:dyDescent="0.35">
      <c r="A5669" s="527" t="s">
        <v>6020</v>
      </c>
      <c r="B5669" s="526" t="s">
        <v>3373</v>
      </c>
      <c r="C5669" s="526"/>
      <c r="D5669" s="526" t="s">
        <v>6025</v>
      </c>
      <c r="E5669" s="526"/>
      <c r="F5669" s="538">
        <v>0</v>
      </c>
      <c r="G5669" s="538">
        <v>0</v>
      </c>
      <c r="H5669" s="538">
        <f t="shared" si="1800"/>
        <v>0</v>
      </c>
      <c r="I5669" s="831"/>
      <c r="J5669" s="549">
        <v>42705</v>
      </c>
    </row>
    <row r="5670" spans="1:10" x14ac:dyDescent="0.35">
      <c r="A5670" s="527" t="s">
        <v>6022</v>
      </c>
      <c r="B5670" s="526" t="s">
        <v>3389</v>
      </c>
      <c r="C5670" s="526"/>
      <c r="D5670" s="526" t="s">
        <v>6025</v>
      </c>
      <c r="E5670" s="526"/>
      <c r="F5670" s="538">
        <v>0</v>
      </c>
      <c r="G5670" s="538">
        <v>0</v>
      </c>
      <c r="H5670" s="538">
        <f t="shared" si="1800"/>
        <v>0</v>
      </c>
      <c r="I5670" s="831"/>
      <c r="J5670" s="549">
        <v>42705</v>
      </c>
    </row>
    <row r="5671" spans="1:10" x14ac:dyDescent="0.35">
      <c r="A5671" s="527" t="s">
        <v>6023</v>
      </c>
      <c r="B5671" s="526" t="s">
        <v>740</v>
      </c>
      <c r="C5671" s="526"/>
      <c r="D5671" s="526" t="s">
        <v>6025</v>
      </c>
      <c r="E5671" s="526"/>
      <c r="F5671" s="538">
        <v>0</v>
      </c>
      <c r="G5671" s="538">
        <v>0</v>
      </c>
      <c r="H5671" s="538">
        <f t="shared" si="1800"/>
        <v>0</v>
      </c>
      <c r="I5671" s="831"/>
      <c r="J5671" s="549">
        <v>42705</v>
      </c>
    </row>
    <row r="5672" spans="1:10" x14ac:dyDescent="0.35">
      <c r="A5672" s="527" t="s">
        <v>6024</v>
      </c>
      <c r="B5672" s="526" t="s">
        <v>5434</v>
      </c>
      <c r="C5672" s="526"/>
      <c r="D5672" s="526" t="s">
        <v>6025</v>
      </c>
      <c r="E5672" s="526"/>
      <c r="F5672" s="538">
        <v>0</v>
      </c>
      <c r="G5672" s="538">
        <v>0</v>
      </c>
      <c r="H5672" s="538">
        <f t="shared" si="1800"/>
        <v>0</v>
      </c>
      <c r="I5672" s="831"/>
      <c r="J5672" s="549">
        <v>42705</v>
      </c>
    </row>
    <row r="5673" spans="1:10" x14ac:dyDescent="0.35">
      <c r="A5673" s="874"/>
      <c r="B5673" s="874"/>
      <c r="C5673" s="874"/>
      <c r="D5673" s="874"/>
      <c r="E5673" s="874"/>
      <c r="F5673" s="875"/>
      <c r="G5673" s="874"/>
      <c r="H5673" s="807"/>
      <c r="I5673" s="874"/>
      <c r="J5673" s="874"/>
    </row>
    <row r="5674" spans="1:10" s="874" customFormat="1" ht="145.5" customHeight="1" x14ac:dyDescent="0.35">
      <c r="A5674" s="897" t="s">
        <v>8259</v>
      </c>
      <c r="B5674" s="897"/>
      <c r="C5674" s="897"/>
      <c r="D5674" s="897"/>
      <c r="E5674" s="897"/>
      <c r="F5674" s="897"/>
      <c r="G5674" s="350"/>
      <c r="H5674" s="350"/>
      <c r="I5674" s="350"/>
      <c r="J5674" s="549">
        <v>45281</v>
      </c>
    </row>
    <row r="5675" spans="1:10" s="874" customFormat="1" x14ac:dyDescent="0.35">
      <c r="F5675" s="875"/>
      <c r="H5675" s="807"/>
      <c r="J5675" s="549"/>
    </row>
    <row r="5676" spans="1:10" s="874" customFormat="1" x14ac:dyDescent="0.35">
      <c r="A5676" s="527" t="s">
        <v>6029</v>
      </c>
      <c r="B5676" s="526" t="s">
        <v>2269</v>
      </c>
      <c r="C5676" s="526"/>
      <c r="D5676" s="526" t="s">
        <v>8258</v>
      </c>
      <c r="E5676" s="526"/>
      <c r="F5676" s="538"/>
      <c r="G5676" s="538"/>
      <c r="H5676" s="538"/>
      <c r="I5676" s="831"/>
      <c r="J5676" s="549">
        <v>45281</v>
      </c>
    </row>
    <row r="5677" spans="1:10" s="874" customFormat="1" x14ac:dyDescent="0.35">
      <c r="A5677" s="527" t="s">
        <v>6030</v>
      </c>
      <c r="B5677" s="526" t="s">
        <v>5547</v>
      </c>
      <c r="C5677" s="526"/>
      <c r="D5677" s="526" t="s">
        <v>8258</v>
      </c>
      <c r="E5677" s="526"/>
      <c r="F5677" s="538"/>
      <c r="G5677" s="538"/>
      <c r="H5677" s="538"/>
      <c r="I5677" s="831"/>
      <c r="J5677" s="549">
        <v>45281</v>
      </c>
    </row>
    <row r="5678" spans="1:10" s="874" customFormat="1" x14ac:dyDescent="0.35">
      <c r="A5678" s="527" t="s">
        <v>6032</v>
      </c>
      <c r="B5678" s="526" t="s">
        <v>5405</v>
      </c>
      <c r="C5678" s="526"/>
      <c r="D5678" s="526" t="s">
        <v>8258</v>
      </c>
      <c r="E5678" s="526"/>
      <c r="F5678" s="538"/>
      <c r="G5678" s="538"/>
      <c r="H5678" s="538"/>
      <c r="I5678" s="831"/>
      <c r="J5678" s="549">
        <v>45281</v>
      </c>
    </row>
    <row r="5679" spans="1:10" s="874" customFormat="1" x14ac:dyDescent="0.35">
      <c r="A5679" s="527" t="s">
        <v>6033</v>
      </c>
      <c r="B5679" s="526" t="s">
        <v>5410</v>
      </c>
      <c r="C5679" s="526"/>
      <c r="D5679" s="526" t="s">
        <v>8258</v>
      </c>
      <c r="E5679" s="526"/>
      <c r="F5679" s="538"/>
      <c r="G5679" s="538"/>
      <c r="H5679" s="538"/>
      <c r="I5679" s="831"/>
      <c r="J5679" s="549">
        <v>45281</v>
      </c>
    </row>
    <row r="5680" spans="1:10" s="874" customFormat="1" x14ac:dyDescent="0.35">
      <c r="A5680" s="527" t="s">
        <v>6034</v>
      </c>
      <c r="B5680" s="526" t="s">
        <v>5411</v>
      </c>
      <c r="C5680" s="526"/>
      <c r="D5680" s="526" t="s">
        <v>8258</v>
      </c>
      <c r="E5680" s="526"/>
      <c r="F5680" s="538"/>
      <c r="G5680" s="538"/>
      <c r="H5680" s="538"/>
      <c r="I5680" s="831"/>
      <c r="J5680" s="549">
        <v>45281</v>
      </c>
    </row>
    <row r="5681" spans="1:29" s="874" customFormat="1" x14ac:dyDescent="0.35">
      <c r="A5681" s="527" t="s">
        <v>6035</v>
      </c>
      <c r="B5681" s="526" t="s">
        <v>2034</v>
      </c>
      <c r="C5681" s="526"/>
      <c r="D5681" s="526" t="s">
        <v>8258</v>
      </c>
      <c r="E5681" s="526"/>
      <c r="F5681" s="538"/>
      <c r="G5681" s="538"/>
      <c r="H5681" s="538"/>
      <c r="I5681" s="831"/>
      <c r="J5681" s="549">
        <v>45281</v>
      </c>
    </row>
    <row r="5682" spans="1:29" s="874" customFormat="1" x14ac:dyDescent="0.35">
      <c r="A5682" s="527" t="s">
        <v>6037</v>
      </c>
      <c r="B5682" s="526" t="s">
        <v>3373</v>
      </c>
      <c r="C5682" s="526"/>
      <c r="D5682" s="526" t="s">
        <v>8258</v>
      </c>
      <c r="E5682" s="526"/>
      <c r="F5682" s="538"/>
      <c r="G5682" s="538"/>
      <c r="H5682" s="538"/>
      <c r="I5682" s="831"/>
      <c r="J5682" s="549">
        <v>45281</v>
      </c>
    </row>
    <row r="5683" spans="1:29" s="874" customFormat="1" x14ac:dyDescent="0.35">
      <c r="A5683" s="527" t="s">
        <v>6039</v>
      </c>
      <c r="B5683" s="526" t="s">
        <v>3389</v>
      </c>
      <c r="C5683" s="526"/>
      <c r="D5683" s="526" t="s">
        <v>8258</v>
      </c>
      <c r="E5683" s="526"/>
      <c r="F5683" s="538"/>
      <c r="G5683" s="538"/>
      <c r="H5683" s="538"/>
      <c r="I5683" s="831"/>
      <c r="J5683" s="549">
        <v>45281</v>
      </c>
    </row>
    <row r="5684" spans="1:29" s="874" customFormat="1" x14ac:dyDescent="0.35">
      <c r="A5684" s="527" t="s">
        <v>6040</v>
      </c>
      <c r="B5684" s="526" t="s">
        <v>740</v>
      </c>
      <c r="C5684" s="526"/>
      <c r="D5684" s="526" t="s">
        <v>8258</v>
      </c>
      <c r="E5684" s="526"/>
      <c r="F5684" s="538"/>
      <c r="G5684" s="538"/>
      <c r="H5684" s="538"/>
      <c r="I5684" s="831"/>
      <c r="J5684" s="549">
        <v>45281</v>
      </c>
    </row>
    <row r="5685" spans="1:29" s="874" customFormat="1" x14ac:dyDescent="0.35">
      <c r="A5685" s="527" t="s">
        <v>6041</v>
      </c>
      <c r="B5685" s="526" t="s">
        <v>5434</v>
      </c>
      <c r="C5685" s="526"/>
      <c r="D5685" s="526" t="s">
        <v>8258</v>
      </c>
      <c r="E5685" s="526"/>
      <c r="F5685" s="538"/>
      <c r="G5685" s="538"/>
      <c r="H5685" s="538"/>
      <c r="I5685" s="831"/>
      <c r="J5685" s="549">
        <v>45281</v>
      </c>
    </row>
    <row r="5686" spans="1:29" x14ac:dyDescent="0.35">
      <c r="G5686" s="807"/>
      <c r="H5686"/>
      <c r="I5686"/>
      <c r="J5686"/>
    </row>
    <row r="5687" spans="1:29" ht="47.25" customHeight="1" x14ac:dyDescent="0.35">
      <c r="A5687" s="896" t="s">
        <v>473</v>
      </c>
      <c r="B5687" s="896"/>
      <c r="C5687" s="896"/>
      <c r="D5687" s="896"/>
      <c r="E5687" s="896"/>
      <c r="F5687" s="896"/>
      <c r="G5687" s="350"/>
      <c r="H5687" s="414" t="str">
        <f>IF(ISNUMBER(G5687),ROUND(0.8*G5687,2),"")</f>
        <v/>
      </c>
      <c r="I5687" s="605"/>
      <c r="J5687" s="549" t="s">
        <v>4179</v>
      </c>
      <c r="N5687" s="187"/>
      <c r="U5687" s="187"/>
      <c r="V5687" s="187"/>
      <c r="W5687" s="187"/>
      <c r="X5687" s="187"/>
      <c r="Y5687" s="187"/>
      <c r="Z5687" s="187"/>
      <c r="AA5687" s="187"/>
      <c r="AB5687" s="187"/>
      <c r="AC5687" s="187"/>
    </row>
    <row r="5688" spans="1:29" x14ac:dyDescent="0.35">
      <c r="H5688" s="11" t="str">
        <f>IF(ISNUMBER(G5688),ROUND(0.8*G5688,2),"")</f>
        <v/>
      </c>
      <c r="J5688" s="549" t="s">
        <v>4179</v>
      </c>
    </row>
    <row r="5689" spans="1:29" x14ac:dyDescent="0.35">
      <c r="A5689" s="230" t="s">
        <v>2560</v>
      </c>
      <c r="B5689" s="229" t="s">
        <v>5547</v>
      </c>
      <c r="C5689" s="229"/>
      <c r="D5689" s="229" t="s">
        <v>2555</v>
      </c>
      <c r="E5689" s="229"/>
      <c r="F5689" s="395"/>
      <c r="G5689" s="395"/>
      <c r="H5689" s="395"/>
      <c r="I5689" s="606"/>
      <c r="J5689" s="549" t="s">
        <v>5804</v>
      </c>
      <c r="O5689" s="187"/>
      <c r="P5689" s="187"/>
      <c r="Q5689" s="187"/>
      <c r="R5689" s="187"/>
      <c r="S5689" s="187"/>
      <c r="T5689" s="187"/>
    </row>
    <row r="5690" spans="1:29" x14ac:dyDescent="0.35">
      <c r="A5690" s="230" t="s">
        <v>938</v>
      </c>
      <c r="B5690" s="459" t="s">
        <v>5547</v>
      </c>
      <c r="C5690" s="459"/>
      <c r="D5690" s="459" t="s">
        <v>35</v>
      </c>
      <c r="E5690" s="459"/>
      <c r="F5690" s="395"/>
      <c r="G5690" s="395"/>
      <c r="H5690" s="395"/>
      <c r="I5690" s="606"/>
      <c r="J5690" s="549" t="s">
        <v>5804</v>
      </c>
      <c r="O5690" s="187"/>
      <c r="P5690" s="187"/>
      <c r="Q5690" s="187"/>
      <c r="R5690" s="187"/>
      <c r="S5690" s="187"/>
      <c r="T5690" s="187"/>
    </row>
    <row r="5691" spans="1:29" s="187" customFormat="1" x14ac:dyDescent="0.35">
      <c r="A5691"/>
      <c r="B5691"/>
      <c r="C5691"/>
      <c r="D5691"/>
      <c r="E5691"/>
      <c r="F5691" s="387"/>
      <c r="G5691" s="11"/>
      <c r="H5691" s="11" t="str">
        <f>IF(ISNUMBER(G5691),ROUND(0.8*G5691,2),"")</f>
        <v/>
      </c>
      <c r="I5691" s="565"/>
      <c r="J5691" s="549" t="s">
        <v>4179</v>
      </c>
      <c r="M5691"/>
      <c r="N5691"/>
      <c r="O5691"/>
      <c r="P5691"/>
      <c r="Q5691"/>
      <c r="R5691"/>
      <c r="S5691"/>
      <c r="T5691"/>
      <c r="U5691"/>
      <c r="V5691"/>
      <c r="W5691"/>
      <c r="X5691"/>
      <c r="Y5691"/>
      <c r="Z5691"/>
      <c r="AA5691"/>
      <c r="AB5691"/>
      <c r="AC5691"/>
    </row>
    <row r="5692" spans="1:29" ht="222.75" customHeight="1" x14ac:dyDescent="0.35">
      <c r="A5692" s="896" t="s">
        <v>7451</v>
      </c>
      <c r="B5692" s="896"/>
      <c r="C5692" s="896"/>
      <c r="D5692" s="896"/>
      <c r="E5692" s="896"/>
      <c r="F5692" s="896"/>
      <c r="G5692" s="350"/>
      <c r="H5692" s="414" t="str">
        <f>IF(ISNUMBER(G5692),ROUND(0.8*G5692,2),"")</f>
        <v/>
      </c>
      <c r="I5692" s="605"/>
      <c r="J5692" s="549">
        <v>42705</v>
      </c>
      <c r="M5692" s="187"/>
      <c r="N5692" s="337"/>
      <c r="O5692" s="338"/>
      <c r="P5692" s="338"/>
      <c r="Q5692" s="338"/>
      <c r="R5692" s="338"/>
      <c r="S5692" s="338"/>
      <c r="T5692" s="338"/>
      <c r="U5692" s="338"/>
      <c r="V5692" s="187"/>
      <c r="W5692" s="187"/>
      <c r="X5692" s="187"/>
      <c r="Y5692" s="187"/>
      <c r="Z5692" s="187"/>
      <c r="AA5692" s="187"/>
      <c r="AB5692" s="187"/>
      <c r="AC5692" s="187"/>
    </row>
    <row r="5693" spans="1:29" x14ac:dyDescent="0.35">
      <c r="H5693" s="11" t="str">
        <f>IF(ISNUMBER(G5693),ROUND(0.8*G5693,2),"")</f>
        <v/>
      </c>
      <c r="J5693" s="549" t="s">
        <v>4179</v>
      </c>
      <c r="N5693" s="207"/>
    </row>
    <row r="5694" spans="1:29" x14ac:dyDescent="0.35">
      <c r="A5694" s="342" t="s">
        <v>3948</v>
      </c>
      <c r="B5694" s="343" t="s">
        <v>5434</v>
      </c>
      <c r="C5694" s="343"/>
      <c r="D5694" s="343" t="s">
        <v>3950</v>
      </c>
      <c r="E5694" s="343"/>
      <c r="F5694" s="396"/>
      <c r="G5694" s="396"/>
      <c r="H5694" s="396"/>
      <c r="I5694" s="607"/>
      <c r="J5694" s="549" t="s">
        <v>5804</v>
      </c>
      <c r="N5694" s="337"/>
      <c r="O5694" s="338"/>
      <c r="P5694" s="338"/>
      <c r="Q5694" s="338"/>
      <c r="R5694" s="338"/>
      <c r="S5694" s="338"/>
      <c r="T5694" s="338"/>
      <c r="U5694" s="338"/>
    </row>
    <row r="5695" spans="1:29" x14ac:dyDescent="0.35">
      <c r="A5695" s="342" t="s">
        <v>3949</v>
      </c>
      <c r="B5695" s="343" t="s">
        <v>5434</v>
      </c>
      <c r="C5695" s="343"/>
      <c r="D5695" s="343" t="s">
        <v>2134</v>
      </c>
      <c r="E5695" s="343"/>
      <c r="F5695" s="396"/>
      <c r="G5695" s="396"/>
      <c r="H5695" s="396"/>
      <c r="I5695" s="607"/>
      <c r="J5695" s="549" t="s">
        <v>5804</v>
      </c>
      <c r="N5695" s="337"/>
      <c r="O5695" s="338"/>
      <c r="P5695" s="338"/>
      <c r="Q5695" s="338"/>
      <c r="R5695" s="338"/>
      <c r="S5695" s="338"/>
      <c r="T5695" s="338"/>
      <c r="U5695" s="338"/>
    </row>
    <row r="5696" spans="1:29" x14ac:dyDescent="0.35">
      <c r="A5696" s="342" t="s">
        <v>647</v>
      </c>
      <c r="B5696" s="343" t="s">
        <v>5434</v>
      </c>
      <c r="C5696" s="343"/>
      <c r="D5696" s="343" t="s">
        <v>653</v>
      </c>
      <c r="E5696" s="343"/>
      <c r="F5696" s="396"/>
      <c r="G5696" s="396"/>
      <c r="H5696" s="396"/>
      <c r="I5696" s="607"/>
      <c r="J5696" s="549" t="s">
        <v>5804</v>
      </c>
      <c r="N5696" s="338"/>
      <c r="O5696" s="338"/>
      <c r="P5696" s="338"/>
      <c r="Q5696" s="338"/>
      <c r="R5696" s="338"/>
      <c r="S5696" s="338"/>
      <c r="T5696" s="338"/>
      <c r="U5696" s="338"/>
    </row>
    <row r="5697" spans="1:29" s="187" customFormat="1" x14ac:dyDescent="0.35">
      <c r="A5697"/>
      <c r="B5697"/>
      <c r="C5697"/>
      <c r="D5697"/>
      <c r="E5697"/>
      <c r="F5697" s="387"/>
      <c r="G5697" s="11"/>
      <c r="H5697" s="11" t="str">
        <f>IF(ISNUMBER(G5697),ROUND(0.8*G5697,2),"")</f>
        <v/>
      </c>
      <c r="I5697" s="565"/>
      <c r="J5697" s="549" t="s">
        <v>4179</v>
      </c>
      <c r="M5697"/>
      <c r="N5697" s="207"/>
      <c r="O5697"/>
      <c r="P5697"/>
      <c r="Q5697"/>
      <c r="R5697"/>
      <c r="S5697"/>
      <c r="T5697"/>
      <c r="U5697"/>
      <c r="V5697"/>
      <c r="W5697"/>
      <c r="X5697"/>
      <c r="Y5697"/>
      <c r="Z5697"/>
      <c r="AA5697"/>
      <c r="AB5697"/>
      <c r="AC5697"/>
    </row>
    <row r="5698" spans="1:29" ht="190.4" customHeight="1" x14ac:dyDescent="0.35">
      <c r="A5698" s="896" t="s">
        <v>7452</v>
      </c>
      <c r="B5698" s="896"/>
      <c r="C5698" s="896"/>
      <c r="D5698" s="896"/>
      <c r="E5698" s="896"/>
      <c r="F5698" s="896"/>
      <c r="G5698" s="350"/>
      <c r="H5698" s="414" t="str">
        <f>IF(ISNUMBER(G5698),ROUND(0.8*G5698,2),"")</f>
        <v/>
      </c>
      <c r="I5698" s="605"/>
      <c r="J5698" s="549" t="s">
        <v>5804</v>
      </c>
      <c r="M5698" s="187"/>
      <c r="N5698" s="337"/>
      <c r="O5698" s="338"/>
      <c r="P5698" s="338"/>
      <c r="Q5698" s="338"/>
      <c r="R5698" s="338"/>
      <c r="S5698" s="338"/>
      <c r="T5698" s="338"/>
      <c r="U5698" s="338"/>
      <c r="V5698" s="187"/>
      <c r="W5698" s="187"/>
      <c r="X5698" s="187"/>
      <c r="Y5698" s="187"/>
      <c r="Z5698" s="187"/>
      <c r="AA5698" s="187"/>
      <c r="AB5698" s="187"/>
      <c r="AC5698" s="187"/>
    </row>
    <row r="5699" spans="1:29" x14ac:dyDescent="0.35">
      <c r="H5699" s="11" t="str">
        <f>IF(ISNUMBER(G5699),ROUND(0.8*G5699,2),"")</f>
        <v/>
      </c>
      <c r="J5699" s="549" t="s">
        <v>4179</v>
      </c>
    </row>
    <row r="5700" spans="1:29" x14ac:dyDescent="0.35">
      <c r="A5700" s="342" t="s">
        <v>2132</v>
      </c>
      <c r="B5700" s="343" t="s">
        <v>740</v>
      </c>
      <c r="C5700" s="343"/>
      <c r="D5700" s="343" t="s">
        <v>2133</v>
      </c>
      <c r="E5700" s="343"/>
      <c r="F5700" s="396"/>
      <c r="G5700" s="396"/>
      <c r="H5700" s="396"/>
      <c r="I5700" s="607"/>
      <c r="J5700" s="549" t="s">
        <v>5804</v>
      </c>
      <c r="N5700" s="338"/>
      <c r="O5700" s="338"/>
      <c r="P5700" s="338"/>
      <c r="Q5700" s="338"/>
      <c r="R5700" s="338"/>
      <c r="S5700" s="338"/>
      <c r="T5700" s="338"/>
      <c r="U5700" s="338"/>
    </row>
    <row r="5701" spans="1:29" x14ac:dyDescent="0.35">
      <c r="A5701" s="342" t="s">
        <v>2131</v>
      </c>
      <c r="B5701" s="343" t="s">
        <v>5434</v>
      </c>
      <c r="C5701" s="343"/>
      <c r="D5701" s="343" t="s">
        <v>2133</v>
      </c>
      <c r="E5701" s="343"/>
      <c r="F5701" s="396"/>
      <c r="G5701" s="396"/>
      <c r="H5701" s="396"/>
      <c r="I5701" s="607"/>
      <c r="J5701" s="549" t="s">
        <v>5804</v>
      </c>
      <c r="N5701" s="338"/>
      <c r="O5701" s="338"/>
      <c r="P5701" s="338"/>
      <c r="Q5701" s="338"/>
      <c r="R5701" s="338"/>
      <c r="S5701" s="338"/>
      <c r="T5701" s="338"/>
      <c r="U5701" s="338"/>
    </row>
    <row r="5702" spans="1:29" x14ac:dyDescent="0.35">
      <c r="A5702" s="342" t="s">
        <v>645</v>
      </c>
      <c r="B5702" s="343" t="s">
        <v>5434</v>
      </c>
      <c r="C5702" s="343"/>
      <c r="D5702" s="343" t="s">
        <v>646</v>
      </c>
      <c r="E5702" s="343" t="s">
        <v>1053</v>
      </c>
      <c r="F5702" s="397">
        <v>0</v>
      </c>
      <c r="G5702" s="344">
        <v>0</v>
      </c>
      <c r="H5702" s="415">
        <f>IF(ISNUMBER(G5702),ROUND(0.8*G5702,2),"")</f>
        <v>0</v>
      </c>
      <c r="I5702" s="608"/>
      <c r="J5702" s="549" t="s">
        <v>5804</v>
      </c>
      <c r="N5702" s="338"/>
      <c r="O5702" s="338"/>
      <c r="P5702" s="338"/>
      <c r="Q5702" s="338"/>
      <c r="R5702" s="338"/>
      <c r="S5702" s="338"/>
      <c r="T5702" s="338"/>
      <c r="U5702" s="338"/>
    </row>
    <row r="5703" spans="1:29" x14ac:dyDescent="0.35">
      <c r="A5703" s="342" t="s">
        <v>654</v>
      </c>
      <c r="B5703" s="343" t="s">
        <v>740</v>
      </c>
      <c r="C5703" s="343"/>
      <c r="D5703" s="343" t="s">
        <v>651</v>
      </c>
      <c r="E5703" s="343"/>
      <c r="F5703" s="396"/>
      <c r="G5703" s="396"/>
      <c r="H5703" s="396"/>
      <c r="I5703" s="607"/>
      <c r="J5703" s="549" t="s">
        <v>5804</v>
      </c>
      <c r="N5703" s="338"/>
      <c r="O5703" s="338"/>
      <c r="P5703" s="338"/>
      <c r="Q5703" s="338"/>
      <c r="R5703" s="338"/>
      <c r="S5703" s="338"/>
      <c r="T5703" s="338"/>
      <c r="U5703" s="338"/>
    </row>
    <row r="5704" spans="1:29" x14ac:dyDescent="0.35">
      <c r="A5704" s="342" t="s">
        <v>649</v>
      </c>
      <c r="B5704" s="343" t="s">
        <v>5434</v>
      </c>
      <c r="C5704" s="343"/>
      <c r="D5704" s="343" t="s">
        <v>651</v>
      </c>
      <c r="E5704" s="343"/>
      <c r="F5704" s="396"/>
      <c r="G5704" s="396"/>
      <c r="H5704" s="396"/>
      <c r="I5704" s="607"/>
      <c r="J5704" s="549" t="s">
        <v>5804</v>
      </c>
      <c r="N5704" s="338"/>
      <c r="O5704" s="338"/>
      <c r="P5704" s="338"/>
      <c r="Q5704" s="338"/>
      <c r="R5704" s="338"/>
      <c r="S5704" s="338"/>
      <c r="T5704" s="338"/>
      <c r="U5704" s="338"/>
    </row>
    <row r="5705" spans="1:29" x14ac:dyDescent="0.35">
      <c r="A5705" s="250"/>
      <c r="B5705" s="251"/>
      <c r="C5705" s="251"/>
      <c r="D5705" s="251"/>
      <c r="E5705" s="251"/>
      <c r="F5705" s="392"/>
      <c r="G5705" s="252"/>
      <c r="H5705" s="11" t="str">
        <f t="shared" ref="H5705:H5720" si="1801">IF(ISNUMBER(G5705),ROUND(0.8*G5705,2),"")</f>
        <v/>
      </c>
      <c r="J5705" s="549" t="s">
        <v>4179</v>
      </c>
    </row>
    <row r="5706" spans="1:29" ht="184.5" customHeight="1" x14ac:dyDescent="0.35">
      <c r="A5706" s="897" t="s">
        <v>7453</v>
      </c>
      <c r="B5706" s="897"/>
      <c r="C5706" s="897"/>
      <c r="D5706" s="897"/>
      <c r="E5706" s="897"/>
      <c r="F5706" s="897"/>
      <c r="G5706" s="350"/>
      <c r="H5706" s="414" t="str">
        <f t="shared" si="1801"/>
        <v/>
      </c>
      <c r="I5706" s="605"/>
      <c r="J5706" s="549">
        <v>42705</v>
      </c>
    </row>
    <row r="5707" spans="1:29" x14ac:dyDescent="0.35">
      <c r="H5707" s="11" t="str">
        <f t="shared" si="1801"/>
        <v/>
      </c>
      <c r="J5707" s="549" t="s">
        <v>4179</v>
      </c>
    </row>
    <row r="5708" spans="1:29" x14ac:dyDescent="0.35">
      <c r="A5708" s="495" t="s">
        <v>306</v>
      </c>
      <c r="B5708" s="356" t="s">
        <v>2269</v>
      </c>
      <c r="C5708" s="356"/>
      <c r="D5708" s="356" t="s">
        <v>307</v>
      </c>
      <c r="E5708" s="356"/>
      <c r="F5708" s="369">
        <v>0</v>
      </c>
      <c r="G5708" s="357">
        <v>0</v>
      </c>
      <c r="H5708" s="357">
        <f t="shared" si="1801"/>
        <v>0</v>
      </c>
      <c r="I5708" s="573"/>
      <c r="J5708" s="549" t="s">
        <v>5804</v>
      </c>
    </row>
    <row r="5709" spans="1:29" x14ac:dyDescent="0.35">
      <c r="A5709" s="495" t="s">
        <v>294</v>
      </c>
      <c r="B5709" s="356" t="s">
        <v>5547</v>
      </c>
      <c r="C5709" s="356"/>
      <c r="D5709" s="356" t="s">
        <v>307</v>
      </c>
      <c r="E5709" s="356"/>
      <c r="F5709" s="369">
        <v>0</v>
      </c>
      <c r="G5709" s="357">
        <v>0</v>
      </c>
      <c r="H5709" s="357">
        <f t="shared" si="1801"/>
        <v>0</v>
      </c>
      <c r="I5709" s="573"/>
      <c r="J5709" s="549" t="s">
        <v>5804</v>
      </c>
    </row>
    <row r="5710" spans="1:29" x14ac:dyDescent="0.35">
      <c r="A5710" s="495" t="s">
        <v>295</v>
      </c>
      <c r="B5710" s="356" t="s">
        <v>4846</v>
      </c>
      <c r="C5710" s="356"/>
      <c r="D5710" s="356" t="s">
        <v>307</v>
      </c>
      <c r="E5710" s="356"/>
      <c r="F5710" s="369">
        <v>0</v>
      </c>
      <c r="G5710" s="357">
        <v>0</v>
      </c>
      <c r="H5710" s="357">
        <f t="shared" si="1801"/>
        <v>0</v>
      </c>
      <c r="I5710" s="573"/>
      <c r="J5710" s="549" t="s">
        <v>5804</v>
      </c>
    </row>
    <row r="5711" spans="1:29" x14ac:dyDescent="0.35">
      <c r="A5711" s="495" t="s">
        <v>296</v>
      </c>
      <c r="B5711" s="356" t="s">
        <v>5405</v>
      </c>
      <c r="C5711" s="356"/>
      <c r="D5711" s="356" t="s">
        <v>307</v>
      </c>
      <c r="E5711" s="356"/>
      <c r="F5711" s="369">
        <v>0</v>
      </c>
      <c r="G5711" s="357">
        <v>0</v>
      </c>
      <c r="H5711" s="357">
        <f t="shared" si="1801"/>
        <v>0</v>
      </c>
      <c r="I5711" s="573"/>
      <c r="J5711" s="549" t="s">
        <v>5804</v>
      </c>
    </row>
    <row r="5712" spans="1:29" x14ac:dyDescent="0.35">
      <c r="A5712" s="495" t="s">
        <v>297</v>
      </c>
      <c r="B5712" s="356" t="s">
        <v>5410</v>
      </c>
      <c r="C5712" s="356"/>
      <c r="D5712" s="356" t="s">
        <v>307</v>
      </c>
      <c r="E5712" s="356"/>
      <c r="F5712" s="369">
        <v>0</v>
      </c>
      <c r="G5712" s="357">
        <v>0</v>
      </c>
      <c r="H5712" s="357">
        <f t="shared" si="1801"/>
        <v>0</v>
      </c>
      <c r="I5712" s="573"/>
      <c r="J5712" s="549" t="s">
        <v>5804</v>
      </c>
    </row>
    <row r="5713" spans="1:20" x14ac:dyDescent="0.35">
      <c r="A5713" s="495" t="s">
        <v>298</v>
      </c>
      <c r="B5713" s="356" t="s">
        <v>5411</v>
      </c>
      <c r="C5713" s="356"/>
      <c r="D5713" s="356" t="s">
        <v>307</v>
      </c>
      <c r="E5713" s="356"/>
      <c r="F5713" s="369">
        <v>0</v>
      </c>
      <c r="G5713" s="357">
        <v>0</v>
      </c>
      <c r="H5713" s="357">
        <f t="shared" si="1801"/>
        <v>0</v>
      </c>
      <c r="I5713" s="573"/>
      <c r="J5713" s="549" t="s">
        <v>5804</v>
      </c>
    </row>
    <row r="5714" spans="1:20" ht="14.25" customHeight="1" x14ac:dyDescent="0.35">
      <c r="A5714" s="495" t="s">
        <v>299</v>
      </c>
      <c r="B5714" s="356" t="s">
        <v>2034</v>
      </c>
      <c r="C5714" s="356"/>
      <c r="D5714" s="356" t="s">
        <v>307</v>
      </c>
      <c r="E5714" s="356"/>
      <c r="F5714" s="369">
        <v>0</v>
      </c>
      <c r="G5714" s="357">
        <v>0</v>
      </c>
      <c r="H5714" s="357">
        <f t="shared" si="1801"/>
        <v>0</v>
      </c>
      <c r="I5714" s="573"/>
      <c r="J5714" s="549" t="s">
        <v>5804</v>
      </c>
    </row>
    <row r="5715" spans="1:20" x14ac:dyDescent="0.35">
      <c r="A5715" s="495" t="s">
        <v>300</v>
      </c>
      <c r="B5715" s="356" t="s">
        <v>2067</v>
      </c>
      <c r="C5715" s="356"/>
      <c r="D5715" s="356" t="s">
        <v>307</v>
      </c>
      <c r="E5715" s="356"/>
      <c r="F5715" s="369">
        <v>0</v>
      </c>
      <c r="G5715" s="357">
        <v>0</v>
      </c>
      <c r="H5715" s="357">
        <f t="shared" si="1801"/>
        <v>0</v>
      </c>
      <c r="I5715" s="573"/>
      <c r="J5715" s="549" t="s">
        <v>5804</v>
      </c>
    </row>
    <row r="5716" spans="1:20" x14ac:dyDescent="0.35">
      <c r="A5716" s="495" t="s">
        <v>301</v>
      </c>
      <c r="B5716" s="356" t="s">
        <v>3373</v>
      </c>
      <c r="C5716" s="356"/>
      <c r="D5716" s="356" t="s">
        <v>307</v>
      </c>
      <c r="E5716" s="356"/>
      <c r="F5716" s="369">
        <v>0</v>
      </c>
      <c r="G5716" s="357">
        <v>0</v>
      </c>
      <c r="H5716" s="357">
        <f t="shared" si="1801"/>
        <v>0</v>
      </c>
      <c r="I5716" s="573"/>
      <c r="J5716" s="549" t="s">
        <v>5804</v>
      </c>
    </row>
    <row r="5717" spans="1:20" x14ac:dyDescent="0.35">
      <c r="A5717" s="495" t="s">
        <v>302</v>
      </c>
      <c r="B5717" s="356" t="s">
        <v>3381</v>
      </c>
      <c r="C5717" s="356"/>
      <c r="D5717" s="356" t="s">
        <v>307</v>
      </c>
      <c r="E5717" s="356"/>
      <c r="F5717" s="369">
        <v>0</v>
      </c>
      <c r="G5717" s="357">
        <v>0</v>
      </c>
      <c r="H5717" s="357">
        <f t="shared" si="1801"/>
        <v>0</v>
      </c>
      <c r="I5717" s="573"/>
      <c r="J5717" s="549" t="s">
        <v>5804</v>
      </c>
    </row>
    <row r="5718" spans="1:20" x14ac:dyDescent="0.35">
      <c r="A5718" s="495" t="s">
        <v>303</v>
      </c>
      <c r="B5718" s="356" t="s">
        <v>3389</v>
      </c>
      <c r="C5718" s="356"/>
      <c r="D5718" s="356" t="s">
        <v>307</v>
      </c>
      <c r="E5718" s="356"/>
      <c r="F5718" s="369">
        <v>0</v>
      </c>
      <c r="G5718" s="357">
        <v>0</v>
      </c>
      <c r="H5718" s="357">
        <f t="shared" si="1801"/>
        <v>0</v>
      </c>
      <c r="I5718" s="573"/>
      <c r="J5718" s="549" t="s">
        <v>5804</v>
      </c>
    </row>
    <row r="5719" spans="1:20" x14ac:dyDescent="0.35">
      <c r="A5719" s="495" t="s">
        <v>304</v>
      </c>
      <c r="B5719" s="356" t="s">
        <v>740</v>
      </c>
      <c r="C5719" s="356"/>
      <c r="D5719" s="356" t="s">
        <v>307</v>
      </c>
      <c r="E5719" s="356"/>
      <c r="F5719" s="369">
        <v>0</v>
      </c>
      <c r="G5719" s="357">
        <v>0</v>
      </c>
      <c r="H5719" s="357">
        <f t="shared" si="1801"/>
        <v>0</v>
      </c>
      <c r="I5719" s="573"/>
      <c r="J5719" s="549" t="s">
        <v>5804</v>
      </c>
    </row>
    <row r="5720" spans="1:20" x14ac:dyDescent="0.35">
      <c r="A5720" s="495" t="s">
        <v>305</v>
      </c>
      <c r="B5720" s="356" t="s">
        <v>5434</v>
      </c>
      <c r="C5720" s="356"/>
      <c r="D5720" s="356" t="s">
        <v>307</v>
      </c>
      <c r="E5720" s="356"/>
      <c r="F5720" s="369">
        <v>0</v>
      </c>
      <c r="G5720" s="357">
        <v>0</v>
      </c>
      <c r="H5720" s="357">
        <f t="shared" si="1801"/>
        <v>0</v>
      </c>
      <c r="I5720" s="573"/>
      <c r="J5720" s="549" t="s">
        <v>5804</v>
      </c>
    </row>
    <row r="5721" spans="1:20" x14ac:dyDescent="0.35">
      <c r="J5721" s="549" t="s">
        <v>4179</v>
      </c>
    </row>
    <row r="5722" spans="1:20" ht="177.75" customHeight="1" x14ac:dyDescent="0.35">
      <c r="A5722" s="897" t="s">
        <v>8252</v>
      </c>
      <c r="B5722" s="897"/>
      <c r="C5722" s="897"/>
      <c r="D5722" s="897"/>
      <c r="E5722" s="897"/>
      <c r="F5722" s="897"/>
      <c r="G5722" s="350"/>
      <c r="H5722" s="414" t="str">
        <f>IF(ISNUMBER(G5722),ROUND(0.8*G5722,2),"")</f>
        <v/>
      </c>
      <c r="I5722" s="605"/>
      <c r="J5722" s="549">
        <v>45268</v>
      </c>
    </row>
    <row r="5723" spans="1:20" ht="18.75" customHeight="1" x14ac:dyDescent="0.35">
      <c r="A5723" s="909" t="s">
        <v>8262</v>
      </c>
      <c r="B5723" s="909"/>
      <c r="C5723" s="909"/>
      <c r="D5723" s="909"/>
      <c r="E5723" s="909"/>
      <c r="F5723" s="909"/>
      <c r="G5723" s="349"/>
      <c r="H5723" s="410" t="str">
        <f>IF(ISNUMBER(G5723),ROUND(0.8*G5723,2),"")</f>
        <v/>
      </c>
      <c r="I5723" s="595"/>
      <c r="J5723" s="549">
        <v>45281</v>
      </c>
      <c r="O5723" s="187"/>
      <c r="P5723" s="187"/>
      <c r="Q5723" s="187"/>
      <c r="R5723" s="187"/>
      <c r="S5723" s="187"/>
      <c r="T5723" s="187"/>
    </row>
    <row r="5724" spans="1:20" x14ac:dyDescent="0.35">
      <c r="H5724" s="11" t="str">
        <f>IF(ISNUMBER(G5724),ROUND(0.8*G5724,2),"")</f>
        <v/>
      </c>
      <c r="J5724" s="549" t="s">
        <v>4179</v>
      </c>
    </row>
    <row r="5725" spans="1:20" x14ac:dyDescent="0.35">
      <c r="A5725" s="495" t="s">
        <v>271</v>
      </c>
      <c r="B5725" s="356" t="s">
        <v>5547</v>
      </c>
      <c r="C5725" s="356"/>
      <c r="D5725" s="356" t="s">
        <v>8250</v>
      </c>
      <c r="E5725" s="356"/>
      <c r="F5725" s="553"/>
      <c r="G5725" s="553"/>
      <c r="H5725" s="553"/>
      <c r="I5725" s="609"/>
      <c r="J5725" s="549">
        <v>45268</v>
      </c>
    </row>
    <row r="5726" spans="1:20" x14ac:dyDescent="0.35">
      <c r="A5726" s="495" t="s">
        <v>8249</v>
      </c>
      <c r="B5726" s="356" t="s">
        <v>5547</v>
      </c>
      <c r="C5726" s="356"/>
      <c r="D5726" s="356" t="s">
        <v>8251</v>
      </c>
      <c r="E5726" s="356"/>
      <c r="F5726" s="553"/>
      <c r="G5726" s="553"/>
      <c r="H5726" s="553"/>
      <c r="I5726" s="609"/>
      <c r="J5726" s="549">
        <v>45268</v>
      </c>
    </row>
    <row r="5727" spans="1:20" x14ac:dyDescent="0.35">
      <c r="A5727" s="495" t="s">
        <v>1486</v>
      </c>
      <c r="B5727" s="356" t="s">
        <v>5547</v>
      </c>
      <c r="C5727" s="356"/>
      <c r="D5727" s="356" t="s">
        <v>7442</v>
      </c>
      <c r="E5727" s="356"/>
      <c r="F5727" s="369">
        <v>0</v>
      </c>
      <c r="G5727" s="357">
        <v>0</v>
      </c>
      <c r="H5727" s="357">
        <f>IF(ISNUMBER(G5727),ROUND(0.8*G5727,2),"")</f>
        <v>0</v>
      </c>
      <c r="I5727" s="573"/>
      <c r="J5727" s="549" t="s">
        <v>5804</v>
      </c>
    </row>
    <row r="5728" spans="1:20" x14ac:dyDescent="0.35">
      <c r="J5728" s="549" t="s">
        <v>4179</v>
      </c>
    </row>
    <row r="5729" spans="1:10" ht="123.75" customHeight="1" x14ac:dyDescent="0.35">
      <c r="A5729" s="897" t="s">
        <v>7914</v>
      </c>
      <c r="B5729" s="897"/>
      <c r="C5729" s="897"/>
      <c r="D5729" s="897"/>
      <c r="E5729" s="897"/>
      <c r="F5729" s="897"/>
      <c r="G5729" s="350"/>
      <c r="H5729" s="414" t="str">
        <f>IF(ISNUMBER(G5729),ROUND(0.8*G5729,2),"")</f>
        <v/>
      </c>
      <c r="I5729" s="605"/>
      <c r="J5729" s="549">
        <v>42705</v>
      </c>
    </row>
    <row r="5730" spans="1:10" x14ac:dyDescent="0.35">
      <c r="H5730" s="11" t="str">
        <f>IF(ISNUMBER(G5730),ROUND(0.8*G5730,2),"")</f>
        <v/>
      </c>
      <c r="J5730" s="549" t="s">
        <v>4179</v>
      </c>
    </row>
    <row r="5731" spans="1:10" x14ac:dyDescent="0.35">
      <c r="A5731" s="495" t="s">
        <v>272</v>
      </c>
      <c r="B5731" s="356" t="s">
        <v>5547</v>
      </c>
      <c r="C5731" s="356"/>
      <c r="D5731" s="356" t="s">
        <v>6097</v>
      </c>
      <c r="E5731" s="356"/>
      <c r="F5731" s="369">
        <v>0</v>
      </c>
      <c r="G5731" s="357">
        <v>0</v>
      </c>
      <c r="H5731" s="357">
        <f>IF(ISNUMBER(G5731),ROUND(0.8*G5731,2),"")</f>
        <v>0</v>
      </c>
      <c r="I5731" s="573"/>
      <c r="J5731" s="549" t="s">
        <v>5804</v>
      </c>
    </row>
    <row r="5732" spans="1:10" x14ac:dyDescent="0.35">
      <c r="A5732" s="495" t="s">
        <v>1487</v>
      </c>
      <c r="B5732" s="356" t="s">
        <v>5547</v>
      </c>
      <c r="C5732" s="356"/>
      <c r="D5732" s="356" t="s">
        <v>6098</v>
      </c>
      <c r="E5732" s="356"/>
      <c r="F5732" s="369">
        <v>0</v>
      </c>
      <c r="G5732" s="357">
        <v>0</v>
      </c>
      <c r="H5732" s="357">
        <f>IF(ISNUMBER(G5732),ROUND(0.8*G5732,2),"")</f>
        <v>0</v>
      </c>
      <c r="I5732" s="573"/>
      <c r="J5732" s="549" t="s">
        <v>5804</v>
      </c>
    </row>
    <row r="5733" spans="1:10" x14ac:dyDescent="0.35">
      <c r="J5733" s="549" t="s">
        <v>4179</v>
      </c>
    </row>
    <row r="5734" spans="1:10" ht="127.5" customHeight="1" x14ac:dyDescent="0.35">
      <c r="A5734" s="897" t="s">
        <v>7915</v>
      </c>
      <c r="B5734" s="897"/>
      <c r="C5734" s="897"/>
      <c r="D5734" s="897"/>
      <c r="E5734" s="897"/>
      <c r="F5734" s="897"/>
      <c r="G5734" s="350"/>
      <c r="H5734" s="414" t="str">
        <f>IF(ISNUMBER(G5734),ROUND(0.8*G5734,2),"")</f>
        <v/>
      </c>
      <c r="I5734" s="605"/>
      <c r="J5734" s="549">
        <v>42705</v>
      </c>
    </row>
    <row r="5735" spans="1:10" x14ac:dyDescent="0.35">
      <c r="H5735" s="11" t="str">
        <f>IF(ISNUMBER(G5735),ROUND(0.8*G5735,2),"")</f>
        <v/>
      </c>
      <c r="J5735" s="549" t="s">
        <v>4179</v>
      </c>
    </row>
    <row r="5736" spans="1:10" x14ac:dyDescent="0.35">
      <c r="A5736" s="495" t="s">
        <v>273</v>
      </c>
      <c r="B5736" s="356" t="s">
        <v>5547</v>
      </c>
      <c r="C5736" s="356"/>
      <c r="D5736" s="356" t="s">
        <v>1489</v>
      </c>
      <c r="E5736" s="356"/>
      <c r="F5736" s="369"/>
      <c r="G5736" s="369"/>
      <c r="H5736" s="369"/>
      <c r="I5736" s="604"/>
      <c r="J5736" s="549" t="s">
        <v>5804</v>
      </c>
    </row>
    <row r="5737" spans="1:10" x14ac:dyDescent="0.35">
      <c r="A5737" s="495" t="s">
        <v>1488</v>
      </c>
      <c r="B5737" s="356" t="s">
        <v>5547</v>
      </c>
      <c r="C5737" s="356"/>
      <c r="D5737" s="356" t="s">
        <v>1490</v>
      </c>
      <c r="E5737" s="356"/>
      <c r="F5737" s="369">
        <v>0</v>
      </c>
      <c r="G5737" s="357">
        <v>0</v>
      </c>
      <c r="H5737" s="357">
        <f>IF(ISNUMBER(G5737),ROUND(0.8*G5737,2),"")</f>
        <v>0</v>
      </c>
      <c r="I5737" s="573"/>
      <c r="J5737" s="549" t="s">
        <v>5804</v>
      </c>
    </row>
    <row r="5738" spans="1:10" x14ac:dyDescent="0.35">
      <c r="J5738" s="549" t="s">
        <v>4179</v>
      </c>
    </row>
    <row r="5739" spans="1:10" ht="90.75" customHeight="1" x14ac:dyDescent="0.35">
      <c r="A5739" s="897" t="s">
        <v>8083</v>
      </c>
      <c r="B5739" s="897"/>
      <c r="C5739" s="897"/>
      <c r="D5739" s="897"/>
      <c r="E5739" s="897"/>
      <c r="F5739" s="897"/>
      <c r="G5739" s="350"/>
      <c r="H5739" s="414" t="str">
        <f>IF(ISNUMBER(G5739),ROUND(0.8*G5739,2),"")</f>
        <v/>
      </c>
      <c r="I5739" s="605"/>
      <c r="J5739" s="549">
        <f>J$31</f>
        <v>44896</v>
      </c>
    </row>
    <row r="5740" spans="1:10" x14ac:dyDescent="0.35">
      <c r="H5740" s="11" t="str">
        <f>IF(ISNUMBER(G5740),ROUND(0.8*G5740,2),"")</f>
        <v/>
      </c>
      <c r="J5740" s="549" t="s">
        <v>4179</v>
      </c>
    </row>
    <row r="5741" spans="1:10" x14ac:dyDescent="0.35">
      <c r="A5741" s="527" t="s">
        <v>6684</v>
      </c>
      <c r="B5741" s="526" t="s">
        <v>5434</v>
      </c>
      <c r="C5741" s="526" t="s">
        <v>7911</v>
      </c>
      <c r="D5741" s="526" t="s">
        <v>7913</v>
      </c>
      <c r="E5741" s="526"/>
      <c r="F5741" s="538">
        <v>0</v>
      </c>
      <c r="G5741" s="538">
        <v>0</v>
      </c>
      <c r="H5741" s="538">
        <v>0</v>
      </c>
      <c r="I5741" s="538"/>
      <c r="J5741" s="549">
        <f>J$31</f>
        <v>44896</v>
      </c>
    </row>
    <row r="5742" spans="1:10" x14ac:dyDescent="0.35">
      <c r="A5742" s="527" t="s">
        <v>6685</v>
      </c>
      <c r="B5742" s="526" t="s">
        <v>5434</v>
      </c>
      <c r="C5742" s="526" t="s">
        <v>7911</v>
      </c>
      <c r="D5742" s="526" t="s">
        <v>7912</v>
      </c>
      <c r="E5742" s="526"/>
      <c r="F5742" s="538">
        <v>0</v>
      </c>
      <c r="G5742" s="538">
        <v>0</v>
      </c>
      <c r="H5742" s="538">
        <f>IF(ISNUMBER(G5742),ROUND(0.8*G5742,2),"")</f>
        <v>0</v>
      </c>
      <c r="I5742" s="538"/>
      <c r="J5742" s="549">
        <f>J$31</f>
        <v>44896</v>
      </c>
    </row>
    <row r="5743" spans="1:10" x14ac:dyDescent="0.35">
      <c r="J5743" s="549"/>
    </row>
    <row r="5744" spans="1:10" ht="54.75" customHeight="1" x14ac:dyDescent="0.35">
      <c r="A5744" s="897" t="s">
        <v>8173</v>
      </c>
      <c r="B5744" s="897"/>
      <c r="C5744" s="897"/>
      <c r="D5744" s="897"/>
      <c r="E5744" s="897"/>
      <c r="F5744" s="897"/>
      <c r="G5744" s="350"/>
      <c r="H5744" s="414" t="str">
        <f>IF(ISNUMBER(G5744),ROUND(0.8*G5744,2),"")</f>
        <v/>
      </c>
      <c r="I5744" s="605"/>
      <c r="J5744" s="549">
        <f>$J$31</f>
        <v>44896</v>
      </c>
    </row>
    <row r="5745" spans="1:10" x14ac:dyDescent="0.35">
      <c r="J5745" s="549"/>
    </row>
    <row r="5746" spans="1:10" ht="15" customHeight="1" x14ac:dyDescent="0.35">
      <c r="A5746" s="528" t="s">
        <v>7930</v>
      </c>
      <c r="B5746" s="526" t="s">
        <v>2269</v>
      </c>
      <c r="C5746" s="529"/>
      <c r="D5746" s="526" t="s">
        <v>8084</v>
      </c>
      <c r="E5746" s="529"/>
      <c r="F5746" s="530"/>
      <c r="G5746" s="531"/>
      <c r="H5746" s="532"/>
      <c r="I5746" s="610"/>
      <c r="J5746" s="549">
        <f t="shared" ref="J5746:J5758" si="1802">$J$31</f>
        <v>44896</v>
      </c>
    </row>
    <row r="5747" spans="1:10" ht="15" customHeight="1" x14ac:dyDescent="0.35">
      <c r="A5747" s="528" t="s">
        <v>7931</v>
      </c>
      <c r="B5747" s="526" t="s">
        <v>5547</v>
      </c>
      <c r="C5747" s="529"/>
      <c r="D5747" s="526" t="s">
        <v>8084</v>
      </c>
      <c r="E5747" s="529"/>
      <c r="F5747" s="530"/>
      <c r="G5747" s="531"/>
      <c r="H5747" s="532"/>
      <c r="I5747" s="610"/>
      <c r="J5747" s="549">
        <f t="shared" si="1802"/>
        <v>44896</v>
      </c>
    </row>
    <row r="5748" spans="1:10" ht="15" customHeight="1" x14ac:dyDescent="0.35">
      <c r="A5748" s="528" t="s">
        <v>7932</v>
      </c>
      <c r="B5748" s="526" t="s">
        <v>4846</v>
      </c>
      <c r="C5748" s="529"/>
      <c r="D5748" s="526" t="s">
        <v>8084</v>
      </c>
      <c r="E5748" s="529"/>
      <c r="F5748" s="530"/>
      <c r="G5748" s="531"/>
      <c r="H5748" s="532"/>
      <c r="I5748" s="610"/>
      <c r="J5748" s="549">
        <f t="shared" si="1802"/>
        <v>44896</v>
      </c>
    </row>
    <row r="5749" spans="1:10" ht="15" customHeight="1" x14ac:dyDescent="0.35">
      <c r="A5749" s="528" t="s">
        <v>7933</v>
      </c>
      <c r="B5749" s="526" t="s">
        <v>5405</v>
      </c>
      <c r="C5749" s="529"/>
      <c r="D5749" s="526" t="s">
        <v>8084</v>
      </c>
      <c r="E5749" s="529"/>
      <c r="F5749" s="530"/>
      <c r="G5749" s="531"/>
      <c r="H5749" s="532"/>
      <c r="I5749" s="610"/>
      <c r="J5749" s="549">
        <f t="shared" si="1802"/>
        <v>44896</v>
      </c>
    </row>
    <row r="5750" spans="1:10" ht="15" customHeight="1" x14ac:dyDescent="0.35">
      <c r="A5750" s="528" t="s">
        <v>7934</v>
      </c>
      <c r="B5750" s="526" t="s">
        <v>5410</v>
      </c>
      <c r="C5750" s="529"/>
      <c r="D5750" s="526" t="s">
        <v>8084</v>
      </c>
      <c r="E5750" s="529"/>
      <c r="F5750" s="530"/>
      <c r="G5750" s="531"/>
      <c r="H5750" s="532"/>
      <c r="I5750" s="610"/>
      <c r="J5750" s="549">
        <f t="shared" si="1802"/>
        <v>44896</v>
      </c>
    </row>
    <row r="5751" spans="1:10" ht="15" customHeight="1" x14ac:dyDescent="0.35">
      <c r="A5751" s="528" t="s">
        <v>7935</v>
      </c>
      <c r="B5751" s="526" t="s">
        <v>5411</v>
      </c>
      <c r="C5751" s="529"/>
      <c r="D5751" s="526" t="s">
        <v>8084</v>
      </c>
      <c r="E5751" s="529"/>
      <c r="F5751" s="530"/>
      <c r="G5751" s="531"/>
      <c r="H5751" s="532"/>
      <c r="I5751" s="610"/>
      <c r="J5751" s="549">
        <f t="shared" si="1802"/>
        <v>44896</v>
      </c>
    </row>
    <row r="5752" spans="1:10" ht="15" customHeight="1" x14ac:dyDescent="0.35">
      <c r="A5752" s="528" t="s">
        <v>7936</v>
      </c>
      <c r="B5752" s="526" t="s">
        <v>2034</v>
      </c>
      <c r="C5752" s="529"/>
      <c r="D5752" s="526" t="s">
        <v>8084</v>
      </c>
      <c r="E5752" s="529"/>
      <c r="F5752" s="530"/>
      <c r="G5752" s="531"/>
      <c r="H5752" s="532"/>
      <c r="I5752" s="610"/>
      <c r="J5752" s="549">
        <f t="shared" si="1802"/>
        <v>44896</v>
      </c>
    </row>
    <row r="5753" spans="1:10" ht="15" customHeight="1" x14ac:dyDescent="0.35">
      <c r="A5753" s="528" t="s">
        <v>7937</v>
      </c>
      <c r="B5753" s="526" t="s">
        <v>2067</v>
      </c>
      <c r="C5753" s="529"/>
      <c r="D5753" s="526" t="s">
        <v>8084</v>
      </c>
      <c r="E5753" s="529"/>
      <c r="F5753" s="530"/>
      <c r="G5753" s="531"/>
      <c r="H5753" s="532"/>
      <c r="I5753" s="610"/>
      <c r="J5753" s="549">
        <f t="shared" si="1802"/>
        <v>44896</v>
      </c>
    </row>
    <row r="5754" spans="1:10" ht="15" customHeight="1" x14ac:dyDescent="0.35">
      <c r="A5754" s="528" t="s">
        <v>7938</v>
      </c>
      <c r="B5754" s="526" t="s">
        <v>3373</v>
      </c>
      <c r="C5754" s="529"/>
      <c r="D5754" s="526" t="s">
        <v>8084</v>
      </c>
      <c r="E5754" s="529"/>
      <c r="F5754" s="530"/>
      <c r="G5754" s="531"/>
      <c r="H5754" s="532"/>
      <c r="I5754" s="610"/>
      <c r="J5754" s="549">
        <f t="shared" si="1802"/>
        <v>44896</v>
      </c>
    </row>
    <row r="5755" spans="1:10" ht="15" customHeight="1" x14ac:dyDescent="0.35">
      <c r="A5755" s="528" t="s">
        <v>7939</v>
      </c>
      <c r="B5755" s="526" t="s">
        <v>3381</v>
      </c>
      <c r="C5755" s="529"/>
      <c r="D5755" s="526" t="s">
        <v>8084</v>
      </c>
      <c r="E5755" s="529"/>
      <c r="F5755" s="530"/>
      <c r="G5755" s="531"/>
      <c r="H5755" s="532"/>
      <c r="I5755" s="610"/>
      <c r="J5755" s="549">
        <f t="shared" si="1802"/>
        <v>44896</v>
      </c>
    </row>
    <row r="5756" spans="1:10" ht="15" customHeight="1" x14ac:dyDescent="0.35">
      <c r="A5756" s="528" t="s">
        <v>7940</v>
      </c>
      <c r="B5756" s="526" t="s">
        <v>3389</v>
      </c>
      <c r="C5756" s="529"/>
      <c r="D5756" s="526" t="s">
        <v>8084</v>
      </c>
      <c r="E5756" s="529"/>
      <c r="F5756" s="530"/>
      <c r="G5756" s="531"/>
      <c r="H5756" s="532"/>
      <c r="I5756" s="610"/>
      <c r="J5756" s="549">
        <f t="shared" si="1802"/>
        <v>44896</v>
      </c>
    </row>
    <row r="5757" spans="1:10" ht="15" customHeight="1" x14ac:dyDescent="0.35">
      <c r="A5757" s="528" t="s">
        <v>7941</v>
      </c>
      <c r="B5757" s="526" t="s">
        <v>740</v>
      </c>
      <c r="C5757" s="529"/>
      <c r="D5757" s="526" t="s">
        <v>8084</v>
      </c>
      <c r="E5757" s="529"/>
      <c r="F5757" s="530"/>
      <c r="G5757" s="531"/>
      <c r="H5757" s="532"/>
      <c r="I5757" s="610"/>
      <c r="J5757" s="549">
        <f t="shared" si="1802"/>
        <v>44896</v>
      </c>
    </row>
    <row r="5758" spans="1:10" ht="15" customHeight="1" x14ac:dyDescent="0.35">
      <c r="A5758" s="528" t="s">
        <v>7942</v>
      </c>
      <c r="B5758" s="526" t="s">
        <v>5434</v>
      </c>
      <c r="C5758" s="529"/>
      <c r="D5758" s="526" t="s">
        <v>8084</v>
      </c>
      <c r="E5758" s="529"/>
      <c r="F5758" s="530"/>
      <c r="G5758" s="531"/>
      <c r="H5758" s="532"/>
      <c r="I5758" s="610"/>
      <c r="J5758" s="549">
        <f t="shared" si="1802"/>
        <v>44896</v>
      </c>
    </row>
    <row r="5759" spans="1:10" x14ac:dyDescent="0.35">
      <c r="J5759" s="549"/>
    </row>
    <row r="5760" spans="1:10" ht="54.75" customHeight="1" x14ac:dyDescent="0.35">
      <c r="A5760" s="897" t="s">
        <v>8174</v>
      </c>
      <c r="B5760" s="897"/>
      <c r="C5760" s="897"/>
      <c r="D5760" s="897"/>
      <c r="E5760" s="897"/>
      <c r="F5760" s="897"/>
      <c r="G5760" s="350"/>
      <c r="H5760" s="414" t="str">
        <f>IF(ISNUMBER(G5760),ROUND(0.8*G5760,2),"")</f>
        <v/>
      </c>
      <c r="I5760" s="605"/>
      <c r="J5760" s="549">
        <f>$J$31</f>
        <v>44896</v>
      </c>
    </row>
    <row r="5761" spans="1:10" x14ac:dyDescent="0.35">
      <c r="J5761" s="549"/>
    </row>
    <row r="5762" spans="1:10" ht="15" customHeight="1" x14ac:dyDescent="0.35">
      <c r="A5762" s="528" t="s">
        <v>7943</v>
      </c>
      <c r="B5762" s="526" t="s">
        <v>5547</v>
      </c>
      <c r="C5762" s="526"/>
      <c r="D5762" s="526" t="s">
        <v>8085</v>
      </c>
      <c r="E5762" s="529"/>
      <c r="F5762" s="530"/>
      <c r="G5762" s="531"/>
      <c r="H5762" s="532"/>
      <c r="I5762" s="610"/>
      <c r="J5762" s="549">
        <f>$J$31</f>
        <v>44896</v>
      </c>
    </row>
    <row r="5763" spans="1:10" x14ac:dyDescent="0.35">
      <c r="J5763" s="549"/>
    </row>
    <row r="5764" spans="1:10" ht="54.75" customHeight="1" x14ac:dyDescent="0.35">
      <c r="A5764" s="897" t="s">
        <v>8175</v>
      </c>
      <c r="B5764" s="897"/>
      <c r="C5764" s="897"/>
      <c r="D5764" s="897"/>
      <c r="E5764" s="897"/>
      <c r="F5764" s="897"/>
      <c r="G5764" s="350"/>
      <c r="H5764" s="414" t="str">
        <f>IF(ISNUMBER(G5764),ROUND(0.8*G5764,2),"")</f>
        <v/>
      </c>
      <c r="I5764" s="605"/>
      <c r="J5764" s="549">
        <f>$J$31</f>
        <v>44896</v>
      </c>
    </row>
    <row r="5765" spans="1:10" x14ac:dyDescent="0.35">
      <c r="J5765" s="549"/>
    </row>
    <row r="5766" spans="1:10" s="524" customFormat="1" ht="15" customHeight="1" x14ac:dyDescent="0.3">
      <c r="A5766" s="846" t="s">
        <v>7944</v>
      </c>
      <c r="B5766" s="619" t="s">
        <v>2067</v>
      </c>
      <c r="C5766" s="619"/>
      <c r="D5766" s="619" t="s">
        <v>8086</v>
      </c>
      <c r="E5766" s="619"/>
      <c r="F5766" s="620"/>
      <c r="G5766" s="621"/>
      <c r="H5766" s="621"/>
      <c r="I5766" s="847"/>
      <c r="J5766" s="848">
        <f>$J$31</f>
        <v>44896</v>
      </c>
    </row>
    <row r="5767" spans="1:10" s="524" customFormat="1" ht="15" customHeight="1" x14ac:dyDescent="0.3">
      <c r="A5767" s="846" t="s">
        <v>7945</v>
      </c>
      <c r="B5767" s="619" t="s">
        <v>3389</v>
      </c>
      <c r="C5767" s="619"/>
      <c r="D5767" s="619" t="s">
        <v>8086</v>
      </c>
      <c r="E5767" s="619"/>
      <c r="F5767" s="620"/>
      <c r="G5767" s="621"/>
      <c r="H5767" s="621"/>
      <c r="I5767" s="847"/>
      <c r="J5767" s="848">
        <f>$J$31</f>
        <v>44896</v>
      </c>
    </row>
    <row r="5768" spans="1:10" x14ac:dyDescent="0.35">
      <c r="J5768" s="549"/>
    </row>
    <row r="5769" spans="1:10" ht="88" customHeight="1" x14ac:dyDescent="0.35">
      <c r="A5769" s="897" t="s">
        <v>8176</v>
      </c>
      <c r="B5769" s="897"/>
      <c r="C5769" s="897"/>
      <c r="D5769" s="897"/>
      <c r="E5769" s="897"/>
      <c r="F5769" s="897"/>
      <c r="G5769" s="350"/>
      <c r="H5769" s="414" t="str">
        <f>IF(ISNUMBER(G5769),ROUND(0.8*G5769,2),"")</f>
        <v/>
      </c>
      <c r="I5769" s="605"/>
      <c r="J5769" s="549">
        <v>44938</v>
      </c>
    </row>
    <row r="5770" spans="1:10" x14ac:dyDescent="0.35">
      <c r="J5770" s="549"/>
    </row>
    <row r="5771" spans="1:10" s="524" customFormat="1" ht="15" customHeight="1" x14ac:dyDescent="0.3">
      <c r="A5771" s="846" t="s">
        <v>7946</v>
      </c>
      <c r="B5771" s="619" t="s">
        <v>2269</v>
      </c>
      <c r="C5771" s="619"/>
      <c r="D5771" s="619" t="s">
        <v>8087</v>
      </c>
      <c r="E5771" s="619"/>
      <c r="F5771" s="620"/>
      <c r="G5771" s="621"/>
      <c r="H5771" s="621"/>
      <c r="I5771" s="847"/>
      <c r="J5771" s="848">
        <f t="shared" ref="J5771:J5783" si="1803">$J$31</f>
        <v>44896</v>
      </c>
    </row>
    <row r="5772" spans="1:10" s="524" customFormat="1" ht="15" customHeight="1" x14ac:dyDescent="0.3">
      <c r="A5772" s="846" t="s">
        <v>7947</v>
      </c>
      <c r="B5772" s="619" t="s">
        <v>5547</v>
      </c>
      <c r="C5772" s="619"/>
      <c r="D5772" s="619" t="s">
        <v>8087</v>
      </c>
      <c r="E5772" s="619"/>
      <c r="F5772" s="620"/>
      <c r="G5772" s="621"/>
      <c r="H5772" s="621"/>
      <c r="I5772" s="847"/>
      <c r="J5772" s="848">
        <f t="shared" si="1803"/>
        <v>44896</v>
      </c>
    </row>
    <row r="5773" spans="1:10" s="524" customFormat="1" ht="15" customHeight="1" x14ac:dyDescent="0.3">
      <c r="A5773" s="846" t="s">
        <v>7948</v>
      </c>
      <c r="B5773" s="619" t="s">
        <v>4846</v>
      </c>
      <c r="C5773" s="619"/>
      <c r="D5773" s="619" t="s">
        <v>8087</v>
      </c>
      <c r="E5773" s="619"/>
      <c r="F5773" s="620"/>
      <c r="G5773" s="621"/>
      <c r="H5773" s="621"/>
      <c r="I5773" s="847"/>
      <c r="J5773" s="848">
        <f t="shared" si="1803"/>
        <v>44896</v>
      </c>
    </row>
    <row r="5774" spans="1:10" s="524" customFormat="1" ht="15" customHeight="1" x14ac:dyDescent="0.3">
      <c r="A5774" s="846" t="s">
        <v>7949</v>
      </c>
      <c r="B5774" s="619" t="s">
        <v>5405</v>
      </c>
      <c r="C5774" s="619"/>
      <c r="D5774" s="619" t="s">
        <v>8087</v>
      </c>
      <c r="E5774" s="619"/>
      <c r="F5774" s="620"/>
      <c r="G5774" s="621"/>
      <c r="H5774" s="621"/>
      <c r="I5774" s="847"/>
      <c r="J5774" s="848">
        <f t="shared" si="1803"/>
        <v>44896</v>
      </c>
    </row>
    <row r="5775" spans="1:10" s="524" customFormat="1" ht="15" customHeight="1" x14ac:dyDescent="0.3">
      <c r="A5775" s="846" t="s">
        <v>7950</v>
      </c>
      <c r="B5775" s="619" t="s">
        <v>5410</v>
      </c>
      <c r="C5775" s="619"/>
      <c r="D5775" s="619" t="s">
        <v>8087</v>
      </c>
      <c r="E5775" s="619"/>
      <c r="F5775" s="620"/>
      <c r="G5775" s="621"/>
      <c r="H5775" s="621"/>
      <c r="I5775" s="847"/>
      <c r="J5775" s="848">
        <f t="shared" si="1803"/>
        <v>44896</v>
      </c>
    </row>
    <row r="5776" spans="1:10" s="524" customFormat="1" ht="15" customHeight="1" x14ac:dyDescent="0.3">
      <c r="A5776" s="846" t="s">
        <v>7951</v>
      </c>
      <c r="B5776" s="619" t="s">
        <v>5411</v>
      </c>
      <c r="C5776" s="619"/>
      <c r="D5776" s="619" t="s">
        <v>8087</v>
      </c>
      <c r="E5776" s="619"/>
      <c r="F5776" s="620"/>
      <c r="G5776" s="621"/>
      <c r="H5776" s="621"/>
      <c r="I5776" s="847"/>
      <c r="J5776" s="848">
        <f t="shared" si="1803"/>
        <v>44896</v>
      </c>
    </row>
    <row r="5777" spans="1:10" s="524" customFormat="1" ht="15" customHeight="1" x14ac:dyDescent="0.3">
      <c r="A5777" s="846" t="s">
        <v>7952</v>
      </c>
      <c r="B5777" s="619" t="s">
        <v>2034</v>
      </c>
      <c r="C5777" s="619"/>
      <c r="D5777" s="619" t="s">
        <v>8087</v>
      </c>
      <c r="E5777" s="619"/>
      <c r="F5777" s="620"/>
      <c r="G5777" s="621"/>
      <c r="H5777" s="621"/>
      <c r="I5777" s="847"/>
      <c r="J5777" s="848">
        <f t="shared" si="1803"/>
        <v>44896</v>
      </c>
    </row>
    <row r="5778" spans="1:10" s="524" customFormat="1" ht="15" customHeight="1" x14ac:dyDescent="0.3">
      <c r="A5778" s="846" t="s">
        <v>7953</v>
      </c>
      <c r="B5778" s="619" t="s">
        <v>2067</v>
      </c>
      <c r="C5778" s="619"/>
      <c r="D5778" s="619" t="s">
        <v>8087</v>
      </c>
      <c r="E5778" s="619"/>
      <c r="F5778" s="620"/>
      <c r="G5778" s="621"/>
      <c r="H5778" s="621"/>
      <c r="I5778" s="847"/>
      <c r="J5778" s="848">
        <f t="shared" si="1803"/>
        <v>44896</v>
      </c>
    </row>
    <row r="5779" spans="1:10" s="524" customFormat="1" ht="15" customHeight="1" x14ac:dyDescent="0.3">
      <c r="A5779" s="846" t="s">
        <v>7954</v>
      </c>
      <c r="B5779" s="619" t="s">
        <v>3373</v>
      </c>
      <c r="C5779" s="619"/>
      <c r="D5779" s="619" t="s">
        <v>8087</v>
      </c>
      <c r="E5779" s="619"/>
      <c r="F5779" s="620"/>
      <c r="G5779" s="621"/>
      <c r="H5779" s="621"/>
      <c r="I5779" s="847"/>
      <c r="J5779" s="848">
        <f t="shared" si="1803"/>
        <v>44896</v>
      </c>
    </row>
    <row r="5780" spans="1:10" s="524" customFormat="1" ht="15" customHeight="1" x14ac:dyDescent="0.3">
      <c r="A5780" s="846" t="s">
        <v>7955</v>
      </c>
      <c r="B5780" s="619" t="s">
        <v>3381</v>
      </c>
      <c r="C5780" s="619"/>
      <c r="D5780" s="619" t="s">
        <v>8087</v>
      </c>
      <c r="E5780" s="619"/>
      <c r="F5780" s="620"/>
      <c r="G5780" s="621"/>
      <c r="H5780" s="621"/>
      <c r="I5780" s="847"/>
      <c r="J5780" s="848">
        <f t="shared" si="1803"/>
        <v>44896</v>
      </c>
    </row>
    <row r="5781" spans="1:10" s="524" customFormat="1" ht="15" customHeight="1" x14ac:dyDescent="0.3">
      <c r="A5781" s="846" t="s">
        <v>7956</v>
      </c>
      <c r="B5781" s="619" t="s">
        <v>3389</v>
      </c>
      <c r="C5781" s="619"/>
      <c r="D5781" s="619" t="s">
        <v>8087</v>
      </c>
      <c r="E5781" s="619"/>
      <c r="F5781" s="620"/>
      <c r="G5781" s="621"/>
      <c r="H5781" s="621"/>
      <c r="I5781" s="847"/>
      <c r="J5781" s="848">
        <f t="shared" si="1803"/>
        <v>44896</v>
      </c>
    </row>
    <row r="5782" spans="1:10" s="524" customFormat="1" ht="15" customHeight="1" x14ac:dyDescent="0.3">
      <c r="A5782" s="846" t="s">
        <v>7957</v>
      </c>
      <c r="B5782" s="619" t="s">
        <v>740</v>
      </c>
      <c r="C5782" s="619"/>
      <c r="D5782" s="619" t="s">
        <v>8087</v>
      </c>
      <c r="E5782" s="619"/>
      <c r="F5782" s="620"/>
      <c r="G5782" s="621"/>
      <c r="H5782" s="621"/>
      <c r="I5782" s="847"/>
      <c r="J5782" s="848">
        <f t="shared" si="1803"/>
        <v>44896</v>
      </c>
    </row>
    <row r="5783" spans="1:10" s="524" customFormat="1" ht="15" customHeight="1" x14ac:dyDescent="0.3">
      <c r="A5783" s="846" t="s">
        <v>7958</v>
      </c>
      <c r="B5783" s="619" t="s">
        <v>5434</v>
      </c>
      <c r="C5783" s="619"/>
      <c r="D5783" s="619" t="s">
        <v>8087</v>
      </c>
      <c r="E5783" s="619"/>
      <c r="F5783" s="620"/>
      <c r="G5783" s="621"/>
      <c r="H5783" s="621"/>
      <c r="I5783" s="847"/>
      <c r="J5783" s="848">
        <f t="shared" si="1803"/>
        <v>44896</v>
      </c>
    </row>
    <row r="5784" spans="1:10" x14ac:dyDescent="0.35">
      <c r="J5784" s="549"/>
    </row>
    <row r="5785" spans="1:10" ht="76" customHeight="1" x14ac:dyDescent="0.35">
      <c r="A5785" s="897" t="s">
        <v>8177</v>
      </c>
      <c r="B5785" s="897"/>
      <c r="C5785" s="897"/>
      <c r="D5785" s="897"/>
      <c r="E5785" s="897"/>
      <c r="F5785" s="897"/>
      <c r="G5785" s="350"/>
      <c r="H5785" s="414" t="str">
        <f>IF(ISNUMBER(G5785),ROUND(0.8*G5785,2),"")</f>
        <v/>
      </c>
      <c r="I5785" s="605"/>
      <c r="J5785" s="549">
        <v>44938</v>
      </c>
    </row>
    <row r="5786" spans="1:10" x14ac:dyDescent="0.35">
      <c r="J5786" s="549"/>
    </row>
    <row r="5787" spans="1:10" s="524" customFormat="1" ht="15" customHeight="1" x14ac:dyDescent="0.3">
      <c r="A5787" s="846" t="s">
        <v>7959</v>
      </c>
      <c r="B5787" s="619" t="s">
        <v>2269</v>
      </c>
      <c r="C5787" s="619"/>
      <c r="D5787" s="619" t="s">
        <v>8089</v>
      </c>
      <c r="E5787" s="619"/>
      <c r="F5787" s="620"/>
      <c r="G5787" s="621"/>
      <c r="H5787" s="621"/>
      <c r="I5787" s="847"/>
      <c r="J5787" s="848">
        <f t="shared" ref="J5787:J5799" si="1804">$J$31</f>
        <v>44896</v>
      </c>
    </row>
    <row r="5788" spans="1:10" s="524" customFormat="1" ht="15" customHeight="1" x14ac:dyDescent="0.3">
      <c r="A5788" s="846" t="s">
        <v>7960</v>
      </c>
      <c r="B5788" s="619" t="s">
        <v>5547</v>
      </c>
      <c r="C5788" s="619"/>
      <c r="D5788" s="619" t="s">
        <v>8089</v>
      </c>
      <c r="E5788" s="619"/>
      <c r="F5788" s="620"/>
      <c r="G5788" s="621"/>
      <c r="H5788" s="621"/>
      <c r="I5788" s="847"/>
      <c r="J5788" s="848">
        <f t="shared" si="1804"/>
        <v>44896</v>
      </c>
    </row>
    <row r="5789" spans="1:10" s="524" customFormat="1" ht="15" customHeight="1" x14ac:dyDescent="0.3">
      <c r="A5789" s="846" t="s">
        <v>7961</v>
      </c>
      <c r="B5789" s="619" t="s">
        <v>4846</v>
      </c>
      <c r="C5789" s="619"/>
      <c r="D5789" s="619" t="s">
        <v>8089</v>
      </c>
      <c r="E5789" s="619"/>
      <c r="F5789" s="620"/>
      <c r="G5789" s="621"/>
      <c r="H5789" s="621"/>
      <c r="I5789" s="847"/>
      <c r="J5789" s="848">
        <f t="shared" si="1804"/>
        <v>44896</v>
      </c>
    </row>
    <row r="5790" spans="1:10" s="524" customFormat="1" ht="15" customHeight="1" x14ac:dyDescent="0.3">
      <c r="A5790" s="846" t="s">
        <v>7962</v>
      </c>
      <c r="B5790" s="619" t="s">
        <v>5405</v>
      </c>
      <c r="C5790" s="619"/>
      <c r="D5790" s="619" t="s">
        <v>8089</v>
      </c>
      <c r="E5790" s="619"/>
      <c r="F5790" s="620"/>
      <c r="G5790" s="621"/>
      <c r="H5790" s="621"/>
      <c r="I5790" s="847"/>
      <c r="J5790" s="848">
        <f t="shared" si="1804"/>
        <v>44896</v>
      </c>
    </row>
    <row r="5791" spans="1:10" s="524" customFormat="1" ht="15" customHeight="1" x14ac:dyDescent="0.3">
      <c r="A5791" s="846" t="s">
        <v>7963</v>
      </c>
      <c r="B5791" s="619" t="s">
        <v>5410</v>
      </c>
      <c r="C5791" s="619"/>
      <c r="D5791" s="619" t="s">
        <v>8089</v>
      </c>
      <c r="E5791" s="619"/>
      <c r="F5791" s="620"/>
      <c r="G5791" s="621"/>
      <c r="H5791" s="621"/>
      <c r="I5791" s="847"/>
      <c r="J5791" s="848">
        <f t="shared" si="1804"/>
        <v>44896</v>
      </c>
    </row>
    <row r="5792" spans="1:10" s="524" customFormat="1" ht="15" customHeight="1" x14ac:dyDescent="0.3">
      <c r="A5792" s="846" t="s">
        <v>7964</v>
      </c>
      <c r="B5792" s="619" t="s">
        <v>5411</v>
      </c>
      <c r="C5792" s="619"/>
      <c r="D5792" s="619" t="s">
        <v>8089</v>
      </c>
      <c r="E5792" s="619"/>
      <c r="F5792" s="620"/>
      <c r="G5792" s="621"/>
      <c r="H5792" s="621"/>
      <c r="I5792" s="847"/>
      <c r="J5792" s="848">
        <f t="shared" si="1804"/>
        <v>44896</v>
      </c>
    </row>
    <row r="5793" spans="1:10" s="524" customFormat="1" ht="15" customHeight="1" x14ac:dyDescent="0.3">
      <c r="A5793" s="846" t="s">
        <v>7965</v>
      </c>
      <c r="B5793" s="619" t="s">
        <v>2034</v>
      </c>
      <c r="C5793" s="619"/>
      <c r="D5793" s="619" t="s">
        <v>8089</v>
      </c>
      <c r="E5793" s="619"/>
      <c r="F5793" s="620"/>
      <c r="G5793" s="621"/>
      <c r="H5793" s="621"/>
      <c r="I5793" s="847"/>
      <c r="J5793" s="848">
        <f t="shared" si="1804"/>
        <v>44896</v>
      </c>
    </row>
    <row r="5794" spans="1:10" s="524" customFormat="1" ht="15" customHeight="1" x14ac:dyDescent="0.3">
      <c r="A5794" s="846" t="s">
        <v>7966</v>
      </c>
      <c r="B5794" s="619" t="s">
        <v>2067</v>
      </c>
      <c r="C5794" s="619"/>
      <c r="D5794" s="619" t="s">
        <v>8089</v>
      </c>
      <c r="E5794" s="619"/>
      <c r="F5794" s="620"/>
      <c r="G5794" s="621"/>
      <c r="H5794" s="621"/>
      <c r="I5794" s="847"/>
      <c r="J5794" s="848">
        <f t="shared" si="1804"/>
        <v>44896</v>
      </c>
    </row>
    <row r="5795" spans="1:10" s="524" customFormat="1" ht="15" customHeight="1" x14ac:dyDescent="0.3">
      <c r="A5795" s="846" t="s">
        <v>7967</v>
      </c>
      <c r="B5795" s="619" t="s">
        <v>3373</v>
      </c>
      <c r="C5795" s="619"/>
      <c r="D5795" s="619" t="s">
        <v>8089</v>
      </c>
      <c r="E5795" s="619"/>
      <c r="F5795" s="620"/>
      <c r="G5795" s="621"/>
      <c r="H5795" s="621"/>
      <c r="I5795" s="847"/>
      <c r="J5795" s="848">
        <f t="shared" si="1804"/>
        <v>44896</v>
      </c>
    </row>
    <row r="5796" spans="1:10" s="524" customFormat="1" ht="15" customHeight="1" x14ac:dyDescent="0.3">
      <c r="A5796" s="846" t="s">
        <v>7968</v>
      </c>
      <c r="B5796" s="619" t="s">
        <v>3381</v>
      </c>
      <c r="C5796" s="619"/>
      <c r="D5796" s="619" t="s">
        <v>8089</v>
      </c>
      <c r="E5796" s="619"/>
      <c r="F5796" s="620"/>
      <c r="G5796" s="621"/>
      <c r="H5796" s="621"/>
      <c r="I5796" s="847"/>
      <c r="J5796" s="848">
        <f t="shared" si="1804"/>
        <v>44896</v>
      </c>
    </row>
    <row r="5797" spans="1:10" s="524" customFormat="1" ht="15" customHeight="1" x14ac:dyDescent="0.3">
      <c r="A5797" s="846" t="s">
        <v>7969</v>
      </c>
      <c r="B5797" s="619" t="s">
        <v>3389</v>
      </c>
      <c r="C5797" s="619"/>
      <c r="D5797" s="619" t="s">
        <v>8089</v>
      </c>
      <c r="E5797" s="619"/>
      <c r="F5797" s="620"/>
      <c r="G5797" s="621"/>
      <c r="H5797" s="621"/>
      <c r="I5797" s="847"/>
      <c r="J5797" s="848">
        <f t="shared" si="1804"/>
        <v>44896</v>
      </c>
    </row>
    <row r="5798" spans="1:10" s="524" customFormat="1" ht="15" customHeight="1" x14ac:dyDescent="0.3">
      <c r="A5798" s="846" t="s">
        <v>7970</v>
      </c>
      <c r="B5798" s="619" t="s">
        <v>740</v>
      </c>
      <c r="C5798" s="619"/>
      <c r="D5798" s="619" t="s">
        <v>8089</v>
      </c>
      <c r="E5798" s="619"/>
      <c r="F5798" s="620"/>
      <c r="G5798" s="621"/>
      <c r="H5798" s="621"/>
      <c r="I5798" s="847"/>
      <c r="J5798" s="848">
        <f t="shared" si="1804"/>
        <v>44896</v>
      </c>
    </row>
    <row r="5799" spans="1:10" s="524" customFormat="1" ht="15" customHeight="1" x14ac:dyDescent="0.3">
      <c r="A5799" s="846" t="s">
        <v>7971</v>
      </c>
      <c r="B5799" s="619" t="s">
        <v>5434</v>
      </c>
      <c r="C5799" s="619"/>
      <c r="D5799" s="619" t="s">
        <v>8089</v>
      </c>
      <c r="E5799" s="619"/>
      <c r="F5799" s="620"/>
      <c r="G5799" s="621"/>
      <c r="H5799" s="621"/>
      <c r="I5799" s="847"/>
      <c r="J5799" s="848">
        <f t="shared" si="1804"/>
        <v>44896</v>
      </c>
    </row>
    <row r="5800" spans="1:10" x14ac:dyDescent="0.35">
      <c r="J5800" s="549"/>
    </row>
    <row r="5801" spans="1:10" ht="54.75" customHeight="1" x14ac:dyDescent="0.35">
      <c r="A5801" s="897" t="s">
        <v>8178</v>
      </c>
      <c r="B5801" s="897"/>
      <c r="C5801" s="897"/>
      <c r="D5801" s="897"/>
      <c r="E5801" s="897"/>
      <c r="F5801" s="897"/>
      <c r="G5801" s="350"/>
      <c r="H5801" s="414" t="str">
        <f>IF(ISNUMBER(G5801),ROUND(0.8*G5801,2),"")</f>
        <v/>
      </c>
      <c r="I5801" s="605"/>
      <c r="J5801" s="549">
        <f>$J$31</f>
        <v>44896</v>
      </c>
    </row>
    <row r="5802" spans="1:10" x14ac:dyDescent="0.35">
      <c r="J5802" s="549"/>
    </row>
    <row r="5803" spans="1:10" s="524" customFormat="1" ht="15" customHeight="1" x14ac:dyDescent="0.3">
      <c r="A5803" s="846" t="s">
        <v>7972</v>
      </c>
      <c r="B5803" s="619" t="s">
        <v>2269</v>
      </c>
      <c r="C5803" s="619"/>
      <c r="D5803" s="619" t="s">
        <v>8090</v>
      </c>
      <c r="E5803" s="619"/>
      <c r="F5803" s="620"/>
      <c r="G5803" s="621"/>
      <c r="H5803" s="621"/>
      <c r="I5803" s="847"/>
      <c r="J5803" s="848">
        <f t="shared" ref="J5803:J5815" si="1805">$J$31</f>
        <v>44896</v>
      </c>
    </row>
    <row r="5804" spans="1:10" s="524" customFormat="1" ht="15" customHeight="1" x14ac:dyDescent="0.3">
      <c r="A5804" s="846" t="s">
        <v>7973</v>
      </c>
      <c r="B5804" s="619" t="s">
        <v>5547</v>
      </c>
      <c r="C5804" s="619"/>
      <c r="D5804" s="619" t="s">
        <v>8090</v>
      </c>
      <c r="E5804" s="619"/>
      <c r="F5804" s="620"/>
      <c r="G5804" s="621"/>
      <c r="H5804" s="621"/>
      <c r="I5804" s="847"/>
      <c r="J5804" s="848">
        <f t="shared" si="1805"/>
        <v>44896</v>
      </c>
    </row>
    <row r="5805" spans="1:10" s="524" customFormat="1" ht="15" customHeight="1" x14ac:dyDescent="0.3">
      <c r="A5805" s="846" t="s">
        <v>7974</v>
      </c>
      <c r="B5805" s="619" t="s">
        <v>4846</v>
      </c>
      <c r="C5805" s="619"/>
      <c r="D5805" s="619" t="s">
        <v>8090</v>
      </c>
      <c r="E5805" s="619"/>
      <c r="F5805" s="620"/>
      <c r="G5805" s="621"/>
      <c r="H5805" s="621"/>
      <c r="I5805" s="847"/>
      <c r="J5805" s="848">
        <f t="shared" si="1805"/>
        <v>44896</v>
      </c>
    </row>
    <row r="5806" spans="1:10" s="524" customFormat="1" ht="15" customHeight="1" x14ac:dyDescent="0.3">
      <c r="A5806" s="846" t="s">
        <v>7975</v>
      </c>
      <c r="B5806" s="619" t="s">
        <v>5405</v>
      </c>
      <c r="C5806" s="619"/>
      <c r="D5806" s="619" t="s">
        <v>8090</v>
      </c>
      <c r="E5806" s="619"/>
      <c r="F5806" s="620"/>
      <c r="G5806" s="621"/>
      <c r="H5806" s="621"/>
      <c r="I5806" s="847"/>
      <c r="J5806" s="848">
        <f t="shared" si="1805"/>
        <v>44896</v>
      </c>
    </row>
    <row r="5807" spans="1:10" s="524" customFormat="1" ht="15" customHeight="1" x14ac:dyDescent="0.3">
      <c r="A5807" s="846" t="s">
        <v>7976</v>
      </c>
      <c r="B5807" s="619" t="s">
        <v>5410</v>
      </c>
      <c r="C5807" s="619"/>
      <c r="D5807" s="619" t="s">
        <v>8090</v>
      </c>
      <c r="E5807" s="619"/>
      <c r="F5807" s="620"/>
      <c r="G5807" s="621"/>
      <c r="H5807" s="621"/>
      <c r="I5807" s="847"/>
      <c r="J5807" s="848">
        <f t="shared" si="1805"/>
        <v>44896</v>
      </c>
    </row>
    <row r="5808" spans="1:10" s="524" customFormat="1" ht="15" customHeight="1" x14ac:dyDescent="0.3">
      <c r="A5808" s="846" t="s">
        <v>7977</v>
      </c>
      <c r="B5808" s="619" t="s">
        <v>5411</v>
      </c>
      <c r="C5808" s="619"/>
      <c r="D5808" s="619" t="s">
        <v>8090</v>
      </c>
      <c r="E5808" s="619"/>
      <c r="F5808" s="620"/>
      <c r="G5808" s="621"/>
      <c r="H5808" s="621"/>
      <c r="I5808" s="847"/>
      <c r="J5808" s="848">
        <f t="shared" si="1805"/>
        <v>44896</v>
      </c>
    </row>
    <row r="5809" spans="1:10" s="524" customFormat="1" ht="15" customHeight="1" x14ac:dyDescent="0.3">
      <c r="A5809" s="846" t="s">
        <v>7978</v>
      </c>
      <c r="B5809" s="619" t="s">
        <v>2034</v>
      </c>
      <c r="C5809" s="619"/>
      <c r="D5809" s="619" t="s">
        <v>8090</v>
      </c>
      <c r="E5809" s="619"/>
      <c r="F5809" s="620"/>
      <c r="G5809" s="621"/>
      <c r="H5809" s="621"/>
      <c r="I5809" s="847"/>
      <c r="J5809" s="848">
        <f t="shared" si="1805"/>
        <v>44896</v>
      </c>
    </row>
    <row r="5810" spans="1:10" s="524" customFormat="1" ht="15" customHeight="1" x14ac:dyDescent="0.3">
      <c r="A5810" s="846" t="s">
        <v>7979</v>
      </c>
      <c r="B5810" s="619" t="s">
        <v>2067</v>
      </c>
      <c r="C5810" s="619"/>
      <c r="D5810" s="619" t="s">
        <v>8090</v>
      </c>
      <c r="E5810" s="619"/>
      <c r="F5810" s="620"/>
      <c r="G5810" s="621"/>
      <c r="H5810" s="621"/>
      <c r="I5810" s="847"/>
      <c r="J5810" s="848">
        <f t="shared" si="1805"/>
        <v>44896</v>
      </c>
    </row>
    <row r="5811" spans="1:10" s="524" customFormat="1" ht="15" customHeight="1" x14ac:dyDescent="0.3">
      <c r="A5811" s="846" t="s">
        <v>7980</v>
      </c>
      <c r="B5811" s="619" t="s">
        <v>3373</v>
      </c>
      <c r="C5811" s="619"/>
      <c r="D5811" s="619" t="s">
        <v>8090</v>
      </c>
      <c r="E5811" s="619"/>
      <c r="F5811" s="620"/>
      <c r="G5811" s="621"/>
      <c r="H5811" s="621"/>
      <c r="I5811" s="847"/>
      <c r="J5811" s="848">
        <f t="shared" si="1805"/>
        <v>44896</v>
      </c>
    </row>
    <row r="5812" spans="1:10" s="524" customFormat="1" ht="15" customHeight="1" x14ac:dyDescent="0.3">
      <c r="A5812" s="846" t="s">
        <v>7981</v>
      </c>
      <c r="B5812" s="619" t="s">
        <v>3381</v>
      </c>
      <c r="C5812" s="619"/>
      <c r="D5812" s="619" t="s">
        <v>8090</v>
      </c>
      <c r="E5812" s="619"/>
      <c r="F5812" s="620"/>
      <c r="G5812" s="621"/>
      <c r="H5812" s="621"/>
      <c r="I5812" s="847"/>
      <c r="J5812" s="848">
        <f t="shared" si="1805"/>
        <v>44896</v>
      </c>
    </row>
    <row r="5813" spans="1:10" s="524" customFormat="1" ht="15" customHeight="1" x14ac:dyDescent="0.3">
      <c r="A5813" s="846" t="s">
        <v>7982</v>
      </c>
      <c r="B5813" s="619" t="s">
        <v>3389</v>
      </c>
      <c r="C5813" s="619"/>
      <c r="D5813" s="619" t="s">
        <v>8090</v>
      </c>
      <c r="E5813" s="619"/>
      <c r="F5813" s="620"/>
      <c r="G5813" s="621"/>
      <c r="H5813" s="621"/>
      <c r="I5813" s="847"/>
      <c r="J5813" s="848">
        <f t="shared" si="1805"/>
        <v>44896</v>
      </c>
    </row>
    <row r="5814" spans="1:10" s="524" customFormat="1" ht="15" customHeight="1" x14ac:dyDescent="0.3">
      <c r="A5814" s="846" t="s">
        <v>7983</v>
      </c>
      <c r="B5814" s="619" t="s">
        <v>740</v>
      </c>
      <c r="C5814" s="619"/>
      <c r="D5814" s="619" t="s">
        <v>8090</v>
      </c>
      <c r="E5814" s="619"/>
      <c r="F5814" s="620"/>
      <c r="G5814" s="621"/>
      <c r="H5814" s="621"/>
      <c r="I5814" s="847"/>
      <c r="J5814" s="848">
        <f t="shared" si="1805"/>
        <v>44896</v>
      </c>
    </row>
    <row r="5815" spans="1:10" s="524" customFormat="1" ht="15" customHeight="1" x14ac:dyDescent="0.3">
      <c r="A5815" s="846" t="s">
        <v>7984</v>
      </c>
      <c r="B5815" s="619" t="s">
        <v>5434</v>
      </c>
      <c r="C5815" s="619"/>
      <c r="D5815" s="619" t="s">
        <v>8090</v>
      </c>
      <c r="E5815" s="619"/>
      <c r="F5815" s="620"/>
      <c r="G5815" s="621"/>
      <c r="H5815" s="621"/>
      <c r="I5815" s="847"/>
      <c r="J5815" s="848">
        <f t="shared" si="1805"/>
        <v>44896</v>
      </c>
    </row>
    <row r="5816" spans="1:10" x14ac:dyDescent="0.35">
      <c r="J5816" s="549"/>
    </row>
    <row r="5817" spans="1:10" ht="54.75" customHeight="1" x14ac:dyDescent="0.35">
      <c r="A5817" s="897" t="s">
        <v>8179</v>
      </c>
      <c r="B5817" s="897"/>
      <c r="C5817" s="897"/>
      <c r="D5817" s="897"/>
      <c r="E5817" s="897"/>
      <c r="F5817" s="897"/>
      <c r="G5817" s="350"/>
      <c r="H5817" s="414" t="str">
        <f>IF(ISNUMBER(G5817),ROUND(0.8*G5817,2),"")</f>
        <v/>
      </c>
      <c r="I5817" s="605"/>
      <c r="J5817" s="549">
        <f>$J$31</f>
        <v>44896</v>
      </c>
    </row>
    <row r="5818" spans="1:10" x14ac:dyDescent="0.35">
      <c r="J5818" s="549"/>
    </row>
    <row r="5819" spans="1:10" s="524" customFormat="1" ht="15" customHeight="1" x14ac:dyDescent="0.3">
      <c r="A5819" s="846" t="s">
        <v>7985</v>
      </c>
      <c r="B5819" s="619" t="s">
        <v>2269</v>
      </c>
      <c r="C5819" s="619"/>
      <c r="D5819" s="619" t="s">
        <v>8091</v>
      </c>
      <c r="E5819" s="619"/>
      <c r="F5819" s="620"/>
      <c r="G5819" s="621"/>
      <c r="H5819" s="621"/>
      <c r="I5819" s="847"/>
      <c r="J5819" s="848">
        <f t="shared" ref="J5819:J5831" si="1806">$J$31</f>
        <v>44896</v>
      </c>
    </row>
    <row r="5820" spans="1:10" s="524" customFormat="1" ht="15" customHeight="1" x14ac:dyDescent="0.3">
      <c r="A5820" s="846" t="s">
        <v>7986</v>
      </c>
      <c r="B5820" s="619" t="s">
        <v>5547</v>
      </c>
      <c r="C5820" s="619"/>
      <c r="D5820" s="619" t="s">
        <v>8091</v>
      </c>
      <c r="E5820" s="619"/>
      <c r="F5820" s="620"/>
      <c r="G5820" s="621"/>
      <c r="H5820" s="621"/>
      <c r="I5820" s="847"/>
      <c r="J5820" s="848">
        <f t="shared" si="1806"/>
        <v>44896</v>
      </c>
    </row>
    <row r="5821" spans="1:10" s="524" customFormat="1" ht="15" customHeight="1" x14ac:dyDescent="0.3">
      <c r="A5821" s="846" t="s">
        <v>7987</v>
      </c>
      <c r="B5821" s="619" t="s">
        <v>4846</v>
      </c>
      <c r="C5821" s="619"/>
      <c r="D5821" s="619" t="s">
        <v>8091</v>
      </c>
      <c r="E5821" s="619"/>
      <c r="F5821" s="620"/>
      <c r="G5821" s="621"/>
      <c r="H5821" s="621"/>
      <c r="I5821" s="847"/>
      <c r="J5821" s="848">
        <f t="shared" si="1806"/>
        <v>44896</v>
      </c>
    </row>
    <row r="5822" spans="1:10" s="524" customFormat="1" ht="15" customHeight="1" x14ac:dyDescent="0.3">
      <c r="A5822" s="846" t="s">
        <v>7988</v>
      </c>
      <c r="B5822" s="619" t="s">
        <v>5405</v>
      </c>
      <c r="C5822" s="619"/>
      <c r="D5822" s="619" t="s">
        <v>8091</v>
      </c>
      <c r="E5822" s="619"/>
      <c r="F5822" s="620"/>
      <c r="G5822" s="621"/>
      <c r="H5822" s="621"/>
      <c r="I5822" s="847"/>
      <c r="J5822" s="848">
        <f t="shared" si="1806"/>
        <v>44896</v>
      </c>
    </row>
    <row r="5823" spans="1:10" s="524" customFormat="1" ht="15" customHeight="1" x14ac:dyDescent="0.3">
      <c r="A5823" s="846" t="s">
        <v>7989</v>
      </c>
      <c r="B5823" s="619" t="s">
        <v>5410</v>
      </c>
      <c r="C5823" s="619"/>
      <c r="D5823" s="619" t="s">
        <v>8091</v>
      </c>
      <c r="E5823" s="619"/>
      <c r="F5823" s="620"/>
      <c r="G5823" s="621"/>
      <c r="H5823" s="621"/>
      <c r="I5823" s="847"/>
      <c r="J5823" s="848">
        <f t="shared" si="1806"/>
        <v>44896</v>
      </c>
    </row>
    <row r="5824" spans="1:10" s="524" customFormat="1" ht="15" customHeight="1" x14ac:dyDescent="0.3">
      <c r="A5824" s="846" t="s">
        <v>7990</v>
      </c>
      <c r="B5824" s="619" t="s">
        <v>5411</v>
      </c>
      <c r="C5824" s="619"/>
      <c r="D5824" s="619" t="s">
        <v>8091</v>
      </c>
      <c r="E5824" s="619"/>
      <c r="F5824" s="620"/>
      <c r="G5824" s="621"/>
      <c r="H5824" s="621"/>
      <c r="I5824" s="847"/>
      <c r="J5824" s="848">
        <f t="shared" si="1806"/>
        <v>44896</v>
      </c>
    </row>
    <row r="5825" spans="1:10" s="524" customFormat="1" ht="15" customHeight="1" x14ac:dyDescent="0.3">
      <c r="A5825" s="846" t="s">
        <v>7991</v>
      </c>
      <c r="B5825" s="619" t="s">
        <v>2034</v>
      </c>
      <c r="C5825" s="619"/>
      <c r="D5825" s="619" t="s">
        <v>8091</v>
      </c>
      <c r="E5825" s="619"/>
      <c r="F5825" s="620"/>
      <c r="G5825" s="621"/>
      <c r="H5825" s="621"/>
      <c r="I5825" s="847"/>
      <c r="J5825" s="848">
        <f t="shared" si="1806"/>
        <v>44896</v>
      </c>
    </row>
    <row r="5826" spans="1:10" s="524" customFormat="1" ht="15" customHeight="1" x14ac:dyDescent="0.3">
      <c r="A5826" s="846" t="s">
        <v>7992</v>
      </c>
      <c r="B5826" s="619" t="s">
        <v>2067</v>
      </c>
      <c r="C5826" s="619"/>
      <c r="D5826" s="619" t="s">
        <v>8091</v>
      </c>
      <c r="E5826" s="619"/>
      <c r="F5826" s="620"/>
      <c r="G5826" s="621"/>
      <c r="H5826" s="621"/>
      <c r="I5826" s="847"/>
      <c r="J5826" s="848">
        <f t="shared" si="1806"/>
        <v>44896</v>
      </c>
    </row>
    <row r="5827" spans="1:10" s="524" customFormat="1" ht="15" customHeight="1" x14ac:dyDescent="0.3">
      <c r="A5827" s="846" t="s">
        <v>7993</v>
      </c>
      <c r="B5827" s="619" t="s">
        <v>3373</v>
      </c>
      <c r="C5827" s="619"/>
      <c r="D5827" s="619" t="s">
        <v>8091</v>
      </c>
      <c r="E5827" s="619"/>
      <c r="F5827" s="620"/>
      <c r="G5827" s="621"/>
      <c r="H5827" s="621"/>
      <c r="I5827" s="847"/>
      <c r="J5827" s="848">
        <f t="shared" si="1806"/>
        <v>44896</v>
      </c>
    </row>
    <row r="5828" spans="1:10" s="524" customFormat="1" ht="15" customHeight="1" x14ac:dyDescent="0.3">
      <c r="A5828" s="846" t="s">
        <v>7994</v>
      </c>
      <c r="B5828" s="619" t="s">
        <v>3381</v>
      </c>
      <c r="C5828" s="619"/>
      <c r="D5828" s="619" t="s">
        <v>8091</v>
      </c>
      <c r="E5828" s="619"/>
      <c r="F5828" s="620"/>
      <c r="G5828" s="621"/>
      <c r="H5828" s="621"/>
      <c r="I5828" s="847"/>
      <c r="J5828" s="848">
        <f t="shared" si="1806"/>
        <v>44896</v>
      </c>
    </row>
    <row r="5829" spans="1:10" s="524" customFormat="1" ht="15" customHeight="1" x14ac:dyDescent="0.3">
      <c r="A5829" s="846" t="s">
        <v>7995</v>
      </c>
      <c r="B5829" s="619" t="s">
        <v>3389</v>
      </c>
      <c r="C5829" s="619"/>
      <c r="D5829" s="619" t="s">
        <v>8091</v>
      </c>
      <c r="E5829" s="619"/>
      <c r="F5829" s="620"/>
      <c r="G5829" s="621"/>
      <c r="H5829" s="621"/>
      <c r="I5829" s="847"/>
      <c r="J5829" s="848">
        <f t="shared" si="1806"/>
        <v>44896</v>
      </c>
    </row>
    <row r="5830" spans="1:10" s="524" customFormat="1" ht="15" customHeight="1" x14ac:dyDescent="0.3">
      <c r="A5830" s="846" t="s">
        <v>7996</v>
      </c>
      <c r="B5830" s="619" t="s">
        <v>740</v>
      </c>
      <c r="C5830" s="619"/>
      <c r="D5830" s="619" t="s">
        <v>8091</v>
      </c>
      <c r="E5830" s="619"/>
      <c r="F5830" s="620"/>
      <c r="G5830" s="621"/>
      <c r="H5830" s="621"/>
      <c r="I5830" s="847"/>
      <c r="J5830" s="848">
        <f t="shared" si="1806"/>
        <v>44896</v>
      </c>
    </row>
    <row r="5831" spans="1:10" s="524" customFormat="1" ht="15" customHeight="1" x14ac:dyDescent="0.3">
      <c r="A5831" s="846" t="s">
        <v>7997</v>
      </c>
      <c r="B5831" s="619" t="s">
        <v>5434</v>
      </c>
      <c r="C5831" s="619"/>
      <c r="D5831" s="619" t="s">
        <v>8091</v>
      </c>
      <c r="E5831" s="619"/>
      <c r="F5831" s="620"/>
      <c r="G5831" s="621"/>
      <c r="H5831" s="621"/>
      <c r="I5831" s="847"/>
      <c r="J5831" s="848">
        <f t="shared" si="1806"/>
        <v>44896</v>
      </c>
    </row>
    <row r="5832" spans="1:10" x14ac:dyDescent="0.35">
      <c r="J5832" s="549"/>
    </row>
    <row r="5833" spans="1:10" ht="54.75" customHeight="1" x14ac:dyDescent="0.35">
      <c r="A5833" s="897" t="s">
        <v>8180</v>
      </c>
      <c r="B5833" s="897"/>
      <c r="C5833" s="897"/>
      <c r="D5833" s="897"/>
      <c r="E5833" s="897"/>
      <c r="F5833" s="897"/>
      <c r="G5833" s="350"/>
      <c r="H5833" s="414" t="str">
        <f>IF(ISNUMBER(G5833),ROUND(0.8*G5833,2),"")</f>
        <v/>
      </c>
      <c r="I5833" s="605"/>
      <c r="J5833" s="549">
        <f>$J$31</f>
        <v>44896</v>
      </c>
    </row>
    <row r="5834" spans="1:10" x14ac:dyDescent="0.35">
      <c r="J5834" s="549"/>
    </row>
    <row r="5835" spans="1:10" s="524" customFormat="1" ht="15" customHeight="1" x14ac:dyDescent="0.3">
      <c r="A5835" s="846" t="s">
        <v>7998</v>
      </c>
      <c r="B5835" s="619" t="s">
        <v>2269</v>
      </c>
      <c r="C5835" s="619"/>
      <c r="D5835" s="619" t="s">
        <v>8092</v>
      </c>
      <c r="E5835" s="619"/>
      <c r="F5835" s="620"/>
      <c r="G5835" s="621"/>
      <c r="H5835" s="621"/>
      <c r="I5835" s="847"/>
      <c r="J5835" s="848">
        <f t="shared" ref="J5835:J5847" si="1807">$J$31</f>
        <v>44896</v>
      </c>
    </row>
    <row r="5836" spans="1:10" s="524" customFormat="1" ht="15" customHeight="1" x14ac:dyDescent="0.3">
      <c r="A5836" s="846" t="s">
        <v>7999</v>
      </c>
      <c r="B5836" s="619" t="s">
        <v>5547</v>
      </c>
      <c r="C5836" s="619"/>
      <c r="D5836" s="619" t="s">
        <v>8092</v>
      </c>
      <c r="E5836" s="619"/>
      <c r="F5836" s="620"/>
      <c r="G5836" s="621"/>
      <c r="H5836" s="621"/>
      <c r="I5836" s="847"/>
      <c r="J5836" s="848">
        <f t="shared" si="1807"/>
        <v>44896</v>
      </c>
    </row>
    <row r="5837" spans="1:10" s="524" customFormat="1" ht="15" customHeight="1" x14ac:dyDescent="0.3">
      <c r="A5837" s="846" t="s">
        <v>8000</v>
      </c>
      <c r="B5837" s="619" t="s">
        <v>4846</v>
      </c>
      <c r="C5837" s="619"/>
      <c r="D5837" s="619" t="s">
        <v>8092</v>
      </c>
      <c r="E5837" s="619"/>
      <c r="F5837" s="620"/>
      <c r="G5837" s="621"/>
      <c r="H5837" s="621"/>
      <c r="I5837" s="847"/>
      <c r="J5837" s="848">
        <f t="shared" si="1807"/>
        <v>44896</v>
      </c>
    </row>
    <row r="5838" spans="1:10" s="524" customFormat="1" ht="15" customHeight="1" x14ac:dyDescent="0.3">
      <c r="A5838" s="846" t="s">
        <v>8001</v>
      </c>
      <c r="B5838" s="619" t="s">
        <v>5405</v>
      </c>
      <c r="C5838" s="619"/>
      <c r="D5838" s="619" t="s">
        <v>8092</v>
      </c>
      <c r="E5838" s="619"/>
      <c r="F5838" s="620"/>
      <c r="G5838" s="621"/>
      <c r="H5838" s="621"/>
      <c r="I5838" s="847"/>
      <c r="J5838" s="848">
        <f t="shared" si="1807"/>
        <v>44896</v>
      </c>
    </row>
    <row r="5839" spans="1:10" s="524" customFormat="1" ht="15" customHeight="1" x14ac:dyDescent="0.3">
      <c r="A5839" s="846" t="s">
        <v>8002</v>
      </c>
      <c r="B5839" s="619" t="s">
        <v>5410</v>
      </c>
      <c r="C5839" s="619"/>
      <c r="D5839" s="619" t="s">
        <v>8092</v>
      </c>
      <c r="E5839" s="619"/>
      <c r="F5839" s="620"/>
      <c r="G5839" s="621"/>
      <c r="H5839" s="621"/>
      <c r="I5839" s="847"/>
      <c r="J5839" s="848">
        <f t="shared" si="1807"/>
        <v>44896</v>
      </c>
    </row>
    <row r="5840" spans="1:10" s="524" customFormat="1" ht="15" customHeight="1" x14ac:dyDescent="0.3">
      <c r="A5840" s="846" t="s">
        <v>8003</v>
      </c>
      <c r="B5840" s="619" t="s">
        <v>5411</v>
      </c>
      <c r="C5840" s="619"/>
      <c r="D5840" s="619" t="s">
        <v>8092</v>
      </c>
      <c r="E5840" s="619"/>
      <c r="F5840" s="620"/>
      <c r="G5840" s="621"/>
      <c r="H5840" s="621"/>
      <c r="I5840" s="847"/>
      <c r="J5840" s="848">
        <f t="shared" si="1807"/>
        <v>44896</v>
      </c>
    </row>
    <row r="5841" spans="1:10" s="524" customFormat="1" ht="15" customHeight="1" x14ac:dyDescent="0.3">
      <c r="A5841" s="846" t="s">
        <v>8004</v>
      </c>
      <c r="B5841" s="619" t="s">
        <v>2034</v>
      </c>
      <c r="C5841" s="619"/>
      <c r="D5841" s="619" t="s">
        <v>8092</v>
      </c>
      <c r="E5841" s="619"/>
      <c r="F5841" s="620"/>
      <c r="G5841" s="621"/>
      <c r="H5841" s="621"/>
      <c r="I5841" s="847"/>
      <c r="J5841" s="848">
        <f t="shared" si="1807"/>
        <v>44896</v>
      </c>
    </row>
    <row r="5842" spans="1:10" s="524" customFormat="1" ht="15" customHeight="1" x14ac:dyDescent="0.3">
      <c r="A5842" s="846" t="s">
        <v>8005</v>
      </c>
      <c r="B5842" s="619" t="s">
        <v>2067</v>
      </c>
      <c r="C5842" s="619"/>
      <c r="D5842" s="619" t="s">
        <v>8092</v>
      </c>
      <c r="E5842" s="619"/>
      <c r="F5842" s="620"/>
      <c r="G5842" s="621"/>
      <c r="H5842" s="621"/>
      <c r="I5842" s="847"/>
      <c r="J5842" s="848">
        <f t="shared" si="1807"/>
        <v>44896</v>
      </c>
    </row>
    <row r="5843" spans="1:10" s="524" customFormat="1" ht="15" customHeight="1" x14ac:dyDescent="0.3">
      <c r="A5843" s="846" t="s">
        <v>8006</v>
      </c>
      <c r="B5843" s="619" t="s">
        <v>3373</v>
      </c>
      <c r="C5843" s="619"/>
      <c r="D5843" s="619" t="s">
        <v>8092</v>
      </c>
      <c r="E5843" s="619"/>
      <c r="F5843" s="620"/>
      <c r="G5843" s="621"/>
      <c r="H5843" s="621"/>
      <c r="I5843" s="847"/>
      <c r="J5843" s="848">
        <f t="shared" si="1807"/>
        <v>44896</v>
      </c>
    </row>
    <row r="5844" spans="1:10" s="524" customFormat="1" ht="15" customHeight="1" x14ac:dyDescent="0.3">
      <c r="A5844" s="846" t="s">
        <v>8007</v>
      </c>
      <c r="B5844" s="619" t="s">
        <v>3381</v>
      </c>
      <c r="C5844" s="619"/>
      <c r="D5844" s="619" t="s">
        <v>8092</v>
      </c>
      <c r="E5844" s="619"/>
      <c r="F5844" s="620"/>
      <c r="G5844" s="621"/>
      <c r="H5844" s="621"/>
      <c r="I5844" s="847"/>
      <c r="J5844" s="848">
        <f t="shared" si="1807"/>
        <v>44896</v>
      </c>
    </row>
    <row r="5845" spans="1:10" s="524" customFormat="1" ht="15" customHeight="1" x14ac:dyDescent="0.3">
      <c r="A5845" s="846" t="s">
        <v>8008</v>
      </c>
      <c r="B5845" s="619" t="s">
        <v>3389</v>
      </c>
      <c r="C5845" s="619"/>
      <c r="D5845" s="619" t="s">
        <v>8092</v>
      </c>
      <c r="E5845" s="619"/>
      <c r="F5845" s="620"/>
      <c r="G5845" s="621"/>
      <c r="H5845" s="621"/>
      <c r="I5845" s="847"/>
      <c r="J5845" s="848">
        <f t="shared" si="1807"/>
        <v>44896</v>
      </c>
    </row>
    <row r="5846" spans="1:10" s="524" customFormat="1" ht="15" customHeight="1" x14ac:dyDescent="0.3">
      <c r="A5846" s="846" t="s">
        <v>8009</v>
      </c>
      <c r="B5846" s="619" t="s">
        <v>740</v>
      </c>
      <c r="C5846" s="619"/>
      <c r="D5846" s="619" t="s">
        <v>8092</v>
      </c>
      <c r="E5846" s="619"/>
      <c r="F5846" s="620"/>
      <c r="G5846" s="621"/>
      <c r="H5846" s="621"/>
      <c r="I5846" s="847"/>
      <c r="J5846" s="848">
        <f t="shared" si="1807"/>
        <v>44896</v>
      </c>
    </row>
    <row r="5847" spans="1:10" s="524" customFormat="1" ht="15" customHeight="1" x14ac:dyDescent="0.3">
      <c r="A5847" s="846" t="s">
        <v>8010</v>
      </c>
      <c r="B5847" s="619" t="s">
        <v>5434</v>
      </c>
      <c r="C5847" s="619"/>
      <c r="D5847" s="619" t="s">
        <v>8092</v>
      </c>
      <c r="E5847" s="619"/>
      <c r="F5847" s="620"/>
      <c r="G5847" s="621"/>
      <c r="H5847" s="621"/>
      <c r="I5847" s="847"/>
      <c r="J5847" s="848">
        <f t="shared" si="1807"/>
        <v>44896</v>
      </c>
    </row>
    <row r="5848" spans="1:10" x14ac:dyDescent="0.35">
      <c r="J5848" s="549"/>
    </row>
    <row r="5849" spans="1:10" ht="54.75" customHeight="1" x14ac:dyDescent="0.35">
      <c r="A5849" s="897" t="s">
        <v>8181</v>
      </c>
      <c r="B5849" s="897"/>
      <c r="C5849" s="897"/>
      <c r="D5849" s="897"/>
      <c r="E5849" s="897"/>
      <c r="F5849" s="897"/>
      <c r="G5849" s="350"/>
      <c r="H5849" s="414" t="str">
        <f>IF(ISNUMBER(G5849),ROUND(0.8*G5849,2),"")</f>
        <v/>
      </c>
      <c r="I5849" s="605"/>
      <c r="J5849" s="549">
        <f>$J$31</f>
        <v>44896</v>
      </c>
    </row>
    <row r="5850" spans="1:10" x14ac:dyDescent="0.35">
      <c r="J5850" s="549"/>
    </row>
    <row r="5851" spans="1:10" s="524" customFormat="1" ht="15" customHeight="1" x14ac:dyDescent="0.3">
      <c r="A5851" s="846" t="s">
        <v>8011</v>
      </c>
      <c r="B5851" s="619" t="s">
        <v>2269</v>
      </c>
      <c r="C5851" s="619"/>
      <c r="D5851" s="619" t="s">
        <v>8093</v>
      </c>
      <c r="E5851" s="619"/>
      <c r="F5851" s="620"/>
      <c r="G5851" s="621"/>
      <c r="H5851" s="621"/>
      <c r="I5851" s="847"/>
      <c r="J5851" s="848">
        <f t="shared" ref="J5851:J5863" si="1808">$J$31</f>
        <v>44896</v>
      </c>
    </row>
    <row r="5852" spans="1:10" s="524" customFormat="1" ht="15" customHeight="1" x14ac:dyDescent="0.3">
      <c r="A5852" s="846" t="s">
        <v>8012</v>
      </c>
      <c r="B5852" s="619" t="s">
        <v>5547</v>
      </c>
      <c r="C5852" s="619"/>
      <c r="D5852" s="619" t="s">
        <v>8093</v>
      </c>
      <c r="E5852" s="619"/>
      <c r="F5852" s="620"/>
      <c r="G5852" s="621"/>
      <c r="H5852" s="621"/>
      <c r="I5852" s="847"/>
      <c r="J5852" s="848">
        <f t="shared" si="1808"/>
        <v>44896</v>
      </c>
    </row>
    <row r="5853" spans="1:10" s="524" customFormat="1" ht="15" customHeight="1" x14ac:dyDescent="0.3">
      <c r="A5853" s="846" t="s">
        <v>8013</v>
      </c>
      <c r="B5853" s="619" t="s">
        <v>4846</v>
      </c>
      <c r="C5853" s="619"/>
      <c r="D5853" s="619" t="s">
        <v>8093</v>
      </c>
      <c r="E5853" s="619"/>
      <c r="F5853" s="620"/>
      <c r="G5853" s="621"/>
      <c r="H5853" s="621"/>
      <c r="I5853" s="847"/>
      <c r="J5853" s="848">
        <f t="shared" si="1808"/>
        <v>44896</v>
      </c>
    </row>
    <row r="5854" spans="1:10" s="524" customFormat="1" ht="15" customHeight="1" x14ac:dyDescent="0.3">
      <c r="A5854" s="846" t="s">
        <v>8014</v>
      </c>
      <c r="B5854" s="619" t="s">
        <v>5405</v>
      </c>
      <c r="C5854" s="619"/>
      <c r="D5854" s="619" t="s">
        <v>8093</v>
      </c>
      <c r="E5854" s="619"/>
      <c r="F5854" s="620"/>
      <c r="G5854" s="621"/>
      <c r="H5854" s="621"/>
      <c r="I5854" s="847"/>
      <c r="J5854" s="848">
        <f t="shared" si="1808"/>
        <v>44896</v>
      </c>
    </row>
    <row r="5855" spans="1:10" s="524" customFormat="1" ht="15" customHeight="1" x14ac:dyDescent="0.3">
      <c r="A5855" s="846" t="s">
        <v>8015</v>
      </c>
      <c r="B5855" s="619" t="s">
        <v>5410</v>
      </c>
      <c r="C5855" s="619"/>
      <c r="D5855" s="619" t="s">
        <v>8093</v>
      </c>
      <c r="E5855" s="619"/>
      <c r="F5855" s="620"/>
      <c r="G5855" s="621"/>
      <c r="H5855" s="621"/>
      <c r="I5855" s="847"/>
      <c r="J5855" s="848">
        <f t="shared" si="1808"/>
        <v>44896</v>
      </c>
    </row>
    <row r="5856" spans="1:10" s="524" customFormat="1" ht="15" customHeight="1" x14ac:dyDescent="0.3">
      <c r="A5856" s="846" t="s">
        <v>8016</v>
      </c>
      <c r="B5856" s="619" t="s">
        <v>5411</v>
      </c>
      <c r="C5856" s="619"/>
      <c r="D5856" s="619" t="s">
        <v>8093</v>
      </c>
      <c r="E5856" s="619"/>
      <c r="F5856" s="620"/>
      <c r="G5856" s="621"/>
      <c r="H5856" s="621"/>
      <c r="I5856" s="847"/>
      <c r="J5856" s="848">
        <f t="shared" si="1808"/>
        <v>44896</v>
      </c>
    </row>
    <row r="5857" spans="1:10" s="524" customFormat="1" ht="15" customHeight="1" x14ac:dyDescent="0.3">
      <c r="A5857" s="846" t="s">
        <v>8017</v>
      </c>
      <c r="B5857" s="619" t="s">
        <v>2034</v>
      </c>
      <c r="C5857" s="619"/>
      <c r="D5857" s="619" t="s">
        <v>8093</v>
      </c>
      <c r="E5857" s="619"/>
      <c r="F5857" s="620"/>
      <c r="G5857" s="621"/>
      <c r="H5857" s="621"/>
      <c r="I5857" s="847"/>
      <c r="J5857" s="848">
        <f t="shared" si="1808"/>
        <v>44896</v>
      </c>
    </row>
    <row r="5858" spans="1:10" s="524" customFormat="1" ht="15" customHeight="1" x14ac:dyDescent="0.3">
      <c r="A5858" s="846" t="s">
        <v>8018</v>
      </c>
      <c r="B5858" s="619" t="s">
        <v>2067</v>
      </c>
      <c r="C5858" s="619"/>
      <c r="D5858" s="619" t="s">
        <v>8093</v>
      </c>
      <c r="E5858" s="619"/>
      <c r="F5858" s="620"/>
      <c r="G5858" s="621"/>
      <c r="H5858" s="621"/>
      <c r="I5858" s="847"/>
      <c r="J5858" s="848">
        <f t="shared" si="1808"/>
        <v>44896</v>
      </c>
    </row>
    <row r="5859" spans="1:10" s="524" customFormat="1" ht="15" customHeight="1" x14ac:dyDescent="0.3">
      <c r="A5859" s="846" t="s">
        <v>8019</v>
      </c>
      <c r="B5859" s="619" t="s">
        <v>3373</v>
      </c>
      <c r="C5859" s="619"/>
      <c r="D5859" s="619" t="s">
        <v>8093</v>
      </c>
      <c r="E5859" s="619"/>
      <c r="F5859" s="620"/>
      <c r="G5859" s="621"/>
      <c r="H5859" s="621"/>
      <c r="I5859" s="847"/>
      <c r="J5859" s="848">
        <f t="shared" si="1808"/>
        <v>44896</v>
      </c>
    </row>
    <row r="5860" spans="1:10" s="524" customFormat="1" ht="15" customHeight="1" x14ac:dyDescent="0.3">
      <c r="A5860" s="846" t="s">
        <v>8020</v>
      </c>
      <c r="B5860" s="619" t="s">
        <v>3381</v>
      </c>
      <c r="C5860" s="619"/>
      <c r="D5860" s="619" t="s">
        <v>8093</v>
      </c>
      <c r="E5860" s="619"/>
      <c r="F5860" s="620"/>
      <c r="G5860" s="621"/>
      <c r="H5860" s="621"/>
      <c r="I5860" s="847"/>
      <c r="J5860" s="848">
        <f t="shared" si="1808"/>
        <v>44896</v>
      </c>
    </row>
    <row r="5861" spans="1:10" s="524" customFormat="1" ht="15" customHeight="1" x14ac:dyDescent="0.3">
      <c r="A5861" s="846" t="s">
        <v>8021</v>
      </c>
      <c r="B5861" s="619" t="s">
        <v>3389</v>
      </c>
      <c r="C5861" s="619"/>
      <c r="D5861" s="619" t="s">
        <v>8093</v>
      </c>
      <c r="E5861" s="619"/>
      <c r="F5861" s="620"/>
      <c r="G5861" s="621"/>
      <c r="H5861" s="621"/>
      <c r="I5861" s="847"/>
      <c r="J5861" s="848">
        <f t="shared" si="1808"/>
        <v>44896</v>
      </c>
    </row>
    <row r="5862" spans="1:10" s="524" customFormat="1" ht="15" customHeight="1" x14ac:dyDescent="0.3">
      <c r="A5862" s="846" t="s">
        <v>8022</v>
      </c>
      <c r="B5862" s="619" t="s">
        <v>740</v>
      </c>
      <c r="C5862" s="619"/>
      <c r="D5862" s="619" t="s">
        <v>8093</v>
      </c>
      <c r="E5862" s="619"/>
      <c r="F5862" s="620"/>
      <c r="G5862" s="621"/>
      <c r="H5862" s="621"/>
      <c r="I5862" s="847"/>
      <c r="J5862" s="848">
        <f t="shared" si="1808"/>
        <v>44896</v>
      </c>
    </row>
    <row r="5863" spans="1:10" s="524" customFormat="1" ht="15" customHeight="1" x14ac:dyDescent="0.3">
      <c r="A5863" s="846" t="s">
        <v>8023</v>
      </c>
      <c r="B5863" s="619" t="s">
        <v>5434</v>
      </c>
      <c r="C5863" s="619"/>
      <c r="D5863" s="619" t="s">
        <v>8093</v>
      </c>
      <c r="E5863" s="619"/>
      <c r="F5863" s="620"/>
      <c r="G5863" s="621"/>
      <c r="H5863" s="621"/>
      <c r="I5863" s="847"/>
      <c r="J5863" s="848">
        <f t="shared" si="1808"/>
        <v>44896</v>
      </c>
    </row>
    <row r="5864" spans="1:10" x14ac:dyDescent="0.35">
      <c r="J5864" s="549"/>
    </row>
    <row r="5865" spans="1:10" ht="54.75" customHeight="1" x14ac:dyDescent="0.35">
      <c r="A5865" s="897" t="s">
        <v>8184</v>
      </c>
      <c r="B5865" s="897"/>
      <c r="C5865" s="897"/>
      <c r="D5865" s="897"/>
      <c r="E5865" s="897"/>
      <c r="F5865" s="897"/>
      <c r="G5865" s="350"/>
      <c r="H5865" s="414" t="str">
        <f>IF(ISNUMBER(G5865),ROUND(0.8*G5865,2),"")</f>
        <v/>
      </c>
      <c r="I5865" s="605"/>
      <c r="J5865" s="549">
        <f>$J$31</f>
        <v>44896</v>
      </c>
    </row>
    <row r="5866" spans="1:10" x14ac:dyDescent="0.35">
      <c r="J5866" s="549"/>
    </row>
    <row r="5867" spans="1:10" s="524" customFormat="1" ht="15" customHeight="1" x14ac:dyDescent="0.3">
      <c r="A5867" s="846" t="s">
        <v>8024</v>
      </c>
      <c r="B5867" s="619" t="s">
        <v>5434</v>
      </c>
      <c r="C5867" s="619"/>
      <c r="D5867" s="619" t="s">
        <v>8094</v>
      </c>
      <c r="E5867" s="619"/>
      <c r="F5867" s="620"/>
      <c r="G5867" s="621"/>
      <c r="H5867" s="621"/>
      <c r="I5867" s="847"/>
      <c r="J5867" s="848">
        <f>$J$31</f>
        <v>44896</v>
      </c>
    </row>
    <row r="5868" spans="1:10" x14ac:dyDescent="0.35">
      <c r="J5868" s="549"/>
    </row>
    <row r="5869" spans="1:10" ht="85.5" customHeight="1" x14ac:dyDescent="0.35">
      <c r="A5869" s="897" t="s">
        <v>8182</v>
      </c>
      <c r="B5869" s="897"/>
      <c r="C5869" s="897"/>
      <c r="D5869" s="897"/>
      <c r="E5869" s="897"/>
      <c r="F5869" s="897"/>
      <c r="G5869" s="350"/>
      <c r="H5869" s="414" t="str">
        <f>IF(ISNUMBER(G5869),ROUND(0.8*G5869,2),"")</f>
        <v/>
      </c>
      <c r="I5869" s="605"/>
      <c r="J5869" s="549">
        <v>44938</v>
      </c>
    </row>
    <row r="5870" spans="1:10" x14ac:dyDescent="0.35">
      <c r="J5870" s="549"/>
    </row>
    <row r="5871" spans="1:10" s="524" customFormat="1" ht="15" customHeight="1" x14ac:dyDescent="0.3">
      <c r="A5871" s="846" t="s">
        <v>8025</v>
      </c>
      <c r="B5871" s="619" t="s">
        <v>2269</v>
      </c>
      <c r="C5871" s="619"/>
      <c r="D5871" s="619" t="s">
        <v>8155</v>
      </c>
      <c r="E5871" s="619"/>
      <c r="F5871" s="620"/>
      <c r="G5871" s="621"/>
      <c r="H5871" s="621"/>
      <c r="I5871" s="847"/>
      <c r="J5871" s="848">
        <v>44938</v>
      </c>
    </row>
    <row r="5872" spans="1:10" s="524" customFormat="1" ht="15" customHeight="1" x14ac:dyDescent="0.3">
      <c r="A5872" s="846" t="s">
        <v>8026</v>
      </c>
      <c r="B5872" s="619" t="s">
        <v>5547</v>
      </c>
      <c r="C5872" s="619"/>
      <c r="D5872" s="619" t="s">
        <v>8155</v>
      </c>
      <c r="E5872" s="619"/>
      <c r="F5872" s="620"/>
      <c r="G5872" s="621"/>
      <c r="H5872" s="621"/>
      <c r="I5872" s="847"/>
      <c r="J5872" s="848">
        <v>44938</v>
      </c>
    </row>
    <row r="5873" spans="1:10" s="524" customFormat="1" ht="15" customHeight="1" x14ac:dyDescent="0.3">
      <c r="A5873" s="846" t="s">
        <v>8027</v>
      </c>
      <c r="B5873" s="619" t="s">
        <v>4846</v>
      </c>
      <c r="C5873" s="619"/>
      <c r="D5873" s="619" t="s">
        <v>8155</v>
      </c>
      <c r="E5873" s="619"/>
      <c r="F5873" s="620"/>
      <c r="G5873" s="621"/>
      <c r="H5873" s="621"/>
      <c r="I5873" s="847"/>
      <c r="J5873" s="848">
        <v>44938</v>
      </c>
    </row>
    <row r="5874" spans="1:10" s="524" customFormat="1" ht="15" customHeight="1" x14ac:dyDescent="0.3">
      <c r="A5874" s="846" t="s">
        <v>8028</v>
      </c>
      <c r="B5874" s="619" t="s">
        <v>5405</v>
      </c>
      <c r="C5874" s="619"/>
      <c r="D5874" s="619" t="s">
        <v>8155</v>
      </c>
      <c r="E5874" s="619"/>
      <c r="F5874" s="620"/>
      <c r="G5874" s="621"/>
      <c r="H5874" s="621"/>
      <c r="I5874" s="847"/>
      <c r="J5874" s="848">
        <v>44938</v>
      </c>
    </row>
    <row r="5875" spans="1:10" s="524" customFormat="1" ht="15" customHeight="1" x14ac:dyDescent="0.3">
      <c r="A5875" s="846" t="s">
        <v>8029</v>
      </c>
      <c r="B5875" s="619" t="s">
        <v>5410</v>
      </c>
      <c r="C5875" s="619"/>
      <c r="D5875" s="619" t="s">
        <v>8155</v>
      </c>
      <c r="E5875" s="619"/>
      <c r="F5875" s="620"/>
      <c r="G5875" s="621"/>
      <c r="H5875" s="621"/>
      <c r="I5875" s="847"/>
      <c r="J5875" s="848">
        <v>44938</v>
      </c>
    </row>
    <row r="5876" spans="1:10" s="524" customFormat="1" ht="15" customHeight="1" x14ac:dyDescent="0.3">
      <c r="A5876" s="846" t="s">
        <v>8030</v>
      </c>
      <c r="B5876" s="619" t="s">
        <v>5411</v>
      </c>
      <c r="C5876" s="619"/>
      <c r="D5876" s="619" t="s">
        <v>8155</v>
      </c>
      <c r="E5876" s="619"/>
      <c r="F5876" s="620"/>
      <c r="G5876" s="621"/>
      <c r="H5876" s="621"/>
      <c r="I5876" s="847"/>
      <c r="J5876" s="848">
        <v>44938</v>
      </c>
    </row>
    <row r="5877" spans="1:10" s="524" customFormat="1" ht="15" customHeight="1" x14ac:dyDescent="0.3">
      <c r="A5877" s="846" t="s">
        <v>8031</v>
      </c>
      <c r="B5877" s="619" t="s">
        <v>2034</v>
      </c>
      <c r="C5877" s="619"/>
      <c r="D5877" s="619" t="s">
        <v>8155</v>
      </c>
      <c r="E5877" s="619"/>
      <c r="F5877" s="620"/>
      <c r="G5877" s="621"/>
      <c r="H5877" s="621"/>
      <c r="I5877" s="847"/>
      <c r="J5877" s="848">
        <v>44938</v>
      </c>
    </row>
    <row r="5878" spans="1:10" s="524" customFormat="1" ht="15" customHeight="1" x14ac:dyDescent="0.3">
      <c r="A5878" s="846" t="s">
        <v>8032</v>
      </c>
      <c r="B5878" s="619" t="s">
        <v>2067</v>
      </c>
      <c r="C5878" s="619"/>
      <c r="D5878" s="619" t="s">
        <v>8155</v>
      </c>
      <c r="E5878" s="619"/>
      <c r="F5878" s="620"/>
      <c r="G5878" s="621"/>
      <c r="H5878" s="621"/>
      <c r="I5878" s="847"/>
      <c r="J5878" s="848">
        <v>44938</v>
      </c>
    </row>
    <row r="5879" spans="1:10" s="524" customFormat="1" ht="15" customHeight="1" x14ac:dyDescent="0.3">
      <c r="A5879" s="846" t="s">
        <v>8033</v>
      </c>
      <c r="B5879" s="619" t="s">
        <v>3373</v>
      </c>
      <c r="C5879" s="619"/>
      <c r="D5879" s="619" t="s">
        <v>8155</v>
      </c>
      <c r="E5879" s="619"/>
      <c r="F5879" s="620"/>
      <c r="G5879" s="621"/>
      <c r="H5879" s="621"/>
      <c r="I5879" s="847"/>
      <c r="J5879" s="848">
        <v>44938</v>
      </c>
    </row>
    <row r="5880" spans="1:10" s="524" customFormat="1" ht="15" customHeight="1" x14ac:dyDescent="0.3">
      <c r="A5880" s="846" t="s">
        <v>8034</v>
      </c>
      <c r="B5880" s="619" t="s">
        <v>3381</v>
      </c>
      <c r="C5880" s="619"/>
      <c r="D5880" s="619" t="s">
        <v>8155</v>
      </c>
      <c r="E5880" s="619"/>
      <c r="F5880" s="620"/>
      <c r="G5880" s="621"/>
      <c r="H5880" s="621"/>
      <c r="I5880" s="847"/>
      <c r="J5880" s="848">
        <v>44938</v>
      </c>
    </row>
    <row r="5881" spans="1:10" s="524" customFormat="1" ht="15" customHeight="1" x14ac:dyDescent="0.3">
      <c r="A5881" s="846" t="s">
        <v>8035</v>
      </c>
      <c r="B5881" s="619" t="s">
        <v>3389</v>
      </c>
      <c r="C5881" s="619"/>
      <c r="D5881" s="619" t="s">
        <v>8155</v>
      </c>
      <c r="E5881" s="619"/>
      <c r="F5881" s="620"/>
      <c r="G5881" s="621"/>
      <c r="H5881" s="621"/>
      <c r="I5881" s="847"/>
      <c r="J5881" s="848">
        <v>44938</v>
      </c>
    </row>
    <row r="5882" spans="1:10" s="524" customFormat="1" ht="15" customHeight="1" x14ac:dyDescent="0.3">
      <c r="A5882" s="846" t="s">
        <v>8036</v>
      </c>
      <c r="B5882" s="619" t="s">
        <v>740</v>
      </c>
      <c r="C5882" s="619"/>
      <c r="D5882" s="619" t="s">
        <v>8155</v>
      </c>
      <c r="E5882" s="619"/>
      <c r="F5882" s="620"/>
      <c r="G5882" s="621"/>
      <c r="H5882" s="621"/>
      <c r="I5882" s="847"/>
      <c r="J5882" s="848">
        <v>44938</v>
      </c>
    </row>
    <row r="5883" spans="1:10" s="524" customFormat="1" ht="15" customHeight="1" x14ac:dyDescent="0.3">
      <c r="A5883" s="846" t="s">
        <v>8037</v>
      </c>
      <c r="B5883" s="619" t="s">
        <v>5434</v>
      </c>
      <c r="C5883" s="619"/>
      <c r="D5883" s="619" t="s">
        <v>8155</v>
      </c>
      <c r="E5883" s="619"/>
      <c r="F5883" s="620"/>
      <c r="G5883" s="621"/>
      <c r="H5883" s="621"/>
      <c r="I5883" s="847"/>
      <c r="J5883" s="848">
        <v>44938</v>
      </c>
    </row>
    <row r="5884" spans="1:10" x14ac:dyDescent="0.35">
      <c r="J5884" s="549"/>
    </row>
    <row r="5885" spans="1:10" ht="54.75" customHeight="1" x14ac:dyDescent="0.35">
      <c r="A5885" s="897" t="s">
        <v>8183</v>
      </c>
      <c r="B5885" s="897"/>
      <c r="C5885" s="897"/>
      <c r="D5885" s="897"/>
      <c r="E5885" s="897"/>
      <c r="F5885" s="897"/>
      <c r="G5885" s="350"/>
      <c r="H5885" s="414" t="str">
        <f>IF(ISNUMBER(G5885),ROUND(0.8*G5885,2),"")</f>
        <v/>
      </c>
      <c r="I5885" s="605"/>
      <c r="J5885" s="549">
        <f>$J$31</f>
        <v>44896</v>
      </c>
    </row>
    <row r="5886" spans="1:10" x14ac:dyDescent="0.35">
      <c r="J5886" s="549"/>
    </row>
    <row r="5887" spans="1:10" s="524" customFormat="1" ht="15" customHeight="1" x14ac:dyDescent="0.3">
      <c r="A5887" s="846" t="s">
        <v>8038</v>
      </c>
      <c r="B5887" s="619" t="s">
        <v>2269</v>
      </c>
      <c r="C5887" s="619"/>
      <c r="D5887" s="619" t="s">
        <v>8095</v>
      </c>
      <c r="E5887" s="619"/>
      <c r="F5887" s="620"/>
      <c r="G5887" s="621"/>
      <c r="H5887" s="621"/>
      <c r="I5887" s="847"/>
      <c r="J5887" s="848">
        <f t="shared" ref="J5887:J5899" si="1809">$J$31</f>
        <v>44896</v>
      </c>
    </row>
    <row r="5888" spans="1:10" s="524" customFormat="1" ht="15" customHeight="1" x14ac:dyDescent="0.3">
      <c r="A5888" s="846" t="s">
        <v>8039</v>
      </c>
      <c r="B5888" s="619" t="s">
        <v>5547</v>
      </c>
      <c r="C5888" s="619"/>
      <c r="D5888" s="619" t="s">
        <v>8095</v>
      </c>
      <c r="E5888" s="619"/>
      <c r="F5888" s="620"/>
      <c r="G5888" s="621"/>
      <c r="H5888" s="621"/>
      <c r="I5888" s="847"/>
      <c r="J5888" s="848">
        <f t="shared" si="1809"/>
        <v>44896</v>
      </c>
    </row>
    <row r="5889" spans="1:10" s="524" customFormat="1" ht="15" customHeight="1" x14ac:dyDescent="0.3">
      <c r="A5889" s="846" t="s">
        <v>8040</v>
      </c>
      <c r="B5889" s="619" t="s">
        <v>4846</v>
      </c>
      <c r="C5889" s="619"/>
      <c r="D5889" s="619" t="s">
        <v>8095</v>
      </c>
      <c r="E5889" s="619"/>
      <c r="F5889" s="620"/>
      <c r="G5889" s="621"/>
      <c r="H5889" s="621"/>
      <c r="I5889" s="847"/>
      <c r="J5889" s="848">
        <f t="shared" si="1809"/>
        <v>44896</v>
      </c>
    </row>
    <row r="5890" spans="1:10" s="524" customFormat="1" ht="15" customHeight="1" x14ac:dyDescent="0.3">
      <c r="A5890" s="846" t="s">
        <v>8041</v>
      </c>
      <c r="B5890" s="619" t="s">
        <v>5405</v>
      </c>
      <c r="C5890" s="619"/>
      <c r="D5890" s="619" t="s">
        <v>8095</v>
      </c>
      <c r="E5890" s="619"/>
      <c r="F5890" s="620"/>
      <c r="G5890" s="621"/>
      <c r="H5890" s="621"/>
      <c r="I5890" s="847"/>
      <c r="J5890" s="848">
        <f t="shared" si="1809"/>
        <v>44896</v>
      </c>
    </row>
    <row r="5891" spans="1:10" s="524" customFormat="1" ht="15" customHeight="1" x14ac:dyDescent="0.3">
      <c r="A5891" s="846" t="s">
        <v>8042</v>
      </c>
      <c r="B5891" s="619" t="s">
        <v>5410</v>
      </c>
      <c r="C5891" s="619"/>
      <c r="D5891" s="619" t="s">
        <v>8095</v>
      </c>
      <c r="E5891" s="619"/>
      <c r="F5891" s="620"/>
      <c r="G5891" s="621"/>
      <c r="H5891" s="621"/>
      <c r="I5891" s="847"/>
      <c r="J5891" s="848">
        <f t="shared" si="1809"/>
        <v>44896</v>
      </c>
    </row>
    <row r="5892" spans="1:10" s="524" customFormat="1" ht="15" customHeight="1" x14ac:dyDescent="0.3">
      <c r="A5892" s="846" t="s">
        <v>8043</v>
      </c>
      <c r="B5892" s="619" t="s">
        <v>5411</v>
      </c>
      <c r="C5892" s="619"/>
      <c r="D5892" s="619" t="s">
        <v>8095</v>
      </c>
      <c r="E5892" s="619"/>
      <c r="F5892" s="620"/>
      <c r="G5892" s="621"/>
      <c r="H5892" s="621"/>
      <c r="I5892" s="847"/>
      <c r="J5892" s="848">
        <f t="shared" si="1809"/>
        <v>44896</v>
      </c>
    </row>
    <row r="5893" spans="1:10" s="524" customFormat="1" ht="15" customHeight="1" x14ac:dyDescent="0.3">
      <c r="A5893" s="846" t="s">
        <v>8044</v>
      </c>
      <c r="B5893" s="619" t="s">
        <v>2034</v>
      </c>
      <c r="C5893" s="619"/>
      <c r="D5893" s="619" t="s">
        <v>8095</v>
      </c>
      <c r="E5893" s="619"/>
      <c r="F5893" s="620"/>
      <c r="G5893" s="621"/>
      <c r="H5893" s="621"/>
      <c r="I5893" s="847"/>
      <c r="J5893" s="848">
        <f t="shared" si="1809"/>
        <v>44896</v>
      </c>
    </row>
    <row r="5894" spans="1:10" s="524" customFormat="1" ht="15" customHeight="1" x14ac:dyDescent="0.3">
      <c r="A5894" s="846" t="s">
        <v>8045</v>
      </c>
      <c r="B5894" s="619" t="s">
        <v>2067</v>
      </c>
      <c r="C5894" s="619"/>
      <c r="D5894" s="619" t="s">
        <v>8095</v>
      </c>
      <c r="E5894" s="619"/>
      <c r="F5894" s="620"/>
      <c r="G5894" s="621"/>
      <c r="H5894" s="621"/>
      <c r="I5894" s="847"/>
      <c r="J5894" s="848">
        <f t="shared" si="1809"/>
        <v>44896</v>
      </c>
    </row>
    <row r="5895" spans="1:10" s="524" customFormat="1" ht="15" customHeight="1" x14ac:dyDescent="0.3">
      <c r="A5895" s="846" t="s">
        <v>8046</v>
      </c>
      <c r="B5895" s="619" t="s">
        <v>3373</v>
      </c>
      <c r="C5895" s="619"/>
      <c r="D5895" s="619" t="s">
        <v>8095</v>
      </c>
      <c r="E5895" s="619"/>
      <c r="F5895" s="620"/>
      <c r="G5895" s="621"/>
      <c r="H5895" s="621"/>
      <c r="I5895" s="847"/>
      <c r="J5895" s="848">
        <f t="shared" si="1809"/>
        <v>44896</v>
      </c>
    </row>
    <row r="5896" spans="1:10" s="524" customFormat="1" ht="15" customHeight="1" x14ac:dyDescent="0.3">
      <c r="A5896" s="846" t="s">
        <v>8047</v>
      </c>
      <c r="B5896" s="619" t="s">
        <v>3381</v>
      </c>
      <c r="C5896" s="619"/>
      <c r="D5896" s="619" t="s">
        <v>8095</v>
      </c>
      <c r="E5896" s="619"/>
      <c r="F5896" s="620"/>
      <c r="G5896" s="621"/>
      <c r="H5896" s="621"/>
      <c r="I5896" s="847"/>
      <c r="J5896" s="848">
        <f t="shared" si="1809"/>
        <v>44896</v>
      </c>
    </row>
    <row r="5897" spans="1:10" s="524" customFormat="1" ht="15" customHeight="1" x14ac:dyDescent="0.3">
      <c r="A5897" s="846" t="s">
        <v>8048</v>
      </c>
      <c r="B5897" s="619" t="s">
        <v>3389</v>
      </c>
      <c r="C5897" s="619"/>
      <c r="D5897" s="619" t="s">
        <v>8095</v>
      </c>
      <c r="E5897" s="619"/>
      <c r="F5897" s="620"/>
      <c r="G5897" s="621"/>
      <c r="H5897" s="621"/>
      <c r="I5897" s="847"/>
      <c r="J5897" s="848">
        <f t="shared" si="1809"/>
        <v>44896</v>
      </c>
    </row>
    <row r="5898" spans="1:10" s="524" customFormat="1" ht="15" customHeight="1" x14ac:dyDescent="0.3">
      <c r="A5898" s="846" t="s">
        <v>8049</v>
      </c>
      <c r="B5898" s="619" t="s">
        <v>740</v>
      </c>
      <c r="C5898" s="619"/>
      <c r="D5898" s="619" t="s">
        <v>8095</v>
      </c>
      <c r="E5898" s="619"/>
      <c r="F5898" s="620"/>
      <c r="G5898" s="621"/>
      <c r="H5898" s="621"/>
      <c r="I5898" s="847"/>
      <c r="J5898" s="848">
        <f t="shared" si="1809"/>
        <v>44896</v>
      </c>
    </row>
    <row r="5899" spans="1:10" s="524" customFormat="1" ht="15" customHeight="1" x14ac:dyDescent="0.3">
      <c r="A5899" s="846" t="s">
        <v>8050</v>
      </c>
      <c r="B5899" s="619" t="s">
        <v>5434</v>
      </c>
      <c r="C5899" s="619"/>
      <c r="D5899" s="619" t="s">
        <v>8095</v>
      </c>
      <c r="E5899" s="619"/>
      <c r="F5899" s="620"/>
      <c r="G5899" s="621"/>
      <c r="H5899" s="621"/>
      <c r="I5899" s="847"/>
      <c r="J5899" s="848">
        <f t="shared" si="1809"/>
        <v>44896</v>
      </c>
    </row>
    <row r="5900" spans="1:10" x14ac:dyDescent="0.35">
      <c r="J5900" s="549"/>
    </row>
    <row r="5901" spans="1:10" ht="54.75" customHeight="1" x14ac:dyDescent="0.35">
      <c r="A5901" s="897" t="s">
        <v>7923</v>
      </c>
      <c r="B5901" s="897"/>
      <c r="C5901" s="897"/>
      <c r="D5901" s="897"/>
      <c r="E5901" s="897"/>
      <c r="F5901" s="897"/>
      <c r="G5901" s="350"/>
      <c r="H5901" s="414" t="str">
        <f>IF(ISNUMBER(G5901),ROUND(0.8*G5901,2),"")</f>
        <v/>
      </c>
      <c r="I5901" s="605"/>
      <c r="J5901" s="549">
        <f>$J$31</f>
        <v>44896</v>
      </c>
    </row>
    <row r="5902" spans="1:10" x14ac:dyDescent="0.35">
      <c r="J5902" s="549"/>
    </row>
    <row r="5903" spans="1:10" s="524" customFormat="1" ht="15" customHeight="1" x14ac:dyDescent="0.3">
      <c r="A5903" s="846" t="s">
        <v>8051</v>
      </c>
      <c r="B5903" s="619" t="s">
        <v>2269</v>
      </c>
      <c r="C5903" s="619"/>
      <c r="D5903" s="619" t="s">
        <v>7928</v>
      </c>
      <c r="E5903" s="619"/>
      <c r="F5903" s="620"/>
      <c r="G5903" s="621"/>
      <c r="H5903" s="621"/>
      <c r="I5903" s="847"/>
      <c r="J5903" s="848">
        <f t="shared" ref="J5903:J5915" si="1810">$J$31</f>
        <v>44896</v>
      </c>
    </row>
    <row r="5904" spans="1:10" s="524" customFormat="1" ht="15" customHeight="1" x14ac:dyDescent="0.3">
      <c r="A5904" s="846" t="s">
        <v>8052</v>
      </c>
      <c r="B5904" s="619" t="s">
        <v>5547</v>
      </c>
      <c r="C5904" s="619"/>
      <c r="D5904" s="619" t="s">
        <v>7928</v>
      </c>
      <c r="E5904" s="619"/>
      <c r="F5904" s="620"/>
      <c r="G5904" s="621"/>
      <c r="H5904" s="621"/>
      <c r="I5904" s="847"/>
      <c r="J5904" s="848">
        <f t="shared" si="1810"/>
        <v>44896</v>
      </c>
    </row>
    <row r="5905" spans="1:10" s="524" customFormat="1" ht="15" customHeight="1" x14ac:dyDescent="0.3">
      <c r="A5905" s="846" t="s">
        <v>8053</v>
      </c>
      <c r="B5905" s="619" t="s">
        <v>4846</v>
      </c>
      <c r="C5905" s="619"/>
      <c r="D5905" s="619" t="s">
        <v>7928</v>
      </c>
      <c r="E5905" s="619"/>
      <c r="F5905" s="620"/>
      <c r="G5905" s="621"/>
      <c r="H5905" s="621"/>
      <c r="I5905" s="847"/>
      <c r="J5905" s="848">
        <f t="shared" si="1810"/>
        <v>44896</v>
      </c>
    </row>
    <row r="5906" spans="1:10" s="524" customFormat="1" ht="15" customHeight="1" x14ac:dyDescent="0.3">
      <c r="A5906" s="846" t="s">
        <v>8054</v>
      </c>
      <c r="B5906" s="619" t="s">
        <v>5405</v>
      </c>
      <c r="C5906" s="619"/>
      <c r="D5906" s="619" t="s">
        <v>7928</v>
      </c>
      <c r="E5906" s="619"/>
      <c r="F5906" s="620"/>
      <c r="G5906" s="621"/>
      <c r="H5906" s="621"/>
      <c r="I5906" s="847"/>
      <c r="J5906" s="848">
        <f t="shared" si="1810"/>
        <v>44896</v>
      </c>
    </row>
    <row r="5907" spans="1:10" s="524" customFormat="1" ht="15" customHeight="1" x14ac:dyDescent="0.3">
      <c r="A5907" s="846" t="s">
        <v>8055</v>
      </c>
      <c r="B5907" s="619" t="s">
        <v>5410</v>
      </c>
      <c r="C5907" s="619"/>
      <c r="D5907" s="619" t="s">
        <v>7928</v>
      </c>
      <c r="E5907" s="619"/>
      <c r="F5907" s="620"/>
      <c r="G5907" s="621"/>
      <c r="H5907" s="621"/>
      <c r="I5907" s="847"/>
      <c r="J5907" s="848">
        <f t="shared" si="1810"/>
        <v>44896</v>
      </c>
    </row>
    <row r="5908" spans="1:10" s="524" customFormat="1" ht="15" customHeight="1" x14ac:dyDescent="0.3">
      <c r="A5908" s="846" t="s">
        <v>8056</v>
      </c>
      <c r="B5908" s="619" t="s">
        <v>5411</v>
      </c>
      <c r="C5908" s="619"/>
      <c r="D5908" s="619" t="s">
        <v>7928</v>
      </c>
      <c r="E5908" s="619"/>
      <c r="F5908" s="620"/>
      <c r="G5908" s="621"/>
      <c r="H5908" s="621"/>
      <c r="I5908" s="847"/>
      <c r="J5908" s="848">
        <f t="shared" si="1810"/>
        <v>44896</v>
      </c>
    </row>
    <row r="5909" spans="1:10" s="524" customFormat="1" ht="15" customHeight="1" x14ac:dyDescent="0.3">
      <c r="A5909" s="846" t="s">
        <v>8057</v>
      </c>
      <c r="B5909" s="619" t="s">
        <v>2034</v>
      </c>
      <c r="C5909" s="619"/>
      <c r="D5909" s="619" t="s">
        <v>7928</v>
      </c>
      <c r="E5909" s="619"/>
      <c r="F5909" s="620"/>
      <c r="G5909" s="621"/>
      <c r="H5909" s="621"/>
      <c r="I5909" s="847"/>
      <c r="J5909" s="848">
        <f t="shared" si="1810"/>
        <v>44896</v>
      </c>
    </row>
    <row r="5910" spans="1:10" s="524" customFormat="1" ht="15" customHeight="1" x14ac:dyDescent="0.3">
      <c r="A5910" s="846" t="s">
        <v>8058</v>
      </c>
      <c r="B5910" s="619" t="s">
        <v>2067</v>
      </c>
      <c r="C5910" s="619"/>
      <c r="D5910" s="619" t="s">
        <v>7928</v>
      </c>
      <c r="E5910" s="619"/>
      <c r="F5910" s="620"/>
      <c r="G5910" s="621"/>
      <c r="H5910" s="621"/>
      <c r="I5910" s="847"/>
      <c r="J5910" s="848">
        <f t="shared" si="1810"/>
        <v>44896</v>
      </c>
    </row>
    <row r="5911" spans="1:10" s="524" customFormat="1" ht="15" customHeight="1" x14ac:dyDescent="0.3">
      <c r="A5911" s="846" t="s">
        <v>8059</v>
      </c>
      <c r="B5911" s="619" t="s">
        <v>3373</v>
      </c>
      <c r="C5911" s="619"/>
      <c r="D5911" s="619" t="s">
        <v>7928</v>
      </c>
      <c r="E5911" s="619"/>
      <c r="F5911" s="620"/>
      <c r="G5911" s="621"/>
      <c r="H5911" s="621"/>
      <c r="I5911" s="847"/>
      <c r="J5911" s="848">
        <f t="shared" si="1810"/>
        <v>44896</v>
      </c>
    </row>
    <row r="5912" spans="1:10" s="524" customFormat="1" ht="15" customHeight="1" x14ac:dyDescent="0.3">
      <c r="A5912" s="846" t="s">
        <v>8060</v>
      </c>
      <c r="B5912" s="619" t="s">
        <v>3381</v>
      </c>
      <c r="C5912" s="619"/>
      <c r="D5912" s="619" t="s">
        <v>7928</v>
      </c>
      <c r="E5912" s="619"/>
      <c r="F5912" s="620"/>
      <c r="G5912" s="621"/>
      <c r="H5912" s="621"/>
      <c r="I5912" s="847"/>
      <c r="J5912" s="848">
        <f t="shared" si="1810"/>
        <v>44896</v>
      </c>
    </row>
    <row r="5913" spans="1:10" s="524" customFormat="1" ht="15" customHeight="1" x14ac:dyDescent="0.3">
      <c r="A5913" s="846" t="s">
        <v>8061</v>
      </c>
      <c r="B5913" s="619" t="s">
        <v>3389</v>
      </c>
      <c r="C5913" s="619"/>
      <c r="D5913" s="619" t="s">
        <v>7928</v>
      </c>
      <c r="E5913" s="619"/>
      <c r="F5913" s="620"/>
      <c r="G5913" s="621"/>
      <c r="H5913" s="621"/>
      <c r="I5913" s="847"/>
      <c r="J5913" s="848">
        <f t="shared" si="1810"/>
        <v>44896</v>
      </c>
    </row>
    <row r="5914" spans="1:10" s="524" customFormat="1" ht="15" customHeight="1" x14ac:dyDescent="0.3">
      <c r="A5914" s="846" t="s">
        <v>8062</v>
      </c>
      <c r="B5914" s="619" t="s">
        <v>740</v>
      </c>
      <c r="C5914" s="619"/>
      <c r="D5914" s="619" t="s">
        <v>7928</v>
      </c>
      <c r="E5914" s="619"/>
      <c r="F5914" s="620"/>
      <c r="G5914" s="621"/>
      <c r="H5914" s="621"/>
      <c r="I5914" s="847"/>
      <c r="J5914" s="848">
        <f t="shared" si="1810"/>
        <v>44896</v>
      </c>
    </row>
    <row r="5915" spans="1:10" s="524" customFormat="1" ht="15" customHeight="1" x14ac:dyDescent="0.3">
      <c r="A5915" s="846" t="s">
        <v>8063</v>
      </c>
      <c r="B5915" s="619" t="s">
        <v>5434</v>
      </c>
      <c r="C5915" s="619"/>
      <c r="D5915" s="619" t="s">
        <v>7928</v>
      </c>
      <c r="E5915" s="619"/>
      <c r="F5915" s="620"/>
      <c r="G5915" s="621"/>
      <c r="H5915" s="621"/>
      <c r="I5915" s="847"/>
      <c r="J5915" s="848">
        <f t="shared" si="1810"/>
        <v>44896</v>
      </c>
    </row>
    <row r="5916" spans="1:10" x14ac:dyDescent="0.35">
      <c r="J5916" s="549"/>
    </row>
    <row r="5917" spans="1:10" ht="224.25" customHeight="1" x14ac:dyDescent="0.35">
      <c r="A5917" s="897" t="s">
        <v>7443</v>
      </c>
      <c r="B5917" s="897"/>
      <c r="C5917" s="897"/>
      <c r="D5917" s="897"/>
      <c r="E5917" s="897"/>
      <c r="F5917" s="897"/>
      <c r="G5917" s="350"/>
      <c r="H5917" s="414" t="str">
        <f>IF(ISNUMBER(G5917),ROUND(0.8*G5917,2),"")</f>
        <v/>
      </c>
      <c r="I5917" s="605"/>
      <c r="J5917" s="549">
        <v>42705</v>
      </c>
    </row>
    <row r="5918" spans="1:10" x14ac:dyDescent="0.35">
      <c r="J5918" s="549"/>
    </row>
    <row r="5919" spans="1:10" s="524" customFormat="1" ht="13" x14ac:dyDescent="0.3">
      <c r="A5919" s="846" t="s">
        <v>6068</v>
      </c>
      <c r="B5919" s="619" t="s">
        <v>3373</v>
      </c>
      <c r="C5919" s="619"/>
      <c r="D5919" s="619" t="s">
        <v>6073</v>
      </c>
      <c r="E5919" s="619"/>
      <c r="F5919" s="620">
        <v>0</v>
      </c>
      <c r="G5919" s="621">
        <v>0</v>
      </c>
      <c r="H5919" s="621">
        <v>0</v>
      </c>
      <c r="I5919" s="847"/>
      <c r="J5919" s="848">
        <v>42705</v>
      </c>
    </row>
    <row r="5920" spans="1:10" s="524" customFormat="1" ht="13" x14ac:dyDescent="0.3">
      <c r="A5920" s="846" t="s">
        <v>6069</v>
      </c>
      <c r="B5920" s="619" t="s">
        <v>3373</v>
      </c>
      <c r="C5920" s="619"/>
      <c r="D5920" s="619" t="s">
        <v>6074</v>
      </c>
      <c r="E5920" s="619"/>
      <c r="F5920" s="620">
        <v>0</v>
      </c>
      <c r="G5920" s="621">
        <v>0</v>
      </c>
      <c r="H5920" s="621">
        <v>0</v>
      </c>
      <c r="I5920" s="847"/>
      <c r="J5920" s="848">
        <v>42705</v>
      </c>
    </row>
    <row r="5921" spans="1:10" x14ac:dyDescent="0.35">
      <c r="J5921" s="549"/>
    </row>
    <row r="5922" spans="1:10" ht="159.75" customHeight="1" x14ac:dyDescent="0.35">
      <c r="A5922" s="897" t="s">
        <v>8139</v>
      </c>
      <c r="B5922" s="897"/>
      <c r="C5922" s="897"/>
      <c r="D5922" s="897"/>
      <c r="E5922" s="897"/>
      <c r="F5922" s="897"/>
      <c r="G5922" s="350"/>
      <c r="H5922" s="414" t="str">
        <f>IF(ISNUMBER(G5922),ROUND(0.8*G5922,2),"")</f>
        <v/>
      </c>
      <c r="I5922" s="605"/>
      <c r="J5922" s="549">
        <v>42644</v>
      </c>
    </row>
    <row r="5923" spans="1:10" x14ac:dyDescent="0.35">
      <c r="J5923" s="549"/>
    </row>
    <row r="5924" spans="1:10" s="524" customFormat="1" ht="13" x14ac:dyDescent="0.3">
      <c r="A5924" s="846" t="s">
        <v>5831</v>
      </c>
      <c r="B5924" s="619" t="s">
        <v>2269</v>
      </c>
      <c r="C5924" s="619"/>
      <c r="D5924" s="619" t="s">
        <v>6088</v>
      </c>
      <c r="E5924" s="619"/>
      <c r="F5924" s="620"/>
      <c r="G5924" s="621">
        <v>-0.1</v>
      </c>
      <c r="H5924" s="621"/>
      <c r="I5924" s="847"/>
      <c r="J5924" s="848">
        <v>42644</v>
      </c>
    </row>
    <row r="5925" spans="1:10" s="524" customFormat="1" ht="13" x14ac:dyDescent="0.3">
      <c r="A5925" s="846" t="s">
        <v>5832</v>
      </c>
      <c r="B5925" s="619" t="s">
        <v>5547</v>
      </c>
      <c r="C5925" s="619"/>
      <c r="D5925" s="619" t="s">
        <v>6088</v>
      </c>
      <c r="E5925" s="619"/>
      <c r="F5925" s="620"/>
      <c r="G5925" s="621">
        <v>-0.1</v>
      </c>
      <c r="H5925" s="621"/>
      <c r="I5925" s="847"/>
      <c r="J5925" s="848">
        <v>42644</v>
      </c>
    </row>
    <row r="5926" spans="1:10" s="524" customFormat="1" ht="13" x14ac:dyDescent="0.3">
      <c r="A5926" s="846" t="s">
        <v>5833</v>
      </c>
      <c r="B5926" s="619" t="s">
        <v>4846</v>
      </c>
      <c r="C5926" s="619"/>
      <c r="D5926" s="619" t="s">
        <v>6088</v>
      </c>
      <c r="E5926" s="619"/>
      <c r="F5926" s="620"/>
      <c r="G5926" s="621">
        <v>-0.1</v>
      </c>
      <c r="H5926" s="621"/>
      <c r="I5926" s="847"/>
      <c r="J5926" s="848">
        <v>42644</v>
      </c>
    </row>
    <row r="5927" spans="1:10" s="524" customFormat="1" ht="13" x14ac:dyDescent="0.3">
      <c r="A5927" s="846" t="s">
        <v>5834</v>
      </c>
      <c r="B5927" s="619" t="s">
        <v>5405</v>
      </c>
      <c r="C5927" s="619"/>
      <c r="D5927" s="619" t="s">
        <v>6088</v>
      </c>
      <c r="E5927" s="619"/>
      <c r="F5927" s="620"/>
      <c r="G5927" s="621">
        <v>-0.1</v>
      </c>
      <c r="H5927" s="621"/>
      <c r="I5927" s="847"/>
      <c r="J5927" s="848">
        <v>42644</v>
      </c>
    </row>
    <row r="5928" spans="1:10" s="524" customFormat="1" ht="13" x14ac:dyDescent="0.3">
      <c r="A5928" s="846" t="s">
        <v>5835</v>
      </c>
      <c r="B5928" s="619" t="s">
        <v>5410</v>
      </c>
      <c r="C5928" s="619"/>
      <c r="D5928" s="619" t="s">
        <v>6088</v>
      </c>
      <c r="E5928" s="619"/>
      <c r="F5928" s="620"/>
      <c r="G5928" s="621">
        <v>-0.1</v>
      </c>
      <c r="H5928" s="621"/>
      <c r="I5928" s="847"/>
      <c r="J5928" s="848">
        <v>42644</v>
      </c>
    </row>
    <row r="5929" spans="1:10" s="524" customFormat="1" ht="13" x14ac:dyDescent="0.3">
      <c r="A5929" s="846" t="s">
        <v>5836</v>
      </c>
      <c r="B5929" s="619" t="s">
        <v>5411</v>
      </c>
      <c r="C5929" s="619"/>
      <c r="D5929" s="619" t="s">
        <v>6088</v>
      </c>
      <c r="E5929" s="619"/>
      <c r="F5929" s="620"/>
      <c r="G5929" s="621">
        <v>-0.1</v>
      </c>
      <c r="H5929" s="621"/>
      <c r="I5929" s="847"/>
      <c r="J5929" s="848">
        <v>42644</v>
      </c>
    </row>
    <row r="5930" spans="1:10" s="524" customFormat="1" ht="13" x14ac:dyDescent="0.3">
      <c r="A5930" s="846" t="s">
        <v>5837</v>
      </c>
      <c r="B5930" s="619" t="s">
        <v>2034</v>
      </c>
      <c r="C5930" s="619"/>
      <c r="D5930" s="619" t="s">
        <v>6088</v>
      </c>
      <c r="E5930" s="619"/>
      <c r="F5930" s="620"/>
      <c r="G5930" s="621">
        <v>-0.1</v>
      </c>
      <c r="H5930" s="621"/>
      <c r="I5930" s="847"/>
      <c r="J5930" s="848">
        <v>42644</v>
      </c>
    </row>
    <row r="5931" spans="1:10" s="524" customFormat="1" ht="13" x14ac:dyDescent="0.3">
      <c r="A5931" s="846" t="s">
        <v>5838</v>
      </c>
      <c r="B5931" s="619" t="s">
        <v>2067</v>
      </c>
      <c r="C5931" s="619"/>
      <c r="D5931" s="619" t="s">
        <v>6088</v>
      </c>
      <c r="E5931" s="619"/>
      <c r="F5931" s="620"/>
      <c r="G5931" s="621">
        <v>-0.1</v>
      </c>
      <c r="H5931" s="621"/>
      <c r="I5931" s="847"/>
      <c r="J5931" s="848">
        <v>42644</v>
      </c>
    </row>
    <row r="5932" spans="1:10" s="524" customFormat="1" ht="13" x14ac:dyDescent="0.3">
      <c r="A5932" s="846" t="s">
        <v>5839</v>
      </c>
      <c r="B5932" s="619" t="s">
        <v>3373</v>
      </c>
      <c r="C5932" s="619"/>
      <c r="D5932" s="619" t="s">
        <v>6088</v>
      </c>
      <c r="E5932" s="619"/>
      <c r="F5932" s="620"/>
      <c r="G5932" s="621">
        <v>-0.1</v>
      </c>
      <c r="H5932" s="621"/>
      <c r="I5932" s="847"/>
      <c r="J5932" s="848">
        <v>42644</v>
      </c>
    </row>
    <row r="5933" spans="1:10" s="524" customFormat="1" ht="13" x14ac:dyDescent="0.3">
      <c r="A5933" s="846" t="s">
        <v>5840</v>
      </c>
      <c r="B5933" s="619" t="s">
        <v>3381</v>
      </c>
      <c r="C5933" s="619"/>
      <c r="D5933" s="619" t="s">
        <v>6088</v>
      </c>
      <c r="E5933" s="619"/>
      <c r="F5933" s="620"/>
      <c r="G5933" s="621">
        <v>-0.1</v>
      </c>
      <c r="H5933" s="621"/>
      <c r="I5933" s="847"/>
      <c r="J5933" s="848">
        <v>42644</v>
      </c>
    </row>
    <row r="5934" spans="1:10" s="524" customFormat="1" ht="13" x14ac:dyDescent="0.3">
      <c r="A5934" s="846" t="s">
        <v>5841</v>
      </c>
      <c r="B5934" s="619" t="s">
        <v>3389</v>
      </c>
      <c r="C5934" s="619"/>
      <c r="D5934" s="619" t="s">
        <v>6088</v>
      </c>
      <c r="E5934" s="619"/>
      <c r="F5934" s="620"/>
      <c r="G5934" s="621">
        <v>-0.1</v>
      </c>
      <c r="H5934" s="621"/>
      <c r="I5934" s="847"/>
      <c r="J5934" s="848">
        <v>42644</v>
      </c>
    </row>
    <row r="5935" spans="1:10" s="524" customFormat="1" ht="13" x14ac:dyDescent="0.3">
      <c r="A5935" s="846" t="s">
        <v>5842</v>
      </c>
      <c r="B5935" s="619" t="s">
        <v>740</v>
      </c>
      <c r="C5935" s="619"/>
      <c r="D5935" s="619" t="s">
        <v>6088</v>
      </c>
      <c r="E5935" s="619"/>
      <c r="F5935" s="620"/>
      <c r="G5935" s="621">
        <v>-0.1</v>
      </c>
      <c r="H5935" s="621"/>
      <c r="I5935" s="847"/>
      <c r="J5935" s="848">
        <v>42644</v>
      </c>
    </row>
    <row r="5936" spans="1:10" s="524" customFormat="1" ht="13" x14ac:dyDescent="0.3">
      <c r="A5936" s="846" t="s">
        <v>5843</v>
      </c>
      <c r="B5936" s="619" t="s">
        <v>5434</v>
      </c>
      <c r="C5936" s="619"/>
      <c r="D5936" s="619" t="s">
        <v>6088</v>
      </c>
      <c r="E5936" s="619"/>
      <c r="F5936" s="620"/>
      <c r="G5936" s="621">
        <v>-0.1</v>
      </c>
      <c r="H5936" s="621"/>
      <c r="I5936" s="847"/>
      <c r="J5936" s="848">
        <v>42644</v>
      </c>
    </row>
    <row r="5937" spans="1:10" s="524" customFormat="1" ht="13" x14ac:dyDescent="0.3">
      <c r="F5937" s="849"/>
      <c r="G5937" s="850"/>
      <c r="H5937" s="850"/>
      <c r="I5937" s="851"/>
      <c r="J5937" s="848"/>
    </row>
    <row r="5938" spans="1:10" s="524" customFormat="1" ht="13" x14ac:dyDescent="0.3">
      <c r="A5938" s="846" t="s">
        <v>5814</v>
      </c>
      <c r="B5938" s="619" t="s">
        <v>2269</v>
      </c>
      <c r="C5938" s="619"/>
      <c r="D5938" s="619" t="s">
        <v>6089</v>
      </c>
      <c r="E5938" s="619"/>
      <c r="F5938" s="620"/>
      <c r="G5938" s="621">
        <v>0</v>
      </c>
      <c r="H5938" s="621"/>
      <c r="I5938" s="847"/>
      <c r="J5938" s="848">
        <v>42644</v>
      </c>
    </row>
    <row r="5939" spans="1:10" s="524" customFormat="1" ht="13" x14ac:dyDescent="0.3">
      <c r="A5939" s="846" t="s">
        <v>5815</v>
      </c>
      <c r="B5939" s="619" t="s">
        <v>5547</v>
      </c>
      <c r="C5939" s="619"/>
      <c r="D5939" s="619" t="s">
        <v>6089</v>
      </c>
      <c r="E5939" s="619"/>
      <c r="F5939" s="620"/>
      <c r="G5939" s="621">
        <v>0</v>
      </c>
      <c r="H5939" s="621"/>
      <c r="I5939" s="847"/>
      <c r="J5939" s="848">
        <v>42644</v>
      </c>
    </row>
    <row r="5940" spans="1:10" s="524" customFormat="1" ht="13" x14ac:dyDescent="0.3">
      <c r="A5940" s="846" t="s">
        <v>5816</v>
      </c>
      <c r="B5940" s="619" t="s">
        <v>4846</v>
      </c>
      <c r="C5940" s="619"/>
      <c r="D5940" s="619" t="s">
        <v>6089</v>
      </c>
      <c r="E5940" s="619"/>
      <c r="F5940" s="620"/>
      <c r="G5940" s="621">
        <v>0</v>
      </c>
      <c r="H5940" s="621"/>
      <c r="I5940" s="847"/>
      <c r="J5940" s="848">
        <v>42644</v>
      </c>
    </row>
    <row r="5941" spans="1:10" s="524" customFormat="1" ht="13" x14ac:dyDescent="0.3">
      <c r="A5941" s="846" t="s">
        <v>5817</v>
      </c>
      <c r="B5941" s="619" t="s">
        <v>5405</v>
      </c>
      <c r="C5941" s="619"/>
      <c r="D5941" s="619" t="s">
        <v>6089</v>
      </c>
      <c r="E5941" s="619"/>
      <c r="F5941" s="620"/>
      <c r="G5941" s="621">
        <v>0</v>
      </c>
      <c r="H5941" s="621"/>
      <c r="I5941" s="847"/>
      <c r="J5941" s="848">
        <v>42644</v>
      </c>
    </row>
    <row r="5942" spans="1:10" s="524" customFormat="1" ht="13" x14ac:dyDescent="0.3">
      <c r="A5942" s="846" t="s">
        <v>5818</v>
      </c>
      <c r="B5942" s="619" t="s">
        <v>5410</v>
      </c>
      <c r="C5942" s="619"/>
      <c r="D5942" s="619" t="s">
        <v>6089</v>
      </c>
      <c r="E5942" s="619"/>
      <c r="F5942" s="620"/>
      <c r="G5942" s="621">
        <v>0</v>
      </c>
      <c r="H5942" s="621"/>
      <c r="I5942" s="847"/>
      <c r="J5942" s="848">
        <v>42644</v>
      </c>
    </row>
    <row r="5943" spans="1:10" s="524" customFormat="1" ht="13" x14ac:dyDescent="0.3">
      <c r="A5943" s="846" t="s">
        <v>5819</v>
      </c>
      <c r="B5943" s="619" t="s">
        <v>5411</v>
      </c>
      <c r="C5943" s="619"/>
      <c r="D5943" s="619" t="s">
        <v>6089</v>
      </c>
      <c r="E5943" s="619"/>
      <c r="F5943" s="620"/>
      <c r="G5943" s="621">
        <v>0</v>
      </c>
      <c r="H5943" s="621"/>
      <c r="I5943" s="847"/>
      <c r="J5943" s="848">
        <v>42644</v>
      </c>
    </row>
    <row r="5944" spans="1:10" s="524" customFormat="1" ht="13" x14ac:dyDescent="0.3">
      <c r="A5944" s="846" t="s">
        <v>5820</v>
      </c>
      <c r="B5944" s="619" t="s">
        <v>2034</v>
      </c>
      <c r="C5944" s="619"/>
      <c r="D5944" s="619" t="s">
        <v>6089</v>
      </c>
      <c r="E5944" s="619"/>
      <c r="F5944" s="620"/>
      <c r="G5944" s="621">
        <v>0</v>
      </c>
      <c r="H5944" s="621"/>
      <c r="I5944" s="847"/>
      <c r="J5944" s="848">
        <v>42644</v>
      </c>
    </row>
    <row r="5945" spans="1:10" s="524" customFormat="1" ht="13" x14ac:dyDescent="0.3">
      <c r="A5945" s="846" t="s">
        <v>5821</v>
      </c>
      <c r="B5945" s="619" t="s">
        <v>2067</v>
      </c>
      <c r="C5945" s="619"/>
      <c r="D5945" s="619" t="s">
        <v>6089</v>
      </c>
      <c r="E5945" s="619"/>
      <c r="F5945" s="620"/>
      <c r="G5945" s="621">
        <v>0</v>
      </c>
      <c r="H5945" s="621"/>
      <c r="I5945" s="847"/>
      <c r="J5945" s="848">
        <v>42644</v>
      </c>
    </row>
    <row r="5946" spans="1:10" s="524" customFormat="1" ht="13" x14ac:dyDescent="0.3">
      <c r="A5946" s="846" t="s">
        <v>5822</v>
      </c>
      <c r="B5946" s="619" t="s">
        <v>3373</v>
      </c>
      <c r="C5946" s="619"/>
      <c r="D5946" s="619" t="s">
        <v>6089</v>
      </c>
      <c r="E5946" s="619"/>
      <c r="F5946" s="620"/>
      <c r="G5946" s="621">
        <v>0</v>
      </c>
      <c r="H5946" s="621"/>
      <c r="I5946" s="847"/>
      <c r="J5946" s="848">
        <v>42644</v>
      </c>
    </row>
    <row r="5947" spans="1:10" s="524" customFormat="1" ht="13" x14ac:dyDescent="0.3">
      <c r="A5947" s="846" t="s">
        <v>5823</v>
      </c>
      <c r="B5947" s="619" t="s">
        <v>3381</v>
      </c>
      <c r="C5947" s="619"/>
      <c r="D5947" s="619" t="s">
        <v>6089</v>
      </c>
      <c r="E5947" s="619"/>
      <c r="F5947" s="620"/>
      <c r="G5947" s="621">
        <v>0</v>
      </c>
      <c r="H5947" s="621"/>
      <c r="I5947" s="847"/>
      <c r="J5947" s="848">
        <v>42644</v>
      </c>
    </row>
    <row r="5948" spans="1:10" s="524" customFormat="1" ht="13" x14ac:dyDescent="0.3">
      <c r="A5948" s="846" t="s">
        <v>5824</v>
      </c>
      <c r="B5948" s="619" t="s">
        <v>3389</v>
      </c>
      <c r="C5948" s="619"/>
      <c r="D5948" s="619" t="s">
        <v>6089</v>
      </c>
      <c r="E5948" s="619"/>
      <c r="F5948" s="620"/>
      <c r="G5948" s="621">
        <v>0</v>
      </c>
      <c r="H5948" s="621"/>
      <c r="I5948" s="847"/>
      <c r="J5948" s="848">
        <v>42644</v>
      </c>
    </row>
    <row r="5949" spans="1:10" s="524" customFormat="1" ht="13" x14ac:dyDescent="0.3">
      <c r="A5949" s="846" t="s">
        <v>5825</v>
      </c>
      <c r="B5949" s="619" t="s">
        <v>740</v>
      </c>
      <c r="C5949" s="619"/>
      <c r="D5949" s="619" t="s">
        <v>6089</v>
      </c>
      <c r="E5949" s="619"/>
      <c r="F5949" s="620"/>
      <c r="G5949" s="621">
        <v>0</v>
      </c>
      <c r="H5949" s="621"/>
      <c r="I5949" s="847"/>
      <c r="J5949" s="848">
        <v>42644</v>
      </c>
    </row>
    <row r="5950" spans="1:10" s="524" customFormat="1" ht="13" x14ac:dyDescent="0.3">
      <c r="A5950" s="846" t="s">
        <v>5826</v>
      </c>
      <c r="B5950" s="619" t="s">
        <v>5434</v>
      </c>
      <c r="C5950" s="619"/>
      <c r="D5950" s="619" t="s">
        <v>6089</v>
      </c>
      <c r="E5950" s="619"/>
      <c r="F5950" s="620"/>
      <c r="G5950" s="621">
        <v>0</v>
      </c>
      <c r="H5950" s="621"/>
      <c r="I5950" s="622"/>
      <c r="J5950" s="848">
        <v>42644</v>
      </c>
    </row>
    <row r="5951" spans="1:10" x14ac:dyDescent="0.35">
      <c r="J5951" s="549"/>
    </row>
    <row r="5952" spans="1:10" ht="207.75" customHeight="1" x14ac:dyDescent="0.35">
      <c r="A5952" s="897" t="s">
        <v>8140</v>
      </c>
      <c r="B5952" s="897"/>
      <c r="C5952" s="897"/>
      <c r="D5952" s="897"/>
      <c r="E5952" s="897"/>
      <c r="F5952" s="897"/>
      <c r="G5952" s="350"/>
      <c r="H5952" s="414" t="str">
        <f>IF(ISNUMBER(G5952),ROUND(0.8*G5952,2),"")</f>
        <v/>
      </c>
      <c r="I5952" s="605"/>
      <c r="J5952" s="549">
        <v>42766</v>
      </c>
    </row>
    <row r="5953" spans="1:10" x14ac:dyDescent="0.35">
      <c r="J5953" s="549"/>
    </row>
    <row r="5954" spans="1:10" s="524" customFormat="1" ht="13" x14ac:dyDescent="0.3">
      <c r="A5954" s="846" t="s">
        <v>6133</v>
      </c>
      <c r="B5954" s="619" t="s">
        <v>2269</v>
      </c>
      <c r="C5954" s="619"/>
      <c r="D5954" s="619" t="s">
        <v>6117</v>
      </c>
      <c r="E5954" s="619"/>
      <c r="F5954" s="620"/>
      <c r="G5954" s="621"/>
      <c r="H5954" s="621"/>
      <c r="I5954" s="847"/>
      <c r="J5954" s="848">
        <v>42766</v>
      </c>
    </row>
    <row r="5955" spans="1:10" s="524" customFormat="1" ht="13" x14ac:dyDescent="0.3">
      <c r="A5955" s="846" t="s">
        <v>6134</v>
      </c>
      <c r="B5955" s="619" t="s">
        <v>5547</v>
      </c>
      <c r="C5955" s="619"/>
      <c r="D5955" s="619" t="s">
        <v>6117</v>
      </c>
      <c r="E5955" s="619"/>
      <c r="F5955" s="620"/>
      <c r="G5955" s="621"/>
      <c r="H5955" s="621"/>
      <c r="I5955" s="847"/>
      <c r="J5955" s="848">
        <v>42766</v>
      </c>
    </row>
    <row r="5956" spans="1:10" s="524" customFormat="1" ht="13" x14ac:dyDescent="0.3">
      <c r="A5956" s="846" t="s">
        <v>6135</v>
      </c>
      <c r="B5956" s="619" t="s">
        <v>4846</v>
      </c>
      <c r="C5956" s="619"/>
      <c r="D5956" s="619" t="s">
        <v>6117</v>
      </c>
      <c r="E5956" s="619"/>
      <c r="F5956" s="620"/>
      <c r="G5956" s="621"/>
      <c r="H5956" s="621"/>
      <c r="I5956" s="847"/>
      <c r="J5956" s="848">
        <v>42766</v>
      </c>
    </row>
    <row r="5957" spans="1:10" s="524" customFormat="1" ht="13" x14ac:dyDescent="0.3">
      <c r="A5957" s="846" t="s">
        <v>6136</v>
      </c>
      <c r="B5957" s="619" t="s">
        <v>5405</v>
      </c>
      <c r="C5957" s="619"/>
      <c r="D5957" s="619" t="s">
        <v>6117</v>
      </c>
      <c r="E5957" s="619"/>
      <c r="F5957" s="620"/>
      <c r="G5957" s="621"/>
      <c r="H5957" s="621"/>
      <c r="I5957" s="847"/>
      <c r="J5957" s="848">
        <v>42766</v>
      </c>
    </row>
    <row r="5958" spans="1:10" s="524" customFormat="1" ht="13" x14ac:dyDescent="0.3">
      <c r="A5958" s="846" t="s">
        <v>6137</v>
      </c>
      <c r="B5958" s="619" t="s">
        <v>5410</v>
      </c>
      <c r="C5958" s="619"/>
      <c r="D5958" s="619" t="s">
        <v>6117</v>
      </c>
      <c r="E5958" s="619"/>
      <c r="F5958" s="620"/>
      <c r="G5958" s="621"/>
      <c r="H5958" s="621"/>
      <c r="I5958" s="847"/>
      <c r="J5958" s="848">
        <v>42766</v>
      </c>
    </row>
    <row r="5959" spans="1:10" s="524" customFormat="1" ht="13" x14ac:dyDescent="0.3">
      <c r="A5959" s="846" t="s">
        <v>6138</v>
      </c>
      <c r="B5959" s="619" t="s">
        <v>5411</v>
      </c>
      <c r="C5959" s="619"/>
      <c r="D5959" s="619" t="s">
        <v>6117</v>
      </c>
      <c r="E5959" s="619"/>
      <c r="F5959" s="620"/>
      <c r="G5959" s="621"/>
      <c r="H5959" s="621"/>
      <c r="I5959" s="847"/>
      <c r="J5959" s="848">
        <v>42766</v>
      </c>
    </row>
    <row r="5960" spans="1:10" s="524" customFormat="1" ht="13" x14ac:dyDescent="0.3">
      <c r="A5960" s="846" t="s">
        <v>6139</v>
      </c>
      <c r="B5960" s="619" t="s">
        <v>2034</v>
      </c>
      <c r="C5960" s="619"/>
      <c r="D5960" s="619" t="s">
        <v>6117</v>
      </c>
      <c r="E5960" s="619"/>
      <c r="F5960" s="620"/>
      <c r="G5960" s="621"/>
      <c r="H5960" s="621"/>
      <c r="I5960" s="847"/>
      <c r="J5960" s="848">
        <v>42766</v>
      </c>
    </row>
    <row r="5961" spans="1:10" s="524" customFormat="1" ht="13" x14ac:dyDescent="0.3">
      <c r="A5961" s="846" t="s">
        <v>6140</v>
      </c>
      <c r="B5961" s="619" t="s">
        <v>2067</v>
      </c>
      <c r="C5961" s="619"/>
      <c r="D5961" s="619" t="s">
        <v>6117</v>
      </c>
      <c r="E5961" s="619"/>
      <c r="F5961" s="620"/>
      <c r="G5961" s="621"/>
      <c r="H5961" s="621"/>
      <c r="I5961" s="847"/>
      <c r="J5961" s="848">
        <v>42766</v>
      </c>
    </row>
    <row r="5962" spans="1:10" s="524" customFormat="1" ht="13" x14ac:dyDescent="0.3">
      <c r="A5962" s="846" t="s">
        <v>6141</v>
      </c>
      <c r="B5962" s="619" t="s">
        <v>3373</v>
      </c>
      <c r="C5962" s="619"/>
      <c r="D5962" s="619" t="s">
        <v>6117</v>
      </c>
      <c r="E5962" s="619"/>
      <c r="F5962" s="620"/>
      <c r="G5962" s="621"/>
      <c r="H5962" s="621"/>
      <c r="I5962" s="847"/>
      <c r="J5962" s="848">
        <v>42766</v>
      </c>
    </row>
    <row r="5963" spans="1:10" s="524" customFormat="1" ht="13" x14ac:dyDescent="0.3">
      <c r="A5963" s="846" t="s">
        <v>6142</v>
      </c>
      <c r="B5963" s="619" t="s">
        <v>3381</v>
      </c>
      <c r="C5963" s="619"/>
      <c r="D5963" s="619" t="s">
        <v>6117</v>
      </c>
      <c r="E5963" s="619"/>
      <c r="F5963" s="620"/>
      <c r="G5963" s="621"/>
      <c r="H5963" s="621"/>
      <c r="I5963" s="847"/>
      <c r="J5963" s="848">
        <v>42766</v>
      </c>
    </row>
    <row r="5964" spans="1:10" s="524" customFormat="1" ht="13" x14ac:dyDescent="0.3">
      <c r="A5964" s="846" t="s">
        <v>6143</v>
      </c>
      <c r="B5964" s="619" t="s">
        <v>3389</v>
      </c>
      <c r="C5964" s="619"/>
      <c r="D5964" s="619" t="s">
        <v>6117</v>
      </c>
      <c r="E5964" s="619"/>
      <c r="F5964" s="620"/>
      <c r="G5964" s="621"/>
      <c r="H5964" s="621"/>
      <c r="I5964" s="847"/>
      <c r="J5964" s="848">
        <v>42766</v>
      </c>
    </row>
    <row r="5965" spans="1:10" s="524" customFormat="1" ht="13" x14ac:dyDescent="0.3">
      <c r="A5965" s="846" t="s">
        <v>6144</v>
      </c>
      <c r="B5965" s="619" t="s">
        <v>740</v>
      </c>
      <c r="C5965" s="619"/>
      <c r="D5965" s="619" t="s">
        <v>6117</v>
      </c>
      <c r="E5965" s="619"/>
      <c r="F5965" s="620"/>
      <c r="G5965" s="621"/>
      <c r="H5965" s="621"/>
      <c r="I5965" s="847"/>
      <c r="J5965" s="848">
        <v>42766</v>
      </c>
    </row>
    <row r="5966" spans="1:10" s="524" customFormat="1" ht="13" x14ac:dyDescent="0.3">
      <c r="A5966" s="846" t="s">
        <v>6145</v>
      </c>
      <c r="B5966" s="619" t="s">
        <v>5434</v>
      </c>
      <c r="C5966" s="619"/>
      <c r="D5966" s="619" t="s">
        <v>6117</v>
      </c>
      <c r="E5966" s="619"/>
      <c r="F5966" s="620"/>
      <c r="G5966" s="621"/>
      <c r="H5966" s="621"/>
      <c r="I5966" s="847"/>
      <c r="J5966" s="848">
        <v>42766</v>
      </c>
    </row>
    <row r="5967" spans="1:10" x14ac:dyDescent="0.35">
      <c r="J5967" s="549"/>
    </row>
    <row r="5968" spans="1:10" s="524" customFormat="1" ht="13" x14ac:dyDescent="0.3">
      <c r="A5968" s="846" t="s">
        <v>6125</v>
      </c>
      <c r="B5968" s="619" t="s">
        <v>2269</v>
      </c>
      <c r="C5968" s="619"/>
      <c r="D5968" s="619" t="s">
        <v>6118</v>
      </c>
      <c r="E5968" s="619"/>
      <c r="F5968" s="620"/>
      <c r="G5968" s="621"/>
      <c r="H5968" s="621"/>
      <c r="I5968" s="847"/>
      <c r="J5968" s="848">
        <v>42766</v>
      </c>
    </row>
    <row r="5969" spans="1:13" s="524" customFormat="1" ht="13" x14ac:dyDescent="0.3">
      <c r="A5969" s="846" t="s">
        <v>6126</v>
      </c>
      <c r="B5969" s="619" t="s">
        <v>5547</v>
      </c>
      <c r="C5969" s="619"/>
      <c r="D5969" s="619" t="s">
        <v>6118</v>
      </c>
      <c r="E5969" s="619"/>
      <c r="F5969" s="620"/>
      <c r="G5969" s="621"/>
      <c r="H5969" s="621"/>
      <c r="I5969" s="847"/>
      <c r="J5969" s="848">
        <v>42766</v>
      </c>
    </row>
    <row r="5970" spans="1:13" s="524" customFormat="1" ht="13" x14ac:dyDescent="0.3">
      <c r="A5970" s="846" t="s">
        <v>6127</v>
      </c>
      <c r="B5970" s="619" t="s">
        <v>4846</v>
      </c>
      <c r="C5970" s="619"/>
      <c r="D5970" s="619" t="s">
        <v>6118</v>
      </c>
      <c r="E5970" s="619"/>
      <c r="F5970" s="620"/>
      <c r="G5970" s="621"/>
      <c r="H5970" s="621"/>
      <c r="I5970" s="847"/>
      <c r="J5970" s="848">
        <v>42766</v>
      </c>
    </row>
    <row r="5971" spans="1:13" s="524" customFormat="1" ht="13" x14ac:dyDescent="0.3">
      <c r="A5971" s="846" t="s">
        <v>6128</v>
      </c>
      <c r="B5971" s="619" t="s">
        <v>5405</v>
      </c>
      <c r="C5971" s="619"/>
      <c r="D5971" s="619" t="s">
        <v>6118</v>
      </c>
      <c r="E5971" s="619"/>
      <c r="F5971" s="620"/>
      <c r="G5971" s="621"/>
      <c r="H5971" s="621"/>
      <c r="I5971" s="847"/>
      <c r="J5971" s="848">
        <v>42766</v>
      </c>
    </row>
    <row r="5972" spans="1:13" s="524" customFormat="1" ht="13" x14ac:dyDescent="0.3">
      <c r="A5972" s="846" t="s">
        <v>6129</v>
      </c>
      <c r="B5972" s="619" t="s">
        <v>5410</v>
      </c>
      <c r="C5972" s="619"/>
      <c r="D5972" s="619" t="s">
        <v>6118</v>
      </c>
      <c r="E5972" s="619"/>
      <c r="F5972" s="620"/>
      <c r="G5972" s="621"/>
      <c r="H5972" s="621"/>
      <c r="I5972" s="847"/>
      <c r="J5972" s="848">
        <v>42766</v>
      </c>
    </row>
    <row r="5973" spans="1:13" s="524" customFormat="1" ht="13" x14ac:dyDescent="0.3">
      <c r="A5973" s="846" t="s">
        <v>6130</v>
      </c>
      <c r="B5973" s="619" t="s">
        <v>5411</v>
      </c>
      <c r="C5973" s="619"/>
      <c r="D5973" s="619" t="s">
        <v>6118</v>
      </c>
      <c r="E5973" s="619"/>
      <c r="F5973" s="620"/>
      <c r="G5973" s="621"/>
      <c r="H5973" s="621"/>
      <c r="I5973" s="847"/>
      <c r="J5973" s="848">
        <v>42766</v>
      </c>
    </row>
    <row r="5974" spans="1:13" s="524" customFormat="1" ht="13" x14ac:dyDescent="0.3">
      <c r="A5974" s="846" t="s">
        <v>6131</v>
      </c>
      <c r="B5974" s="619" t="s">
        <v>2034</v>
      </c>
      <c r="C5974" s="619"/>
      <c r="D5974" s="619" t="s">
        <v>6118</v>
      </c>
      <c r="E5974" s="619"/>
      <c r="F5974" s="620"/>
      <c r="G5974" s="621"/>
      <c r="H5974" s="621"/>
      <c r="I5974" s="847"/>
      <c r="J5974" s="848">
        <v>42766</v>
      </c>
    </row>
    <row r="5975" spans="1:13" s="524" customFormat="1" ht="13" x14ac:dyDescent="0.3">
      <c r="A5975" s="846" t="s">
        <v>6132</v>
      </c>
      <c r="B5975" s="619" t="s">
        <v>2067</v>
      </c>
      <c r="C5975" s="619"/>
      <c r="D5975" s="619" t="s">
        <v>6118</v>
      </c>
      <c r="E5975" s="619"/>
      <c r="F5975" s="620"/>
      <c r="G5975" s="621"/>
      <c r="H5975" s="621"/>
      <c r="I5975" s="847"/>
      <c r="J5975" s="848">
        <v>42766</v>
      </c>
    </row>
    <row r="5976" spans="1:13" s="524" customFormat="1" ht="13" x14ac:dyDescent="0.3">
      <c r="A5976" s="846" t="s">
        <v>6124</v>
      </c>
      <c r="B5976" s="619" t="s">
        <v>3373</v>
      </c>
      <c r="C5976" s="619"/>
      <c r="D5976" s="619" t="s">
        <v>6118</v>
      </c>
      <c r="E5976" s="619"/>
      <c r="F5976" s="620"/>
      <c r="G5976" s="621"/>
      <c r="H5976" s="621"/>
      <c r="I5976" s="847"/>
      <c r="J5976" s="848">
        <v>42766</v>
      </c>
    </row>
    <row r="5977" spans="1:13" s="524" customFormat="1" ht="13" x14ac:dyDescent="0.3">
      <c r="A5977" s="846" t="s">
        <v>6123</v>
      </c>
      <c r="B5977" s="619" t="s">
        <v>3381</v>
      </c>
      <c r="C5977" s="619"/>
      <c r="D5977" s="619" t="s">
        <v>6118</v>
      </c>
      <c r="E5977" s="619"/>
      <c r="F5977" s="620"/>
      <c r="G5977" s="621"/>
      <c r="H5977" s="621"/>
      <c r="I5977" s="847"/>
      <c r="J5977" s="848">
        <v>42766</v>
      </c>
    </row>
    <row r="5978" spans="1:13" s="524" customFormat="1" ht="13" x14ac:dyDescent="0.3">
      <c r="A5978" s="846" t="s">
        <v>6122</v>
      </c>
      <c r="B5978" s="619" t="s">
        <v>3389</v>
      </c>
      <c r="C5978" s="619"/>
      <c r="D5978" s="619" t="s">
        <v>6118</v>
      </c>
      <c r="E5978" s="619"/>
      <c r="F5978" s="620"/>
      <c r="G5978" s="621"/>
      <c r="H5978" s="621"/>
      <c r="I5978" s="847"/>
      <c r="J5978" s="848">
        <v>42766</v>
      </c>
    </row>
    <row r="5979" spans="1:13" s="524" customFormat="1" ht="13" x14ac:dyDescent="0.3">
      <c r="A5979" s="846" t="s">
        <v>6121</v>
      </c>
      <c r="B5979" s="619" t="s">
        <v>740</v>
      </c>
      <c r="C5979" s="619"/>
      <c r="D5979" s="619" t="s">
        <v>6118</v>
      </c>
      <c r="E5979" s="619"/>
      <c r="F5979" s="620"/>
      <c r="G5979" s="621"/>
      <c r="H5979" s="621"/>
      <c r="I5979" s="847"/>
      <c r="J5979" s="848">
        <v>42766</v>
      </c>
    </row>
    <row r="5980" spans="1:13" s="524" customFormat="1" ht="13" x14ac:dyDescent="0.3">
      <c r="A5980" s="846" t="s">
        <v>6120</v>
      </c>
      <c r="B5980" s="619" t="s">
        <v>5434</v>
      </c>
      <c r="C5980" s="619"/>
      <c r="D5980" s="619" t="s">
        <v>6118</v>
      </c>
      <c r="E5980" s="619"/>
      <c r="F5980" s="620"/>
      <c r="G5980" s="621"/>
      <c r="H5980" s="621"/>
      <c r="I5980" s="847"/>
      <c r="J5980" s="848">
        <v>42766</v>
      </c>
    </row>
    <row r="5981" spans="1:13" x14ac:dyDescent="0.35">
      <c r="J5981" s="549"/>
      <c r="K5981" s="187"/>
      <c r="L5981" s="187"/>
    </row>
    <row r="5982" spans="1:13" ht="192" customHeight="1" x14ac:dyDescent="0.35">
      <c r="A5982" s="896" t="s">
        <v>945</v>
      </c>
      <c r="B5982" s="896"/>
      <c r="C5982" s="896"/>
      <c r="D5982" s="896"/>
      <c r="E5982" s="896"/>
      <c r="F5982" s="896"/>
      <c r="G5982" s="350"/>
      <c r="H5982" s="414" t="str">
        <f>IF(ISNUMBER(G5982),ROUND(0.8*G5982,2),"")</f>
        <v/>
      </c>
      <c r="I5982" s="605"/>
      <c r="J5982" s="549" t="s">
        <v>4179</v>
      </c>
      <c r="M5982" s="187"/>
    </row>
    <row r="5983" spans="1:13" x14ac:dyDescent="0.35">
      <c r="H5983" s="11" t="str">
        <f>IF(ISNUMBER(G5983),ROUND(0.8*G5983,2),"")</f>
        <v/>
      </c>
      <c r="J5983" s="549" t="s">
        <v>4179</v>
      </c>
    </row>
    <row r="5984" spans="1:13" s="524" customFormat="1" ht="13" x14ac:dyDescent="0.3">
      <c r="A5984" s="852" t="s">
        <v>4232</v>
      </c>
      <c r="B5984" s="853" t="s">
        <v>5547</v>
      </c>
      <c r="C5984" s="853"/>
      <c r="D5984" s="853" t="s">
        <v>2945</v>
      </c>
      <c r="E5984" s="853"/>
      <c r="F5984" s="854"/>
      <c r="G5984" s="854"/>
      <c r="H5984" s="854"/>
      <c r="I5984" s="855"/>
      <c r="J5984" s="848" t="s">
        <v>5804</v>
      </c>
    </row>
    <row r="5985" spans="1:10" x14ac:dyDescent="0.35">
      <c r="H5985" s="11" t="str">
        <f t="shared" ref="H5985:H6017" si="1811">IF(ISNUMBER(G5985),ROUND(0.8*G5985,2),"")</f>
        <v/>
      </c>
      <c r="J5985" s="549" t="s">
        <v>4179</v>
      </c>
    </row>
    <row r="5986" spans="1:10" ht="210" customHeight="1" x14ac:dyDescent="0.35">
      <c r="A5986" s="896" t="s">
        <v>7444</v>
      </c>
      <c r="B5986" s="896"/>
      <c r="C5986" s="896"/>
      <c r="D5986" s="896"/>
      <c r="E5986" s="896"/>
      <c r="F5986" s="896"/>
      <c r="G5986" s="350"/>
      <c r="H5986" s="414" t="str">
        <f t="shared" si="1811"/>
        <v/>
      </c>
      <c r="I5986" s="605"/>
      <c r="J5986" s="549">
        <v>42705</v>
      </c>
    </row>
    <row r="5987" spans="1:10" x14ac:dyDescent="0.35">
      <c r="H5987" s="11" t="str">
        <f t="shared" si="1811"/>
        <v/>
      </c>
      <c r="J5987" s="549" t="s">
        <v>4179</v>
      </c>
    </row>
    <row r="5988" spans="1:10" x14ac:dyDescent="0.35">
      <c r="A5988" s="495" t="s">
        <v>283</v>
      </c>
      <c r="B5988" s="356" t="s">
        <v>2269</v>
      </c>
      <c r="C5988" s="356"/>
      <c r="D5988" s="356" t="s">
        <v>1505</v>
      </c>
      <c r="E5988" s="356"/>
      <c r="F5988" s="369">
        <v>0</v>
      </c>
      <c r="G5988" s="369">
        <v>0</v>
      </c>
      <c r="H5988" s="369">
        <f t="shared" si="1811"/>
        <v>0</v>
      </c>
      <c r="I5988" s="604"/>
      <c r="J5988" s="549" t="s">
        <v>5804</v>
      </c>
    </row>
    <row r="5989" spans="1:10" x14ac:dyDescent="0.35">
      <c r="A5989" s="495" t="s">
        <v>284</v>
      </c>
      <c r="B5989" s="356" t="s">
        <v>5547</v>
      </c>
      <c r="C5989" s="356"/>
      <c r="D5989" s="356" t="s">
        <v>1505</v>
      </c>
      <c r="E5989" s="356"/>
      <c r="F5989" s="369">
        <v>0</v>
      </c>
      <c r="G5989" s="369">
        <v>0</v>
      </c>
      <c r="H5989" s="369">
        <f t="shared" si="1811"/>
        <v>0</v>
      </c>
      <c r="I5989" s="604"/>
      <c r="J5989" s="549" t="s">
        <v>5804</v>
      </c>
    </row>
    <row r="5990" spans="1:10" x14ac:dyDescent="0.35">
      <c r="A5990" s="495" t="s">
        <v>285</v>
      </c>
      <c r="B5990" s="356" t="s">
        <v>4846</v>
      </c>
      <c r="C5990" s="356"/>
      <c r="D5990" s="356" t="s">
        <v>1505</v>
      </c>
      <c r="E5990" s="356"/>
      <c r="F5990" s="369">
        <v>0</v>
      </c>
      <c r="G5990" s="369">
        <v>0</v>
      </c>
      <c r="H5990" s="369">
        <f t="shared" si="1811"/>
        <v>0</v>
      </c>
      <c r="I5990" s="604"/>
      <c r="J5990" s="549" t="s">
        <v>5804</v>
      </c>
    </row>
    <row r="5991" spans="1:10" x14ac:dyDescent="0.35">
      <c r="A5991" s="495" t="s">
        <v>286</v>
      </c>
      <c r="B5991" s="356" t="s">
        <v>5405</v>
      </c>
      <c r="C5991" s="356"/>
      <c r="D5991" s="356" t="s">
        <v>1505</v>
      </c>
      <c r="E5991" s="356"/>
      <c r="F5991" s="369">
        <v>0</v>
      </c>
      <c r="G5991" s="369">
        <v>0</v>
      </c>
      <c r="H5991" s="369">
        <f t="shared" si="1811"/>
        <v>0</v>
      </c>
      <c r="I5991" s="604"/>
      <c r="J5991" s="549" t="s">
        <v>5804</v>
      </c>
    </row>
    <row r="5992" spans="1:10" x14ac:dyDescent="0.35">
      <c r="A5992" s="495" t="s">
        <v>287</v>
      </c>
      <c r="B5992" s="356" t="s">
        <v>5410</v>
      </c>
      <c r="C5992" s="356"/>
      <c r="D5992" s="356" t="s">
        <v>1505</v>
      </c>
      <c r="E5992" s="356"/>
      <c r="F5992" s="369">
        <v>0</v>
      </c>
      <c r="G5992" s="369">
        <v>0</v>
      </c>
      <c r="H5992" s="369">
        <f t="shared" si="1811"/>
        <v>0</v>
      </c>
      <c r="I5992" s="604"/>
      <c r="J5992" s="549" t="s">
        <v>5804</v>
      </c>
    </row>
    <row r="5993" spans="1:10" x14ac:dyDescent="0.35">
      <c r="A5993" s="495" t="s">
        <v>288</v>
      </c>
      <c r="B5993" s="356" t="s">
        <v>5411</v>
      </c>
      <c r="C5993" s="356"/>
      <c r="D5993" s="356" t="s">
        <v>1505</v>
      </c>
      <c r="E5993" s="356"/>
      <c r="F5993" s="369">
        <v>0</v>
      </c>
      <c r="G5993" s="369">
        <v>0</v>
      </c>
      <c r="H5993" s="369">
        <f t="shared" si="1811"/>
        <v>0</v>
      </c>
      <c r="I5993" s="604"/>
      <c r="J5993" s="549" t="s">
        <v>5804</v>
      </c>
    </row>
    <row r="5994" spans="1:10" x14ac:dyDescent="0.35">
      <c r="A5994" s="495" t="s">
        <v>289</v>
      </c>
      <c r="B5994" s="356" t="s">
        <v>2034</v>
      </c>
      <c r="C5994" s="356"/>
      <c r="D5994" s="356" t="s">
        <v>1505</v>
      </c>
      <c r="E5994" s="356"/>
      <c r="F5994" s="369">
        <v>0</v>
      </c>
      <c r="G5994" s="369">
        <v>0</v>
      </c>
      <c r="H5994" s="369">
        <f t="shared" si="1811"/>
        <v>0</v>
      </c>
      <c r="I5994" s="604"/>
      <c r="J5994" s="549" t="s">
        <v>5804</v>
      </c>
    </row>
    <row r="5995" spans="1:10" x14ac:dyDescent="0.35">
      <c r="A5995" s="495" t="s">
        <v>290</v>
      </c>
      <c r="B5995" s="356" t="s">
        <v>2067</v>
      </c>
      <c r="C5995" s="356"/>
      <c r="D5995" s="356" t="s">
        <v>1505</v>
      </c>
      <c r="E5995" s="356"/>
      <c r="F5995" s="369">
        <v>0</v>
      </c>
      <c r="G5995" s="369">
        <v>0</v>
      </c>
      <c r="H5995" s="369">
        <f t="shared" si="1811"/>
        <v>0</v>
      </c>
      <c r="I5995" s="604"/>
      <c r="J5995" s="549" t="s">
        <v>5804</v>
      </c>
    </row>
    <row r="5996" spans="1:10" x14ac:dyDescent="0.35">
      <c r="A5996" s="495" t="s">
        <v>291</v>
      </c>
      <c r="B5996" s="356" t="s">
        <v>3373</v>
      </c>
      <c r="C5996" s="356"/>
      <c r="D5996" s="356" t="s">
        <v>1505</v>
      </c>
      <c r="E5996" s="356"/>
      <c r="F5996" s="369">
        <v>0</v>
      </c>
      <c r="G5996" s="369">
        <v>0</v>
      </c>
      <c r="H5996" s="369">
        <f t="shared" si="1811"/>
        <v>0</v>
      </c>
      <c r="I5996" s="604"/>
      <c r="J5996" s="549" t="s">
        <v>5804</v>
      </c>
    </row>
    <row r="5997" spans="1:10" x14ac:dyDescent="0.35">
      <c r="A5997" s="495" t="s">
        <v>292</v>
      </c>
      <c r="B5997" s="356" t="s">
        <v>3381</v>
      </c>
      <c r="C5997" s="356"/>
      <c r="D5997" s="356" t="s">
        <v>1505</v>
      </c>
      <c r="E5997" s="356"/>
      <c r="F5997" s="369">
        <v>0</v>
      </c>
      <c r="G5997" s="369">
        <v>0</v>
      </c>
      <c r="H5997" s="369">
        <f t="shared" si="1811"/>
        <v>0</v>
      </c>
      <c r="I5997" s="604"/>
      <c r="J5997" s="549" t="s">
        <v>5804</v>
      </c>
    </row>
    <row r="5998" spans="1:10" x14ac:dyDescent="0.35">
      <c r="A5998" s="495" t="s">
        <v>293</v>
      </c>
      <c r="B5998" s="356" t="s">
        <v>3389</v>
      </c>
      <c r="C5998" s="356"/>
      <c r="D5998" s="356" t="s">
        <v>1505</v>
      </c>
      <c r="E5998" s="356"/>
      <c r="F5998" s="369">
        <v>0</v>
      </c>
      <c r="G5998" s="369">
        <v>0</v>
      </c>
      <c r="H5998" s="369">
        <f t="shared" si="1811"/>
        <v>0</v>
      </c>
      <c r="I5998" s="604"/>
      <c r="J5998" s="549" t="s">
        <v>5804</v>
      </c>
    </row>
    <row r="5999" spans="1:10" x14ac:dyDescent="0.35">
      <c r="A5999" s="495" t="s">
        <v>281</v>
      </c>
      <c r="B5999" s="356" t="s">
        <v>740</v>
      </c>
      <c r="C5999" s="356"/>
      <c r="D5999" s="356" t="s">
        <v>1505</v>
      </c>
      <c r="E5999" s="356"/>
      <c r="F5999" s="369">
        <v>0</v>
      </c>
      <c r="G5999" s="369">
        <v>0</v>
      </c>
      <c r="H5999" s="369">
        <f t="shared" si="1811"/>
        <v>0</v>
      </c>
      <c r="I5999" s="604"/>
      <c r="J5999" s="549" t="s">
        <v>5804</v>
      </c>
    </row>
    <row r="6000" spans="1:10" x14ac:dyDescent="0.35">
      <c r="A6000" s="495" t="s">
        <v>282</v>
      </c>
      <c r="B6000" s="356" t="s">
        <v>5434</v>
      </c>
      <c r="C6000" s="356"/>
      <c r="D6000" s="356" t="s">
        <v>1505</v>
      </c>
      <c r="E6000" s="356"/>
      <c r="F6000" s="369">
        <v>0</v>
      </c>
      <c r="G6000" s="369">
        <v>0</v>
      </c>
      <c r="H6000" s="369">
        <f t="shared" si="1811"/>
        <v>0</v>
      </c>
      <c r="I6000" s="604"/>
      <c r="J6000" s="549" t="s">
        <v>5804</v>
      </c>
    </row>
    <row r="6001" spans="1:10" x14ac:dyDescent="0.35">
      <c r="A6001" s="495" t="s">
        <v>331</v>
      </c>
      <c r="B6001" s="356" t="s">
        <v>5434</v>
      </c>
      <c r="C6001" s="356"/>
      <c r="D6001" s="356" t="s">
        <v>1505</v>
      </c>
      <c r="E6001" s="356" t="s">
        <v>1053</v>
      </c>
      <c r="F6001" s="369">
        <v>0</v>
      </c>
      <c r="G6001" s="369">
        <v>0</v>
      </c>
      <c r="H6001" s="369">
        <f t="shared" si="1811"/>
        <v>0</v>
      </c>
      <c r="I6001" s="604"/>
      <c r="J6001" s="549" t="s">
        <v>5804</v>
      </c>
    </row>
    <row r="6002" spans="1:10" x14ac:dyDescent="0.35">
      <c r="A6002" s="203"/>
      <c r="H6002" s="11" t="str">
        <f t="shared" si="1811"/>
        <v/>
      </c>
      <c r="J6002" s="549" t="s">
        <v>4179</v>
      </c>
    </row>
    <row r="6003" spans="1:10" x14ac:dyDescent="0.35">
      <c r="A6003" s="495" t="s">
        <v>1492</v>
      </c>
      <c r="B6003" s="356" t="s">
        <v>2269</v>
      </c>
      <c r="C6003" s="356"/>
      <c r="D6003" s="356" t="s">
        <v>1506</v>
      </c>
      <c r="E6003" s="356"/>
      <c r="F6003" s="369">
        <v>0</v>
      </c>
      <c r="G6003" s="369">
        <v>0</v>
      </c>
      <c r="H6003" s="369">
        <f t="shared" si="1811"/>
        <v>0</v>
      </c>
      <c r="I6003" s="604"/>
      <c r="J6003" s="549" t="s">
        <v>5804</v>
      </c>
    </row>
    <row r="6004" spans="1:10" x14ac:dyDescent="0.35">
      <c r="A6004" s="495" t="s">
        <v>1493</v>
      </c>
      <c r="B6004" s="356" t="s">
        <v>5547</v>
      </c>
      <c r="C6004" s="356"/>
      <c r="D6004" s="356" t="s">
        <v>1506</v>
      </c>
      <c r="E6004" s="356"/>
      <c r="F6004" s="369">
        <v>0</v>
      </c>
      <c r="G6004" s="369">
        <v>0</v>
      </c>
      <c r="H6004" s="369">
        <f t="shared" si="1811"/>
        <v>0</v>
      </c>
      <c r="I6004" s="604"/>
      <c r="J6004" s="549" t="s">
        <v>5804</v>
      </c>
    </row>
    <row r="6005" spans="1:10" x14ac:dyDescent="0.35">
      <c r="A6005" s="495" t="s">
        <v>1494</v>
      </c>
      <c r="B6005" s="356" t="s">
        <v>4846</v>
      </c>
      <c r="C6005" s="356"/>
      <c r="D6005" s="356" t="s">
        <v>1506</v>
      </c>
      <c r="E6005" s="356"/>
      <c r="F6005" s="369">
        <v>0</v>
      </c>
      <c r="G6005" s="369">
        <v>0</v>
      </c>
      <c r="H6005" s="369">
        <f t="shared" si="1811"/>
        <v>0</v>
      </c>
      <c r="I6005" s="604"/>
      <c r="J6005" s="549" t="s">
        <v>5804</v>
      </c>
    </row>
    <row r="6006" spans="1:10" x14ac:dyDescent="0.35">
      <c r="A6006" s="495" t="s">
        <v>1495</v>
      </c>
      <c r="B6006" s="356" t="s">
        <v>5405</v>
      </c>
      <c r="C6006" s="356"/>
      <c r="D6006" s="356" t="s">
        <v>1506</v>
      </c>
      <c r="E6006" s="356"/>
      <c r="F6006" s="369">
        <v>0</v>
      </c>
      <c r="G6006" s="369">
        <v>0</v>
      </c>
      <c r="H6006" s="369">
        <f t="shared" si="1811"/>
        <v>0</v>
      </c>
      <c r="I6006" s="604"/>
      <c r="J6006" s="549" t="s">
        <v>5804</v>
      </c>
    </row>
    <row r="6007" spans="1:10" x14ac:dyDescent="0.35">
      <c r="A6007" s="495" t="s">
        <v>1496</v>
      </c>
      <c r="B6007" s="356" t="s">
        <v>5410</v>
      </c>
      <c r="C6007" s="356"/>
      <c r="D6007" s="356" t="s">
        <v>1506</v>
      </c>
      <c r="E6007" s="356"/>
      <c r="F6007" s="369">
        <v>0</v>
      </c>
      <c r="G6007" s="369">
        <v>0</v>
      </c>
      <c r="H6007" s="369">
        <f t="shared" si="1811"/>
        <v>0</v>
      </c>
      <c r="I6007" s="604"/>
      <c r="J6007" s="549" t="s">
        <v>5804</v>
      </c>
    </row>
    <row r="6008" spans="1:10" x14ac:dyDescent="0.35">
      <c r="A6008" s="495" t="s">
        <v>1497</v>
      </c>
      <c r="B6008" s="356" t="s">
        <v>5411</v>
      </c>
      <c r="C6008" s="356"/>
      <c r="D6008" s="356" t="s">
        <v>1506</v>
      </c>
      <c r="E6008" s="356"/>
      <c r="F6008" s="369">
        <v>0</v>
      </c>
      <c r="G6008" s="369">
        <v>0</v>
      </c>
      <c r="H6008" s="369">
        <f t="shared" si="1811"/>
        <v>0</v>
      </c>
      <c r="I6008" s="604"/>
      <c r="J6008" s="549" t="s">
        <v>5804</v>
      </c>
    </row>
    <row r="6009" spans="1:10" x14ac:dyDescent="0.35">
      <c r="A6009" s="495" t="s">
        <v>1498</v>
      </c>
      <c r="B6009" s="356" t="s">
        <v>2034</v>
      </c>
      <c r="C6009" s="356"/>
      <c r="D6009" s="356" t="s">
        <v>1506</v>
      </c>
      <c r="E6009" s="356"/>
      <c r="F6009" s="369">
        <v>0</v>
      </c>
      <c r="G6009" s="369">
        <v>0</v>
      </c>
      <c r="H6009" s="369">
        <f t="shared" si="1811"/>
        <v>0</v>
      </c>
      <c r="I6009" s="604"/>
      <c r="J6009" s="549" t="s">
        <v>5804</v>
      </c>
    </row>
    <row r="6010" spans="1:10" x14ac:dyDescent="0.35">
      <c r="A6010" s="495" t="s">
        <v>1499</v>
      </c>
      <c r="B6010" s="356" t="s">
        <v>2067</v>
      </c>
      <c r="C6010" s="356"/>
      <c r="D6010" s="356" t="s">
        <v>1506</v>
      </c>
      <c r="E6010" s="356"/>
      <c r="F6010" s="369">
        <v>0</v>
      </c>
      <c r="G6010" s="369">
        <v>0</v>
      </c>
      <c r="H6010" s="369">
        <f t="shared" si="1811"/>
        <v>0</v>
      </c>
      <c r="I6010" s="604"/>
      <c r="J6010" s="549" t="s">
        <v>5804</v>
      </c>
    </row>
    <row r="6011" spans="1:10" x14ac:dyDescent="0.35">
      <c r="A6011" s="495" t="s">
        <v>1500</v>
      </c>
      <c r="B6011" s="356" t="s">
        <v>3373</v>
      </c>
      <c r="C6011" s="356"/>
      <c r="D6011" s="356" t="s">
        <v>1506</v>
      </c>
      <c r="E6011" s="356"/>
      <c r="F6011" s="369">
        <v>0</v>
      </c>
      <c r="G6011" s="369">
        <v>0</v>
      </c>
      <c r="H6011" s="369">
        <f t="shared" si="1811"/>
        <v>0</v>
      </c>
      <c r="I6011" s="604"/>
      <c r="J6011" s="549" t="s">
        <v>5804</v>
      </c>
    </row>
    <row r="6012" spans="1:10" x14ac:dyDescent="0.35">
      <c r="A6012" s="495" t="s">
        <v>1501</v>
      </c>
      <c r="B6012" s="356" t="s">
        <v>3381</v>
      </c>
      <c r="C6012" s="356"/>
      <c r="D6012" s="356" t="s">
        <v>1506</v>
      </c>
      <c r="E6012" s="356"/>
      <c r="F6012" s="369">
        <v>0</v>
      </c>
      <c r="G6012" s="369">
        <v>0</v>
      </c>
      <c r="H6012" s="369">
        <f t="shared" si="1811"/>
        <v>0</v>
      </c>
      <c r="I6012" s="604"/>
      <c r="J6012" s="549" t="s">
        <v>5804</v>
      </c>
    </row>
    <row r="6013" spans="1:10" x14ac:dyDescent="0.35">
      <c r="A6013" s="495" t="s">
        <v>1502</v>
      </c>
      <c r="B6013" s="356" t="s">
        <v>3389</v>
      </c>
      <c r="C6013" s="356"/>
      <c r="D6013" s="356" t="s">
        <v>1506</v>
      </c>
      <c r="E6013" s="356"/>
      <c r="F6013" s="369">
        <v>0</v>
      </c>
      <c r="G6013" s="369">
        <v>0</v>
      </c>
      <c r="H6013" s="369">
        <f t="shared" si="1811"/>
        <v>0</v>
      </c>
      <c r="I6013" s="604"/>
      <c r="J6013" s="549" t="s">
        <v>5804</v>
      </c>
    </row>
    <row r="6014" spans="1:10" x14ac:dyDescent="0.35">
      <c r="A6014" s="495" t="s">
        <v>1503</v>
      </c>
      <c r="B6014" s="356" t="s">
        <v>740</v>
      </c>
      <c r="C6014" s="356"/>
      <c r="D6014" s="356" t="s">
        <v>1506</v>
      </c>
      <c r="E6014" s="356"/>
      <c r="F6014" s="369">
        <v>0</v>
      </c>
      <c r="G6014" s="369">
        <v>0</v>
      </c>
      <c r="H6014" s="369">
        <f t="shared" si="1811"/>
        <v>0</v>
      </c>
      <c r="I6014" s="604"/>
      <c r="J6014" s="549" t="s">
        <v>5804</v>
      </c>
    </row>
    <row r="6015" spans="1:10" x14ac:dyDescent="0.35">
      <c r="A6015" s="495" t="s">
        <v>1504</v>
      </c>
      <c r="B6015" s="356" t="s">
        <v>5434</v>
      </c>
      <c r="C6015" s="356"/>
      <c r="D6015" s="356" t="s">
        <v>1506</v>
      </c>
      <c r="E6015" s="356"/>
      <c r="F6015" s="369">
        <v>0</v>
      </c>
      <c r="G6015" s="369">
        <v>0</v>
      </c>
      <c r="H6015" s="369">
        <f t="shared" si="1811"/>
        <v>0</v>
      </c>
      <c r="I6015" s="604"/>
      <c r="J6015" s="549" t="s">
        <v>5804</v>
      </c>
    </row>
    <row r="6016" spans="1:10" x14ac:dyDescent="0.35">
      <c r="H6016" s="11" t="str">
        <f t="shared" si="1811"/>
        <v/>
      </c>
      <c r="J6016" s="549" t="s">
        <v>4179</v>
      </c>
    </row>
    <row r="6017" spans="1:29" ht="76.5" customHeight="1" x14ac:dyDescent="0.35">
      <c r="A6017" s="896" t="s">
        <v>7445</v>
      </c>
      <c r="B6017" s="896"/>
      <c r="C6017" s="896"/>
      <c r="D6017" s="896"/>
      <c r="E6017" s="896"/>
      <c r="F6017" s="896"/>
      <c r="G6017" s="50"/>
      <c r="H6017" s="59" t="str">
        <f t="shared" si="1811"/>
        <v/>
      </c>
      <c r="I6017" s="567"/>
      <c r="J6017" s="549" t="s">
        <v>5804</v>
      </c>
    </row>
    <row r="6018" spans="1:29" x14ac:dyDescent="0.35">
      <c r="A6018" s="909" t="s">
        <v>8170</v>
      </c>
      <c r="B6018" s="909"/>
      <c r="C6018" s="909"/>
      <c r="D6018" s="909"/>
      <c r="E6018" s="909"/>
      <c r="F6018" s="909"/>
      <c r="G6018" s="349"/>
      <c r="H6018" s="410" t="str">
        <f>IF(ISNUMBER(G6018),ROUND(0.8*G6018,2),"")</f>
        <v/>
      </c>
      <c r="I6018" s="595"/>
      <c r="J6018" s="549">
        <v>44958</v>
      </c>
      <c r="O6018" s="187"/>
      <c r="P6018" s="187"/>
      <c r="Q6018" s="187"/>
      <c r="R6018" s="187"/>
      <c r="S6018" s="187"/>
      <c r="T6018" s="187"/>
    </row>
    <row r="6019" spans="1:29" x14ac:dyDescent="0.35">
      <c r="J6019" s="549" t="s">
        <v>4179</v>
      </c>
    </row>
    <row r="6020" spans="1:29" x14ac:dyDescent="0.35">
      <c r="A6020" s="495" t="s">
        <v>1483</v>
      </c>
      <c r="B6020" s="356" t="s">
        <v>5547</v>
      </c>
      <c r="C6020" s="356"/>
      <c r="D6020" s="356" t="s">
        <v>6075</v>
      </c>
      <c r="E6020" s="356"/>
      <c r="F6020" s="553"/>
      <c r="G6020" s="553"/>
      <c r="H6020" s="553"/>
      <c r="I6020" s="609"/>
      <c r="J6020" s="549" t="s">
        <v>5804</v>
      </c>
    </row>
    <row r="6021" spans="1:29" x14ac:dyDescent="0.35">
      <c r="A6021" s="495" t="s">
        <v>335</v>
      </c>
      <c r="B6021" s="356" t="s">
        <v>5547</v>
      </c>
      <c r="C6021" s="356"/>
      <c r="D6021" s="356" t="s">
        <v>336</v>
      </c>
      <c r="E6021" s="356"/>
      <c r="F6021" s="553"/>
      <c r="G6021" s="553"/>
      <c r="H6021" s="553"/>
      <c r="I6021" s="609"/>
      <c r="J6021" s="549" t="s">
        <v>5804</v>
      </c>
    </row>
    <row r="6022" spans="1:29" x14ac:dyDescent="0.35">
      <c r="H6022" s="11" t="str">
        <f t="shared" ref="H6022:H6028" si="1812">IF(ISNUMBER(G6022),ROUND(0.8*G6022,2),"")</f>
        <v/>
      </c>
      <c r="J6022" s="549" t="s">
        <v>4179</v>
      </c>
    </row>
    <row r="6023" spans="1:29" s="207" customFormat="1" ht="33" customHeight="1" x14ac:dyDescent="0.35">
      <c r="A6023" s="651" t="s">
        <v>7694</v>
      </c>
      <c r="B6023" s="651"/>
      <c r="C6023" s="651"/>
      <c r="D6023" s="651"/>
      <c r="E6023" s="651"/>
      <c r="F6023" s="651"/>
      <c r="G6023" s="651"/>
      <c r="H6023" s="651"/>
      <c r="I6023" s="593"/>
      <c r="J6023" s="549">
        <v>44536</v>
      </c>
    </row>
    <row r="6024" spans="1:29" s="187" customFormat="1" ht="62.9" customHeight="1" x14ac:dyDescent="0.35">
      <c r="A6024" s="898" t="s">
        <v>8141</v>
      </c>
      <c r="B6024" s="898"/>
      <c r="C6024" s="898"/>
      <c r="D6024" s="898"/>
      <c r="E6024" s="898"/>
      <c r="F6024" s="898"/>
      <c r="G6024" s="349"/>
      <c r="H6024" s="410" t="str">
        <f t="shared" si="1812"/>
        <v/>
      </c>
      <c r="I6024" s="595"/>
      <c r="J6024" s="549">
        <v>44536</v>
      </c>
    </row>
    <row r="6025" spans="1:29" s="187" customFormat="1" ht="35.25" customHeight="1" x14ac:dyDescent="0.35">
      <c r="A6025" s="898" t="s">
        <v>8142</v>
      </c>
      <c r="B6025" s="898"/>
      <c r="C6025" s="898"/>
      <c r="D6025" s="898"/>
      <c r="E6025" s="898"/>
      <c r="F6025" s="898"/>
      <c r="G6025" s="898"/>
      <c r="H6025" s="898"/>
      <c r="I6025" s="898"/>
      <c r="J6025" s="549">
        <v>44592</v>
      </c>
    </row>
    <row r="6026" spans="1:29" s="187" customFormat="1" ht="35.15" customHeight="1" x14ac:dyDescent="0.35">
      <c r="A6026" s="913" t="s">
        <v>7698</v>
      </c>
      <c r="B6026" s="913"/>
      <c r="C6026" s="913"/>
      <c r="D6026" s="913"/>
      <c r="E6026" s="913"/>
      <c r="F6026" s="913"/>
      <c r="G6026" s="661"/>
      <c r="H6026" s="664" t="str">
        <f t="shared" si="1812"/>
        <v/>
      </c>
      <c r="I6026" s="665"/>
      <c r="J6026" s="549">
        <v>44536</v>
      </c>
      <c r="O6026"/>
      <c r="P6026"/>
      <c r="Q6026"/>
      <c r="R6026"/>
      <c r="S6026"/>
      <c r="T6026"/>
    </row>
    <row r="6027" spans="1:29" ht="22.5" customHeight="1" x14ac:dyDescent="0.35">
      <c r="A6027" s="911" t="s">
        <v>7693</v>
      </c>
      <c r="B6027" s="911"/>
      <c r="C6027" s="911"/>
      <c r="D6027" s="911"/>
      <c r="E6027" s="911"/>
      <c r="F6027" s="911"/>
      <c r="G6027" s="661"/>
      <c r="H6027" s="664" t="str">
        <f t="shared" si="1812"/>
        <v/>
      </c>
      <c r="I6027" s="665"/>
      <c r="J6027" s="549">
        <v>44536</v>
      </c>
      <c r="M6027" s="187"/>
      <c r="N6027" s="187"/>
      <c r="U6027" s="187"/>
      <c r="V6027" s="187"/>
      <c r="W6027" s="187"/>
      <c r="X6027" s="187"/>
      <c r="Y6027" s="187"/>
      <c r="Z6027" s="187"/>
      <c r="AA6027" s="187"/>
      <c r="AB6027" s="187"/>
      <c r="AC6027" s="187"/>
    </row>
    <row r="6028" spans="1:29" x14ac:dyDescent="0.35">
      <c r="F6028" s="666"/>
      <c r="H6028" s="11" t="str">
        <f t="shared" si="1812"/>
        <v/>
      </c>
      <c r="J6028" s="549" t="s">
        <v>4179</v>
      </c>
    </row>
    <row r="6029" spans="1:29" x14ac:dyDescent="0.35">
      <c r="A6029" s="652" t="s">
        <v>7638</v>
      </c>
      <c r="B6029" s="526" t="s">
        <v>2269</v>
      </c>
      <c r="C6029" s="526"/>
      <c r="D6029" s="526" t="s">
        <v>7736</v>
      </c>
      <c r="E6029" s="537"/>
      <c r="F6029" s="538"/>
      <c r="G6029" s="538"/>
      <c r="H6029" s="538"/>
      <c r="I6029" s="574"/>
      <c r="J6029" s="549">
        <v>44536</v>
      </c>
    </row>
    <row r="6030" spans="1:29" x14ac:dyDescent="0.35">
      <c r="A6030" s="652" t="s">
        <v>7637</v>
      </c>
      <c r="B6030" s="526" t="s">
        <v>5547</v>
      </c>
      <c r="C6030" s="526"/>
      <c r="D6030" s="526" t="s">
        <v>7736</v>
      </c>
      <c r="E6030" s="537"/>
      <c r="F6030" s="538"/>
      <c r="G6030" s="538"/>
      <c r="H6030" s="538"/>
      <c r="I6030" s="574"/>
      <c r="J6030" s="549">
        <v>44536</v>
      </c>
    </row>
    <row r="6031" spans="1:29" x14ac:dyDescent="0.35">
      <c r="A6031" s="652" t="s">
        <v>7636</v>
      </c>
      <c r="B6031" s="526" t="s">
        <v>4846</v>
      </c>
      <c r="C6031" s="526"/>
      <c r="D6031" s="526" t="s">
        <v>7736</v>
      </c>
      <c r="E6031" s="537"/>
      <c r="F6031" s="538"/>
      <c r="G6031" s="538"/>
      <c r="H6031" s="538"/>
      <c r="I6031" s="574"/>
      <c r="J6031" s="549">
        <v>44536</v>
      </c>
    </row>
    <row r="6032" spans="1:29" x14ac:dyDescent="0.35">
      <c r="A6032" s="652" t="s">
        <v>7635</v>
      </c>
      <c r="B6032" s="526" t="s">
        <v>5405</v>
      </c>
      <c r="C6032" s="526"/>
      <c r="D6032" s="526" t="s">
        <v>7736</v>
      </c>
      <c r="E6032" s="537"/>
      <c r="F6032" s="538"/>
      <c r="G6032" s="538"/>
      <c r="H6032" s="538"/>
      <c r="I6032" s="574"/>
      <c r="J6032" s="549">
        <v>44536</v>
      </c>
    </row>
    <row r="6033" spans="1:10" x14ac:dyDescent="0.35">
      <c r="A6033" s="652" t="s">
        <v>7634</v>
      </c>
      <c r="B6033" s="526" t="s">
        <v>5410</v>
      </c>
      <c r="C6033" s="526"/>
      <c r="D6033" s="526" t="s">
        <v>7736</v>
      </c>
      <c r="E6033" s="537"/>
      <c r="F6033" s="538"/>
      <c r="G6033" s="538"/>
      <c r="H6033" s="538"/>
      <c r="I6033" s="574"/>
      <c r="J6033" s="549">
        <v>44536</v>
      </c>
    </row>
    <row r="6034" spans="1:10" x14ac:dyDescent="0.35">
      <c r="A6034" s="652" t="s">
        <v>7633</v>
      </c>
      <c r="B6034" s="526" t="s">
        <v>5411</v>
      </c>
      <c r="C6034" s="526"/>
      <c r="D6034" s="526" t="s">
        <v>7736</v>
      </c>
      <c r="E6034" s="537"/>
      <c r="F6034" s="538"/>
      <c r="G6034" s="538"/>
      <c r="H6034" s="538"/>
      <c r="I6034" s="574"/>
      <c r="J6034" s="549">
        <v>44536</v>
      </c>
    </row>
    <row r="6035" spans="1:10" x14ac:dyDescent="0.35">
      <c r="A6035" s="652" t="s">
        <v>7632</v>
      </c>
      <c r="B6035" s="526" t="s">
        <v>2034</v>
      </c>
      <c r="C6035" s="526"/>
      <c r="D6035" s="526" t="s">
        <v>7736</v>
      </c>
      <c r="E6035" s="537"/>
      <c r="F6035" s="538"/>
      <c r="G6035" s="538"/>
      <c r="H6035" s="538"/>
      <c r="I6035" s="574"/>
      <c r="J6035" s="549">
        <v>44536</v>
      </c>
    </row>
    <row r="6036" spans="1:10" x14ac:dyDescent="0.35">
      <c r="A6036" s="652" t="s">
        <v>7631</v>
      </c>
      <c r="B6036" s="526" t="s">
        <v>2067</v>
      </c>
      <c r="C6036" s="526"/>
      <c r="D6036" s="526" t="s">
        <v>7736</v>
      </c>
      <c r="E6036" s="537"/>
      <c r="F6036" s="538"/>
      <c r="G6036" s="538"/>
      <c r="H6036" s="538"/>
      <c r="I6036" s="574"/>
      <c r="J6036" s="549">
        <v>44536</v>
      </c>
    </row>
    <row r="6037" spans="1:10" x14ac:dyDescent="0.35">
      <c r="A6037" s="652" t="s">
        <v>7630</v>
      </c>
      <c r="B6037" s="526" t="s">
        <v>3373</v>
      </c>
      <c r="C6037" s="526"/>
      <c r="D6037" s="526" t="s">
        <v>7736</v>
      </c>
      <c r="E6037" s="537"/>
      <c r="F6037" s="538"/>
      <c r="G6037" s="538"/>
      <c r="H6037" s="538"/>
      <c r="I6037" s="574"/>
      <c r="J6037" s="549">
        <v>44536</v>
      </c>
    </row>
    <row r="6038" spans="1:10" x14ac:dyDescent="0.35">
      <c r="A6038" s="652" t="s">
        <v>7629</v>
      </c>
      <c r="B6038" s="526" t="s">
        <v>3381</v>
      </c>
      <c r="C6038" s="526"/>
      <c r="D6038" s="526" t="s">
        <v>7736</v>
      </c>
      <c r="E6038" s="537"/>
      <c r="F6038" s="538"/>
      <c r="G6038" s="538"/>
      <c r="H6038" s="538"/>
      <c r="I6038" s="574"/>
      <c r="J6038" s="549">
        <v>44536</v>
      </c>
    </row>
    <row r="6039" spans="1:10" x14ac:dyDescent="0.35">
      <c r="A6039" s="652" t="s">
        <v>7628</v>
      </c>
      <c r="B6039" s="526" t="s">
        <v>3389</v>
      </c>
      <c r="C6039" s="526"/>
      <c r="D6039" s="526" t="s">
        <v>7736</v>
      </c>
      <c r="E6039" s="537"/>
      <c r="F6039" s="538"/>
      <c r="G6039" s="538"/>
      <c r="H6039" s="538"/>
      <c r="I6039" s="574"/>
      <c r="J6039" s="549">
        <v>44536</v>
      </c>
    </row>
    <row r="6040" spans="1:10" x14ac:dyDescent="0.35">
      <c r="A6040" s="652" t="s">
        <v>7627</v>
      </c>
      <c r="B6040" s="526" t="s">
        <v>740</v>
      </c>
      <c r="C6040" s="526"/>
      <c r="D6040" s="526" t="s">
        <v>7736</v>
      </c>
      <c r="E6040" s="537"/>
      <c r="F6040" s="538"/>
      <c r="G6040" s="538"/>
      <c r="H6040" s="538"/>
      <c r="I6040" s="574"/>
      <c r="J6040" s="549">
        <v>44536</v>
      </c>
    </row>
    <row r="6041" spans="1:10" x14ac:dyDescent="0.35">
      <c r="A6041" s="652" t="s">
        <v>7626</v>
      </c>
      <c r="B6041" s="526" t="s">
        <v>5434</v>
      </c>
      <c r="C6041" s="526"/>
      <c r="D6041" s="526" t="s">
        <v>7736</v>
      </c>
      <c r="E6041" s="537"/>
      <c r="F6041" s="538"/>
      <c r="G6041" s="538"/>
      <c r="H6041" s="538"/>
      <c r="I6041" s="574"/>
      <c r="J6041" s="549">
        <v>44536</v>
      </c>
    </row>
    <row r="6042" spans="1:10" x14ac:dyDescent="0.35">
      <c r="J6042" s="549" t="s">
        <v>4179</v>
      </c>
    </row>
    <row r="6043" spans="1:10" ht="242.15" customHeight="1" x14ac:dyDescent="0.35">
      <c r="A6043" s="897" t="s">
        <v>8190</v>
      </c>
      <c r="B6043" s="897"/>
      <c r="C6043" s="897"/>
      <c r="D6043" s="897"/>
      <c r="E6043" s="897"/>
      <c r="F6043" s="897"/>
      <c r="G6043" s="350"/>
      <c r="H6043" s="414" t="str">
        <f t="shared" ref="H6043:H6056" si="1813">IF(ISNUMBER(G6043),ROUND(0.8*G6043,2),"")</f>
        <v/>
      </c>
      <c r="I6043" s="605"/>
      <c r="J6043" s="549">
        <v>45001</v>
      </c>
    </row>
    <row r="6044" spans="1:10" x14ac:dyDescent="0.35">
      <c r="H6044" s="11" t="str">
        <f t="shared" si="1813"/>
        <v/>
      </c>
      <c r="J6044" s="549" t="s">
        <v>4179</v>
      </c>
    </row>
    <row r="6045" spans="1:10" x14ac:dyDescent="0.35">
      <c r="A6045" s="495" t="s">
        <v>3</v>
      </c>
      <c r="B6045" s="356" t="s">
        <v>2269</v>
      </c>
      <c r="C6045" s="356"/>
      <c r="D6045" s="356" t="s">
        <v>5830</v>
      </c>
      <c r="E6045" s="356"/>
      <c r="F6045" s="369">
        <v>0</v>
      </c>
      <c r="G6045" s="369">
        <v>0</v>
      </c>
      <c r="H6045" s="369">
        <f t="shared" si="1813"/>
        <v>0</v>
      </c>
      <c r="I6045" s="604"/>
      <c r="J6045" s="549">
        <v>42644</v>
      </c>
    </row>
    <row r="6046" spans="1:10" x14ac:dyDescent="0.35">
      <c r="A6046" s="495" t="s">
        <v>5</v>
      </c>
      <c r="B6046" s="356" t="s">
        <v>5547</v>
      </c>
      <c r="C6046" s="356"/>
      <c r="D6046" s="356" t="s">
        <v>5828</v>
      </c>
      <c r="E6046" s="356"/>
      <c r="F6046" s="369">
        <v>0</v>
      </c>
      <c r="G6046" s="369">
        <v>0</v>
      </c>
      <c r="H6046" s="369">
        <f t="shared" si="1813"/>
        <v>0</v>
      </c>
      <c r="I6046" s="604"/>
      <c r="J6046" s="549">
        <v>42644</v>
      </c>
    </row>
    <row r="6047" spans="1:10" x14ac:dyDescent="0.35">
      <c r="A6047" s="495" t="s">
        <v>6</v>
      </c>
      <c r="B6047" s="356" t="s">
        <v>4846</v>
      </c>
      <c r="C6047" s="356"/>
      <c r="D6047" s="356" t="s">
        <v>5828</v>
      </c>
      <c r="E6047" s="356"/>
      <c r="F6047" s="369">
        <v>0</v>
      </c>
      <c r="G6047" s="369">
        <v>0</v>
      </c>
      <c r="H6047" s="369">
        <f t="shared" si="1813"/>
        <v>0</v>
      </c>
      <c r="I6047" s="604"/>
      <c r="J6047" s="549">
        <v>42644</v>
      </c>
    </row>
    <row r="6048" spans="1:10" x14ac:dyDescent="0.35">
      <c r="A6048" s="495" t="s">
        <v>7</v>
      </c>
      <c r="B6048" s="356" t="s">
        <v>5405</v>
      </c>
      <c r="C6048" s="356"/>
      <c r="D6048" s="356" t="s">
        <v>5828</v>
      </c>
      <c r="E6048" s="356"/>
      <c r="F6048" s="369">
        <v>0</v>
      </c>
      <c r="G6048" s="369">
        <v>0</v>
      </c>
      <c r="H6048" s="369">
        <f t="shared" si="1813"/>
        <v>0</v>
      </c>
      <c r="I6048" s="604"/>
      <c r="J6048" s="549">
        <v>42644</v>
      </c>
    </row>
    <row r="6049" spans="1:10" x14ac:dyDescent="0.35">
      <c r="A6049" s="495" t="s">
        <v>8</v>
      </c>
      <c r="B6049" s="356" t="s">
        <v>5410</v>
      </c>
      <c r="C6049" s="356"/>
      <c r="D6049" s="356" t="s">
        <v>5828</v>
      </c>
      <c r="E6049" s="356"/>
      <c r="F6049" s="369">
        <v>0</v>
      </c>
      <c r="G6049" s="369">
        <v>0</v>
      </c>
      <c r="H6049" s="369">
        <f t="shared" si="1813"/>
        <v>0</v>
      </c>
      <c r="I6049" s="604"/>
      <c r="J6049" s="549">
        <v>42644</v>
      </c>
    </row>
    <row r="6050" spans="1:10" x14ac:dyDescent="0.35">
      <c r="A6050" s="495" t="s">
        <v>9</v>
      </c>
      <c r="B6050" s="356" t="s">
        <v>5411</v>
      </c>
      <c r="C6050" s="356"/>
      <c r="D6050" s="356" t="s">
        <v>5828</v>
      </c>
      <c r="E6050" s="356"/>
      <c r="F6050" s="369">
        <v>0</v>
      </c>
      <c r="G6050" s="369">
        <v>0</v>
      </c>
      <c r="H6050" s="369">
        <f t="shared" si="1813"/>
        <v>0</v>
      </c>
      <c r="I6050" s="604"/>
      <c r="J6050" s="549">
        <v>42644</v>
      </c>
    </row>
    <row r="6051" spans="1:10" x14ac:dyDescent="0.35">
      <c r="A6051" s="495" t="s">
        <v>10</v>
      </c>
      <c r="B6051" s="356" t="s">
        <v>2034</v>
      </c>
      <c r="C6051" s="356"/>
      <c r="D6051" s="356" t="s">
        <v>5828</v>
      </c>
      <c r="E6051" s="356"/>
      <c r="F6051" s="369">
        <v>0</v>
      </c>
      <c r="G6051" s="369">
        <v>0</v>
      </c>
      <c r="H6051" s="369">
        <f t="shared" si="1813"/>
        <v>0</v>
      </c>
      <c r="I6051" s="604"/>
      <c r="J6051" s="549">
        <v>42644</v>
      </c>
    </row>
    <row r="6052" spans="1:10" x14ac:dyDescent="0.35">
      <c r="A6052" s="495" t="s">
        <v>12</v>
      </c>
      <c r="B6052" s="356" t="s">
        <v>2067</v>
      </c>
      <c r="C6052" s="356"/>
      <c r="D6052" s="356" t="s">
        <v>5828</v>
      </c>
      <c r="E6052" s="356"/>
      <c r="F6052" s="369">
        <v>0</v>
      </c>
      <c r="G6052" s="369">
        <v>0</v>
      </c>
      <c r="H6052" s="369">
        <f t="shared" si="1813"/>
        <v>0</v>
      </c>
      <c r="I6052" s="604"/>
      <c r="J6052" s="549">
        <v>42644</v>
      </c>
    </row>
    <row r="6053" spans="1:10" x14ac:dyDescent="0.35">
      <c r="A6053" s="495" t="s">
        <v>11</v>
      </c>
      <c r="B6053" s="356" t="s">
        <v>3373</v>
      </c>
      <c r="C6053" s="356"/>
      <c r="D6053" s="356" t="s">
        <v>5828</v>
      </c>
      <c r="E6053" s="356"/>
      <c r="F6053" s="369">
        <v>0</v>
      </c>
      <c r="G6053" s="369">
        <v>0</v>
      </c>
      <c r="H6053" s="369">
        <f t="shared" si="1813"/>
        <v>0</v>
      </c>
      <c r="I6053" s="604"/>
      <c r="J6053" s="549">
        <v>42644</v>
      </c>
    </row>
    <row r="6054" spans="1:10" x14ac:dyDescent="0.35">
      <c r="A6054" s="495" t="s">
        <v>13</v>
      </c>
      <c r="B6054" s="356" t="s">
        <v>3381</v>
      </c>
      <c r="C6054" s="356"/>
      <c r="D6054" s="356" t="s">
        <v>5828</v>
      </c>
      <c r="E6054" s="356"/>
      <c r="F6054" s="369">
        <v>0</v>
      </c>
      <c r="G6054" s="369">
        <v>0</v>
      </c>
      <c r="H6054" s="369">
        <f t="shared" si="1813"/>
        <v>0</v>
      </c>
      <c r="I6054" s="604"/>
      <c r="J6054" s="549">
        <v>42644</v>
      </c>
    </row>
    <row r="6055" spans="1:10" x14ac:dyDescent="0.35">
      <c r="A6055" s="495" t="s">
        <v>14</v>
      </c>
      <c r="B6055" s="356" t="s">
        <v>3389</v>
      </c>
      <c r="C6055" s="356"/>
      <c r="D6055" s="356" t="s">
        <v>5828</v>
      </c>
      <c r="E6055" s="356"/>
      <c r="F6055" s="369">
        <v>0</v>
      </c>
      <c r="G6055" s="369">
        <v>0</v>
      </c>
      <c r="H6055" s="369">
        <f t="shared" si="1813"/>
        <v>0</v>
      </c>
      <c r="I6055" s="604"/>
      <c r="J6055" s="549">
        <v>42644</v>
      </c>
    </row>
    <row r="6056" spans="1:10" x14ac:dyDescent="0.35">
      <c r="A6056" s="495" t="s">
        <v>15</v>
      </c>
      <c r="B6056" s="356" t="s">
        <v>740</v>
      </c>
      <c r="C6056" s="356"/>
      <c r="D6056" s="356" t="s">
        <v>5828</v>
      </c>
      <c r="E6056" s="356"/>
      <c r="F6056" s="369">
        <v>0</v>
      </c>
      <c r="G6056" s="369">
        <v>0</v>
      </c>
      <c r="H6056" s="369">
        <f t="shared" si="1813"/>
        <v>0</v>
      </c>
      <c r="I6056" s="604"/>
      <c r="J6056" s="549">
        <v>42644</v>
      </c>
    </row>
    <row r="6057" spans="1:10" x14ac:dyDescent="0.35">
      <c r="A6057" s="495" t="s">
        <v>16</v>
      </c>
      <c r="B6057" s="356" t="s">
        <v>5434</v>
      </c>
      <c r="C6057" s="356"/>
      <c r="D6057" s="356" t="s">
        <v>5828</v>
      </c>
      <c r="E6057" s="356"/>
      <c r="F6057" s="369">
        <v>0</v>
      </c>
      <c r="G6057" s="369">
        <v>0</v>
      </c>
      <c r="H6057" s="369">
        <f>IF(ISNUMBER(G6057),ROUND(0.8*G6057,2),"")</f>
        <v>0</v>
      </c>
      <c r="I6057" s="604"/>
      <c r="J6057" s="549">
        <v>42644</v>
      </c>
    </row>
    <row r="6058" spans="1:10" x14ac:dyDescent="0.35">
      <c r="A6058" s="495" t="s">
        <v>6471</v>
      </c>
      <c r="B6058" s="356" t="s">
        <v>5434</v>
      </c>
      <c r="C6058" s="356"/>
      <c r="D6058" s="356" t="s">
        <v>5828</v>
      </c>
      <c r="E6058" s="356" t="s">
        <v>1053</v>
      </c>
      <c r="F6058" s="369">
        <v>0</v>
      </c>
      <c r="G6058" s="369">
        <v>0</v>
      </c>
      <c r="H6058" s="369">
        <f>IF(ISNUMBER(G6058),ROUND(0.8*G6058,2),"")</f>
        <v>0</v>
      </c>
      <c r="I6058" s="604"/>
      <c r="J6058" s="549">
        <v>43404</v>
      </c>
    </row>
    <row r="6059" spans="1:10" x14ac:dyDescent="0.35">
      <c r="A6059" s="203"/>
      <c r="H6059" s="11" t="str">
        <f t="shared" ref="H6059:H6071" si="1814">IF(ISNUMBER(G6059),ROUND(0.8*G6059,2),"")</f>
        <v/>
      </c>
      <c r="J6059" s="549" t="s">
        <v>4179</v>
      </c>
    </row>
    <row r="6060" spans="1:10" x14ac:dyDescent="0.35">
      <c r="A6060" s="495" t="s">
        <v>4</v>
      </c>
      <c r="B6060" s="356" t="s">
        <v>2269</v>
      </c>
      <c r="C6060" s="356"/>
      <c r="D6060" s="356" t="s">
        <v>5829</v>
      </c>
      <c r="E6060" s="356"/>
      <c r="F6060" s="369">
        <v>0</v>
      </c>
      <c r="G6060" s="369">
        <v>0</v>
      </c>
      <c r="H6060" s="369">
        <f t="shared" si="1814"/>
        <v>0</v>
      </c>
      <c r="I6060" s="604"/>
      <c r="J6060" s="549">
        <v>42644</v>
      </c>
    </row>
    <row r="6061" spans="1:10" x14ac:dyDescent="0.35">
      <c r="A6061" s="495" t="s">
        <v>17</v>
      </c>
      <c r="B6061" s="356" t="s">
        <v>5547</v>
      </c>
      <c r="C6061" s="356"/>
      <c r="D6061" s="356" t="s">
        <v>5829</v>
      </c>
      <c r="E6061" s="356"/>
      <c r="F6061" s="369">
        <v>0</v>
      </c>
      <c r="G6061" s="369">
        <v>0</v>
      </c>
      <c r="H6061" s="369">
        <f t="shared" si="1814"/>
        <v>0</v>
      </c>
      <c r="I6061" s="604"/>
      <c r="J6061" s="549">
        <v>42644</v>
      </c>
    </row>
    <row r="6062" spans="1:10" x14ac:dyDescent="0.35">
      <c r="A6062" s="495" t="s">
        <v>18</v>
      </c>
      <c r="B6062" s="356" t="s">
        <v>4846</v>
      </c>
      <c r="C6062" s="356"/>
      <c r="D6062" s="356" t="s">
        <v>5829</v>
      </c>
      <c r="E6062" s="356"/>
      <c r="F6062" s="369">
        <v>0</v>
      </c>
      <c r="G6062" s="369">
        <v>0</v>
      </c>
      <c r="H6062" s="369">
        <f t="shared" si="1814"/>
        <v>0</v>
      </c>
      <c r="I6062" s="604"/>
      <c r="J6062" s="549">
        <v>42644</v>
      </c>
    </row>
    <row r="6063" spans="1:10" x14ac:dyDescent="0.35">
      <c r="A6063" s="495" t="s">
        <v>19</v>
      </c>
      <c r="B6063" s="356" t="s">
        <v>5405</v>
      </c>
      <c r="C6063" s="356"/>
      <c r="D6063" s="356" t="s">
        <v>5829</v>
      </c>
      <c r="E6063" s="356"/>
      <c r="F6063" s="369">
        <v>0</v>
      </c>
      <c r="G6063" s="369">
        <v>0</v>
      </c>
      <c r="H6063" s="369">
        <f t="shared" si="1814"/>
        <v>0</v>
      </c>
      <c r="I6063" s="604"/>
      <c r="J6063" s="549">
        <v>42644</v>
      </c>
    </row>
    <row r="6064" spans="1:10" x14ac:dyDescent="0.35">
      <c r="A6064" s="495" t="s">
        <v>20</v>
      </c>
      <c r="B6064" s="356" t="s">
        <v>5410</v>
      </c>
      <c r="C6064" s="356"/>
      <c r="D6064" s="356" t="s">
        <v>5829</v>
      </c>
      <c r="E6064" s="356"/>
      <c r="F6064" s="369">
        <v>0</v>
      </c>
      <c r="G6064" s="369">
        <v>0</v>
      </c>
      <c r="H6064" s="369">
        <f t="shared" si="1814"/>
        <v>0</v>
      </c>
      <c r="I6064" s="604"/>
      <c r="J6064" s="549">
        <v>42644</v>
      </c>
    </row>
    <row r="6065" spans="1:29" x14ac:dyDescent="0.35">
      <c r="A6065" s="495" t="s">
        <v>21</v>
      </c>
      <c r="B6065" s="356" t="s">
        <v>5411</v>
      </c>
      <c r="C6065" s="356"/>
      <c r="D6065" s="356" t="s">
        <v>5829</v>
      </c>
      <c r="E6065" s="356"/>
      <c r="F6065" s="369">
        <v>0</v>
      </c>
      <c r="G6065" s="369">
        <v>0</v>
      </c>
      <c r="H6065" s="369">
        <f t="shared" si="1814"/>
        <v>0</v>
      </c>
      <c r="I6065" s="604"/>
      <c r="J6065" s="549">
        <v>42644</v>
      </c>
    </row>
    <row r="6066" spans="1:29" x14ac:dyDescent="0.35">
      <c r="A6066" s="495" t="s">
        <v>22</v>
      </c>
      <c r="B6066" s="356" t="s">
        <v>2034</v>
      </c>
      <c r="C6066" s="356"/>
      <c r="D6066" s="356" t="s">
        <v>5829</v>
      </c>
      <c r="E6066" s="356"/>
      <c r="F6066" s="369">
        <v>0</v>
      </c>
      <c r="G6066" s="369">
        <v>0</v>
      </c>
      <c r="H6066" s="369">
        <f t="shared" si="1814"/>
        <v>0</v>
      </c>
      <c r="I6066" s="604"/>
      <c r="J6066" s="549">
        <v>42644</v>
      </c>
    </row>
    <row r="6067" spans="1:29" x14ac:dyDescent="0.35">
      <c r="A6067" s="495" t="s">
        <v>23</v>
      </c>
      <c r="B6067" s="356" t="s">
        <v>2067</v>
      </c>
      <c r="C6067" s="356"/>
      <c r="D6067" s="356" t="s">
        <v>5829</v>
      </c>
      <c r="E6067" s="356"/>
      <c r="F6067" s="369">
        <v>0</v>
      </c>
      <c r="G6067" s="369">
        <v>0</v>
      </c>
      <c r="H6067" s="369">
        <f t="shared" si="1814"/>
        <v>0</v>
      </c>
      <c r="I6067" s="604"/>
      <c r="J6067" s="549">
        <v>42644</v>
      </c>
    </row>
    <row r="6068" spans="1:29" x14ac:dyDescent="0.35">
      <c r="A6068" s="495" t="s">
        <v>24</v>
      </c>
      <c r="B6068" s="356" t="s">
        <v>3373</v>
      </c>
      <c r="C6068" s="356"/>
      <c r="D6068" s="356" t="s">
        <v>5829</v>
      </c>
      <c r="E6068" s="356"/>
      <c r="F6068" s="369">
        <v>0</v>
      </c>
      <c r="G6068" s="369">
        <v>0</v>
      </c>
      <c r="H6068" s="369">
        <f t="shared" si="1814"/>
        <v>0</v>
      </c>
      <c r="I6068" s="604"/>
      <c r="J6068" s="549">
        <v>42644</v>
      </c>
    </row>
    <row r="6069" spans="1:29" x14ac:dyDescent="0.35">
      <c r="A6069" s="495" t="s">
        <v>25</v>
      </c>
      <c r="B6069" s="356" t="s">
        <v>3381</v>
      </c>
      <c r="C6069" s="356"/>
      <c r="D6069" s="356" t="s">
        <v>5829</v>
      </c>
      <c r="E6069" s="356"/>
      <c r="F6069" s="369">
        <v>0</v>
      </c>
      <c r="G6069" s="369">
        <v>0</v>
      </c>
      <c r="H6069" s="369">
        <f t="shared" si="1814"/>
        <v>0</v>
      </c>
      <c r="I6069" s="604"/>
      <c r="J6069" s="549">
        <v>42644</v>
      </c>
    </row>
    <row r="6070" spans="1:29" x14ac:dyDescent="0.35">
      <c r="A6070" s="495" t="s">
        <v>26</v>
      </c>
      <c r="B6070" s="356" t="s">
        <v>3389</v>
      </c>
      <c r="C6070" s="356"/>
      <c r="D6070" s="356" t="s">
        <v>5829</v>
      </c>
      <c r="E6070" s="356"/>
      <c r="F6070" s="369">
        <v>0</v>
      </c>
      <c r="G6070" s="369">
        <v>0</v>
      </c>
      <c r="H6070" s="369">
        <f t="shared" si="1814"/>
        <v>0</v>
      </c>
      <c r="I6070" s="604"/>
      <c r="J6070" s="549">
        <v>42644</v>
      </c>
    </row>
    <row r="6071" spans="1:29" x14ac:dyDescent="0.35">
      <c r="A6071" s="495" t="s">
        <v>27</v>
      </c>
      <c r="B6071" s="356" t="s">
        <v>740</v>
      </c>
      <c r="C6071" s="356"/>
      <c r="D6071" s="356" t="s">
        <v>5829</v>
      </c>
      <c r="E6071" s="356"/>
      <c r="F6071" s="369">
        <v>0</v>
      </c>
      <c r="G6071" s="369">
        <v>0</v>
      </c>
      <c r="H6071" s="369">
        <f t="shared" si="1814"/>
        <v>0</v>
      </c>
      <c r="I6071" s="604"/>
      <c r="J6071" s="549">
        <v>42644</v>
      </c>
    </row>
    <row r="6072" spans="1:29" x14ac:dyDescent="0.35">
      <c r="A6072" s="495" t="s">
        <v>28</v>
      </c>
      <c r="B6072" s="356" t="s">
        <v>5434</v>
      </c>
      <c r="C6072" s="356"/>
      <c r="D6072" s="356" t="s">
        <v>5829</v>
      </c>
      <c r="E6072" s="356"/>
      <c r="F6072" s="369">
        <v>0</v>
      </c>
      <c r="G6072" s="369">
        <v>0</v>
      </c>
      <c r="H6072" s="369">
        <f t="shared" ref="H6072:H6130" si="1815">IF(ISNUMBER(G6072),ROUND(0.8*G6072,2),"")</f>
        <v>0</v>
      </c>
      <c r="I6072" s="604"/>
      <c r="J6072" s="549">
        <v>42644</v>
      </c>
    </row>
    <row r="6073" spans="1:29" x14ac:dyDescent="0.35">
      <c r="H6073" s="11" t="str">
        <f t="shared" si="1815"/>
        <v/>
      </c>
      <c r="J6073" s="549" t="s">
        <v>4179</v>
      </c>
    </row>
    <row r="6074" spans="1:29" s="187" customFormat="1" ht="30.75" customHeight="1" x14ac:dyDescent="0.35">
      <c r="A6074" s="492" t="s">
        <v>2135</v>
      </c>
      <c r="B6074" s="50"/>
      <c r="C6074" s="50"/>
      <c r="D6074" s="50"/>
      <c r="E6074" s="50"/>
      <c r="F6074" s="363"/>
      <c r="G6074" s="50"/>
      <c r="H6074" s="59" t="str">
        <f t="shared" si="1815"/>
        <v/>
      </c>
      <c r="I6074" s="567"/>
      <c r="J6074" s="549" t="s">
        <v>4179</v>
      </c>
      <c r="M6074"/>
      <c r="N6074"/>
      <c r="O6074"/>
      <c r="P6074"/>
      <c r="Q6074"/>
      <c r="R6074"/>
      <c r="S6074"/>
      <c r="T6074"/>
      <c r="U6074"/>
      <c r="V6074"/>
      <c r="W6074"/>
      <c r="X6074"/>
      <c r="Y6074"/>
      <c r="Z6074"/>
      <c r="AA6074"/>
      <c r="AB6074"/>
      <c r="AC6074"/>
    </row>
    <row r="6075" spans="1:29" ht="42.75" customHeight="1" x14ac:dyDescent="0.35">
      <c r="A6075" s="896" t="s">
        <v>1491</v>
      </c>
      <c r="B6075" s="939"/>
      <c r="C6075" s="939"/>
      <c r="D6075" s="939"/>
      <c r="E6075" s="939"/>
      <c r="F6075" s="939"/>
      <c r="G6075" s="351"/>
      <c r="H6075" s="416" t="str">
        <f t="shared" si="1815"/>
        <v/>
      </c>
      <c r="I6075" s="612"/>
      <c r="J6075" s="549" t="s">
        <v>4179</v>
      </c>
      <c r="M6075" s="187"/>
      <c r="N6075" s="187"/>
      <c r="O6075" s="187"/>
      <c r="P6075" s="187"/>
      <c r="Q6075" s="187"/>
      <c r="R6075" s="187"/>
      <c r="S6075" s="187"/>
      <c r="T6075" s="187"/>
      <c r="U6075" s="187"/>
      <c r="V6075" s="187"/>
      <c r="W6075" s="187"/>
      <c r="X6075" s="187"/>
      <c r="Y6075" s="187"/>
      <c r="Z6075" s="187"/>
      <c r="AA6075" s="187"/>
      <c r="AB6075" s="187"/>
      <c r="AC6075" s="187"/>
    </row>
    <row r="6076" spans="1:29" x14ac:dyDescent="0.35">
      <c r="H6076" s="11" t="str">
        <f t="shared" si="1815"/>
        <v/>
      </c>
      <c r="J6076" s="549" t="s">
        <v>4179</v>
      </c>
    </row>
    <row r="6077" spans="1:29" x14ac:dyDescent="0.35">
      <c r="A6077" s="271" t="s">
        <v>4636</v>
      </c>
      <c r="B6077" s="272" t="s">
        <v>740</v>
      </c>
      <c r="C6077" s="272" t="s">
        <v>1304</v>
      </c>
      <c r="D6077" s="272" t="s">
        <v>4637</v>
      </c>
      <c r="E6077" s="272"/>
      <c r="F6077" s="398">
        <v>33.18</v>
      </c>
      <c r="G6077" s="273">
        <v>33.18</v>
      </c>
      <c r="H6077" s="273">
        <f t="shared" si="1815"/>
        <v>26.54</v>
      </c>
      <c r="I6077" s="613"/>
      <c r="J6077" s="549" t="s">
        <v>5804</v>
      </c>
    </row>
    <row r="6078" spans="1:29" s="187" customFormat="1" x14ac:dyDescent="0.35">
      <c r="A6078"/>
      <c r="B6078"/>
      <c r="C6078"/>
      <c r="D6078"/>
      <c r="E6078"/>
      <c r="F6078" s="387"/>
      <c r="G6078" s="11"/>
      <c r="H6078" s="11" t="str">
        <f t="shared" si="1815"/>
        <v/>
      </c>
      <c r="I6078" s="565"/>
      <c r="J6078" s="549" t="s">
        <v>4179</v>
      </c>
      <c r="M6078"/>
      <c r="N6078"/>
      <c r="O6078"/>
      <c r="P6078"/>
      <c r="Q6078"/>
      <c r="R6078"/>
      <c r="S6078"/>
      <c r="T6078"/>
      <c r="U6078"/>
      <c r="V6078"/>
      <c r="W6078"/>
      <c r="X6078"/>
      <c r="Y6078"/>
      <c r="Z6078"/>
      <c r="AA6078"/>
      <c r="AB6078"/>
      <c r="AC6078"/>
    </row>
    <row r="6079" spans="1:29" s="187" customFormat="1" ht="91.5" customHeight="1" x14ac:dyDescent="0.35">
      <c r="A6079" s="897" t="s">
        <v>8143</v>
      </c>
      <c r="B6079" s="897"/>
      <c r="C6079" s="897"/>
      <c r="D6079" s="897"/>
      <c r="E6079" s="897"/>
      <c r="F6079" s="897"/>
      <c r="G6079" s="351"/>
      <c r="H6079" s="416" t="str">
        <f t="shared" si="1815"/>
        <v/>
      </c>
      <c r="I6079" s="612"/>
      <c r="J6079" s="549">
        <v>42644</v>
      </c>
    </row>
    <row r="6080" spans="1:29" s="187" customFormat="1" ht="78" customHeight="1" x14ac:dyDescent="0.35">
      <c r="A6080" s="897" t="s">
        <v>8144</v>
      </c>
      <c r="B6080" s="897"/>
      <c r="C6080" s="897"/>
      <c r="D6080" s="897"/>
      <c r="E6080" s="897"/>
      <c r="F6080" s="897"/>
      <c r="G6080" s="352"/>
      <c r="H6080" s="411" t="str">
        <f t="shared" si="1815"/>
        <v/>
      </c>
      <c r="I6080" s="596"/>
      <c r="J6080" s="549">
        <v>42644</v>
      </c>
    </row>
    <row r="6081" spans="1:29" ht="64.5" customHeight="1" x14ac:dyDescent="0.35">
      <c r="A6081" s="939" t="s">
        <v>2285</v>
      </c>
      <c r="B6081" s="939"/>
      <c r="C6081" s="939"/>
      <c r="D6081" s="939"/>
      <c r="E6081" s="939"/>
      <c r="F6081" s="939"/>
      <c r="G6081" s="352"/>
      <c r="H6081" s="411" t="str">
        <f t="shared" si="1815"/>
        <v/>
      </c>
      <c r="I6081" s="596"/>
      <c r="J6081" s="549" t="s">
        <v>4179</v>
      </c>
      <c r="M6081" s="187"/>
      <c r="N6081" s="187"/>
      <c r="O6081" s="187"/>
      <c r="P6081" s="187"/>
      <c r="Q6081" s="187"/>
      <c r="R6081" s="187"/>
      <c r="S6081" s="187"/>
      <c r="T6081" s="187"/>
      <c r="U6081" s="187"/>
      <c r="V6081" s="187"/>
      <c r="W6081" s="187"/>
      <c r="X6081" s="187"/>
      <c r="Y6081" s="187"/>
      <c r="Z6081" s="187"/>
      <c r="AA6081" s="187"/>
      <c r="AB6081" s="187"/>
      <c r="AC6081" s="187"/>
    </row>
    <row r="6082" spans="1:29" x14ac:dyDescent="0.35">
      <c r="H6082" s="11" t="str">
        <f t="shared" si="1815"/>
        <v/>
      </c>
      <c r="J6082" s="549" t="s">
        <v>4179</v>
      </c>
    </row>
    <row r="6083" spans="1:29" x14ac:dyDescent="0.35">
      <c r="A6083" s="311" t="s">
        <v>2272</v>
      </c>
      <c r="B6083" s="312" t="s">
        <v>2269</v>
      </c>
      <c r="C6083" s="312"/>
      <c r="D6083" s="314" t="s">
        <v>423</v>
      </c>
      <c r="E6083" s="312"/>
      <c r="F6083" s="394"/>
      <c r="G6083" s="313"/>
      <c r="H6083" s="313" t="str">
        <f t="shared" si="1815"/>
        <v/>
      </c>
      <c r="I6083" s="614"/>
      <c r="J6083" s="549" t="s">
        <v>5804</v>
      </c>
    </row>
    <row r="6084" spans="1:29" x14ac:dyDescent="0.35">
      <c r="A6084" s="311" t="s">
        <v>2273</v>
      </c>
      <c r="B6084" s="312" t="s">
        <v>5547</v>
      </c>
      <c r="C6084" s="311"/>
      <c r="D6084" s="314" t="s">
        <v>423</v>
      </c>
      <c r="E6084" s="312"/>
      <c r="F6084" s="394"/>
      <c r="G6084" s="313"/>
      <c r="H6084" s="313" t="str">
        <f t="shared" si="1815"/>
        <v/>
      </c>
      <c r="I6084" s="614"/>
      <c r="J6084" s="549" t="s">
        <v>5804</v>
      </c>
    </row>
    <row r="6085" spans="1:29" x14ac:dyDescent="0.35">
      <c r="A6085" s="311" t="s">
        <v>2274</v>
      </c>
      <c r="B6085" s="312" t="s">
        <v>4846</v>
      </c>
      <c r="C6085" s="311"/>
      <c r="D6085" s="314" t="s">
        <v>423</v>
      </c>
      <c r="E6085" s="312"/>
      <c r="F6085" s="394"/>
      <c r="G6085" s="313"/>
      <c r="H6085" s="313" t="str">
        <f t="shared" si="1815"/>
        <v/>
      </c>
      <c r="I6085" s="614"/>
      <c r="J6085" s="549" t="s">
        <v>5804</v>
      </c>
    </row>
    <row r="6086" spans="1:29" x14ac:dyDescent="0.35">
      <c r="A6086" s="311" t="s">
        <v>2275</v>
      </c>
      <c r="B6086" s="312" t="s">
        <v>5405</v>
      </c>
      <c r="C6086" s="311"/>
      <c r="D6086" s="314" t="s">
        <v>423</v>
      </c>
      <c r="E6086" s="312"/>
      <c r="F6086" s="394"/>
      <c r="G6086" s="313"/>
      <c r="H6086" s="313" t="str">
        <f t="shared" si="1815"/>
        <v/>
      </c>
      <c r="I6086" s="614"/>
      <c r="J6086" s="549" t="s">
        <v>5804</v>
      </c>
    </row>
    <row r="6087" spans="1:29" x14ac:dyDescent="0.35">
      <c r="A6087" s="311" t="s">
        <v>2276</v>
      </c>
      <c r="B6087" s="312" t="s">
        <v>5410</v>
      </c>
      <c r="C6087" s="311"/>
      <c r="D6087" s="314" t="s">
        <v>423</v>
      </c>
      <c r="E6087" s="312"/>
      <c r="F6087" s="394"/>
      <c r="G6087" s="313"/>
      <c r="H6087" s="313" t="str">
        <f t="shared" si="1815"/>
        <v/>
      </c>
      <c r="I6087" s="614"/>
      <c r="J6087" s="549" t="s">
        <v>5804</v>
      </c>
    </row>
    <row r="6088" spans="1:29" x14ac:dyDescent="0.35">
      <c r="A6088" s="311" t="s">
        <v>2277</v>
      </c>
      <c r="B6088" s="312" t="s">
        <v>5411</v>
      </c>
      <c r="C6088" s="311"/>
      <c r="D6088" s="314" t="s">
        <v>423</v>
      </c>
      <c r="E6088" s="312"/>
      <c r="F6088" s="394"/>
      <c r="G6088" s="313"/>
      <c r="H6088" s="313" t="str">
        <f t="shared" si="1815"/>
        <v/>
      </c>
      <c r="I6088" s="614"/>
      <c r="J6088" s="549" t="s">
        <v>5804</v>
      </c>
    </row>
    <row r="6089" spans="1:29" x14ac:dyDescent="0.35">
      <c r="A6089" s="311" t="s">
        <v>2278</v>
      </c>
      <c r="B6089" s="312" t="s">
        <v>2034</v>
      </c>
      <c r="C6089" s="311"/>
      <c r="D6089" s="314" t="s">
        <v>423</v>
      </c>
      <c r="E6089" s="312"/>
      <c r="F6089" s="394"/>
      <c r="G6089" s="313"/>
      <c r="H6089" s="313" t="str">
        <f t="shared" si="1815"/>
        <v/>
      </c>
      <c r="I6089" s="614"/>
      <c r="J6089" s="549" t="s">
        <v>5804</v>
      </c>
    </row>
    <row r="6090" spans="1:29" x14ac:dyDescent="0.35">
      <c r="A6090" s="311" t="s">
        <v>2279</v>
      </c>
      <c r="B6090" s="312" t="s">
        <v>2067</v>
      </c>
      <c r="C6090" s="311"/>
      <c r="D6090" s="314" t="s">
        <v>423</v>
      </c>
      <c r="E6090" s="312"/>
      <c r="F6090" s="394"/>
      <c r="G6090" s="313"/>
      <c r="H6090" s="313" t="str">
        <f t="shared" si="1815"/>
        <v/>
      </c>
      <c r="I6090" s="614"/>
      <c r="J6090" s="549" t="s">
        <v>5804</v>
      </c>
    </row>
    <row r="6091" spans="1:29" x14ac:dyDescent="0.35">
      <c r="A6091" s="311" t="s">
        <v>2280</v>
      </c>
      <c r="B6091" s="312" t="s">
        <v>3373</v>
      </c>
      <c r="C6091" s="311"/>
      <c r="D6091" s="314" t="s">
        <v>423</v>
      </c>
      <c r="E6091" s="312"/>
      <c r="F6091" s="394"/>
      <c r="G6091" s="313"/>
      <c r="H6091" s="313" t="str">
        <f t="shared" si="1815"/>
        <v/>
      </c>
      <c r="I6091" s="614"/>
      <c r="J6091" s="549" t="s">
        <v>5804</v>
      </c>
    </row>
    <row r="6092" spans="1:29" x14ac:dyDescent="0.35">
      <c r="A6092" s="311" t="s">
        <v>2281</v>
      </c>
      <c r="B6092" s="312" t="s">
        <v>3381</v>
      </c>
      <c r="C6092" s="311"/>
      <c r="D6092" s="314" t="s">
        <v>423</v>
      </c>
      <c r="E6092" s="312"/>
      <c r="F6092" s="394"/>
      <c r="G6092" s="313"/>
      <c r="H6092" s="313" t="str">
        <f t="shared" si="1815"/>
        <v/>
      </c>
      <c r="I6092" s="614"/>
      <c r="J6092" s="549" t="s">
        <v>5804</v>
      </c>
    </row>
    <row r="6093" spans="1:29" x14ac:dyDescent="0.35">
      <c r="A6093" s="311" t="s">
        <v>2282</v>
      </c>
      <c r="B6093" s="312" t="s">
        <v>3389</v>
      </c>
      <c r="C6093" s="311"/>
      <c r="D6093" s="314" t="s">
        <v>423</v>
      </c>
      <c r="E6093" s="312"/>
      <c r="F6093" s="394"/>
      <c r="G6093" s="313"/>
      <c r="H6093" s="313" t="str">
        <f t="shared" si="1815"/>
        <v/>
      </c>
      <c r="I6093" s="614"/>
      <c r="J6093" s="549" t="s">
        <v>5804</v>
      </c>
    </row>
    <row r="6094" spans="1:29" x14ac:dyDescent="0.35">
      <c r="A6094" s="311" t="s">
        <v>2283</v>
      </c>
      <c r="B6094" s="312" t="s">
        <v>740</v>
      </c>
      <c r="C6094" s="311"/>
      <c r="D6094" s="314" t="s">
        <v>423</v>
      </c>
      <c r="E6094" s="312"/>
      <c r="F6094" s="394"/>
      <c r="G6094" s="313"/>
      <c r="H6094" s="313" t="str">
        <f t="shared" si="1815"/>
        <v/>
      </c>
      <c r="I6094" s="614"/>
      <c r="J6094" s="549" t="s">
        <v>5804</v>
      </c>
    </row>
    <row r="6095" spans="1:29" x14ac:dyDescent="0.35">
      <c r="A6095" s="311" t="s">
        <v>2284</v>
      </c>
      <c r="B6095" s="312" t="s">
        <v>5434</v>
      </c>
      <c r="C6095" s="311"/>
      <c r="D6095" s="314" t="s">
        <v>423</v>
      </c>
      <c r="E6095" s="312"/>
      <c r="F6095" s="394"/>
      <c r="G6095" s="313"/>
      <c r="H6095" s="313" t="str">
        <f t="shared" si="1815"/>
        <v/>
      </c>
      <c r="I6095" s="614"/>
      <c r="J6095" s="549" t="s">
        <v>5804</v>
      </c>
      <c r="O6095" s="187"/>
      <c r="P6095" s="187"/>
      <c r="Q6095" s="187"/>
      <c r="R6095" s="187"/>
      <c r="S6095" s="187"/>
      <c r="T6095" s="187"/>
    </row>
    <row r="6096" spans="1:29" x14ac:dyDescent="0.35">
      <c r="H6096" s="11" t="str">
        <f t="shared" si="1815"/>
        <v/>
      </c>
      <c r="J6096" s="549" t="s">
        <v>4179</v>
      </c>
    </row>
    <row r="6097" spans="1:29" x14ac:dyDescent="0.35">
      <c r="A6097" s="311" t="s">
        <v>2286</v>
      </c>
      <c r="B6097" s="312" t="s">
        <v>2269</v>
      </c>
      <c r="C6097" s="312"/>
      <c r="D6097" s="314" t="s">
        <v>424</v>
      </c>
      <c r="E6097" s="312"/>
      <c r="F6097" s="394"/>
      <c r="G6097" s="313"/>
      <c r="H6097" s="313" t="str">
        <f t="shared" si="1815"/>
        <v/>
      </c>
      <c r="I6097" s="614"/>
      <c r="J6097" s="549" t="s">
        <v>5804</v>
      </c>
    </row>
    <row r="6098" spans="1:29" x14ac:dyDescent="0.35">
      <c r="A6098" s="311" t="s">
        <v>2287</v>
      </c>
      <c r="B6098" s="312" t="s">
        <v>5547</v>
      </c>
      <c r="C6098" s="311"/>
      <c r="D6098" s="314" t="s">
        <v>424</v>
      </c>
      <c r="E6098" s="312"/>
      <c r="F6098" s="394"/>
      <c r="G6098" s="313"/>
      <c r="H6098" s="313" t="str">
        <f t="shared" si="1815"/>
        <v/>
      </c>
      <c r="I6098" s="614"/>
      <c r="J6098" s="549" t="s">
        <v>5804</v>
      </c>
    </row>
    <row r="6099" spans="1:29" x14ac:dyDescent="0.35">
      <c r="A6099" s="311" t="s">
        <v>2288</v>
      </c>
      <c r="B6099" s="312" t="s">
        <v>4846</v>
      </c>
      <c r="C6099" s="311"/>
      <c r="D6099" s="314" t="s">
        <v>424</v>
      </c>
      <c r="E6099" s="312"/>
      <c r="F6099" s="394"/>
      <c r="G6099" s="313"/>
      <c r="H6099" s="313" t="str">
        <f t="shared" si="1815"/>
        <v/>
      </c>
      <c r="I6099" s="614"/>
      <c r="J6099" s="549" t="s">
        <v>5804</v>
      </c>
    </row>
    <row r="6100" spans="1:29" x14ac:dyDescent="0.35">
      <c r="A6100" s="311" t="s">
        <v>2289</v>
      </c>
      <c r="B6100" s="312" t="s">
        <v>5405</v>
      </c>
      <c r="C6100" s="311"/>
      <c r="D6100" s="314" t="s">
        <v>424</v>
      </c>
      <c r="E6100" s="312"/>
      <c r="F6100" s="394"/>
      <c r="G6100" s="313"/>
      <c r="H6100" s="313" t="str">
        <f t="shared" si="1815"/>
        <v/>
      </c>
      <c r="I6100" s="614"/>
      <c r="J6100" s="549" t="s">
        <v>5804</v>
      </c>
    </row>
    <row r="6101" spans="1:29" x14ac:dyDescent="0.35">
      <c r="A6101" s="311" t="s">
        <v>2290</v>
      </c>
      <c r="B6101" s="312" t="s">
        <v>5410</v>
      </c>
      <c r="C6101" s="311"/>
      <c r="D6101" s="314" t="s">
        <v>424</v>
      </c>
      <c r="E6101" s="312"/>
      <c r="F6101" s="394"/>
      <c r="G6101" s="313"/>
      <c r="H6101" s="313" t="str">
        <f t="shared" si="1815"/>
        <v/>
      </c>
      <c r="I6101" s="614"/>
      <c r="J6101" s="549" t="s">
        <v>5804</v>
      </c>
    </row>
    <row r="6102" spans="1:29" x14ac:dyDescent="0.35">
      <c r="A6102" s="311" t="s">
        <v>2291</v>
      </c>
      <c r="B6102" s="312" t="s">
        <v>5411</v>
      </c>
      <c r="C6102" s="311"/>
      <c r="D6102" s="314" t="s">
        <v>424</v>
      </c>
      <c r="E6102" s="312"/>
      <c r="F6102" s="394"/>
      <c r="G6102" s="313"/>
      <c r="H6102" s="313" t="str">
        <f t="shared" si="1815"/>
        <v/>
      </c>
      <c r="I6102" s="614"/>
      <c r="J6102" s="549" t="s">
        <v>5804</v>
      </c>
    </row>
    <row r="6103" spans="1:29" x14ac:dyDescent="0.35">
      <c r="A6103" s="311" t="s">
        <v>2292</v>
      </c>
      <c r="B6103" s="312" t="s">
        <v>2034</v>
      </c>
      <c r="C6103" s="311"/>
      <c r="D6103" s="314" t="s">
        <v>424</v>
      </c>
      <c r="E6103" s="312"/>
      <c r="F6103" s="394"/>
      <c r="G6103" s="313"/>
      <c r="H6103" s="313" t="str">
        <f t="shared" si="1815"/>
        <v/>
      </c>
      <c r="I6103" s="614"/>
      <c r="J6103" s="549" t="s">
        <v>5804</v>
      </c>
    </row>
    <row r="6104" spans="1:29" x14ac:dyDescent="0.35">
      <c r="A6104" s="311" t="s">
        <v>2293</v>
      </c>
      <c r="B6104" s="312" t="s">
        <v>2067</v>
      </c>
      <c r="C6104" s="311"/>
      <c r="D6104" s="314" t="s">
        <v>424</v>
      </c>
      <c r="E6104" s="312"/>
      <c r="F6104" s="394"/>
      <c r="G6104" s="313"/>
      <c r="H6104" s="313" t="str">
        <f t="shared" si="1815"/>
        <v/>
      </c>
      <c r="I6104" s="614"/>
      <c r="J6104" s="549" t="s">
        <v>5804</v>
      </c>
    </row>
    <row r="6105" spans="1:29" x14ac:dyDescent="0.35">
      <c r="A6105" s="311" t="s">
        <v>2294</v>
      </c>
      <c r="B6105" s="312" t="s">
        <v>3373</v>
      </c>
      <c r="C6105" s="311"/>
      <c r="D6105" s="314" t="s">
        <v>424</v>
      </c>
      <c r="E6105" s="312"/>
      <c r="F6105" s="394"/>
      <c r="G6105" s="313"/>
      <c r="H6105" s="313" t="str">
        <f t="shared" si="1815"/>
        <v/>
      </c>
      <c r="I6105" s="614"/>
      <c r="J6105" s="549" t="s">
        <v>5804</v>
      </c>
    </row>
    <row r="6106" spans="1:29" x14ac:dyDescent="0.35">
      <c r="A6106" s="311" t="s">
        <v>2295</v>
      </c>
      <c r="B6106" s="312" t="s">
        <v>3381</v>
      </c>
      <c r="C6106" s="311"/>
      <c r="D6106" s="314" t="s">
        <v>424</v>
      </c>
      <c r="E6106" s="312"/>
      <c r="F6106" s="394"/>
      <c r="G6106" s="313"/>
      <c r="H6106" s="313" t="str">
        <f t="shared" si="1815"/>
        <v/>
      </c>
      <c r="I6106" s="614"/>
      <c r="J6106" s="549" t="s">
        <v>5804</v>
      </c>
    </row>
    <row r="6107" spans="1:29" x14ac:dyDescent="0.35">
      <c r="A6107" s="311" t="s">
        <v>2296</v>
      </c>
      <c r="B6107" s="312" t="s">
        <v>3389</v>
      </c>
      <c r="C6107" s="311"/>
      <c r="D6107" s="314" t="s">
        <v>424</v>
      </c>
      <c r="E6107" s="312"/>
      <c r="F6107" s="394"/>
      <c r="G6107" s="313"/>
      <c r="H6107" s="313" t="str">
        <f t="shared" si="1815"/>
        <v/>
      </c>
      <c r="I6107" s="614"/>
      <c r="J6107" s="549" t="s">
        <v>5804</v>
      </c>
    </row>
    <row r="6108" spans="1:29" x14ac:dyDescent="0.35">
      <c r="A6108" s="311" t="s">
        <v>2297</v>
      </c>
      <c r="B6108" s="312" t="s">
        <v>740</v>
      </c>
      <c r="C6108" s="311"/>
      <c r="D6108" s="314" t="s">
        <v>424</v>
      </c>
      <c r="E6108" s="312"/>
      <c r="F6108" s="394"/>
      <c r="G6108" s="313"/>
      <c r="H6108" s="313" t="str">
        <f t="shared" si="1815"/>
        <v/>
      </c>
      <c r="I6108" s="614"/>
      <c r="J6108" s="549" t="s">
        <v>5804</v>
      </c>
    </row>
    <row r="6109" spans="1:29" x14ac:dyDescent="0.35">
      <c r="A6109" s="311" t="s">
        <v>2298</v>
      </c>
      <c r="B6109" s="312" t="s">
        <v>5434</v>
      </c>
      <c r="C6109" s="311"/>
      <c r="D6109" s="314" t="s">
        <v>424</v>
      </c>
      <c r="E6109" s="312"/>
      <c r="F6109" s="394"/>
      <c r="G6109" s="313"/>
      <c r="H6109" s="313" t="str">
        <f t="shared" si="1815"/>
        <v/>
      </c>
      <c r="I6109" s="614"/>
      <c r="J6109" s="549" t="s">
        <v>5804</v>
      </c>
      <c r="O6109" s="187"/>
      <c r="P6109" s="187"/>
      <c r="Q6109" s="187"/>
      <c r="R6109" s="187"/>
      <c r="S6109" s="187"/>
      <c r="T6109" s="187"/>
    </row>
    <row r="6110" spans="1:29" x14ac:dyDescent="0.35">
      <c r="H6110" s="11" t="str">
        <f t="shared" si="1815"/>
        <v/>
      </c>
      <c r="J6110" s="549"/>
    </row>
    <row r="6111" spans="1:29" ht="23.5" x14ac:dyDescent="0.35">
      <c r="A6111" s="938" t="s">
        <v>7812</v>
      </c>
      <c r="B6111" s="938"/>
      <c r="C6111" s="938"/>
      <c r="D6111" s="938"/>
      <c r="E6111" s="938"/>
      <c r="F6111" s="938"/>
      <c r="G6111" s="938"/>
      <c r="H6111" s="938"/>
      <c r="I6111" s="605"/>
      <c r="J6111" s="549">
        <v>44545</v>
      </c>
      <c r="N6111" s="187"/>
      <c r="U6111" s="187"/>
      <c r="V6111" s="187"/>
      <c r="W6111" s="187"/>
      <c r="X6111" s="187"/>
      <c r="Y6111" s="187"/>
      <c r="Z6111" s="187"/>
      <c r="AA6111" s="187"/>
      <c r="AB6111" s="187"/>
      <c r="AC6111" s="187"/>
    </row>
    <row r="6112" spans="1:29" ht="149.5" customHeight="1" x14ac:dyDescent="0.35">
      <c r="A6112" s="907" t="s">
        <v>8189</v>
      </c>
      <c r="B6112" s="907"/>
      <c r="C6112" s="907"/>
      <c r="D6112" s="907"/>
      <c r="E6112" s="907"/>
      <c r="F6112" s="907"/>
      <c r="G6112" s="350"/>
      <c r="H6112" s="414" t="str">
        <f t="shared" ref="H6112" si="1816">IF(ISNUMBER(G6112),ROUND(0.8*G6112,2),"")</f>
        <v/>
      </c>
      <c r="I6112" s="605"/>
      <c r="J6112" s="549">
        <v>45001</v>
      </c>
      <c r="N6112" s="187"/>
      <c r="U6112" s="187"/>
      <c r="V6112" s="187"/>
      <c r="W6112" s="187"/>
      <c r="X6112" s="187"/>
      <c r="Y6112" s="187"/>
      <c r="Z6112" s="187"/>
      <c r="AA6112" s="187"/>
      <c r="AB6112" s="187"/>
      <c r="AC6112" s="187"/>
    </row>
    <row r="6113" spans="1:29" ht="90" customHeight="1" x14ac:dyDescent="0.35">
      <c r="A6113" s="907" t="s">
        <v>7804</v>
      </c>
      <c r="B6113" s="907"/>
      <c r="C6113" s="907"/>
      <c r="D6113" s="907"/>
      <c r="E6113" s="907"/>
      <c r="F6113" s="907"/>
      <c r="G6113" s="350"/>
      <c r="H6113" s="414" t="str">
        <f>IF(ISNUMBER(G6113),ROUND(0.8*G6113,2),"")</f>
        <v/>
      </c>
      <c r="I6113" s="605"/>
      <c r="J6113" s="549">
        <v>44545</v>
      </c>
      <c r="N6113" s="187"/>
      <c r="U6113" s="187"/>
      <c r="V6113" s="187"/>
      <c r="W6113" s="187"/>
      <c r="X6113" s="187"/>
      <c r="Y6113" s="187"/>
      <c r="Z6113" s="187"/>
      <c r="AA6113" s="187"/>
      <c r="AB6113" s="187"/>
      <c r="AC6113" s="187"/>
    </row>
    <row r="6114" spans="1:29" ht="93" customHeight="1" x14ac:dyDescent="0.35">
      <c r="A6114" s="907" t="s">
        <v>7801</v>
      </c>
      <c r="B6114" s="907"/>
      <c r="C6114" s="907"/>
      <c r="D6114" s="907"/>
      <c r="E6114" s="907"/>
      <c r="F6114" s="907"/>
      <c r="G6114" s="350"/>
      <c r="H6114" s="414" t="str">
        <f t="shared" si="1815"/>
        <v/>
      </c>
      <c r="I6114" s="605"/>
      <c r="J6114" s="549">
        <v>44545</v>
      </c>
      <c r="N6114" s="187"/>
      <c r="U6114" s="187"/>
      <c r="V6114" s="187"/>
      <c r="W6114" s="187"/>
      <c r="X6114" s="187"/>
      <c r="Y6114" s="187"/>
      <c r="Z6114" s="187"/>
      <c r="AA6114" s="187"/>
      <c r="AB6114" s="187"/>
      <c r="AC6114" s="187"/>
    </row>
    <row r="6115" spans="1:29" ht="90" customHeight="1" x14ac:dyDescent="0.35">
      <c r="A6115" s="907" t="s">
        <v>7776</v>
      </c>
      <c r="B6115" s="907"/>
      <c r="C6115" s="907"/>
      <c r="D6115" s="907"/>
      <c r="E6115" s="907"/>
      <c r="F6115" s="907"/>
      <c r="G6115" s="350"/>
      <c r="H6115" s="414"/>
      <c r="I6115" s="605"/>
      <c r="J6115" s="549"/>
      <c r="N6115" s="187"/>
      <c r="U6115" s="187"/>
      <c r="V6115" s="187"/>
      <c r="W6115" s="187"/>
      <c r="X6115" s="187"/>
      <c r="Y6115" s="187"/>
      <c r="Z6115" s="187"/>
      <c r="AA6115" s="187"/>
      <c r="AB6115" s="187"/>
      <c r="AC6115" s="187"/>
    </row>
    <row r="6116" spans="1:29" ht="52.5" customHeight="1" x14ac:dyDescent="0.35">
      <c r="A6116" s="907" t="s">
        <v>7805</v>
      </c>
      <c r="B6116" s="907"/>
      <c r="C6116" s="907"/>
      <c r="D6116" s="907"/>
      <c r="E6116" s="907"/>
      <c r="F6116" s="907"/>
      <c r="G6116" s="350"/>
      <c r="H6116" s="414" t="str">
        <f>IF(ISNUMBER(G6116),ROUND(0.8*G6116,2),"")</f>
        <v/>
      </c>
      <c r="I6116" s="605"/>
      <c r="J6116" s="549">
        <v>44545</v>
      </c>
      <c r="N6116" s="187"/>
      <c r="U6116" s="187"/>
      <c r="V6116" s="187"/>
      <c r="W6116" s="187"/>
      <c r="X6116" s="187"/>
      <c r="Y6116" s="187"/>
      <c r="Z6116" s="187"/>
      <c r="AA6116" s="187"/>
      <c r="AB6116" s="187"/>
      <c r="AC6116" s="187"/>
    </row>
    <row r="6117" spans="1:29" x14ac:dyDescent="0.35">
      <c r="H6117" s="11" t="str">
        <f t="shared" si="1815"/>
        <v/>
      </c>
      <c r="J6117" s="549" t="s">
        <v>4179</v>
      </c>
    </row>
    <row r="6118" spans="1:29" x14ac:dyDescent="0.35">
      <c r="A6118" s="528" t="s">
        <v>7402</v>
      </c>
      <c r="B6118" s="529" t="s">
        <v>2269</v>
      </c>
      <c r="C6118" s="529"/>
      <c r="D6118" s="533" t="s">
        <v>7415</v>
      </c>
      <c r="E6118" s="529"/>
      <c r="F6118" s="530">
        <v>0</v>
      </c>
      <c r="G6118" s="531">
        <v>0</v>
      </c>
      <c r="H6118" s="531">
        <f t="shared" si="1815"/>
        <v>0</v>
      </c>
      <c r="I6118" s="611"/>
      <c r="J6118" s="549">
        <v>44196</v>
      </c>
    </row>
    <row r="6119" spans="1:29" x14ac:dyDescent="0.35">
      <c r="A6119" s="528" t="s">
        <v>7403</v>
      </c>
      <c r="B6119" s="529" t="s">
        <v>5547</v>
      </c>
      <c r="C6119" s="529"/>
      <c r="D6119" s="533" t="s">
        <v>7415</v>
      </c>
      <c r="E6119" s="529"/>
      <c r="F6119" s="530">
        <v>0</v>
      </c>
      <c r="G6119" s="531">
        <v>0</v>
      </c>
      <c r="H6119" s="531">
        <f t="shared" si="1815"/>
        <v>0</v>
      </c>
      <c r="I6119" s="611"/>
      <c r="J6119" s="549">
        <v>44196</v>
      </c>
    </row>
    <row r="6120" spans="1:29" x14ac:dyDescent="0.35">
      <c r="A6120" s="528" t="s">
        <v>7404</v>
      </c>
      <c r="B6120" s="529" t="s">
        <v>4846</v>
      </c>
      <c r="C6120" s="529"/>
      <c r="D6120" s="533" t="s">
        <v>7415</v>
      </c>
      <c r="E6120" s="529"/>
      <c r="F6120" s="530">
        <v>0</v>
      </c>
      <c r="G6120" s="531">
        <v>0</v>
      </c>
      <c r="H6120" s="531">
        <f t="shared" si="1815"/>
        <v>0</v>
      </c>
      <c r="I6120" s="611"/>
      <c r="J6120" s="549">
        <v>44196</v>
      </c>
    </row>
    <row r="6121" spans="1:29" x14ac:dyDescent="0.35">
      <c r="A6121" s="528" t="s">
        <v>7405</v>
      </c>
      <c r="B6121" s="529" t="s">
        <v>5405</v>
      </c>
      <c r="C6121" s="529"/>
      <c r="D6121" s="533" t="s">
        <v>7415</v>
      </c>
      <c r="E6121" s="529"/>
      <c r="F6121" s="530">
        <v>0</v>
      </c>
      <c r="G6121" s="531">
        <v>0</v>
      </c>
      <c r="H6121" s="531">
        <f t="shared" si="1815"/>
        <v>0</v>
      </c>
      <c r="I6121" s="611"/>
      <c r="J6121" s="549">
        <v>44196</v>
      </c>
    </row>
    <row r="6122" spans="1:29" x14ac:dyDescent="0.35">
      <c r="A6122" s="528" t="s">
        <v>7406</v>
      </c>
      <c r="B6122" s="529" t="s">
        <v>5410</v>
      </c>
      <c r="C6122" s="529"/>
      <c r="D6122" s="533" t="s">
        <v>7415</v>
      </c>
      <c r="E6122" s="529"/>
      <c r="F6122" s="530">
        <v>0</v>
      </c>
      <c r="G6122" s="531">
        <v>0</v>
      </c>
      <c r="H6122" s="531">
        <f t="shared" si="1815"/>
        <v>0</v>
      </c>
      <c r="I6122" s="611"/>
      <c r="J6122" s="549">
        <v>44196</v>
      </c>
    </row>
    <row r="6123" spans="1:29" x14ac:dyDescent="0.35">
      <c r="A6123" s="528" t="s">
        <v>7407</v>
      </c>
      <c r="B6123" s="529" t="s">
        <v>5411</v>
      </c>
      <c r="C6123" s="529"/>
      <c r="D6123" s="533" t="s">
        <v>7415</v>
      </c>
      <c r="E6123" s="529"/>
      <c r="F6123" s="530">
        <v>0</v>
      </c>
      <c r="G6123" s="531">
        <v>0</v>
      </c>
      <c r="H6123" s="531">
        <f t="shared" si="1815"/>
        <v>0</v>
      </c>
      <c r="I6123" s="611"/>
      <c r="J6123" s="549">
        <v>44196</v>
      </c>
    </row>
    <row r="6124" spans="1:29" x14ac:dyDescent="0.35">
      <c r="A6124" s="528" t="s">
        <v>7408</v>
      </c>
      <c r="B6124" s="529" t="s">
        <v>2034</v>
      </c>
      <c r="C6124" s="529"/>
      <c r="D6124" s="533" t="s">
        <v>7415</v>
      </c>
      <c r="E6124" s="529"/>
      <c r="F6124" s="530">
        <v>0</v>
      </c>
      <c r="G6124" s="531">
        <v>0</v>
      </c>
      <c r="H6124" s="531">
        <f t="shared" si="1815"/>
        <v>0</v>
      </c>
      <c r="I6124" s="611"/>
      <c r="J6124" s="549">
        <v>44196</v>
      </c>
    </row>
    <row r="6125" spans="1:29" x14ac:dyDescent="0.35">
      <c r="A6125" s="528" t="s">
        <v>7409</v>
      </c>
      <c r="B6125" s="529" t="s">
        <v>2067</v>
      </c>
      <c r="C6125" s="529"/>
      <c r="D6125" s="533" t="s">
        <v>7415</v>
      </c>
      <c r="E6125" s="529"/>
      <c r="F6125" s="530">
        <v>0</v>
      </c>
      <c r="G6125" s="531">
        <v>0</v>
      </c>
      <c r="H6125" s="531">
        <f t="shared" si="1815"/>
        <v>0</v>
      </c>
      <c r="I6125" s="611"/>
      <c r="J6125" s="549">
        <v>44196</v>
      </c>
    </row>
    <row r="6126" spans="1:29" x14ac:dyDescent="0.35">
      <c r="A6126" s="528" t="s">
        <v>7410</v>
      </c>
      <c r="B6126" s="529" t="s">
        <v>3373</v>
      </c>
      <c r="C6126" s="529"/>
      <c r="D6126" s="533" t="s">
        <v>7415</v>
      </c>
      <c r="E6126" s="529"/>
      <c r="F6126" s="530">
        <v>0</v>
      </c>
      <c r="G6126" s="531">
        <v>0</v>
      </c>
      <c r="H6126" s="531">
        <f t="shared" si="1815"/>
        <v>0</v>
      </c>
      <c r="I6126" s="611"/>
      <c r="J6126" s="549">
        <v>44196</v>
      </c>
    </row>
    <row r="6127" spans="1:29" x14ac:dyDescent="0.35">
      <c r="A6127" s="528" t="s">
        <v>7411</v>
      </c>
      <c r="B6127" s="529" t="s">
        <v>3381</v>
      </c>
      <c r="C6127" s="529"/>
      <c r="D6127" s="533" t="s">
        <v>7415</v>
      </c>
      <c r="E6127" s="529"/>
      <c r="F6127" s="530">
        <v>0</v>
      </c>
      <c r="G6127" s="531">
        <v>0</v>
      </c>
      <c r="H6127" s="531">
        <f t="shared" si="1815"/>
        <v>0</v>
      </c>
      <c r="I6127" s="611"/>
      <c r="J6127" s="549">
        <v>44196</v>
      </c>
    </row>
    <row r="6128" spans="1:29" x14ac:dyDescent="0.35">
      <c r="A6128" s="528" t="s">
        <v>7412</v>
      </c>
      <c r="B6128" s="529" t="s">
        <v>3389</v>
      </c>
      <c r="C6128" s="529"/>
      <c r="D6128" s="533" t="s">
        <v>7415</v>
      </c>
      <c r="E6128" s="529"/>
      <c r="F6128" s="530">
        <v>0</v>
      </c>
      <c r="G6128" s="531">
        <v>0</v>
      </c>
      <c r="H6128" s="531">
        <f t="shared" si="1815"/>
        <v>0</v>
      </c>
      <c r="I6128" s="611"/>
      <c r="J6128" s="549">
        <v>44196</v>
      </c>
    </row>
    <row r="6129" spans="1:10" x14ac:dyDescent="0.35">
      <c r="A6129" s="528" t="s">
        <v>7413</v>
      </c>
      <c r="B6129" s="529" t="s">
        <v>740</v>
      </c>
      <c r="C6129" s="529"/>
      <c r="D6129" s="533" t="s">
        <v>7415</v>
      </c>
      <c r="E6129" s="529"/>
      <c r="F6129" s="530">
        <v>0</v>
      </c>
      <c r="G6129" s="531">
        <v>0</v>
      </c>
      <c r="H6129" s="531">
        <f t="shared" si="1815"/>
        <v>0</v>
      </c>
      <c r="I6129" s="611"/>
      <c r="J6129" s="549">
        <v>44196</v>
      </c>
    </row>
    <row r="6130" spans="1:10" x14ac:dyDescent="0.35">
      <c r="A6130" s="528" t="s">
        <v>7414</v>
      </c>
      <c r="B6130" s="529" t="s">
        <v>5434</v>
      </c>
      <c r="C6130" s="529"/>
      <c r="D6130" s="533" t="s">
        <v>7415</v>
      </c>
      <c r="E6130" s="529"/>
      <c r="F6130" s="530">
        <v>0</v>
      </c>
      <c r="G6130" s="531">
        <v>0</v>
      </c>
      <c r="H6130" s="531">
        <f t="shared" si="1815"/>
        <v>0</v>
      </c>
      <c r="I6130" s="611"/>
      <c r="J6130" s="549">
        <v>44196</v>
      </c>
    </row>
    <row r="6131" spans="1:10" x14ac:dyDescent="0.35">
      <c r="A6131" s="528" t="s">
        <v>7541</v>
      </c>
      <c r="B6131" s="529" t="s">
        <v>5434</v>
      </c>
      <c r="C6131" s="533"/>
      <c r="D6131" s="533" t="s">
        <v>7806</v>
      </c>
      <c r="E6131" s="533" t="s">
        <v>1053</v>
      </c>
      <c r="F6131" s="530">
        <v>0</v>
      </c>
      <c r="G6131" s="531">
        <v>0</v>
      </c>
      <c r="H6131" s="531">
        <f>IF(ISNUMBER(G6131),ROUND(0.8*G6131,2),"")</f>
        <v>0</v>
      </c>
      <c r="I6131" s="611"/>
      <c r="J6131" s="549">
        <v>44477</v>
      </c>
    </row>
    <row r="6132" spans="1:10" x14ac:dyDescent="0.35">
      <c r="H6132" s="11" t="str">
        <f>IF(ISNUMBER(G6132),ROUND(0.8*G6132,2),"")</f>
        <v/>
      </c>
      <c r="J6132" s="549" t="s">
        <v>4179</v>
      </c>
    </row>
    <row r="6133" spans="1:10" x14ac:dyDescent="0.35">
      <c r="A6133" s="528" t="str">
        <f>LEFT(A6118,2) &amp; "K23MSRV-FGAB"</f>
        <v>WaK23MSRV-FGAB</v>
      </c>
      <c r="B6133" s="529" t="s">
        <v>2269</v>
      </c>
      <c r="C6133" s="529"/>
      <c r="D6133" s="533" t="s">
        <v>7745</v>
      </c>
      <c r="E6133" s="529"/>
      <c r="F6133" s="530"/>
      <c r="G6133" s="531"/>
      <c r="H6133" s="531"/>
      <c r="I6133" s="611"/>
      <c r="J6133" s="549">
        <v>44545</v>
      </c>
    </row>
    <row r="6134" spans="1:10" x14ac:dyDescent="0.35">
      <c r="A6134" s="528" t="str">
        <f t="shared" ref="A6134:A6145" si="1817">LEFT(A6119,2) &amp; "K23MSRV-FGAB"</f>
        <v>BiK23MSRV-FGAB</v>
      </c>
      <c r="B6134" s="529" t="s">
        <v>5547</v>
      </c>
      <c r="C6134" s="529"/>
      <c r="D6134" s="533" t="s">
        <v>7745</v>
      </c>
      <c r="E6134" s="529"/>
      <c r="F6134" s="530"/>
      <c r="G6134" s="531"/>
      <c r="H6134" s="531"/>
      <c r="I6134" s="611"/>
      <c r="J6134" s="549">
        <v>44545</v>
      </c>
    </row>
    <row r="6135" spans="1:10" x14ac:dyDescent="0.35">
      <c r="A6135" s="528" t="str">
        <f t="shared" si="1817"/>
        <v>GaK23MSRV-FGAB</v>
      </c>
      <c r="B6135" s="529" t="s">
        <v>4846</v>
      </c>
      <c r="C6135" s="529"/>
      <c r="D6135" s="533" t="s">
        <v>7745</v>
      </c>
      <c r="E6135" s="529"/>
      <c r="F6135" s="530"/>
      <c r="G6135" s="531"/>
      <c r="H6135" s="531"/>
      <c r="I6135" s="611"/>
      <c r="J6135" s="549">
        <v>44545</v>
      </c>
    </row>
    <row r="6136" spans="1:10" x14ac:dyDescent="0.35">
      <c r="A6136" s="528" t="str">
        <f t="shared" si="1817"/>
        <v>DeK23MSRV-FGAB</v>
      </c>
      <c r="B6136" s="529" t="s">
        <v>5405</v>
      </c>
      <c r="C6136" s="529"/>
      <c r="D6136" s="533" t="s">
        <v>7745</v>
      </c>
      <c r="E6136" s="529"/>
      <c r="F6136" s="530"/>
      <c r="G6136" s="531"/>
      <c r="H6136" s="531"/>
      <c r="I6136" s="611"/>
      <c r="J6136" s="549">
        <v>44545</v>
      </c>
    </row>
    <row r="6137" spans="1:10" x14ac:dyDescent="0.35">
      <c r="A6137" s="528" t="str">
        <f t="shared" si="1817"/>
        <v>KlK23MSRV-FGAB</v>
      </c>
      <c r="B6137" s="529" t="s">
        <v>5410</v>
      </c>
      <c r="C6137" s="529"/>
      <c r="D6137" s="533" t="s">
        <v>7745</v>
      </c>
      <c r="E6137" s="529"/>
      <c r="F6137" s="530"/>
      <c r="G6137" s="531"/>
      <c r="H6137" s="531"/>
      <c r="I6137" s="611"/>
      <c r="J6137" s="549">
        <v>44545</v>
      </c>
    </row>
    <row r="6138" spans="1:10" x14ac:dyDescent="0.35">
      <c r="A6138" s="528" t="str">
        <f t="shared" si="1817"/>
        <v>GrK23MSRV-FGAB</v>
      </c>
      <c r="B6138" s="529" t="s">
        <v>5411</v>
      </c>
      <c r="C6138" s="529"/>
      <c r="D6138" s="533" t="s">
        <v>7745</v>
      </c>
      <c r="E6138" s="529"/>
      <c r="F6138" s="530"/>
      <c r="G6138" s="531"/>
      <c r="H6138" s="531"/>
      <c r="I6138" s="611"/>
      <c r="J6138" s="549">
        <v>44545</v>
      </c>
    </row>
    <row r="6139" spans="1:10" x14ac:dyDescent="0.35">
      <c r="A6139" s="528" t="str">
        <f t="shared" si="1817"/>
        <v>GeK23MSRV-FGAB</v>
      </c>
      <c r="B6139" s="529" t="s">
        <v>2034</v>
      </c>
      <c r="C6139" s="529"/>
      <c r="D6139" s="533" t="s">
        <v>7745</v>
      </c>
      <c r="E6139" s="529"/>
      <c r="F6139" s="530"/>
      <c r="G6139" s="531"/>
      <c r="H6139" s="531"/>
      <c r="I6139" s="611"/>
      <c r="J6139" s="549">
        <v>44545</v>
      </c>
    </row>
    <row r="6140" spans="1:10" x14ac:dyDescent="0.35">
      <c r="A6140" s="528" t="str">
        <f t="shared" si="1817"/>
        <v>WiK23MSRV-FGAB</v>
      </c>
      <c r="B6140" s="529" t="s">
        <v>2067</v>
      </c>
      <c r="C6140" s="529"/>
      <c r="D6140" s="533" t="s">
        <v>7745</v>
      </c>
      <c r="E6140" s="529"/>
      <c r="F6140" s="530"/>
      <c r="G6140" s="531"/>
      <c r="H6140" s="531"/>
      <c r="I6140" s="611"/>
      <c r="J6140" s="549">
        <v>44545</v>
      </c>
    </row>
    <row r="6141" spans="1:10" x14ac:dyDescent="0.35">
      <c r="A6141" s="528" t="str">
        <f t="shared" si="1817"/>
        <v>WnK23MSRV-FGAB</v>
      </c>
      <c r="B6141" s="529" t="s">
        <v>3373</v>
      </c>
      <c r="C6141" s="529"/>
      <c r="D6141" s="533" t="s">
        <v>7745</v>
      </c>
      <c r="E6141" s="529"/>
      <c r="F6141" s="530"/>
      <c r="G6141" s="531"/>
      <c r="H6141" s="531"/>
      <c r="I6141" s="611"/>
      <c r="J6141" s="549">
        <v>44545</v>
      </c>
    </row>
    <row r="6142" spans="1:10" x14ac:dyDescent="0.35">
      <c r="A6142" s="528" t="str">
        <f t="shared" si="1817"/>
        <v>WrK23MSRV-FGAB</v>
      </c>
      <c r="B6142" s="529" t="s">
        <v>3381</v>
      </c>
      <c r="C6142" s="529"/>
      <c r="D6142" s="533" t="s">
        <v>7745</v>
      </c>
      <c r="E6142" s="529"/>
      <c r="F6142" s="530"/>
      <c r="G6142" s="531"/>
      <c r="H6142" s="531"/>
      <c r="I6142" s="611"/>
      <c r="J6142" s="549">
        <v>44545</v>
      </c>
    </row>
    <row r="6143" spans="1:10" x14ac:dyDescent="0.35">
      <c r="A6143" s="528" t="str">
        <f t="shared" si="1817"/>
        <v>WfK23MSRV-FGAB</v>
      </c>
      <c r="B6143" s="529" t="s">
        <v>3389</v>
      </c>
      <c r="C6143" s="529"/>
      <c r="D6143" s="533" t="s">
        <v>7745</v>
      </c>
      <c r="E6143" s="529"/>
      <c r="F6143" s="530"/>
      <c r="G6143" s="531"/>
      <c r="H6143" s="531"/>
      <c r="I6143" s="611"/>
      <c r="J6143" s="549">
        <v>44545</v>
      </c>
    </row>
    <row r="6144" spans="1:10" x14ac:dyDescent="0.35">
      <c r="A6144" s="528" t="str">
        <f t="shared" si="1817"/>
        <v>SoK23MSRV-FGAB</v>
      </c>
      <c r="B6144" s="529" t="s">
        <v>740</v>
      </c>
      <c r="C6144" s="529"/>
      <c r="D6144" s="533" t="s">
        <v>7745</v>
      </c>
      <c r="E6144" s="529"/>
      <c r="F6144" s="530"/>
      <c r="G6144" s="531"/>
      <c r="H6144" s="531"/>
      <c r="I6144" s="611"/>
      <c r="J6144" s="549">
        <v>44545</v>
      </c>
    </row>
    <row r="6145" spans="1:10" x14ac:dyDescent="0.35">
      <c r="A6145" s="528" t="str">
        <f t="shared" si="1817"/>
        <v>SgK23MSRV-FGAB</v>
      </c>
      <c r="B6145" s="529" t="s">
        <v>5434</v>
      </c>
      <c r="C6145" s="529"/>
      <c r="D6145" s="533" t="s">
        <v>7745</v>
      </c>
      <c r="E6145" s="529"/>
      <c r="F6145" s="530"/>
      <c r="G6145" s="531"/>
      <c r="H6145" s="531"/>
      <c r="I6145" s="611"/>
      <c r="J6145" s="549">
        <v>44545</v>
      </c>
    </row>
    <row r="6146" spans="1:10" x14ac:dyDescent="0.35">
      <c r="A6146" s="528" t="str">
        <f>LEFT(A6147,2) &amp; "K23MSRV-SVAB"</f>
        <v>SgK23MSRV-SVAB</v>
      </c>
      <c r="B6146" s="529" t="s">
        <v>5434</v>
      </c>
      <c r="C6146" s="533"/>
      <c r="D6146" s="533" t="s">
        <v>7743</v>
      </c>
      <c r="E6146" s="533" t="s">
        <v>1053</v>
      </c>
      <c r="F6146" s="530"/>
      <c r="G6146" s="531"/>
      <c r="H6146" s="531"/>
      <c r="I6146" s="611"/>
      <c r="J6146" s="549">
        <v>44545</v>
      </c>
    </row>
    <row r="6147" spans="1:10" x14ac:dyDescent="0.35">
      <c r="A6147" s="528" t="s">
        <v>7737</v>
      </c>
      <c r="B6147" s="529" t="s">
        <v>5434</v>
      </c>
      <c r="C6147" s="533"/>
      <c r="D6147" s="533" t="s">
        <v>7744</v>
      </c>
      <c r="E6147" s="757" t="s">
        <v>6317</v>
      </c>
      <c r="F6147" s="530"/>
      <c r="G6147" s="531"/>
      <c r="H6147" s="531"/>
      <c r="I6147" s="611"/>
      <c r="J6147" s="549">
        <v>44545</v>
      </c>
    </row>
    <row r="6148" spans="1:10" x14ac:dyDescent="0.35">
      <c r="J6148" s="549" t="s">
        <v>4179</v>
      </c>
    </row>
    <row r="6149" spans="1:10" x14ac:dyDescent="0.35">
      <c r="A6149" s="528" t="str">
        <f>LEFT(A6133,2) &amp; "K23MSRVMPMAB"</f>
        <v>WaK23MSRVMPMAB</v>
      </c>
      <c r="B6149" s="529" t="s">
        <v>2269</v>
      </c>
      <c r="C6149" s="529"/>
      <c r="D6149" s="533" t="s">
        <v>7741</v>
      </c>
      <c r="E6149" s="529"/>
      <c r="F6149" s="530"/>
      <c r="G6149" s="531"/>
      <c r="H6149" s="531"/>
      <c r="I6149" s="611"/>
      <c r="J6149" s="549">
        <v>44545</v>
      </c>
    </row>
    <row r="6150" spans="1:10" x14ac:dyDescent="0.35">
      <c r="A6150" s="528" t="str">
        <f t="shared" ref="A6150:A6161" si="1818">LEFT(A6134,2) &amp; "K23MSRVMPMAB"</f>
        <v>BiK23MSRVMPMAB</v>
      </c>
      <c r="B6150" s="529" t="s">
        <v>5547</v>
      </c>
      <c r="C6150" s="529"/>
      <c r="D6150" s="533" t="s">
        <v>7741</v>
      </c>
      <c r="E6150" s="529"/>
      <c r="F6150" s="530"/>
      <c r="G6150" s="531"/>
      <c r="H6150" s="531"/>
      <c r="I6150" s="611"/>
      <c r="J6150" s="549">
        <v>44545</v>
      </c>
    </row>
    <row r="6151" spans="1:10" x14ac:dyDescent="0.35">
      <c r="A6151" s="528" t="str">
        <f t="shared" si="1818"/>
        <v>GaK23MSRVMPMAB</v>
      </c>
      <c r="B6151" s="529" t="s">
        <v>4846</v>
      </c>
      <c r="C6151" s="529"/>
      <c r="D6151" s="533" t="s">
        <v>7741</v>
      </c>
      <c r="E6151" s="529"/>
      <c r="F6151" s="530"/>
      <c r="G6151" s="531"/>
      <c r="H6151" s="531"/>
      <c r="I6151" s="611"/>
      <c r="J6151" s="549">
        <v>44545</v>
      </c>
    </row>
    <row r="6152" spans="1:10" x14ac:dyDescent="0.35">
      <c r="A6152" s="528" t="str">
        <f t="shared" si="1818"/>
        <v>DeK23MSRVMPMAB</v>
      </c>
      <c r="B6152" s="529" t="s">
        <v>5405</v>
      </c>
      <c r="C6152" s="529"/>
      <c r="D6152" s="533" t="s">
        <v>7741</v>
      </c>
      <c r="E6152" s="529"/>
      <c r="F6152" s="530"/>
      <c r="G6152" s="531"/>
      <c r="H6152" s="531"/>
      <c r="I6152" s="611"/>
      <c r="J6152" s="549">
        <v>44545</v>
      </c>
    </row>
    <row r="6153" spans="1:10" x14ac:dyDescent="0.35">
      <c r="A6153" s="528" t="str">
        <f t="shared" si="1818"/>
        <v>KlK23MSRVMPMAB</v>
      </c>
      <c r="B6153" s="529" t="s">
        <v>5410</v>
      </c>
      <c r="C6153" s="529"/>
      <c r="D6153" s="533" t="s">
        <v>7741</v>
      </c>
      <c r="E6153" s="529"/>
      <c r="F6153" s="530"/>
      <c r="G6153" s="531"/>
      <c r="H6153" s="531"/>
      <c r="I6153" s="611"/>
      <c r="J6153" s="549">
        <v>44545</v>
      </c>
    </row>
    <row r="6154" spans="1:10" x14ac:dyDescent="0.35">
      <c r="A6154" s="528" t="str">
        <f t="shared" si="1818"/>
        <v>GrK23MSRVMPMAB</v>
      </c>
      <c r="B6154" s="529" t="s">
        <v>5411</v>
      </c>
      <c r="C6154" s="529"/>
      <c r="D6154" s="533" t="s">
        <v>7741</v>
      </c>
      <c r="E6154" s="529"/>
      <c r="F6154" s="530"/>
      <c r="G6154" s="531"/>
      <c r="H6154" s="531"/>
      <c r="I6154" s="611"/>
      <c r="J6154" s="549">
        <v>44545</v>
      </c>
    </row>
    <row r="6155" spans="1:10" x14ac:dyDescent="0.35">
      <c r="A6155" s="528" t="str">
        <f t="shared" si="1818"/>
        <v>GeK23MSRVMPMAB</v>
      </c>
      <c r="B6155" s="529" t="s">
        <v>2034</v>
      </c>
      <c r="C6155" s="529"/>
      <c r="D6155" s="533" t="s">
        <v>7741</v>
      </c>
      <c r="E6155" s="529"/>
      <c r="F6155" s="530"/>
      <c r="G6155" s="531"/>
      <c r="H6155" s="531"/>
      <c r="I6155" s="611"/>
      <c r="J6155" s="549">
        <v>44545</v>
      </c>
    </row>
    <row r="6156" spans="1:10" x14ac:dyDescent="0.35">
      <c r="A6156" s="528" t="str">
        <f t="shared" si="1818"/>
        <v>WiK23MSRVMPMAB</v>
      </c>
      <c r="B6156" s="529" t="s">
        <v>2067</v>
      </c>
      <c r="C6156" s="529"/>
      <c r="D6156" s="533" t="s">
        <v>7741</v>
      </c>
      <c r="E6156" s="529"/>
      <c r="F6156" s="530"/>
      <c r="G6156" s="531"/>
      <c r="H6156" s="531"/>
      <c r="I6156" s="611"/>
      <c r="J6156" s="549">
        <v>44545</v>
      </c>
    </row>
    <row r="6157" spans="1:10" x14ac:dyDescent="0.35">
      <c r="A6157" s="528" t="str">
        <f t="shared" si="1818"/>
        <v>WnK23MSRVMPMAB</v>
      </c>
      <c r="B6157" s="529" t="s">
        <v>3373</v>
      </c>
      <c r="C6157" s="529"/>
      <c r="D6157" s="533" t="s">
        <v>7741</v>
      </c>
      <c r="E6157" s="529"/>
      <c r="F6157" s="530"/>
      <c r="G6157" s="531"/>
      <c r="H6157" s="531"/>
      <c r="I6157" s="611"/>
      <c r="J6157" s="549">
        <v>44545</v>
      </c>
    </row>
    <row r="6158" spans="1:10" x14ac:dyDescent="0.35">
      <c r="A6158" s="528" t="str">
        <f t="shared" si="1818"/>
        <v>WrK23MSRVMPMAB</v>
      </c>
      <c r="B6158" s="529" t="s">
        <v>3381</v>
      </c>
      <c r="C6158" s="529"/>
      <c r="D6158" s="533" t="s">
        <v>7741</v>
      </c>
      <c r="E6158" s="529"/>
      <c r="F6158" s="530"/>
      <c r="G6158" s="531"/>
      <c r="H6158" s="531"/>
      <c r="I6158" s="611"/>
      <c r="J6158" s="549">
        <v>44545</v>
      </c>
    </row>
    <row r="6159" spans="1:10" x14ac:dyDescent="0.35">
      <c r="A6159" s="528" t="str">
        <f t="shared" si="1818"/>
        <v>WfK23MSRVMPMAB</v>
      </c>
      <c r="B6159" s="529" t="s">
        <v>3389</v>
      </c>
      <c r="C6159" s="529"/>
      <c r="D6159" s="533" t="s">
        <v>7741</v>
      </c>
      <c r="E6159" s="529"/>
      <c r="F6159" s="530"/>
      <c r="G6159" s="531"/>
      <c r="H6159" s="531"/>
      <c r="I6159" s="611"/>
      <c r="J6159" s="549">
        <v>44545</v>
      </c>
    </row>
    <row r="6160" spans="1:10" x14ac:dyDescent="0.35">
      <c r="A6160" s="528" t="str">
        <f t="shared" si="1818"/>
        <v>SoK23MSRVMPMAB</v>
      </c>
      <c r="B6160" s="529" t="s">
        <v>740</v>
      </c>
      <c r="C6160" s="529"/>
      <c r="D6160" s="533" t="s">
        <v>7741</v>
      </c>
      <c r="E6160" s="529"/>
      <c r="F6160" s="530"/>
      <c r="G6160" s="531"/>
      <c r="H6160" s="531"/>
      <c r="I6160" s="611"/>
      <c r="J6160" s="549">
        <v>44545</v>
      </c>
    </row>
    <row r="6161" spans="1:10" x14ac:dyDescent="0.35">
      <c r="A6161" s="528" t="str">
        <f t="shared" si="1818"/>
        <v>SgK23MSRVMPMAB</v>
      </c>
      <c r="B6161" s="529" t="s">
        <v>5434</v>
      </c>
      <c r="C6161" s="529"/>
      <c r="D6161" s="533" t="s">
        <v>7741</v>
      </c>
      <c r="E6161" s="529"/>
      <c r="F6161" s="530"/>
      <c r="G6161" s="531"/>
      <c r="H6161" s="531"/>
      <c r="I6161" s="611"/>
      <c r="J6161" s="549">
        <v>44545</v>
      </c>
    </row>
    <row r="6162" spans="1:10" x14ac:dyDescent="0.35">
      <c r="J6162" s="549"/>
    </row>
    <row r="6163" spans="1:10" x14ac:dyDescent="0.35">
      <c r="A6163" s="528" t="s">
        <v>7739</v>
      </c>
      <c r="B6163" s="529" t="s">
        <v>5547</v>
      </c>
      <c r="C6163" s="529"/>
      <c r="D6163" s="533" t="s">
        <v>7742</v>
      </c>
      <c r="E6163" s="529"/>
      <c r="F6163" s="530"/>
      <c r="G6163" s="531"/>
      <c r="H6163" s="531"/>
      <c r="I6163" s="611"/>
      <c r="J6163" s="549">
        <v>44545</v>
      </c>
    </row>
    <row r="6164" spans="1:10" x14ac:dyDescent="0.35">
      <c r="A6164" s="528" t="s">
        <v>7738</v>
      </c>
      <c r="B6164" s="529" t="s">
        <v>5547</v>
      </c>
      <c r="C6164" s="529"/>
      <c r="D6164" s="533" t="s">
        <v>7740</v>
      </c>
      <c r="E6164" s="529"/>
      <c r="F6164" s="530"/>
      <c r="G6164" s="531"/>
      <c r="H6164" s="531"/>
      <c r="I6164" s="611"/>
      <c r="J6164" s="549">
        <v>44545</v>
      </c>
    </row>
    <row r="6165" spans="1:10" x14ac:dyDescent="0.35">
      <c r="H6165" s="11" t="str">
        <f>IF(ISNUMBER(G6165),ROUND(0.8*G6165,2),"")</f>
        <v/>
      </c>
      <c r="J6165" s="549" t="s">
        <v>4179</v>
      </c>
    </row>
    <row r="6166" spans="1:10" x14ac:dyDescent="0.35">
      <c r="A6166" s="528" t="str">
        <f>LEFT(A6133,12) &amp; "NZ"</f>
        <v>WaK23MSRV-FGNZ</v>
      </c>
      <c r="B6166" s="529" t="s">
        <v>2269</v>
      </c>
      <c r="C6166" s="529"/>
      <c r="D6166" s="533" t="s">
        <v>7746</v>
      </c>
      <c r="E6166" s="529"/>
      <c r="F6166" s="530"/>
      <c r="G6166" s="531"/>
      <c r="H6166" s="531"/>
      <c r="I6166" s="611"/>
      <c r="J6166" s="549">
        <v>44545</v>
      </c>
    </row>
    <row r="6167" spans="1:10" x14ac:dyDescent="0.35">
      <c r="A6167" s="528" t="str">
        <f t="shared" ref="A6167:A6180" si="1819">LEFT(A6134,12) &amp; "NZ"</f>
        <v>BiK23MSRV-FGNZ</v>
      </c>
      <c r="B6167" s="529" t="s">
        <v>5547</v>
      </c>
      <c r="C6167" s="529"/>
      <c r="D6167" s="533" t="s">
        <v>7746</v>
      </c>
      <c r="E6167" s="529"/>
      <c r="F6167" s="530"/>
      <c r="G6167" s="531"/>
      <c r="H6167" s="531"/>
      <c r="I6167" s="611"/>
      <c r="J6167" s="549">
        <v>44545</v>
      </c>
    </row>
    <row r="6168" spans="1:10" x14ac:dyDescent="0.35">
      <c r="A6168" s="528" t="str">
        <f t="shared" si="1819"/>
        <v>GaK23MSRV-FGNZ</v>
      </c>
      <c r="B6168" s="529" t="s">
        <v>4846</v>
      </c>
      <c r="C6168" s="529"/>
      <c r="D6168" s="533" t="s">
        <v>7746</v>
      </c>
      <c r="E6168" s="529"/>
      <c r="F6168" s="530"/>
      <c r="G6168" s="531"/>
      <c r="H6168" s="531"/>
      <c r="I6168" s="611"/>
      <c r="J6168" s="549">
        <v>44545</v>
      </c>
    </row>
    <row r="6169" spans="1:10" x14ac:dyDescent="0.35">
      <c r="A6169" s="528" t="str">
        <f t="shared" si="1819"/>
        <v>DeK23MSRV-FGNZ</v>
      </c>
      <c r="B6169" s="529" t="s">
        <v>5405</v>
      </c>
      <c r="C6169" s="529"/>
      <c r="D6169" s="533" t="s">
        <v>7746</v>
      </c>
      <c r="E6169" s="529"/>
      <c r="F6169" s="530"/>
      <c r="G6169" s="531"/>
      <c r="H6169" s="531"/>
      <c r="I6169" s="611"/>
      <c r="J6169" s="549">
        <v>44545</v>
      </c>
    </row>
    <row r="6170" spans="1:10" x14ac:dyDescent="0.35">
      <c r="A6170" s="528" t="str">
        <f t="shared" si="1819"/>
        <v>KlK23MSRV-FGNZ</v>
      </c>
      <c r="B6170" s="529" t="s">
        <v>5410</v>
      </c>
      <c r="C6170" s="529"/>
      <c r="D6170" s="533" t="s">
        <v>7746</v>
      </c>
      <c r="E6170" s="529"/>
      <c r="F6170" s="530"/>
      <c r="G6170" s="531"/>
      <c r="H6170" s="531"/>
      <c r="I6170" s="611"/>
      <c r="J6170" s="549">
        <v>44545</v>
      </c>
    </row>
    <row r="6171" spans="1:10" x14ac:dyDescent="0.35">
      <c r="A6171" s="528" t="str">
        <f t="shared" si="1819"/>
        <v>GrK23MSRV-FGNZ</v>
      </c>
      <c r="B6171" s="529" t="s">
        <v>5411</v>
      </c>
      <c r="C6171" s="529"/>
      <c r="D6171" s="533" t="s">
        <v>7746</v>
      </c>
      <c r="E6171" s="529"/>
      <c r="F6171" s="530"/>
      <c r="G6171" s="531"/>
      <c r="H6171" s="531"/>
      <c r="I6171" s="611"/>
      <c r="J6171" s="549">
        <v>44545</v>
      </c>
    </row>
    <row r="6172" spans="1:10" x14ac:dyDescent="0.35">
      <c r="A6172" s="528" t="str">
        <f t="shared" si="1819"/>
        <v>GeK23MSRV-FGNZ</v>
      </c>
      <c r="B6172" s="529" t="s">
        <v>2034</v>
      </c>
      <c r="C6172" s="529"/>
      <c r="D6172" s="533" t="s">
        <v>7746</v>
      </c>
      <c r="E6172" s="529"/>
      <c r="F6172" s="530"/>
      <c r="G6172" s="531"/>
      <c r="H6172" s="531"/>
      <c r="I6172" s="611"/>
      <c r="J6172" s="549">
        <v>44545</v>
      </c>
    </row>
    <row r="6173" spans="1:10" x14ac:dyDescent="0.35">
      <c r="A6173" s="528" t="str">
        <f t="shared" si="1819"/>
        <v>WiK23MSRV-FGNZ</v>
      </c>
      <c r="B6173" s="529" t="s">
        <v>2067</v>
      </c>
      <c r="C6173" s="529"/>
      <c r="D6173" s="533" t="s">
        <v>7746</v>
      </c>
      <c r="E6173" s="529"/>
      <c r="F6173" s="530"/>
      <c r="G6173" s="531"/>
      <c r="H6173" s="531"/>
      <c r="I6173" s="611"/>
      <c r="J6173" s="549">
        <v>44545</v>
      </c>
    </row>
    <row r="6174" spans="1:10" x14ac:dyDescent="0.35">
      <c r="A6174" s="528" t="str">
        <f t="shared" si="1819"/>
        <v>WnK23MSRV-FGNZ</v>
      </c>
      <c r="B6174" s="529" t="s">
        <v>3373</v>
      </c>
      <c r="C6174" s="529"/>
      <c r="D6174" s="533" t="s">
        <v>7746</v>
      </c>
      <c r="E6174" s="529"/>
      <c r="F6174" s="530"/>
      <c r="G6174" s="531"/>
      <c r="H6174" s="531"/>
      <c r="I6174" s="611"/>
      <c r="J6174" s="549">
        <v>44545</v>
      </c>
    </row>
    <row r="6175" spans="1:10" x14ac:dyDescent="0.35">
      <c r="A6175" s="528" t="str">
        <f t="shared" si="1819"/>
        <v>WrK23MSRV-FGNZ</v>
      </c>
      <c r="B6175" s="529" t="s">
        <v>3381</v>
      </c>
      <c r="C6175" s="529"/>
      <c r="D6175" s="533" t="s">
        <v>7746</v>
      </c>
      <c r="E6175" s="529"/>
      <c r="F6175" s="530"/>
      <c r="G6175" s="531"/>
      <c r="H6175" s="531"/>
      <c r="I6175" s="611"/>
      <c r="J6175" s="549">
        <v>44545</v>
      </c>
    </row>
    <row r="6176" spans="1:10" x14ac:dyDescent="0.35">
      <c r="A6176" s="528" t="str">
        <f t="shared" si="1819"/>
        <v>WfK23MSRV-FGNZ</v>
      </c>
      <c r="B6176" s="529" t="s">
        <v>3389</v>
      </c>
      <c r="C6176" s="529"/>
      <c r="D6176" s="533" t="s">
        <v>7746</v>
      </c>
      <c r="E6176" s="529"/>
      <c r="F6176" s="530"/>
      <c r="G6176" s="531"/>
      <c r="H6176" s="531"/>
      <c r="I6176" s="611"/>
      <c r="J6176" s="549">
        <v>44545</v>
      </c>
    </row>
    <row r="6177" spans="1:10" x14ac:dyDescent="0.35">
      <c r="A6177" s="528" t="str">
        <f t="shared" si="1819"/>
        <v>SoK23MSRV-FGNZ</v>
      </c>
      <c r="B6177" s="529" t="s">
        <v>740</v>
      </c>
      <c r="C6177" s="529"/>
      <c r="D6177" s="533" t="s">
        <v>7746</v>
      </c>
      <c r="E6177" s="529"/>
      <c r="F6177" s="530"/>
      <c r="G6177" s="531"/>
      <c r="H6177" s="531"/>
      <c r="I6177" s="611"/>
      <c r="J6177" s="549">
        <v>44545</v>
      </c>
    </row>
    <row r="6178" spans="1:10" x14ac:dyDescent="0.35">
      <c r="A6178" s="528" t="str">
        <f t="shared" si="1819"/>
        <v>SgK23MSRV-FGNZ</v>
      </c>
      <c r="B6178" s="529" t="s">
        <v>5434</v>
      </c>
      <c r="C6178" s="529"/>
      <c r="D6178" s="533" t="s">
        <v>7746</v>
      </c>
      <c r="E6178" s="529"/>
      <c r="F6178" s="530"/>
      <c r="G6178" s="531"/>
      <c r="H6178" s="531"/>
      <c r="I6178" s="611"/>
      <c r="J6178" s="549">
        <v>44545</v>
      </c>
    </row>
    <row r="6179" spans="1:10" x14ac:dyDescent="0.35">
      <c r="A6179" s="528" t="str">
        <f t="shared" si="1819"/>
        <v>SgK23MSRV-SVNZ</v>
      </c>
      <c r="B6179" s="529" t="s">
        <v>5434</v>
      </c>
      <c r="C6179" s="533"/>
      <c r="D6179" s="533" t="s">
        <v>7747</v>
      </c>
      <c r="E6179" s="533" t="s">
        <v>1053</v>
      </c>
      <c r="F6179" s="530"/>
      <c r="G6179" s="531"/>
      <c r="H6179" s="531"/>
      <c r="I6179" s="611"/>
      <c r="J6179" s="549">
        <v>44545</v>
      </c>
    </row>
    <row r="6180" spans="1:10" x14ac:dyDescent="0.35">
      <c r="A6180" s="528" t="str">
        <f t="shared" si="1819"/>
        <v>SgK23MSRVMSZNZ</v>
      </c>
      <c r="B6180" s="529" t="s">
        <v>5434</v>
      </c>
      <c r="C6180" s="533"/>
      <c r="D6180" s="533" t="s">
        <v>7748</v>
      </c>
      <c r="E6180" s="757" t="s">
        <v>6317</v>
      </c>
      <c r="F6180" s="530"/>
      <c r="G6180" s="531"/>
      <c r="H6180" s="531"/>
      <c r="I6180" s="611"/>
      <c r="J6180" s="549">
        <v>44545</v>
      </c>
    </row>
    <row r="6181" spans="1:10" x14ac:dyDescent="0.35">
      <c r="J6181" s="549" t="s">
        <v>4179</v>
      </c>
    </row>
    <row r="6182" spans="1:10" x14ac:dyDescent="0.35">
      <c r="A6182" s="528" t="str">
        <f t="shared" ref="A6182:A6194" si="1820">LEFT(A6149,12) &amp; "NZ"</f>
        <v>WaK23MSRVMPMNZ</v>
      </c>
      <c r="B6182" s="529" t="s">
        <v>2269</v>
      </c>
      <c r="C6182" s="529"/>
      <c r="D6182" s="533" t="s">
        <v>7749</v>
      </c>
      <c r="E6182" s="529"/>
      <c r="F6182" s="530"/>
      <c r="G6182" s="531"/>
      <c r="H6182" s="531"/>
      <c r="I6182" s="611"/>
      <c r="J6182" s="549">
        <v>44545</v>
      </c>
    </row>
    <row r="6183" spans="1:10" x14ac:dyDescent="0.35">
      <c r="A6183" s="528" t="str">
        <f t="shared" si="1820"/>
        <v>BiK23MSRVMPMNZ</v>
      </c>
      <c r="B6183" s="529" t="s">
        <v>5547</v>
      </c>
      <c r="C6183" s="529"/>
      <c r="D6183" s="533" t="s">
        <v>7749</v>
      </c>
      <c r="E6183" s="529"/>
      <c r="F6183" s="530"/>
      <c r="G6183" s="531"/>
      <c r="H6183" s="531"/>
      <c r="I6183" s="611"/>
      <c r="J6183" s="549">
        <v>44545</v>
      </c>
    </row>
    <row r="6184" spans="1:10" x14ac:dyDescent="0.35">
      <c r="A6184" s="528" t="str">
        <f t="shared" si="1820"/>
        <v>GaK23MSRVMPMNZ</v>
      </c>
      <c r="B6184" s="529" t="s">
        <v>4846</v>
      </c>
      <c r="C6184" s="529"/>
      <c r="D6184" s="533" t="s">
        <v>7749</v>
      </c>
      <c r="E6184" s="529"/>
      <c r="F6184" s="530"/>
      <c r="G6184" s="531"/>
      <c r="H6184" s="531"/>
      <c r="I6184" s="611"/>
      <c r="J6184" s="549">
        <v>44545</v>
      </c>
    </row>
    <row r="6185" spans="1:10" x14ac:dyDescent="0.35">
      <c r="A6185" s="528" t="str">
        <f t="shared" si="1820"/>
        <v>DeK23MSRVMPMNZ</v>
      </c>
      <c r="B6185" s="529" t="s">
        <v>5405</v>
      </c>
      <c r="C6185" s="529"/>
      <c r="D6185" s="533" t="s">
        <v>7749</v>
      </c>
      <c r="E6185" s="529"/>
      <c r="F6185" s="530"/>
      <c r="G6185" s="531"/>
      <c r="H6185" s="531"/>
      <c r="I6185" s="611"/>
      <c r="J6185" s="549">
        <v>44545</v>
      </c>
    </row>
    <row r="6186" spans="1:10" x14ac:dyDescent="0.35">
      <c r="A6186" s="528" t="str">
        <f t="shared" si="1820"/>
        <v>KlK23MSRVMPMNZ</v>
      </c>
      <c r="B6186" s="529" t="s">
        <v>5410</v>
      </c>
      <c r="C6186" s="529"/>
      <c r="D6186" s="533" t="s">
        <v>7749</v>
      </c>
      <c r="E6186" s="529"/>
      <c r="F6186" s="530"/>
      <c r="G6186" s="531"/>
      <c r="H6186" s="531"/>
      <c r="I6186" s="611"/>
      <c r="J6186" s="549">
        <v>44545</v>
      </c>
    </row>
    <row r="6187" spans="1:10" x14ac:dyDescent="0.35">
      <c r="A6187" s="528" t="str">
        <f t="shared" si="1820"/>
        <v>GrK23MSRVMPMNZ</v>
      </c>
      <c r="B6187" s="529" t="s">
        <v>5411</v>
      </c>
      <c r="C6187" s="529"/>
      <c r="D6187" s="533" t="s">
        <v>7749</v>
      </c>
      <c r="E6187" s="529"/>
      <c r="F6187" s="530"/>
      <c r="G6187" s="531"/>
      <c r="H6187" s="531"/>
      <c r="I6187" s="611"/>
      <c r="J6187" s="549">
        <v>44545</v>
      </c>
    </row>
    <row r="6188" spans="1:10" x14ac:dyDescent="0.35">
      <c r="A6188" s="528" t="str">
        <f t="shared" si="1820"/>
        <v>GeK23MSRVMPMNZ</v>
      </c>
      <c r="B6188" s="529" t="s">
        <v>2034</v>
      </c>
      <c r="C6188" s="529"/>
      <c r="D6188" s="533" t="s">
        <v>7749</v>
      </c>
      <c r="E6188" s="529"/>
      <c r="F6188" s="530"/>
      <c r="G6188" s="531"/>
      <c r="H6188" s="531"/>
      <c r="I6188" s="611"/>
      <c r="J6188" s="549">
        <v>44545</v>
      </c>
    </row>
    <row r="6189" spans="1:10" x14ac:dyDescent="0.35">
      <c r="A6189" s="528" t="str">
        <f t="shared" si="1820"/>
        <v>WiK23MSRVMPMNZ</v>
      </c>
      <c r="B6189" s="529" t="s">
        <v>2067</v>
      </c>
      <c r="C6189" s="529"/>
      <c r="D6189" s="533" t="s">
        <v>7749</v>
      </c>
      <c r="E6189" s="529"/>
      <c r="F6189" s="530"/>
      <c r="G6189" s="531"/>
      <c r="H6189" s="531"/>
      <c r="I6189" s="611"/>
      <c r="J6189" s="549">
        <v>44545</v>
      </c>
    </row>
    <row r="6190" spans="1:10" x14ac:dyDescent="0.35">
      <c r="A6190" s="528" t="str">
        <f t="shared" si="1820"/>
        <v>WnK23MSRVMPMNZ</v>
      </c>
      <c r="B6190" s="529" t="s">
        <v>3373</v>
      </c>
      <c r="C6190" s="529"/>
      <c r="D6190" s="533" t="s">
        <v>7749</v>
      </c>
      <c r="E6190" s="529"/>
      <c r="F6190" s="530"/>
      <c r="G6190" s="531"/>
      <c r="H6190" s="531"/>
      <c r="I6190" s="611"/>
      <c r="J6190" s="549">
        <v>44545</v>
      </c>
    </row>
    <row r="6191" spans="1:10" x14ac:dyDescent="0.35">
      <c r="A6191" s="528" t="str">
        <f t="shared" si="1820"/>
        <v>WrK23MSRVMPMNZ</v>
      </c>
      <c r="B6191" s="529" t="s">
        <v>3381</v>
      </c>
      <c r="C6191" s="529"/>
      <c r="D6191" s="533" t="s">
        <v>7749</v>
      </c>
      <c r="E6191" s="529"/>
      <c r="F6191" s="530"/>
      <c r="G6191" s="531"/>
      <c r="H6191" s="531"/>
      <c r="I6191" s="611"/>
      <c r="J6191" s="549">
        <v>44545</v>
      </c>
    </row>
    <row r="6192" spans="1:10" x14ac:dyDescent="0.35">
      <c r="A6192" s="528" t="str">
        <f t="shared" si="1820"/>
        <v>WfK23MSRVMPMNZ</v>
      </c>
      <c r="B6192" s="529" t="s">
        <v>3389</v>
      </c>
      <c r="C6192" s="529"/>
      <c r="D6192" s="533" t="s">
        <v>7749</v>
      </c>
      <c r="E6192" s="529"/>
      <c r="F6192" s="530"/>
      <c r="G6192" s="531"/>
      <c r="H6192" s="531"/>
      <c r="I6192" s="611"/>
      <c r="J6192" s="549">
        <v>44545</v>
      </c>
    </row>
    <row r="6193" spans="1:10" x14ac:dyDescent="0.35">
      <c r="A6193" s="528" t="str">
        <f t="shared" si="1820"/>
        <v>SoK23MSRVMPMNZ</v>
      </c>
      <c r="B6193" s="529" t="s">
        <v>740</v>
      </c>
      <c r="C6193" s="529"/>
      <c r="D6193" s="533" t="s">
        <v>7749</v>
      </c>
      <c r="E6193" s="529"/>
      <c r="F6193" s="530"/>
      <c r="G6193" s="531"/>
      <c r="H6193" s="531"/>
      <c r="I6193" s="611"/>
      <c r="J6193" s="549">
        <v>44545</v>
      </c>
    </row>
    <row r="6194" spans="1:10" x14ac:dyDescent="0.35">
      <c r="A6194" s="528" t="str">
        <f t="shared" si="1820"/>
        <v>SgK23MSRVMPMNZ</v>
      </c>
      <c r="B6194" s="529" t="s">
        <v>5434</v>
      </c>
      <c r="C6194" s="529"/>
      <c r="D6194" s="533" t="s">
        <v>7749</v>
      </c>
      <c r="E6194" s="529"/>
      <c r="F6194" s="530"/>
      <c r="G6194" s="531"/>
      <c r="H6194" s="531"/>
      <c r="I6194" s="611"/>
      <c r="J6194" s="549">
        <v>44545</v>
      </c>
    </row>
    <row r="6195" spans="1:10" x14ac:dyDescent="0.35">
      <c r="J6195" s="549"/>
    </row>
    <row r="6196" spans="1:10" x14ac:dyDescent="0.35">
      <c r="A6196" s="528" t="str">
        <f>LEFT(A6163,12) &amp; "NZ"</f>
        <v>BiK23MSRVFLZNZ</v>
      </c>
      <c r="B6196" s="529" t="s">
        <v>5547</v>
      </c>
      <c r="C6196" s="529"/>
      <c r="D6196" s="533" t="s">
        <v>7750</v>
      </c>
      <c r="E6196" s="529"/>
      <c r="F6196" s="530"/>
      <c r="G6196" s="531"/>
      <c r="H6196" s="531"/>
      <c r="I6196" s="611"/>
      <c r="J6196" s="549">
        <v>44545</v>
      </c>
    </row>
    <row r="6197" spans="1:10" x14ac:dyDescent="0.35">
      <c r="A6197" s="528" t="str">
        <f>LEFT(A6164,12) &amp; "NZ"</f>
        <v>BiK23MSRVFLPNZ</v>
      </c>
      <c r="B6197" s="529" t="s">
        <v>5547</v>
      </c>
      <c r="C6197" s="529"/>
      <c r="D6197" s="533" t="s">
        <v>7751</v>
      </c>
      <c r="E6197" s="529"/>
      <c r="F6197" s="530"/>
      <c r="G6197" s="531"/>
      <c r="H6197" s="531"/>
      <c r="I6197" s="611"/>
      <c r="J6197" s="549">
        <v>44545</v>
      </c>
    </row>
  </sheetData>
  <sheetProtection autoFilter="0"/>
  <autoFilter ref="A2:J6197" xr:uid="{00000000-0009-0000-0000-000003000000}"/>
  <mergeCells count="127">
    <mergeCell ref="G6025:I6025"/>
    <mergeCell ref="A5650:F5650"/>
    <mergeCell ref="A5087:F5087"/>
    <mergeCell ref="A5674:F5674"/>
    <mergeCell ref="A6111:H6111"/>
    <mergeCell ref="A6116:F6116"/>
    <mergeCell ref="A6114:F6114"/>
    <mergeCell ref="A6113:F6113"/>
    <mergeCell ref="A5253:F5253"/>
    <mergeCell ref="A5254:F5254"/>
    <mergeCell ref="A5593:F5593"/>
    <mergeCell ref="A5523:F5523"/>
    <mergeCell ref="A5722:F5722"/>
    <mergeCell ref="A6112:F6112"/>
    <mergeCell ref="A6081:F6081"/>
    <mergeCell ref="A6079:F6079"/>
    <mergeCell ref="A6080:F6080"/>
    <mergeCell ref="A6025:F6025"/>
    <mergeCell ref="A5602:F5602"/>
    <mergeCell ref="A5605:F5605"/>
    <mergeCell ref="A6075:F6075"/>
    <mergeCell ref="A5601:F5601"/>
    <mergeCell ref="A5594:F5594"/>
    <mergeCell ref="A6043:F6043"/>
    <mergeCell ref="A5323:F5323"/>
    <mergeCell ref="A6017:F6017"/>
    <mergeCell ref="A1:D1"/>
    <mergeCell ref="A5326:F5326"/>
    <mergeCell ref="A5540:F5540"/>
    <mergeCell ref="A5348:F5348"/>
    <mergeCell ref="A5345:F5345"/>
    <mergeCell ref="A5344:F5344"/>
    <mergeCell ref="A5343:F5343"/>
    <mergeCell ref="A5349:F5349"/>
    <mergeCell ref="A5563:F5563"/>
    <mergeCell ref="A5542:F5542"/>
    <mergeCell ref="A291:F291"/>
    <mergeCell ref="A5238:H5238"/>
    <mergeCell ref="A5098:F5098"/>
    <mergeCell ref="A5229:F5229"/>
    <mergeCell ref="A5541:F5541"/>
    <mergeCell ref="A5521:F5521"/>
    <mergeCell ref="A5522:F5522"/>
    <mergeCell ref="A5559:F5559"/>
    <mergeCell ref="A5346:F5346"/>
    <mergeCell ref="A5729:F5729"/>
    <mergeCell ref="A5562:F5562"/>
    <mergeCell ref="A5595:F5595"/>
    <mergeCell ref="A5922:F5922"/>
    <mergeCell ref="A5698:F5698"/>
    <mergeCell ref="A5584:F5584"/>
    <mergeCell ref="A5692:F5692"/>
    <mergeCell ref="A5586:F5586"/>
    <mergeCell ref="A5633:F5633"/>
    <mergeCell ref="A5723:F5723"/>
    <mergeCell ref="A5901:F5901"/>
    <mergeCell ref="A5869:F5869"/>
    <mergeCell ref="A5885:F5885"/>
    <mergeCell ref="A5706:F5706"/>
    <mergeCell ref="A5629:F5629"/>
    <mergeCell ref="O4022:Q4022"/>
    <mergeCell ref="O4027:Q4027"/>
    <mergeCell ref="O4028:Q4028"/>
    <mergeCell ref="V3099:X3099"/>
    <mergeCell ref="O3446:Q3446"/>
    <mergeCell ref="S3178:U3178"/>
    <mergeCell ref="O3780:Q3780"/>
    <mergeCell ref="V3178:X3178"/>
    <mergeCell ref="O3099:R3099"/>
    <mergeCell ref="O3681:Q3681"/>
    <mergeCell ref="V3257:X3257"/>
    <mergeCell ref="O4021:Q4021"/>
    <mergeCell ref="O4020:Q4020"/>
    <mergeCell ref="S3099:U3099"/>
    <mergeCell ref="O3178:R3178"/>
    <mergeCell ref="O3257:R3257"/>
    <mergeCell ref="O4019:Q4019"/>
    <mergeCell ref="S3257:U3257"/>
    <mergeCell ref="O4024:Q4024"/>
    <mergeCell ref="A6115:F6115"/>
    <mergeCell ref="A5224:F5224"/>
    <mergeCell ref="A6024:F6024"/>
    <mergeCell ref="A6026:F6026"/>
    <mergeCell ref="A6027:F6027"/>
    <mergeCell ref="A5666:F5666"/>
    <mergeCell ref="A5565:F5565"/>
    <mergeCell ref="A5566:F5566"/>
    <mergeCell ref="A5734:F5734"/>
    <mergeCell ref="A5744:F5744"/>
    <mergeCell ref="A5760:F5760"/>
    <mergeCell ref="A5764:F5764"/>
    <mergeCell ref="A5769:F5769"/>
    <mergeCell ref="A5785:F5785"/>
    <mergeCell ref="A5801:F5801"/>
    <mergeCell ref="A5817:F5817"/>
    <mergeCell ref="A5833:F5833"/>
    <mergeCell ref="A5849:F5849"/>
    <mergeCell ref="A5865:F5865"/>
    <mergeCell ref="A5236:H5236"/>
    <mergeCell ref="A6018:F6018"/>
    <mergeCell ref="A5235:H5235"/>
    <mergeCell ref="A5952:F5952"/>
    <mergeCell ref="A5739:F5739"/>
    <mergeCell ref="A5986:F5986"/>
    <mergeCell ref="A5687:F5687"/>
    <mergeCell ref="A5917:F5917"/>
    <mergeCell ref="A5603:F5603"/>
    <mergeCell ref="O4025:Q4025"/>
    <mergeCell ref="O4023:Q4023"/>
    <mergeCell ref="A5324:F5324"/>
    <mergeCell ref="A5325:F5325"/>
    <mergeCell ref="O4026:Q4026"/>
    <mergeCell ref="O4029:Q4029"/>
    <mergeCell ref="A4189:F4189"/>
    <mergeCell ref="A5096:F5096"/>
    <mergeCell ref="A5099:F5099"/>
    <mergeCell ref="A5216:F5216"/>
    <mergeCell ref="A5193:F5193"/>
    <mergeCell ref="A5097:F5097"/>
    <mergeCell ref="A5587:F5587"/>
    <mergeCell ref="A5560:F5560"/>
    <mergeCell ref="A5583:F5583"/>
    <mergeCell ref="A5564:F5564"/>
    <mergeCell ref="A5585:F5585"/>
    <mergeCell ref="A5561:F5561"/>
    <mergeCell ref="A5982:F5982"/>
    <mergeCell ref="A5347:F5347"/>
  </mergeCells>
  <phoneticPr fontId="11" type="noConversion"/>
  <conditionalFormatting sqref="K4544:K4714 K4353:K4397 K1915:K1945 K1517:K1520 K1086:K1087 K1091:K1092 K1554:K1911 K1947:K1948 K1950 K1124:K1513 K4837:K4860 K5195 K1089 K1094 K683:K684 K700:K1083 K1515 K1522:K1529 K686:K688 K1103 K1966 K1098 K1105 K1117 K1111 K1107 K1113:K1114 K5191:K5193 K5202:K5206 K1977:K2371 K1963 K1971:K1972 K1968:K1969 K2375 K2386 K2379:K2384 K291:K680">
    <cfRule type="cellIs" dxfId="167" priority="541" stopIfTrue="1" operator="notEqual">
      <formula>0</formula>
    </cfRule>
  </conditionalFormatting>
  <conditionalFormatting sqref="K4739:K4766">
    <cfRule type="cellIs" dxfId="166" priority="164" stopIfTrue="1" operator="notEqual">
      <formula>0</formula>
    </cfRule>
  </conditionalFormatting>
  <conditionalFormatting sqref="K1085">
    <cfRule type="cellIs" dxfId="165" priority="163" stopIfTrue="1" operator="notEqual">
      <formula>0</formula>
    </cfRule>
  </conditionalFormatting>
  <conditionalFormatting sqref="K1090">
    <cfRule type="cellIs" dxfId="164" priority="162" stopIfTrue="1" operator="notEqual">
      <formula>0</formula>
    </cfRule>
  </conditionalFormatting>
  <conditionalFormatting sqref="K1532:K1533">
    <cfRule type="cellIs" dxfId="163" priority="161" stopIfTrue="1" operator="notEqual">
      <formula>0</formula>
    </cfRule>
  </conditionalFormatting>
  <conditionalFormatting sqref="K1530:K1531">
    <cfRule type="cellIs" dxfId="162" priority="160" stopIfTrue="1" operator="notEqual">
      <formula>0</formula>
    </cfRule>
  </conditionalFormatting>
  <conditionalFormatting sqref="K690">
    <cfRule type="cellIs" dxfId="161" priority="159" stopIfTrue="1" operator="notEqual">
      <formula>0</formula>
    </cfRule>
  </conditionalFormatting>
  <conditionalFormatting sqref="K1952">
    <cfRule type="cellIs" dxfId="160" priority="156" stopIfTrue="1" operator="notEqual">
      <formula>0</formula>
    </cfRule>
  </conditionalFormatting>
  <conditionalFormatting sqref="K1955">
    <cfRule type="cellIs" dxfId="159" priority="155" stopIfTrue="1" operator="notEqual">
      <formula>0</formula>
    </cfRule>
  </conditionalFormatting>
  <conditionalFormatting sqref="K1946">
    <cfRule type="cellIs" dxfId="158" priority="154" stopIfTrue="1" operator="notEqual">
      <formula>0</formula>
    </cfRule>
  </conditionalFormatting>
  <conditionalFormatting sqref="K1949">
    <cfRule type="cellIs" dxfId="157" priority="153" stopIfTrue="1" operator="notEqual">
      <formula>0</formula>
    </cfRule>
  </conditionalFormatting>
  <conditionalFormatting sqref="K1095">
    <cfRule type="cellIs" dxfId="156" priority="152" stopIfTrue="1" operator="notEqual">
      <formula>0</formula>
    </cfRule>
  </conditionalFormatting>
  <conditionalFormatting sqref="K1097">
    <cfRule type="cellIs" dxfId="155" priority="151" stopIfTrue="1" operator="notEqual">
      <formula>0</formula>
    </cfRule>
  </conditionalFormatting>
  <conditionalFormatting sqref="K1096">
    <cfRule type="cellIs" dxfId="154" priority="150" stopIfTrue="1" operator="notEqual">
      <formula>0</formula>
    </cfRule>
  </conditionalFormatting>
  <conditionalFormatting sqref="K2373:K2374">
    <cfRule type="cellIs" dxfId="153" priority="149" stopIfTrue="1" operator="notEqual">
      <formula>0</formula>
    </cfRule>
  </conditionalFormatting>
  <conditionalFormatting sqref="K2391">
    <cfRule type="cellIs" dxfId="152" priority="147" stopIfTrue="1" operator="notEqual">
      <formula>0</formula>
    </cfRule>
  </conditionalFormatting>
  <conditionalFormatting sqref="K692">
    <cfRule type="cellIs" dxfId="151" priority="146" stopIfTrue="1" operator="notEqual">
      <formula>0</formula>
    </cfRule>
  </conditionalFormatting>
  <conditionalFormatting sqref="K4788:K4815">
    <cfRule type="cellIs" dxfId="150" priority="145" stopIfTrue="1" operator="notEqual">
      <formula>0</formula>
    </cfRule>
  </conditionalFormatting>
  <conditionalFormatting sqref="K1538:K1540">
    <cfRule type="cellIs" dxfId="149" priority="138" stopIfTrue="1" operator="notEqual">
      <formula>0</formula>
    </cfRule>
  </conditionalFormatting>
  <conditionalFormatting sqref="K1535">
    <cfRule type="cellIs" dxfId="148" priority="137" stopIfTrue="1" operator="notEqual">
      <formula>0</formula>
    </cfRule>
  </conditionalFormatting>
  <conditionalFormatting sqref="K1537">
    <cfRule type="cellIs" dxfId="147" priority="136" stopIfTrue="1" operator="notEqual">
      <formula>0</formula>
    </cfRule>
  </conditionalFormatting>
  <conditionalFormatting sqref="K1954">
    <cfRule type="cellIs" dxfId="146" priority="135" stopIfTrue="1" operator="notEqual">
      <formula>0</formula>
    </cfRule>
  </conditionalFormatting>
  <conditionalFormatting sqref="K1957">
    <cfRule type="cellIs" dxfId="145" priority="134" stopIfTrue="1" operator="notEqual">
      <formula>0</formula>
    </cfRule>
  </conditionalFormatting>
  <conditionalFormatting sqref="K1953">
    <cfRule type="cellIs" dxfId="144" priority="133" stopIfTrue="1" operator="notEqual">
      <formula>0</formula>
    </cfRule>
  </conditionalFormatting>
  <conditionalFormatting sqref="K1956">
    <cfRule type="cellIs" dxfId="143" priority="132" stopIfTrue="1" operator="notEqual">
      <formula>0</formula>
    </cfRule>
  </conditionalFormatting>
  <conditionalFormatting sqref="K693">
    <cfRule type="cellIs" dxfId="142" priority="130" stopIfTrue="1" operator="notEqual">
      <formula>0</formula>
    </cfRule>
  </conditionalFormatting>
  <conditionalFormatting sqref="N4143 N4145 N4147 N4149">
    <cfRule type="timePeriod" dxfId="141" priority="125" stopIfTrue="1" timePeriod="lastMonth">
      <formula>AND(MONTH(N4143)=MONTH(EDATE(TODAY(),0-1)),YEAR(N4143)=YEAR(EDATE(TODAY(),0-1)))</formula>
    </cfRule>
  </conditionalFormatting>
  <conditionalFormatting sqref="K1099 K1101">
    <cfRule type="cellIs" dxfId="140" priority="122" stopIfTrue="1" operator="notEqual">
      <formula>0</formula>
    </cfRule>
  </conditionalFormatting>
  <conditionalFormatting sqref="K1100">
    <cfRule type="cellIs" dxfId="139" priority="121" stopIfTrue="1" operator="notEqual">
      <formula>0</formula>
    </cfRule>
  </conditionalFormatting>
  <conditionalFormatting sqref="K1123">
    <cfRule type="cellIs" dxfId="138" priority="120" stopIfTrue="1" operator="notEqual">
      <formula>0</formula>
    </cfRule>
  </conditionalFormatting>
  <conditionalFormatting sqref="K1964">
    <cfRule type="cellIs" dxfId="137" priority="113" stopIfTrue="1" operator="notEqual">
      <formula>0</formula>
    </cfRule>
  </conditionalFormatting>
  <conditionalFormatting sqref="K1093">
    <cfRule type="cellIs" dxfId="136" priority="110" stopIfTrue="1" operator="notEqual">
      <formula>0</formula>
    </cfRule>
  </conditionalFormatting>
  <conditionalFormatting sqref="K1088">
    <cfRule type="cellIs" dxfId="135" priority="111" stopIfTrue="1" operator="notEqual">
      <formula>0</formula>
    </cfRule>
  </conditionalFormatting>
  <conditionalFormatting sqref="K1960">
    <cfRule type="cellIs" dxfId="134" priority="109" stopIfTrue="1" operator="notEqual">
      <formula>0</formula>
    </cfRule>
  </conditionalFormatting>
  <conditionalFormatting sqref="K1958">
    <cfRule type="cellIs" dxfId="133" priority="108" stopIfTrue="1" operator="notEqual">
      <formula>0</formula>
    </cfRule>
  </conditionalFormatting>
  <conditionalFormatting sqref="K682">
    <cfRule type="cellIs" dxfId="132" priority="106" stopIfTrue="1" operator="notEqual">
      <formula>0</formula>
    </cfRule>
  </conditionalFormatting>
  <conditionalFormatting sqref="K685">
    <cfRule type="cellIs" dxfId="131" priority="104" stopIfTrue="1" operator="notEqual">
      <formula>0</formula>
    </cfRule>
  </conditionalFormatting>
  <conditionalFormatting sqref="K698:K699">
    <cfRule type="cellIs" dxfId="130" priority="103" stopIfTrue="1" operator="notEqual">
      <formula>0</formula>
    </cfRule>
  </conditionalFormatting>
  <conditionalFormatting sqref="K694:K697">
    <cfRule type="cellIs" dxfId="129" priority="101" stopIfTrue="1" operator="notEqual">
      <formula>0</formula>
    </cfRule>
  </conditionalFormatting>
  <conditionalFormatting sqref="K1514">
    <cfRule type="cellIs" dxfId="128" priority="100" stopIfTrue="1" operator="notEqual">
      <formula>0</formula>
    </cfRule>
  </conditionalFormatting>
  <conditionalFormatting sqref="K1521">
    <cfRule type="cellIs" dxfId="127" priority="99" stopIfTrue="1" operator="notEqual">
      <formula>0</formula>
    </cfRule>
  </conditionalFormatting>
  <conditionalFormatting sqref="K1102">
    <cfRule type="cellIs" dxfId="126" priority="98" stopIfTrue="1" operator="notEqual">
      <formula>0</formula>
    </cfRule>
  </conditionalFormatting>
  <conditionalFormatting sqref="K1104">
    <cfRule type="cellIs" dxfId="125" priority="97" stopIfTrue="1" operator="notEqual">
      <formula>0</formula>
    </cfRule>
  </conditionalFormatting>
  <conditionalFormatting sqref="K1109">
    <cfRule type="cellIs" dxfId="124" priority="95" stopIfTrue="1" operator="notEqual">
      <formula>0</formula>
    </cfRule>
  </conditionalFormatting>
  <conditionalFormatting sqref="N4168 N4170 N4172 N4174">
    <cfRule type="timePeriod" dxfId="123" priority="93" stopIfTrue="1" timePeriod="lastMonth">
      <formula>AND(MONTH(N4168)=MONTH(EDATE(TODAY(),0-1)),YEAR(N4168)=YEAR(EDATE(TODAY(),0-1)))</formula>
    </cfRule>
  </conditionalFormatting>
  <conditionalFormatting sqref="K4874:K4897">
    <cfRule type="cellIs" dxfId="122" priority="92" stopIfTrue="1" operator="notEqual">
      <formula>0</formula>
    </cfRule>
  </conditionalFormatting>
  <conditionalFormatting sqref="K5207:K5213 K5228:K5229">
    <cfRule type="cellIs" dxfId="121" priority="91" stopIfTrue="1" operator="notEqual">
      <formula>0</formula>
    </cfRule>
  </conditionalFormatting>
  <conditionalFormatting sqref="K1965">
    <cfRule type="cellIs" dxfId="120" priority="83" stopIfTrue="1" operator="notEqual">
      <formula>0</formula>
    </cfRule>
  </conditionalFormatting>
  <conditionalFormatting sqref="K1970">
    <cfRule type="cellIs" dxfId="119" priority="82" stopIfTrue="1" operator="notEqual">
      <formula>0</formula>
    </cfRule>
  </conditionalFormatting>
  <conditionalFormatting sqref="K1967">
    <cfRule type="cellIs" dxfId="118" priority="81" stopIfTrue="1" operator="notEqual">
      <formula>0</formula>
    </cfRule>
  </conditionalFormatting>
  <conditionalFormatting sqref="K1959">
    <cfRule type="cellIs" dxfId="117" priority="80" stopIfTrue="1" operator="notEqual">
      <formula>0</formula>
    </cfRule>
  </conditionalFormatting>
  <conditionalFormatting sqref="K1961">
    <cfRule type="cellIs" dxfId="116" priority="79" stopIfTrue="1" operator="notEqual">
      <formula>0</formula>
    </cfRule>
  </conditionalFormatting>
  <conditionalFormatting sqref="K1962">
    <cfRule type="cellIs" dxfId="115" priority="78" stopIfTrue="1" operator="notEqual">
      <formula>0</formula>
    </cfRule>
  </conditionalFormatting>
  <conditionalFormatting sqref="K2385:K2387">
    <cfRule type="cellIs" dxfId="114" priority="77" stopIfTrue="1" operator="notEqual">
      <formula>0</formula>
    </cfRule>
  </conditionalFormatting>
  <conditionalFormatting sqref="K1541">
    <cfRule type="cellIs" dxfId="113" priority="76" stopIfTrue="1" operator="notEqual">
      <formula>0</formula>
    </cfRule>
  </conditionalFormatting>
  <conditionalFormatting sqref="K1542">
    <cfRule type="cellIs" dxfId="112" priority="75" stopIfTrue="1" operator="notEqual">
      <formula>0</formula>
    </cfRule>
  </conditionalFormatting>
  <conditionalFormatting sqref="K4911:K4934">
    <cfRule type="cellIs" dxfId="111" priority="73" stopIfTrue="1" operator="notEqual">
      <formula>0</formula>
    </cfRule>
  </conditionalFormatting>
  <conditionalFormatting sqref="K1973">
    <cfRule type="cellIs" dxfId="110" priority="72" stopIfTrue="1" operator="notEqual">
      <formula>0</formula>
    </cfRule>
  </conditionalFormatting>
  <conditionalFormatting sqref="K1974">
    <cfRule type="cellIs" dxfId="109" priority="71" stopIfTrue="1" operator="notEqual">
      <formula>0</formula>
    </cfRule>
  </conditionalFormatting>
  <conditionalFormatting sqref="K1115">
    <cfRule type="cellIs" dxfId="108" priority="70" stopIfTrue="1" operator="notEqual">
      <formula>0</formula>
    </cfRule>
  </conditionalFormatting>
  <conditionalFormatting sqref="K1116">
    <cfRule type="cellIs" dxfId="107" priority="69" stopIfTrue="1" operator="notEqual">
      <formula>0</formula>
    </cfRule>
  </conditionalFormatting>
  <conditionalFormatting sqref="K1951">
    <cfRule type="cellIs" dxfId="106" priority="65" stopIfTrue="1" operator="notEqual">
      <formula>0</formula>
    </cfRule>
  </conditionalFormatting>
  <conditionalFormatting sqref="K1544 K1546">
    <cfRule type="cellIs" dxfId="105" priority="64" stopIfTrue="1" operator="notEqual">
      <formula>0</formula>
    </cfRule>
  </conditionalFormatting>
  <conditionalFormatting sqref="K4948:K4971">
    <cfRule type="cellIs" dxfId="104" priority="63" stopIfTrue="1" operator="notEqual">
      <formula>0</formula>
    </cfRule>
  </conditionalFormatting>
  <conditionalFormatting sqref="K1975">
    <cfRule type="cellIs" dxfId="103" priority="62" stopIfTrue="1" operator="notEqual">
      <formula>0</formula>
    </cfRule>
  </conditionalFormatting>
  <conditionalFormatting sqref="K1976">
    <cfRule type="cellIs" dxfId="102" priority="61" stopIfTrue="1" operator="notEqual">
      <formula>0</formula>
    </cfRule>
  </conditionalFormatting>
  <conditionalFormatting sqref="K1547 K1549">
    <cfRule type="cellIs" dxfId="101" priority="57" stopIfTrue="1" operator="notEqual">
      <formula>0</formula>
    </cfRule>
  </conditionalFormatting>
  <conditionalFormatting sqref="K1551">
    <cfRule type="cellIs" dxfId="100" priority="56" stopIfTrue="1" operator="notEqual">
      <formula>0</formula>
    </cfRule>
  </conditionalFormatting>
  <conditionalFormatting sqref="K1550">
    <cfRule type="cellIs" dxfId="99" priority="55" stopIfTrue="1" operator="notEqual">
      <formula>0</formula>
    </cfRule>
  </conditionalFormatting>
  <conditionalFormatting sqref="K1534">
    <cfRule type="cellIs" dxfId="98" priority="54" stopIfTrue="1" operator="notEqual">
      <formula>0</formula>
    </cfRule>
  </conditionalFormatting>
  <conditionalFormatting sqref="K1536">
    <cfRule type="cellIs" dxfId="97" priority="53" stopIfTrue="1" operator="notEqual">
      <formula>0</formula>
    </cfRule>
  </conditionalFormatting>
  <conditionalFormatting sqref="K1543">
    <cfRule type="cellIs" dxfId="96" priority="52" stopIfTrue="1" operator="notEqual">
      <formula>0</formula>
    </cfRule>
  </conditionalFormatting>
  <conditionalFormatting sqref="K1545">
    <cfRule type="cellIs" dxfId="95" priority="51" stopIfTrue="1" operator="notEqual">
      <formula>0</formula>
    </cfRule>
  </conditionalFormatting>
  <conditionalFormatting sqref="K1548">
    <cfRule type="cellIs" dxfId="94" priority="50" stopIfTrue="1" operator="notEqual">
      <formula>0</formula>
    </cfRule>
  </conditionalFormatting>
  <conditionalFormatting sqref="K1106">
    <cfRule type="cellIs" dxfId="93" priority="49" stopIfTrue="1" operator="notEqual">
      <formula>0</formula>
    </cfRule>
  </conditionalFormatting>
  <conditionalFormatting sqref="K1110">
    <cfRule type="cellIs" dxfId="92" priority="48" stopIfTrue="1" operator="notEqual">
      <formula>0</formula>
    </cfRule>
  </conditionalFormatting>
  <conditionalFormatting sqref="K1108">
    <cfRule type="cellIs" dxfId="91" priority="47" stopIfTrue="1" operator="notEqual">
      <formula>0</formula>
    </cfRule>
  </conditionalFormatting>
  <conditionalFormatting sqref="K1112">
    <cfRule type="cellIs" dxfId="90" priority="46" stopIfTrue="1" operator="notEqual">
      <formula>0</formula>
    </cfRule>
  </conditionalFormatting>
  <conditionalFormatting sqref="K4985:K5008">
    <cfRule type="cellIs" dxfId="89" priority="45" stopIfTrue="1" operator="notEqual">
      <formula>0</formula>
    </cfRule>
  </conditionalFormatting>
  <conditionalFormatting sqref="K5103:K5126">
    <cfRule type="cellIs" dxfId="88" priority="44" stopIfTrue="1" operator="notEqual">
      <formula>0</formula>
    </cfRule>
  </conditionalFormatting>
  <conditionalFormatting sqref="K5196:K5200">
    <cfRule type="cellIs" dxfId="87" priority="43" stopIfTrue="1" operator="notEqual">
      <formula>0</formula>
    </cfRule>
  </conditionalFormatting>
  <conditionalFormatting sqref="K5201">
    <cfRule type="cellIs" dxfId="86" priority="42" stopIfTrue="1" operator="notEqual">
      <formula>0</formula>
    </cfRule>
  </conditionalFormatting>
  <conditionalFormatting sqref="K5231:K5232">
    <cfRule type="cellIs" dxfId="85" priority="41" stopIfTrue="1" operator="notEqual">
      <formula>0</formula>
    </cfRule>
  </conditionalFormatting>
  <conditionalFormatting sqref="K5230">
    <cfRule type="cellIs" dxfId="84" priority="40" stopIfTrue="1" operator="notEqual">
      <formula>0</formula>
    </cfRule>
  </conditionalFormatting>
  <conditionalFormatting sqref="K1118">
    <cfRule type="cellIs" dxfId="83" priority="39" stopIfTrue="1" operator="notEqual">
      <formula>0</formula>
    </cfRule>
  </conditionalFormatting>
  <conditionalFormatting sqref="K1119">
    <cfRule type="cellIs" dxfId="82" priority="38" stopIfTrue="1" operator="notEqual">
      <formula>0</formula>
    </cfRule>
  </conditionalFormatting>
  <conditionalFormatting sqref="K1120">
    <cfRule type="cellIs" dxfId="81" priority="37" stopIfTrue="1" operator="notEqual">
      <formula>0</formula>
    </cfRule>
  </conditionalFormatting>
  <conditionalFormatting sqref="K1121">
    <cfRule type="cellIs" dxfId="80" priority="36" stopIfTrue="1" operator="notEqual">
      <formula>0</formula>
    </cfRule>
  </conditionalFormatting>
  <conditionalFormatting sqref="K1122">
    <cfRule type="cellIs" dxfId="79" priority="35" stopIfTrue="1" operator="notEqual">
      <formula>0</formula>
    </cfRule>
  </conditionalFormatting>
  <conditionalFormatting sqref="K1552">
    <cfRule type="cellIs" dxfId="78" priority="32" stopIfTrue="1" operator="notEqual">
      <formula>0</formula>
    </cfRule>
  </conditionalFormatting>
  <conditionalFormatting sqref="K1553">
    <cfRule type="cellIs" dxfId="77" priority="31" stopIfTrue="1" operator="notEqual">
      <formula>0</formula>
    </cfRule>
  </conditionalFormatting>
  <conditionalFormatting sqref="K5022:K5043">
    <cfRule type="cellIs" dxfId="76" priority="26" stopIfTrue="1" operator="notEqual">
      <formula>0</formula>
    </cfRule>
  </conditionalFormatting>
  <conditionalFormatting sqref="K5140:K5163">
    <cfRule type="cellIs" dxfId="75" priority="25" stopIfTrue="1" operator="notEqual">
      <formula>0</formula>
    </cfRule>
  </conditionalFormatting>
  <conditionalFormatting sqref="K5226 K5223:K5224">
    <cfRule type="cellIs" dxfId="74" priority="23" stopIfTrue="1" operator="notEqual">
      <formula>0</formula>
    </cfRule>
  </conditionalFormatting>
  <conditionalFormatting sqref="K5218 K5215:K5216">
    <cfRule type="cellIs" dxfId="73" priority="22" stopIfTrue="1" operator="notEqual">
      <formula>0</formula>
    </cfRule>
  </conditionalFormatting>
  <conditionalFormatting sqref="K5222">
    <cfRule type="cellIs" dxfId="72" priority="21" stopIfTrue="1" operator="notEqual">
      <formula>0</formula>
    </cfRule>
  </conditionalFormatting>
  <conditionalFormatting sqref="K5219">
    <cfRule type="cellIs" dxfId="71" priority="20" stopIfTrue="1" operator="notEqual">
      <formula>0</formula>
    </cfRule>
  </conditionalFormatting>
  <conditionalFormatting sqref="K5220">
    <cfRule type="cellIs" dxfId="70" priority="19" stopIfTrue="1" operator="notEqual">
      <formula>0</formula>
    </cfRule>
  </conditionalFormatting>
  <conditionalFormatting sqref="K5221">
    <cfRule type="cellIs" dxfId="69" priority="18" stopIfTrue="1" operator="notEqual">
      <formula>0</formula>
    </cfRule>
  </conditionalFormatting>
  <conditionalFormatting sqref="K2388:K2389">
    <cfRule type="cellIs" dxfId="68" priority="17" stopIfTrue="1" operator="notEqual">
      <formula>0</formula>
    </cfRule>
  </conditionalFormatting>
  <conditionalFormatting sqref="K2390">
    <cfRule type="cellIs" dxfId="67" priority="16" stopIfTrue="1" operator="notEqual">
      <formula>0</formula>
    </cfRule>
  </conditionalFormatting>
  <conditionalFormatting sqref="K5044:K5046">
    <cfRule type="cellIs" dxfId="66" priority="15" stopIfTrue="1" operator="notEqual">
      <formula>0</formula>
    </cfRule>
  </conditionalFormatting>
  <conditionalFormatting sqref="K5047 K5050">
    <cfRule type="cellIs" dxfId="65" priority="14" stopIfTrue="1" operator="notEqual">
      <formula>0</formula>
    </cfRule>
  </conditionalFormatting>
  <conditionalFormatting sqref="K5048">
    <cfRule type="cellIs" dxfId="64" priority="13" stopIfTrue="1" operator="notEqual">
      <formula>0</formula>
    </cfRule>
  </conditionalFormatting>
  <conditionalFormatting sqref="K5049">
    <cfRule type="cellIs" dxfId="63" priority="12" stopIfTrue="1" operator="notEqual">
      <formula>0</formula>
    </cfRule>
  </conditionalFormatting>
  <conditionalFormatting sqref="K5051">
    <cfRule type="cellIs" dxfId="62" priority="11" stopIfTrue="1" operator="notEqual">
      <formula>0</formula>
    </cfRule>
  </conditionalFormatting>
  <conditionalFormatting sqref="K5177">
    <cfRule type="cellIs" dxfId="61" priority="10" stopIfTrue="1" operator="notEqual">
      <formula>0</formula>
    </cfRule>
  </conditionalFormatting>
  <conditionalFormatting sqref="K5085">
    <cfRule type="cellIs" dxfId="60" priority="9" stopIfTrue="1" operator="notEqual">
      <formula>0</formula>
    </cfRule>
  </conditionalFormatting>
  <conditionalFormatting sqref="K2376:K2378">
    <cfRule type="cellIs" dxfId="59" priority="8" stopIfTrue="1" operator="notEqual">
      <formula>0</formula>
    </cfRule>
  </conditionalFormatting>
  <conditionalFormatting sqref="K2378">
    <cfRule type="cellIs" dxfId="58" priority="7" stopIfTrue="1" operator="notEqual">
      <formula>0</formula>
    </cfRule>
  </conditionalFormatting>
  <conditionalFormatting sqref="K5060">
    <cfRule type="cellIs" dxfId="57" priority="4" stopIfTrue="1" operator="notEqual">
      <formula>0</formula>
    </cfRule>
  </conditionalFormatting>
  <conditionalFormatting sqref="K5181:K5190">
    <cfRule type="cellIs" dxfId="56" priority="2" stopIfTrue="1" operator="notEqual">
      <formula>0</formula>
    </cfRule>
  </conditionalFormatting>
  <conditionalFormatting sqref="K5091">
    <cfRule type="cellIs" dxfId="55" priority="1" stopIfTrue="1" operator="notEqual">
      <formula>0</formula>
    </cfRule>
  </conditionalFormatting>
  <hyperlinks>
    <hyperlink ref="N4201" r:id="rId1" xr:uid="{00000000-0004-0000-0300-000000000000}"/>
    <hyperlink ref="N5089" r:id="rId2" location="doc899816bodyText2" xr:uid="{00000000-0004-0000-0300-000001000000}"/>
    <hyperlink ref="N4199" r:id="rId3" xr:uid="{00000000-0004-0000-0300-000002000000}"/>
    <hyperlink ref="N5092" r:id="rId4" xr:uid="{00000000-0004-0000-0300-000003000000}"/>
    <hyperlink ref="N5093" r:id="rId5" xr:uid="{00000000-0004-0000-0300-000004000000}"/>
  </hyperlinks>
  <pageMargins left="0.70866141732283472" right="0.70866141732283472" top="0.78740157480314965" bottom="0.59055118110236227" header="0.31496062992125984" footer="0.31496062992125984"/>
  <pageSetup paperSize="9" scale="74" fitToHeight="1000" orientation="landscape" r:id="rId6"/>
  <headerFooter alignWithMargins="0"/>
  <ignoredErrors>
    <ignoredError sqref="D3450 D3454 D3175 D3685 D3689" formulaRange="1"/>
    <ignoredError sqref="H4874 I4914" formula="1"/>
  </ignoredErrors>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dimension ref="A1:AA733"/>
  <sheetViews>
    <sheetView zoomScale="90" zoomScaleNormal="90" workbookViewId="0">
      <pane ySplit="3" topLeftCell="A4" activePane="bottomLeft" state="frozen"/>
      <selection pane="bottomLeft" sqref="A1:H1"/>
    </sheetView>
  </sheetViews>
  <sheetFormatPr baseColWidth="10" defaultRowHeight="14.5" x14ac:dyDescent="0.35"/>
  <cols>
    <col min="1" max="1" width="21.453125" customWidth="1"/>
    <col min="2" max="2" width="17.453125" customWidth="1"/>
    <col min="3" max="3" width="26.453125" customWidth="1"/>
    <col min="4" max="4" width="71" customWidth="1"/>
    <col min="5" max="5" width="28.54296875" customWidth="1"/>
    <col min="6" max="7" width="19.453125" customWidth="1"/>
    <col min="8" max="8" width="36.54296875" style="542" customWidth="1"/>
  </cols>
  <sheetData>
    <row r="1" spans="1:8" ht="26" x14ac:dyDescent="0.6">
      <c r="A1" s="885" t="s">
        <v>450</v>
      </c>
      <c r="B1" s="885"/>
      <c r="C1" s="885"/>
      <c r="D1" s="885"/>
      <c r="E1" s="885"/>
      <c r="F1" s="885"/>
      <c r="G1" s="885"/>
      <c r="H1" s="885"/>
    </row>
    <row r="3" spans="1:8" s="207" customFormat="1" ht="39" x14ac:dyDescent="0.35">
      <c r="A3" s="304" t="s">
        <v>2263</v>
      </c>
      <c r="B3" s="305" t="s">
        <v>2264</v>
      </c>
      <c r="C3" s="305" t="s">
        <v>2265</v>
      </c>
      <c r="D3" s="305" t="s">
        <v>2266</v>
      </c>
      <c r="E3" s="305" t="s">
        <v>2267</v>
      </c>
      <c r="F3" s="306" t="s">
        <v>451</v>
      </c>
      <c r="G3" s="448" t="s">
        <v>8185</v>
      </c>
      <c r="H3" s="448" t="s">
        <v>7814</v>
      </c>
    </row>
    <row r="4" spans="1:8" x14ac:dyDescent="0.35">
      <c r="G4" s="542"/>
      <c r="H4" s="748" t="s">
        <v>6026</v>
      </c>
    </row>
    <row r="5" spans="1:8" ht="114" customHeight="1" x14ac:dyDescent="0.35">
      <c r="A5" s="939" t="s">
        <v>2943</v>
      </c>
      <c r="B5" s="939"/>
      <c r="C5" s="939"/>
      <c r="D5" s="939"/>
      <c r="E5" s="939"/>
      <c r="F5" s="939"/>
      <c r="G5" s="542"/>
      <c r="H5" s="748" t="s">
        <v>6026</v>
      </c>
    </row>
    <row r="6" spans="1:8" x14ac:dyDescent="0.35">
      <c r="F6" s="11"/>
      <c r="G6" s="542"/>
      <c r="H6" s="748" t="s">
        <v>6026</v>
      </c>
    </row>
    <row r="7" spans="1:8" x14ac:dyDescent="0.35">
      <c r="A7" s="497" t="s">
        <v>4643</v>
      </c>
      <c r="B7" s="13" t="s">
        <v>3373</v>
      </c>
      <c r="C7" s="13" t="s">
        <v>5404</v>
      </c>
      <c r="D7" s="13" t="s">
        <v>4644</v>
      </c>
      <c r="E7" s="13"/>
      <c r="F7" s="276">
        <v>0.5</v>
      </c>
      <c r="G7" s="863">
        <v>40908</v>
      </c>
      <c r="H7" s="748" t="s">
        <v>6026</v>
      </c>
    </row>
    <row r="8" spans="1:8" x14ac:dyDescent="0.35">
      <c r="A8" s="497" t="s">
        <v>4645</v>
      </c>
      <c r="B8" s="13" t="s">
        <v>3373</v>
      </c>
      <c r="C8" s="13" t="s">
        <v>2385</v>
      </c>
      <c r="D8" s="13" t="s">
        <v>4644</v>
      </c>
      <c r="E8" s="13"/>
      <c r="F8" s="276">
        <v>0.5</v>
      </c>
      <c r="G8" s="863">
        <v>40908</v>
      </c>
      <c r="H8" s="748" t="s">
        <v>6026</v>
      </c>
    </row>
    <row r="9" spans="1:8" x14ac:dyDescent="0.35">
      <c r="A9" s="497" t="s">
        <v>4646</v>
      </c>
      <c r="B9" s="13" t="s">
        <v>3381</v>
      </c>
      <c r="C9" s="13" t="s">
        <v>5404</v>
      </c>
      <c r="D9" s="13" t="s">
        <v>4648</v>
      </c>
      <c r="E9" s="13"/>
      <c r="F9" s="276">
        <v>0.5</v>
      </c>
      <c r="G9" s="863">
        <v>40908</v>
      </c>
      <c r="H9" s="748" t="s">
        <v>6026</v>
      </c>
    </row>
    <row r="10" spans="1:8" x14ac:dyDescent="0.35">
      <c r="A10" s="497" t="s">
        <v>4647</v>
      </c>
      <c r="B10" s="13" t="s">
        <v>3381</v>
      </c>
      <c r="C10" s="13" t="s">
        <v>2385</v>
      </c>
      <c r="D10" s="13" t="s">
        <v>4648</v>
      </c>
      <c r="E10" s="13"/>
      <c r="F10" s="276">
        <v>0.5</v>
      </c>
      <c r="G10" s="863">
        <v>40908</v>
      </c>
      <c r="H10" s="748" t="s">
        <v>6026</v>
      </c>
    </row>
    <row r="11" spans="1:8" x14ac:dyDescent="0.35">
      <c r="G11" s="542"/>
      <c r="H11" s="748" t="s">
        <v>6026</v>
      </c>
    </row>
    <row r="12" spans="1:8" ht="75.75" customHeight="1" x14ac:dyDescent="0.35">
      <c r="A12" s="939" t="s">
        <v>4231</v>
      </c>
      <c r="B12" s="939"/>
      <c r="C12" s="939"/>
      <c r="D12" s="939"/>
      <c r="E12" s="939"/>
      <c r="F12" s="939"/>
      <c r="G12" s="542"/>
      <c r="H12" s="748" t="s">
        <v>6026</v>
      </c>
    </row>
    <row r="13" spans="1:8" x14ac:dyDescent="0.35">
      <c r="F13" s="11"/>
      <c r="G13" s="542"/>
      <c r="H13" s="748" t="s">
        <v>6026</v>
      </c>
    </row>
    <row r="14" spans="1:8" x14ac:dyDescent="0.35">
      <c r="A14" s="268" t="s">
        <v>3940</v>
      </c>
      <c r="B14" s="269" t="s">
        <v>740</v>
      </c>
      <c r="C14" s="269"/>
      <c r="D14" s="269" t="s">
        <v>3941</v>
      </c>
      <c r="E14" s="269"/>
      <c r="F14" s="270"/>
      <c r="G14" s="542" t="s">
        <v>8186</v>
      </c>
      <c r="H14" s="748" t="s">
        <v>6026</v>
      </c>
    </row>
    <row r="15" spans="1:8" x14ac:dyDescent="0.35">
      <c r="F15" s="387"/>
      <c r="G15" s="542"/>
      <c r="H15" s="748" t="s">
        <v>6026</v>
      </c>
    </row>
    <row r="16" spans="1:8" ht="86.25" customHeight="1" x14ac:dyDescent="0.35">
      <c r="A16" s="949" t="s">
        <v>452</v>
      </c>
      <c r="B16" s="950"/>
      <c r="C16" s="950"/>
      <c r="D16" s="950"/>
      <c r="E16" s="950"/>
      <c r="F16" s="951"/>
      <c r="G16" s="542"/>
      <c r="H16" s="748" t="s">
        <v>6026</v>
      </c>
    </row>
    <row r="17" spans="1:15" x14ac:dyDescent="0.35">
      <c r="F17" s="387"/>
      <c r="G17" s="542"/>
      <c r="H17" s="748" t="s">
        <v>6026</v>
      </c>
    </row>
    <row r="18" spans="1:15" x14ac:dyDescent="0.35">
      <c r="A18" s="502" t="s">
        <v>1702</v>
      </c>
      <c r="B18" s="301" t="s">
        <v>5434</v>
      </c>
      <c r="C18" s="301" t="s">
        <v>108</v>
      </c>
      <c r="D18" s="301" t="s">
        <v>3918</v>
      </c>
      <c r="E18" s="301"/>
      <c r="F18" s="368"/>
      <c r="G18" s="542" t="s">
        <v>8186</v>
      </c>
      <c r="H18" s="748" t="s">
        <v>6026</v>
      </c>
      <c r="J18" s="259"/>
    </row>
    <row r="19" spans="1:15" x14ac:dyDescent="0.35">
      <c r="A19" s="502" t="s">
        <v>458</v>
      </c>
      <c r="B19" s="301" t="s">
        <v>5434</v>
      </c>
      <c r="C19" s="301" t="s">
        <v>108</v>
      </c>
      <c r="D19" s="301" t="s">
        <v>3919</v>
      </c>
      <c r="E19" s="301"/>
      <c r="F19" s="368"/>
      <c r="G19" s="542" t="s">
        <v>8186</v>
      </c>
      <c r="H19" s="748" t="s">
        <v>6026</v>
      </c>
      <c r="J19" s="259"/>
    </row>
    <row r="20" spans="1:15" x14ac:dyDescent="0.35">
      <c r="A20" s="502" t="s">
        <v>459</v>
      </c>
      <c r="B20" s="301" t="s">
        <v>5434</v>
      </c>
      <c r="C20" s="301" t="s">
        <v>108</v>
      </c>
      <c r="D20" s="301" t="s">
        <v>3920</v>
      </c>
      <c r="E20" s="301"/>
      <c r="F20" s="368"/>
      <c r="G20" s="542" t="s">
        <v>8186</v>
      </c>
      <c r="H20" s="748" t="s">
        <v>6026</v>
      </c>
      <c r="J20" s="266"/>
    </row>
    <row r="21" spans="1:15" x14ac:dyDescent="0.35">
      <c r="A21" s="502" t="s">
        <v>460</v>
      </c>
      <c r="B21" s="301" t="s">
        <v>5434</v>
      </c>
      <c r="C21" s="301" t="s">
        <v>108</v>
      </c>
      <c r="D21" s="301" t="s">
        <v>3921</v>
      </c>
      <c r="E21" s="301"/>
      <c r="F21" s="368"/>
      <c r="G21" s="542" t="s">
        <v>8186</v>
      </c>
      <c r="H21" s="748" t="s">
        <v>6026</v>
      </c>
      <c r="J21" s="259"/>
    </row>
    <row r="22" spans="1:15" x14ac:dyDescent="0.35">
      <c r="A22" s="502" t="s">
        <v>1703</v>
      </c>
      <c r="B22" s="301" t="s">
        <v>5434</v>
      </c>
      <c r="C22" s="301" t="s">
        <v>109</v>
      </c>
      <c r="D22" s="301" t="s">
        <v>3918</v>
      </c>
      <c r="E22" s="301"/>
      <c r="F22" s="368"/>
      <c r="G22" s="542" t="s">
        <v>8186</v>
      </c>
      <c r="H22" s="748" t="s">
        <v>6026</v>
      </c>
      <c r="J22" s="259"/>
    </row>
    <row r="23" spans="1:15" x14ac:dyDescent="0.35">
      <c r="A23" s="502" t="s">
        <v>461</v>
      </c>
      <c r="B23" s="301" t="s">
        <v>5434</v>
      </c>
      <c r="C23" s="301" t="s">
        <v>109</v>
      </c>
      <c r="D23" s="301" t="s">
        <v>3919</v>
      </c>
      <c r="E23" s="301"/>
      <c r="F23" s="368"/>
      <c r="G23" s="542" t="s">
        <v>8186</v>
      </c>
      <c r="H23" s="748" t="s">
        <v>6026</v>
      </c>
      <c r="J23" s="259"/>
    </row>
    <row r="24" spans="1:15" x14ac:dyDescent="0.35">
      <c r="A24" s="502" t="s">
        <v>462</v>
      </c>
      <c r="B24" s="301" t="s">
        <v>5434</v>
      </c>
      <c r="C24" s="301" t="s">
        <v>109</v>
      </c>
      <c r="D24" s="301" t="s">
        <v>3920</v>
      </c>
      <c r="E24" s="301"/>
      <c r="F24" s="368"/>
      <c r="G24" s="542" t="s">
        <v>8186</v>
      </c>
      <c r="H24" s="748" t="s">
        <v>6026</v>
      </c>
      <c r="J24" s="259"/>
    </row>
    <row r="25" spans="1:15" x14ac:dyDescent="0.35">
      <c r="A25" s="502" t="s">
        <v>463</v>
      </c>
      <c r="B25" s="301" t="s">
        <v>5434</v>
      </c>
      <c r="C25" s="301" t="s">
        <v>109</v>
      </c>
      <c r="D25" s="301" t="s">
        <v>3921</v>
      </c>
      <c r="E25" s="301"/>
      <c r="F25" s="368"/>
      <c r="G25" s="542" t="s">
        <v>8186</v>
      </c>
      <c r="H25" s="748" t="s">
        <v>6026</v>
      </c>
      <c r="J25" s="259"/>
    </row>
    <row r="26" spans="1:15" x14ac:dyDescent="0.35">
      <c r="A26" s="502" t="s">
        <v>1704</v>
      </c>
      <c r="B26" s="301" t="s">
        <v>5434</v>
      </c>
      <c r="C26" s="301" t="s">
        <v>110</v>
      </c>
      <c r="D26" s="301" t="s">
        <v>3918</v>
      </c>
      <c r="E26" s="301"/>
      <c r="F26" s="368"/>
      <c r="G26" s="542" t="s">
        <v>8186</v>
      </c>
      <c r="H26" s="748" t="s">
        <v>6026</v>
      </c>
      <c r="J26" s="259"/>
    </row>
    <row r="27" spans="1:15" x14ac:dyDescent="0.35">
      <c r="A27" s="502" t="s">
        <v>464</v>
      </c>
      <c r="B27" s="301" t="s">
        <v>5434</v>
      </c>
      <c r="C27" s="301" t="s">
        <v>110</v>
      </c>
      <c r="D27" s="301" t="s">
        <v>3919</v>
      </c>
      <c r="E27" s="301"/>
      <c r="F27" s="368"/>
      <c r="G27" s="542" t="s">
        <v>8186</v>
      </c>
      <c r="H27" s="748" t="s">
        <v>6026</v>
      </c>
      <c r="J27" s="259"/>
    </row>
    <row r="28" spans="1:15" x14ac:dyDescent="0.35">
      <c r="A28" s="502" t="s">
        <v>465</v>
      </c>
      <c r="B28" s="301" t="s">
        <v>5434</v>
      </c>
      <c r="C28" s="301" t="s">
        <v>110</v>
      </c>
      <c r="D28" s="301" t="s">
        <v>3920</v>
      </c>
      <c r="E28" s="301"/>
      <c r="F28" s="368"/>
      <c r="G28" s="542" t="s">
        <v>8186</v>
      </c>
      <c r="H28" s="748" t="s">
        <v>6026</v>
      </c>
      <c r="J28" s="259"/>
      <c r="K28" s="92"/>
    </row>
    <row r="29" spans="1:15" x14ac:dyDescent="0.35">
      <c r="A29" s="502" t="s">
        <v>466</v>
      </c>
      <c r="B29" s="301" t="s">
        <v>5434</v>
      </c>
      <c r="C29" s="301" t="s">
        <v>110</v>
      </c>
      <c r="D29" s="301" t="s">
        <v>3921</v>
      </c>
      <c r="E29" s="301"/>
      <c r="F29" s="368"/>
      <c r="G29" s="542" t="s">
        <v>8186</v>
      </c>
      <c r="H29" s="748" t="s">
        <v>6026</v>
      </c>
      <c r="J29" s="259"/>
      <c r="K29" s="92"/>
    </row>
    <row r="30" spans="1:15" x14ac:dyDescent="0.35">
      <c r="A30" s="502" t="s">
        <v>1705</v>
      </c>
      <c r="B30" s="301" t="s">
        <v>5434</v>
      </c>
      <c r="C30" s="301" t="s">
        <v>117</v>
      </c>
      <c r="D30" s="301" t="s">
        <v>3918</v>
      </c>
      <c r="E30" s="301"/>
      <c r="F30" s="368"/>
      <c r="G30" s="542" t="s">
        <v>8186</v>
      </c>
      <c r="H30" s="748" t="s">
        <v>6026</v>
      </c>
      <c r="I30" s="336"/>
      <c r="J30" s="109"/>
      <c r="K30" s="92"/>
      <c r="L30" s="92"/>
      <c r="M30" s="92"/>
      <c r="N30" s="92"/>
      <c r="O30" s="92"/>
    </row>
    <row r="31" spans="1:15" x14ac:dyDescent="0.35">
      <c r="A31" s="502" t="s">
        <v>467</v>
      </c>
      <c r="B31" s="301" t="s">
        <v>5434</v>
      </c>
      <c r="C31" s="301" t="s">
        <v>117</v>
      </c>
      <c r="D31" s="301" t="s">
        <v>3919</v>
      </c>
      <c r="E31" s="301"/>
      <c r="F31" s="368"/>
      <c r="G31" s="542" t="s">
        <v>8186</v>
      </c>
      <c r="H31" s="748" t="s">
        <v>6026</v>
      </c>
      <c r="I31" s="336"/>
      <c r="J31" s="259"/>
      <c r="K31" s="92"/>
    </row>
    <row r="32" spans="1:15" x14ac:dyDescent="0.35">
      <c r="A32" s="502" t="s">
        <v>468</v>
      </c>
      <c r="B32" s="301" t="s">
        <v>5434</v>
      </c>
      <c r="C32" s="301" t="s">
        <v>117</v>
      </c>
      <c r="D32" s="301" t="s">
        <v>3920</v>
      </c>
      <c r="E32" s="301"/>
      <c r="F32" s="368"/>
      <c r="G32" s="542" t="s">
        <v>8186</v>
      </c>
      <c r="H32" s="748" t="s">
        <v>6026</v>
      </c>
      <c r="I32" s="336"/>
      <c r="J32" s="259"/>
      <c r="K32" s="92"/>
    </row>
    <row r="33" spans="1:18" x14ac:dyDescent="0.35">
      <c r="A33" s="502" t="s">
        <v>469</v>
      </c>
      <c r="B33" s="301" t="s">
        <v>5434</v>
      </c>
      <c r="C33" s="301" t="s">
        <v>117</v>
      </c>
      <c r="D33" s="301" t="s">
        <v>3921</v>
      </c>
      <c r="E33" s="301"/>
      <c r="F33" s="368"/>
      <c r="G33" s="542" t="s">
        <v>8186</v>
      </c>
      <c r="H33" s="748" t="s">
        <v>6026</v>
      </c>
      <c r="I33" s="336"/>
      <c r="J33" s="109"/>
      <c r="K33" s="92"/>
      <c r="L33" s="92"/>
      <c r="M33" s="92"/>
      <c r="N33" s="92"/>
      <c r="O33" s="92"/>
    </row>
    <row r="34" spans="1:18" x14ac:dyDescent="0.35">
      <c r="A34" s="502" t="s">
        <v>1706</v>
      </c>
      <c r="B34" s="301" t="s">
        <v>5434</v>
      </c>
      <c r="C34" s="301" t="s">
        <v>118</v>
      </c>
      <c r="D34" s="301" t="s">
        <v>3918</v>
      </c>
      <c r="E34" s="301"/>
      <c r="F34" s="368"/>
      <c r="G34" s="542" t="s">
        <v>8186</v>
      </c>
      <c r="H34" s="748" t="s">
        <v>6026</v>
      </c>
      <c r="I34" s="336"/>
      <c r="J34" s="109"/>
      <c r="K34" s="92"/>
      <c r="L34" s="92"/>
      <c r="M34" s="92"/>
      <c r="N34" s="92"/>
      <c r="O34" s="92"/>
    </row>
    <row r="35" spans="1:18" x14ac:dyDescent="0.35">
      <c r="A35" s="502" t="s">
        <v>470</v>
      </c>
      <c r="B35" s="301" t="s">
        <v>5434</v>
      </c>
      <c r="C35" s="301" t="s">
        <v>118</v>
      </c>
      <c r="D35" s="301" t="s">
        <v>3919</v>
      </c>
      <c r="E35" s="301"/>
      <c r="F35" s="368"/>
      <c r="G35" s="542" t="s">
        <v>8186</v>
      </c>
      <c r="H35" s="748" t="s">
        <v>6026</v>
      </c>
      <c r="I35" s="336"/>
      <c r="J35" s="259"/>
      <c r="K35" s="92"/>
    </row>
    <row r="36" spans="1:18" x14ac:dyDescent="0.35">
      <c r="A36" s="502" t="s">
        <v>471</v>
      </c>
      <c r="B36" s="301" t="s">
        <v>5434</v>
      </c>
      <c r="C36" s="301" t="s">
        <v>118</v>
      </c>
      <c r="D36" s="301" t="s">
        <v>3920</v>
      </c>
      <c r="E36" s="301"/>
      <c r="F36" s="368"/>
      <c r="G36" s="542" t="s">
        <v>8186</v>
      </c>
      <c r="H36" s="748" t="s">
        <v>6026</v>
      </c>
      <c r="I36" s="336"/>
    </row>
    <row r="37" spans="1:18" x14ac:dyDescent="0.35">
      <c r="A37" s="502" t="s">
        <v>472</v>
      </c>
      <c r="B37" s="301" t="s">
        <v>5434</v>
      </c>
      <c r="C37" s="301" t="s">
        <v>118</v>
      </c>
      <c r="D37" s="301" t="s">
        <v>3921</v>
      </c>
      <c r="E37" s="301"/>
      <c r="F37" s="368"/>
      <c r="G37" s="542" t="s">
        <v>8186</v>
      </c>
      <c r="H37" s="748" t="s">
        <v>6026</v>
      </c>
      <c r="I37" s="336"/>
    </row>
    <row r="38" spans="1:18" x14ac:dyDescent="0.35">
      <c r="A38" s="203"/>
      <c r="G38" s="542"/>
      <c r="H38" s="748" t="s">
        <v>6026</v>
      </c>
    </row>
    <row r="39" spans="1:18" x14ac:dyDescent="0.35">
      <c r="A39" s="502" t="s">
        <v>1690</v>
      </c>
      <c r="B39" s="301" t="s">
        <v>740</v>
      </c>
      <c r="C39" s="301" t="s">
        <v>108</v>
      </c>
      <c r="D39" s="301" t="s">
        <v>3903</v>
      </c>
      <c r="E39" s="301"/>
      <c r="F39" s="368" t="s">
        <v>4179</v>
      </c>
      <c r="G39" s="542" t="s">
        <v>8186</v>
      </c>
      <c r="H39" s="748" t="s">
        <v>6026</v>
      </c>
      <c r="I39" s="108"/>
      <c r="J39" s="266"/>
      <c r="K39" s="277"/>
      <c r="L39" s="261" t="str">
        <f>IF(K39&lt;&gt;"",'EEG-Vergütungen und vNNE'!Q4398*(100%-$K39),"")</f>
        <v/>
      </c>
    </row>
    <row r="40" spans="1:18" x14ac:dyDescent="0.35">
      <c r="A40" s="502" t="s">
        <v>1691</v>
      </c>
      <c r="B40" s="301" t="s">
        <v>740</v>
      </c>
      <c r="C40" s="301" t="s">
        <v>109</v>
      </c>
      <c r="D40" s="301" t="s">
        <v>3903</v>
      </c>
      <c r="E40" s="301"/>
      <c r="F40" s="368" t="s">
        <v>4179</v>
      </c>
      <c r="G40" s="542" t="s">
        <v>8186</v>
      </c>
      <c r="H40" s="748" t="s">
        <v>6026</v>
      </c>
      <c r="I40" s="108"/>
      <c r="J40" s="266"/>
      <c r="K40" s="277"/>
      <c r="L40" s="261" t="str">
        <f>IF(K40&lt;&gt;"",L39*(100%-$K40),"")</f>
        <v/>
      </c>
    </row>
    <row r="41" spans="1:18" x14ac:dyDescent="0.35">
      <c r="A41" s="502" t="s">
        <v>1692</v>
      </c>
      <c r="B41" s="301" t="s">
        <v>740</v>
      </c>
      <c r="C41" s="301" t="s">
        <v>110</v>
      </c>
      <c r="D41" s="301" t="s">
        <v>3903</v>
      </c>
      <c r="E41" s="301"/>
      <c r="F41" s="368" t="s">
        <v>4179</v>
      </c>
      <c r="G41" s="542" t="s">
        <v>8186</v>
      </c>
      <c r="H41" s="748" t="s">
        <v>6026</v>
      </c>
      <c r="I41" s="108"/>
      <c r="J41" s="266"/>
      <c r="K41" s="277"/>
      <c r="L41" s="261" t="str">
        <f>IF(K41&lt;&gt;"",L40*(100%-$K41),"")</f>
        <v/>
      </c>
    </row>
    <row r="42" spans="1:18" x14ac:dyDescent="0.35">
      <c r="A42" s="502" t="s">
        <v>1693</v>
      </c>
      <c r="B42" s="301" t="s">
        <v>740</v>
      </c>
      <c r="C42" s="301" t="s">
        <v>117</v>
      </c>
      <c r="D42" s="301" t="s">
        <v>3903</v>
      </c>
      <c r="E42" s="301"/>
      <c r="F42" s="368" t="s">
        <v>4179</v>
      </c>
      <c r="G42" s="542" t="s">
        <v>8186</v>
      </c>
      <c r="H42" s="748" t="s">
        <v>6026</v>
      </c>
      <c r="I42" s="108"/>
      <c r="J42" s="266"/>
      <c r="K42" s="277"/>
      <c r="L42" s="261" t="str">
        <f>IF(K42&lt;&gt;"",L41*(100%-$K42),"")</f>
        <v/>
      </c>
    </row>
    <row r="43" spans="1:18" x14ac:dyDescent="0.35">
      <c r="A43" s="502" t="s">
        <v>1694</v>
      </c>
      <c r="B43" s="301" t="s">
        <v>740</v>
      </c>
      <c r="C43" s="301" t="s">
        <v>118</v>
      </c>
      <c r="D43" s="301" t="s">
        <v>3903</v>
      </c>
      <c r="E43" s="301"/>
      <c r="F43" s="368" t="s">
        <v>4179</v>
      </c>
      <c r="G43" s="542" t="s">
        <v>8186</v>
      </c>
      <c r="H43" s="748" t="s">
        <v>6026</v>
      </c>
      <c r="I43" s="108"/>
      <c r="J43" s="266"/>
      <c r="K43" s="277"/>
      <c r="L43" s="261" t="str">
        <f>IF(K43&lt;&gt;"",L42*(100%-$K43),"")</f>
        <v/>
      </c>
    </row>
    <row r="44" spans="1:18" x14ac:dyDescent="0.35">
      <c r="G44" s="542"/>
      <c r="H44" s="748"/>
    </row>
    <row r="45" spans="1:18" ht="23.5" x14ac:dyDescent="0.55000000000000004">
      <c r="A45" s="89" t="s">
        <v>6077</v>
      </c>
      <c r="B45" s="50"/>
      <c r="C45" s="50"/>
      <c r="D45" s="50"/>
      <c r="E45" s="50"/>
      <c r="F45" s="363"/>
      <c r="G45" s="542"/>
      <c r="H45" s="749">
        <v>42705</v>
      </c>
      <c r="M45" s="187"/>
      <c r="N45" s="187"/>
      <c r="O45" s="187"/>
      <c r="P45" s="187"/>
      <c r="Q45" s="187"/>
      <c r="R45" s="187"/>
    </row>
    <row r="46" spans="1:18" ht="77.25" customHeight="1" x14ac:dyDescent="0.35">
      <c r="A46" s="907" t="s">
        <v>6078</v>
      </c>
      <c r="B46" s="905"/>
      <c r="C46" s="905"/>
      <c r="D46" s="905"/>
      <c r="E46" s="905"/>
      <c r="F46" s="905"/>
      <c r="G46" s="542"/>
      <c r="H46" s="749">
        <v>42705</v>
      </c>
      <c r="M46" s="187"/>
      <c r="N46" s="187"/>
      <c r="O46" s="187"/>
      <c r="P46" s="187"/>
      <c r="Q46" s="187"/>
      <c r="R46" s="187"/>
    </row>
    <row r="47" spans="1:18" x14ac:dyDescent="0.35">
      <c r="F47" s="387"/>
      <c r="G47" s="542"/>
      <c r="H47" s="749" t="s">
        <v>4179</v>
      </c>
    </row>
    <row r="48" spans="1:18" x14ac:dyDescent="0.35">
      <c r="A48" s="300" t="s">
        <v>2197</v>
      </c>
      <c r="B48" s="299" t="s">
        <v>2067</v>
      </c>
      <c r="C48" s="299"/>
      <c r="D48" s="299" t="s">
        <v>2209</v>
      </c>
      <c r="E48" s="299"/>
      <c r="F48" s="393"/>
      <c r="G48" s="863">
        <v>42094</v>
      </c>
      <c r="H48" s="749">
        <v>42705</v>
      </c>
    </row>
    <row r="49" spans="1:8" x14ac:dyDescent="0.35">
      <c r="A49" s="300" t="s">
        <v>2198</v>
      </c>
      <c r="B49" s="299" t="s">
        <v>2067</v>
      </c>
      <c r="C49" s="299"/>
      <c r="D49" s="299" t="s">
        <v>2210</v>
      </c>
      <c r="E49" s="299"/>
      <c r="F49" s="393"/>
      <c r="G49" s="863">
        <v>42094</v>
      </c>
      <c r="H49" s="749">
        <v>42705</v>
      </c>
    </row>
    <row r="50" spans="1:8" x14ac:dyDescent="0.35">
      <c r="A50" s="300" t="s">
        <v>2199</v>
      </c>
      <c r="B50" s="299" t="s">
        <v>2067</v>
      </c>
      <c r="C50" s="299"/>
      <c r="D50" s="299" t="s">
        <v>2211</v>
      </c>
      <c r="E50" s="299"/>
      <c r="F50" s="393"/>
      <c r="G50" s="863">
        <v>42094</v>
      </c>
      <c r="H50" s="749">
        <v>42705</v>
      </c>
    </row>
    <row r="51" spans="1:8" x14ac:dyDescent="0.35">
      <c r="A51" s="300" t="s">
        <v>2200</v>
      </c>
      <c r="B51" s="299" t="s">
        <v>2067</v>
      </c>
      <c r="C51" s="299"/>
      <c r="D51" s="299" t="s">
        <v>2212</v>
      </c>
      <c r="E51" s="299"/>
      <c r="F51" s="393"/>
      <c r="G51" s="863">
        <v>42094</v>
      </c>
      <c r="H51" s="749">
        <v>42705</v>
      </c>
    </row>
    <row r="52" spans="1:8" x14ac:dyDescent="0.35">
      <c r="A52" s="300" t="s">
        <v>2201</v>
      </c>
      <c r="B52" s="299" t="s">
        <v>2067</v>
      </c>
      <c r="C52" s="299"/>
      <c r="D52" s="299" t="s">
        <v>2213</v>
      </c>
      <c r="E52" s="299"/>
      <c r="F52" s="393"/>
      <c r="G52" s="863">
        <v>42094</v>
      </c>
      <c r="H52" s="749">
        <v>42705</v>
      </c>
    </row>
    <row r="53" spans="1:8" x14ac:dyDescent="0.35">
      <c r="A53" s="300" t="s">
        <v>2202</v>
      </c>
      <c r="B53" s="299" t="s">
        <v>2067</v>
      </c>
      <c r="C53" s="299"/>
      <c r="D53" s="299" t="s">
        <v>2214</v>
      </c>
      <c r="E53" s="299"/>
      <c r="F53" s="393"/>
      <c r="G53" s="863">
        <v>42094</v>
      </c>
      <c r="H53" s="749">
        <v>42705</v>
      </c>
    </row>
    <row r="54" spans="1:8" x14ac:dyDescent="0.35">
      <c r="A54" s="300" t="s">
        <v>2203</v>
      </c>
      <c r="B54" s="299" t="s">
        <v>2067</v>
      </c>
      <c r="C54" s="299"/>
      <c r="D54" s="299" t="s">
        <v>2215</v>
      </c>
      <c r="E54" s="299"/>
      <c r="F54" s="393"/>
      <c r="G54" s="863">
        <v>42094</v>
      </c>
      <c r="H54" s="749">
        <v>42705</v>
      </c>
    </row>
    <row r="55" spans="1:8" x14ac:dyDescent="0.35">
      <c r="A55" s="300" t="s">
        <v>2204</v>
      </c>
      <c r="B55" s="299" t="s">
        <v>2067</v>
      </c>
      <c r="C55" s="299"/>
      <c r="D55" s="299" t="s">
        <v>2216</v>
      </c>
      <c r="E55" s="299"/>
      <c r="F55" s="393"/>
      <c r="G55" s="863">
        <v>42094</v>
      </c>
      <c r="H55" s="749">
        <v>42705</v>
      </c>
    </row>
    <row r="56" spans="1:8" x14ac:dyDescent="0.35">
      <c r="A56" s="300" t="s">
        <v>2205</v>
      </c>
      <c r="B56" s="299" t="s">
        <v>2067</v>
      </c>
      <c r="C56" s="299"/>
      <c r="D56" s="299" t="s">
        <v>2217</v>
      </c>
      <c r="E56" s="299"/>
      <c r="F56" s="393"/>
      <c r="G56" s="863">
        <v>42094</v>
      </c>
      <c r="H56" s="749">
        <v>42705</v>
      </c>
    </row>
    <row r="57" spans="1:8" x14ac:dyDescent="0.35">
      <c r="A57" s="300" t="s">
        <v>2206</v>
      </c>
      <c r="B57" s="299" t="s">
        <v>2067</v>
      </c>
      <c r="C57" s="299"/>
      <c r="D57" s="299" t="s">
        <v>2218</v>
      </c>
      <c r="E57" s="299"/>
      <c r="F57" s="393"/>
      <c r="G57" s="863">
        <v>42094</v>
      </c>
      <c r="H57" s="749">
        <v>42705</v>
      </c>
    </row>
    <row r="58" spans="1:8" x14ac:dyDescent="0.35">
      <c r="A58" s="300" t="s">
        <v>2207</v>
      </c>
      <c r="B58" s="299" t="s">
        <v>2067</v>
      </c>
      <c r="C58" s="299"/>
      <c r="D58" s="299" t="s">
        <v>2219</v>
      </c>
      <c r="E58" s="299"/>
      <c r="F58" s="393"/>
      <c r="G58" s="863">
        <v>42094</v>
      </c>
      <c r="H58" s="749">
        <v>42705</v>
      </c>
    </row>
    <row r="59" spans="1:8" x14ac:dyDescent="0.35">
      <c r="A59" s="300" t="s">
        <v>2208</v>
      </c>
      <c r="B59" s="299" t="s">
        <v>2067</v>
      </c>
      <c r="C59" s="299"/>
      <c r="D59" s="299" t="s">
        <v>2220</v>
      </c>
      <c r="E59" s="299"/>
      <c r="F59" s="393"/>
      <c r="G59" s="863">
        <v>42094</v>
      </c>
      <c r="H59" s="749">
        <v>42705</v>
      </c>
    </row>
    <row r="60" spans="1:8" x14ac:dyDescent="0.35">
      <c r="A60" s="250"/>
      <c r="B60" s="251"/>
      <c r="C60" s="251"/>
      <c r="D60" s="251"/>
      <c r="E60" s="251"/>
      <c r="F60" s="392"/>
      <c r="G60" s="542"/>
      <c r="H60" s="749" t="s">
        <v>4179</v>
      </c>
    </row>
    <row r="61" spans="1:8" x14ac:dyDescent="0.35">
      <c r="A61" s="300" t="s">
        <v>2946</v>
      </c>
      <c r="B61" s="299" t="s">
        <v>3373</v>
      </c>
      <c r="C61" s="299"/>
      <c r="D61" s="299" t="s">
        <v>2209</v>
      </c>
      <c r="E61" s="299"/>
      <c r="F61" s="393"/>
      <c r="G61" s="863">
        <v>42094</v>
      </c>
      <c r="H61" s="749">
        <v>42705</v>
      </c>
    </row>
    <row r="62" spans="1:8" x14ac:dyDescent="0.35">
      <c r="A62" s="300" t="s">
        <v>2947</v>
      </c>
      <c r="B62" s="299" t="s">
        <v>3373</v>
      </c>
      <c r="C62" s="299"/>
      <c r="D62" s="299" t="s">
        <v>2210</v>
      </c>
      <c r="E62" s="299"/>
      <c r="F62" s="393"/>
      <c r="G62" s="863">
        <v>42094</v>
      </c>
      <c r="H62" s="749">
        <v>42705</v>
      </c>
    </row>
    <row r="63" spans="1:8" x14ac:dyDescent="0.35">
      <c r="A63" s="300" t="s">
        <v>2948</v>
      </c>
      <c r="B63" s="299" t="s">
        <v>3373</v>
      </c>
      <c r="C63" s="299"/>
      <c r="D63" s="299" t="s">
        <v>2211</v>
      </c>
      <c r="E63" s="299"/>
      <c r="F63" s="393"/>
      <c r="G63" s="863">
        <v>42094</v>
      </c>
      <c r="H63" s="749">
        <v>42705</v>
      </c>
    </row>
    <row r="64" spans="1:8" x14ac:dyDescent="0.35">
      <c r="A64" s="300" t="s">
        <v>2949</v>
      </c>
      <c r="B64" s="299" t="s">
        <v>3373</v>
      </c>
      <c r="C64" s="299"/>
      <c r="D64" s="299" t="s">
        <v>2212</v>
      </c>
      <c r="E64" s="299"/>
      <c r="F64" s="393"/>
      <c r="G64" s="863">
        <v>42094</v>
      </c>
      <c r="H64" s="749">
        <v>42705</v>
      </c>
    </row>
    <row r="65" spans="1:8" x14ac:dyDescent="0.35">
      <c r="A65" s="300" t="s">
        <v>2950</v>
      </c>
      <c r="B65" s="299" t="s">
        <v>3373</v>
      </c>
      <c r="C65" s="299"/>
      <c r="D65" s="299" t="s">
        <v>2213</v>
      </c>
      <c r="E65" s="299"/>
      <c r="F65" s="393"/>
      <c r="G65" s="863">
        <v>42094</v>
      </c>
      <c r="H65" s="749">
        <v>42705</v>
      </c>
    </row>
    <row r="66" spans="1:8" x14ac:dyDescent="0.35">
      <c r="A66" s="300" t="s">
        <v>2951</v>
      </c>
      <c r="B66" s="299" t="s">
        <v>3373</v>
      </c>
      <c r="C66" s="299"/>
      <c r="D66" s="299" t="s">
        <v>2214</v>
      </c>
      <c r="E66" s="299"/>
      <c r="F66" s="393"/>
      <c r="G66" s="863">
        <v>42094</v>
      </c>
      <c r="H66" s="749">
        <v>42705</v>
      </c>
    </row>
    <row r="67" spans="1:8" x14ac:dyDescent="0.35">
      <c r="A67" s="300" t="s">
        <v>2952</v>
      </c>
      <c r="B67" s="299" t="s">
        <v>3373</v>
      </c>
      <c r="C67" s="299"/>
      <c r="D67" s="299" t="s">
        <v>2215</v>
      </c>
      <c r="E67" s="299"/>
      <c r="F67" s="393"/>
      <c r="G67" s="863">
        <v>42094</v>
      </c>
      <c r="H67" s="749">
        <v>42705</v>
      </c>
    </row>
    <row r="68" spans="1:8" x14ac:dyDescent="0.35">
      <c r="A68" s="300" t="s">
        <v>2953</v>
      </c>
      <c r="B68" s="299" t="s">
        <v>3373</v>
      </c>
      <c r="C68" s="299"/>
      <c r="D68" s="299" t="s">
        <v>2216</v>
      </c>
      <c r="E68" s="299"/>
      <c r="F68" s="393"/>
      <c r="G68" s="863">
        <v>42094</v>
      </c>
      <c r="H68" s="749">
        <v>42705</v>
      </c>
    </row>
    <row r="69" spans="1:8" x14ac:dyDescent="0.35">
      <c r="A69" s="300" t="s">
        <v>2954</v>
      </c>
      <c r="B69" s="299" t="s">
        <v>3373</v>
      </c>
      <c r="C69" s="299"/>
      <c r="D69" s="299" t="s">
        <v>2217</v>
      </c>
      <c r="E69" s="299"/>
      <c r="F69" s="393"/>
      <c r="G69" s="863">
        <v>42094</v>
      </c>
      <c r="H69" s="749">
        <v>42705</v>
      </c>
    </row>
    <row r="70" spans="1:8" x14ac:dyDescent="0.35">
      <c r="A70" s="300" t="s">
        <v>2955</v>
      </c>
      <c r="B70" s="299" t="s">
        <v>3373</v>
      </c>
      <c r="C70" s="299"/>
      <c r="D70" s="299" t="s">
        <v>2218</v>
      </c>
      <c r="E70" s="299"/>
      <c r="F70" s="393"/>
      <c r="G70" s="863">
        <v>42094</v>
      </c>
      <c r="H70" s="749">
        <v>42705</v>
      </c>
    </row>
    <row r="71" spans="1:8" x14ac:dyDescent="0.35">
      <c r="A71" s="300" t="s">
        <v>2956</v>
      </c>
      <c r="B71" s="299" t="s">
        <v>3373</v>
      </c>
      <c r="C71" s="299"/>
      <c r="D71" s="299" t="s">
        <v>2219</v>
      </c>
      <c r="E71" s="299"/>
      <c r="F71" s="393"/>
      <c r="G71" s="863">
        <v>42094</v>
      </c>
      <c r="H71" s="749">
        <v>42705</v>
      </c>
    </row>
    <row r="72" spans="1:8" x14ac:dyDescent="0.35">
      <c r="A72" s="300" t="s">
        <v>2957</v>
      </c>
      <c r="B72" s="299" t="s">
        <v>3373</v>
      </c>
      <c r="C72" s="299"/>
      <c r="D72" s="299" t="s">
        <v>2220</v>
      </c>
      <c r="E72" s="299"/>
      <c r="F72" s="393"/>
      <c r="G72" s="863">
        <v>42094</v>
      </c>
      <c r="H72" s="749">
        <v>42705</v>
      </c>
    </row>
    <row r="73" spans="1:8" x14ac:dyDescent="0.35">
      <c r="A73" s="250"/>
      <c r="B73" s="251"/>
      <c r="C73" s="251"/>
      <c r="D73" s="251"/>
      <c r="E73" s="251"/>
      <c r="F73" s="392"/>
      <c r="G73" s="542"/>
      <c r="H73" s="749" t="s">
        <v>4179</v>
      </c>
    </row>
    <row r="74" spans="1:8" x14ac:dyDescent="0.35">
      <c r="A74" s="300" t="s">
        <v>2958</v>
      </c>
      <c r="B74" s="299" t="s">
        <v>3381</v>
      </c>
      <c r="C74" s="299"/>
      <c r="D74" s="299" t="s">
        <v>2209</v>
      </c>
      <c r="E74" s="299"/>
      <c r="F74" s="393"/>
      <c r="G74" s="863">
        <v>42094</v>
      </c>
      <c r="H74" s="749">
        <v>42705</v>
      </c>
    </row>
    <row r="75" spans="1:8" x14ac:dyDescent="0.35">
      <c r="A75" s="300" t="s">
        <v>2959</v>
      </c>
      <c r="B75" s="299" t="s">
        <v>3381</v>
      </c>
      <c r="C75" s="299"/>
      <c r="D75" s="299" t="s">
        <v>2210</v>
      </c>
      <c r="E75" s="299"/>
      <c r="F75" s="393"/>
      <c r="G75" s="863">
        <v>42094</v>
      </c>
      <c r="H75" s="749">
        <v>42705</v>
      </c>
    </row>
    <row r="76" spans="1:8" x14ac:dyDescent="0.35">
      <c r="A76" s="300" t="s">
        <v>2960</v>
      </c>
      <c r="B76" s="299" t="s">
        <v>3381</v>
      </c>
      <c r="C76" s="299"/>
      <c r="D76" s="299" t="s">
        <v>2211</v>
      </c>
      <c r="E76" s="299"/>
      <c r="F76" s="393"/>
      <c r="G76" s="863">
        <v>42094</v>
      </c>
      <c r="H76" s="749">
        <v>42705</v>
      </c>
    </row>
    <row r="77" spans="1:8" x14ac:dyDescent="0.35">
      <c r="A77" s="300" t="s">
        <v>2961</v>
      </c>
      <c r="B77" s="299" t="s">
        <v>3381</v>
      </c>
      <c r="C77" s="299"/>
      <c r="D77" s="299" t="s">
        <v>2212</v>
      </c>
      <c r="E77" s="299"/>
      <c r="F77" s="393"/>
      <c r="G77" s="863">
        <v>42094</v>
      </c>
      <c r="H77" s="749">
        <v>42705</v>
      </c>
    </row>
    <row r="78" spans="1:8" x14ac:dyDescent="0.35">
      <c r="A78" s="300" t="s">
        <v>2962</v>
      </c>
      <c r="B78" s="299" t="s">
        <v>3381</v>
      </c>
      <c r="C78" s="299"/>
      <c r="D78" s="299" t="s">
        <v>2213</v>
      </c>
      <c r="E78" s="299"/>
      <c r="F78" s="393"/>
      <c r="G78" s="863">
        <v>42094</v>
      </c>
      <c r="H78" s="749">
        <v>42705</v>
      </c>
    </row>
    <row r="79" spans="1:8" x14ac:dyDescent="0.35">
      <c r="A79" s="300" t="s">
        <v>2963</v>
      </c>
      <c r="B79" s="299" t="s">
        <v>3381</v>
      </c>
      <c r="C79" s="299"/>
      <c r="D79" s="299" t="s">
        <v>2214</v>
      </c>
      <c r="E79" s="299"/>
      <c r="F79" s="393"/>
      <c r="G79" s="863">
        <v>42094</v>
      </c>
      <c r="H79" s="749">
        <v>42705</v>
      </c>
    </row>
    <row r="80" spans="1:8" x14ac:dyDescent="0.35">
      <c r="A80" s="300" t="s">
        <v>2964</v>
      </c>
      <c r="B80" s="299" t="s">
        <v>3381</v>
      </c>
      <c r="C80" s="299"/>
      <c r="D80" s="299" t="s">
        <v>2215</v>
      </c>
      <c r="E80" s="299"/>
      <c r="F80" s="393"/>
      <c r="G80" s="863">
        <v>42094</v>
      </c>
      <c r="H80" s="749">
        <v>42705</v>
      </c>
    </row>
    <row r="81" spans="1:8" x14ac:dyDescent="0.35">
      <c r="A81" s="300" t="s">
        <v>2965</v>
      </c>
      <c r="B81" s="299" t="s">
        <v>3381</v>
      </c>
      <c r="C81" s="299"/>
      <c r="D81" s="299" t="s">
        <v>2216</v>
      </c>
      <c r="E81" s="299"/>
      <c r="F81" s="393"/>
      <c r="G81" s="863">
        <v>42094</v>
      </c>
      <c r="H81" s="749">
        <v>42705</v>
      </c>
    </row>
    <row r="82" spans="1:8" x14ac:dyDescent="0.35">
      <c r="A82" s="300" t="s">
        <v>2966</v>
      </c>
      <c r="B82" s="299" t="s">
        <v>3381</v>
      </c>
      <c r="C82" s="299"/>
      <c r="D82" s="299" t="s">
        <v>2217</v>
      </c>
      <c r="E82" s="299"/>
      <c r="F82" s="393"/>
      <c r="G82" s="863">
        <v>42094</v>
      </c>
      <c r="H82" s="749">
        <v>42705</v>
      </c>
    </row>
    <row r="83" spans="1:8" x14ac:dyDescent="0.35">
      <c r="A83" s="300" t="s">
        <v>2967</v>
      </c>
      <c r="B83" s="299" t="s">
        <v>3381</v>
      </c>
      <c r="C83" s="299"/>
      <c r="D83" s="299" t="s">
        <v>2218</v>
      </c>
      <c r="E83" s="299"/>
      <c r="F83" s="393"/>
      <c r="G83" s="863">
        <v>42094</v>
      </c>
      <c r="H83" s="749">
        <v>42705</v>
      </c>
    </row>
    <row r="84" spans="1:8" x14ac:dyDescent="0.35">
      <c r="A84" s="300" t="s">
        <v>2968</v>
      </c>
      <c r="B84" s="299" t="s">
        <v>3381</v>
      </c>
      <c r="C84" s="299"/>
      <c r="D84" s="299" t="s">
        <v>2219</v>
      </c>
      <c r="E84" s="299"/>
      <c r="F84" s="393"/>
      <c r="G84" s="863">
        <v>42094</v>
      </c>
      <c r="H84" s="749">
        <v>42705</v>
      </c>
    </row>
    <row r="85" spans="1:8" x14ac:dyDescent="0.35">
      <c r="A85" s="300" t="s">
        <v>2969</v>
      </c>
      <c r="B85" s="299" t="s">
        <v>3381</v>
      </c>
      <c r="C85" s="299"/>
      <c r="D85" s="299" t="s">
        <v>2220</v>
      </c>
      <c r="E85" s="299"/>
      <c r="F85" s="393"/>
      <c r="G85" s="863">
        <v>42094</v>
      </c>
      <c r="H85" s="749">
        <v>42705</v>
      </c>
    </row>
    <row r="86" spans="1:8" x14ac:dyDescent="0.35">
      <c r="A86" s="250"/>
      <c r="B86" s="251"/>
      <c r="C86" s="251"/>
      <c r="D86" s="251"/>
      <c r="E86" s="251"/>
      <c r="F86" s="392"/>
      <c r="G86" s="542"/>
      <c r="H86" s="749" t="s">
        <v>4179</v>
      </c>
    </row>
    <row r="87" spans="1:8" x14ac:dyDescent="0.35">
      <c r="A87" s="300" t="s">
        <v>2970</v>
      </c>
      <c r="B87" s="299" t="s">
        <v>3389</v>
      </c>
      <c r="C87" s="299"/>
      <c r="D87" s="299" t="s">
        <v>2209</v>
      </c>
      <c r="E87" s="299"/>
      <c r="F87" s="393"/>
      <c r="G87" s="863">
        <v>42094</v>
      </c>
      <c r="H87" s="749">
        <v>42705</v>
      </c>
    </row>
    <row r="88" spans="1:8" x14ac:dyDescent="0.35">
      <c r="A88" s="300" t="s">
        <v>2971</v>
      </c>
      <c r="B88" s="299" t="s">
        <v>3389</v>
      </c>
      <c r="C88" s="299"/>
      <c r="D88" s="299" t="s">
        <v>2210</v>
      </c>
      <c r="E88" s="299"/>
      <c r="F88" s="393"/>
      <c r="G88" s="863">
        <v>42094</v>
      </c>
      <c r="H88" s="749">
        <v>42705</v>
      </c>
    </row>
    <row r="89" spans="1:8" x14ac:dyDescent="0.35">
      <c r="A89" s="300" t="s">
        <v>2972</v>
      </c>
      <c r="B89" s="299" t="s">
        <v>3389</v>
      </c>
      <c r="C89" s="299"/>
      <c r="D89" s="299" t="s">
        <v>2211</v>
      </c>
      <c r="E89" s="299"/>
      <c r="F89" s="393"/>
      <c r="G89" s="863">
        <v>42094</v>
      </c>
      <c r="H89" s="749">
        <v>42705</v>
      </c>
    </row>
    <row r="90" spans="1:8" x14ac:dyDescent="0.35">
      <c r="A90" s="300" t="s">
        <v>2973</v>
      </c>
      <c r="B90" s="299" t="s">
        <v>3389</v>
      </c>
      <c r="C90" s="299"/>
      <c r="D90" s="299" t="s">
        <v>2212</v>
      </c>
      <c r="E90" s="299"/>
      <c r="F90" s="393"/>
      <c r="G90" s="863">
        <v>42094</v>
      </c>
      <c r="H90" s="749">
        <v>42705</v>
      </c>
    </row>
    <row r="91" spans="1:8" x14ac:dyDescent="0.35">
      <c r="A91" s="300" t="s">
        <v>2974</v>
      </c>
      <c r="B91" s="299" t="s">
        <v>3389</v>
      </c>
      <c r="C91" s="299"/>
      <c r="D91" s="299" t="s">
        <v>2213</v>
      </c>
      <c r="E91" s="299"/>
      <c r="F91" s="393"/>
      <c r="G91" s="863">
        <v>42094</v>
      </c>
      <c r="H91" s="749">
        <v>42705</v>
      </c>
    </row>
    <row r="92" spans="1:8" x14ac:dyDescent="0.35">
      <c r="A92" s="300" t="s">
        <v>2975</v>
      </c>
      <c r="B92" s="299" t="s">
        <v>3389</v>
      </c>
      <c r="C92" s="299"/>
      <c r="D92" s="299" t="s">
        <v>2214</v>
      </c>
      <c r="E92" s="299"/>
      <c r="F92" s="393"/>
      <c r="G92" s="863">
        <v>42094</v>
      </c>
      <c r="H92" s="749">
        <v>42705</v>
      </c>
    </row>
    <row r="93" spans="1:8" x14ac:dyDescent="0.35">
      <c r="A93" s="300" t="s">
        <v>2976</v>
      </c>
      <c r="B93" s="299" t="s">
        <v>3389</v>
      </c>
      <c r="C93" s="299"/>
      <c r="D93" s="299" t="s">
        <v>2215</v>
      </c>
      <c r="E93" s="299"/>
      <c r="F93" s="393"/>
      <c r="G93" s="863">
        <v>42094</v>
      </c>
      <c r="H93" s="749">
        <v>42705</v>
      </c>
    </row>
    <row r="94" spans="1:8" x14ac:dyDescent="0.35">
      <c r="A94" s="300" t="s">
        <v>2977</v>
      </c>
      <c r="B94" s="299" t="s">
        <v>3389</v>
      </c>
      <c r="C94" s="299"/>
      <c r="D94" s="299" t="s">
        <v>2216</v>
      </c>
      <c r="E94" s="299"/>
      <c r="F94" s="393"/>
      <c r="G94" s="863">
        <v>42094</v>
      </c>
      <c r="H94" s="749">
        <v>42705</v>
      </c>
    </row>
    <row r="95" spans="1:8" x14ac:dyDescent="0.35">
      <c r="A95" s="300" t="s">
        <v>2978</v>
      </c>
      <c r="B95" s="299" t="s">
        <v>3389</v>
      </c>
      <c r="C95" s="299"/>
      <c r="D95" s="299" t="s">
        <v>2217</v>
      </c>
      <c r="E95" s="299"/>
      <c r="F95" s="393"/>
      <c r="G95" s="863">
        <v>42094</v>
      </c>
      <c r="H95" s="749">
        <v>42705</v>
      </c>
    </row>
    <row r="96" spans="1:8" x14ac:dyDescent="0.35">
      <c r="A96" s="300" t="s">
        <v>2979</v>
      </c>
      <c r="B96" s="299" t="s">
        <v>3389</v>
      </c>
      <c r="C96" s="299"/>
      <c r="D96" s="299" t="s">
        <v>2218</v>
      </c>
      <c r="E96" s="299"/>
      <c r="F96" s="393"/>
      <c r="G96" s="863">
        <v>42094</v>
      </c>
      <c r="H96" s="749">
        <v>42705</v>
      </c>
    </row>
    <row r="97" spans="1:8" x14ac:dyDescent="0.35">
      <c r="A97" s="300" t="s">
        <v>2980</v>
      </c>
      <c r="B97" s="299" t="s">
        <v>3389</v>
      </c>
      <c r="C97" s="299"/>
      <c r="D97" s="299" t="s">
        <v>2219</v>
      </c>
      <c r="E97" s="299"/>
      <c r="F97" s="393"/>
      <c r="G97" s="863">
        <v>42094</v>
      </c>
      <c r="H97" s="749">
        <v>42705</v>
      </c>
    </row>
    <row r="98" spans="1:8" x14ac:dyDescent="0.35">
      <c r="A98" s="300" t="s">
        <v>2981</v>
      </c>
      <c r="B98" s="299" t="s">
        <v>3389</v>
      </c>
      <c r="C98" s="299"/>
      <c r="D98" s="299" t="s">
        <v>2220</v>
      </c>
      <c r="E98" s="299"/>
      <c r="F98" s="393"/>
      <c r="G98" s="863">
        <v>42094</v>
      </c>
      <c r="H98" s="749">
        <v>42705</v>
      </c>
    </row>
    <row r="99" spans="1:8" x14ac:dyDescent="0.35">
      <c r="A99" s="250"/>
      <c r="B99" s="251"/>
      <c r="C99" s="251"/>
      <c r="D99" s="251"/>
      <c r="E99" s="251"/>
      <c r="F99" s="392"/>
      <c r="G99" s="542"/>
      <c r="H99" s="749" t="s">
        <v>4179</v>
      </c>
    </row>
    <row r="100" spans="1:8" x14ac:dyDescent="0.35">
      <c r="A100" s="300" t="s">
        <v>2982</v>
      </c>
      <c r="B100" s="299" t="s">
        <v>740</v>
      </c>
      <c r="C100" s="299"/>
      <c r="D100" s="307" t="s">
        <v>2209</v>
      </c>
      <c r="E100" s="299"/>
      <c r="F100" s="393"/>
      <c r="G100" s="863">
        <v>42094</v>
      </c>
      <c r="H100" s="749">
        <v>42705</v>
      </c>
    </row>
    <row r="101" spans="1:8" x14ac:dyDescent="0.35">
      <c r="A101" s="300" t="s">
        <v>2983</v>
      </c>
      <c r="B101" s="299" t="s">
        <v>740</v>
      </c>
      <c r="C101" s="299"/>
      <c r="D101" s="299" t="s">
        <v>2210</v>
      </c>
      <c r="E101" s="299"/>
      <c r="F101" s="393"/>
      <c r="G101" s="863">
        <v>42094</v>
      </c>
      <c r="H101" s="749">
        <v>42705</v>
      </c>
    </row>
    <row r="102" spans="1:8" x14ac:dyDescent="0.35">
      <c r="A102" s="300" t="s">
        <v>2984</v>
      </c>
      <c r="B102" s="299" t="s">
        <v>740</v>
      </c>
      <c r="C102" s="299"/>
      <c r="D102" s="299" t="s">
        <v>2211</v>
      </c>
      <c r="E102" s="299"/>
      <c r="F102" s="393"/>
      <c r="G102" s="863">
        <v>42094</v>
      </c>
      <c r="H102" s="749">
        <v>42705</v>
      </c>
    </row>
    <row r="103" spans="1:8" x14ac:dyDescent="0.35">
      <c r="A103" s="300" t="s">
        <v>2985</v>
      </c>
      <c r="B103" s="299" t="s">
        <v>740</v>
      </c>
      <c r="C103" s="299"/>
      <c r="D103" s="299" t="s">
        <v>2212</v>
      </c>
      <c r="E103" s="299"/>
      <c r="F103" s="393"/>
      <c r="G103" s="863">
        <v>42094</v>
      </c>
      <c r="H103" s="749">
        <v>42705</v>
      </c>
    </row>
    <row r="104" spans="1:8" x14ac:dyDescent="0.35">
      <c r="A104" s="300" t="s">
        <v>2986</v>
      </c>
      <c r="B104" s="299" t="s">
        <v>740</v>
      </c>
      <c r="C104" s="299"/>
      <c r="D104" s="299" t="s">
        <v>2213</v>
      </c>
      <c r="E104" s="299"/>
      <c r="F104" s="393"/>
      <c r="G104" s="863">
        <v>42094</v>
      </c>
      <c r="H104" s="749">
        <v>42705</v>
      </c>
    </row>
    <row r="105" spans="1:8" x14ac:dyDescent="0.35">
      <c r="A105" s="300" t="s">
        <v>2987</v>
      </c>
      <c r="B105" s="299" t="s">
        <v>740</v>
      </c>
      <c r="C105" s="299"/>
      <c r="D105" s="299" t="s">
        <v>2214</v>
      </c>
      <c r="E105" s="299"/>
      <c r="F105" s="393"/>
      <c r="G105" s="863">
        <v>42094</v>
      </c>
      <c r="H105" s="749">
        <v>42705</v>
      </c>
    </row>
    <row r="106" spans="1:8" x14ac:dyDescent="0.35">
      <c r="A106" s="300" t="s">
        <v>2988</v>
      </c>
      <c r="B106" s="299" t="s">
        <v>740</v>
      </c>
      <c r="C106" s="299"/>
      <c r="D106" s="299" t="s">
        <v>2215</v>
      </c>
      <c r="E106" s="299"/>
      <c r="F106" s="393"/>
      <c r="G106" s="863">
        <v>42094</v>
      </c>
      <c r="H106" s="749">
        <v>42705</v>
      </c>
    </row>
    <row r="107" spans="1:8" x14ac:dyDescent="0.35">
      <c r="A107" s="300" t="s">
        <v>2989</v>
      </c>
      <c r="B107" s="299" t="s">
        <v>740</v>
      </c>
      <c r="C107" s="299"/>
      <c r="D107" s="299" t="s">
        <v>2216</v>
      </c>
      <c r="E107" s="299"/>
      <c r="F107" s="393"/>
      <c r="G107" s="863">
        <v>42094</v>
      </c>
      <c r="H107" s="749">
        <v>42705</v>
      </c>
    </row>
    <row r="108" spans="1:8" x14ac:dyDescent="0.35">
      <c r="A108" s="300" t="s">
        <v>2990</v>
      </c>
      <c r="B108" s="299" t="s">
        <v>740</v>
      </c>
      <c r="C108" s="299"/>
      <c r="D108" s="299" t="s">
        <v>2217</v>
      </c>
      <c r="E108" s="299"/>
      <c r="F108" s="393"/>
      <c r="G108" s="863">
        <v>42094</v>
      </c>
      <c r="H108" s="749">
        <v>42705</v>
      </c>
    </row>
    <row r="109" spans="1:8" x14ac:dyDescent="0.35">
      <c r="A109" s="300" t="s">
        <v>2991</v>
      </c>
      <c r="B109" s="299" t="s">
        <v>740</v>
      </c>
      <c r="C109" s="299"/>
      <c r="D109" s="299" t="s">
        <v>2218</v>
      </c>
      <c r="E109" s="299"/>
      <c r="F109" s="393"/>
      <c r="G109" s="863">
        <v>42094</v>
      </c>
      <c r="H109" s="749">
        <v>42705</v>
      </c>
    </row>
    <row r="110" spans="1:8" x14ac:dyDescent="0.35">
      <c r="A110" s="300" t="s">
        <v>2992</v>
      </c>
      <c r="B110" s="299" t="s">
        <v>740</v>
      </c>
      <c r="C110" s="299"/>
      <c r="D110" s="299" t="s">
        <v>2219</v>
      </c>
      <c r="E110" s="299"/>
      <c r="F110" s="393"/>
      <c r="G110" s="863">
        <v>42094</v>
      </c>
      <c r="H110" s="749">
        <v>42705</v>
      </c>
    </row>
    <row r="111" spans="1:8" x14ac:dyDescent="0.35">
      <c r="A111" s="300" t="s">
        <v>2993</v>
      </c>
      <c r="B111" s="299" t="s">
        <v>740</v>
      </c>
      <c r="C111" s="299"/>
      <c r="D111" s="299" t="s">
        <v>2220</v>
      </c>
      <c r="E111" s="299"/>
      <c r="F111" s="393"/>
      <c r="G111" s="863">
        <v>42094</v>
      </c>
      <c r="H111" s="749">
        <v>42705</v>
      </c>
    </row>
    <row r="112" spans="1:8" x14ac:dyDescent="0.35">
      <c r="A112" s="250"/>
      <c r="B112" s="251"/>
      <c r="C112" s="251"/>
      <c r="D112" s="251"/>
      <c r="E112" s="251"/>
      <c r="F112" s="392"/>
      <c r="G112" s="542"/>
      <c r="H112" s="749" t="s">
        <v>4179</v>
      </c>
    </row>
    <row r="113" spans="1:18" x14ac:dyDescent="0.35">
      <c r="A113" s="300" t="s">
        <v>2994</v>
      </c>
      <c r="B113" s="299" t="s">
        <v>5434</v>
      </c>
      <c r="C113" s="299"/>
      <c r="D113" s="299" t="s">
        <v>2209</v>
      </c>
      <c r="E113" s="299"/>
      <c r="F113" s="393"/>
      <c r="G113" s="863">
        <v>42094</v>
      </c>
      <c r="H113" s="749">
        <v>42705</v>
      </c>
    </row>
    <row r="114" spans="1:18" x14ac:dyDescent="0.35">
      <c r="A114" s="300" t="s">
        <v>2995</v>
      </c>
      <c r="B114" s="299" t="s">
        <v>5434</v>
      </c>
      <c r="C114" s="299"/>
      <c r="D114" s="299" t="s">
        <v>2210</v>
      </c>
      <c r="E114" s="299"/>
      <c r="F114" s="393"/>
      <c r="G114" s="863">
        <v>42094</v>
      </c>
      <c r="H114" s="749">
        <v>42705</v>
      </c>
    </row>
    <row r="115" spans="1:18" x14ac:dyDescent="0.35">
      <c r="A115" s="300" t="s">
        <v>2996</v>
      </c>
      <c r="B115" s="299" t="s">
        <v>5434</v>
      </c>
      <c r="C115" s="299"/>
      <c r="D115" s="299" t="s">
        <v>2211</v>
      </c>
      <c r="E115" s="299"/>
      <c r="F115" s="393"/>
      <c r="G115" s="863">
        <v>42094</v>
      </c>
      <c r="H115" s="749">
        <v>42705</v>
      </c>
    </row>
    <row r="116" spans="1:18" x14ac:dyDescent="0.35">
      <c r="A116" s="300" t="s">
        <v>2997</v>
      </c>
      <c r="B116" s="299" t="s">
        <v>5434</v>
      </c>
      <c r="C116" s="299"/>
      <c r="D116" s="299" t="s">
        <v>2212</v>
      </c>
      <c r="E116" s="299"/>
      <c r="F116" s="393"/>
      <c r="G116" s="863">
        <v>42094</v>
      </c>
      <c r="H116" s="749">
        <v>42705</v>
      </c>
    </row>
    <row r="117" spans="1:18" x14ac:dyDescent="0.35">
      <c r="A117" s="300" t="s">
        <v>2998</v>
      </c>
      <c r="B117" s="299" t="s">
        <v>5434</v>
      </c>
      <c r="C117" s="299"/>
      <c r="D117" s="299" t="s">
        <v>2213</v>
      </c>
      <c r="E117" s="299"/>
      <c r="F117" s="393"/>
      <c r="G117" s="863">
        <v>42094</v>
      </c>
      <c r="H117" s="749">
        <v>42705</v>
      </c>
    </row>
    <row r="118" spans="1:18" x14ac:dyDescent="0.35">
      <c r="A118" s="300" t="s">
        <v>2999</v>
      </c>
      <c r="B118" s="299" t="s">
        <v>5434</v>
      </c>
      <c r="C118" s="299"/>
      <c r="D118" s="299" t="s">
        <v>2214</v>
      </c>
      <c r="E118" s="299"/>
      <c r="F118" s="393"/>
      <c r="G118" s="863">
        <v>42094</v>
      </c>
      <c r="H118" s="749">
        <v>42705</v>
      </c>
    </row>
    <row r="119" spans="1:18" x14ac:dyDescent="0.35">
      <c r="A119" s="300" t="s">
        <v>3000</v>
      </c>
      <c r="B119" s="299" t="s">
        <v>5434</v>
      </c>
      <c r="C119" s="299"/>
      <c r="D119" s="299" t="s">
        <v>2215</v>
      </c>
      <c r="E119" s="299"/>
      <c r="F119" s="393"/>
      <c r="G119" s="863">
        <v>42094</v>
      </c>
      <c r="H119" s="749">
        <v>42705</v>
      </c>
    </row>
    <row r="120" spans="1:18" x14ac:dyDescent="0.35">
      <c r="A120" s="300" t="s">
        <v>3001</v>
      </c>
      <c r="B120" s="299" t="s">
        <v>5434</v>
      </c>
      <c r="C120" s="299"/>
      <c r="D120" s="299" t="s">
        <v>2216</v>
      </c>
      <c r="E120" s="299"/>
      <c r="F120" s="393"/>
      <c r="G120" s="863">
        <v>42094</v>
      </c>
      <c r="H120" s="749">
        <v>42705</v>
      </c>
    </row>
    <row r="121" spans="1:18" x14ac:dyDescent="0.35">
      <c r="A121" s="300" t="s">
        <v>3002</v>
      </c>
      <c r="B121" s="299" t="s">
        <v>5434</v>
      </c>
      <c r="C121" s="299"/>
      <c r="D121" s="299" t="s">
        <v>2217</v>
      </c>
      <c r="E121" s="299"/>
      <c r="F121" s="393"/>
      <c r="G121" s="863">
        <v>42094</v>
      </c>
      <c r="H121" s="749">
        <v>42705</v>
      </c>
    </row>
    <row r="122" spans="1:18" x14ac:dyDescent="0.35">
      <c r="A122" s="300" t="s">
        <v>3003</v>
      </c>
      <c r="B122" s="299" t="s">
        <v>5434</v>
      </c>
      <c r="C122" s="299"/>
      <c r="D122" s="299" t="s">
        <v>2218</v>
      </c>
      <c r="E122" s="299"/>
      <c r="F122" s="393"/>
      <c r="G122" s="863">
        <v>42094</v>
      </c>
      <c r="H122" s="749">
        <v>42705</v>
      </c>
    </row>
    <row r="123" spans="1:18" x14ac:dyDescent="0.35">
      <c r="A123" s="300" t="s">
        <v>3004</v>
      </c>
      <c r="B123" s="299" t="s">
        <v>5434</v>
      </c>
      <c r="C123" s="299"/>
      <c r="D123" s="299" t="s">
        <v>2219</v>
      </c>
      <c r="E123" s="299"/>
      <c r="F123" s="393"/>
      <c r="G123" s="863">
        <v>42094</v>
      </c>
      <c r="H123" s="749">
        <v>42705</v>
      </c>
    </row>
    <row r="124" spans="1:18" x14ac:dyDescent="0.35">
      <c r="A124" s="300" t="s">
        <v>3005</v>
      </c>
      <c r="B124" s="299" t="s">
        <v>5434</v>
      </c>
      <c r="C124" s="299"/>
      <c r="D124" s="299" t="s">
        <v>2220</v>
      </c>
      <c r="E124" s="299"/>
      <c r="F124" s="393"/>
      <c r="G124" s="863">
        <v>42094</v>
      </c>
      <c r="H124" s="749">
        <v>42705</v>
      </c>
    </row>
    <row r="125" spans="1:18" x14ac:dyDescent="0.35">
      <c r="F125" s="387"/>
      <c r="G125" s="542"/>
      <c r="H125" s="749" t="s">
        <v>4179</v>
      </c>
      <c r="M125" s="187"/>
      <c r="N125" s="187"/>
      <c r="O125" s="187"/>
      <c r="P125" s="187"/>
      <c r="Q125" s="187"/>
      <c r="R125" s="187"/>
    </row>
    <row r="126" spans="1:18" x14ac:dyDescent="0.35">
      <c r="A126" s="342" t="s">
        <v>648</v>
      </c>
      <c r="B126" s="343" t="s">
        <v>5434</v>
      </c>
      <c r="C126" s="343"/>
      <c r="D126" s="343" t="s">
        <v>31</v>
      </c>
      <c r="E126" s="343"/>
      <c r="F126" s="396"/>
      <c r="G126" s="863">
        <v>42094</v>
      </c>
      <c r="H126" s="749">
        <v>42705</v>
      </c>
    </row>
    <row r="127" spans="1:18" x14ac:dyDescent="0.35">
      <c r="A127" s="342" t="s">
        <v>655</v>
      </c>
      <c r="B127" s="343" t="s">
        <v>740</v>
      </c>
      <c r="C127" s="343"/>
      <c r="D127" s="343" t="s">
        <v>652</v>
      </c>
      <c r="E127" s="343"/>
      <c r="F127" s="396"/>
      <c r="G127" s="863">
        <v>42094</v>
      </c>
      <c r="H127" s="749">
        <v>42705</v>
      </c>
    </row>
    <row r="128" spans="1:18" x14ac:dyDescent="0.35">
      <c r="A128" s="342" t="s">
        <v>650</v>
      </c>
      <c r="B128" s="343" t="s">
        <v>5434</v>
      </c>
      <c r="C128" s="343"/>
      <c r="D128" s="343" t="s">
        <v>652</v>
      </c>
      <c r="E128" s="343"/>
      <c r="F128" s="396"/>
      <c r="G128" s="863">
        <v>42094</v>
      </c>
      <c r="H128" s="749">
        <v>42705</v>
      </c>
    </row>
    <row r="129" spans="1:15" x14ac:dyDescent="0.35">
      <c r="G129" s="542"/>
      <c r="H129" s="749"/>
    </row>
    <row r="130" spans="1:15" ht="23.5" x14ac:dyDescent="0.55000000000000004">
      <c r="A130" s="464" t="s">
        <v>3861</v>
      </c>
      <c r="B130" s="465"/>
      <c r="C130" s="465"/>
      <c r="D130" s="465"/>
      <c r="E130" s="465"/>
      <c r="F130" s="466"/>
      <c r="G130" s="542"/>
      <c r="H130" s="748" t="s">
        <v>6026</v>
      </c>
      <c r="J130" s="187"/>
      <c r="K130" s="187"/>
      <c r="L130" s="187"/>
      <c r="M130" s="187"/>
      <c r="N130" s="187"/>
      <c r="O130" s="187"/>
    </row>
    <row r="131" spans="1:15" s="187" customFormat="1" ht="24" customHeight="1" x14ac:dyDescent="0.35">
      <c r="A131" s="898" t="s">
        <v>3862</v>
      </c>
      <c r="B131" s="898"/>
      <c r="C131" s="898"/>
      <c r="D131" s="898"/>
      <c r="E131" s="898"/>
      <c r="F131" s="898"/>
      <c r="G131" s="542"/>
      <c r="H131" s="748" t="s">
        <v>6026</v>
      </c>
    </row>
    <row r="132" spans="1:15" s="187" customFormat="1" ht="24" customHeight="1" x14ac:dyDescent="0.35">
      <c r="A132" s="905" t="s">
        <v>1374</v>
      </c>
      <c r="B132" s="905"/>
      <c r="C132" s="905"/>
      <c r="D132" s="905"/>
      <c r="E132" s="905"/>
      <c r="F132" s="905"/>
      <c r="G132" s="542"/>
      <c r="H132" s="748" t="s">
        <v>6026</v>
      </c>
      <c r="J132"/>
      <c r="K132"/>
      <c r="L132"/>
      <c r="M132"/>
      <c r="N132"/>
      <c r="O132"/>
    </row>
    <row r="133" spans="1:15" s="187" customFormat="1" ht="33" customHeight="1" x14ac:dyDescent="0.35">
      <c r="A133" s="905" t="s">
        <v>3863</v>
      </c>
      <c r="B133" s="905"/>
      <c r="C133" s="905"/>
      <c r="D133" s="905"/>
      <c r="E133" s="905"/>
      <c r="F133" s="905"/>
      <c r="G133" s="542"/>
      <c r="H133" s="748" t="s">
        <v>6026</v>
      </c>
      <c r="J133"/>
      <c r="K133"/>
      <c r="L133"/>
      <c r="M133"/>
      <c r="N133"/>
      <c r="O133"/>
    </row>
    <row r="134" spans="1:15" s="187" customFormat="1" ht="24" customHeight="1" x14ac:dyDescent="0.35">
      <c r="A134" s="907" t="s">
        <v>453</v>
      </c>
      <c r="B134" s="905"/>
      <c r="C134" s="905"/>
      <c r="D134" s="905"/>
      <c r="E134" s="905"/>
      <c r="F134" s="905"/>
      <c r="G134" s="542"/>
      <c r="H134" s="748" t="s">
        <v>6026</v>
      </c>
      <c r="J134"/>
      <c r="K134"/>
      <c r="L134"/>
      <c r="M134"/>
      <c r="N134"/>
      <c r="O134"/>
    </row>
    <row r="135" spans="1:15" x14ac:dyDescent="0.35">
      <c r="F135" s="387"/>
      <c r="G135" s="542"/>
      <c r="H135" s="748" t="s">
        <v>6026</v>
      </c>
    </row>
    <row r="136" spans="1:15" x14ac:dyDescent="0.35">
      <c r="A136" s="239" t="s">
        <v>3864</v>
      </c>
      <c r="B136" s="248" t="s">
        <v>2269</v>
      </c>
      <c r="C136" s="248"/>
      <c r="D136" s="248" t="s">
        <v>3865</v>
      </c>
      <c r="E136" s="248"/>
      <c r="F136" s="391">
        <v>0</v>
      </c>
      <c r="G136" s="863">
        <v>41851</v>
      </c>
      <c r="H136" s="748" t="s">
        <v>6026</v>
      </c>
    </row>
    <row r="137" spans="1:15" x14ac:dyDescent="0.35">
      <c r="A137" s="239" t="s">
        <v>3866</v>
      </c>
      <c r="B137" s="248" t="s">
        <v>5547</v>
      </c>
      <c r="C137" s="248"/>
      <c r="D137" s="248" t="s">
        <v>3865</v>
      </c>
      <c r="E137" s="248"/>
      <c r="F137" s="391">
        <v>0</v>
      </c>
      <c r="G137" s="863">
        <v>41851</v>
      </c>
      <c r="H137" s="748" t="s">
        <v>6026</v>
      </c>
    </row>
    <row r="138" spans="1:15" x14ac:dyDescent="0.35">
      <c r="A138" s="239" t="s">
        <v>3867</v>
      </c>
      <c r="B138" s="248" t="s">
        <v>4846</v>
      </c>
      <c r="C138" s="248"/>
      <c r="D138" s="248" t="s">
        <v>3865</v>
      </c>
      <c r="E138" s="248"/>
      <c r="F138" s="391">
        <v>0</v>
      </c>
      <c r="G138" s="863">
        <v>41851</v>
      </c>
      <c r="H138" s="748" t="s">
        <v>6026</v>
      </c>
    </row>
    <row r="139" spans="1:15" x14ac:dyDescent="0.35">
      <c r="A139" s="239" t="s">
        <v>3868</v>
      </c>
      <c r="B139" s="248" t="s">
        <v>5405</v>
      </c>
      <c r="C139" s="248"/>
      <c r="D139" s="248" t="s">
        <v>3865</v>
      </c>
      <c r="E139" s="248"/>
      <c r="F139" s="391">
        <v>0</v>
      </c>
      <c r="G139" s="863">
        <v>41851</v>
      </c>
      <c r="H139" s="748" t="s">
        <v>6026</v>
      </c>
    </row>
    <row r="140" spans="1:15" x14ac:dyDescent="0.35">
      <c r="A140" s="239" t="s">
        <v>3869</v>
      </c>
      <c r="B140" s="248" t="s">
        <v>5410</v>
      </c>
      <c r="C140" s="248"/>
      <c r="D140" s="248" t="s">
        <v>3865</v>
      </c>
      <c r="E140" s="248"/>
      <c r="F140" s="391">
        <v>0</v>
      </c>
      <c r="G140" s="863">
        <v>41851</v>
      </c>
      <c r="H140" s="748" t="s">
        <v>6026</v>
      </c>
    </row>
    <row r="141" spans="1:15" x14ac:dyDescent="0.35">
      <c r="A141" s="239" t="s">
        <v>3870</v>
      </c>
      <c r="B141" s="248" t="s">
        <v>5411</v>
      </c>
      <c r="C141" s="248"/>
      <c r="D141" s="248" t="s">
        <v>3865</v>
      </c>
      <c r="E141" s="248"/>
      <c r="F141" s="391">
        <v>0</v>
      </c>
      <c r="G141" s="863">
        <v>41851</v>
      </c>
      <c r="H141" s="748" t="s">
        <v>6026</v>
      </c>
    </row>
    <row r="142" spans="1:15" x14ac:dyDescent="0.35">
      <c r="A142" s="239" t="s">
        <v>3871</v>
      </c>
      <c r="B142" s="248" t="s">
        <v>2034</v>
      </c>
      <c r="C142" s="248"/>
      <c r="D142" s="248" t="s">
        <v>3865</v>
      </c>
      <c r="E142" s="248"/>
      <c r="F142" s="391">
        <v>0</v>
      </c>
      <c r="G142" s="863">
        <v>41851</v>
      </c>
      <c r="H142" s="748" t="s">
        <v>6026</v>
      </c>
    </row>
    <row r="143" spans="1:15" x14ac:dyDescent="0.35">
      <c r="A143" s="239" t="s">
        <v>3872</v>
      </c>
      <c r="B143" s="248" t="s">
        <v>2067</v>
      </c>
      <c r="C143" s="248"/>
      <c r="D143" s="248" t="s">
        <v>3865</v>
      </c>
      <c r="E143" s="248"/>
      <c r="F143" s="391">
        <v>0</v>
      </c>
      <c r="G143" s="863">
        <v>41851</v>
      </c>
      <c r="H143" s="748" t="s">
        <v>6026</v>
      </c>
    </row>
    <row r="144" spans="1:15" x14ac:dyDescent="0.35">
      <c r="A144" s="239" t="s">
        <v>3873</v>
      </c>
      <c r="B144" s="248" t="s">
        <v>3373</v>
      </c>
      <c r="C144" s="248"/>
      <c r="D144" s="248" t="s">
        <v>3865</v>
      </c>
      <c r="E144" s="248"/>
      <c r="F144" s="391">
        <v>0</v>
      </c>
      <c r="G144" s="863">
        <v>41851</v>
      </c>
      <c r="H144" s="748" t="s">
        <v>6026</v>
      </c>
    </row>
    <row r="145" spans="1:15" x14ac:dyDescent="0.35">
      <c r="A145" s="239" t="s">
        <v>3874</v>
      </c>
      <c r="B145" s="248" t="s">
        <v>3381</v>
      </c>
      <c r="C145" s="248"/>
      <c r="D145" s="248" t="s">
        <v>3865</v>
      </c>
      <c r="E145" s="248"/>
      <c r="F145" s="391">
        <v>0</v>
      </c>
      <c r="G145" s="863">
        <v>41851</v>
      </c>
      <c r="H145" s="748" t="s">
        <v>6026</v>
      </c>
    </row>
    <row r="146" spans="1:15" x14ac:dyDescent="0.35">
      <c r="A146" s="239" t="s">
        <v>3875</v>
      </c>
      <c r="B146" s="248" t="s">
        <v>3389</v>
      </c>
      <c r="C146" s="248"/>
      <c r="D146" s="248" t="s">
        <v>3865</v>
      </c>
      <c r="E146" s="248"/>
      <c r="F146" s="391">
        <v>0</v>
      </c>
      <c r="G146" s="863">
        <v>41851</v>
      </c>
      <c r="H146" s="748" t="s">
        <v>6026</v>
      </c>
    </row>
    <row r="147" spans="1:15" x14ac:dyDescent="0.35">
      <c r="A147" s="239" t="s">
        <v>3876</v>
      </c>
      <c r="B147" s="248" t="s">
        <v>740</v>
      </c>
      <c r="C147" s="248"/>
      <c r="D147" s="248" t="s">
        <v>3865</v>
      </c>
      <c r="E147" s="248"/>
      <c r="F147" s="391">
        <v>0</v>
      </c>
      <c r="G147" s="863">
        <v>41851</v>
      </c>
      <c r="H147" s="748" t="s">
        <v>6026</v>
      </c>
    </row>
    <row r="148" spans="1:15" x14ac:dyDescent="0.35">
      <c r="A148" s="239" t="s">
        <v>3877</v>
      </c>
      <c r="B148" s="248" t="s">
        <v>5434</v>
      </c>
      <c r="C148" s="248"/>
      <c r="D148" s="248" t="s">
        <v>3865</v>
      </c>
      <c r="E148" s="248"/>
      <c r="F148" s="391">
        <v>0</v>
      </c>
      <c r="G148" s="863">
        <v>41851</v>
      </c>
      <c r="H148" s="748" t="s">
        <v>6026</v>
      </c>
    </row>
    <row r="149" spans="1:15" x14ac:dyDescent="0.35">
      <c r="F149" s="387"/>
      <c r="G149" s="542"/>
      <c r="H149" s="748" t="s">
        <v>6026</v>
      </c>
      <c r="J149" s="187"/>
      <c r="K149" s="187"/>
      <c r="L149" s="187"/>
      <c r="M149" s="187"/>
      <c r="N149" s="187"/>
      <c r="O149" s="187"/>
    </row>
    <row r="150" spans="1:15" ht="23.5" x14ac:dyDescent="0.55000000000000004">
      <c r="A150" s="89" t="s">
        <v>4255</v>
      </c>
      <c r="B150" s="50"/>
      <c r="C150" s="50"/>
      <c r="D150" s="50"/>
      <c r="E150" s="50"/>
      <c r="F150" s="363"/>
      <c r="G150" s="542"/>
      <c r="H150" s="748" t="s">
        <v>6026</v>
      </c>
    </row>
    <row r="151" spans="1:15" s="187" customFormat="1" ht="22.5" customHeight="1" x14ac:dyDescent="0.35">
      <c r="A151" s="898" t="s">
        <v>2583</v>
      </c>
      <c r="B151" s="898"/>
      <c r="C151" s="898"/>
      <c r="D151" s="898"/>
      <c r="E151" s="898"/>
      <c r="F151" s="898"/>
      <c r="G151" s="542"/>
      <c r="H151" s="748" t="s">
        <v>6026</v>
      </c>
    </row>
    <row r="152" spans="1:15" ht="45" customHeight="1" x14ac:dyDescent="0.35">
      <c r="A152" s="898" t="s">
        <v>5395</v>
      </c>
      <c r="B152" s="898"/>
      <c r="C152" s="898"/>
      <c r="D152" s="898"/>
      <c r="E152" s="898"/>
      <c r="F152" s="898"/>
      <c r="G152" s="542"/>
      <c r="H152" s="748" t="s">
        <v>6026</v>
      </c>
    </row>
    <row r="153" spans="1:15" s="187" customFormat="1" ht="33" customHeight="1" x14ac:dyDescent="0.35">
      <c r="A153" s="898" t="s">
        <v>2585</v>
      </c>
      <c r="B153" s="898"/>
      <c r="C153" s="898"/>
      <c r="D153" s="898"/>
      <c r="E153" s="898"/>
      <c r="F153" s="898"/>
      <c r="G153" s="542"/>
      <c r="H153" s="748" t="s">
        <v>6026</v>
      </c>
      <c r="J153"/>
      <c r="K153"/>
      <c r="L153"/>
      <c r="M153"/>
      <c r="N153"/>
      <c r="O153"/>
    </row>
    <row r="154" spans="1:15" s="187" customFormat="1" ht="33" customHeight="1" x14ac:dyDescent="0.35">
      <c r="A154" s="905" t="s">
        <v>454</v>
      </c>
      <c r="B154" s="905"/>
      <c r="C154" s="905"/>
      <c r="D154" s="905"/>
      <c r="E154" s="905"/>
      <c r="F154" s="905"/>
      <c r="G154" s="542"/>
      <c r="H154" s="748" t="s">
        <v>6026</v>
      </c>
      <c r="J154"/>
      <c r="K154"/>
      <c r="L154"/>
      <c r="M154"/>
      <c r="N154"/>
      <c r="O154"/>
    </row>
    <row r="155" spans="1:15" x14ac:dyDescent="0.35">
      <c r="F155" s="387"/>
      <c r="G155" s="542"/>
      <c r="H155" s="748" t="s">
        <v>6026</v>
      </c>
    </row>
    <row r="156" spans="1:15" x14ac:dyDescent="0.35">
      <c r="A156" s="468" t="s">
        <v>4256</v>
      </c>
      <c r="B156" s="469" t="s">
        <v>5547</v>
      </c>
      <c r="C156" s="469"/>
      <c r="D156" s="469" t="s">
        <v>4258</v>
      </c>
      <c r="E156" s="469"/>
      <c r="F156" s="467"/>
      <c r="G156" s="863">
        <v>41851</v>
      </c>
      <c r="H156" s="748" t="s">
        <v>6026</v>
      </c>
    </row>
    <row r="157" spans="1:15" x14ac:dyDescent="0.35">
      <c r="A157" s="468" t="s">
        <v>4257</v>
      </c>
      <c r="B157" s="469" t="s">
        <v>5547</v>
      </c>
      <c r="C157" s="469"/>
      <c r="D157" s="469" t="s">
        <v>4259</v>
      </c>
      <c r="E157" s="469"/>
      <c r="F157" s="467"/>
      <c r="G157" s="863">
        <v>41851</v>
      </c>
      <c r="H157" s="748" t="s">
        <v>6026</v>
      </c>
    </row>
    <row r="158" spans="1:15" x14ac:dyDescent="0.35">
      <c r="F158" s="387"/>
      <c r="G158" s="542"/>
      <c r="H158" s="748" t="s">
        <v>6026</v>
      </c>
      <c r="J158" s="187"/>
      <c r="K158" s="187"/>
      <c r="L158" s="187"/>
      <c r="M158" s="187"/>
      <c r="N158" s="187"/>
      <c r="O158" s="187"/>
    </row>
    <row r="159" spans="1:15" s="207" customFormat="1" ht="36" customHeight="1" x14ac:dyDescent="0.35">
      <c r="A159" s="492" t="s">
        <v>4273</v>
      </c>
      <c r="B159" s="493"/>
      <c r="C159" s="493"/>
      <c r="D159" s="493"/>
      <c r="E159" s="493"/>
      <c r="F159" s="494"/>
      <c r="G159" s="542"/>
      <c r="H159" s="748" t="s">
        <v>6026</v>
      </c>
    </row>
    <row r="160" spans="1:15" s="187" customFormat="1" ht="42" customHeight="1" x14ac:dyDescent="0.35">
      <c r="A160" s="905" t="s">
        <v>455</v>
      </c>
      <c r="B160" s="905"/>
      <c r="C160" s="905"/>
      <c r="D160" s="905"/>
      <c r="E160" s="905"/>
      <c r="F160" s="905"/>
      <c r="G160" s="542"/>
      <c r="H160" s="748" t="s">
        <v>6026</v>
      </c>
      <c r="J160"/>
      <c r="K160"/>
      <c r="L160"/>
      <c r="M160"/>
      <c r="N160"/>
      <c r="O160"/>
    </row>
    <row r="161" spans="1:15" x14ac:dyDescent="0.35">
      <c r="F161" s="387"/>
      <c r="G161" s="542"/>
      <c r="H161" s="748" t="s">
        <v>6026</v>
      </c>
      <c r="J161" s="187"/>
      <c r="K161" s="187"/>
      <c r="L161" s="187"/>
      <c r="M161" s="187"/>
      <c r="N161" s="187"/>
      <c r="O161" s="187"/>
    </row>
    <row r="162" spans="1:15" s="187" customFormat="1" ht="57" customHeight="1" x14ac:dyDescent="0.35">
      <c r="A162" s="946" t="s">
        <v>0</v>
      </c>
      <c r="B162" s="947"/>
      <c r="C162" s="947"/>
      <c r="D162" s="947"/>
      <c r="E162" s="947"/>
      <c r="F162" s="947"/>
      <c r="G162" s="542"/>
      <c r="H162" s="748" t="s">
        <v>6026</v>
      </c>
      <c r="J162"/>
      <c r="K162"/>
      <c r="L162"/>
      <c r="M162"/>
      <c r="N162"/>
      <c r="O162"/>
    </row>
    <row r="163" spans="1:15" x14ac:dyDescent="0.35">
      <c r="A163" s="38"/>
      <c r="B163" s="42"/>
      <c r="C163" s="42"/>
      <c r="D163" s="42"/>
      <c r="E163" s="42"/>
      <c r="F163" s="470"/>
      <c r="G163" s="542"/>
      <c r="H163" s="748" t="s">
        <v>6026</v>
      </c>
    </row>
    <row r="164" spans="1:15" x14ac:dyDescent="0.35">
      <c r="A164" s="471" t="s">
        <v>2623</v>
      </c>
      <c r="B164" s="472" t="s">
        <v>740</v>
      </c>
      <c r="C164" s="472"/>
      <c r="D164" s="472" t="s">
        <v>2551</v>
      </c>
      <c r="E164" s="472"/>
      <c r="F164" s="473"/>
      <c r="G164" s="863">
        <v>41851</v>
      </c>
      <c r="H164" s="748" t="s">
        <v>6026</v>
      </c>
    </row>
    <row r="165" spans="1:15" x14ac:dyDescent="0.35">
      <c r="A165" s="471" t="s">
        <v>2624</v>
      </c>
      <c r="B165" s="472" t="s">
        <v>5434</v>
      </c>
      <c r="C165" s="472"/>
      <c r="D165" s="472" t="s">
        <v>2551</v>
      </c>
      <c r="E165" s="472"/>
      <c r="F165" s="473"/>
      <c r="G165" s="863">
        <v>41851</v>
      </c>
      <c r="H165" s="748" t="s">
        <v>6026</v>
      </c>
      <c r="J165" s="187"/>
      <c r="K165" s="187"/>
      <c r="L165" s="187"/>
      <c r="M165" s="187"/>
      <c r="N165" s="187"/>
      <c r="O165" s="187"/>
    </row>
    <row r="166" spans="1:15" x14ac:dyDescent="0.35">
      <c r="A166" s="474" t="s">
        <v>3083</v>
      </c>
      <c r="B166" s="475" t="s">
        <v>5434</v>
      </c>
      <c r="C166" s="475"/>
      <c r="D166" s="475" t="s">
        <v>3084</v>
      </c>
      <c r="E166" s="475" t="s">
        <v>1053</v>
      </c>
      <c r="F166" s="476">
        <v>0</v>
      </c>
      <c r="G166" s="863">
        <v>41851</v>
      </c>
      <c r="H166" s="748" t="s">
        <v>6026</v>
      </c>
      <c r="J166" s="187"/>
      <c r="K166" s="187"/>
      <c r="L166" s="187"/>
      <c r="M166" s="187"/>
      <c r="N166" s="187"/>
      <c r="O166" s="187"/>
    </row>
    <row r="167" spans="1:15" x14ac:dyDescent="0.35">
      <c r="A167" s="38"/>
      <c r="B167" s="42"/>
      <c r="C167" s="42"/>
      <c r="D167" s="42"/>
      <c r="E167" s="42"/>
      <c r="F167" s="470"/>
      <c r="G167" s="542"/>
      <c r="H167" s="748" t="s">
        <v>6026</v>
      </c>
    </row>
    <row r="168" spans="1:15" s="187" customFormat="1" ht="47.25" customHeight="1" x14ac:dyDescent="0.35">
      <c r="A168" s="946" t="s">
        <v>1</v>
      </c>
      <c r="B168" s="947"/>
      <c r="C168" s="947"/>
      <c r="D168" s="947"/>
      <c r="E168" s="947"/>
      <c r="F168" s="947"/>
      <c r="G168" s="542"/>
      <c r="H168" s="748" t="s">
        <v>6026</v>
      </c>
      <c r="J168"/>
      <c r="K168"/>
      <c r="L168"/>
      <c r="M168"/>
      <c r="N168"/>
      <c r="O168"/>
    </row>
    <row r="169" spans="1:15" x14ac:dyDescent="0.35">
      <c r="A169" s="38"/>
      <c r="B169" s="42"/>
      <c r="C169" s="42"/>
      <c r="D169" s="42"/>
      <c r="E169" s="42"/>
      <c r="F169" s="470"/>
      <c r="G169" s="542"/>
      <c r="H169" s="748" t="s">
        <v>6026</v>
      </c>
    </row>
    <row r="170" spans="1:15" x14ac:dyDescent="0.35">
      <c r="A170" s="468" t="s">
        <v>2625</v>
      </c>
      <c r="B170" s="469" t="s">
        <v>2269</v>
      </c>
      <c r="C170" s="469"/>
      <c r="D170" s="469" t="s">
        <v>2552</v>
      </c>
      <c r="E170" s="469"/>
      <c r="F170" s="467"/>
      <c r="G170" s="863">
        <v>41851</v>
      </c>
      <c r="H170" s="748" t="s">
        <v>6026</v>
      </c>
    </row>
    <row r="171" spans="1:15" x14ac:dyDescent="0.35">
      <c r="A171" s="468" t="s">
        <v>2626</v>
      </c>
      <c r="B171" s="469" t="s">
        <v>5547</v>
      </c>
      <c r="C171" s="469"/>
      <c r="D171" s="469" t="s">
        <v>2552</v>
      </c>
      <c r="E171" s="469"/>
      <c r="F171" s="467"/>
      <c r="G171" s="863">
        <v>41851</v>
      </c>
      <c r="H171" s="748" t="s">
        <v>6026</v>
      </c>
    </row>
    <row r="172" spans="1:15" x14ac:dyDescent="0.35">
      <c r="A172" s="468" t="s">
        <v>2627</v>
      </c>
      <c r="B172" s="469" t="s">
        <v>4846</v>
      </c>
      <c r="C172" s="469"/>
      <c r="D172" s="469" t="s">
        <v>2552</v>
      </c>
      <c r="E172" s="469"/>
      <c r="F172" s="467"/>
      <c r="G172" s="863">
        <v>41851</v>
      </c>
      <c r="H172" s="748" t="s">
        <v>6026</v>
      </c>
    </row>
    <row r="173" spans="1:15" x14ac:dyDescent="0.35">
      <c r="A173" s="468" t="s">
        <v>2628</v>
      </c>
      <c r="B173" s="469" t="s">
        <v>5405</v>
      </c>
      <c r="C173" s="469"/>
      <c r="D173" s="469" t="s">
        <v>2552</v>
      </c>
      <c r="E173" s="469"/>
      <c r="F173" s="467"/>
      <c r="G173" s="863">
        <v>41851</v>
      </c>
      <c r="H173" s="748" t="s">
        <v>6026</v>
      </c>
    </row>
    <row r="174" spans="1:15" x14ac:dyDescent="0.35">
      <c r="A174" s="468" t="s">
        <v>2629</v>
      </c>
      <c r="B174" s="469" t="s">
        <v>5410</v>
      </c>
      <c r="C174" s="469"/>
      <c r="D174" s="469" t="s">
        <v>2552</v>
      </c>
      <c r="E174" s="469"/>
      <c r="F174" s="467"/>
      <c r="G174" s="863">
        <v>41851</v>
      </c>
      <c r="H174" s="748" t="s">
        <v>6026</v>
      </c>
    </row>
    <row r="175" spans="1:15" x14ac:dyDescent="0.35">
      <c r="A175" s="468" t="s">
        <v>2630</v>
      </c>
      <c r="B175" s="469" t="s">
        <v>5411</v>
      </c>
      <c r="C175" s="469"/>
      <c r="D175" s="469" t="s">
        <v>2552</v>
      </c>
      <c r="E175" s="469"/>
      <c r="F175" s="467"/>
      <c r="G175" s="863">
        <v>41851</v>
      </c>
      <c r="H175" s="748" t="s">
        <v>6026</v>
      </c>
    </row>
    <row r="176" spans="1:15" x14ac:dyDescent="0.35">
      <c r="A176" s="468" t="s">
        <v>2631</v>
      </c>
      <c r="B176" s="469" t="s">
        <v>2034</v>
      </c>
      <c r="C176" s="469"/>
      <c r="D176" s="469" t="s">
        <v>2552</v>
      </c>
      <c r="E176" s="469"/>
      <c r="F176" s="467"/>
      <c r="G176" s="863">
        <v>41851</v>
      </c>
      <c r="H176" s="748" t="s">
        <v>6026</v>
      </c>
    </row>
    <row r="177" spans="1:15" x14ac:dyDescent="0.35">
      <c r="A177" s="468" t="s">
        <v>2632</v>
      </c>
      <c r="B177" s="469" t="s">
        <v>2067</v>
      </c>
      <c r="C177" s="469"/>
      <c r="D177" s="469" t="s">
        <v>2552</v>
      </c>
      <c r="E177" s="469"/>
      <c r="F177" s="467"/>
      <c r="G177" s="863">
        <v>41851</v>
      </c>
      <c r="H177" s="748" t="s">
        <v>6026</v>
      </c>
    </row>
    <row r="178" spans="1:15" x14ac:dyDescent="0.35">
      <c r="A178" s="468" t="s">
        <v>2633</v>
      </c>
      <c r="B178" s="469" t="s">
        <v>3373</v>
      </c>
      <c r="C178" s="469"/>
      <c r="D178" s="469" t="s">
        <v>2552</v>
      </c>
      <c r="E178" s="469"/>
      <c r="F178" s="467"/>
      <c r="G178" s="863">
        <v>41851</v>
      </c>
      <c r="H178" s="748" t="s">
        <v>6026</v>
      </c>
    </row>
    <row r="179" spans="1:15" x14ac:dyDescent="0.35">
      <c r="A179" s="468" t="s">
        <v>2634</v>
      </c>
      <c r="B179" s="469" t="s">
        <v>3381</v>
      </c>
      <c r="C179" s="469"/>
      <c r="D179" s="469" t="s">
        <v>2552</v>
      </c>
      <c r="E179" s="469"/>
      <c r="F179" s="467"/>
      <c r="G179" s="863">
        <v>41851</v>
      </c>
      <c r="H179" s="748" t="s">
        <v>6026</v>
      </c>
    </row>
    <row r="180" spans="1:15" x14ac:dyDescent="0.35">
      <c r="A180" s="468" t="s">
        <v>2635</v>
      </c>
      <c r="B180" s="469" t="s">
        <v>3389</v>
      </c>
      <c r="C180" s="469"/>
      <c r="D180" s="469" t="s">
        <v>2552</v>
      </c>
      <c r="E180" s="469"/>
      <c r="F180" s="467"/>
      <c r="G180" s="863">
        <v>41851</v>
      </c>
      <c r="H180" s="748" t="s">
        <v>6026</v>
      </c>
    </row>
    <row r="181" spans="1:15" x14ac:dyDescent="0.35">
      <c r="A181" s="468" t="s">
        <v>2636</v>
      </c>
      <c r="B181" s="469" t="s">
        <v>740</v>
      </c>
      <c r="C181" s="469"/>
      <c r="D181" s="469" t="s">
        <v>2552</v>
      </c>
      <c r="E181" s="469"/>
      <c r="F181" s="467"/>
      <c r="G181" s="863">
        <v>41851</v>
      </c>
      <c r="H181" s="748" t="s">
        <v>6026</v>
      </c>
    </row>
    <row r="182" spans="1:15" x14ac:dyDescent="0.35">
      <c r="A182" s="468" t="s">
        <v>2637</v>
      </c>
      <c r="B182" s="469" t="s">
        <v>5434</v>
      </c>
      <c r="C182" s="469"/>
      <c r="D182" s="469" t="s">
        <v>2552</v>
      </c>
      <c r="E182" s="469"/>
      <c r="F182" s="467"/>
      <c r="G182" s="863">
        <v>41851</v>
      </c>
      <c r="H182" s="748" t="s">
        <v>6026</v>
      </c>
      <c r="J182" s="187"/>
      <c r="K182" s="187"/>
      <c r="L182" s="187"/>
      <c r="M182" s="187"/>
      <c r="N182" s="187"/>
      <c r="O182" s="187"/>
    </row>
    <row r="183" spans="1:15" x14ac:dyDescent="0.35">
      <c r="A183" s="38"/>
      <c r="B183" s="42"/>
      <c r="C183" s="42"/>
      <c r="D183" s="42"/>
      <c r="E183" s="42"/>
      <c r="F183" s="470"/>
      <c r="G183" s="542"/>
      <c r="H183" s="748" t="s">
        <v>6026</v>
      </c>
    </row>
    <row r="184" spans="1:15" s="187" customFormat="1" ht="78.75" customHeight="1" x14ac:dyDescent="0.35">
      <c r="A184" s="946" t="s">
        <v>2</v>
      </c>
      <c r="B184" s="947"/>
      <c r="C184" s="947"/>
      <c r="D184" s="947"/>
      <c r="E184" s="947"/>
      <c r="F184" s="947"/>
      <c r="G184" s="542"/>
      <c r="H184" s="748" t="s">
        <v>6026</v>
      </c>
      <c r="J184"/>
      <c r="K184"/>
      <c r="L184"/>
      <c r="M184"/>
      <c r="N184"/>
      <c r="O184"/>
    </row>
    <row r="185" spans="1:15" x14ac:dyDescent="0.35">
      <c r="A185" s="38"/>
      <c r="B185" s="42"/>
      <c r="C185" s="42"/>
      <c r="D185" s="42"/>
      <c r="E185" s="42"/>
      <c r="F185" s="470"/>
      <c r="G185" s="542"/>
      <c r="H185" s="748" t="s">
        <v>6026</v>
      </c>
    </row>
    <row r="186" spans="1:15" x14ac:dyDescent="0.35">
      <c r="A186" s="468" t="s">
        <v>2638</v>
      </c>
      <c r="B186" s="469" t="s">
        <v>2269</v>
      </c>
      <c r="C186" s="469"/>
      <c r="D186" s="469" t="s">
        <v>2584</v>
      </c>
      <c r="E186" s="469"/>
      <c r="F186" s="467"/>
      <c r="G186" s="863">
        <v>41851</v>
      </c>
      <c r="H186" s="748" t="s">
        <v>6026</v>
      </c>
    </row>
    <row r="187" spans="1:15" x14ac:dyDescent="0.35">
      <c r="A187" s="468" t="s">
        <v>2639</v>
      </c>
      <c r="B187" s="469" t="s">
        <v>5547</v>
      </c>
      <c r="C187" s="469"/>
      <c r="D187" s="469" t="s">
        <v>2584</v>
      </c>
      <c r="E187" s="469"/>
      <c r="F187" s="467"/>
      <c r="G187" s="863">
        <v>41851</v>
      </c>
      <c r="H187" s="748" t="s">
        <v>6026</v>
      </c>
    </row>
    <row r="188" spans="1:15" x14ac:dyDescent="0.35">
      <c r="A188" s="468" t="s">
        <v>2640</v>
      </c>
      <c r="B188" s="469" t="s">
        <v>4846</v>
      </c>
      <c r="C188" s="469"/>
      <c r="D188" s="469" t="s">
        <v>2584</v>
      </c>
      <c r="E188" s="469"/>
      <c r="F188" s="467"/>
      <c r="G188" s="863">
        <v>41851</v>
      </c>
      <c r="H188" s="748" t="s">
        <v>6026</v>
      </c>
    </row>
    <row r="189" spans="1:15" x14ac:dyDescent="0.35">
      <c r="A189" s="468" t="s">
        <v>2641</v>
      </c>
      <c r="B189" s="469" t="s">
        <v>5405</v>
      </c>
      <c r="C189" s="469"/>
      <c r="D189" s="469" t="s">
        <v>2584</v>
      </c>
      <c r="E189" s="469"/>
      <c r="F189" s="467"/>
      <c r="G189" s="863">
        <v>41851</v>
      </c>
      <c r="H189" s="748" t="s">
        <v>6026</v>
      </c>
    </row>
    <row r="190" spans="1:15" x14ac:dyDescent="0.35">
      <c r="A190" s="468" t="s">
        <v>2642</v>
      </c>
      <c r="B190" s="469" t="s">
        <v>5410</v>
      </c>
      <c r="C190" s="469"/>
      <c r="D190" s="469" t="s">
        <v>2584</v>
      </c>
      <c r="E190" s="469"/>
      <c r="F190" s="467"/>
      <c r="G190" s="863">
        <v>41851</v>
      </c>
      <c r="H190" s="748" t="s">
        <v>6026</v>
      </c>
    </row>
    <row r="191" spans="1:15" x14ac:dyDescent="0.35">
      <c r="A191" s="468" t="s">
        <v>2643</v>
      </c>
      <c r="B191" s="469" t="s">
        <v>5411</v>
      </c>
      <c r="C191" s="469"/>
      <c r="D191" s="469" t="s">
        <v>2584</v>
      </c>
      <c r="E191" s="469"/>
      <c r="F191" s="467"/>
      <c r="G191" s="863">
        <v>41851</v>
      </c>
      <c r="H191" s="748" t="s">
        <v>6026</v>
      </c>
    </row>
    <row r="192" spans="1:15" x14ac:dyDescent="0.35">
      <c r="A192" s="468" t="s">
        <v>2644</v>
      </c>
      <c r="B192" s="469" t="s">
        <v>2034</v>
      </c>
      <c r="C192" s="469"/>
      <c r="D192" s="469" t="s">
        <v>2584</v>
      </c>
      <c r="E192" s="469"/>
      <c r="F192" s="467"/>
      <c r="G192" s="863">
        <v>41851</v>
      </c>
      <c r="H192" s="748" t="s">
        <v>6026</v>
      </c>
    </row>
    <row r="193" spans="1:15" x14ac:dyDescent="0.35">
      <c r="A193" s="468" t="s">
        <v>2645</v>
      </c>
      <c r="B193" s="469" t="s">
        <v>2067</v>
      </c>
      <c r="C193" s="469"/>
      <c r="D193" s="469" t="s">
        <v>2584</v>
      </c>
      <c r="E193" s="469"/>
      <c r="F193" s="467"/>
      <c r="G193" s="863">
        <v>41851</v>
      </c>
      <c r="H193" s="748" t="s">
        <v>6026</v>
      </c>
    </row>
    <row r="194" spans="1:15" x14ac:dyDescent="0.35">
      <c r="A194" s="468" t="s">
        <v>2504</v>
      </c>
      <c r="B194" s="469" t="s">
        <v>3373</v>
      </c>
      <c r="C194" s="469"/>
      <c r="D194" s="469" t="s">
        <v>2584</v>
      </c>
      <c r="E194" s="469"/>
      <c r="F194" s="467"/>
      <c r="G194" s="863">
        <v>41851</v>
      </c>
      <c r="H194" s="748" t="s">
        <v>6026</v>
      </c>
    </row>
    <row r="195" spans="1:15" x14ac:dyDescent="0.35">
      <c r="A195" s="468" t="s">
        <v>2505</v>
      </c>
      <c r="B195" s="469" t="s">
        <v>3381</v>
      </c>
      <c r="C195" s="469"/>
      <c r="D195" s="469" t="s">
        <v>2584</v>
      </c>
      <c r="E195" s="469"/>
      <c r="F195" s="467"/>
      <c r="G195" s="863">
        <v>41851</v>
      </c>
      <c r="H195" s="748" t="s">
        <v>6026</v>
      </c>
    </row>
    <row r="196" spans="1:15" x14ac:dyDescent="0.35">
      <c r="A196" s="468" t="s">
        <v>2506</v>
      </c>
      <c r="B196" s="469" t="s">
        <v>3389</v>
      </c>
      <c r="C196" s="469"/>
      <c r="D196" s="469" t="s">
        <v>2584</v>
      </c>
      <c r="E196" s="469"/>
      <c r="F196" s="467"/>
      <c r="G196" s="863">
        <v>41851</v>
      </c>
      <c r="H196" s="748" t="s">
        <v>6026</v>
      </c>
    </row>
    <row r="197" spans="1:15" x14ac:dyDescent="0.35">
      <c r="A197" s="468" t="s">
        <v>2507</v>
      </c>
      <c r="B197" s="469" t="s">
        <v>740</v>
      </c>
      <c r="C197" s="469"/>
      <c r="D197" s="469" t="s">
        <v>2584</v>
      </c>
      <c r="E197" s="469"/>
      <c r="F197" s="467"/>
      <c r="G197" s="863">
        <v>41851</v>
      </c>
      <c r="H197" s="748" t="s">
        <v>6026</v>
      </c>
    </row>
    <row r="198" spans="1:15" x14ac:dyDescent="0.35">
      <c r="A198" s="468" t="s">
        <v>2508</v>
      </c>
      <c r="B198" s="469" t="s">
        <v>5434</v>
      </c>
      <c r="C198" s="469"/>
      <c r="D198" s="469" t="s">
        <v>2584</v>
      </c>
      <c r="E198" s="469"/>
      <c r="F198" s="467"/>
      <c r="G198" s="863">
        <v>41851</v>
      </c>
      <c r="H198" s="748" t="s">
        <v>6026</v>
      </c>
      <c r="J198" s="187"/>
      <c r="K198" s="187"/>
      <c r="L198" s="187"/>
      <c r="M198" s="187"/>
      <c r="N198" s="187"/>
      <c r="O198" s="187"/>
    </row>
    <row r="199" spans="1:15" x14ac:dyDescent="0.35">
      <c r="A199" s="474" t="s">
        <v>3082</v>
      </c>
      <c r="B199" s="475" t="s">
        <v>5434</v>
      </c>
      <c r="C199" s="475"/>
      <c r="D199" s="475" t="s">
        <v>3081</v>
      </c>
      <c r="E199" s="475" t="s">
        <v>1053</v>
      </c>
      <c r="F199" s="476">
        <v>0</v>
      </c>
      <c r="G199" s="863">
        <v>41851</v>
      </c>
      <c r="H199" s="748" t="s">
        <v>6026</v>
      </c>
      <c r="J199" s="187"/>
      <c r="K199" s="187"/>
      <c r="L199" s="187"/>
      <c r="M199" s="187"/>
      <c r="N199" s="187"/>
      <c r="O199" s="187"/>
    </row>
    <row r="200" spans="1:15" x14ac:dyDescent="0.35">
      <c r="A200" s="38"/>
      <c r="B200" s="42"/>
      <c r="C200" s="42"/>
      <c r="D200" s="42"/>
      <c r="E200" s="42"/>
      <c r="F200" s="470"/>
      <c r="G200" s="542"/>
      <c r="H200" s="748" t="s">
        <v>6026</v>
      </c>
    </row>
    <row r="201" spans="1:15" s="187" customFormat="1" ht="63" customHeight="1" x14ac:dyDescent="0.35">
      <c r="A201" s="946" t="s">
        <v>32</v>
      </c>
      <c r="B201" s="947"/>
      <c r="C201" s="947"/>
      <c r="D201" s="947"/>
      <c r="E201" s="947"/>
      <c r="F201" s="947"/>
      <c r="G201" s="542"/>
      <c r="H201" s="748" t="s">
        <v>6026</v>
      </c>
      <c r="J201"/>
      <c r="K201"/>
      <c r="L201"/>
      <c r="M201"/>
      <c r="N201"/>
      <c r="O201"/>
    </row>
    <row r="202" spans="1:15" x14ac:dyDescent="0.35">
      <c r="A202" s="38"/>
      <c r="B202" s="42"/>
      <c r="C202" s="42"/>
      <c r="D202" s="42"/>
      <c r="E202" s="42"/>
      <c r="F202" s="470"/>
      <c r="G202" s="542"/>
      <c r="H202" s="748" t="s">
        <v>6026</v>
      </c>
    </row>
    <row r="203" spans="1:15" x14ac:dyDescent="0.35">
      <c r="A203" s="477" t="s">
        <v>2509</v>
      </c>
      <c r="B203" s="478" t="s">
        <v>2269</v>
      </c>
      <c r="C203" s="478"/>
      <c r="D203" s="478" t="s">
        <v>2553</v>
      </c>
      <c r="E203" s="478"/>
      <c r="F203" s="479"/>
      <c r="G203" s="863">
        <v>41851</v>
      </c>
      <c r="H203" s="748" t="s">
        <v>6026</v>
      </c>
    </row>
    <row r="204" spans="1:15" x14ac:dyDescent="0.35">
      <c r="A204" s="477" t="s">
        <v>2510</v>
      </c>
      <c r="B204" s="478" t="s">
        <v>5547</v>
      </c>
      <c r="C204" s="478"/>
      <c r="D204" s="478" t="s">
        <v>2553</v>
      </c>
      <c r="E204" s="478"/>
      <c r="F204" s="479"/>
      <c r="G204" s="863">
        <v>41851</v>
      </c>
      <c r="H204" s="748" t="s">
        <v>6026</v>
      </c>
    </row>
    <row r="205" spans="1:15" x14ac:dyDescent="0.35">
      <c r="A205" s="477" t="s">
        <v>2511</v>
      </c>
      <c r="B205" s="478" t="s">
        <v>4846</v>
      </c>
      <c r="C205" s="478"/>
      <c r="D205" s="478" t="s">
        <v>2553</v>
      </c>
      <c r="E205" s="478"/>
      <c r="F205" s="479"/>
      <c r="G205" s="863">
        <v>41851</v>
      </c>
      <c r="H205" s="748" t="s">
        <v>6026</v>
      </c>
    </row>
    <row r="206" spans="1:15" x14ac:dyDescent="0.35">
      <c r="A206" s="477" t="s">
        <v>2512</v>
      </c>
      <c r="B206" s="478" t="s">
        <v>5405</v>
      </c>
      <c r="C206" s="478"/>
      <c r="D206" s="478" t="s">
        <v>2553</v>
      </c>
      <c r="E206" s="478"/>
      <c r="F206" s="479"/>
      <c r="G206" s="863">
        <v>41851</v>
      </c>
      <c r="H206" s="748" t="s">
        <v>6026</v>
      </c>
    </row>
    <row r="207" spans="1:15" x14ac:dyDescent="0.35">
      <c r="A207" s="477" t="s">
        <v>2513</v>
      </c>
      <c r="B207" s="478" t="s">
        <v>5410</v>
      </c>
      <c r="C207" s="478"/>
      <c r="D207" s="478" t="s">
        <v>2553</v>
      </c>
      <c r="E207" s="478"/>
      <c r="F207" s="479"/>
      <c r="G207" s="863">
        <v>41851</v>
      </c>
      <c r="H207" s="748" t="s">
        <v>6026</v>
      </c>
    </row>
    <row r="208" spans="1:15" x14ac:dyDescent="0.35">
      <c r="A208" s="477" t="s">
        <v>2514</v>
      </c>
      <c r="B208" s="478" t="s">
        <v>5411</v>
      </c>
      <c r="C208" s="478"/>
      <c r="D208" s="478" t="s">
        <v>2553</v>
      </c>
      <c r="E208" s="478"/>
      <c r="F208" s="479"/>
      <c r="G208" s="863">
        <v>41851</v>
      </c>
      <c r="H208" s="748" t="s">
        <v>6026</v>
      </c>
    </row>
    <row r="209" spans="1:15" x14ac:dyDescent="0.35">
      <c r="A209" s="477" t="s">
        <v>2515</v>
      </c>
      <c r="B209" s="478" t="s">
        <v>2034</v>
      </c>
      <c r="C209" s="478"/>
      <c r="D209" s="478" t="s">
        <v>2553</v>
      </c>
      <c r="E209" s="478"/>
      <c r="F209" s="479"/>
      <c r="G209" s="863">
        <v>41851</v>
      </c>
      <c r="H209" s="748" t="s">
        <v>6026</v>
      </c>
    </row>
    <row r="210" spans="1:15" x14ac:dyDescent="0.35">
      <c r="A210" s="477" t="s">
        <v>2516</v>
      </c>
      <c r="B210" s="478" t="s">
        <v>2067</v>
      </c>
      <c r="C210" s="478"/>
      <c r="D210" s="478" t="s">
        <v>2553</v>
      </c>
      <c r="E210" s="478"/>
      <c r="F210" s="479"/>
      <c r="G210" s="863">
        <v>41851</v>
      </c>
      <c r="H210" s="748" t="s">
        <v>6026</v>
      </c>
    </row>
    <row r="211" spans="1:15" x14ac:dyDescent="0.35">
      <c r="A211" s="477" t="s">
        <v>2517</v>
      </c>
      <c r="B211" s="478" t="s">
        <v>3373</v>
      </c>
      <c r="C211" s="478"/>
      <c r="D211" s="478" t="s">
        <v>2553</v>
      </c>
      <c r="E211" s="478"/>
      <c r="F211" s="479"/>
      <c r="G211" s="863">
        <v>41851</v>
      </c>
      <c r="H211" s="748" t="s">
        <v>6026</v>
      </c>
    </row>
    <row r="212" spans="1:15" x14ac:dyDescent="0.35">
      <c r="A212" s="477" t="s">
        <v>2518</v>
      </c>
      <c r="B212" s="478" t="s">
        <v>3381</v>
      </c>
      <c r="C212" s="478"/>
      <c r="D212" s="478" t="s">
        <v>2553</v>
      </c>
      <c r="E212" s="478"/>
      <c r="F212" s="479"/>
      <c r="G212" s="863">
        <v>41851</v>
      </c>
      <c r="H212" s="748" t="s">
        <v>6026</v>
      </c>
    </row>
    <row r="213" spans="1:15" x14ac:dyDescent="0.35">
      <c r="A213" s="477" t="s">
        <v>2519</v>
      </c>
      <c r="B213" s="478" t="s">
        <v>3389</v>
      </c>
      <c r="C213" s="478"/>
      <c r="D213" s="478" t="s">
        <v>2553</v>
      </c>
      <c r="E213" s="478"/>
      <c r="F213" s="479"/>
      <c r="G213" s="863">
        <v>41851</v>
      </c>
      <c r="H213" s="748" t="s">
        <v>6026</v>
      </c>
    </row>
    <row r="214" spans="1:15" x14ac:dyDescent="0.35">
      <c r="A214" s="477" t="s">
        <v>2520</v>
      </c>
      <c r="B214" s="478" t="s">
        <v>740</v>
      </c>
      <c r="C214" s="478"/>
      <c r="D214" s="478" t="s">
        <v>2553</v>
      </c>
      <c r="E214" s="478"/>
      <c r="F214" s="479"/>
      <c r="G214" s="863">
        <v>41851</v>
      </c>
      <c r="H214" s="748" t="s">
        <v>6026</v>
      </c>
    </row>
    <row r="215" spans="1:15" x14ac:dyDescent="0.35">
      <c r="A215" s="477" t="s">
        <v>2521</v>
      </c>
      <c r="B215" s="478" t="s">
        <v>5434</v>
      </c>
      <c r="C215" s="478"/>
      <c r="D215" s="478" t="s">
        <v>2553</v>
      </c>
      <c r="E215" s="478"/>
      <c r="F215" s="479"/>
      <c r="G215" s="863">
        <v>41851</v>
      </c>
      <c r="H215" s="748" t="s">
        <v>6026</v>
      </c>
      <c r="J215" s="187"/>
      <c r="K215" s="187"/>
      <c r="L215" s="187"/>
      <c r="M215" s="187"/>
      <c r="N215" s="187"/>
      <c r="O215" s="187"/>
    </row>
    <row r="216" spans="1:15" x14ac:dyDescent="0.35">
      <c r="A216" s="480" t="s">
        <v>3080</v>
      </c>
      <c r="B216" s="481" t="s">
        <v>5434</v>
      </c>
      <c r="C216" s="481"/>
      <c r="D216" s="481" t="s">
        <v>3079</v>
      </c>
      <c r="E216" s="481" t="s">
        <v>1053</v>
      </c>
      <c r="F216" s="476">
        <v>0</v>
      </c>
      <c r="G216" s="863">
        <v>41851</v>
      </c>
      <c r="H216" s="748" t="s">
        <v>6026</v>
      </c>
      <c r="J216" s="187"/>
      <c r="K216" s="187"/>
      <c r="L216" s="187"/>
      <c r="M216" s="187"/>
      <c r="N216" s="187"/>
      <c r="O216" s="187"/>
    </row>
    <row r="217" spans="1:15" x14ac:dyDescent="0.35">
      <c r="A217" s="38"/>
      <c r="B217" s="42"/>
      <c r="C217" s="42"/>
      <c r="D217" s="42"/>
      <c r="E217" s="42"/>
      <c r="F217" s="470"/>
      <c r="G217" s="542"/>
      <c r="H217" s="748" t="s">
        <v>6026</v>
      </c>
    </row>
    <row r="218" spans="1:15" s="187" customFormat="1" ht="59.25" customHeight="1" x14ac:dyDescent="0.35">
      <c r="A218" s="946" t="s">
        <v>33</v>
      </c>
      <c r="B218" s="947"/>
      <c r="C218" s="947"/>
      <c r="D218" s="947"/>
      <c r="E218" s="947"/>
      <c r="F218" s="947"/>
      <c r="G218" s="542"/>
      <c r="H218" s="748" t="s">
        <v>6026</v>
      </c>
      <c r="J218"/>
      <c r="K218"/>
      <c r="L218"/>
      <c r="M218"/>
      <c r="N218"/>
      <c r="O218"/>
    </row>
    <row r="219" spans="1:15" x14ac:dyDescent="0.35">
      <c r="A219" s="38"/>
      <c r="B219" s="42"/>
      <c r="C219" s="42"/>
      <c r="D219" s="42"/>
      <c r="E219" s="42"/>
      <c r="F219" s="470"/>
      <c r="G219" s="542"/>
      <c r="H219" s="748" t="s">
        <v>6026</v>
      </c>
    </row>
    <row r="220" spans="1:15" x14ac:dyDescent="0.35">
      <c r="A220" s="468" t="s">
        <v>2522</v>
      </c>
      <c r="B220" s="469" t="s">
        <v>2269</v>
      </c>
      <c r="C220" s="469"/>
      <c r="D220" s="469" t="s">
        <v>2554</v>
      </c>
      <c r="E220" s="469"/>
      <c r="F220" s="467"/>
      <c r="G220" s="863">
        <v>41851</v>
      </c>
      <c r="H220" s="748" t="s">
        <v>6026</v>
      </c>
    </row>
    <row r="221" spans="1:15" x14ac:dyDescent="0.35">
      <c r="A221" s="468" t="s">
        <v>2523</v>
      </c>
      <c r="B221" s="469" t="s">
        <v>5547</v>
      </c>
      <c r="C221" s="469"/>
      <c r="D221" s="469" t="s">
        <v>2554</v>
      </c>
      <c r="E221" s="469"/>
      <c r="F221" s="467"/>
      <c r="G221" s="863">
        <v>41851</v>
      </c>
      <c r="H221" s="748" t="s">
        <v>6026</v>
      </c>
    </row>
    <row r="222" spans="1:15" x14ac:dyDescent="0.35">
      <c r="A222" s="468" t="s">
        <v>2524</v>
      </c>
      <c r="B222" s="469" t="s">
        <v>4846</v>
      </c>
      <c r="C222" s="469"/>
      <c r="D222" s="469" t="s">
        <v>2554</v>
      </c>
      <c r="E222" s="469"/>
      <c r="F222" s="467"/>
      <c r="G222" s="863">
        <v>41851</v>
      </c>
      <c r="H222" s="748" t="s">
        <v>6026</v>
      </c>
    </row>
    <row r="223" spans="1:15" x14ac:dyDescent="0.35">
      <c r="A223" s="468" t="s">
        <v>2525</v>
      </c>
      <c r="B223" s="469" t="s">
        <v>5405</v>
      </c>
      <c r="C223" s="469"/>
      <c r="D223" s="469" t="s">
        <v>2554</v>
      </c>
      <c r="E223" s="469"/>
      <c r="F223" s="467"/>
      <c r="G223" s="863">
        <v>41851</v>
      </c>
      <c r="H223" s="748" t="s">
        <v>6026</v>
      </c>
    </row>
    <row r="224" spans="1:15" x14ac:dyDescent="0.35">
      <c r="A224" s="468" t="s">
        <v>2526</v>
      </c>
      <c r="B224" s="469" t="s">
        <v>5410</v>
      </c>
      <c r="C224" s="469"/>
      <c r="D224" s="469" t="s">
        <v>2554</v>
      </c>
      <c r="E224" s="469"/>
      <c r="F224" s="467"/>
      <c r="G224" s="863">
        <v>41851</v>
      </c>
      <c r="H224" s="748" t="s">
        <v>6026</v>
      </c>
    </row>
    <row r="225" spans="1:15" x14ac:dyDescent="0.35">
      <c r="A225" s="468" t="s">
        <v>2527</v>
      </c>
      <c r="B225" s="469" t="s">
        <v>5411</v>
      </c>
      <c r="C225" s="469"/>
      <c r="D225" s="469" t="s">
        <v>2554</v>
      </c>
      <c r="E225" s="469"/>
      <c r="F225" s="467"/>
      <c r="G225" s="863">
        <v>41851</v>
      </c>
      <c r="H225" s="748" t="s">
        <v>6026</v>
      </c>
    </row>
    <row r="226" spans="1:15" x14ac:dyDescent="0.35">
      <c r="A226" s="468" t="s">
        <v>2528</v>
      </c>
      <c r="B226" s="469" t="s">
        <v>2034</v>
      </c>
      <c r="C226" s="469"/>
      <c r="D226" s="469" t="s">
        <v>2554</v>
      </c>
      <c r="E226" s="469"/>
      <c r="F226" s="467"/>
      <c r="G226" s="863">
        <v>41851</v>
      </c>
      <c r="H226" s="748" t="s">
        <v>6026</v>
      </c>
    </row>
    <row r="227" spans="1:15" x14ac:dyDescent="0.35">
      <c r="A227" s="468" t="s">
        <v>2529</v>
      </c>
      <c r="B227" s="469" t="s">
        <v>2067</v>
      </c>
      <c r="C227" s="469"/>
      <c r="D227" s="469" t="s">
        <v>2554</v>
      </c>
      <c r="E227" s="469"/>
      <c r="F227" s="467"/>
      <c r="G227" s="863">
        <v>41851</v>
      </c>
      <c r="H227" s="748" t="s">
        <v>6026</v>
      </c>
    </row>
    <row r="228" spans="1:15" x14ac:dyDescent="0.35">
      <c r="A228" s="468" t="s">
        <v>2530</v>
      </c>
      <c r="B228" s="469" t="s">
        <v>3373</v>
      </c>
      <c r="C228" s="469"/>
      <c r="D228" s="469" t="s">
        <v>2554</v>
      </c>
      <c r="E228" s="469"/>
      <c r="F228" s="467"/>
      <c r="G228" s="863">
        <v>41851</v>
      </c>
      <c r="H228" s="748" t="s">
        <v>6026</v>
      </c>
    </row>
    <row r="229" spans="1:15" x14ac:dyDescent="0.35">
      <c r="A229" s="468" t="s">
        <v>2531</v>
      </c>
      <c r="B229" s="469" t="s">
        <v>3381</v>
      </c>
      <c r="C229" s="469"/>
      <c r="D229" s="469" t="s">
        <v>2554</v>
      </c>
      <c r="E229" s="469"/>
      <c r="F229" s="467"/>
      <c r="G229" s="863">
        <v>41851</v>
      </c>
      <c r="H229" s="748" t="s">
        <v>6026</v>
      </c>
    </row>
    <row r="230" spans="1:15" x14ac:dyDescent="0.35">
      <c r="A230" s="468" t="s">
        <v>2532</v>
      </c>
      <c r="B230" s="469" t="s">
        <v>3389</v>
      </c>
      <c r="C230" s="469"/>
      <c r="D230" s="469" t="s">
        <v>2554</v>
      </c>
      <c r="E230" s="469"/>
      <c r="F230" s="467"/>
      <c r="G230" s="863">
        <v>41851</v>
      </c>
      <c r="H230" s="748" t="s">
        <v>6026</v>
      </c>
    </row>
    <row r="231" spans="1:15" x14ac:dyDescent="0.35">
      <c r="A231" s="468" t="s">
        <v>2533</v>
      </c>
      <c r="B231" s="469" t="s">
        <v>740</v>
      </c>
      <c r="C231" s="469"/>
      <c r="D231" s="469" t="s">
        <v>2554</v>
      </c>
      <c r="E231" s="469"/>
      <c r="F231" s="467"/>
      <c r="G231" s="863">
        <v>41851</v>
      </c>
      <c r="H231" s="748" t="s">
        <v>6026</v>
      </c>
    </row>
    <row r="232" spans="1:15" x14ac:dyDescent="0.35">
      <c r="A232" s="468" t="s">
        <v>2534</v>
      </c>
      <c r="B232" s="469" t="s">
        <v>5434</v>
      </c>
      <c r="C232" s="469"/>
      <c r="D232" s="469" t="s">
        <v>2554</v>
      </c>
      <c r="E232" s="469"/>
      <c r="F232" s="467"/>
      <c r="G232" s="863">
        <v>41851</v>
      </c>
      <c r="H232" s="748" t="s">
        <v>6026</v>
      </c>
      <c r="J232" s="187"/>
      <c r="K232" s="187"/>
      <c r="L232" s="187"/>
      <c r="M232" s="187"/>
      <c r="N232" s="187"/>
      <c r="O232" s="187"/>
    </row>
    <row r="233" spans="1:15" x14ac:dyDescent="0.35">
      <c r="A233" s="474" t="s">
        <v>3078</v>
      </c>
      <c r="B233" s="475" t="s">
        <v>5434</v>
      </c>
      <c r="C233" s="475"/>
      <c r="D233" s="475" t="s">
        <v>3077</v>
      </c>
      <c r="E233" s="475" t="s">
        <v>1053</v>
      </c>
      <c r="F233" s="476">
        <v>0</v>
      </c>
      <c r="G233" s="863">
        <v>41851</v>
      </c>
      <c r="H233" s="748" t="s">
        <v>6026</v>
      </c>
      <c r="J233" s="187"/>
      <c r="K233" s="187"/>
      <c r="L233" s="187"/>
      <c r="M233" s="187"/>
      <c r="N233" s="187"/>
      <c r="O233" s="187"/>
    </row>
    <row r="234" spans="1:15" x14ac:dyDescent="0.35">
      <c r="F234" s="387"/>
      <c r="G234" s="542"/>
      <c r="H234" s="748" t="s">
        <v>6026</v>
      </c>
    </row>
    <row r="235" spans="1:15" s="187" customFormat="1" ht="67.5" customHeight="1" x14ac:dyDescent="0.35">
      <c r="A235" s="896" t="s">
        <v>1484</v>
      </c>
      <c r="B235" s="896"/>
      <c r="C235" s="896"/>
      <c r="D235" s="896"/>
      <c r="E235" s="896"/>
      <c r="F235" s="896"/>
      <c r="G235" s="542"/>
      <c r="H235" s="748" t="s">
        <v>6026</v>
      </c>
      <c r="J235"/>
      <c r="K235"/>
      <c r="L235"/>
      <c r="M235"/>
      <c r="N235"/>
      <c r="O235"/>
    </row>
    <row r="236" spans="1:15" x14ac:dyDescent="0.35">
      <c r="F236" s="387"/>
      <c r="G236" s="542"/>
      <c r="H236" s="748" t="s">
        <v>6026</v>
      </c>
    </row>
    <row r="237" spans="1:15" x14ac:dyDescent="0.35">
      <c r="A237" s="468" t="s">
        <v>2535</v>
      </c>
      <c r="B237" s="469" t="s">
        <v>2269</v>
      </c>
      <c r="C237" s="469"/>
      <c r="D237" s="469" t="s">
        <v>2556</v>
      </c>
      <c r="E237" s="469"/>
      <c r="F237" s="467"/>
      <c r="G237" s="863">
        <v>41851</v>
      </c>
      <c r="H237" s="748" t="s">
        <v>6026</v>
      </c>
    </row>
    <row r="238" spans="1:15" x14ac:dyDescent="0.35">
      <c r="A238" s="468" t="s">
        <v>2536</v>
      </c>
      <c r="B238" s="469" t="s">
        <v>5547</v>
      </c>
      <c r="C238" s="469"/>
      <c r="D238" s="469" t="s">
        <v>2556</v>
      </c>
      <c r="E238" s="469"/>
      <c r="F238" s="467"/>
      <c r="G238" s="863">
        <v>41851</v>
      </c>
      <c r="H238" s="748" t="s">
        <v>6026</v>
      </c>
    </row>
    <row r="239" spans="1:15" x14ac:dyDescent="0.35">
      <c r="A239" s="468" t="s">
        <v>2537</v>
      </c>
      <c r="B239" s="469" t="s">
        <v>4846</v>
      </c>
      <c r="C239" s="469"/>
      <c r="D239" s="469" t="s">
        <v>2556</v>
      </c>
      <c r="E239" s="469"/>
      <c r="F239" s="467"/>
      <c r="G239" s="863">
        <v>41851</v>
      </c>
      <c r="H239" s="748" t="s">
        <v>6026</v>
      </c>
    </row>
    <row r="240" spans="1:15" x14ac:dyDescent="0.35">
      <c r="A240" s="468" t="s">
        <v>2538</v>
      </c>
      <c r="B240" s="469" t="s">
        <v>5405</v>
      </c>
      <c r="C240" s="469"/>
      <c r="D240" s="469" t="s">
        <v>2556</v>
      </c>
      <c r="E240" s="469"/>
      <c r="F240" s="467"/>
      <c r="G240" s="863">
        <v>41851</v>
      </c>
      <c r="H240" s="748" t="s">
        <v>6026</v>
      </c>
    </row>
    <row r="241" spans="1:15" x14ac:dyDescent="0.35">
      <c r="A241" s="468" t="s">
        <v>2539</v>
      </c>
      <c r="B241" s="469" t="s">
        <v>5410</v>
      </c>
      <c r="C241" s="469"/>
      <c r="D241" s="469" t="s">
        <v>2556</v>
      </c>
      <c r="E241" s="469"/>
      <c r="F241" s="467"/>
      <c r="G241" s="863">
        <v>41851</v>
      </c>
      <c r="H241" s="748" t="s">
        <v>6026</v>
      </c>
    </row>
    <row r="242" spans="1:15" x14ac:dyDescent="0.35">
      <c r="A242" s="468" t="s">
        <v>2540</v>
      </c>
      <c r="B242" s="469" t="s">
        <v>5411</v>
      </c>
      <c r="C242" s="469"/>
      <c r="D242" s="469" t="s">
        <v>2556</v>
      </c>
      <c r="E242" s="469"/>
      <c r="F242" s="467"/>
      <c r="G242" s="863">
        <v>41851</v>
      </c>
      <c r="H242" s="748" t="s">
        <v>6026</v>
      </c>
    </row>
    <row r="243" spans="1:15" x14ac:dyDescent="0.35">
      <c r="A243" s="468" t="s">
        <v>2541</v>
      </c>
      <c r="B243" s="469" t="s">
        <v>2034</v>
      </c>
      <c r="C243" s="469"/>
      <c r="D243" s="469" t="s">
        <v>2556</v>
      </c>
      <c r="E243" s="469"/>
      <c r="F243" s="467"/>
      <c r="G243" s="863">
        <v>41851</v>
      </c>
      <c r="H243" s="748" t="s">
        <v>6026</v>
      </c>
    </row>
    <row r="244" spans="1:15" x14ac:dyDescent="0.35">
      <c r="A244" s="468" t="s">
        <v>2542</v>
      </c>
      <c r="B244" s="469" t="s">
        <v>2067</v>
      </c>
      <c r="C244" s="469"/>
      <c r="D244" s="469" t="s">
        <v>2556</v>
      </c>
      <c r="E244" s="469"/>
      <c r="F244" s="467"/>
      <c r="G244" s="863">
        <v>41851</v>
      </c>
      <c r="H244" s="748" t="s">
        <v>6026</v>
      </c>
    </row>
    <row r="245" spans="1:15" x14ac:dyDescent="0.35">
      <c r="A245" s="468" t="s">
        <v>2543</v>
      </c>
      <c r="B245" s="469" t="s">
        <v>3373</v>
      </c>
      <c r="C245" s="469"/>
      <c r="D245" s="469" t="s">
        <v>2556</v>
      </c>
      <c r="E245" s="469"/>
      <c r="F245" s="467"/>
      <c r="G245" s="863">
        <v>41851</v>
      </c>
      <c r="H245" s="748" t="s">
        <v>6026</v>
      </c>
    </row>
    <row r="246" spans="1:15" x14ac:dyDescent="0.35">
      <c r="A246" s="468" t="s">
        <v>2544</v>
      </c>
      <c r="B246" s="469" t="s">
        <v>3381</v>
      </c>
      <c r="C246" s="469"/>
      <c r="D246" s="469" t="s">
        <v>2556</v>
      </c>
      <c r="E246" s="469"/>
      <c r="F246" s="467"/>
      <c r="G246" s="863">
        <v>41851</v>
      </c>
      <c r="H246" s="748" t="s">
        <v>6026</v>
      </c>
    </row>
    <row r="247" spans="1:15" x14ac:dyDescent="0.35">
      <c r="A247" s="468" t="s">
        <v>2545</v>
      </c>
      <c r="B247" s="469" t="s">
        <v>3389</v>
      </c>
      <c r="C247" s="469"/>
      <c r="D247" s="469" t="s">
        <v>2556</v>
      </c>
      <c r="E247" s="469"/>
      <c r="F247" s="467"/>
      <c r="G247" s="863">
        <v>41851</v>
      </c>
      <c r="H247" s="748" t="s">
        <v>6026</v>
      </c>
    </row>
    <row r="248" spans="1:15" x14ac:dyDescent="0.35">
      <c r="A248" s="468" t="s">
        <v>2546</v>
      </c>
      <c r="B248" s="469" t="s">
        <v>740</v>
      </c>
      <c r="C248" s="469"/>
      <c r="D248" s="469" t="s">
        <v>2556</v>
      </c>
      <c r="E248" s="469"/>
      <c r="F248" s="467"/>
      <c r="G248" s="863">
        <v>41851</v>
      </c>
      <c r="H248" s="748" t="s">
        <v>6026</v>
      </c>
    </row>
    <row r="249" spans="1:15" x14ac:dyDescent="0.35">
      <c r="A249" s="468" t="s">
        <v>2547</v>
      </c>
      <c r="B249" s="469" t="s">
        <v>5434</v>
      </c>
      <c r="C249" s="469"/>
      <c r="D249" s="469" t="s">
        <v>2556</v>
      </c>
      <c r="E249" s="469"/>
      <c r="F249" s="467"/>
      <c r="G249" s="863">
        <v>41851</v>
      </c>
      <c r="H249" s="748" t="s">
        <v>6026</v>
      </c>
      <c r="J249" s="187"/>
      <c r="K249" s="187"/>
      <c r="L249" s="187"/>
      <c r="M249" s="187"/>
      <c r="N249" s="187"/>
      <c r="O249" s="187"/>
    </row>
    <row r="250" spans="1:15" x14ac:dyDescent="0.35">
      <c r="A250" s="474" t="s">
        <v>3075</v>
      </c>
      <c r="B250" s="475" t="s">
        <v>5434</v>
      </c>
      <c r="C250" s="475"/>
      <c r="D250" s="475" t="s">
        <v>3076</v>
      </c>
      <c r="E250" s="475" t="s">
        <v>1053</v>
      </c>
      <c r="F250" s="476">
        <v>0</v>
      </c>
      <c r="G250" s="863">
        <v>41851</v>
      </c>
      <c r="H250" s="748" t="s">
        <v>6026</v>
      </c>
      <c r="J250" s="187"/>
      <c r="K250" s="187"/>
      <c r="L250" s="187"/>
      <c r="M250" s="187"/>
      <c r="N250" s="187"/>
      <c r="O250" s="187"/>
    </row>
    <row r="251" spans="1:15" x14ac:dyDescent="0.35">
      <c r="F251" s="387"/>
      <c r="G251" s="542"/>
      <c r="H251" s="748" t="s">
        <v>6026</v>
      </c>
    </row>
    <row r="252" spans="1:15" s="187" customFormat="1" ht="65.25" customHeight="1" x14ac:dyDescent="0.35">
      <c r="A252" s="896" t="s">
        <v>1485</v>
      </c>
      <c r="B252" s="896"/>
      <c r="C252" s="896"/>
      <c r="D252" s="896"/>
      <c r="E252" s="896"/>
      <c r="F252" s="896"/>
      <c r="G252" s="542"/>
      <c r="H252" s="748" t="s">
        <v>6026</v>
      </c>
      <c r="J252"/>
      <c r="K252"/>
      <c r="L252"/>
      <c r="M252"/>
      <c r="N252"/>
      <c r="O252"/>
    </row>
    <row r="253" spans="1:15" x14ac:dyDescent="0.35">
      <c r="F253" s="387"/>
      <c r="G253" s="542"/>
      <c r="H253" s="748" t="s">
        <v>6026</v>
      </c>
    </row>
    <row r="254" spans="1:15" x14ac:dyDescent="0.35">
      <c r="A254" s="468" t="s">
        <v>5376</v>
      </c>
      <c r="B254" s="469" t="s">
        <v>2269</v>
      </c>
      <c r="C254" s="469"/>
      <c r="D254" s="482" t="s">
        <v>2548</v>
      </c>
      <c r="E254" s="469"/>
      <c r="F254" s="467">
        <v>0</v>
      </c>
      <c r="G254" s="863">
        <v>41851</v>
      </c>
      <c r="H254" s="748" t="s">
        <v>6026</v>
      </c>
    </row>
    <row r="255" spans="1:15" x14ac:dyDescent="0.35">
      <c r="A255" s="468" t="s">
        <v>5377</v>
      </c>
      <c r="B255" s="469" t="s">
        <v>5547</v>
      </c>
      <c r="C255" s="469"/>
      <c r="D255" s="469" t="s">
        <v>2548</v>
      </c>
      <c r="E255" s="469"/>
      <c r="F255" s="467">
        <v>0</v>
      </c>
      <c r="G255" s="863">
        <v>41851</v>
      </c>
      <c r="H255" s="748" t="s">
        <v>6026</v>
      </c>
    </row>
    <row r="256" spans="1:15" x14ac:dyDescent="0.35">
      <c r="A256" s="468" t="s">
        <v>2561</v>
      </c>
      <c r="B256" s="469" t="s">
        <v>4846</v>
      </c>
      <c r="C256" s="469"/>
      <c r="D256" s="469" t="s">
        <v>2548</v>
      </c>
      <c r="E256" s="469"/>
      <c r="F256" s="467">
        <v>0</v>
      </c>
      <c r="G256" s="863">
        <v>41851</v>
      </c>
      <c r="H256" s="748" t="s">
        <v>6026</v>
      </c>
    </row>
    <row r="257" spans="1:15" x14ac:dyDescent="0.35">
      <c r="A257" s="468" t="s">
        <v>2562</v>
      </c>
      <c r="B257" s="469" t="s">
        <v>5405</v>
      </c>
      <c r="C257" s="469"/>
      <c r="D257" s="469" t="s">
        <v>2548</v>
      </c>
      <c r="E257" s="469"/>
      <c r="F257" s="467">
        <v>0</v>
      </c>
      <c r="G257" s="863">
        <v>41851</v>
      </c>
      <c r="H257" s="748" t="s">
        <v>6026</v>
      </c>
    </row>
    <row r="258" spans="1:15" x14ac:dyDescent="0.35">
      <c r="A258" s="468" t="s">
        <v>2563</v>
      </c>
      <c r="B258" s="469" t="s">
        <v>5410</v>
      </c>
      <c r="C258" s="469"/>
      <c r="D258" s="469" t="s">
        <v>2548</v>
      </c>
      <c r="E258" s="469"/>
      <c r="F258" s="467">
        <v>0</v>
      </c>
      <c r="G258" s="863">
        <v>41851</v>
      </c>
      <c r="H258" s="748" t="s">
        <v>6026</v>
      </c>
    </row>
    <row r="259" spans="1:15" x14ac:dyDescent="0.35">
      <c r="A259" s="468" t="s">
        <v>2564</v>
      </c>
      <c r="B259" s="469" t="s">
        <v>5411</v>
      </c>
      <c r="C259" s="469"/>
      <c r="D259" s="469" t="s">
        <v>2548</v>
      </c>
      <c r="E259" s="469"/>
      <c r="F259" s="467">
        <v>0</v>
      </c>
      <c r="G259" s="863">
        <v>41851</v>
      </c>
      <c r="H259" s="748" t="s">
        <v>6026</v>
      </c>
    </row>
    <row r="260" spans="1:15" x14ac:dyDescent="0.35">
      <c r="A260" s="468" t="s">
        <v>2565</v>
      </c>
      <c r="B260" s="469" t="s">
        <v>2034</v>
      </c>
      <c r="C260" s="469"/>
      <c r="D260" s="469" t="s">
        <v>2548</v>
      </c>
      <c r="E260" s="469"/>
      <c r="F260" s="467">
        <v>0</v>
      </c>
      <c r="G260" s="863">
        <v>41851</v>
      </c>
      <c r="H260" s="748" t="s">
        <v>6026</v>
      </c>
    </row>
    <row r="261" spans="1:15" x14ac:dyDescent="0.35">
      <c r="A261" s="468" t="s">
        <v>2566</v>
      </c>
      <c r="B261" s="469" t="s">
        <v>2067</v>
      </c>
      <c r="C261" s="469"/>
      <c r="D261" s="469" t="s">
        <v>2548</v>
      </c>
      <c r="E261" s="469"/>
      <c r="F261" s="467">
        <v>0</v>
      </c>
      <c r="G261" s="863">
        <v>41851</v>
      </c>
      <c r="H261" s="748" t="s">
        <v>6026</v>
      </c>
    </row>
    <row r="262" spans="1:15" x14ac:dyDescent="0.35">
      <c r="A262" s="468" t="s">
        <v>2567</v>
      </c>
      <c r="B262" s="469" t="s">
        <v>3373</v>
      </c>
      <c r="C262" s="469"/>
      <c r="D262" s="469" t="s">
        <v>2548</v>
      </c>
      <c r="E262" s="469"/>
      <c r="F262" s="467">
        <v>0</v>
      </c>
      <c r="G262" s="863">
        <v>41851</v>
      </c>
      <c r="H262" s="748" t="s">
        <v>6026</v>
      </c>
    </row>
    <row r="263" spans="1:15" x14ac:dyDescent="0.35">
      <c r="A263" s="468" t="s">
        <v>2568</v>
      </c>
      <c r="B263" s="469" t="s">
        <v>3381</v>
      </c>
      <c r="C263" s="469"/>
      <c r="D263" s="469" t="s">
        <v>2548</v>
      </c>
      <c r="E263" s="469"/>
      <c r="F263" s="467">
        <v>0</v>
      </c>
      <c r="G263" s="863">
        <v>41851</v>
      </c>
      <c r="H263" s="748" t="s">
        <v>6026</v>
      </c>
    </row>
    <row r="264" spans="1:15" x14ac:dyDescent="0.35">
      <c r="A264" s="468" t="s">
        <v>2569</v>
      </c>
      <c r="B264" s="469" t="s">
        <v>3389</v>
      </c>
      <c r="C264" s="469"/>
      <c r="D264" s="469" t="s">
        <v>2548</v>
      </c>
      <c r="E264" s="469"/>
      <c r="F264" s="467">
        <v>0</v>
      </c>
      <c r="G264" s="863">
        <v>41851</v>
      </c>
      <c r="H264" s="748" t="s">
        <v>6026</v>
      </c>
    </row>
    <row r="265" spans="1:15" x14ac:dyDescent="0.35">
      <c r="A265" s="468" t="s">
        <v>2570</v>
      </c>
      <c r="B265" s="469" t="s">
        <v>740</v>
      </c>
      <c r="C265" s="469"/>
      <c r="D265" s="469" t="s">
        <v>2548</v>
      </c>
      <c r="E265" s="469"/>
      <c r="F265" s="467">
        <v>0</v>
      </c>
      <c r="G265" s="863">
        <v>41851</v>
      </c>
      <c r="H265" s="748" t="s">
        <v>6026</v>
      </c>
    </row>
    <row r="266" spans="1:15" x14ac:dyDescent="0.35">
      <c r="A266" s="468" t="s">
        <v>2571</v>
      </c>
      <c r="B266" s="469" t="s">
        <v>5434</v>
      </c>
      <c r="C266" s="469"/>
      <c r="D266" s="469" t="s">
        <v>2548</v>
      </c>
      <c r="E266" s="469"/>
      <c r="F266" s="467">
        <v>0</v>
      </c>
      <c r="G266" s="863">
        <v>41851</v>
      </c>
      <c r="H266" s="748" t="s">
        <v>6026</v>
      </c>
      <c r="J266" s="187"/>
      <c r="K266" s="187"/>
      <c r="L266" s="187"/>
      <c r="M266" s="187"/>
      <c r="N266" s="187"/>
      <c r="O266" s="187"/>
    </row>
    <row r="267" spans="1:15" x14ac:dyDescent="0.35">
      <c r="F267" s="387"/>
      <c r="G267" s="542"/>
      <c r="H267" s="748" t="s">
        <v>6026</v>
      </c>
    </row>
    <row r="268" spans="1:15" s="187" customFormat="1" ht="67.5" customHeight="1" x14ac:dyDescent="0.35">
      <c r="A268" s="896" t="s">
        <v>939</v>
      </c>
      <c r="B268" s="896"/>
      <c r="C268" s="896"/>
      <c r="D268" s="896"/>
      <c r="E268" s="896"/>
      <c r="F268" s="896"/>
      <c r="G268" s="542"/>
      <c r="H268" s="748" t="s">
        <v>6026</v>
      </c>
      <c r="J268"/>
      <c r="K268"/>
      <c r="L268"/>
      <c r="M268"/>
      <c r="N268"/>
      <c r="O268"/>
    </row>
    <row r="269" spans="1:15" x14ac:dyDescent="0.35">
      <c r="F269" s="387"/>
      <c r="G269" s="542"/>
      <c r="H269" s="748" t="s">
        <v>6026</v>
      </c>
    </row>
    <row r="270" spans="1:15" x14ac:dyDescent="0.35">
      <c r="A270" s="483" t="s">
        <v>1708</v>
      </c>
      <c r="B270" s="484" t="s">
        <v>5434</v>
      </c>
      <c r="C270" s="484"/>
      <c r="D270" s="484" t="s">
        <v>1709</v>
      </c>
      <c r="E270" s="484"/>
      <c r="F270" s="485">
        <v>0</v>
      </c>
      <c r="G270" s="863">
        <v>41851</v>
      </c>
      <c r="H270" s="748" t="s">
        <v>6026</v>
      </c>
    </row>
    <row r="271" spans="1:15" x14ac:dyDescent="0.35">
      <c r="F271" s="387"/>
      <c r="G271" s="542"/>
      <c r="H271" s="748" t="s">
        <v>6026</v>
      </c>
    </row>
    <row r="272" spans="1:15" s="187" customFormat="1" ht="66" customHeight="1" x14ac:dyDescent="0.35">
      <c r="A272" s="896" t="s">
        <v>940</v>
      </c>
      <c r="B272" s="896"/>
      <c r="C272" s="896"/>
      <c r="D272" s="896"/>
      <c r="E272" s="896"/>
      <c r="F272" s="896"/>
      <c r="G272" s="542"/>
      <c r="H272" s="748" t="s">
        <v>6026</v>
      </c>
      <c r="J272"/>
      <c r="K272"/>
      <c r="L272"/>
      <c r="M272"/>
      <c r="N272"/>
      <c r="O272"/>
    </row>
    <row r="273" spans="1:15" x14ac:dyDescent="0.35">
      <c r="F273" s="387"/>
      <c r="G273" s="542"/>
      <c r="H273" s="748" t="s">
        <v>6026</v>
      </c>
    </row>
    <row r="274" spans="1:15" x14ac:dyDescent="0.35">
      <c r="A274" s="468" t="s">
        <v>5374</v>
      </c>
      <c r="B274" s="469" t="s">
        <v>2269</v>
      </c>
      <c r="C274" s="469"/>
      <c r="D274" s="469" t="s">
        <v>2549</v>
      </c>
      <c r="E274" s="469"/>
      <c r="F274" s="467">
        <v>0</v>
      </c>
      <c r="G274" s="863">
        <v>41851</v>
      </c>
      <c r="H274" s="748" t="s">
        <v>6026</v>
      </c>
    </row>
    <row r="275" spans="1:15" x14ac:dyDescent="0.35">
      <c r="A275" s="468" t="s">
        <v>5375</v>
      </c>
      <c r="B275" s="469" t="s">
        <v>5547</v>
      </c>
      <c r="C275" s="469"/>
      <c r="D275" s="469" t="s">
        <v>2549</v>
      </c>
      <c r="E275" s="469"/>
      <c r="F275" s="467">
        <v>0</v>
      </c>
      <c r="G275" s="863">
        <v>41851</v>
      </c>
      <c r="H275" s="748" t="s">
        <v>6026</v>
      </c>
    </row>
    <row r="276" spans="1:15" x14ac:dyDescent="0.35">
      <c r="A276" s="468" t="s">
        <v>2572</v>
      </c>
      <c r="B276" s="469" t="s">
        <v>4846</v>
      </c>
      <c r="C276" s="469"/>
      <c r="D276" s="469" t="s">
        <v>2549</v>
      </c>
      <c r="E276" s="469"/>
      <c r="F276" s="467">
        <v>0</v>
      </c>
      <c r="G276" s="863">
        <v>41851</v>
      </c>
      <c r="H276" s="748" t="s">
        <v>6026</v>
      </c>
    </row>
    <row r="277" spans="1:15" x14ac:dyDescent="0.35">
      <c r="A277" s="468" t="s">
        <v>2573</v>
      </c>
      <c r="B277" s="469" t="s">
        <v>5405</v>
      </c>
      <c r="C277" s="469"/>
      <c r="D277" s="469" t="s">
        <v>2549</v>
      </c>
      <c r="E277" s="469"/>
      <c r="F277" s="467">
        <v>0</v>
      </c>
      <c r="G277" s="863">
        <v>41851</v>
      </c>
      <c r="H277" s="748" t="s">
        <v>6026</v>
      </c>
    </row>
    <row r="278" spans="1:15" x14ac:dyDescent="0.35">
      <c r="A278" s="468" t="s">
        <v>2574</v>
      </c>
      <c r="B278" s="469" t="s">
        <v>5410</v>
      </c>
      <c r="C278" s="469"/>
      <c r="D278" s="469" t="s">
        <v>2549</v>
      </c>
      <c r="E278" s="469"/>
      <c r="F278" s="467">
        <v>0</v>
      </c>
      <c r="G278" s="863">
        <v>41851</v>
      </c>
      <c r="H278" s="748" t="s">
        <v>6026</v>
      </c>
    </row>
    <row r="279" spans="1:15" x14ac:dyDescent="0.35">
      <c r="A279" s="468" t="s">
        <v>2575</v>
      </c>
      <c r="B279" s="469" t="s">
        <v>5411</v>
      </c>
      <c r="C279" s="469"/>
      <c r="D279" s="469" t="s">
        <v>2549</v>
      </c>
      <c r="E279" s="469"/>
      <c r="F279" s="467">
        <v>0</v>
      </c>
      <c r="G279" s="863">
        <v>41851</v>
      </c>
      <c r="H279" s="748" t="s">
        <v>6026</v>
      </c>
    </row>
    <row r="280" spans="1:15" x14ac:dyDescent="0.35">
      <c r="A280" s="468" t="s">
        <v>2576</v>
      </c>
      <c r="B280" s="469" t="s">
        <v>2034</v>
      </c>
      <c r="C280" s="469"/>
      <c r="D280" s="469" t="s">
        <v>2549</v>
      </c>
      <c r="E280" s="469"/>
      <c r="F280" s="467">
        <v>0</v>
      </c>
      <c r="G280" s="863">
        <v>41851</v>
      </c>
      <c r="H280" s="748" t="s">
        <v>6026</v>
      </c>
    </row>
    <row r="281" spans="1:15" x14ac:dyDescent="0.35">
      <c r="A281" s="468" t="s">
        <v>2577</v>
      </c>
      <c r="B281" s="469" t="s">
        <v>2067</v>
      </c>
      <c r="C281" s="469"/>
      <c r="D281" s="469" t="s">
        <v>2549</v>
      </c>
      <c r="E281" s="469"/>
      <c r="F281" s="467">
        <v>0</v>
      </c>
      <c r="G281" s="863">
        <v>41851</v>
      </c>
      <c r="H281" s="748" t="s">
        <v>6026</v>
      </c>
    </row>
    <row r="282" spans="1:15" x14ac:dyDescent="0.35">
      <c r="A282" s="468" t="s">
        <v>2578</v>
      </c>
      <c r="B282" s="469" t="s">
        <v>3373</v>
      </c>
      <c r="C282" s="469"/>
      <c r="D282" s="469" t="s">
        <v>2549</v>
      </c>
      <c r="E282" s="469"/>
      <c r="F282" s="467">
        <v>0</v>
      </c>
      <c r="G282" s="863">
        <v>41851</v>
      </c>
      <c r="H282" s="748" t="s">
        <v>6026</v>
      </c>
    </row>
    <row r="283" spans="1:15" x14ac:dyDescent="0.35">
      <c r="A283" s="468" t="s">
        <v>2579</v>
      </c>
      <c r="B283" s="469" t="s">
        <v>3381</v>
      </c>
      <c r="C283" s="469"/>
      <c r="D283" s="469" t="s">
        <v>2549</v>
      </c>
      <c r="E283" s="469"/>
      <c r="F283" s="467">
        <v>0</v>
      </c>
      <c r="G283" s="863">
        <v>41851</v>
      </c>
      <c r="H283" s="748" t="s">
        <v>6026</v>
      </c>
    </row>
    <row r="284" spans="1:15" x14ac:dyDescent="0.35">
      <c r="A284" s="468" t="s">
        <v>2580</v>
      </c>
      <c r="B284" s="469" t="s">
        <v>3389</v>
      </c>
      <c r="C284" s="469"/>
      <c r="D284" s="469" t="s">
        <v>2549</v>
      </c>
      <c r="E284" s="469"/>
      <c r="F284" s="467">
        <v>0</v>
      </c>
      <c r="G284" s="863">
        <v>41851</v>
      </c>
      <c r="H284" s="748" t="s">
        <v>6026</v>
      </c>
    </row>
    <row r="285" spans="1:15" x14ac:dyDescent="0.35">
      <c r="A285" s="468" t="s">
        <v>2581</v>
      </c>
      <c r="B285" s="469" t="s">
        <v>740</v>
      </c>
      <c r="C285" s="469"/>
      <c r="D285" s="469" t="s">
        <v>2549</v>
      </c>
      <c r="E285" s="469"/>
      <c r="F285" s="467">
        <v>0</v>
      </c>
      <c r="G285" s="863">
        <v>41851</v>
      </c>
      <c r="H285" s="748" t="s">
        <v>6026</v>
      </c>
    </row>
    <row r="286" spans="1:15" x14ac:dyDescent="0.35">
      <c r="A286" s="486" t="s">
        <v>2582</v>
      </c>
      <c r="B286" s="487" t="s">
        <v>5434</v>
      </c>
      <c r="C286" s="487"/>
      <c r="D286" s="487" t="s">
        <v>2549</v>
      </c>
      <c r="E286" s="487"/>
      <c r="F286" s="488">
        <v>0</v>
      </c>
      <c r="G286" s="863">
        <v>41851</v>
      </c>
      <c r="H286" s="748" t="s">
        <v>6026</v>
      </c>
    </row>
    <row r="287" spans="1:15" x14ac:dyDescent="0.35">
      <c r="F287" s="387"/>
      <c r="G287" s="542"/>
      <c r="H287" s="748" t="s">
        <v>6026</v>
      </c>
    </row>
    <row r="288" spans="1:15" s="187" customFormat="1" ht="66" customHeight="1" x14ac:dyDescent="0.35">
      <c r="A288" s="948" t="s">
        <v>941</v>
      </c>
      <c r="B288" s="948"/>
      <c r="C288" s="948"/>
      <c r="D288" s="948"/>
      <c r="E288" s="948"/>
      <c r="F288" s="948"/>
      <c r="G288" s="542"/>
      <c r="H288" s="748" t="s">
        <v>6026</v>
      </c>
      <c r="J288"/>
      <c r="K288"/>
      <c r="L288"/>
      <c r="M288"/>
      <c r="N288"/>
      <c r="O288"/>
    </row>
    <row r="289" spans="1:15" x14ac:dyDescent="0.35">
      <c r="F289" s="387"/>
      <c r="G289" s="542"/>
      <c r="H289" s="748" t="s">
        <v>6026</v>
      </c>
    </row>
    <row r="290" spans="1:15" x14ac:dyDescent="0.35">
      <c r="A290" s="239" t="s">
        <v>3010</v>
      </c>
      <c r="B290" s="240" t="s">
        <v>2269</v>
      </c>
      <c r="C290" s="240"/>
      <c r="D290" s="489" t="s">
        <v>3008</v>
      </c>
      <c r="E290" s="240"/>
      <c r="F290" s="391"/>
      <c r="G290" s="863">
        <v>41851</v>
      </c>
      <c r="H290" s="748" t="s">
        <v>6026</v>
      </c>
    </row>
    <row r="291" spans="1:15" x14ac:dyDescent="0.35">
      <c r="A291" s="239" t="s">
        <v>3011</v>
      </c>
      <c r="B291" s="240" t="s">
        <v>5547</v>
      </c>
      <c r="C291" s="240"/>
      <c r="D291" s="489" t="s">
        <v>3008</v>
      </c>
      <c r="E291" s="240"/>
      <c r="F291" s="391"/>
      <c r="G291" s="863">
        <v>41851</v>
      </c>
      <c r="H291" s="748" t="s">
        <v>6026</v>
      </c>
    </row>
    <row r="292" spans="1:15" x14ac:dyDescent="0.35">
      <c r="A292" s="239" t="s">
        <v>3012</v>
      </c>
      <c r="B292" s="240" t="s">
        <v>4846</v>
      </c>
      <c r="C292" s="240"/>
      <c r="D292" s="489" t="s">
        <v>3008</v>
      </c>
      <c r="E292" s="240"/>
      <c r="F292" s="391"/>
      <c r="G292" s="863">
        <v>41851</v>
      </c>
      <c r="H292" s="748" t="s">
        <v>6026</v>
      </c>
    </row>
    <row r="293" spans="1:15" x14ac:dyDescent="0.35">
      <c r="A293" s="239" t="s">
        <v>3013</v>
      </c>
      <c r="B293" s="240" t="s">
        <v>5405</v>
      </c>
      <c r="C293" s="240"/>
      <c r="D293" s="489" t="s">
        <v>3008</v>
      </c>
      <c r="E293" s="240"/>
      <c r="F293" s="391"/>
      <c r="G293" s="863">
        <v>41851</v>
      </c>
      <c r="H293" s="748" t="s">
        <v>6026</v>
      </c>
    </row>
    <row r="294" spans="1:15" x14ac:dyDescent="0.35">
      <c r="A294" s="239" t="s">
        <v>3014</v>
      </c>
      <c r="B294" s="240" t="s">
        <v>5410</v>
      </c>
      <c r="C294" s="240"/>
      <c r="D294" s="489" t="s">
        <v>3008</v>
      </c>
      <c r="E294" s="240"/>
      <c r="F294" s="391"/>
      <c r="G294" s="863">
        <v>41851</v>
      </c>
      <c r="H294" s="748" t="s">
        <v>6026</v>
      </c>
    </row>
    <row r="295" spans="1:15" x14ac:dyDescent="0.35">
      <c r="A295" s="239" t="s">
        <v>3015</v>
      </c>
      <c r="B295" s="240" t="s">
        <v>5411</v>
      </c>
      <c r="C295" s="240"/>
      <c r="D295" s="489" t="s">
        <v>3008</v>
      </c>
      <c r="E295" s="240"/>
      <c r="F295" s="391"/>
      <c r="G295" s="863">
        <v>41851</v>
      </c>
      <c r="H295" s="748" t="s">
        <v>6026</v>
      </c>
    </row>
    <row r="296" spans="1:15" x14ac:dyDescent="0.35">
      <c r="A296" s="239" t="s">
        <v>3016</v>
      </c>
      <c r="B296" s="240" t="s">
        <v>2034</v>
      </c>
      <c r="C296" s="240"/>
      <c r="D296" s="489" t="s">
        <v>3008</v>
      </c>
      <c r="E296" s="240"/>
      <c r="F296" s="391"/>
      <c r="G296" s="863">
        <v>41851</v>
      </c>
      <c r="H296" s="748" t="s">
        <v>6026</v>
      </c>
    </row>
    <row r="297" spans="1:15" x14ac:dyDescent="0.35">
      <c r="A297" s="239" t="s">
        <v>3017</v>
      </c>
      <c r="B297" s="240" t="s">
        <v>2067</v>
      </c>
      <c r="C297" s="240"/>
      <c r="D297" s="489" t="s">
        <v>3008</v>
      </c>
      <c r="E297" s="240"/>
      <c r="F297" s="391"/>
      <c r="G297" s="863">
        <v>41851</v>
      </c>
      <c r="H297" s="748" t="s">
        <v>6026</v>
      </c>
    </row>
    <row r="298" spans="1:15" x14ac:dyDescent="0.35">
      <c r="A298" s="239" t="s">
        <v>3018</v>
      </c>
      <c r="B298" s="240" t="s">
        <v>3373</v>
      </c>
      <c r="C298" s="240"/>
      <c r="D298" s="489" t="s">
        <v>3008</v>
      </c>
      <c r="E298" s="240"/>
      <c r="F298" s="391"/>
      <c r="G298" s="863">
        <v>41851</v>
      </c>
      <c r="H298" s="748" t="s">
        <v>6026</v>
      </c>
    </row>
    <row r="299" spans="1:15" x14ac:dyDescent="0.35">
      <c r="A299" s="239" t="s">
        <v>3019</v>
      </c>
      <c r="B299" s="240" t="s">
        <v>3381</v>
      </c>
      <c r="C299" s="240"/>
      <c r="D299" s="489" t="s">
        <v>3008</v>
      </c>
      <c r="E299" s="240"/>
      <c r="F299" s="391"/>
      <c r="G299" s="863">
        <v>41851</v>
      </c>
      <c r="H299" s="748" t="s">
        <v>6026</v>
      </c>
    </row>
    <row r="300" spans="1:15" x14ac:dyDescent="0.35">
      <c r="A300" s="239" t="s">
        <v>3020</v>
      </c>
      <c r="B300" s="240" t="s">
        <v>3389</v>
      </c>
      <c r="C300" s="240"/>
      <c r="D300" s="489" t="s">
        <v>3008</v>
      </c>
      <c r="E300" s="240"/>
      <c r="F300" s="391"/>
      <c r="G300" s="863">
        <v>41851</v>
      </c>
      <c r="H300" s="748" t="s">
        <v>6026</v>
      </c>
    </row>
    <row r="301" spans="1:15" x14ac:dyDescent="0.35">
      <c r="A301" s="239" t="s">
        <v>3021</v>
      </c>
      <c r="B301" s="240" t="s">
        <v>740</v>
      </c>
      <c r="C301" s="240"/>
      <c r="D301" s="489" t="s">
        <v>3008</v>
      </c>
      <c r="E301" s="240"/>
      <c r="F301" s="391"/>
      <c r="G301" s="863">
        <v>41851</v>
      </c>
      <c r="H301" s="748" t="s">
        <v>6026</v>
      </c>
    </row>
    <row r="302" spans="1:15" x14ac:dyDescent="0.35">
      <c r="A302" s="239" t="s">
        <v>3022</v>
      </c>
      <c r="B302" s="240" t="s">
        <v>5434</v>
      </c>
      <c r="C302" s="240"/>
      <c r="D302" s="489" t="s">
        <v>3008</v>
      </c>
      <c r="E302" s="240"/>
      <c r="F302" s="391"/>
      <c r="G302" s="863">
        <v>41851</v>
      </c>
      <c r="H302" s="748" t="s">
        <v>6026</v>
      </c>
      <c r="J302" s="187"/>
      <c r="K302" s="187"/>
      <c r="L302" s="187"/>
      <c r="M302" s="187"/>
      <c r="N302" s="187"/>
      <c r="O302" s="187"/>
    </row>
    <row r="303" spans="1:15" x14ac:dyDescent="0.35">
      <c r="F303" s="387"/>
      <c r="G303" s="542"/>
      <c r="H303" s="748" t="s">
        <v>6026</v>
      </c>
    </row>
    <row r="304" spans="1:15" x14ac:dyDescent="0.35">
      <c r="A304" s="239" t="s">
        <v>3023</v>
      </c>
      <c r="B304" s="240" t="s">
        <v>2269</v>
      </c>
      <c r="C304" s="240"/>
      <c r="D304" s="489" t="s">
        <v>3009</v>
      </c>
      <c r="E304" s="240"/>
      <c r="F304" s="391">
        <v>0</v>
      </c>
      <c r="G304" s="863">
        <v>41851</v>
      </c>
      <c r="H304" s="748" t="s">
        <v>6026</v>
      </c>
    </row>
    <row r="305" spans="1:15" x14ac:dyDescent="0.35">
      <c r="A305" s="239" t="s">
        <v>3024</v>
      </c>
      <c r="B305" s="240" t="s">
        <v>5547</v>
      </c>
      <c r="C305" s="240"/>
      <c r="D305" s="489" t="s">
        <v>3009</v>
      </c>
      <c r="E305" s="240"/>
      <c r="F305" s="391">
        <v>0</v>
      </c>
      <c r="G305" s="863">
        <v>41851</v>
      </c>
      <c r="H305" s="748" t="s">
        <v>6026</v>
      </c>
    </row>
    <row r="306" spans="1:15" x14ac:dyDescent="0.35">
      <c r="A306" s="239" t="s">
        <v>3025</v>
      </c>
      <c r="B306" s="240" t="s">
        <v>4846</v>
      </c>
      <c r="C306" s="240"/>
      <c r="D306" s="489" t="s">
        <v>3009</v>
      </c>
      <c r="E306" s="240"/>
      <c r="F306" s="391">
        <v>0</v>
      </c>
      <c r="G306" s="863">
        <v>41851</v>
      </c>
      <c r="H306" s="748" t="s">
        <v>6026</v>
      </c>
    </row>
    <row r="307" spans="1:15" x14ac:dyDescent="0.35">
      <c r="A307" s="239" t="s">
        <v>3026</v>
      </c>
      <c r="B307" s="240" t="s">
        <v>5405</v>
      </c>
      <c r="C307" s="240"/>
      <c r="D307" s="489" t="s">
        <v>3009</v>
      </c>
      <c r="E307" s="240"/>
      <c r="F307" s="391">
        <v>0</v>
      </c>
      <c r="G307" s="863">
        <v>41851</v>
      </c>
      <c r="H307" s="748" t="s">
        <v>6026</v>
      </c>
    </row>
    <row r="308" spans="1:15" x14ac:dyDescent="0.35">
      <c r="A308" s="239" t="s">
        <v>3027</v>
      </c>
      <c r="B308" s="240" t="s">
        <v>5410</v>
      </c>
      <c r="C308" s="240"/>
      <c r="D308" s="489" t="s">
        <v>3009</v>
      </c>
      <c r="E308" s="240"/>
      <c r="F308" s="391">
        <v>0</v>
      </c>
      <c r="G308" s="863">
        <v>41851</v>
      </c>
      <c r="H308" s="748" t="s">
        <v>6026</v>
      </c>
    </row>
    <row r="309" spans="1:15" x14ac:dyDescent="0.35">
      <c r="A309" s="239" t="s">
        <v>3028</v>
      </c>
      <c r="B309" s="240" t="s">
        <v>5411</v>
      </c>
      <c r="C309" s="240"/>
      <c r="D309" s="489" t="s">
        <v>3009</v>
      </c>
      <c r="E309" s="240"/>
      <c r="F309" s="391">
        <v>0</v>
      </c>
      <c r="G309" s="863">
        <v>41851</v>
      </c>
      <c r="H309" s="748" t="s">
        <v>6026</v>
      </c>
    </row>
    <row r="310" spans="1:15" x14ac:dyDescent="0.35">
      <c r="A310" s="239" t="s">
        <v>3029</v>
      </c>
      <c r="B310" s="240" t="s">
        <v>2034</v>
      </c>
      <c r="C310" s="240"/>
      <c r="D310" s="489" t="s">
        <v>3009</v>
      </c>
      <c r="E310" s="240"/>
      <c r="F310" s="391">
        <v>0</v>
      </c>
      <c r="G310" s="863">
        <v>41851</v>
      </c>
      <c r="H310" s="748" t="s">
        <v>6026</v>
      </c>
    </row>
    <row r="311" spans="1:15" x14ac:dyDescent="0.35">
      <c r="A311" s="239" t="s">
        <v>3030</v>
      </c>
      <c r="B311" s="240" t="s">
        <v>2067</v>
      </c>
      <c r="C311" s="240"/>
      <c r="D311" s="489" t="s">
        <v>3009</v>
      </c>
      <c r="E311" s="240"/>
      <c r="F311" s="391">
        <v>0</v>
      </c>
      <c r="G311" s="863">
        <v>41851</v>
      </c>
      <c r="H311" s="748" t="s">
        <v>6026</v>
      </c>
    </row>
    <row r="312" spans="1:15" x14ac:dyDescent="0.35">
      <c r="A312" s="239" t="s">
        <v>3031</v>
      </c>
      <c r="B312" s="240" t="s">
        <v>3373</v>
      </c>
      <c r="C312" s="240"/>
      <c r="D312" s="489" t="s">
        <v>3009</v>
      </c>
      <c r="E312" s="240"/>
      <c r="F312" s="391">
        <v>0</v>
      </c>
      <c r="G312" s="863">
        <v>41851</v>
      </c>
      <c r="H312" s="748" t="s">
        <v>6026</v>
      </c>
    </row>
    <row r="313" spans="1:15" x14ac:dyDescent="0.35">
      <c r="A313" s="239" t="s">
        <v>3032</v>
      </c>
      <c r="B313" s="240" t="s">
        <v>3381</v>
      </c>
      <c r="C313" s="240"/>
      <c r="D313" s="489" t="s">
        <v>3009</v>
      </c>
      <c r="E313" s="240"/>
      <c r="F313" s="391">
        <v>0</v>
      </c>
      <c r="G313" s="863">
        <v>41851</v>
      </c>
      <c r="H313" s="748" t="s">
        <v>6026</v>
      </c>
    </row>
    <row r="314" spans="1:15" x14ac:dyDescent="0.35">
      <c r="A314" s="239" t="s">
        <v>3033</v>
      </c>
      <c r="B314" s="240" t="s">
        <v>3389</v>
      </c>
      <c r="C314" s="240"/>
      <c r="D314" s="489" t="s">
        <v>3009</v>
      </c>
      <c r="E314" s="240"/>
      <c r="F314" s="391">
        <v>0</v>
      </c>
      <c r="G314" s="863">
        <v>41851</v>
      </c>
      <c r="H314" s="748" t="s">
        <v>6026</v>
      </c>
    </row>
    <row r="315" spans="1:15" x14ac:dyDescent="0.35">
      <c r="A315" s="239" t="s">
        <v>3034</v>
      </c>
      <c r="B315" s="240" t="s">
        <v>740</v>
      </c>
      <c r="C315" s="240"/>
      <c r="D315" s="489" t="s">
        <v>3009</v>
      </c>
      <c r="E315" s="240"/>
      <c r="F315" s="391">
        <v>0</v>
      </c>
      <c r="G315" s="863">
        <v>41851</v>
      </c>
      <c r="H315" s="748" t="s">
        <v>6026</v>
      </c>
    </row>
    <row r="316" spans="1:15" x14ac:dyDescent="0.35">
      <c r="A316" s="239" t="s">
        <v>3035</v>
      </c>
      <c r="B316" s="240" t="s">
        <v>5434</v>
      </c>
      <c r="C316" s="240"/>
      <c r="D316" s="489" t="s">
        <v>3009</v>
      </c>
      <c r="E316" s="240"/>
      <c r="F316" s="391">
        <v>0</v>
      </c>
      <c r="G316" s="863">
        <v>41851</v>
      </c>
      <c r="H316" s="748" t="s">
        <v>6026</v>
      </c>
      <c r="J316" s="187"/>
      <c r="K316" s="187"/>
      <c r="L316" s="187"/>
      <c r="M316" s="187"/>
      <c r="N316" s="187"/>
      <c r="O316" s="187"/>
    </row>
    <row r="317" spans="1:15" x14ac:dyDescent="0.35">
      <c r="A317" s="311" t="s">
        <v>3074</v>
      </c>
      <c r="B317" s="312" t="s">
        <v>5434</v>
      </c>
      <c r="C317" s="312"/>
      <c r="D317" s="314" t="s">
        <v>3009</v>
      </c>
      <c r="E317" s="312" t="s">
        <v>1053</v>
      </c>
      <c r="F317" s="394">
        <v>0</v>
      </c>
      <c r="G317" s="863">
        <v>41851</v>
      </c>
      <c r="H317" s="748" t="s">
        <v>6026</v>
      </c>
      <c r="J317" s="187"/>
      <c r="K317" s="187"/>
      <c r="L317" s="187"/>
      <c r="M317" s="187"/>
      <c r="N317" s="187"/>
      <c r="O317" s="187"/>
    </row>
    <row r="318" spans="1:15" x14ac:dyDescent="0.35">
      <c r="F318" s="387"/>
      <c r="G318" s="542"/>
      <c r="H318" s="748" t="s">
        <v>6026</v>
      </c>
    </row>
    <row r="319" spans="1:15" s="187" customFormat="1" ht="54.75" customHeight="1" x14ac:dyDescent="0.35">
      <c r="A319" s="896" t="s">
        <v>942</v>
      </c>
      <c r="B319" s="896"/>
      <c r="C319" s="896"/>
      <c r="D319" s="896"/>
      <c r="E319" s="896"/>
      <c r="F319" s="896"/>
      <c r="G319" s="542"/>
      <c r="H319" s="748" t="s">
        <v>6026</v>
      </c>
      <c r="J319"/>
      <c r="K319"/>
      <c r="L319"/>
      <c r="M319"/>
      <c r="N319"/>
      <c r="O319"/>
    </row>
    <row r="320" spans="1:15" x14ac:dyDescent="0.35">
      <c r="F320" s="387"/>
      <c r="G320" s="542"/>
      <c r="H320" s="748" t="s">
        <v>6026</v>
      </c>
    </row>
    <row r="321" spans="1:15" x14ac:dyDescent="0.35">
      <c r="A321" s="239" t="s">
        <v>3036</v>
      </c>
      <c r="B321" s="240" t="s">
        <v>2269</v>
      </c>
      <c r="C321" s="240"/>
      <c r="D321" s="489" t="s">
        <v>3703</v>
      </c>
      <c r="E321" s="240"/>
      <c r="F321" s="391">
        <v>0</v>
      </c>
      <c r="G321" s="863">
        <v>41851</v>
      </c>
      <c r="H321" s="748" t="s">
        <v>6026</v>
      </c>
    </row>
    <row r="322" spans="1:15" x14ac:dyDescent="0.35">
      <c r="A322" s="239" t="s">
        <v>3037</v>
      </c>
      <c r="B322" s="240" t="s">
        <v>5547</v>
      </c>
      <c r="C322" s="240"/>
      <c r="D322" s="489" t="s">
        <v>3703</v>
      </c>
      <c r="E322" s="240"/>
      <c r="F322" s="391">
        <v>0</v>
      </c>
      <c r="G322" s="863">
        <v>41851</v>
      </c>
      <c r="H322" s="748" t="s">
        <v>6026</v>
      </c>
    </row>
    <row r="323" spans="1:15" x14ac:dyDescent="0.35">
      <c r="A323" s="239" t="s">
        <v>3038</v>
      </c>
      <c r="B323" s="240" t="s">
        <v>4846</v>
      </c>
      <c r="C323" s="240"/>
      <c r="D323" s="489" t="s">
        <v>3703</v>
      </c>
      <c r="E323" s="240"/>
      <c r="F323" s="391">
        <v>0</v>
      </c>
      <c r="G323" s="863">
        <v>41851</v>
      </c>
      <c r="H323" s="748" t="s">
        <v>6026</v>
      </c>
    </row>
    <row r="324" spans="1:15" x14ac:dyDescent="0.35">
      <c r="A324" s="239" t="s">
        <v>3692</v>
      </c>
      <c r="B324" s="240" t="s">
        <v>5405</v>
      </c>
      <c r="C324" s="240"/>
      <c r="D324" s="489" t="s">
        <v>3703</v>
      </c>
      <c r="E324" s="240"/>
      <c r="F324" s="391">
        <v>0</v>
      </c>
      <c r="G324" s="863">
        <v>41851</v>
      </c>
      <c r="H324" s="748" t="s">
        <v>6026</v>
      </c>
    </row>
    <row r="325" spans="1:15" x14ac:dyDescent="0.35">
      <c r="A325" s="239" t="s">
        <v>3693</v>
      </c>
      <c r="B325" s="240" t="s">
        <v>5410</v>
      </c>
      <c r="C325" s="240"/>
      <c r="D325" s="489" t="s">
        <v>3703</v>
      </c>
      <c r="E325" s="240"/>
      <c r="F325" s="391">
        <v>0</v>
      </c>
      <c r="G325" s="863">
        <v>41851</v>
      </c>
      <c r="H325" s="748" t="s">
        <v>6026</v>
      </c>
    </row>
    <row r="326" spans="1:15" x14ac:dyDescent="0.35">
      <c r="A326" s="239" t="s">
        <v>3694</v>
      </c>
      <c r="B326" s="240" t="s">
        <v>5411</v>
      </c>
      <c r="C326" s="240"/>
      <c r="D326" s="489" t="s">
        <v>3703</v>
      </c>
      <c r="E326" s="240"/>
      <c r="F326" s="391">
        <v>0</v>
      </c>
      <c r="G326" s="863">
        <v>41851</v>
      </c>
      <c r="H326" s="748" t="s">
        <v>6026</v>
      </c>
    </row>
    <row r="327" spans="1:15" x14ac:dyDescent="0.35">
      <c r="A327" s="239" t="s">
        <v>3695</v>
      </c>
      <c r="B327" s="240" t="s">
        <v>2034</v>
      </c>
      <c r="C327" s="240"/>
      <c r="D327" s="489" t="s">
        <v>3703</v>
      </c>
      <c r="E327" s="240"/>
      <c r="F327" s="391">
        <v>0</v>
      </c>
      <c r="G327" s="863">
        <v>41851</v>
      </c>
      <c r="H327" s="748" t="s">
        <v>6026</v>
      </c>
    </row>
    <row r="328" spans="1:15" x14ac:dyDescent="0.35">
      <c r="A328" s="239" t="s">
        <v>3696</v>
      </c>
      <c r="B328" s="240" t="s">
        <v>2067</v>
      </c>
      <c r="C328" s="240"/>
      <c r="D328" s="489" t="s">
        <v>3703</v>
      </c>
      <c r="E328" s="240"/>
      <c r="F328" s="391">
        <v>0</v>
      </c>
      <c r="G328" s="863">
        <v>41851</v>
      </c>
      <c r="H328" s="748" t="s">
        <v>6026</v>
      </c>
    </row>
    <row r="329" spans="1:15" x14ac:dyDescent="0.35">
      <c r="A329" s="239" t="s">
        <v>3697</v>
      </c>
      <c r="B329" s="240" t="s">
        <v>3373</v>
      </c>
      <c r="C329" s="240"/>
      <c r="D329" s="489" t="s">
        <v>3703</v>
      </c>
      <c r="E329" s="240"/>
      <c r="F329" s="391">
        <v>0</v>
      </c>
      <c r="G329" s="863">
        <v>41851</v>
      </c>
      <c r="H329" s="748" t="s">
        <v>6026</v>
      </c>
    </row>
    <row r="330" spans="1:15" x14ac:dyDescent="0.35">
      <c r="A330" s="239" t="s">
        <v>3698</v>
      </c>
      <c r="B330" s="240" t="s">
        <v>3381</v>
      </c>
      <c r="C330" s="240"/>
      <c r="D330" s="489" t="s">
        <v>3703</v>
      </c>
      <c r="E330" s="240"/>
      <c r="F330" s="391">
        <v>0</v>
      </c>
      <c r="G330" s="863">
        <v>41851</v>
      </c>
      <c r="H330" s="748" t="s">
        <v>6026</v>
      </c>
    </row>
    <row r="331" spans="1:15" x14ac:dyDescent="0.35">
      <c r="A331" s="239" t="s">
        <v>3699</v>
      </c>
      <c r="B331" s="240" t="s">
        <v>3389</v>
      </c>
      <c r="C331" s="240"/>
      <c r="D331" s="489" t="s">
        <v>3703</v>
      </c>
      <c r="E331" s="240"/>
      <c r="F331" s="391">
        <v>0</v>
      </c>
      <c r="G331" s="863">
        <v>41851</v>
      </c>
      <c r="H331" s="748" t="s">
        <v>6026</v>
      </c>
    </row>
    <row r="332" spans="1:15" x14ac:dyDescent="0.35">
      <c r="A332" s="239" t="s">
        <v>3700</v>
      </c>
      <c r="B332" s="240" t="s">
        <v>740</v>
      </c>
      <c r="C332" s="240"/>
      <c r="D332" s="489" t="s">
        <v>3703</v>
      </c>
      <c r="E332" s="240"/>
      <c r="F332" s="391">
        <v>0</v>
      </c>
      <c r="G332" s="863">
        <v>41851</v>
      </c>
      <c r="H332" s="748" t="s">
        <v>6026</v>
      </c>
    </row>
    <row r="333" spans="1:15" x14ac:dyDescent="0.35">
      <c r="A333" s="239" t="s">
        <v>3701</v>
      </c>
      <c r="B333" s="240" t="s">
        <v>5434</v>
      </c>
      <c r="C333" s="240"/>
      <c r="D333" s="489" t="s">
        <v>3703</v>
      </c>
      <c r="E333" s="240"/>
      <c r="F333" s="391">
        <v>0</v>
      </c>
      <c r="G333" s="863">
        <v>41851</v>
      </c>
      <c r="H333" s="748" t="s">
        <v>6026</v>
      </c>
      <c r="J333" s="187"/>
      <c r="K333" s="187"/>
      <c r="L333" s="187"/>
      <c r="M333" s="187"/>
      <c r="N333" s="187"/>
      <c r="O333" s="187"/>
    </row>
    <row r="334" spans="1:15" x14ac:dyDescent="0.35">
      <c r="F334" s="387"/>
      <c r="G334" s="542"/>
      <c r="H334" s="748" t="s">
        <v>6026</v>
      </c>
    </row>
    <row r="335" spans="1:15" s="187" customFormat="1" ht="69.75" customHeight="1" x14ac:dyDescent="0.35">
      <c r="A335" s="896" t="s">
        <v>943</v>
      </c>
      <c r="B335" s="896"/>
      <c r="C335" s="896"/>
      <c r="D335" s="896"/>
      <c r="E335" s="896"/>
      <c r="F335" s="896"/>
      <c r="G335" s="542"/>
      <c r="H335" s="748" t="s">
        <v>6026</v>
      </c>
      <c r="J335"/>
      <c r="K335"/>
      <c r="L335"/>
      <c r="M335"/>
      <c r="N335"/>
      <c r="O335"/>
    </row>
    <row r="336" spans="1:15" x14ac:dyDescent="0.35">
      <c r="F336" s="387"/>
      <c r="G336" s="542"/>
      <c r="H336" s="748" t="s">
        <v>6026</v>
      </c>
    </row>
    <row r="337" spans="1:8" x14ac:dyDescent="0.35">
      <c r="A337" s="239" t="s">
        <v>3704</v>
      </c>
      <c r="B337" s="240" t="s">
        <v>2269</v>
      </c>
      <c r="C337" s="240"/>
      <c r="D337" s="489" t="s">
        <v>3702</v>
      </c>
      <c r="E337" s="240"/>
      <c r="F337" s="391">
        <v>0</v>
      </c>
      <c r="G337" s="863">
        <v>41851</v>
      </c>
      <c r="H337" s="748" t="s">
        <v>6026</v>
      </c>
    </row>
    <row r="338" spans="1:8" x14ac:dyDescent="0.35">
      <c r="A338" s="239" t="s">
        <v>3705</v>
      </c>
      <c r="B338" s="240" t="s">
        <v>5547</v>
      </c>
      <c r="C338" s="240"/>
      <c r="D338" s="489" t="s">
        <v>3702</v>
      </c>
      <c r="E338" s="240"/>
      <c r="F338" s="391">
        <v>0</v>
      </c>
      <c r="G338" s="863">
        <v>41851</v>
      </c>
      <c r="H338" s="748" t="s">
        <v>6026</v>
      </c>
    </row>
    <row r="339" spans="1:8" x14ac:dyDescent="0.35">
      <c r="A339" s="239" t="s">
        <v>3706</v>
      </c>
      <c r="B339" s="240" t="s">
        <v>4846</v>
      </c>
      <c r="C339" s="240"/>
      <c r="D339" s="489" t="s">
        <v>3702</v>
      </c>
      <c r="E339" s="240"/>
      <c r="F339" s="391">
        <v>0</v>
      </c>
      <c r="G339" s="863">
        <v>41851</v>
      </c>
      <c r="H339" s="748" t="s">
        <v>6026</v>
      </c>
    </row>
    <row r="340" spans="1:8" x14ac:dyDescent="0.35">
      <c r="A340" s="239" t="s">
        <v>3707</v>
      </c>
      <c r="B340" s="240" t="s">
        <v>5405</v>
      </c>
      <c r="C340" s="240"/>
      <c r="D340" s="489" t="s">
        <v>3702</v>
      </c>
      <c r="E340" s="240"/>
      <c r="F340" s="391">
        <v>0</v>
      </c>
      <c r="G340" s="863">
        <v>41851</v>
      </c>
      <c r="H340" s="748" t="s">
        <v>6026</v>
      </c>
    </row>
    <row r="341" spans="1:8" x14ac:dyDescent="0.35">
      <c r="A341" s="239" t="s">
        <v>3708</v>
      </c>
      <c r="B341" s="240" t="s">
        <v>5410</v>
      </c>
      <c r="C341" s="240"/>
      <c r="D341" s="489" t="s">
        <v>3702</v>
      </c>
      <c r="E341" s="240"/>
      <c r="F341" s="391">
        <v>0</v>
      </c>
      <c r="G341" s="863">
        <v>41851</v>
      </c>
      <c r="H341" s="748" t="s">
        <v>6026</v>
      </c>
    </row>
    <row r="342" spans="1:8" x14ac:dyDescent="0.35">
      <c r="A342" s="239" t="s">
        <v>3709</v>
      </c>
      <c r="B342" s="240" t="s">
        <v>5411</v>
      </c>
      <c r="C342" s="240"/>
      <c r="D342" s="489" t="s">
        <v>3702</v>
      </c>
      <c r="E342" s="240"/>
      <c r="F342" s="391">
        <v>0</v>
      </c>
      <c r="G342" s="863">
        <v>41851</v>
      </c>
      <c r="H342" s="748" t="s">
        <v>6026</v>
      </c>
    </row>
    <row r="343" spans="1:8" x14ac:dyDescent="0.35">
      <c r="A343" s="239" t="s">
        <v>3710</v>
      </c>
      <c r="B343" s="240" t="s">
        <v>2034</v>
      </c>
      <c r="C343" s="240"/>
      <c r="D343" s="489" t="s">
        <v>3702</v>
      </c>
      <c r="E343" s="240"/>
      <c r="F343" s="391">
        <v>0</v>
      </c>
      <c r="G343" s="863">
        <v>41851</v>
      </c>
      <c r="H343" s="748" t="s">
        <v>6026</v>
      </c>
    </row>
    <row r="344" spans="1:8" x14ac:dyDescent="0.35">
      <c r="A344" s="239" t="s">
        <v>3711</v>
      </c>
      <c r="B344" s="240" t="s">
        <v>2067</v>
      </c>
      <c r="C344" s="240"/>
      <c r="D344" s="489" t="s">
        <v>3702</v>
      </c>
      <c r="E344" s="240"/>
      <c r="F344" s="391">
        <v>0</v>
      </c>
      <c r="G344" s="863">
        <v>41851</v>
      </c>
      <c r="H344" s="748" t="s">
        <v>6026</v>
      </c>
    </row>
    <row r="345" spans="1:8" x14ac:dyDescent="0.35">
      <c r="A345" s="239" t="s">
        <v>3712</v>
      </c>
      <c r="B345" s="240" t="s">
        <v>3373</v>
      </c>
      <c r="C345" s="240"/>
      <c r="D345" s="489" t="s">
        <v>3702</v>
      </c>
      <c r="E345" s="240"/>
      <c r="F345" s="391">
        <v>0</v>
      </c>
      <c r="G345" s="863">
        <v>41851</v>
      </c>
      <c r="H345" s="748" t="s">
        <v>6026</v>
      </c>
    </row>
    <row r="346" spans="1:8" x14ac:dyDescent="0.35">
      <c r="A346" s="239" t="s">
        <v>3713</v>
      </c>
      <c r="B346" s="240" t="s">
        <v>3381</v>
      </c>
      <c r="C346" s="240"/>
      <c r="D346" s="489" t="s">
        <v>3702</v>
      </c>
      <c r="E346" s="240"/>
      <c r="F346" s="391">
        <v>0</v>
      </c>
      <c r="G346" s="863">
        <v>41851</v>
      </c>
      <c r="H346" s="748" t="s">
        <v>6026</v>
      </c>
    </row>
    <row r="347" spans="1:8" x14ac:dyDescent="0.35">
      <c r="A347" s="239" t="s">
        <v>3714</v>
      </c>
      <c r="B347" s="240" t="s">
        <v>3389</v>
      </c>
      <c r="C347" s="240"/>
      <c r="D347" s="489" t="s">
        <v>3702</v>
      </c>
      <c r="E347" s="240"/>
      <c r="F347" s="391">
        <v>0</v>
      </c>
      <c r="G347" s="863">
        <v>41851</v>
      </c>
      <c r="H347" s="748" t="s">
        <v>6026</v>
      </c>
    </row>
    <row r="348" spans="1:8" x14ac:dyDescent="0.35">
      <c r="A348" s="239" t="s">
        <v>3715</v>
      </c>
      <c r="B348" s="240" t="s">
        <v>740</v>
      </c>
      <c r="C348" s="240"/>
      <c r="D348" s="489" t="s">
        <v>3702</v>
      </c>
      <c r="E348" s="240"/>
      <c r="F348" s="391">
        <v>0</v>
      </c>
      <c r="G348" s="863">
        <v>41851</v>
      </c>
      <c r="H348" s="748" t="s">
        <v>6026</v>
      </c>
    </row>
    <row r="349" spans="1:8" x14ac:dyDescent="0.35">
      <c r="A349" s="239" t="s">
        <v>3716</v>
      </c>
      <c r="B349" s="240" t="s">
        <v>5434</v>
      </c>
      <c r="C349" s="240"/>
      <c r="D349" s="489" t="s">
        <v>3702</v>
      </c>
      <c r="E349" s="240"/>
      <c r="F349" s="391">
        <v>0</v>
      </c>
      <c r="G349" s="863">
        <v>41851</v>
      </c>
      <c r="H349" s="748" t="s">
        <v>6026</v>
      </c>
    </row>
    <row r="350" spans="1:8" x14ac:dyDescent="0.35">
      <c r="F350" s="387"/>
      <c r="G350" s="542"/>
      <c r="H350" s="748" t="s">
        <v>6026</v>
      </c>
    </row>
    <row r="351" spans="1:8" ht="131.25" customHeight="1" x14ac:dyDescent="0.35">
      <c r="A351" s="953" t="s">
        <v>944</v>
      </c>
      <c r="B351" s="954"/>
      <c r="C351" s="954"/>
      <c r="D351" s="954"/>
      <c r="E351" s="954"/>
      <c r="F351" s="954"/>
      <c r="G351" s="542"/>
      <c r="H351" s="748" t="s">
        <v>6026</v>
      </c>
    </row>
    <row r="352" spans="1:8" x14ac:dyDescent="0.35">
      <c r="A352" s="296"/>
      <c r="B352" s="151"/>
      <c r="C352" s="151"/>
      <c r="D352" s="151"/>
      <c r="E352" s="151"/>
      <c r="F352" s="490"/>
      <c r="G352" s="542"/>
      <c r="H352" s="748" t="s">
        <v>6026</v>
      </c>
    </row>
    <row r="353" spans="1:15" x14ac:dyDescent="0.35">
      <c r="A353" s="268" t="s">
        <v>3942</v>
      </c>
      <c r="B353" s="269" t="s">
        <v>740</v>
      </c>
      <c r="C353" s="269"/>
      <c r="D353" s="269" t="s">
        <v>3947</v>
      </c>
      <c r="E353" s="269"/>
      <c r="F353" s="491">
        <v>0</v>
      </c>
      <c r="G353" s="863">
        <v>41851</v>
      </c>
      <c r="H353" s="748" t="s">
        <v>6026</v>
      </c>
    </row>
    <row r="354" spans="1:15" x14ac:dyDescent="0.35">
      <c r="A354" s="268" t="s">
        <v>3943</v>
      </c>
      <c r="B354" s="269" t="s">
        <v>5434</v>
      </c>
      <c r="C354" s="269"/>
      <c r="D354" s="269" t="s">
        <v>3947</v>
      </c>
      <c r="E354" s="269"/>
      <c r="F354" s="491">
        <v>0</v>
      </c>
      <c r="G354" s="863">
        <v>41851</v>
      </c>
      <c r="H354" s="748" t="s">
        <v>6026</v>
      </c>
    </row>
    <row r="355" spans="1:15" x14ac:dyDescent="0.35">
      <c r="A355" s="311" t="s">
        <v>2830</v>
      </c>
      <c r="B355" s="312" t="s">
        <v>5434</v>
      </c>
      <c r="C355" s="312"/>
      <c r="D355" s="314" t="s">
        <v>3947</v>
      </c>
      <c r="E355" s="312" t="s">
        <v>1053</v>
      </c>
      <c r="F355" s="394">
        <v>0</v>
      </c>
      <c r="G355" s="863">
        <v>41851</v>
      </c>
      <c r="H355" s="748" t="s">
        <v>6026</v>
      </c>
      <c r="J355" s="187"/>
      <c r="K355" s="187"/>
      <c r="L355" s="187"/>
      <c r="M355" s="187"/>
      <c r="N355" s="187"/>
      <c r="O355" s="187"/>
    </row>
    <row r="356" spans="1:15" x14ac:dyDescent="0.35">
      <c r="A356" s="296"/>
      <c r="B356" s="151"/>
      <c r="C356" s="151"/>
      <c r="D356" s="151"/>
      <c r="E356" s="151"/>
      <c r="F356" s="490"/>
      <c r="G356" s="542"/>
      <c r="H356" s="748" t="s">
        <v>6026</v>
      </c>
    </row>
    <row r="357" spans="1:15" x14ac:dyDescent="0.35">
      <c r="A357" s="268" t="s">
        <v>3944</v>
      </c>
      <c r="B357" s="269" t="s">
        <v>740</v>
      </c>
      <c r="C357" s="269"/>
      <c r="D357" s="269" t="s">
        <v>3946</v>
      </c>
      <c r="E357" s="269"/>
      <c r="F357" s="491">
        <v>0</v>
      </c>
      <c r="G357" s="863">
        <v>41851</v>
      </c>
      <c r="H357" s="748" t="s">
        <v>6026</v>
      </c>
    </row>
    <row r="358" spans="1:15" x14ac:dyDescent="0.35">
      <c r="A358" s="268" t="s">
        <v>3945</v>
      </c>
      <c r="B358" s="269" t="s">
        <v>5434</v>
      </c>
      <c r="C358" s="269"/>
      <c r="D358" s="269" t="s">
        <v>3946</v>
      </c>
      <c r="E358" s="269"/>
      <c r="F358" s="491">
        <v>0</v>
      </c>
      <c r="G358" s="863">
        <v>41851</v>
      </c>
      <c r="H358" s="748" t="s">
        <v>6026</v>
      </c>
    </row>
    <row r="359" spans="1:15" x14ac:dyDescent="0.35">
      <c r="G359" s="542"/>
    </row>
    <row r="360" spans="1:15" ht="67.5" customHeight="1" x14ac:dyDescent="0.35">
      <c r="A360" s="896" t="s">
        <v>6027</v>
      </c>
      <c r="B360" s="896"/>
      <c r="C360" s="896"/>
      <c r="D360" s="896"/>
      <c r="E360" s="896"/>
      <c r="F360" s="896"/>
      <c r="G360" s="542"/>
      <c r="H360" s="749">
        <v>42705</v>
      </c>
    </row>
    <row r="361" spans="1:15" x14ac:dyDescent="0.35">
      <c r="F361" s="387"/>
      <c r="G361" s="542"/>
    </row>
    <row r="362" spans="1:15" x14ac:dyDescent="0.35">
      <c r="A362" s="495" t="s">
        <v>210</v>
      </c>
      <c r="B362" s="356" t="s">
        <v>2269</v>
      </c>
      <c r="C362" s="356"/>
      <c r="D362" s="356" t="s">
        <v>311</v>
      </c>
      <c r="E362" s="356"/>
      <c r="F362" s="369"/>
      <c r="G362" s="542" t="s">
        <v>8186</v>
      </c>
      <c r="H362" s="749">
        <v>42705</v>
      </c>
    </row>
    <row r="363" spans="1:15" x14ac:dyDescent="0.35">
      <c r="A363" s="495" t="s">
        <v>211</v>
      </c>
      <c r="B363" s="356" t="s">
        <v>5547</v>
      </c>
      <c r="C363" s="356"/>
      <c r="D363" s="356" t="s">
        <v>311</v>
      </c>
      <c r="E363" s="356"/>
      <c r="F363" s="369"/>
      <c r="G363" s="542" t="s">
        <v>8186</v>
      </c>
      <c r="H363" s="749">
        <v>42705</v>
      </c>
    </row>
    <row r="364" spans="1:15" x14ac:dyDescent="0.35">
      <c r="A364" s="495" t="s">
        <v>212</v>
      </c>
      <c r="B364" s="356" t="s">
        <v>4846</v>
      </c>
      <c r="C364" s="356"/>
      <c r="D364" s="356" t="s">
        <v>311</v>
      </c>
      <c r="E364" s="356"/>
      <c r="F364" s="369"/>
      <c r="G364" s="542" t="s">
        <v>8186</v>
      </c>
      <c r="H364" s="749">
        <v>42705</v>
      </c>
    </row>
    <row r="365" spans="1:15" x14ac:dyDescent="0.35">
      <c r="A365" s="495" t="s">
        <v>213</v>
      </c>
      <c r="B365" s="356" t="s">
        <v>5405</v>
      </c>
      <c r="C365" s="356"/>
      <c r="D365" s="356" t="s">
        <v>311</v>
      </c>
      <c r="E365" s="356"/>
      <c r="F365" s="369"/>
      <c r="G365" s="542" t="s">
        <v>8186</v>
      </c>
      <c r="H365" s="749">
        <v>42705</v>
      </c>
    </row>
    <row r="366" spans="1:15" x14ac:dyDescent="0.35">
      <c r="A366" s="495" t="s">
        <v>214</v>
      </c>
      <c r="B366" s="356" t="s">
        <v>5410</v>
      </c>
      <c r="C366" s="356"/>
      <c r="D366" s="356" t="s">
        <v>311</v>
      </c>
      <c r="E366" s="356"/>
      <c r="F366" s="369"/>
      <c r="G366" s="542" t="s">
        <v>8186</v>
      </c>
      <c r="H366" s="749">
        <v>42705</v>
      </c>
    </row>
    <row r="367" spans="1:15" x14ac:dyDescent="0.35">
      <c r="A367" s="495" t="s">
        <v>215</v>
      </c>
      <c r="B367" s="356" t="s">
        <v>5411</v>
      </c>
      <c r="C367" s="356"/>
      <c r="D367" s="356" t="s">
        <v>311</v>
      </c>
      <c r="E367" s="356"/>
      <c r="F367" s="369"/>
      <c r="G367" s="542" t="s">
        <v>8186</v>
      </c>
      <c r="H367" s="749">
        <v>42705</v>
      </c>
    </row>
    <row r="368" spans="1:15" x14ac:dyDescent="0.35">
      <c r="A368" s="495" t="s">
        <v>216</v>
      </c>
      <c r="B368" s="356" t="s">
        <v>2034</v>
      </c>
      <c r="C368" s="356"/>
      <c r="D368" s="356" t="s">
        <v>311</v>
      </c>
      <c r="E368" s="356"/>
      <c r="F368" s="369"/>
      <c r="G368" s="542" t="s">
        <v>8186</v>
      </c>
      <c r="H368" s="749">
        <v>42705</v>
      </c>
    </row>
    <row r="369" spans="1:8" x14ac:dyDescent="0.35">
      <c r="A369" s="495" t="s">
        <v>217</v>
      </c>
      <c r="B369" s="356" t="s">
        <v>2067</v>
      </c>
      <c r="C369" s="356"/>
      <c r="D369" s="356" t="s">
        <v>311</v>
      </c>
      <c r="E369" s="356"/>
      <c r="F369" s="369"/>
      <c r="G369" s="542" t="s">
        <v>8186</v>
      </c>
      <c r="H369" s="749">
        <v>42705</v>
      </c>
    </row>
    <row r="370" spans="1:8" x14ac:dyDescent="0.35">
      <c r="A370" s="495" t="s">
        <v>218</v>
      </c>
      <c r="B370" s="356" t="s">
        <v>3373</v>
      </c>
      <c r="C370" s="356"/>
      <c r="D370" s="356" t="s">
        <v>311</v>
      </c>
      <c r="E370" s="356"/>
      <c r="F370" s="369"/>
      <c r="G370" s="542" t="s">
        <v>8186</v>
      </c>
      <c r="H370" s="749">
        <v>42705</v>
      </c>
    </row>
    <row r="371" spans="1:8" x14ac:dyDescent="0.35">
      <c r="A371" s="495" t="s">
        <v>219</v>
      </c>
      <c r="B371" s="356" t="s">
        <v>3381</v>
      </c>
      <c r="C371" s="356"/>
      <c r="D371" s="356" t="s">
        <v>311</v>
      </c>
      <c r="E371" s="356"/>
      <c r="F371" s="369"/>
      <c r="G371" s="542" t="s">
        <v>8186</v>
      </c>
      <c r="H371" s="749">
        <v>42705</v>
      </c>
    </row>
    <row r="372" spans="1:8" x14ac:dyDescent="0.35">
      <c r="A372" s="495" t="s">
        <v>220</v>
      </c>
      <c r="B372" s="356" t="s">
        <v>3389</v>
      </c>
      <c r="C372" s="356"/>
      <c r="D372" s="356" t="s">
        <v>311</v>
      </c>
      <c r="E372" s="356"/>
      <c r="F372" s="369"/>
      <c r="G372" s="542" t="s">
        <v>8186</v>
      </c>
      <c r="H372" s="749">
        <v>42705</v>
      </c>
    </row>
    <row r="373" spans="1:8" x14ac:dyDescent="0.35">
      <c r="A373" s="495" t="s">
        <v>221</v>
      </c>
      <c r="B373" s="356" t="s">
        <v>740</v>
      </c>
      <c r="C373" s="356"/>
      <c r="D373" s="356" t="s">
        <v>311</v>
      </c>
      <c r="E373" s="356"/>
      <c r="F373" s="369"/>
      <c r="G373" s="542" t="s">
        <v>8186</v>
      </c>
      <c r="H373" s="749">
        <v>42705</v>
      </c>
    </row>
    <row r="374" spans="1:8" x14ac:dyDescent="0.35">
      <c r="A374" s="495" t="s">
        <v>222</v>
      </c>
      <c r="B374" s="356" t="s">
        <v>5434</v>
      </c>
      <c r="C374" s="356"/>
      <c r="D374" s="356" t="s">
        <v>311</v>
      </c>
      <c r="E374" s="356"/>
      <c r="F374" s="369"/>
      <c r="G374" s="542" t="s">
        <v>8186</v>
      </c>
      <c r="H374" s="749">
        <v>42705</v>
      </c>
    </row>
    <row r="375" spans="1:8" x14ac:dyDescent="0.35">
      <c r="A375" s="495" t="s">
        <v>267</v>
      </c>
      <c r="B375" s="356" t="s">
        <v>5434</v>
      </c>
      <c r="C375" s="356"/>
      <c r="D375" s="356" t="s">
        <v>311</v>
      </c>
      <c r="E375" s="356" t="s">
        <v>1053</v>
      </c>
      <c r="F375" s="369">
        <v>0</v>
      </c>
      <c r="G375" s="542" t="s">
        <v>8186</v>
      </c>
      <c r="H375" s="749">
        <v>42705</v>
      </c>
    </row>
    <row r="376" spans="1:8" x14ac:dyDescent="0.35">
      <c r="G376" s="542"/>
    </row>
    <row r="377" spans="1:8" ht="97.5" customHeight="1" x14ac:dyDescent="0.35">
      <c r="A377" s="896" t="s">
        <v>6113</v>
      </c>
      <c r="B377" s="896"/>
      <c r="C377" s="896"/>
      <c r="D377" s="896"/>
      <c r="E377" s="896"/>
      <c r="F377" s="896"/>
      <c r="G377" s="542"/>
    </row>
    <row r="378" spans="1:8" x14ac:dyDescent="0.35">
      <c r="G378" s="542"/>
    </row>
    <row r="379" spans="1:8" x14ac:dyDescent="0.35">
      <c r="A379" s="495" t="s">
        <v>170</v>
      </c>
      <c r="B379" s="356" t="s">
        <v>2269</v>
      </c>
      <c r="C379" s="356"/>
      <c r="D379" s="356" t="s">
        <v>183</v>
      </c>
      <c r="E379" s="356"/>
      <c r="F379" s="369">
        <v>0</v>
      </c>
      <c r="G379" s="542" t="s">
        <v>8186</v>
      </c>
      <c r="H379" s="749">
        <v>42705</v>
      </c>
    </row>
    <row r="380" spans="1:8" x14ac:dyDescent="0.35">
      <c r="A380" s="495" t="s">
        <v>172</v>
      </c>
      <c r="B380" s="356" t="s">
        <v>4846</v>
      </c>
      <c r="C380" s="356"/>
      <c r="D380" s="356" t="s">
        <v>183</v>
      </c>
      <c r="E380" s="356"/>
      <c r="F380" s="369">
        <v>0</v>
      </c>
      <c r="G380" s="542" t="s">
        <v>8186</v>
      </c>
      <c r="H380" s="749">
        <v>42705</v>
      </c>
    </row>
    <row r="381" spans="1:8" x14ac:dyDescent="0.35">
      <c r="A381" s="495" t="s">
        <v>173</v>
      </c>
      <c r="B381" s="356" t="s">
        <v>5405</v>
      </c>
      <c r="C381" s="356"/>
      <c r="D381" s="356" t="s">
        <v>183</v>
      </c>
      <c r="E381" s="356"/>
      <c r="F381" s="369">
        <v>0</v>
      </c>
      <c r="G381" s="542" t="s">
        <v>8186</v>
      </c>
      <c r="H381" s="749">
        <v>42705</v>
      </c>
    </row>
    <row r="382" spans="1:8" x14ac:dyDescent="0.35">
      <c r="A382" s="495" t="s">
        <v>174</v>
      </c>
      <c r="B382" s="356" t="s">
        <v>5410</v>
      </c>
      <c r="C382" s="356"/>
      <c r="D382" s="356" t="s">
        <v>183</v>
      </c>
      <c r="E382" s="356"/>
      <c r="F382" s="369">
        <v>0</v>
      </c>
      <c r="G382" s="542" t="s">
        <v>8186</v>
      </c>
      <c r="H382" s="749">
        <v>42705</v>
      </c>
    </row>
    <row r="383" spans="1:8" x14ac:dyDescent="0.35">
      <c r="A383" s="495" t="s">
        <v>175</v>
      </c>
      <c r="B383" s="356" t="s">
        <v>5411</v>
      </c>
      <c r="C383" s="356"/>
      <c r="D383" s="356" t="s">
        <v>183</v>
      </c>
      <c r="E383" s="356"/>
      <c r="F383" s="369">
        <v>0</v>
      </c>
      <c r="G383" s="542" t="s">
        <v>8186</v>
      </c>
      <c r="H383" s="749">
        <v>42705</v>
      </c>
    </row>
    <row r="384" spans="1:8" x14ac:dyDescent="0.35">
      <c r="A384" s="495" t="s">
        <v>176</v>
      </c>
      <c r="B384" s="356" t="s">
        <v>2034</v>
      </c>
      <c r="C384" s="356"/>
      <c r="D384" s="356" t="s">
        <v>183</v>
      </c>
      <c r="E384" s="356"/>
      <c r="F384" s="369">
        <v>0</v>
      </c>
      <c r="G384" s="542" t="s">
        <v>8186</v>
      </c>
      <c r="H384" s="749">
        <v>42705</v>
      </c>
    </row>
    <row r="385" spans="1:8" x14ac:dyDescent="0.35">
      <c r="A385" s="495" t="s">
        <v>177</v>
      </c>
      <c r="B385" s="356" t="s">
        <v>2067</v>
      </c>
      <c r="C385" s="356"/>
      <c r="D385" s="356" t="s">
        <v>183</v>
      </c>
      <c r="E385" s="356"/>
      <c r="F385" s="369">
        <v>0</v>
      </c>
      <c r="G385" s="542" t="s">
        <v>8186</v>
      </c>
      <c r="H385" s="749">
        <v>42705</v>
      </c>
    </row>
    <row r="386" spans="1:8" x14ac:dyDescent="0.35">
      <c r="A386" s="495" t="s">
        <v>178</v>
      </c>
      <c r="B386" s="356" t="s">
        <v>3373</v>
      </c>
      <c r="C386" s="356"/>
      <c r="D386" s="356" t="s">
        <v>183</v>
      </c>
      <c r="E386" s="356"/>
      <c r="F386" s="369">
        <v>0</v>
      </c>
      <c r="G386" s="542" t="s">
        <v>8186</v>
      </c>
      <c r="H386" s="749">
        <v>42705</v>
      </c>
    </row>
    <row r="387" spans="1:8" x14ac:dyDescent="0.35">
      <c r="A387" s="495" t="s">
        <v>179</v>
      </c>
      <c r="B387" s="356" t="s">
        <v>3381</v>
      </c>
      <c r="C387" s="356"/>
      <c r="D387" s="356" t="s">
        <v>183</v>
      </c>
      <c r="E387" s="356"/>
      <c r="F387" s="369">
        <v>0</v>
      </c>
      <c r="G387" s="542" t="s">
        <v>8186</v>
      </c>
      <c r="H387" s="749">
        <v>42705</v>
      </c>
    </row>
    <row r="388" spans="1:8" x14ac:dyDescent="0.35">
      <c r="A388" s="495" t="s">
        <v>180</v>
      </c>
      <c r="B388" s="356" t="s">
        <v>3389</v>
      </c>
      <c r="C388" s="356"/>
      <c r="D388" s="356" t="s">
        <v>183</v>
      </c>
      <c r="E388" s="356"/>
      <c r="F388" s="369">
        <v>0</v>
      </c>
      <c r="G388" s="542" t="s">
        <v>8186</v>
      </c>
      <c r="H388" s="749">
        <v>42705</v>
      </c>
    </row>
    <row r="389" spans="1:8" x14ac:dyDescent="0.35">
      <c r="A389" s="495" t="s">
        <v>181</v>
      </c>
      <c r="B389" s="356" t="s">
        <v>740</v>
      </c>
      <c r="C389" s="356"/>
      <c r="D389" s="356" t="s">
        <v>183</v>
      </c>
      <c r="E389" s="356"/>
      <c r="F389" s="369">
        <v>0</v>
      </c>
      <c r="G389" s="542" t="s">
        <v>8186</v>
      </c>
      <c r="H389" s="749">
        <v>42705</v>
      </c>
    </row>
    <row r="390" spans="1:8" x14ac:dyDescent="0.35">
      <c r="A390" s="495" t="s">
        <v>182</v>
      </c>
      <c r="B390" s="356" t="s">
        <v>5434</v>
      </c>
      <c r="C390" s="356"/>
      <c r="D390" s="356" t="s">
        <v>183</v>
      </c>
      <c r="E390" s="356"/>
      <c r="F390" s="369">
        <v>0</v>
      </c>
      <c r="G390" s="542" t="s">
        <v>8186</v>
      </c>
      <c r="H390" s="749">
        <v>42705</v>
      </c>
    </row>
    <row r="391" spans="1:8" x14ac:dyDescent="0.35">
      <c r="A391" s="495" t="s">
        <v>265</v>
      </c>
      <c r="B391" s="356" t="s">
        <v>5434</v>
      </c>
      <c r="C391" s="356"/>
      <c r="D391" s="356" t="s">
        <v>183</v>
      </c>
      <c r="E391" s="356" t="s">
        <v>1053</v>
      </c>
      <c r="F391" s="369">
        <v>0</v>
      </c>
      <c r="G391" s="542" t="s">
        <v>8186</v>
      </c>
      <c r="H391" s="749">
        <v>42705</v>
      </c>
    </row>
    <row r="392" spans="1:8" x14ac:dyDescent="0.35">
      <c r="G392" s="542"/>
    </row>
    <row r="393" spans="1:8" ht="94" customHeight="1" x14ac:dyDescent="0.35">
      <c r="A393" s="896" t="s">
        <v>8187</v>
      </c>
      <c r="B393" s="896"/>
      <c r="C393" s="896"/>
      <c r="D393" s="896"/>
      <c r="E393" s="896"/>
      <c r="F393" s="896"/>
      <c r="G393" s="542"/>
    </row>
    <row r="394" spans="1:8" x14ac:dyDescent="0.35">
      <c r="G394" s="542"/>
    </row>
    <row r="395" spans="1:8" x14ac:dyDescent="0.35">
      <c r="A395" s="495" t="s">
        <v>6012</v>
      </c>
      <c r="B395" s="356" t="s">
        <v>2269</v>
      </c>
      <c r="C395" s="356"/>
      <c r="D395" s="356" t="s">
        <v>6025</v>
      </c>
      <c r="E395" s="356"/>
      <c r="F395" s="369">
        <v>0</v>
      </c>
      <c r="G395" s="542" t="s">
        <v>8186</v>
      </c>
      <c r="H395" s="807">
        <v>42705</v>
      </c>
    </row>
    <row r="396" spans="1:8" x14ac:dyDescent="0.35">
      <c r="A396" s="495" t="s">
        <v>6014</v>
      </c>
      <c r="B396" s="356" t="s">
        <v>4846</v>
      </c>
      <c r="C396" s="356"/>
      <c r="D396" s="356" t="s">
        <v>6025</v>
      </c>
      <c r="E396" s="356"/>
      <c r="F396" s="369">
        <v>0</v>
      </c>
      <c r="G396" s="542" t="s">
        <v>8186</v>
      </c>
      <c r="H396" s="807">
        <v>42705</v>
      </c>
    </row>
    <row r="397" spans="1:8" x14ac:dyDescent="0.35">
      <c r="A397" s="495" t="s">
        <v>6015</v>
      </c>
      <c r="B397" s="356" t="s">
        <v>5405</v>
      </c>
      <c r="C397" s="356"/>
      <c r="D397" s="356" t="s">
        <v>6025</v>
      </c>
      <c r="E397" s="356"/>
      <c r="F397" s="369">
        <v>0</v>
      </c>
      <c r="G397" s="542" t="s">
        <v>8186</v>
      </c>
      <c r="H397" s="807">
        <v>42705</v>
      </c>
    </row>
    <row r="398" spans="1:8" x14ac:dyDescent="0.35">
      <c r="A398" s="495" t="s">
        <v>6016</v>
      </c>
      <c r="B398" s="356" t="s">
        <v>5410</v>
      </c>
      <c r="C398" s="356"/>
      <c r="D398" s="356" t="s">
        <v>6025</v>
      </c>
      <c r="E398" s="356"/>
      <c r="F398" s="369">
        <v>0</v>
      </c>
      <c r="G398" s="542" t="s">
        <v>8186</v>
      </c>
      <c r="H398" s="807">
        <v>42705</v>
      </c>
    </row>
    <row r="399" spans="1:8" x14ac:dyDescent="0.35">
      <c r="A399" s="495" t="s">
        <v>6017</v>
      </c>
      <c r="B399" s="356" t="s">
        <v>5411</v>
      </c>
      <c r="C399" s="356"/>
      <c r="D399" s="356" t="s">
        <v>6025</v>
      </c>
      <c r="E399" s="356"/>
      <c r="F399" s="369">
        <v>0</v>
      </c>
      <c r="G399" s="542" t="s">
        <v>8186</v>
      </c>
      <c r="H399" s="807">
        <v>42705</v>
      </c>
    </row>
    <row r="400" spans="1:8" x14ac:dyDescent="0.35">
      <c r="A400" s="495" t="s">
        <v>6018</v>
      </c>
      <c r="B400" s="356" t="s">
        <v>2034</v>
      </c>
      <c r="C400" s="356"/>
      <c r="D400" s="356" t="s">
        <v>6025</v>
      </c>
      <c r="E400" s="356"/>
      <c r="F400" s="369">
        <v>0</v>
      </c>
      <c r="G400" s="542" t="s">
        <v>8186</v>
      </c>
      <c r="H400" s="807">
        <v>42705</v>
      </c>
    </row>
    <row r="401" spans="1:10" x14ac:dyDescent="0.35">
      <c r="A401" s="495" t="s">
        <v>6019</v>
      </c>
      <c r="B401" s="356" t="s">
        <v>2067</v>
      </c>
      <c r="C401" s="356"/>
      <c r="D401" s="356" t="s">
        <v>6025</v>
      </c>
      <c r="E401" s="356"/>
      <c r="F401" s="369">
        <v>0</v>
      </c>
      <c r="G401" s="542" t="s">
        <v>8186</v>
      </c>
      <c r="H401" s="807">
        <v>42705</v>
      </c>
    </row>
    <row r="402" spans="1:10" x14ac:dyDescent="0.35">
      <c r="A402" s="495" t="s">
        <v>6021</v>
      </c>
      <c r="B402" s="356" t="s">
        <v>3381</v>
      </c>
      <c r="C402" s="356"/>
      <c r="D402" s="356" t="s">
        <v>6025</v>
      </c>
      <c r="E402" s="356"/>
      <c r="F402" s="369">
        <v>0</v>
      </c>
      <c r="G402" s="542" t="s">
        <v>8186</v>
      </c>
      <c r="H402" s="807">
        <v>42705</v>
      </c>
    </row>
    <row r="403" spans="1:10" x14ac:dyDescent="0.35">
      <c r="A403" s="503"/>
      <c r="B403" s="9"/>
      <c r="C403" s="9"/>
      <c r="D403" s="9"/>
      <c r="E403" s="9"/>
      <c r="F403" s="27"/>
      <c r="G403" s="542"/>
      <c r="H403" s="807"/>
    </row>
    <row r="404" spans="1:10" ht="133" customHeight="1" x14ac:dyDescent="0.35">
      <c r="A404" s="896" t="s">
        <v>8188</v>
      </c>
      <c r="B404" s="896"/>
      <c r="C404" s="896"/>
      <c r="D404" s="896"/>
      <c r="E404" s="896"/>
      <c r="F404" s="896"/>
      <c r="G404" s="542"/>
      <c r="H404" s="807"/>
    </row>
    <row r="405" spans="1:10" x14ac:dyDescent="0.35">
      <c r="A405" s="617"/>
      <c r="B405" s="617"/>
      <c r="C405" s="617"/>
      <c r="D405" s="617"/>
      <c r="E405" s="617"/>
      <c r="F405" s="617"/>
      <c r="G405" s="542"/>
    </row>
    <row r="406" spans="1:10" x14ac:dyDescent="0.35">
      <c r="A406" s="527" t="s">
        <v>6031</v>
      </c>
      <c r="B406" s="526" t="s">
        <v>4846</v>
      </c>
      <c r="C406" s="526"/>
      <c r="D406" s="526" t="s">
        <v>6028</v>
      </c>
      <c r="E406" s="526"/>
      <c r="F406" s="538"/>
      <c r="G406" s="542" t="s">
        <v>8186</v>
      </c>
      <c r="H406" s="807">
        <v>42705</v>
      </c>
    </row>
    <row r="407" spans="1:10" x14ac:dyDescent="0.35">
      <c r="A407" s="527" t="s">
        <v>6036</v>
      </c>
      <c r="B407" s="526" t="s">
        <v>2067</v>
      </c>
      <c r="C407" s="526"/>
      <c r="D407" s="526" t="s">
        <v>6028</v>
      </c>
      <c r="E407" s="526"/>
      <c r="F407" s="538"/>
      <c r="G407" s="542" t="s">
        <v>8186</v>
      </c>
      <c r="H407" s="807">
        <v>42705</v>
      </c>
    </row>
    <row r="408" spans="1:10" x14ac:dyDescent="0.35">
      <c r="A408" s="527" t="s">
        <v>6038</v>
      </c>
      <c r="B408" s="526" t="s">
        <v>3381</v>
      </c>
      <c r="C408" s="526"/>
      <c r="D408" s="526" t="s">
        <v>6028</v>
      </c>
      <c r="E408" s="526"/>
      <c r="F408" s="538"/>
      <c r="G408" s="542" t="s">
        <v>8186</v>
      </c>
      <c r="H408" s="807">
        <v>42705</v>
      </c>
    </row>
    <row r="409" spans="1:10" x14ac:dyDescent="0.35">
      <c r="G409" s="542"/>
    </row>
    <row r="410" spans="1:10" ht="23.5" x14ac:dyDescent="0.35">
      <c r="A410" s="543" t="s">
        <v>7474</v>
      </c>
      <c r="B410" s="493"/>
      <c r="C410" s="493"/>
      <c r="D410" s="493"/>
      <c r="E410" s="493"/>
      <c r="F410" s="494"/>
      <c r="G410" s="542"/>
      <c r="H410" s="807">
        <v>44477</v>
      </c>
    </row>
    <row r="411" spans="1:10" ht="117.75" customHeight="1" x14ac:dyDescent="0.35">
      <c r="A411" s="908" t="s">
        <v>7538</v>
      </c>
      <c r="B411" s="908"/>
      <c r="C411" s="908"/>
      <c r="D411" s="908"/>
      <c r="E411" s="908"/>
      <c r="F411" s="908"/>
      <c r="G411" s="542"/>
      <c r="H411" s="749"/>
    </row>
    <row r="412" spans="1:10" x14ac:dyDescent="0.35">
      <c r="D412" s="103"/>
      <c r="F412" s="387"/>
      <c r="G412" s="542"/>
    </row>
    <row r="413" spans="1:10" x14ac:dyDescent="0.35">
      <c r="A413" s="527" t="s">
        <v>7476</v>
      </c>
      <c r="B413" s="526" t="s">
        <v>6008</v>
      </c>
      <c r="C413" s="526" t="s">
        <v>7475</v>
      </c>
      <c r="D413" s="526" t="s">
        <v>7529</v>
      </c>
      <c r="E413" s="537"/>
      <c r="F413" s="538" t="str">
        <f>IF($M413&lt;&gt;"",ROUND(O413,2),"")</f>
        <v/>
      </c>
      <c r="G413" s="542" t="s">
        <v>8186</v>
      </c>
      <c r="H413" s="807">
        <v>44477</v>
      </c>
    </row>
    <row r="414" spans="1:10" x14ac:dyDescent="0.35">
      <c r="G414" s="542"/>
    </row>
    <row r="415" spans="1:10" ht="24" customHeight="1" x14ac:dyDescent="0.35">
      <c r="A415" s="651" t="s">
        <v>6711</v>
      </c>
      <c r="B415" s="50"/>
      <c r="C415" s="50"/>
      <c r="D415" s="50"/>
      <c r="E415" s="50"/>
      <c r="F415" s="363"/>
      <c r="G415" s="542"/>
      <c r="I415" s="11"/>
      <c r="J415" s="565"/>
    </row>
    <row r="416" spans="1:10" x14ac:dyDescent="0.35">
      <c r="A416" s="640" t="s">
        <v>7542</v>
      </c>
      <c r="B416" s="640"/>
      <c r="C416" s="640"/>
      <c r="D416" s="640"/>
      <c r="E416" s="640"/>
      <c r="F416" s="640"/>
      <c r="G416" s="542"/>
      <c r="H416" s="808"/>
      <c r="I416" s="27"/>
      <c r="J416" s="656"/>
    </row>
    <row r="417" spans="1:16" x14ac:dyDescent="0.35">
      <c r="G417" s="542"/>
      <c r="H417" s="807"/>
    </row>
    <row r="418" spans="1:16" x14ac:dyDescent="0.35">
      <c r="A418" s="527" t="s">
        <v>6701</v>
      </c>
      <c r="B418" s="526" t="s">
        <v>2067</v>
      </c>
      <c r="C418" s="526"/>
      <c r="D418" s="526" t="s">
        <v>7535</v>
      </c>
      <c r="E418" s="537"/>
      <c r="F418" s="538"/>
      <c r="G418" s="542" t="s">
        <v>8186</v>
      </c>
      <c r="H418" s="807">
        <v>44477</v>
      </c>
      <c r="I418" s="102"/>
      <c r="L418" s="266"/>
      <c r="M418" s="322"/>
      <c r="N418" s="462"/>
      <c r="O418" s="261"/>
      <c r="P418" s="261"/>
    </row>
    <row r="419" spans="1:16" x14ac:dyDescent="0.35">
      <c r="A419" s="527" t="s">
        <v>6702</v>
      </c>
      <c r="B419" s="526" t="s">
        <v>2067</v>
      </c>
      <c r="C419" s="526"/>
      <c r="D419" s="526" t="s">
        <v>7536</v>
      </c>
      <c r="E419" s="537"/>
      <c r="F419" s="538"/>
      <c r="G419" s="542" t="s">
        <v>8186</v>
      </c>
      <c r="H419" s="807">
        <v>44477</v>
      </c>
      <c r="I419" s="102"/>
      <c r="L419" s="266"/>
      <c r="M419" s="322"/>
      <c r="N419" s="462"/>
      <c r="O419" s="261"/>
      <c r="P419" s="261"/>
    </row>
    <row r="420" spans="1:16" x14ac:dyDescent="0.35">
      <c r="G420" s="542"/>
      <c r="H420" s="807"/>
    </row>
    <row r="421" spans="1:16" ht="24.65" customHeight="1" x14ac:dyDescent="0.35">
      <c r="A421" s="955" t="s">
        <v>2848</v>
      </c>
      <c r="B421" s="955"/>
      <c r="C421" s="955"/>
      <c r="D421" s="955"/>
      <c r="E421" s="955"/>
      <c r="F421" s="955"/>
      <c r="G421" s="542"/>
      <c r="H421" s="807"/>
    </row>
    <row r="422" spans="1:16" ht="37" customHeight="1" x14ac:dyDescent="0.35">
      <c r="A422" s="941" t="s">
        <v>7818</v>
      </c>
      <c r="B422" s="941"/>
      <c r="C422" s="941"/>
      <c r="D422" s="941"/>
      <c r="E422" s="941"/>
      <c r="F422" s="941"/>
      <c r="G422" s="542"/>
      <c r="H422" s="807">
        <v>44535</v>
      </c>
      <c r="I422" s="27"/>
      <c r="J422" s="656"/>
    </row>
    <row r="423" spans="1:16" x14ac:dyDescent="0.35">
      <c r="A423" s="942"/>
      <c r="B423" s="942"/>
      <c r="C423" s="942"/>
      <c r="D423" s="942"/>
      <c r="E423" s="942"/>
      <c r="F423" s="943"/>
      <c r="G423" s="542"/>
      <c r="H423"/>
    </row>
    <row r="424" spans="1:16" x14ac:dyDescent="0.35">
      <c r="A424" s="497" t="s">
        <v>2860</v>
      </c>
      <c r="B424" s="13" t="s">
        <v>2067</v>
      </c>
      <c r="C424" s="13"/>
      <c r="D424" s="13" t="s">
        <v>609</v>
      </c>
      <c r="E424" s="13"/>
      <c r="F424" s="364"/>
      <c r="G424" s="863">
        <v>43830</v>
      </c>
      <c r="H424" s="748" t="s">
        <v>6026</v>
      </c>
    </row>
    <row r="425" spans="1:16" x14ac:dyDescent="0.35">
      <c r="A425" s="497" t="s">
        <v>2861</v>
      </c>
      <c r="B425" s="13" t="s">
        <v>2067</v>
      </c>
      <c r="C425" s="13"/>
      <c r="D425" s="13" t="s">
        <v>610</v>
      </c>
      <c r="E425" s="13"/>
      <c r="F425" s="364"/>
      <c r="G425" s="863">
        <v>43830</v>
      </c>
      <c r="H425" s="748" t="s">
        <v>6026</v>
      </c>
    </row>
    <row r="426" spans="1:16" x14ac:dyDescent="0.35">
      <c r="A426" s="497" t="s">
        <v>2862</v>
      </c>
      <c r="B426" s="13" t="s">
        <v>2067</v>
      </c>
      <c r="C426" s="13"/>
      <c r="D426" s="13" t="s">
        <v>611</v>
      </c>
      <c r="E426" s="13"/>
      <c r="F426" s="364"/>
      <c r="G426" s="863">
        <v>43830</v>
      </c>
      <c r="H426" s="748" t="s">
        <v>6026</v>
      </c>
    </row>
    <row r="427" spans="1:16" x14ac:dyDescent="0.35">
      <c r="A427" s="497" t="s">
        <v>2863</v>
      </c>
      <c r="B427" s="13" t="s">
        <v>2067</v>
      </c>
      <c r="C427" s="13"/>
      <c r="D427" s="13" t="s">
        <v>612</v>
      </c>
      <c r="E427" s="13"/>
      <c r="F427" s="364"/>
      <c r="G427" s="863">
        <v>43830</v>
      </c>
      <c r="H427" s="748" t="s">
        <v>6026</v>
      </c>
    </row>
    <row r="428" spans="1:16" x14ac:dyDescent="0.35">
      <c r="A428" s="497" t="s">
        <v>2864</v>
      </c>
      <c r="B428" s="13" t="s">
        <v>2067</v>
      </c>
      <c r="C428" s="13"/>
      <c r="D428" s="13" t="s">
        <v>613</v>
      </c>
      <c r="E428" s="13"/>
      <c r="F428" s="364"/>
      <c r="G428" s="863">
        <v>43830</v>
      </c>
      <c r="H428" s="748" t="s">
        <v>6026</v>
      </c>
    </row>
    <row r="429" spans="1:16" x14ac:dyDescent="0.35">
      <c r="A429" s="497" t="s">
        <v>2865</v>
      </c>
      <c r="B429" s="13" t="s">
        <v>2067</v>
      </c>
      <c r="C429" s="13"/>
      <c r="D429" s="13" t="s">
        <v>614</v>
      </c>
      <c r="E429" s="13"/>
      <c r="F429" s="364"/>
      <c r="G429" s="863">
        <v>43830</v>
      </c>
      <c r="H429" s="748" t="s">
        <v>6026</v>
      </c>
    </row>
    <row r="430" spans="1:16" x14ac:dyDescent="0.35">
      <c r="A430" s="497" t="s">
        <v>2866</v>
      </c>
      <c r="B430" s="13" t="s">
        <v>2067</v>
      </c>
      <c r="C430" s="13"/>
      <c r="D430" s="13" t="s">
        <v>615</v>
      </c>
      <c r="E430" s="13"/>
      <c r="F430" s="364"/>
      <c r="G430" s="863">
        <v>43830</v>
      </c>
      <c r="H430" s="748" t="s">
        <v>6026</v>
      </c>
    </row>
    <row r="431" spans="1:16" x14ac:dyDescent="0.35">
      <c r="A431" s="496"/>
      <c r="B431" s="1"/>
      <c r="C431" s="1"/>
      <c r="D431" s="1"/>
      <c r="E431" s="1"/>
      <c r="F431" s="362"/>
      <c r="G431" s="542"/>
      <c r="H431"/>
    </row>
    <row r="432" spans="1:16" x14ac:dyDescent="0.35">
      <c r="A432" s="497" t="s">
        <v>3366</v>
      </c>
      <c r="B432" s="13" t="s">
        <v>3373</v>
      </c>
      <c r="C432" s="13"/>
      <c r="D432" s="13" t="s">
        <v>616</v>
      </c>
      <c r="E432" s="13"/>
      <c r="F432" s="364"/>
      <c r="G432" s="863">
        <v>43830</v>
      </c>
      <c r="H432" s="748" t="s">
        <v>6026</v>
      </c>
    </row>
    <row r="433" spans="1:8" x14ac:dyDescent="0.35">
      <c r="A433" s="497" t="s">
        <v>3367</v>
      </c>
      <c r="B433" s="13" t="s">
        <v>3373</v>
      </c>
      <c r="C433" s="13"/>
      <c r="D433" s="13" t="s">
        <v>3346</v>
      </c>
      <c r="E433" s="13"/>
      <c r="F433" s="364"/>
      <c r="G433" s="863">
        <v>43830</v>
      </c>
      <c r="H433" s="748" t="s">
        <v>6026</v>
      </c>
    </row>
    <row r="434" spans="1:8" x14ac:dyDescent="0.35">
      <c r="A434" s="497" t="s">
        <v>3368</v>
      </c>
      <c r="B434" s="13" t="s">
        <v>3373</v>
      </c>
      <c r="C434" s="13"/>
      <c r="D434" s="13" t="s">
        <v>3347</v>
      </c>
      <c r="E434" s="13"/>
      <c r="F434" s="364"/>
      <c r="G434" s="863">
        <v>43830</v>
      </c>
      <c r="H434" s="748" t="s">
        <v>6026</v>
      </c>
    </row>
    <row r="435" spans="1:8" x14ac:dyDescent="0.35">
      <c r="A435" s="497" t="s">
        <v>3369</v>
      </c>
      <c r="B435" s="13" t="s">
        <v>3373</v>
      </c>
      <c r="C435" s="13"/>
      <c r="D435" s="13" t="s">
        <v>3348</v>
      </c>
      <c r="E435" s="13"/>
      <c r="F435" s="364"/>
      <c r="G435" s="863">
        <v>43830</v>
      </c>
      <c r="H435" s="748" t="s">
        <v>6026</v>
      </c>
    </row>
    <row r="436" spans="1:8" x14ac:dyDescent="0.35">
      <c r="A436" s="497" t="s">
        <v>3370</v>
      </c>
      <c r="B436" s="13" t="s">
        <v>3373</v>
      </c>
      <c r="C436" s="13"/>
      <c r="D436" s="13" t="s">
        <v>3349</v>
      </c>
      <c r="E436" s="13"/>
      <c r="F436" s="364"/>
      <c r="G436" s="863">
        <v>43830</v>
      </c>
      <c r="H436" s="748" t="s">
        <v>6026</v>
      </c>
    </row>
    <row r="437" spans="1:8" x14ac:dyDescent="0.35">
      <c r="A437" s="497" t="s">
        <v>3371</v>
      </c>
      <c r="B437" s="13" t="s">
        <v>3373</v>
      </c>
      <c r="C437" s="13"/>
      <c r="D437" s="13" t="s">
        <v>3350</v>
      </c>
      <c r="E437" s="13"/>
      <c r="F437" s="364"/>
      <c r="G437" s="863">
        <v>43830</v>
      </c>
      <c r="H437" s="748" t="s">
        <v>6026</v>
      </c>
    </row>
    <row r="438" spans="1:8" x14ac:dyDescent="0.35">
      <c r="A438" s="497" t="s">
        <v>3372</v>
      </c>
      <c r="B438" s="13" t="s">
        <v>3373</v>
      </c>
      <c r="C438" s="13"/>
      <c r="D438" s="13" t="s">
        <v>3351</v>
      </c>
      <c r="E438" s="13"/>
      <c r="F438" s="364"/>
      <c r="G438" s="863">
        <v>43830</v>
      </c>
      <c r="H438" s="748" t="s">
        <v>6026</v>
      </c>
    </row>
    <row r="439" spans="1:8" x14ac:dyDescent="0.35">
      <c r="A439" s="496"/>
      <c r="B439" s="1"/>
      <c r="C439" s="1"/>
      <c r="D439" s="1"/>
      <c r="E439" s="1"/>
      <c r="F439" s="362"/>
      <c r="G439" s="542"/>
      <c r="H439"/>
    </row>
    <row r="440" spans="1:8" x14ac:dyDescent="0.35">
      <c r="A440" s="497" t="s">
        <v>3374</v>
      </c>
      <c r="B440" s="17" t="s">
        <v>3381</v>
      </c>
      <c r="C440" s="13"/>
      <c r="D440" s="13" t="s">
        <v>616</v>
      </c>
      <c r="E440" s="13"/>
      <c r="F440" s="364"/>
      <c r="G440" s="863">
        <v>43830</v>
      </c>
      <c r="H440" s="748" t="s">
        <v>6026</v>
      </c>
    </row>
    <row r="441" spans="1:8" x14ac:dyDescent="0.35">
      <c r="A441" s="497" t="s">
        <v>3375</v>
      </c>
      <c r="B441" s="13" t="s">
        <v>3381</v>
      </c>
      <c r="C441" s="13"/>
      <c r="D441" s="13" t="s">
        <v>3346</v>
      </c>
      <c r="E441" s="13"/>
      <c r="F441" s="364"/>
      <c r="G441" s="863">
        <v>43830</v>
      </c>
      <c r="H441" s="748" t="s">
        <v>6026</v>
      </c>
    </row>
    <row r="442" spans="1:8" x14ac:dyDescent="0.35">
      <c r="A442" s="497" t="s">
        <v>3376</v>
      </c>
      <c r="B442" s="13" t="s">
        <v>3381</v>
      </c>
      <c r="C442" s="13"/>
      <c r="D442" s="13" t="s">
        <v>3347</v>
      </c>
      <c r="E442" s="13"/>
      <c r="F442" s="364"/>
      <c r="G442" s="863">
        <v>43830</v>
      </c>
      <c r="H442" s="748" t="s">
        <v>6026</v>
      </c>
    </row>
    <row r="443" spans="1:8" x14ac:dyDescent="0.35">
      <c r="A443" s="497" t="s">
        <v>3377</v>
      </c>
      <c r="B443" s="13" t="s">
        <v>3381</v>
      </c>
      <c r="C443" s="13"/>
      <c r="D443" s="13" t="s">
        <v>3348</v>
      </c>
      <c r="E443" s="13"/>
      <c r="F443" s="364"/>
      <c r="G443" s="863">
        <v>43830</v>
      </c>
      <c r="H443" s="748" t="s">
        <v>6026</v>
      </c>
    </row>
    <row r="444" spans="1:8" x14ac:dyDescent="0.35">
      <c r="A444" s="497" t="s">
        <v>3378</v>
      </c>
      <c r="B444" s="13" t="s">
        <v>3381</v>
      </c>
      <c r="C444" s="13"/>
      <c r="D444" s="13" t="s">
        <v>3349</v>
      </c>
      <c r="E444" s="13"/>
      <c r="F444" s="364"/>
      <c r="G444" s="863">
        <v>43830</v>
      </c>
      <c r="H444" s="748" t="s">
        <v>6026</v>
      </c>
    </row>
    <row r="445" spans="1:8" x14ac:dyDescent="0.35">
      <c r="A445" s="497" t="s">
        <v>3379</v>
      </c>
      <c r="B445" s="13" t="s">
        <v>3381</v>
      </c>
      <c r="C445" s="13"/>
      <c r="D445" s="13" t="s">
        <v>3350</v>
      </c>
      <c r="E445" s="13"/>
      <c r="F445" s="364"/>
      <c r="G445" s="863">
        <v>43830</v>
      </c>
      <c r="H445" s="748" t="s">
        <v>6026</v>
      </c>
    </row>
    <row r="446" spans="1:8" x14ac:dyDescent="0.35">
      <c r="A446" s="497" t="s">
        <v>3380</v>
      </c>
      <c r="B446" s="13" t="s">
        <v>3381</v>
      </c>
      <c r="C446" s="13"/>
      <c r="D446" s="13" t="s">
        <v>3351</v>
      </c>
      <c r="E446" s="13"/>
      <c r="F446" s="364"/>
      <c r="G446" s="863">
        <v>43830</v>
      </c>
      <c r="H446" s="748" t="s">
        <v>6026</v>
      </c>
    </row>
    <row r="447" spans="1:8" x14ac:dyDescent="0.35">
      <c r="A447" s="496"/>
      <c r="B447" s="1"/>
      <c r="C447" s="1"/>
      <c r="D447" s="1"/>
      <c r="E447" s="1"/>
      <c r="F447" s="362"/>
      <c r="G447" s="542"/>
      <c r="H447"/>
    </row>
    <row r="448" spans="1:8" x14ac:dyDescent="0.35">
      <c r="A448" s="497" t="s">
        <v>3382</v>
      </c>
      <c r="B448" s="13" t="s">
        <v>3389</v>
      </c>
      <c r="C448" s="13"/>
      <c r="D448" s="13" t="s">
        <v>616</v>
      </c>
      <c r="E448" s="13"/>
      <c r="F448" s="364"/>
      <c r="G448" s="863">
        <v>43830</v>
      </c>
      <c r="H448" s="748" t="s">
        <v>6026</v>
      </c>
    </row>
    <row r="449" spans="1:8" x14ac:dyDescent="0.35">
      <c r="A449" s="497" t="s">
        <v>3383</v>
      </c>
      <c r="B449" s="13" t="s">
        <v>3389</v>
      </c>
      <c r="C449" s="13"/>
      <c r="D449" s="13" t="s">
        <v>3346</v>
      </c>
      <c r="E449" s="13"/>
      <c r="F449" s="364"/>
      <c r="G449" s="863">
        <v>43830</v>
      </c>
      <c r="H449" s="748" t="s">
        <v>6026</v>
      </c>
    </row>
    <row r="450" spans="1:8" x14ac:dyDescent="0.35">
      <c r="A450" s="497" t="s">
        <v>3384</v>
      </c>
      <c r="B450" s="13" t="s">
        <v>3389</v>
      </c>
      <c r="C450" s="13"/>
      <c r="D450" s="13" t="s">
        <v>3347</v>
      </c>
      <c r="E450" s="13"/>
      <c r="F450" s="364"/>
      <c r="G450" s="863">
        <v>43830</v>
      </c>
      <c r="H450" s="748" t="s">
        <v>6026</v>
      </c>
    </row>
    <row r="451" spans="1:8" x14ac:dyDescent="0.35">
      <c r="A451" s="497" t="s">
        <v>3385</v>
      </c>
      <c r="B451" s="13" t="s">
        <v>3389</v>
      </c>
      <c r="C451" s="13"/>
      <c r="D451" s="13" t="s">
        <v>3348</v>
      </c>
      <c r="E451" s="13"/>
      <c r="F451" s="364"/>
      <c r="G451" s="863">
        <v>43830</v>
      </c>
      <c r="H451" s="748" t="s">
        <v>6026</v>
      </c>
    </row>
    <row r="452" spans="1:8" x14ac:dyDescent="0.35">
      <c r="A452" s="497" t="s">
        <v>3386</v>
      </c>
      <c r="B452" s="13" t="s">
        <v>3389</v>
      </c>
      <c r="C452" s="13"/>
      <c r="D452" s="13" t="s">
        <v>3349</v>
      </c>
      <c r="E452" s="13"/>
      <c r="F452" s="364"/>
      <c r="G452" s="863">
        <v>43830</v>
      </c>
      <c r="H452" s="748" t="s">
        <v>6026</v>
      </c>
    </row>
    <row r="453" spans="1:8" x14ac:dyDescent="0.35">
      <c r="A453" s="497" t="s">
        <v>3387</v>
      </c>
      <c r="B453" s="13" t="s">
        <v>3389</v>
      </c>
      <c r="C453" s="13"/>
      <c r="D453" s="13" t="s">
        <v>3350</v>
      </c>
      <c r="E453" s="13"/>
      <c r="F453" s="364"/>
      <c r="G453" s="863">
        <v>43830</v>
      </c>
      <c r="H453" s="748" t="s">
        <v>6026</v>
      </c>
    </row>
    <row r="454" spans="1:8" x14ac:dyDescent="0.35">
      <c r="A454" s="497" t="s">
        <v>3388</v>
      </c>
      <c r="B454" s="13" t="s">
        <v>3389</v>
      </c>
      <c r="C454" s="13"/>
      <c r="D454" s="13" t="s">
        <v>3351</v>
      </c>
      <c r="E454" s="13"/>
      <c r="F454" s="364"/>
      <c r="G454" s="863">
        <v>43830</v>
      </c>
      <c r="H454" s="748" t="s">
        <v>6026</v>
      </c>
    </row>
    <row r="455" spans="1:8" x14ac:dyDescent="0.35">
      <c r="A455" s="496"/>
      <c r="B455" s="1"/>
      <c r="C455" s="1"/>
      <c r="D455" s="1"/>
      <c r="E455" s="1"/>
      <c r="F455" s="362"/>
      <c r="G455" s="542"/>
      <c r="H455"/>
    </row>
    <row r="456" spans="1:8" x14ac:dyDescent="0.35">
      <c r="A456" s="496" t="s">
        <v>2867</v>
      </c>
      <c r="B456" s="1" t="s">
        <v>740</v>
      </c>
      <c r="C456" s="1"/>
      <c r="D456" s="1" t="s">
        <v>821</v>
      </c>
      <c r="E456" s="1"/>
      <c r="F456" s="362"/>
      <c r="G456" s="863">
        <v>43830</v>
      </c>
      <c r="H456" s="748" t="s">
        <v>6026</v>
      </c>
    </row>
    <row r="457" spans="1:8" x14ac:dyDescent="0.35">
      <c r="A457" s="496" t="s">
        <v>2868</v>
      </c>
      <c r="B457" s="1" t="s">
        <v>740</v>
      </c>
      <c r="C457" s="1"/>
      <c r="D457" s="1" t="s">
        <v>823</v>
      </c>
      <c r="E457" s="1"/>
      <c r="F457" s="362"/>
      <c r="G457" s="863">
        <v>43830</v>
      </c>
      <c r="H457" s="748" t="s">
        <v>6026</v>
      </c>
    </row>
    <row r="458" spans="1:8" x14ac:dyDescent="0.35">
      <c r="A458" s="496" t="s">
        <v>780</v>
      </c>
      <c r="B458" s="1" t="s">
        <v>740</v>
      </c>
      <c r="C458" s="1"/>
      <c r="D458" s="1" t="s">
        <v>908</v>
      </c>
      <c r="E458" s="1"/>
      <c r="F458" s="362"/>
      <c r="G458" s="863">
        <v>43830</v>
      </c>
      <c r="H458" s="748" t="s">
        <v>6026</v>
      </c>
    </row>
    <row r="459" spans="1:8" x14ac:dyDescent="0.35">
      <c r="A459" s="496" t="s">
        <v>781</v>
      </c>
      <c r="B459" s="1" t="s">
        <v>740</v>
      </c>
      <c r="C459" s="1"/>
      <c r="D459" s="1" t="s">
        <v>910</v>
      </c>
      <c r="E459" s="1"/>
      <c r="F459" s="362"/>
      <c r="G459" s="863">
        <v>43830</v>
      </c>
      <c r="H459" s="748" t="s">
        <v>6026</v>
      </c>
    </row>
    <row r="460" spans="1:8" x14ac:dyDescent="0.35">
      <c r="A460" s="496" t="s">
        <v>782</v>
      </c>
      <c r="B460" s="1" t="s">
        <v>740</v>
      </c>
      <c r="C460" s="1"/>
      <c r="D460" s="1" t="s">
        <v>912</v>
      </c>
      <c r="E460" s="1"/>
      <c r="F460" s="362"/>
      <c r="G460" s="863">
        <v>43830</v>
      </c>
      <c r="H460" s="748" t="s">
        <v>6026</v>
      </c>
    </row>
    <row r="461" spans="1:8" x14ac:dyDescent="0.35">
      <c r="A461" s="496" t="s">
        <v>783</v>
      </c>
      <c r="B461" s="1" t="s">
        <v>740</v>
      </c>
      <c r="C461" s="1"/>
      <c r="D461" s="1" t="s">
        <v>914</v>
      </c>
      <c r="E461" s="1"/>
      <c r="F461" s="362"/>
      <c r="G461" s="863">
        <v>43830</v>
      </c>
      <c r="H461" s="748" t="s">
        <v>6026</v>
      </c>
    </row>
    <row r="462" spans="1:8" x14ac:dyDescent="0.35">
      <c r="A462" s="498" t="s">
        <v>5403</v>
      </c>
      <c r="B462" s="1" t="s">
        <v>740</v>
      </c>
      <c r="C462" s="1"/>
      <c r="D462" s="1" t="s">
        <v>916</v>
      </c>
      <c r="E462" s="1"/>
      <c r="F462" s="362"/>
      <c r="G462" s="863">
        <v>43830</v>
      </c>
      <c r="H462" s="748" t="s">
        <v>6026</v>
      </c>
    </row>
    <row r="463" spans="1:8" x14ac:dyDescent="0.35">
      <c r="A463" s="496"/>
      <c r="B463" s="1"/>
      <c r="C463" s="1"/>
      <c r="D463" s="1"/>
      <c r="E463" s="1"/>
      <c r="F463" s="362"/>
      <c r="G463" s="542"/>
      <c r="H463"/>
    </row>
    <row r="464" spans="1:8" x14ac:dyDescent="0.35">
      <c r="A464" s="497" t="s">
        <v>3390</v>
      </c>
      <c r="B464" s="13" t="s">
        <v>5434</v>
      </c>
      <c r="C464" s="13"/>
      <c r="D464" s="13" t="s">
        <v>616</v>
      </c>
      <c r="E464" s="13"/>
      <c r="F464" s="364"/>
      <c r="G464" s="863">
        <v>43830</v>
      </c>
      <c r="H464" s="748" t="s">
        <v>6026</v>
      </c>
    </row>
    <row r="465" spans="1:27" x14ac:dyDescent="0.35">
      <c r="A465" s="497" t="s">
        <v>3391</v>
      </c>
      <c r="B465" s="13" t="s">
        <v>5434</v>
      </c>
      <c r="C465" s="13"/>
      <c r="D465" s="13" t="s">
        <v>3346</v>
      </c>
      <c r="E465" s="13"/>
      <c r="F465" s="364"/>
      <c r="G465" s="863">
        <v>43830</v>
      </c>
      <c r="H465" s="748" t="s">
        <v>6026</v>
      </c>
    </row>
    <row r="466" spans="1:27" x14ac:dyDescent="0.35">
      <c r="A466" s="497" t="s">
        <v>3392</v>
      </c>
      <c r="B466" s="13" t="s">
        <v>5434</v>
      </c>
      <c r="C466" s="13"/>
      <c r="D466" s="13" t="s">
        <v>3347</v>
      </c>
      <c r="E466" s="13"/>
      <c r="F466" s="364"/>
      <c r="G466" s="863">
        <v>43830</v>
      </c>
      <c r="H466" s="748" t="s">
        <v>6026</v>
      </c>
    </row>
    <row r="467" spans="1:27" x14ac:dyDescent="0.35">
      <c r="A467" s="497" t="s">
        <v>3393</v>
      </c>
      <c r="B467" s="13" t="s">
        <v>5434</v>
      </c>
      <c r="C467" s="13"/>
      <c r="D467" s="13" t="s">
        <v>3348</v>
      </c>
      <c r="E467" s="13"/>
      <c r="F467" s="364"/>
      <c r="G467" s="863">
        <v>43830</v>
      </c>
      <c r="H467" s="748" t="s">
        <v>6026</v>
      </c>
    </row>
    <row r="468" spans="1:27" x14ac:dyDescent="0.35">
      <c r="A468" s="497" t="s">
        <v>665</v>
      </c>
      <c r="B468" s="13" t="s">
        <v>5434</v>
      </c>
      <c r="C468" s="13"/>
      <c r="D468" s="13" t="s">
        <v>3349</v>
      </c>
      <c r="E468" s="13"/>
      <c r="F468" s="364"/>
      <c r="G468" s="863">
        <v>43830</v>
      </c>
      <c r="H468" s="748" t="s">
        <v>6026</v>
      </c>
    </row>
    <row r="469" spans="1:27" x14ac:dyDescent="0.35">
      <c r="A469" s="497" t="s">
        <v>666</v>
      </c>
      <c r="B469" s="13" t="s">
        <v>5434</v>
      </c>
      <c r="C469" s="13"/>
      <c r="D469" s="13" t="s">
        <v>3350</v>
      </c>
      <c r="E469" s="13"/>
      <c r="F469" s="364"/>
      <c r="G469" s="863">
        <v>43830</v>
      </c>
      <c r="H469" s="748" t="s">
        <v>6026</v>
      </c>
    </row>
    <row r="470" spans="1:27" x14ac:dyDescent="0.35">
      <c r="A470" s="499" t="s">
        <v>667</v>
      </c>
      <c r="B470" s="13" t="s">
        <v>5434</v>
      </c>
      <c r="C470" s="13"/>
      <c r="D470" s="13" t="s">
        <v>3351</v>
      </c>
      <c r="E470" s="13"/>
      <c r="F470" s="364"/>
      <c r="G470" s="863">
        <v>43830</v>
      </c>
      <c r="H470" s="748" t="s">
        <v>6026</v>
      </c>
    </row>
    <row r="471" spans="1:27" x14ac:dyDescent="0.35">
      <c r="G471" s="542"/>
      <c r="H471" s="750"/>
    </row>
    <row r="472" spans="1:27" x14ac:dyDescent="0.35">
      <c r="G472" s="542"/>
      <c r="H472" s="750"/>
    </row>
    <row r="473" spans="1:27" ht="24" customHeight="1" x14ac:dyDescent="0.35">
      <c r="A473" s="944" t="s">
        <v>7811</v>
      </c>
      <c r="B473" s="944"/>
      <c r="C473" s="944"/>
      <c r="D473" s="944"/>
      <c r="E473" s="944"/>
      <c r="F473" s="944"/>
      <c r="G473" s="542"/>
      <c r="H473" s="750"/>
    </row>
    <row r="474" spans="1:27" s="187" customFormat="1" ht="20.149999999999999" customHeight="1" x14ac:dyDescent="0.35">
      <c r="A474" s="952" t="s">
        <v>7816</v>
      </c>
      <c r="B474" s="952"/>
      <c r="C474" s="952"/>
      <c r="D474" s="952"/>
      <c r="E474" s="952"/>
      <c r="F474" s="952"/>
      <c r="G474" s="542"/>
      <c r="H474" s="807">
        <v>44545</v>
      </c>
      <c r="K474"/>
      <c r="L474"/>
      <c r="S474"/>
      <c r="T474"/>
      <c r="U474"/>
      <c r="V474"/>
      <c r="W474"/>
      <c r="X474"/>
      <c r="Y474"/>
      <c r="Z474"/>
      <c r="AA474"/>
    </row>
    <row r="475" spans="1:27" x14ac:dyDescent="0.35">
      <c r="G475" s="542"/>
      <c r="H475" s="750"/>
    </row>
    <row r="476" spans="1:27" x14ac:dyDescent="0.35">
      <c r="A476" s="527" t="s">
        <v>6697</v>
      </c>
      <c r="B476" s="526" t="s">
        <v>2269</v>
      </c>
      <c r="C476" s="526" t="s">
        <v>2270</v>
      </c>
      <c r="D476" s="526" t="s">
        <v>6738</v>
      </c>
      <c r="E476" s="526"/>
      <c r="F476" s="538">
        <v>10.67</v>
      </c>
      <c r="G476" s="542" t="s">
        <v>8186</v>
      </c>
      <c r="H476" s="807">
        <v>44484</v>
      </c>
      <c r="K476" s="101"/>
      <c r="L476" s="322"/>
      <c r="M476" s="261"/>
      <c r="N476" s="261"/>
      <c r="O476" s="261"/>
      <c r="P476" s="261"/>
      <c r="Q476" s="261"/>
      <c r="R476" s="261"/>
      <c r="S476" s="261"/>
    </row>
    <row r="477" spans="1:27" x14ac:dyDescent="0.35">
      <c r="A477" s="527" t="s">
        <v>6712</v>
      </c>
      <c r="B477" s="526" t="s">
        <v>2269</v>
      </c>
      <c r="C477" s="526" t="s">
        <v>3723</v>
      </c>
      <c r="D477" s="526" t="s">
        <v>6738</v>
      </c>
      <c r="E477" s="526"/>
      <c r="F477" s="538">
        <v>10.67</v>
      </c>
      <c r="G477" s="542" t="s">
        <v>8186</v>
      </c>
      <c r="H477" s="807">
        <v>44196</v>
      </c>
      <c r="K477" s="101"/>
      <c r="L477" s="322"/>
      <c r="M477" s="261"/>
      <c r="N477" s="261"/>
      <c r="O477" s="261"/>
      <c r="P477" s="261"/>
      <c r="Q477" s="261"/>
      <c r="R477" s="261"/>
      <c r="S477" s="261"/>
    </row>
    <row r="478" spans="1:27" x14ac:dyDescent="0.35">
      <c r="A478" s="527" t="s">
        <v>6713</v>
      </c>
      <c r="B478" s="526" t="s">
        <v>2269</v>
      </c>
      <c r="C478" s="526" t="s">
        <v>3726</v>
      </c>
      <c r="D478" s="526" t="s">
        <v>6738</v>
      </c>
      <c r="E478" s="526"/>
      <c r="F478" s="538">
        <v>10.67</v>
      </c>
      <c r="G478" s="542" t="s">
        <v>8186</v>
      </c>
      <c r="H478" s="807">
        <v>44196</v>
      </c>
      <c r="K478" s="101"/>
      <c r="L478" s="322"/>
      <c r="M478" s="261"/>
      <c r="N478" s="261"/>
      <c r="O478" s="261"/>
      <c r="P478" s="261"/>
      <c r="Q478" s="261"/>
      <c r="R478" s="261"/>
      <c r="S478" s="261"/>
    </row>
    <row r="479" spans="1:27" x14ac:dyDescent="0.35">
      <c r="A479" s="527" t="s">
        <v>6714</v>
      </c>
      <c r="B479" s="526" t="s">
        <v>2269</v>
      </c>
      <c r="C479" s="526" t="s">
        <v>1272</v>
      </c>
      <c r="D479" s="526" t="s">
        <v>6738</v>
      </c>
      <c r="E479" s="526"/>
      <c r="F479" s="538">
        <v>10.67</v>
      </c>
      <c r="G479" s="542" t="s">
        <v>8186</v>
      </c>
      <c r="H479" s="807">
        <v>44196</v>
      </c>
      <c r="K479" s="101"/>
      <c r="L479" s="322"/>
      <c r="M479" s="261"/>
      <c r="N479" s="261"/>
      <c r="O479" s="261"/>
      <c r="P479" s="261"/>
      <c r="Q479" s="261"/>
      <c r="R479" s="261"/>
      <c r="S479" s="261"/>
    </row>
    <row r="480" spans="1:27" x14ac:dyDescent="0.35">
      <c r="A480" s="527" t="s">
        <v>6715</v>
      </c>
      <c r="B480" s="526" t="s">
        <v>2269</v>
      </c>
      <c r="C480" s="526" t="s">
        <v>1275</v>
      </c>
      <c r="D480" s="526" t="s">
        <v>6738</v>
      </c>
      <c r="E480" s="526"/>
      <c r="F480" s="538">
        <v>12.67</v>
      </c>
      <c r="G480" s="542" t="s">
        <v>8186</v>
      </c>
      <c r="H480" s="807">
        <v>44196</v>
      </c>
      <c r="K480" s="101"/>
      <c r="L480" s="322"/>
      <c r="M480" s="261"/>
      <c r="N480" s="261"/>
      <c r="O480" s="261"/>
      <c r="P480" s="261"/>
      <c r="Q480" s="261"/>
      <c r="R480" s="261"/>
      <c r="S480" s="261"/>
    </row>
    <row r="481" spans="1:8" x14ac:dyDescent="0.35">
      <c r="A481" s="527" t="s">
        <v>6717</v>
      </c>
      <c r="B481" s="526" t="s">
        <v>2269</v>
      </c>
      <c r="C481" s="526" t="s">
        <v>1288</v>
      </c>
      <c r="D481" s="526" t="s">
        <v>6738</v>
      </c>
      <c r="E481" s="526"/>
      <c r="F481" s="538">
        <v>12.67</v>
      </c>
      <c r="G481" s="542" t="s">
        <v>8186</v>
      </c>
      <c r="H481" s="807">
        <v>44196</v>
      </c>
    </row>
    <row r="482" spans="1:8" x14ac:dyDescent="0.35">
      <c r="A482" s="527" t="s">
        <v>6716</v>
      </c>
      <c r="B482" s="526" t="s">
        <v>2269</v>
      </c>
      <c r="C482" s="526" t="s">
        <v>1296</v>
      </c>
      <c r="D482" s="526" t="s">
        <v>6738</v>
      </c>
      <c r="E482" s="526"/>
      <c r="F482" s="538">
        <v>12.67</v>
      </c>
      <c r="G482" s="542" t="s">
        <v>8186</v>
      </c>
      <c r="H482" s="807">
        <v>44196</v>
      </c>
    </row>
    <row r="483" spans="1:8" x14ac:dyDescent="0.35">
      <c r="A483" s="527" t="s">
        <v>6718</v>
      </c>
      <c r="B483" s="526" t="s">
        <v>2269</v>
      </c>
      <c r="C483" s="526" t="s">
        <v>1304</v>
      </c>
      <c r="D483" s="526" t="s">
        <v>6738</v>
      </c>
      <c r="E483" s="526"/>
      <c r="F483" s="538">
        <v>12.67</v>
      </c>
      <c r="G483" s="542" t="s">
        <v>8186</v>
      </c>
      <c r="H483" s="807">
        <v>44196</v>
      </c>
    </row>
    <row r="484" spans="1:8" x14ac:dyDescent="0.35">
      <c r="A484" s="527" t="s">
        <v>6719</v>
      </c>
      <c r="B484" s="526" t="s">
        <v>2269</v>
      </c>
      <c r="C484" s="526" t="s">
        <v>5539</v>
      </c>
      <c r="D484" s="526" t="s">
        <v>6738</v>
      </c>
      <c r="E484" s="526"/>
      <c r="F484" s="538">
        <v>12.67</v>
      </c>
      <c r="G484" s="542" t="s">
        <v>8186</v>
      </c>
      <c r="H484" s="807">
        <v>44196</v>
      </c>
    </row>
    <row r="485" spans="1:8" x14ac:dyDescent="0.35">
      <c r="A485" s="527" t="s">
        <v>6720</v>
      </c>
      <c r="B485" s="526" t="s">
        <v>2269</v>
      </c>
      <c r="C485" s="526" t="s">
        <v>5404</v>
      </c>
      <c r="D485" s="526" t="s">
        <v>6738</v>
      </c>
      <c r="E485" s="526"/>
      <c r="F485" s="538">
        <v>15.67</v>
      </c>
      <c r="G485" s="542" t="s">
        <v>8186</v>
      </c>
      <c r="H485" s="807">
        <v>44196</v>
      </c>
    </row>
    <row r="486" spans="1:8" x14ac:dyDescent="0.35">
      <c r="A486" s="527" t="s">
        <v>6721</v>
      </c>
      <c r="B486" s="526" t="s">
        <v>2269</v>
      </c>
      <c r="C486" s="526" t="s">
        <v>5404</v>
      </c>
      <c r="D486" s="526" t="s">
        <v>6739</v>
      </c>
      <c r="E486" s="526"/>
      <c r="F486" s="538">
        <v>14.67</v>
      </c>
      <c r="G486" s="542" t="s">
        <v>8186</v>
      </c>
      <c r="H486" s="807">
        <v>44196</v>
      </c>
    </row>
    <row r="487" spans="1:8" x14ac:dyDescent="0.35">
      <c r="A487" s="527" t="s">
        <v>6722</v>
      </c>
      <c r="B487" s="526" t="s">
        <v>2269</v>
      </c>
      <c r="C487" s="526" t="s">
        <v>2385</v>
      </c>
      <c r="D487" s="526" t="s">
        <v>6738</v>
      </c>
      <c r="E487" s="526"/>
      <c r="F487" s="538">
        <v>15.67</v>
      </c>
      <c r="G487" s="542" t="s">
        <v>8186</v>
      </c>
      <c r="H487" s="807">
        <v>44196</v>
      </c>
    </row>
    <row r="488" spans="1:8" x14ac:dyDescent="0.35">
      <c r="A488" s="527" t="s">
        <v>6723</v>
      </c>
      <c r="B488" s="526" t="s">
        <v>2269</v>
      </c>
      <c r="C488" s="526" t="s">
        <v>2385</v>
      </c>
      <c r="D488" s="526" t="s">
        <v>6739</v>
      </c>
      <c r="E488" s="526"/>
      <c r="F488" s="538">
        <v>14.67</v>
      </c>
      <c r="G488" s="542" t="s">
        <v>8186</v>
      </c>
      <c r="H488" s="807">
        <v>44196</v>
      </c>
    </row>
    <row r="489" spans="1:8" x14ac:dyDescent="0.35">
      <c r="A489" s="527" t="s">
        <v>6724</v>
      </c>
      <c r="B489" s="526" t="s">
        <v>2269</v>
      </c>
      <c r="C489" s="526" t="s">
        <v>1467</v>
      </c>
      <c r="D489" s="526" t="s">
        <v>6738</v>
      </c>
      <c r="E489" s="526"/>
      <c r="F489" s="538">
        <v>15.67</v>
      </c>
      <c r="G489" s="542" t="s">
        <v>8186</v>
      </c>
      <c r="H489" s="807">
        <v>44196</v>
      </c>
    </row>
    <row r="490" spans="1:8" x14ac:dyDescent="0.35">
      <c r="A490" s="527" t="s">
        <v>6725</v>
      </c>
      <c r="B490" s="526" t="s">
        <v>2269</v>
      </c>
      <c r="C490" s="526" t="s">
        <v>1467</v>
      </c>
      <c r="D490" s="526" t="s">
        <v>6739</v>
      </c>
      <c r="E490" s="526"/>
      <c r="F490" s="538">
        <v>14.67</v>
      </c>
      <c r="G490" s="542" t="s">
        <v>8186</v>
      </c>
      <c r="H490" s="807">
        <v>44196</v>
      </c>
    </row>
    <row r="491" spans="1:8" x14ac:dyDescent="0.35">
      <c r="A491" s="527" t="s">
        <v>6726</v>
      </c>
      <c r="B491" s="526" t="s">
        <v>2269</v>
      </c>
      <c r="C491" s="526" t="s">
        <v>3126</v>
      </c>
      <c r="D491" s="526" t="s">
        <v>6742</v>
      </c>
      <c r="E491" s="526"/>
      <c r="F491" s="538">
        <v>14.67</v>
      </c>
      <c r="G491" s="542" t="s">
        <v>8186</v>
      </c>
      <c r="H491" s="807">
        <v>44196</v>
      </c>
    </row>
    <row r="492" spans="1:8" x14ac:dyDescent="0.35">
      <c r="A492" s="527" t="s">
        <v>6727</v>
      </c>
      <c r="B492" s="526" t="s">
        <v>2269</v>
      </c>
      <c r="C492" s="526" t="s">
        <v>1984</v>
      </c>
      <c r="D492" s="526" t="s">
        <v>6738</v>
      </c>
      <c r="E492" s="526"/>
      <c r="F492" s="538">
        <v>15.7</v>
      </c>
      <c r="G492" s="542" t="s">
        <v>8186</v>
      </c>
      <c r="H492" s="807">
        <v>44196</v>
      </c>
    </row>
    <row r="493" spans="1:8" x14ac:dyDescent="0.35">
      <c r="A493" s="527" t="s">
        <v>7454</v>
      </c>
      <c r="B493" s="526" t="s">
        <v>2269</v>
      </c>
      <c r="C493" s="526" t="s">
        <v>3126</v>
      </c>
      <c r="D493" s="526" t="s">
        <v>7455</v>
      </c>
      <c r="E493" s="526"/>
      <c r="F493" s="538">
        <v>15.7</v>
      </c>
      <c r="G493" s="542" t="s">
        <v>8186</v>
      </c>
      <c r="H493" s="807">
        <v>44260</v>
      </c>
    </row>
    <row r="494" spans="1:8" x14ac:dyDescent="0.35">
      <c r="A494" s="527" t="s">
        <v>6728</v>
      </c>
      <c r="B494" s="526" t="s">
        <v>2269</v>
      </c>
      <c r="C494" s="526" t="s">
        <v>4683</v>
      </c>
      <c r="D494" s="526" t="s">
        <v>6742</v>
      </c>
      <c r="E494" s="526"/>
      <c r="F494" s="538">
        <v>14.67</v>
      </c>
      <c r="G494" s="542" t="s">
        <v>8186</v>
      </c>
      <c r="H494" s="807">
        <v>44196</v>
      </c>
    </row>
    <row r="495" spans="1:8" x14ac:dyDescent="0.35">
      <c r="A495" s="527" t="s">
        <v>6729</v>
      </c>
      <c r="B495" s="526" t="s">
        <v>2269</v>
      </c>
      <c r="C495" s="526" t="s">
        <v>4675</v>
      </c>
      <c r="D495" s="526" t="s">
        <v>6738</v>
      </c>
      <c r="E495" s="526"/>
      <c r="F495" s="538">
        <v>15.57</v>
      </c>
      <c r="G495" s="542" t="s">
        <v>8186</v>
      </c>
      <c r="H495" s="807">
        <v>44196</v>
      </c>
    </row>
    <row r="496" spans="1:8" x14ac:dyDescent="0.35">
      <c r="A496" s="527" t="s">
        <v>7457</v>
      </c>
      <c r="B496" s="526" t="s">
        <v>2269</v>
      </c>
      <c r="C496" s="526" t="s">
        <v>4683</v>
      </c>
      <c r="D496" s="526" t="s">
        <v>7456</v>
      </c>
      <c r="E496" s="526"/>
      <c r="F496" s="538">
        <v>15.57</v>
      </c>
      <c r="G496" s="542" t="s">
        <v>8186</v>
      </c>
      <c r="H496" s="807">
        <v>44260</v>
      </c>
    </row>
    <row r="497" spans="1:8" x14ac:dyDescent="0.35">
      <c r="A497" s="527" t="s">
        <v>6731</v>
      </c>
      <c r="B497" s="526" t="s">
        <v>2269</v>
      </c>
      <c r="C497" s="526" t="s">
        <v>6730</v>
      </c>
      <c r="D497" s="526" t="s">
        <v>6738</v>
      </c>
      <c r="E497" s="526"/>
      <c r="F497" s="538">
        <v>15.45</v>
      </c>
      <c r="G497" s="542" t="s">
        <v>8186</v>
      </c>
      <c r="H497" s="807">
        <v>44196</v>
      </c>
    </row>
    <row r="498" spans="1:8" x14ac:dyDescent="0.35">
      <c r="A498" s="527" t="s">
        <v>7458</v>
      </c>
      <c r="B498" s="526" t="s">
        <v>2269</v>
      </c>
      <c r="C498" s="526" t="s">
        <v>7459</v>
      </c>
      <c r="D498" s="526" t="s">
        <v>7460</v>
      </c>
      <c r="E498" s="526"/>
      <c r="F498" s="538">
        <v>15.45</v>
      </c>
      <c r="G498" s="542" t="s">
        <v>8186</v>
      </c>
      <c r="H498" s="807">
        <v>44260</v>
      </c>
    </row>
    <row r="499" spans="1:8" x14ac:dyDescent="0.35">
      <c r="A499" s="527" t="s">
        <v>6732</v>
      </c>
      <c r="B499" s="526" t="s">
        <v>2269</v>
      </c>
      <c r="C499" s="526" t="s">
        <v>39</v>
      </c>
      <c r="D499" s="526" t="s">
        <v>6738</v>
      </c>
      <c r="E499" s="526"/>
      <c r="F499" s="538">
        <v>15.32</v>
      </c>
      <c r="G499" s="542" t="s">
        <v>8186</v>
      </c>
      <c r="H499" s="807">
        <v>44196</v>
      </c>
    </row>
    <row r="500" spans="1:8" x14ac:dyDescent="0.35">
      <c r="A500" s="527" t="s">
        <v>7461</v>
      </c>
      <c r="B500" s="526" t="s">
        <v>2269</v>
      </c>
      <c r="C500" s="526" t="s">
        <v>40</v>
      </c>
      <c r="D500" s="526" t="s">
        <v>7460</v>
      </c>
      <c r="E500" s="526"/>
      <c r="F500" s="538">
        <v>15.52</v>
      </c>
      <c r="G500" s="542" t="s">
        <v>8186</v>
      </c>
      <c r="H500" s="807">
        <v>44260</v>
      </c>
    </row>
    <row r="501" spans="1:8" x14ac:dyDescent="0.35">
      <c r="A501" s="527" t="s">
        <v>6733</v>
      </c>
      <c r="B501" s="526" t="s">
        <v>2269</v>
      </c>
      <c r="C501" s="526" t="s">
        <v>380</v>
      </c>
      <c r="D501" s="526" t="s">
        <v>6738</v>
      </c>
      <c r="E501" s="526"/>
      <c r="F501" s="538">
        <v>15.32</v>
      </c>
      <c r="G501" s="542" t="s">
        <v>8186</v>
      </c>
      <c r="H501" s="807">
        <v>44196</v>
      </c>
    </row>
    <row r="502" spans="1:8" x14ac:dyDescent="0.35">
      <c r="A502" s="527" t="s">
        <v>7462</v>
      </c>
      <c r="B502" s="526" t="s">
        <v>2269</v>
      </c>
      <c r="C502" s="526" t="s">
        <v>5766</v>
      </c>
      <c r="D502" s="526" t="s">
        <v>7463</v>
      </c>
      <c r="E502" s="526"/>
      <c r="F502" s="538">
        <v>15.52</v>
      </c>
      <c r="G502" s="542" t="s">
        <v>8186</v>
      </c>
      <c r="H502" s="807">
        <v>44260</v>
      </c>
    </row>
    <row r="503" spans="1:8" x14ac:dyDescent="0.35">
      <c r="A503" s="527" t="s">
        <v>6734</v>
      </c>
      <c r="B503" s="526" t="s">
        <v>2269</v>
      </c>
      <c r="C503" s="526" t="s">
        <v>5647</v>
      </c>
      <c r="D503" s="526" t="s">
        <v>6738</v>
      </c>
      <c r="E503" s="526"/>
      <c r="F503" s="538">
        <v>15.26</v>
      </c>
      <c r="G503" s="542" t="s">
        <v>8186</v>
      </c>
      <c r="H503" s="807">
        <v>44196</v>
      </c>
    </row>
    <row r="504" spans="1:8" x14ac:dyDescent="0.35">
      <c r="A504" s="527" t="s">
        <v>7464</v>
      </c>
      <c r="B504" s="526" t="s">
        <v>2269</v>
      </c>
      <c r="C504" s="526" t="s">
        <v>5767</v>
      </c>
      <c r="D504" s="526" t="s">
        <v>7465</v>
      </c>
      <c r="E504" s="526"/>
      <c r="F504" s="538">
        <v>15.46</v>
      </c>
      <c r="G504" s="542" t="s">
        <v>8186</v>
      </c>
      <c r="H504" s="807">
        <v>44260</v>
      </c>
    </row>
    <row r="505" spans="1:8" x14ac:dyDescent="0.35">
      <c r="A505" s="527" t="s">
        <v>6735</v>
      </c>
      <c r="B505" s="526" t="s">
        <v>2269</v>
      </c>
      <c r="C505" s="526" t="s">
        <v>5866</v>
      </c>
      <c r="D505" s="526" t="s">
        <v>6738</v>
      </c>
      <c r="E505" s="526"/>
      <c r="F505" s="538">
        <v>15.2</v>
      </c>
      <c r="G505" s="542" t="s">
        <v>8186</v>
      </c>
      <c r="H505" s="807">
        <v>44196</v>
      </c>
    </row>
    <row r="506" spans="1:8" x14ac:dyDescent="0.35">
      <c r="A506" s="527" t="s">
        <v>7466</v>
      </c>
      <c r="B506" s="526" t="s">
        <v>2269</v>
      </c>
      <c r="C506" s="526" t="s">
        <v>5865</v>
      </c>
      <c r="D506" s="526" t="s">
        <v>7467</v>
      </c>
      <c r="E506" s="526"/>
      <c r="F506" s="538">
        <v>15.2</v>
      </c>
      <c r="G506" s="542" t="s">
        <v>8186</v>
      </c>
      <c r="H506" s="807">
        <v>44260</v>
      </c>
    </row>
    <row r="507" spans="1:8" x14ac:dyDescent="0.35">
      <c r="A507" s="527" t="s">
        <v>6736</v>
      </c>
      <c r="B507" s="526" t="s">
        <v>2269</v>
      </c>
      <c r="C507" s="526" t="s">
        <v>6186</v>
      </c>
      <c r="D507" s="526" t="s">
        <v>6738</v>
      </c>
      <c r="E507" s="526"/>
      <c r="F507" s="538">
        <v>15.14</v>
      </c>
      <c r="G507" s="542" t="s">
        <v>8186</v>
      </c>
      <c r="H507" s="807">
        <v>44196</v>
      </c>
    </row>
    <row r="508" spans="1:8" x14ac:dyDescent="0.35">
      <c r="A508" s="527" t="s">
        <v>7468</v>
      </c>
      <c r="B508" s="526" t="s">
        <v>2269</v>
      </c>
      <c r="C508" s="526" t="s">
        <v>6187</v>
      </c>
      <c r="D508" s="526" t="s">
        <v>7469</v>
      </c>
      <c r="E508" s="526"/>
      <c r="F508" s="538">
        <v>15.14</v>
      </c>
      <c r="G508" s="542" t="s">
        <v>8186</v>
      </c>
      <c r="H508" s="807">
        <v>44260</v>
      </c>
    </row>
    <row r="509" spans="1:8" x14ac:dyDescent="0.35">
      <c r="A509" s="527" t="s">
        <v>6737</v>
      </c>
      <c r="B509" s="526" t="s">
        <v>2269</v>
      </c>
      <c r="C509" s="526" t="s">
        <v>6404</v>
      </c>
      <c r="D509" s="526" t="s">
        <v>6738</v>
      </c>
      <c r="E509" s="526"/>
      <c r="F509" s="538">
        <v>15.08</v>
      </c>
      <c r="G509" s="542" t="s">
        <v>8186</v>
      </c>
      <c r="H509" s="807">
        <v>44196</v>
      </c>
    </row>
    <row r="510" spans="1:8" x14ac:dyDescent="0.35">
      <c r="A510" s="527" t="s">
        <v>7470</v>
      </c>
      <c r="B510" s="526" t="s">
        <v>2269</v>
      </c>
      <c r="C510" s="526" t="s">
        <v>6462</v>
      </c>
      <c r="D510" s="526" t="s">
        <v>7471</v>
      </c>
      <c r="E510" s="526"/>
      <c r="F510" s="538">
        <v>15.08</v>
      </c>
      <c r="G510" s="542" t="s">
        <v>8186</v>
      </c>
      <c r="H510" s="807">
        <v>44260</v>
      </c>
    </row>
    <row r="511" spans="1:8" x14ac:dyDescent="0.35">
      <c r="A511" s="527" t="s">
        <v>6745</v>
      </c>
      <c r="B511" s="526" t="s">
        <v>2269</v>
      </c>
      <c r="C511" s="526" t="s">
        <v>6505</v>
      </c>
      <c r="D511" s="526" t="s">
        <v>6738</v>
      </c>
      <c r="E511" s="526"/>
      <c r="F511" s="538">
        <v>15.01</v>
      </c>
      <c r="G511" s="542" t="s">
        <v>8186</v>
      </c>
      <c r="H511" s="807">
        <v>44196</v>
      </c>
    </row>
    <row r="512" spans="1:8" x14ac:dyDescent="0.35">
      <c r="A512" s="527" t="s">
        <v>7472</v>
      </c>
      <c r="B512" s="526" t="s">
        <v>2269</v>
      </c>
      <c r="C512" s="526" t="s">
        <v>6506</v>
      </c>
      <c r="D512" s="526" t="s">
        <v>7473</v>
      </c>
      <c r="E512" s="526"/>
      <c r="F512" s="538">
        <v>15.01</v>
      </c>
      <c r="G512" s="542" t="s">
        <v>8186</v>
      </c>
      <c r="H512" s="807">
        <v>44260</v>
      </c>
    </row>
    <row r="513" spans="1:27" x14ac:dyDescent="0.35">
      <c r="G513" s="542"/>
      <c r="H513" s="807"/>
    </row>
    <row r="514" spans="1:27" ht="24" customHeight="1" x14ac:dyDescent="0.35">
      <c r="A514" s="651" t="s">
        <v>6707</v>
      </c>
      <c r="B514" s="50"/>
      <c r="C514" s="50"/>
      <c r="D514" s="50"/>
      <c r="E514" s="50"/>
      <c r="F514" s="363"/>
      <c r="G514" s="542"/>
      <c r="H514" s="807">
        <v>44196</v>
      </c>
    </row>
    <row r="515" spans="1:27" s="187" customFormat="1" ht="33" customHeight="1" x14ac:dyDescent="0.35">
      <c r="A515" s="915" t="s">
        <v>7734</v>
      </c>
      <c r="B515" s="915"/>
      <c r="C515" s="915"/>
      <c r="D515" s="915"/>
      <c r="E515" s="915"/>
      <c r="F515" s="915"/>
      <c r="G515" s="542"/>
      <c r="H515" s="807">
        <v>44196</v>
      </c>
      <c r="K515"/>
      <c r="L515"/>
      <c r="S515"/>
      <c r="T515"/>
      <c r="U515"/>
      <c r="V515"/>
      <c r="W515"/>
      <c r="X515"/>
      <c r="Y515"/>
      <c r="Z515"/>
      <c r="AA515"/>
    </row>
    <row r="516" spans="1:27" s="187" customFormat="1" x14ac:dyDescent="0.35">
      <c r="A516" s="640" t="s">
        <v>7401</v>
      </c>
      <c r="B516" s="640"/>
      <c r="C516" s="640"/>
      <c r="D516" s="640"/>
      <c r="E516" s="640"/>
      <c r="F516" s="640"/>
      <c r="G516" s="542"/>
      <c r="H516" s="807">
        <v>44196</v>
      </c>
      <c r="K516"/>
      <c r="L516"/>
      <c r="S516"/>
      <c r="T516"/>
      <c r="U516"/>
      <c r="V516"/>
      <c r="W516"/>
      <c r="X516"/>
      <c r="Y516"/>
      <c r="Z516"/>
      <c r="AA516"/>
    </row>
    <row r="517" spans="1:27" s="187" customFormat="1" x14ac:dyDescent="0.35">
      <c r="A517" s="640" t="s">
        <v>6708</v>
      </c>
      <c r="B517" s="640"/>
      <c r="C517" s="640"/>
      <c r="D517" s="640"/>
      <c r="E517" s="640"/>
      <c r="F517" s="640"/>
      <c r="G517" s="542"/>
      <c r="H517" s="807">
        <v>44196</v>
      </c>
      <c r="K517"/>
      <c r="L517"/>
      <c r="S517"/>
      <c r="T517"/>
      <c r="U517"/>
      <c r="V517"/>
      <c r="W517"/>
      <c r="X517"/>
      <c r="Y517"/>
      <c r="Z517"/>
      <c r="AA517"/>
    </row>
    <row r="518" spans="1:27" s="187" customFormat="1" x14ac:dyDescent="0.35">
      <c r="A518" s="640" t="s">
        <v>6709</v>
      </c>
      <c r="B518" s="640"/>
      <c r="C518" s="640"/>
      <c r="D518" s="640"/>
      <c r="E518" s="640"/>
      <c r="F518" s="640"/>
      <c r="G518" s="542"/>
      <c r="H518" s="807">
        <v>44196</v>
      </c>
      <c r="K518"/>
      <c r="L518"/>
      <c r="S518"/>
      <c r="T518"/>
      <c r="U518"/>
      <c r="V518"/>
      <c r="W518"/>
      <c r="X518"/>
      <c r="Y518"/>
      <c r="Z518"/>
      <c r="AA518"/>
    </row>
    <row r="519" spans="1:27" s="187" customFormat="1" x14ac:dyDescent="0.35">
      <c r="A519" s="640" t="s">
        <v>6710</v>
      </c>
      <c r="B519" s="640"/>
      <c r="C519" s="640"/>
      <c r="D519" s="640"/>
      <c r="E519" s="640"/>
      <c r="F519" s="640"/>
      <c r="G519" s="542"/>
      <c r="H519" s="807">
        <v>44196</v>
      </c>
      <c r="K519"/>
      <c r="L519"/>
      <c r="S519"/>
      <c r="T519"/>
      <c r="U519"/>
      <c r="V519"/>
      <c r="W519"/>
      <c r="X519"/>
      <c r="Y519"/>
      <c r="Z519"/>
      <c r="AA519"/>
    </row>
    <row r="520" spans="1:27" s="187" customFormat="1" x14ac:dyDescent="0.35">
      <c r="A520" s="640" t="s">
        <v>7399</v>
      </c>
      <c r="B520" s="640"/>
      <c r="C520" s="640"/>
      <c r="D520" s="640"/>
      <c r="E520" s="640"/>
      <c r="F520" s="640"/>
      <c r="G520" s="542"/>
      <c r="H520" s="807">
        <v>44196</v>
      </c>
      <c r="K520"/>
      <c r="L520"/>
      <c r="S520"/>
      <c r="T520"/>
      <c r="U520"/>
      <c r="V520"/>
      <c r="W520"/>
      <c r="X520"/>
      <c r="Y520"/>
      <c r="Z520"/>
      <c r="AA520"/>
    </row>
    <row r="521" spans="1:27" s="187" customFormat="1" ht="17.5" customHeight="1" x14ac:dyDescent="0.35">
      <c r="A521" s="898" t="s">
        <v>7723</v>
      </c>
      <c r="B521" s="898"/>
      <c r="C521" s="898"/>
      <c r="D521" s="898"/>
      <c r="E521" s="898"/>
      <c r="F521" s="898"/>
      <c r="G521" s="542"/>
      <c r="H521" s="807">
        <v>44536</v>
      </c>
      <c r="K521"/>
      <c r="L521"/>
      <c r="S521"/>
      <c r="T521"/>
      <c r="U521"/>
      <c r="V521"/>
      <c r="W521"/>
      <c r="X521"/>
      <c r="Y521"/>
      <c r="Z521"/>
      <c r="AA521"/>
    </row>
    <row r="522" spans="1:27" s="187" customFormat="1" ht="20.149999999999999" customHeight="1" x14ac:dyDescent="0.35">
      <c r="A522" s="898" t="s">
        <v>7817</v>
      </c>
      <c r="B522" s="898"/>
      <c r="C522" s="898"/>
      <c r="D522" s="898"/>
      <c r="E522" s="898"/>
      <c r="F522" s="898"/>
      <c r="G522" s="542"/>
      <c r="H522" s="807">
        <v>44545</v>
      </c>
      <c r="K522"/>
      <c r="L522"/>
      <c r="S522"/>
      <c r="T522"/>
      <c r="U522"/>
      <c r="V522"/>
      <c r="W522"/>
      <c r="X522"/>
      <c r="Y522"/>
      <c r="Z522"/>
      <c r="AA522"/>
    </row>
    <row r="523" spans="1:27" x14ac:dyDescent="0.35">
      <c r="A523" s="945"/>
      <c r="B523" s="945"/>
      <c r="C523" s="945"/>
      <c r="D523" s="945"/>
      <c r="E523" s="945"/>
      <c r="F523" s="945"/>
      <c r="G523" s="542"/>
      <c r="H523" s="807"/>
    </row>
    <row r="524" spans="1:27" x14ac:dyDescent="0.35">
      <c r="A524" s="652" t="s">
        <v>6703</v>
      </c>
      <c r="B524" s="526" t="s">
        <v>5547</v>
      </c>
      <c r="C524" s="526" t="s">
        <v>2270</v>
      </c>
      <c r="D524" s="526" t="s">
        <v>7716</v>
      </c>
      <c r="E524" s="537" t="s">
        <v>7733</v>
      </c>
      <c r="F524" s="538"/>
      <c r="G524" s="542" t="s">
        <v>8186</v>
      </c>
      <c r="H524" s="807">
        <v>44196</v>
      </c>
      <c r="I524" s="102"/>
      <c r="L524" s="266"/>
      <c r="M524" s="322"/>
      <c r="N524" s="462"/>
      <c r="O524" s="261"/>
      <c r="P524" s="261"/>
    </row>
    <row r="525" spans="1:27" x14ac:dyDescent="0.35">
      <c r="A525" s="527" t="s">
        <v>6704</v>
      </c>
      <c r="B525" s="526" t="s">
        <v>5547</v>
      </c>
      <c r="C525" s="526" t="s">
        <v>2270</v>
      </c>
      <c r="D525" s="526" t="s">
        <v>7717</v>
      </c>
      <c r="E525" s="537" t="s">
        <v>7733</v>
      </c>
      <c r="F525" s="538"/>
      <c r="G525" s="542" t="s">
        <v>8186</v>
      </c>
      <c r="H525" s="807">
        <v>44196</v>
      </c>
      <c r="I525" s="102"/>
      <c r="L525" s="266"/>
      <c r="M525" s="322"/>
      <c r="N525" s="462"/>
      <c r="O525" s="261"/>
      <c r="P525" s="261"/>
    </row>
    <row r="526" spans="1:27" ht="15" customHeight="1" x14ac:dyDescent="0.35">
      <c r="G526" s="542"/>
      <c r="H526" s="807"/>
    </row>
    <row r="527" spans="1:27" ht="24" customHeight="1" x14ac:dyDescent="0.35">
      <c r="A527" s="651" t="s">
        <v>7713</v>
      </c>
      <c r="B527" s="50"/>
      <c r="C527" s="50"/>
      <c r="D527" s="50"/>
      <c r="E527" s="50"/>
      <c r="F527" s="363"/>
      <c r="G527" s="542"/>
      <c r="H527" s="807">
        <v>44536</v>
      </c>
    </row>
    <row r="528" spans="1:27" s="187" customFormat="1" ht="45" customHeight="1" x14ac:dyDescent="0.35">
      <c r="A528" s="915" t="s">
        <v>7735</v>
      </c>
      <c r="B528" s="915"/>
      <c r="C528" s="915"/>
      <c r="D528" s="915"/>
      <c r="E528" s="915"/>
      <c r="F528" s="915"/>
      <c r="G528" s="542"/>
      <c r="H528" s="807">
        <v>44536</v>
      </c>
      <c r="K528"/>
      <c r="L528"/>
      <c r="S528"/>
      <c r="T528"/>
      <c r="U528"/>
      <c r="V528"/>
      <c r="W528"/>
      <c r="X528"/>
      <c r="Y528"/>
      <c r="Z528"/>
      <c r="AA528"/>
    </row>
    <row r="529" spans="1:27" s="187" customFormat="1" x14ac:dyDescent="0.35">
      <c r="A529" s="640" t="s">
        <v>7718</v>
      </c>
      <c r="B529" s="640"/>
      <c r="C529" s="640"/>
      <c r="D529" s="640"/>
      <c r="E529" s="640"/>
      <c r="F529" s="640"/>
      <c r="G529" s="542"/>
      <c r="H529" s="807">
        <v>44536</v>
      </c>
      <c r="K529"/>
      <c r="L529"/>
      <c r="S529"/>
      <c r="T529"/>
      <c r="U529"/>
      <c r="V529"/>
      <c r="W529"/>
      <c r="X529"/>
      <c r="Y529"/>
      <c r="Z529"/>
      <c r="AA529"/>
    </row>
    <row r="530" spans="1:27" s="187" customFormat="1" x14ac:dyDescent="0.35">
      <c r="A530" s="640" t="s">
        <v>7719</v>
      </c>
      <c r="B530" s="640"/>
      <c r="C530" s="640"/>
      <c r="D530" s="640"/>
      <c r="E530" s="640"/>
      <c r="F530" s="640"/>
      <c r="G530" s="542"/>
      <c r="H530" s="807">
        <v>44536</v>
      </c>
      <c r="K530"/>
      <c r="L530"/>
      <c r="S530"/>
      <c r="T530"/>
      <c r="U530"/>
      <c r="V530"/>
      <c r="W530"/>
      <c r="X530"/>
      <c r="Y530"/>
      <c r="Z530"/>
      <c r="AA530"/>
    </row>
    <row r="531" spans="1:27" s="187" customFormat="1" x14ac:dyDescent="0.35">
      <c r="A531" s="640" t="s">
        <v>7720</v>
      </c>
      <c r="B531" s="640"/>
      <c r="C531" s="640"/>
      <c r="D531" s="640"/>
      <c r="E531" s="640"/>
      <c r="F531" s="640"/>
      <c r="G531" s="542"/>
      <c r="H531" s="807">
        <v>44536</v>
      </c>
      <c r="K531"/>
      <c r="L531"/>
      <c r="S531"/>
      <c r="T531"/>
      <c r="U531"/>
      <c r="V531"/>
      <c r="W531"/>
      <c r="X531"/>
      <c r="Y531"/>
      <c r="Z531"/>
      <c r="AA531"/>
    </row>
    <row r="532" spans="1:27" s="187" customFormat="1" x14ac:dyDescent="0.35">
      <c r="A532" s="640" t="s">
        <v>7721</v>
      </c>
      <c r="B532" s="640"/>
      <c r="C532" s="640"/>
      <c r="D532" s="640"/>
      <c r="E532" s="640"/>
      <c r="F532" s="640"/>
      <c r="G532" s="542"/>
      <c r="H532" s="807">
        <v>44536</v>
      </c>
      <c r="K532"/>
      <c r="L532"/>
      <c r="S532"/>
      <c r="T532"/>
      <c r="U532"/>
      <c r="V532"/>
      <c r="W532"/>
      <c r="X532"/>
      <c r="Y532"/>
      <c r="Z532"/>
      <c r="AA532"/>
    </row>
    <row r="533" spans="1:27" s="187" customFormat="1" ht="20.149999999999999" customHeight="1" x14ac:dyDescent="0.35">
      <c r="A533" s="898" t="s">
        <v>7722</v>
      </c>
      <c r="B533" s="898"/>
      <c r="C533" s="898"/>
      <c r="D533" s="898"/>
      <c r="E533" s="898"/>
      <c r="F533" s="898"/>
      <c r="G533" s="542"/>
      <c r="H533" s="807">
        <v>44536</v>
      </c>
      <c r="K533"/>
      <c r="L533"/>
      <c r="S533"/>
      <c r="T533"/>
      <c r="U533"/>
      <c r="V533"/>
      <c r="W533"/>
      <c r="X533"/>
      <c r="Y533"/>
      <c r="Z533"/>
      <c r="AA533"/>
    </row>
    <row r="534" spans="1:27" s="187" customFormat="1" ht="20.149999999999999" customHeight="1" x14ac:dyDescent="0.35">
      <c r="A534" s="898" t="s">
        <v>7815</v>
      </c>
      <c r="B534" s="898"/>
      <c r="C534" s="898"/>
      <c r="D534" s="898"/>
      <c r="E534" s="898"/>
      <c r="F534" s="898"/>
      <c r="G534" s="542"/>
      <c r="H534" s="807">
        <v>44545</v>
      </c>
      <c r="K534"/>
      <c r="L534"/>
      <c r="S534"/>
      <c r="T534"/>
      <c r="U534"/>
      <c r="V534"/>
      <c r="W534"/>
      <c r="X534"/>
      <c r="Y534"/>
      <c r="Z534"/>
      <c r="AA534"/>
    </row>
    <row r="535" spans="1:27" x14ac:dyDescent="0.35">
      <c r="G535" s="542"/>
      <c r="H535" s="807"/>
    </row>
    <row r="536" spans="1:27" x14ac:dyDescent="0.35">
      <c r="A536" s="652" t="s">
        <v>7711</v>
      </c>
      <c r="B536" s="526" t="s">
        <v>5411</v>
      </c>
      <c r="C536" s="526" t="s">
        <v>2270</v>
      </c>
      <c r="D536" s="526" t="s">
        <v>7714</v>
      </c>
      <c r="E536" s="537" t="s">
        <v>7728</v>
      </c>
      <c r="F536" s="538"/>
      <c r="G536" s="542" t="s">
        <v>8186</v>
      </c>
      <c r="H536" s="807">
        <v>44536</v>
      </c>
      <c r="I536" s="102"/>
      <c r="L536" s="266"/>
      <c r="M536" s="322"/>
      <c r="N536" s="462"/>
      <c r="O536" s="261"/>
      <c r="P536" s="261"/>
    </row>
    <row r="537" spans="1:27" x14ac:dyDescent="0.35">
      <c r="A537" s="527" t="s">
        <v>7712</v>
      </c>
      <c r="B537" s="526" t="s">
        <v>5411</v>
      </c>
      <c r="C537" s="526" t="s">
        <v>2270</v>
      </c>
      <c r="D537" s="526" t="s">
        <v>7715</v>
      </c>
      <c r="E537" s="537" t="s">
        <v>7728</v>
      </c>
      <c r="F537" s="538"/>
      <c r="G537" s="542" t="s">
        <v>8186</v>
      </c>
      <c r="H537" s="807">
        <v>44536</v>
      </c>
      <c r="I537" s="102"/>
      <c r="L537" s="266"/>
      <c r="M537" s="322"/>
      <c r="N537" s="462"/>
      <c r="O537" s="261"/>
      <c r="P537" s="261"/>
    </row>
    <row r="538" spans="1:27" x14ac:dyDescent="0.35">
      <c r="D538" s="615"/>
      <c r="F538" s="387"/>
      <c r="G538" s="542"/>
      <c r="H538" s="807"/>
    </row>
    <row r="539" spans="1:27" x14ac:dyDescent="0.35">
      <c r="A539" s="652" t="s">
        <v>7724</v>
      </c>
      <c r="B539" s="526" t="s">
        <v>5411</v>
      </c>
      <c r="C539" s="526" t="s">
        <v>2270</v>
      </c>
      <c r="D539" s="526" t="s">
        <v>7726</v>
      </c>
      <c r="E539" s="537" t="s">
        <v>7729</v>
      </c>
      <c r="F539" s="538"/>
      <c r="G539" s="542" t="s">
        <v>8186</v>
      </c>
      <c r="H539" s="807">
        <v>44536</v>
      </c>
      <c r="I539" s="102"/>
      <c r="L539" s="266"/>
      <c r="M539" s="322"/>
      <c r="N539" s="462"/>
      <c r="O539" s="261"/>
      <c r="P539" s="261"/>
    </row>
    <row r="540" spans="1:27" x14ac:dyDescent="0.35">
      <c r="A540" s="527" t="s">
        <v>7725</v>
      </c>
      <c r="B540" s="526" t="s">
        <v>5411</v>
      </c>
      <c r="C540" s="526" t="s">
        <v>2270</v>
      </c>
      <c r="D540" s="526" t="s">
        <v>7727</v>
      </c>
      <c r="E540" s="537" t="s">
        <v>7729</v>
      </c>
      <c r="F540" s="538"/>
      <c r="G540" s="542" t="s">
        <v>8186</v>
      </c>
      <c r="H540" s="807">
        <v>44536</v>
      </c>
      <c r="I540" s="102"/>
      <c r="L540" s="266"/>
      <c r="M540" s="322"/>
      <c r="N540" s="462"/>
      <c r="O540" s="261"/>
      <c r="P540" s="261"/>
    </row>
    <row r="541" spans="1:27" x14ac:dyDescent="0.35">
      <c r="G541" s="542"/>
      <c r="H541"/>
    </row>
    <row r="542" spans="1:27" ht="23.5" x14ac:dyDescent="0.35">
      <c r="A542" s="824" t="s">
        <v>7873</v>
      </c>
      <c r="B542" s="50"/>
      <c r="C542" s="50"/>
      <c r="D542" s="50"/>
      <c r="E542" s="50"/>
      <c r="F542" s="363"/>
      <c r="G542" s="542"/>
      <c r="H542" s="825"/>
      <c r="I542" s="826"/>
    </row>
    <row r="543" spans="1:27" ht="31.5" customHeight="1" x14ac:dyDescent="0.35">
      <c r="A543" s="898" t="s">
        <v>7874</v>
      </c>
      <c r="B543" s="898"/>
      <c r="C543" s="898"/>
      <c r="D543" s="898"/>
      <c r="E543" s="898"/>
      <c r="F543" s="898"/>
      <c r="G543" s="542"/>
      <c r="H543" s="940"/>
      <c r="I543" s="940"/>
    </row>
    <row r="544" spans="1:27" ht="15" customHeight="1" x14ac:dyDescent="0.35">
      <c r="A544" s="812"/>
      <c r="B544" s="812"/>
      <c r="C544" s="812"/>
      <c r="D544" s="812"/>
      <c r="E544" s="812"/>
      <c r="F544" s="812"/>
      <c r="G544" s="542"/>
      <c r="H544" s="827"/>
      <c r="I544" s="827"/>
    </row>
    <row r="545" spans="1:22" x14ac:dyDescent="0.35">
      <c r="A545" s="527" t="str">
        <f>"SgK4820--"&amp;RIGHT('EEG-Vergütungen und vNNE'!N5030,5)</f>
        <v>SgK4820--Aug22</v>
      </c>
      <c r="B545" s="526" t="s">
        <v>5434</v>
      </c>
      <c r="C545" s="526" t="str">
        <f t="shared" ref="C545:C559" si="0">"Inbetriebnahme "&amp;TEXT(DATEVALUE(RIGHT(A545,5)),"MM/JJJJ")</f>
        <v>Inbetriebnahme 08/2022</v>
      </c>
      <c r="D545" s="526" t="str">
        <f>'EEG-Vergütungen und vNNE'!D5041</f>
        <v>0 - 10 kW</v>
      </c>
      <c r="E545" s="526"/>
      <c r="F545" s="639" t="str">
        <f>IF(HLOOKUP($D545,'EEG-Vergütungen und vNNE'!$U$5022:$W$5034,MATCH(RIGHT($A545,5),'EEG-Vergütungen und vNNE'!$N$5022:$N$5034,0),FALSE)&lt;&gt;"",ROUND(HLOOKUP($D545,'EEG-Vergütungen und vNNE'!$U$5022:$W$5034,MATCH(RIGHT($A545,5),'EEG-Vergütungen und vNNE'!$N$5022:$N$5034,0),FALSE),2),"")</f>
        <v/>
      </c>
      <c r="G545" s="542" t="s">
        <v>8186</v>
      </c>
      <c r="H545" s="807">
        <v>44848</v>
      </c>
      <c r="I545" s="11"/>
      <c r="J545" s="102"/>
      <c r="K545" s="339"/>
      <c r="M545" s="259"/>
    </row>
    <row r="546" spans="1:22" x14ac:dyDescent="0.35">
      <c r="A546" s="527" t="str">
        <f>"SgK4821--"&amp;RIGHT(A545,5)</f>
        <v>SgK4821--Aug22</v>
      </c>
      <c r="B546" s="526" t="s">
        <v>5434</v>
      </c>
      <c r="C546" s="526" t="str">
        <f t="shared" si="0"/>
        <v>Inbetriebnahme 08/2022</v>
      </c>
      <c r="D546" s="526" t="str">
        <f>'EEG-Vergütungen und vNNE'!D5042</f>
        <v>10 - 40 kW</v>
      </c>
      <c r="E546" s="526"/>
      <c r="F546" s="639" t="str">
        <f>IF(HLOOKUP($D546,'EEG-Vergütungen und vNNE'!$U$5022:$W$5034,MATCH(RIGHT($A546,5),'EEG-Vergütungen und vNNE'!$N$5022:$N$5034,0),FALSE)&lt;&gt;"",ROUND(HLOOKUP($D546,'EEG-Vergütungen und vNNE'!$U$5022:$W$5034,MATCH(RIGHT($A546,5),'EEG-Vergütungen und vNNE'!$N$5022:$N$5034,0),FALSE),2),"")</f>
        <v/>
      </c>
      <c r="G546" s="542" t="s">
        <v>8186</v>
      </c>
      <c r="H546" s="807">
        <v>44848</v>
      </c>
      <c r="I546" s="11"/>
      <c r="J546" s="102"/>
      <c r="K546" s="339"/>
      <c r="M546" s="259"/>
    </row>
    <row r="547" spans="1:22" x14ac:dyDescent="0.35">
      <c r="A547" s="527" t="str">
        <f>"SgK4822--"&amp;RIGHT(A546,5)</f>
        <v>SgK4822--Aug22</v>
      </c>
      <c r="B547" s="526" t="s">
        <v>5434</v>
      </c>
      <c r="C547" s="526" t="str">
        <f t="shared" si="0"/>
        <v>Inbetriebnahme 08/2022</v>
      </c>
      <c r="D547" s="526" t="str">
        <f>'EEG-Vergütungen und vNNE'!D5043</f>
        <v>40 - 750 kW</v>
      </c>
      <c r="E547" s="526"/>
      <c r="F547" s="639" t="str">
        <f>IF(HLOOKUP($D547,'EEG-Vergütungen und vNNE'!$U$5022:$W$5034,MATCH(RIGHT($A547,5),'EEG-Vergütungen und vNNE'!$N$5022:$N$5034,0),FALSE)&lt;&gt;"",ROUND(HLOOKUP($D547,'EEG-Vergütungen und vNNE'!$U$5022:$W$5034,MATCH(RIGHT($A547,5),'EEG-Vergütungen und vNNE'!$N$5022:$N$5034,0),FALSE),2),"")</f>
        <v/>
      </c>
      <c r="G547" s="542" t="s">
        <v>8186</v>
      </c>
      <c r="H547" s="807">
        <v>44848</v>
      </c>
      <c r="K547" s="339"/>
      <c r="M547" s="259"/>
    </row>
    <row r="548" spans="1:22" x14ac:dyDescent="0.35">
      <c r="A548" s="527" t="str">
        <f>"SgK4820--"&amp;RIGHT('EEG-Vergütungen und vNNE'!N5031,5)</f>
        <v>SgK4820--Sep22</v>
      </c>
      <c r="B548" s="526" t="s">
        <v>5434</v>
      </c>
      <c r="C548" s="526" t="str">
        <f t="shared" si="0"/>
        <v>Inbetriebnahme 09/2022</v>
      </c>
      <c r="D548" s="526" t="str">
        <f t="shared" ref="D548:D559" si="1">D545</f>
        <v>0 - 10 kW</v>
      </c>
      <c r="E548" s="526"/>
      <c r="F548" s="639" t="str">
        <f>IF(HLOOKUP($D548,'EEG-Vergütungen und vNNE'!$U$5022:$W$5034,MATCH(RIGHT($A548,5),'EEG-Vergütungen und vNNE'!$N$5022:$N$5034,0),FALSE)&lt;&gt;"",ROUND(HLOOKUP($D548,'EEG-Vergütungen und vNNE'!$U$5022:$W$5034,MATCH(RIGHT($A548,5),'EEG-Vergütungen und vNNE'!$N$5022:$N$5034,0),FALSE),2),"")</f>
        <v/>
      </c>
      <c r="G548" s="542" t="s">
        <v>8186</v>
      </c>
      <c r="H548" s="807">
        <v>44848</v>
      </c>
    </row>
    <row r="549" spans="1:22" x14ac:dyDescent="0.35">
      <c r="A549" s="527" t="str">
        <f>"SgK4821--"&amp;RIGHT(A548,5)</f>
        <v>SgK4821--Sep22</v>
      </c>
      <c r="B549" s="526" t="s">
        <v>5434</v>
      </c>
      <c r="C549" s="526" t="str">
        <f t="shared" si="0"/>
        <v>Inbetriebnahme 09/2022</v>
      </c>
      <c r="D549" s="526" t="str">
        <f t="shared" si="1"/>
        <v>10 - 40 kW</v>
      </c>
      <c r="E549" s="526"/>
      <c r="F549" s="639" t="str">
        <f>IF(HLOOKUP($D549,'EEG-Vergütungen und vNNE'!$U$5022:$W$5034,MATCH(RIGHT($A549,5),'EEG-Vergütungen und vNNE'!$N$5022:$N$5034,0),FALSE)&lt;&gt;"",ROUND(HLOOKUP($D549,'EEG-Vergütungen und vNNE'!$U$5022:$W$5034,MATCH(RIGHT($A549,5),'EEG-Vergütungen und vNNE'!$N$5022:$N$5034,0),FALSE),2),"")</f>
        <v/>
      </c>
      <c r="G549" s="542" t="s">
        <v>8186</v>
      </c>
      <c r="H549" s="807">
        <v>44848</v>
      </c>
    </row>
    <row r="550" spans="1:22" x14ac:dyDescent="0.35">
      <c r="A550" s="527" t="str">
        <f>"SgK4822--"&amp;RIGHT(A549,5)</f>
        <v>SgK4822--Sep22</v>
      </c>
      <c r="B550" s="526" t="s">
        <v>5434</v>
      </c>
      <c r="C550" s="526" t="str">
        <f t="shared" si="0"/>
        <v>Inbetriebnahme 09/2022</v>
      </c>
      <c r="D550" s="526" t="str">
        <f t="shared" si="1"/>
        <v>40 - 750 kW</v>
      </c>
      <c r="E550" s="526"/>
      <c r="F550" s="639" t="str">
        <f>IF(HLOOKUP($D550,'EEG-Vergütungen und vNNE'!$U$5022:$W$5034,MATCH(RIGHT($A550,5),'EEG-Vergütungen und vNNE'!$N$5022:$N$5034,0),FALSE)&lt;&gt;"",ROUND(HLOOKUP($D550,'EEG-Vergütungen und vNNE'!$U$5022:$W$5034,MATCH(RIGHT($A550,5),'EEG-Vergütungen und vNNE'!$N$5022:$N$5034,0),FALSE),2),"")</f>
        <v/>
      </c>
      <c r="G550" s="542" t="s">
        <v>8186</v>
      </c>
      <c r="H550" s="807">
        <v>44848</v>
      </c>
    </row>
    <row r="551" spans="1:22" x14ac:dyDescent="0.35">
      <c r="A551" s="527" t="str">
        <f>"SgK4820--"&amp;RIGHT('EEG-Vergütungen und vNNE'!N5032,5)</f>
        <v>SgK4820--Okt22</v>
      </c>
      <c r="B551" s="526" t="s">
        <v>5434</v>
      </c>
      <c r="C551" s="526" t="str">
        <f t="shared" si="0"/>
        <v>Inbetriebnahme 10/2022</v>
      </c>
      <c r="D551" s="526" t="str">
        <f t="shared" si="1"/>
        <v>0 - 10 kW</v>
      </c>
      <c r="E551" s="526"/>
      <c r="F551" s="639" t="str">
        <f>IF(HLOOKUP($D551,'EEG-Vergütungen und vNNE'!$U$5022:$W$5034,MATCH(RIGHT($A551,5),'EEG-Vergütungen und vNNE'!$N$5022:$N$5034,0),FALSE)&lt;&gt;"",ROUND(HLOOKUP($D551,'EEG-Vergütungen und vNNE'!$U$5022:$W$5034,MATCH(RIGHT($A551,5),'EEG-Vergütungen und vNNE'!$N$5022:$N$5034,0),FALSE),2),"")</f>
        <v/>
      </c>
      <c r="G551" s="542" t="s">
        <v>8186</v>
      </c>
      <c r="H551" s="807">
        <v>44848</v>
      </c>
      <c r="M551" s="322"/>
      <c r="N551" s="261" t="str">
        <f>IF($M551&lt;&gt;"",(1-$M551)*'EEG-Vergütungen und vNNE'!P5034,"")</f>
        <v/>
      </c>
      <c r="O551" s="261" t="str">
        <f>IF($M551&lt;&gt;"",(1-$M551)*'EEG-Vergütungen und vNNE'!Q5034,"")</f>
        <v/>
      </c>
      <c r="P551" s="261" t="str">
        <f>IF($M551&lt;&gt;"",(1-$M551)*'EEG-Vergütungen und vNNE'!R5034,"")</f>
        <v/>
      </c>
      <c r="Q551" s="261" t="str">
        <f>IF($M551&lt;&gt;"",(1-$M551)*'EEG-Vergütungen und vNNE'!S5034,"")</f>
        <v/>
      </c>
      <c r="S551" s="261" t="str">
        <f>IF($M551&lt;&gt;"",(1-$M551)*'EEG-Vergütungen und vNNE'!U5034,"")</f>
        <v/>
      </c>
      <c r="T551" s="261" t="str">
        <f>IF($M551&lt;&gt;"",(1-$M551)*'EEG-Vergütungen und vNNE'!V5034,"")</f>
        <v/>
      </c>
      <c r="U551" s="261" t="str">
        <f>IF($M551&lt;&gt;"",(1-$M551)*'EEG-Vergütungen und vNNE'!W5034,"")</f>
        <v/>
      </c>
      <c r="V551" s="261" t="str">
        <f>IF($M551&lt;&gt;"",(1-$M551)*'EEG-Vergütungen und vNNE'!X5034,"")</f>
        <v/>
      </c>
    </row>
    <row r="552" spans="1:22" x14ac:dyDescent="0.35">
      <c r="A552" s="527" t="str">
        <f>"SgK4821--"&amp;RIGHT(A551,5)</f>
        <v>SgK4821--Okt22</v>
      </c>
      <c r="B552" s="526" t="s">
        <v>5434</v>
      </c>
      <c r="C552" s="526" t="str">
        <f t="shared" si="0"/>
        <v>Inbetriebnahme 10/2022</v>
      </c>
      <c r="D552" s="526" t="str">
        <f t="shared" si="1"/>
        <v>10 - 40 kW</v>
      </c>
      <c r="E552" s="526"/>
      <c r="F552" s="639" t="str">
        <f>IF(HLOOKUP($D552,'EEG-Vergütungen und vNNE'!$U$5022:$W$5034,MATCH(RIGHT($A552,5),'EEG-Vergütungen und vNNE'!$N$5022:$N$5034,0),FALSE)&lt;&gt;"",ROUND(HLOOKUP($D552,'EEG-Vergütungen und vNNE'!$U$5022:$W$5034,MATCH(RIGHT($A552,5),'EEG-Vergütungen und vNNE'!$N$5022:$N$5034,0),FALSE),2),"")</f>
        <v/>
      </c>
      <c r="G552" s="542" t="s">
        <v>8186</v>
      </c>
      <c r="H552" s="807">
        <v>44848</v>
      </c>
      <c r="M552" s="322"/>
      <c r="N552" s="261" t="str">
        <f>IF($M552&lt;&gt;"",(1-$M552)*'EEG-Vergütungen und vNNE'!P5034,"")</f>
        <v/>
      </c>
      <c r="O552" s="261" t="str">
        <f>IF($M552&lt;&gt;"",(1-$M552)*'EEG-Vergütungen und vNNE'!Q5034,"")</f>
        <v/>
      </c>
      <c r="P552" s="261" t="str">
        <f>IF($M552&lt;&gt;"",(1-$M552)*'EEG-Vergütungen und vNNE'!R5034,"")</f>
        <v/>
      </c>
      <c r="Q552" s="261" t="str">
        <f>IF($M552&lt;&gt;"",(1-$M552)*'EEG-Vergütungen und vNNE'!S5034,"")</f>
        <v/>
      </c>
      <c r="S552" s="261" t="str">
        <f>IF($M552&lt;&gt;"",(1-$M552)*'EEG-Vergütungen und vNNE'!U5034,"")</f>
        <v/>
      </c>
      <c r="T552" s="261" t="str">
        <f>IF($M552&lt;&gt;"",(1-$M552)*'EEG-Vergütungen und vNNE'!V5034,"")</f>
        <v/>
      </c>
      <c r="U552" s="261" t="str">
        <f>IF($M552&lt;&gt;"",(1-$M552)*'EEG-Vergütungen und vNNE'!W5034,"")</f>
        <v/>
      </c>
      <c r="V552" s="261" t="str">
        <f>IF($M552&lt;&gt;"",(1-$M552)*'EEG-Vergütungen und vNNE'!X5034,"")</f>
        <v/>
      </c>
    </row>
    <row r="553" spans="1:22" x14ac:dyDescent="0.35">
      <c r="A553" s="527" t="str">
        <f>"SgK4822--"&amp;RIGHT(A552,5)</f>
        <v>SgK4822--Okt22</v>
      </c>
      <c r="B553" s="526" t="s">
        <v>5434</v>
      </c>
      <c r="C553" s="526" t="str">
        <f t="shared" si="0"/>
        <v>Inbetriebnahme 10/2022</v>
      </c>
      <c r="D553" s="526" t="str">
        <f t="shared" si="1"/>
        <v>40 - 750 kW</v>
      </c>
      <c r="E553" s="526"/>
      <c r="F553" s="639" t="str">
        <f>IF(HLOOKUP($D553,'EEG-Vergütungen und vNNE'!$U$5022:$W$5034,MATCH(RIGHT($A553,5),'EEG-Vergütungen und vNNE'!$N$5022:$N$5034,0),FALSE)&lt;&gt;"",ROUND(HLOOKUP($D553,'EEG-Vergütungen und vNNE'!$U$5022:$W$5034,MATCH(RIGHT($A553,5),'EEG-Vergütungen und vNNE'!$N$5022:$N$5034,0),FALSE),2),"")</f>
        <v/>
      </c>
      <c r="G553" s="542" t="s">
        <v>8186</v>
      </c>
      <c r="H553" s="807">
        <v>44848</v>
      </c>
      <c r="M553" s="322"/>
      <c r="N553" s="261" t="str">
        <f>IF($M553&lt;&gt;"",(1-$M553)*N551,"")</f>
        <v/>
      </c>
      <c r="O553" s="261" t="str">
        <f>IF($M553&lt;&gt;"",(1-$M553)*O551,"")</f>
        <v/>
      </c>
      <c r="P553" s="261" t="str">
        <f>IF($M553&lt;&gt;"",(1-$M553)*P551,"")</f>
        <v/>
      </c>
      <c r="Q553" s="261" t="str">
        <f>IF($M553&lt;&gt;"",(1-$M553)*Q551,"")</f>
        <v/>
      </c>
      <c r="S553" s="261" t="str">
        <f>IF($M553&lt;&gt;"",(1-$M553)*S551,"")</f>
        <v/>
      </c>
      <c r="T553" s="261" t="str">
        <f>IF($M553&lt;&gt;"",(1-$M553)*T551,"")</f>
        <v/>
      </c>
      <c r="U553" s="261" t="str">
        <f>IF($M553&lt;&gt;"",(1-$M553)*U551,"")</f>
        <v/>
      </c>
      <c r="V553" s="261" t="str">
        <f>IF($M553&lt;&gt;"",(1-$M553)*V551,"")</f>
        <v/>
      </c>
    </row>
    <row r="554" spans="1:22" x14ac:dyDescent="0.35">
      <c r="A554" s="527" t="str">
        <f>"SgK4820--"&amp;RIGHT('EEG-Vergütungen und vNNE'!N5033,5)</f>
        <v>SgK4820--Nov22</v>
      </c>
      <c r="B554" s="526" t="s">
        <v>5434</v>
      </c>
      <c r="C554" s="526" t="str">
        <f t="shared" si="0"/>
        <v>Inbetriebnahme 11/2022</v>
      </c>
      <c r="D554" s="526" t="str">
        <f t="shared" si="1"/>
        <v>0 - 10 kW</v>
      </c>
      <c r="E554" s="526"/>
      <c r="F554" s="639" t="str">
        <f>IF(HLOOKUP($D554,'EEG-Vergütungen und vNNE'!$U$5022:$W$5034,MATCH(RIGHT($A554,5),'EEG-Vergütungen und vNNE'!$N$5022:$N$5034,0),FALSE)&lt;&gt;"",ROUND(HLOOKUP($D554,'EEG-Vergütungen und vNNE'!$U$5022:$W$5034,MATCH(RIGHT($A554,5),'EEG-Vergütungen und vNNE'!$N$5022:$N$5034,0),FALSE),2),"")</f>
        <v/>
      </c>
      <c r="G554" s="542" t="s">
        <v>8186</v>
      </c>
      <c r="H554" s="807">
        <v>44848</v>
      </c>
      <c r="M554" s="322"/>
      <c r="N554" s="261" t="str">
        <f>IF($M554&lt;&gt;"",(1-$M554)*#REF!,"")</f>
        <v/>
      </c>
      <c r="O554" s="261" t="str">
        <f>IF($M554&lt;&gt;"",(1-$M554)*#REF!,"")</f>
        <v/>
      </c>
      <c r="P554" s="261" t="str">
        <f>IF($M554&lt;&gt;"",(1-$M554)*#REF!,"")</f>
        <v/>
      </c>
      <c r="Q554" s="261" t="str">
        <f>IF($M554&lt;&gt;"",(1-$M554)*#REF!,"")</f>
        <v/>
      </c>
      <c r="S554" s="261" t="str">
        <f>IF($M554&lt;&gt;"",(1-$M554)*#REF!,"")</f>
        <v/>
      </c>
      <c r="T554" s="261" t="str">
        <f>IF($M554&lt;&gt;"",(1-$M554)*#REF!,"")</f>
        <v/>
      </c>
      <c r="U554" s="261" t="str">
        <f>IF($M554&lt;&gt;"",(1-$M554)*#REF!,"")</f>
        <v/>
      </c>
      <c r="V554" s="261" t="str">
        <f>IF($M554&lt;&gt;"",(1-$M554)*#REF!,"")</f>
        <v/>
      </c>
    </row>
    <row r="555" spans="1:22" x14ac:dyDescent="0.35">
      <c r="A555" s="527" t="str">
        <f>"SgK4821--"&amp;RIGHT(A554,5)</f>
        <v>SgK4821--Nov22</v>
      </c>
      <c r="B555" s="526" t="s">
        <v>5434</v>
      </c>
      <c r="C555" s="526" t="str">
        <f t="shared" si="0"/>
        <v>Inbetriebnahme 11/2022</v>
      </c>
      <c r="D555" s="526" t="str">
        <f t="shared" si="1"/>
        <v>10 - 40 kW</v>
      </c>
      <c r="E555" s="526"/>
      <c r="F555" s="639" t="str">
        <f>IF(HLOOKUP($D555,'EEG-Vergütungen und vNNE'!$U$5022:$W$5034,MATCH(RIGHT($A555,5),'EEG-Vergütungen und vNNE'!$N$5022:$N$5034,0),FALSE)&lt;&gt;"",ROUND(HLOOKUP($D555,'EEG-Vergütungen und vNNE'!$U$5022:$W$5034,MATCH(RIGHT($A555,5),'EEG-Vergütungen und vNNE'!$N$5022:$N$5034,0),FALSE),2),"")</f>
        <v/>
      </c>
      <c r="G555" s="542" t="s">
        <v>8186</v>
      </c>
      <c r="H555" s="807">
        <v>44848</v>
      </c>
      <c r="M555" s="322"/>
      <c r="N555" s="261" t="str">
        <f>IF($M555&lt;&gt;"",(1-$M555)*#REF!,"")</f>
        <v/>
      </c>
      <c r="O555" s="261" t="str">
        <f>IF($M555&lt;&gt;"",(1-$M555)*#REF!,"")</f>
        <v/>
      </c>
      <c r="P555" s="261" t="str">
        <f>IF($M555&lt;&gt;"",(1-$M555)*#REF!,"")</f>
        <v/>
      </c>
      <c r="Q555" s="261" t="str">
        <f>IF($M555&lt;&gt;"",(1-$M555)*#REF!,"")</f>
        <v/>
      </c>
      <c r="S555" s="261" t="str">
        <f>IF($M555&lt;&gt;"",(1-$M555)*#REF!,"")</f>
        <v/>
      </c>
      <c r="T555" s="261" t="str">
        <f>IF($M555&lt;&gt;"",(1-$M555)*#REF!,"")</f>
        <v/>
      </c>
      <c r="U555" s="261" t="str">
        <f>IF($M555&lt;&gt;"",(1-$M555)*#REF!,"")</f>
        <v/>
      </c>
      <c r="V555" s="261" t="str">
        <f>IF($M555&lt;&gt;"",(1-$M555)*#REF!,"")</f>
        <v/>
      </c>
    </row>
    <row r="556" spans="1:22" x14ac:dyDescent="0.35">
      <c r="A556" s="527" t="str">
        <f>"SgK4822--"&amp;RIGHT(A555,5)</f>
        <v>SgK4822--Nov22</v>
      </c>
      <c r="B556" s="526" t="s">
        <v>5434</v>
      </c>
      <c r="C556" s="526" t="str">
        <f t="shared" si="0"/>
        <v>Inbetriebnahme 11/2022</v>
      </c>
      <c r="D556" s="526" t="str">
        <f t="shared" si="1"/>
        <v>40 - 750 kW</v>
      </c>
      <c r="E556" s="526"/>
      <c r="F556" s="639" t="str">
        <f>IF(HLOOKUP($D556,'EEG-Vergütungen und vNNE'!$U$5022:$W$5034,MATCH(RIGHT($A556,5),'EEG-Vergütungen und vNNE'!$N$5022:$N$5034,0),FALSE)&lt;&gt;"",ROUND(HLOOKUP($D556,'EEG-Vergütungen und vNNE'!$U$5022:$W$5034,MATCH(RIGHT($A556,5),'EEG-Vergütungen und vNNE'!$N$5022:$N$5034,0),FALSE),2),"")</f>
        <v/>
      </c>
      <c r="G556" s="542" t="s">
        <v>8186</v>
      </c>
      <c r="H556" s="807">
        <v>44848</v>
      </c>
      <c r="M556" s="322"/>
      <c r="N556" s="261" t="str">
        <f>IF($M556&lt;&gt;"",(1-$M556)*N554,"")</f>
        <v/>
      </c>
      <c r="O556" s="261" t="str">
        <f>IF($M556&lt;&gt;"",(1-$M556)*O554,"")</f>
        <v/>
      </c>
      <c r="P556" s="261" t="str">
        <f>IF($M556&lt;&gt;"",(1-$M556)*P554,"")</f>
        <v/>
      </c>
      <c r="Q556" s="261" t="str">
        <f>IF($M556&lt;&gt;"",(1-$M556)*Q554,"")</f>
        <v/>
      </c>
      <c r="S556" s="261" t="str">
        <f>IF($M556&lt;&gt;"",(1-$M556)*S554,"")</f>
        <v/>
      </c>
      <c r="T556" s="261" t="str">
        <f>IF($M556&lt;&gt;"",(1-$M556)*T554,"")</f>
        <v/>
      </c>
      <c r="U556" s="261" t="str">
        <f>IF($M556&lt;&gt;"",(1-$M556)*U554,"")</f>
        <v/>
      </c>
      <c r="V556" s="261" t="str">
        <f>IF($M556&lt;&gt;"",(1-$M556)*V554,"")</f>
        <v/>
      </c>
    </row>
    <row r="557" spans="1:22" x14ac:dyDescent="0.35">
      <c r="A557" s="527" t="str">
        <f>"SgK4820--"&amp;RIGHT('EEG-Vergütungen und vNNE'!N5034,5)</f>
        <v>SgK4820--Dez22</v>
      </c>
      <c r="B557" s="526" t="s">
        <v>5434</v>
      </c>
      <c r="C557" s="526" t="str">
        <f t="shared" si="0"/>
        <v>Inbetriebnahme 12/2022</v>
      </c>
      <c r="D557" s="526" t="str">
        <f t="shared" si="1"/>
        <v>0 - 10 kW</v>
      </c>
      <c r="E557" s="526"/>
      <c r="F557" s="639" t="str">
        <f>IF(HLOOKUP($D557,'EEG-Vergütungen und vNNE'!$U$5022:$W$5034,MATCH(RIGHT($A557,5),'EEG-Vergütungen und vNNE'!$N$5022:$N$5034,0),FALSE)&lt;&gt;"",ROUND(HLOOKUP($D557,'EEG-Vergütungen und vNNE'!$U$5022:$W$5034,MATCH(RIGHT($A557,5),'EEG-Vergütungen und vNNE'!$N$5022:$N$5034,0),FALSE),2),"")</f>
        <v/>
      </c>
      <c r="G557" s="542" t="s">
        <v>8186</v>
      </c>
      <c r="H557" s="807">
        <v>44848</v>
      </c>
      <c r="M557" s="322"/>
      <c r="N557" s="261" t="str">
        <f>IF($M557&lt;&gt;"",(1-$M557)*#REF!,"")</f>
        <v/>
      </c>
      <c r="O557" s="261" t="str">
        <f>IF($M557&lt;&gt;"",(1-$M557)*#REF!,"")</f>
        <v/>
      </c>
      <c r="P557" s="261" t="str">
        <f>IF($M557&lt;&gt;"",(1-$M557)*#REF!,"")</f>
        <v/>
      </c>
      <c r="Q557" s="261" t="str">
        <f>IF($M557&lt;&gt;"",(1-$M557)*#REF!,"")</f>
        <v/>
      </c>
      <c r="S557" s="261" t="str">
        <f>IF($M557&lt;&gt;"",(1-$M557)*#REF!,"")</f>
        <v/>
      </c>
      <c r="T557" s="261" t="str">
        <f>IF($M557&lt;&gt;"",(1-$M557)*#REF!,"")</f>
        <v/>
      </c>
      <c r="U557" s="261" t="str">
        <f>IF($M557&lt;&gt;"",(1-$M557)*#REF!,"")</f>
        <v/>
      </c>
      <c r="V557" s="261" t="str">
        <f>IF($M557&lt;&gt;"",(1-$M557)*#REF!,"")</f>
        <v/>
      </c>
    </row>
    <row r="558" spans="1:22" x14ac:dyDescent="0.35">
      <c r="A558" s="527" t="str">
        <f>"SgK4821--"&amp;RIGHT(A557,5)</f>
        <v>SgK4821--Dez22</v>
      </c>
      <c r="B558" s="526" t="s">
        <v>5434</v>
      </c>
      <c r="C558" s="526" t="str">
        <f t="shared" si="0"/>
        <v>Inbetriebnahme 12/2022</v>
      </c>
      <c r="D558" s="526" t="str">
        <f t="shared" si="1"/>
        <v>10 - 40 kW</v>
      </c>
      <c r="E558" s="526"/>
      <c r="F558" s="639" t="str">
        <f>IF(HLOOKUP($D558,'EEG-Vergütungen und vNNE'!$U$5022:$W$5034,MATCH(RIGHT($A558,5),'EEG-Vergütungen und vNNE'!$N$5022:$N$5034,0),FALSE)&lt;&gt;"",ROUND(HLOOKUP($D558,'EEG-Vergütungen und vNNE'!$U$5022:$W$5034,MATCH(RIGHT($A558,5),'EEG-Vergütungen und vNNE'!$N$5022:$N$5034,0),FALSE),2),"")</f>
        <v/>
      </c>
      <c r="G558" s="542" t="s">
        <v>8186</v>
      </c>
      <c r="H558" s="807">
        <v>44848</v>
      </c>
      <c r="M558" s="322"/>
      <c r="N558" s="261" t="str">
        <f>IF($M558&lt;&gt;"",(1-$M558)*#REF!,"")</f>
        <v/>
      </c>
      <c r="O558" s="261" t="str">
        <f>IF($M558&lt;&gt;"",(1-$M558)*#REF!,"")</f>
        <v/>
      </c>
      <c r="P558" s="261" t="str">
        <f>IF($M558&lt;&gt;"",(1-$M558)*#REF!,"")</f>
        <v/>
      </c>
      <c r="Q558" s="261" t="str">
        <f>IF($M558&lt;&gt;"",(1-$M558)*#REF!,"")</f>
        <v/>
      </c>
      <c r="S558" s="261" t="str">
        <f>IF($M558&lt;&gt;"",(1-$M558)*#REF!,"")</f>
        <v/>
      </c>
      <c r="T558" s="261" t="str">
        <f>IF($M558&lt;&gt;"",(1-$M558)*#REF!,"")</f>
        <v/>
      </c>
      <c r="U558" s="261" t="str">
        <f>IF($M558&lt;&gt;"",(1-$M558)*#REF!,"")</f>
        <v/>
      </c>
      <c r="V558" s="261" t="str">
        <f>IF($M558&lt;&gt;"",(1-$M558)*#REF!,"")</f>
        <v/>
      </c>
    </row>
    <row r="559" spans="1:22" ht="14.25" customHeight="1" x14ac:dyDescent="0.35">
      <c r="A559" s="527" t="str">
        <f>"SgK4822--"&amp;RIGHT(A558,5)</f>
        <v>SgK4822--Dez22</v>
      </c>
      <c r="B559" s="526" t="s">
        <v>5434</v>
      </c>
      <c r="C559" s="526" t="str">
        <f t="shared" si="0"/>
        <v>Inbetriebnahme 12/2022</v>
      </c>
      <c r="D559" s="526" t="str">
        <f t="shared" si="1"/>
        <v>40 - 750 kW</v>
      </c>
      <c r="E559" s="526"/>
      <c r="F559" s="639" t="str">
        <f>IF(HLOOKUP($D559,'EEG-Vergütungen und vNNE'!$U$5022:$W$5034,MATCH(RIGHT($A559,5),'EEG-Vergütungen und vNNE'!$N$5022:$N$5034,0),FALSE)&lt;&gt;"",ROUND(HLOOKUP($D559,'EEG-Vergütungen und vNNE'!$U$5022:$W$5034,MATCH(RIGHT($A559,5),'EEG-Vergütungen und vNNE'!$N$5022:$N$5034,0),FALSE),2),"")</f>
        <v/>
      </c>
      <c r="G559" s="542" t="s">
        <v>8186</v>
      </c>
      <c r="H559" s="807">
        <v>44848</v>
      </c>
      <c r="M559" s="322"/>
      <c r="N559" s="261" t="str">
        <f>IF($M559&lt;&gt;"",(1-$M559)*N557,"")</f>
        <v/>
      </c>
      <c r="O559" s="261" t="str">
        <f>IF($M559&lt;&gt;"",(1-$M559)*O557,"")</f>
        <v/>
      </c>
      <c r="P559" s="261" t="str">
        <f>IF($M559&lt;&gt;"",(1-$M559)*P557,"")</f>
        <v/>
      </c>
      <c r="Q559" s="261" t="str">
        <f>IF($M559&lt;&gt;"",(1-$M559)*Q557,"")</f>
        <v/>
      </c>
      <c r="S559" s="261" t="str">
        <f>IF($M559&lt;&gt;"",(1-$M559)*S557,"")</f>
        <v/>
      </c>
      <c r="T559" s="261" t="str">
        <f>IF($M559&lt;&gt;"",(1-$M559)*T557,"")</f>
        <v/>
      </c>
      <c r="U559" s="261" t="str">
        <f>IF($M559&lt;&gt;"",(1-$M559)*U557,"")</f>
        <v/>
      </c>
      <c r="V559" s="261" t="str">
        <f>IF($M559&lt;&gt;"",(1-$M559)*V557,"")</f>
        <v/>
      </c>
    </row>
    <row r="560" spans="1:22" x14ac:dyDescent="0.35">
      <c r="F560" s="387"/>
      <c r="G560" s="542"/>
      <c r="H560" s="807"/>
    </row>
    <row r="561" spans="1:27" ht="43.5" customHeight="1" x14ac:dyDescent="0.35">
      <c r="A561" s="896" t="s">
        <v>8070</v>
      </c>
      <c r="B561" s="896"/>
      <c r="C561" s="896"/>
      <c r="D561" s="896"/>
      <c r="E561" s="896"/>
      <c r="F561" s="896"/>
      <c r="G561" s="542"/>
      <c r="H561" s="807">
        <v>44896</v>
      </c>
      <c r="L561" s="187"/>
      <c r="S561" s="187"/>
      <c r="T561" s="187"/>
      <c r="U561" s="187"/>
      <c r="V561" s="187"/>
      <c r="W561" s="187"/>
      <c r="X561" s="187"/>
      <c r="Y561" s="187"/>
      <c r="Z561" s="187"/>
      <c r="AA561" s="187"/>
    </row>
    <row r="562" spans="1:27" x14ac:dyDescent="0.35">
      <c r="F562" s="387"/>
      <c r="G562" s="542"/>
      <c r="H562" s="807" t="s">
        <v>4179</v>
      </c>
    </row>
    <row r="563" spans="1:27" x14ac:dyDescent="0.35">
      <c r="A563" s="239" t="s">
        <v>4260</v>
      </c>
      <c r="B563" s="240" t="s">
        <v>2269</v>
      </c>
      <c r="C563" s="240"/>
      <c r="D563" s="240" t="s">
        <v>2550</v>
      </c>
      <c r="E563" s="240"/>
      <c r="F563" s="391"/>
      <c r="G563" s="863">
        <v>44926</v>
      </c>
      <c r="H563" s="807">
        <v>44896</v>
      </c>
    </row>
    <row r="564" spans="1:27" x14ac:dyDescent="0.35">
      <c r="A564" s="239" t="s">
        <v>4261</v>
      </c>
      <c r="B564" s="240" t="s">
        <v>5547</v>
      </c>
      <c r="C564" s="240"/>
      <c r="D564" s="240" t="s">
        <v>2550</v>
      </c>
      <c r="E564" s="240"/>
      <c r="F564" s="391"/>
      <c r="G564" s="863">
        <v>44926</v>
      </c>
      <c r="H564" s="807">
        <v>44896</v>
      </c>
    </row>
    <row r="565" spans="1:27" x14ac:dyDescent="0.35">
      <c r="A565" s="239" t="s">
        <v>4262</v>
      </c>
      <c r="B565" s="240" t="s">
        <v>4846</v>
      </c>
      <c r="C565" s="240"/>
      <c r="D565" s="240" t="s">
        <v>2550</v>
      </c>
      <c r="E565" s="240"/>
      <c r="F565" s="391"/>
      <c r="G565" s="863">
        <v>44926</v>
      </c>
      <c r="H565" s="807">
        <v>44896</v>
      </c>
    </row>
    <row r="566" spans="1:27" x14ac:dyDescent="0.35">
      <c r="A566" s="239" t="s">
        <v>4263</v>
      </c>
      <c r="B566" s="240" t="s">
        <v>5405</v>
      </c>
      <c r="C566" s="240"/>
      <c r="D566" s="240" t="s">
        <v>2550</v>
      </c>
      <c r="E566" s="240"/>
      <c r="F566" s="391"/>
      <c r="G566" s="863">
        <v>44926</v>
      </c>
      <c r="H566" s="807">
        <v>44896</v>
      </c>
    </row>
    <row r="567" spans="1:27" x14ac:dyDescent="0.35">
      <c r="A567" s="239" t="s">
        <v>4264</v>
      </c>
      <c r="B567" s="240" t="s">
        <v>5410</v>
      </c>
      <c r="C567" s="240"/>
      <c r="D567" s="240" t="s">
        <v>2550</v>
      </c>
      <c r="E567" s="240"/>
      <c r="F567" s="391"/>
      <c r="G567" s="863">
        <v>44926</v>
      </c>
      <c r="H567" s="807">
        <v>44896</v>
      </c>
    </row>
    <row r="568" spans="1:27" x14ac:dyDescent="0.35">
      <c r="A568" s="239" t="s">
        <v>4265</v>
      </c>
      <c r="B568" s="240" t="s">
        <v>5411</v>
      </c>
      <c r="C568" s="240"/>
      <c r="D568" s="240" t="s">
        <v>2550</v>
      </c>
      <c r="E568" s="240"/>
      <c r="F568" s="391"/>
      <c r="G568" s="863">
        <v>44926</v>
      </c>
      <c r="H568" s="807">
        <v>44896</v>
      </c>
    </row>
    <row r="569" spans="1:27" x14ac:dyDescent="0.35">
      <c r="A569" s="239" t="s">
        <v>4266</v>
      </c>
      <c r="B569" s="240" t="s">
        <v>2034</v>
      </c>
      <c r="C569" s="240"/>
      <c r="D569" s="240" t="s">
        <v>2550</v>
      </c>
      <c r="E569" s="240"/>
      <c r="F569" s="391"/>
      <c r="G569" s="863">
        <v>44926</v>
      </c>
      <c r="H569" s="807">
        <v>44896</v>
      </c>
    </row>
    <row r="570" spans="1:27" x14ac:dyDescent="0.35">
      <c r="A570" s="239" t="s">
        <v>4267</v>
      </c>
      <c r="B570" s="240" t="s">
        <v>2067</v>
      </c>
      <c r="C570" s="240"/>
      <c r="D570" s="240" t="s">
        <v>2550</v>
      </c>
      <c r="E570" s="240"/>
      <c r="F570" s="391"/>
      <c r="G570" s="863">
        <v>44926</v>
      </c>
      <c r="H570" s="807">
        <v>44896</v>
      </c>
    </row>
    <row r="571" spans="1:27" x14ac:dyDescent="0.35">
      <c r="A571" s="239" t="s">
        <v>4268</v>
      </c>
      <c r="B571" s="240" t="s">
        <v>3373</v>
      </c>
      <c r="C571" s="240"/>
      <c r="D571" s="240" t="s">
        <v>2550</v>
      </c>
      <c r="E571" s="240"/>
      <c r="F571" s="391"/>
      <c r="G571" s="863">
        <v>44926</v>
      </c>
      <c r="H571" s="807">
        <v>44896</v>
      </c>
    </row>
    <row r="572" spans="1:27" x14ac:dyDescent="0.35">
      <c r="A572" s="239" t="s">
        <v>4269</v>
      </c>
      <c r="B572" s="240" t="s">
        <v>3381</v>
      </c>
      <c r="C572" s="240"/>
      <c r="D572" s="240" t="s">
        <v>2550</v>
      </c>
      <c r="E572" s="240"/>
      <c r="F572" s="391"/>
      <c r="G572" s="863">
        <v>44926</v>
      </c>
      <c r="H572" s="807">
        <v>44896</v>
      </c>
    </row>
    <row r="573" spans="1:27" x14ac:dyDescent="0.35">
      <c r="A573" s="239" t="s">
        <v>4270</v>
      </c>
      <c r="B573" s="240" t="s">
        <v>3389</v>
      </c>
      <c r="C573" s="240"/>
      <c r="D573" s="240" t="s">
        <v>2550</v>
      </c>
      <c r="E573" s="240"/>
      <c r="F573" s="391"/>
      <c r="G573" s="863">
        <v>44926</v>
      </c>
      <c r="H573" s="807">
        <v>44896</v>
      </c>
    </row>
    <row r="574" spans="1:27" x14ac:dyDescent="0.35">
      <c r="A574" s="239" t="s">
        <v>4271</v>
      </c>
      <c r="B574" s="240" t="s">
        <v>740</v>
      </c>
      <c r="C574" s="240"/>
      <c r="D574" s="240" t="s">
        <v>2550</v>
      </c>
      <c r="E574" s="240"/>
      <c r="F574" s="391"/>
      <c r="G574" s="863">
        <v>44926</v>
      </c>
      <c r="H574" s="807">
        <v>44896</v>
      </c>
    </row>
    <row r="575" spans="1:27" x14ac:dyDescent="0.35">
      <c r="A575" s="239" t="s">
        <v>4272</v>
      </c>
      <c r="B575" s="240" t="s">
        <v>5434</v>
      </c>
      <c r="C575" s="240"/>
      <c r="D575" s="240" t="s">
        <v>2550</v>
      </c>
      <c r="E575" s="240"/>
      <c r="F575" s="391"/>
      <c r="G575" s="863">
        <v>44926</v>
      </c>
      <c r="H575" s="807">
        <v>44896</v>
      </c>
      <c r="M575" s="187"/>
      <c r="N575" s="187"/>
      <c r="O575" s="187"/>
      <c r="P575" s="187"/>
      <c r="Q575" s="187"/>
      <c r="R575" s="187"/>
    </row>
    <row r="576" spans="1:27" x14ac:dyDescent="0.35">
      <c r="A576" s="311" t="s">
        <v>1054</v>
      </c>
      <c r="B576" s="312" t="s">
        <v>5434</v>
      </c>
      <c r="C576" s="312"/>
      <c r="D576" s="312" t="s">
        <v>2550</v>
      </c>
      <c r="E576" s="312" t="s">
        <v>1053</v>
      </c>
      <c r="F576" s="394"/>
      <c r="G576" s="863">
        <v>44926</v>
      </c>
      <c r="H576" s="807">
        <v>44896</v>
      </c>
      <c r="M576" s="187"/>
      <c r="N576" s="187"/>
      <c r="O576" s="187"/>
      <c r="P576" s="187"/>
      <c r="Q576" s="187"/>
      <c r="R576" s="187"/>
    </row>
    <row r="577" spans="1:27" x14ac:dyDescent="0.35">
      <c r="F577" s="387"/>
      <c r="G577" s="542"/>
      <c r="H577" s="549" t="s">
        <v>4179</v>
      </c>
    </row>
    <row r="578" spans="1:27" ht="80.25" customHeight="1" x14ac:dyDescent="0.35">
      <c r="A578" s="896" t="s">
        <v>8071</v>
      </c>
      <c r="B578" s="896"/>
      <c r="C578" s="896"/>
      <c r="D578" s="896"/>
      <c r="E578" s="896"/>
      <c r="F578" s="896"/>
      <c r="G578" s="542"/>
      <c r="H578" s="807">
        <v>44896</v>
      </c>
      <c r="L578" s="187"/>
      <c r="S578" s="187"/>
      <c r="T578" s="187"/>
      <c r="U578" s="187"/>
      <c r="V578" s="187"/>
      <c r="W578" s="187"/>
      <c r="X578" s="187"/>
      <c r="Y578" s="187"/>
      <c r="Z578" s="187"/>
      <c r="AA578" s="187"/>
    </row>
    <row r="579" spans="1:27" x14ac:dyDescent="0.35">
      <c r="F579" s="387"/>
      <c r="G579" s="542"/>
      <c r="H579" s="807" t="s">
        <v>4179</v>
      </c>
    </row>
    <row r="580" spans="1:27" x14ac:dyDescent="0.35">
      <c r="A580" s="495" t="s">
        <v>131</v>
      </c>
      <c r="B580" s="356" t="s">
        <v>2269</v>
      </c>
      <c r="C580" s="356"/>
      <c r="D580" s="356" t="s">
        <v>130</v>
      </c>
      <c r="E580" s="356"/>
      <c r="F580" s="369"/>
      <c r="G580" s="863">
        <v>44926</v>
      </c>
      <c r="H580" s="807">
        <v>44896</v>
      </c>
    </row>
    <row r="581" spans="1:27" x14ac:dyDescent="0.35">
      <c r="A581" s="495" t="s">
        <v>132</v>
      </c>
      <c r="B581" s="356" t="s">
        <v>5547</v>
      </c>
      <c r="C581" s="356"/>
      <c r="D581" s="356" t="s">
        <v>130</v>
      </c>
      <c r="E581" s="356"/>
      <c r="F581" s="369"/>
      <c r="G581" s="863">
        <v>44926</v>
      </c>
      <c r="H581" s="807">
        <v>44896</v>
      </c>
    </row>
    <row r="582" spans="1:27" x14ac:dyDescent="0.35">
      <c r="A582" s="495" t="s">
        <v>133</v>
      </c>
      <c r="B582" s="356" t="s">
        <v>4846</v>
      </c>
      <c r="C582" s="356"/>
      <c r="D582" s="356" t="s">
        <v>130</v>
      </c>
      <c r="E582" s="356"/>
      <c r="F582" s="369"/>
      <c r="G582" s="863">
        <v>44926</v>
      </c>
      <c r="H582" s="807">
        <v>44896</v>
      </c>
    </row>
    <row r="583" spans="1:27" x14ac:dyDescent="0.35">
      <c r="A583" s="495" t="s">
        <v>134</v>
      </c>
      <c r="B583" s="356" t="s">
        <v>5405</v>
      </c>
      <c r="C583" s="356"/>
      <c r="D583" s="356" t="s">
        <v>130</v>
      </c>
      <c r="E583" s="356"/>
      <c r="F583" s="369"/>
      <c r="G583" s="863">
        <v>44926</v>
      </c>
      <c r="H583" s="807">
        <v>44896</v>
      </c>
    </row>
    <row r="584" spans="1:27" x14ac:dyDescent="0.35">
      <c r="A584" s="495" t="s">
        <v>135</v>
      </c>
      <c r="B584" s="356" t="s">
        <v>5410</v>
      </c>
      <c r="C584" s="356"/>
      <c r="D584" s="356" t="s">
        <v>130</v>
      </c>
      <c r="E584" s="356"/>
      <c r="F584" s="369"/>
      <c r="G584" s="863">
        <v>44926</v>
      </c>
      <c r="H584" s="807">
        <v>44896</v>
      </c>
    </row>
    <row r="585" spans="1:27" x14ac:dyDescent="0.35">
      <c r="A585" s="495" t="s">
        <v>136</v>
      </c>
      <c r="B585" s="356" t="s">
        <v>5411</v>
      </c>
      <c r="C585" s="356"/>
      <c r="D585" s="356" t="s">
        <v>130</v>
      </c>
      <c r="E585" s="356"/>
      <c r="F585" s="369"/>
      <c r="G585" s="863">
        <v>44926</v>
      </c>
      <c r="H585" s="807">
        <v>44896</v>
      </c>
    </row>
    <row r="586" spans="1:27" x14ac:dyDescent="0.35">
      <c r="A586" s="495" t="s">
        <v>137</v>
      </c>
      <c r="B586" s="356" t="s">
        <v>2034</v>
      </c>
      <c r="C586" s="356"/>
      <c r="D586" s="356" t="s">
        <v>130</v>
      </c>
      <c r="E586" s="356"/>
      <c r="F586" s="369"/>
      <c r="G586" s="863">
        <v>44926</v>
      </c>
      <c r="H586" s="807">
        <v>44896</v>
      </c>
    </row>
    <row r="587" spans="1:27" x14ac:dyDescent="0.35">
      <c r="A587" s="495" t="s">
        <v>138</v>
      </c>
      <c r="B587" s="356" t="s">
        <v>2067</v>
      </c>
      <c r="C587" s="356"/>
      <c r="D587" s="356" t="s">
        <v>130</v>
      </c>
      <c r="E587" s="356"/>
      <c r="F587" s="369"/>
      <c r="G587" s="863">
        <v>44926</v>
      </c>
      <c r="H587" s="807">
        <v>44896</v>
      </c>
    </row>
    <row r="588" spans="1:27" x14ac:dyDescent="0.35">
      <c r="A588" s="495" t="s">
        <v>139</v>
      </c>
      <c r="B588" s="356" t="s">
        <v>3373</v>
      </c>
      <c r="C588" s="356"/>
      <c r="D588" s="356" t="s">
        <v>130</v>
      </c>
      <c r="E588" s="356"/>
      <c r="F588" s="369"/>
      <c r="G588" s="863">
        <v>44926</v>
      </c>
      <c r="H588" s="807">
        <v>44896</v>
      </c>
    </row>
    <row r="589" spans="1:27" x14ac:dyDescent="0.35">
      <c r="A589" s="495" t="s">
        <v>140</v>
      </c>
      <c r="B589" s="356" t="s">
        <v>3381</v>
      </c>
      <c r="C589" s="356"/>
      <c r="D589" s="356" t="s">
        <v>130</v>
      </c>
      <c r="E589" s="356"/>
      <c r="F589" s="369"/>
      <c r="G589" s="863">
        <v>44926</v>
      </c>
      <c r="H589" s="807">
        <v>44896</v>
      </c>
    </row>
    <row r="590" spans="1:27" x14ac:dyDescent="0.35">
      <c r="A590" s="495" t="s">
        <v>141</v>
      </c>
      <c r="B590" s="356" t="s">
        <v>3389</v>
      </c>
      <c r="C590" s="356"/>
      <c r="D590" s="356" t="s">
        <v>130</v>
      </c>
      <c r="E590" s="356"/>
      <c r="F590" s="369"/>
      <c r="G590" s="863">
        <v>44926</v>
      </c>
      <c r="H590" s="807">
        <v>44896</v>
      </c>
    </row>
    <row r="591" spans="1:27" x14ac:dyDescent="0.35">
      <c r="A591" s="495" t="s">
        <v>142</v>
      </c>
      <c r="B591" s="356" t="s">
        <v>740</v>
      </c>
      <c r="C591" s="356"/>
      <c r="D591" s="356" t="s">
        <v>130</v>
      </c>
      <c r="E591" s="356"/>
      <c r="F591" s="369"/>
      <c r="G591" s="863">
        <v>44926</v>
      </c>
      <c r="H591" s="807">
        <v>44896</v>
      </c>
    </row>
    <row r="592" spans="1:27" x14ac:dyDescent="0.35">
      <c r="A592" s="495" t="s">
        <v>143</v>
      </c>
      <c r="B592" s="356" t="s">
        <v>5434</v>
      </c>
      <c r="C592" s="356"/>
      <c r="D592" s="356" t="s">
        <v>130</v>
      </c>
      <c r="E592" s="356"/>
      <c r="F592" s="369"/>
      <c r="G592" s="863">
        <v>44926</v>
      </c>
      <c r="H592" s="807">
        <v>44896</v>
      </c>
      <c r="M592" s="187"/>
      <c r="N592" s="187"/>
      <c r="O592" s="187"/>
      <c r="P592" s="187"/>
      <c r="Q592" s="187"/>
      <c r="R592" s="187"/>
    </row>
    <row r="593" spans="1:18" x14ac:dyDescent="0.35">
      <c r="A593" s="495" t="s">
        <v>262</v>
      </c>
      <c r="B593" s="356" t="s">
        <v>5434</v>
      </c>
      <c r="C593" s="356"/>
      <c r="D593" s="356" t="s">
        <v>130</v>
      </c>
      <c r="E593" s="356" t="s">
        <v>1053</v>
      </c>
      <c r="F593" s="369"/>
      <c r="G593" s="863">
        <v>44926</v>
      </c>
      <c r="H593" s="807">
        <v>44896</v>
      </c>
      <c r="M593" s="187"/>
      <c r="N593" s="187"/>
      <c r="O593" s="187"/>
      <c r="P593" s="187"/>
      <c r="Q593" s="187"/>
      <c r="R593" s="187"/>
    </row>
    <row r="594" spans="1:18" x14ac:dyDescent="0.35">
      <c r="F594" s="387"/>
      <c r="G594" s="542"/>
      <c r="H594" s="807" t="s">
        <v>4179</v>
      </c>
    </row>
    <row r="595" spans="1:18" ht="77.25" customHeight="1" x14ac:dyDescent="0.35">
      <c r="A595" s="896" t="s">
        <v>8072</v>
      </c>
      <c r="B595" s="896"/>
      <c r="C595" s="896"/>
      <c r="D595" s="896"/>
      <c r="E595" s="896"/>
      <c r="F595" s="896"/>
      <c r="G595" s="542"/>
      <c r="H595" s="807">
        <v>44896</v>
      </c>
    </row>
    <row r="596" spans="1:18" x14ac:dyDescent="0.35">
      <c r="F596" s="387"/>
      <c r="G596" s="542"/>
      <c r="H596" s="807" t="s">
        <v>4179</v>
      </c>
    </row>
    <row r="597" spans="1:18" x14ac:dyDescent="0.35">
      <c r="A597" s="495" t="s">
        <v>144</v>
      </c>
      <c r="B597" s="356" t="s">
        <v>2269</v>
      </c>
      <c r="C597" s="356"/>
      <c r="D597" s="356" t="s">
        <v>7450</v>
      </c>
      <c r="E597" s="356"/>
      <c r="F597" s="369"/>
      <c r="G597" s="863">
        <v>44926</v>
      </c>
      <c r="H597" s="807">
        <v>44896</v>
      </c>
    </row>
    <row r="598" spans="1:18" x14ac:dyDescent="0.35">
      <c r="A598" s="495" t="s">
        <v>145</v>
      </c>
      <c r="B598" s="356" t="s">
        <v>5547</v>
      </c>
      <c r="C598" s="356"/>
      <c r="D598" s="356" t="s">
        <v>7450</v>
      </c>
      <c r="E598" s="356"/>
      <c r="F598" s="369"/>
      <c r="G598" s="863">
        <v>44926</v>
      </c>
      <c r="H598" s="807">
        <v>44896</v>
      </c>
    </row>
    <row r="599" spans="1:18" x14ac:dyDescent="0.35">
      <c r="A599" s="495" t="s">
        <v>146</v>
      </c>
      <c r="B599" s="356" t="s">
        <v>4846</v>
      </c>
      <c r="C599" s="356"/>
      <c r="D599" s="356" t="s">
        <v>7450</v>
      </c>
      <c r="E599" s="356"/>
      <c r="F599" s="369"/>
      <c r="G599" s="863">
        <v>44926</v>
      </c>
      <c r="H599" s="807">
        <v>44896</v>
      </c>
    </row>
    <row r="600" spans="1:18" x14ac:dyDescent="0.35">
      <c r="A600" s="495" t="s">
        <v>147</v>
      </c>
      <c r="B600" s="356" t="s">
        <v>5405</v>
      </c>
      <c r="C600" s="356"/>
      <c r="D600" s="356" t="s">
        <v>7450</v>
      </c>
      <c r="E600" s="356"/>
      <c r="F600" s="369"/>
      <c r="G600" s="863">
        <v>44926</v>
      </c>
      <c r="H600" s="807">
        <v>44896</v>
      </c>
    </row>
    <row r="601" spans="1:18" x14ac:dyDescent="0.35">
      <c r="A601" s="495" t="s">
        <v>148</v>
      </c>
      <c r="B601" s="356" t="s">
        <v>5410</v>
      </c>
      <c r="C601" s="356"/>
      <c r="D601" s="356" t="s">
        <v>7450</v>
      </c>
      <c r="E601" s="356"/>
      <c r="F601" s="369"/>
      <c r="G601" s="863">
        <v>44926</v>
      </c>
      <c r="H601" s="807">
        <v>44896</v>
      </c>
    </row>
    <row r="602" spans="1:18" x14ac:dyDescent="0.35">
      <c r="A602" s="495" t="s">
        <v>149</v>
      </c>
      <c r="B602" s="356" t="s">
        <v>5411</v>
      </c>
      <c r="C602" s="356"/>
      <c r="D602" s="356" t="s">
        <v>7450</v>
      </c>
      <c r="E602" s="356"/>
      <c r="F602" s="369"/>
      <c r="G602" s="863">
        <v>44926</v>
      </c>
      <c r="H602" s="807">
        <v>44896</v>
      </c>
    </row>
    <row r="603" spans="1:18" x14ac:dyDescent="0.35">
      <c r="A603" s="495" t="s">
        <v>150</v>
      </c>
      <c r="B603" s="356" t="s">
        <v>2034</v>
      </c>
      <c r="C603" s="356"/>
      <c r="D603" s="356" t="s">
        <v>7450</v>
      </c>
      <c r="E603" s="356"/>
      <c r="F603" s="369"/>
      <c r="G603" s="863">
        <v>44926</v>
      </c>
      <c r="H603" s="807">
        <v>44896</v>
      </c>
    </row>
    <row r="604" spans="1:18" x14ac:dyDescent="0.35">
      <c r="A604" s="495" t="s">
        <v>151</v>
      </c>
      <c r="B604" s="356" t="s">
        <v>2067</v>
      </c>
      <c r="C604" s="356"/>
      <c r="D604" s="356" t="s">
        <v>7450</v>
      </c>
      <c r="E604" s="356"/>
      <c r="F604" s="369"/>
      <c r="G604" s="863">
        <v>44926</v>
      </c>
      <c r="H604" s="807">
        <v>44896</v>
      </c>
    </row>
    <row r="605" spans="1:18" x14ac:dyDescent="0.35">
      <c r="A605" s="495" t="s">
        <v>152</v>
      </c>
      <c r="B605" s="356" t="s">
        <v>3373</v>
      </c>
      <c r="C605" s="356"/>
      <c r="D605" s="356" t="s">
        <v>7450</v>
      </c>
      <c r="E605" s="356"/>
      <c r="F605" s="369"/>
      <c r="G605" s="863">
        <v>44926</v>
      </c>
      <c r="H605" s="807">
        <v>44896</v>
      </c>
    </row>
    <row r="606" spans="1:18" x14ac:dyDescent="0.35">
      <c r="A606" s="495" t="s">
        <v>153</v>
      </c>
      <c r="B606" s="356" t="s">
        <v>3381</v>
      </c>
      <c r="C606" s="356"/>
      <c r="D606" s="356" t="s">
        <v>7450</v>
      </c>
      <c r="E606" s="356"/>
      <c r="F606" s="369"/>
      <c r="G606" s="863">
        <v>44926</v>
      </c>
      <c r="H606" s="807">
        <v>44896</v>
      </c>
    </row>
    <row r="607" spans="1:18" x14ac:dyDescent="0.35">
      <c r="A607" s="495" t="s">
        <v>154</v>
      </c>
      <c r="B607" s="356" t="s">
        <v>3389</v>
      </c>
      <c r="C607" s="356"/>
      <c r="D607" s="356" t="s">
        <v>7450</v>
      </c>
      <c r="E607" s="356"/>
      <c r="F607" s="369"/>
      <c r="G607" s="863">
        <v>44926</v>
      </c>
      <c r="H607" s="807">
        <v>44896</v>
      </c>
    </row>
    <row r="608" spans="1:18" x14ac:dyDescent="0.35">
      <c r="A608" s="495" t="s">
        <v>155</v>
      </c>
      <c r="B608" s="356" t="s">
        <v>740</v>
      </c>
      <c r="C608" s="356"/>
      <c r="D608" s="356" t="s">
        <v>7450</v>
      </c>
      <c r="E608" s="356"/>
      <c r="F608" s="369"/>
      <c r="G608" s="863">
        <v>44926</v>
      </c>
      <c r="H608" s="807">
        <v>44896</v>
      </c>
    </row>
    <row r="609" spans="1:8" x14ac:dyDescent="0.35">
      <c r="A609" s="495" t="s">
        <v>156</v>
      </c>
      <c r="B609" s="356" t="s">
        <v>5434</v>
      </c>
      <c r="C609" s="356"/>
      <c r="D609" s="356" t="s">
        <v>7450</v>
      </c>
      <c r="E609" s="356"/>
      <c r="F609" s="369"/>
      <c r="G609" s="863">
        <v>44926</v>
      </c>
      <c r="H609" s="807">
        <v>44896</v>
      </c>
    </row>
    <row r="610" spans="1:8" x14ac:dyDescent="0.35">
      <c r="A610" s="495" t="s">
        <v>263</v>
      </c>
      <c r="B610" s="356" t="s">
        <v>5434</v>
      </c>
      <c r="C610" s="356"/>
      <c r="D610" s="356" t="s">
        <v>7450</v>
      </c>
      <c r="E610" s="356" t="s">
        <v>1053</v>
      </c>
      <c r="F610" s="369"/>
      <c r="G610" s="863">
        <v>44926</v>
      </c>
      <c r="H610" s="807">
        <v>44896</v>
      </c>
    </row>
    <row r="611" spans="1:8" x14ac:dyDescent="0.35">
      <c r="F611" s="387"/>
      <c r="G611" s="542"/>
      <c r="H611" s="807" t="s">
        <v>4179</v>
      </c>
    </row>
    <row r="612" spans="1:8" ht="107.25" customHeight="1" x14ac:dyDescent="0.35">
      <c r="A612" s="897" t="s">
        <v>8073</v>
      </c>
      <c r="B612" s="897"/>
      <c r="C612" s="897"/>
      <c r="D612" s="897"/>
      <c r="E612" s="897"/>
      <c r="F612" s="897"/>
      <c r="G612" s="542"/>
      <c r="H612" s="807">
        <v>44896</v>
      </c>
    </row>
    <row r="613" spans="1:8" x14ac:dyDescent="0.35">
      <c r="F613" s="387"/>
      <c r="G613" s="542"/>
      <c r="H613" s="807" t="s">
        <v>4179</v>
      </c>
    </row>
    <row r="614" spans="1:8" x14ac:dyDescent="0.35">
      <c r="A614" s="495" t="s">
        <v>157</v>
      </c>
      <c r="B614" s="356" t="s">
        <v>2269</v>
      </c>
      <c r="C614" s="356"/>
      <c r="D614" s="356" t="s">
        <v>6011</v>
      </c>
      <c r="E614" s="356"/>
      <c r="F614" s="369"/>
      <c r="G614" s="863">
        <v>44926</v>
      </c>
      <c r="H614" s="807">
        <v>44896</v>
      </c>
    </row>
    <row r="615" spans="1:8" x14ac:dyDescent="0.35">
      <c r="A615" s="495" t="s">
        <v>158</v>
      </c>
      <c r="B615" s="356" t="s">
        <v>5547</v>
      </c>
      <c r="C615" s="356"/>
      <c r="D615" s="356" t="s">
        <v>6011</v>
      </c>
      <c r="E615" s="356"/>
      <c r="F615" s="369"/>
      <c r="G615" s="863">
        <v>44926</v>
      </c>
      <c r="H615" s="807">
        <v>44896</v>
      </c>
    </row>
    <row r="616" spans="1:8" x14ac:dyDescent="0.35">
      <c r="A616" s="495" t="s">
        <v>159</v>
      </c>
      <c r="B616" s="356" t="s">
        <v>4846</v>
      </c>
      <c r="C616" s="356"/>
      <c r="D616" s="356" t="s">
        <v>6011</v>
      </c>
      <c r="E616" s="356"/>
      <c r="F616" s="369"/>
      <c r="G616" s="863">
        <v>44926</v>
      </c>
      <c r="H616" s="807">
        <v>44896</v>
      </c>
    </row>
    <row r="617" spans="1:8" x14ac:dyDescent="0.35">
      <c r="A617" s="495" t="s">
        <v>160</v>
      </c>
      <c r="B617" s="356" t="s">
        <v>5405</v>
      </c>
      <c r="C617" s="356"/>
      <c r="D617" s="356" t="s">
        <v>6011</v>
      </c>
      <c r="E617" s="356"/>
      <c r="F617" s="369"/>
      <c r="G617" s="863">
        <v>44926</v>
      </c>
      <c r="H617" s="807">
        <v>44896</v>
      </c>
    </row>
    <row r="618" spans="1:8" x14ac:dyDescent="0.35">
      <c r="A618" s="495" t="s">
        <v>161</v>
      </c>
      <c r="B618" s="356" t="s">
        <v>5410</v>
      </c>
      <c r="C618" s="356"/>
      <c r="D618" s="356" t="s">
        <v>6011</v>
      </c>
      <c r="E618" s="356"/>
      <c r="F618" s="369"/>
      <c r="G618" s="863">
        <v>44926</v>
      </c>
      <c r="H618" s="807">
        <v>44896</v>
      </c>
    </row>
    <row r="619" spans="1:8" x14ac:dyDescent="0.35">
      <c r="A619" s="495" t="s">
        <v>162</v>
      </c>
      <c r="B619" s="356" t="s">
        <v>5411</v>
      </c>
      <c r="C619" s="356"/>
      <c r="D619" s="356" t="s">
        <v>6011</v>
      </c>
      <c r="E619" s="356"/>
      <c r="F619" s="369"/>
      <c r="G619" s="863">
        <v>44926</v>
      </c>
      <c r="H619" s="807">
        <v>44896</v>
      </c>
    </row>
    <row r="620" spans="1:8" x14ac:dyDescent="0.35">
      <c r="A620" s="495" t="s">
        <v>163</v>
      </c>
      <c r="B620" s="356" t="s">
        <v>2034</v>
      </c>
      <c r="C620" s="356"/>
      <c r="D620" s="356" t="s">
        <v>6011</v>
      </c>
      <c r="E620" s="356"/>
      <c r="F620" s="369"/>
      <c r="G620" s="863">
        <v>44926</v>
      </c>
      <c r="H620" s="807">
        <v>44896</v>
      </c>
    </row>
    <row r="621" spans="1:8" x14ac:dyDescent="0.35">
      <c r="A621" s="495" t="s">
        <v>164</v>
      </c>
      <c r="B621" s="356" t="s">
        <v>2067</v>
      </c>
      <c r="C621" s="356"/>
      <c r="D621" s="356" t="s">
        <v>6011</v>
      </c>
      <c r="E621" s="356"/>
      <c r="F621" s="369"/>
      <c r="G621" s="863">
        <v>44926</v>
      </c>
      <c r="H621" s="807">
        <v>44896</v>
      </c>
    </row>
    <row r="622" spans="1:8" x14ac:dyDescent="0.35">
      <c r="A622" s="495" t="s">
        <v>165</v>
      </c>
      <c r="B622" s="356" t="s">
        <v>3373</v>
      </c>
      <c r="C622" s="356"/>
      <c r="D622" s="356" t="s">
        <v>6011</v>
      </c>
      <c r="E622" s="356"/>
      <c r="F622" s="369"/>
      <c r="G622" s="863">
        <v>44926</v>
      </c>
      <c r="H622" s="807">
        <v>44896</v>
      </c>
    </row>
    <row r="623" spans="1:8" x14ac:dyDescent="0.35">
      <c r="A623" s="495" t="s">
        <v>166</v>
      </c>
      <c r="B623" s="356" t="s">
        <v>3381</v>
      </c>
      <c r="C623" s="356"/>
      <c r="D623" s="356" t="s">
        <v>6011</v>
      </c>
      <c r="E623" s="356"/>
      <c r="F623" s="369"/>
      <c r="G623" s="863">
        <v>44926</v>
      </c>
      <c r="H623" s="807">
        <v>44896</v>
      </c>
    </row>
    <row r="624" spans="1:8" x14ac:dyDescent="0.35">
      <c r="A624" s="495" t="s">
        <v>167</v>
      </c>
      <c r="B624" s="356" t="s">
        <v>3389</v>
      </c>
      <c r="C624" s="356"/>
      <c r="D624" s="356" t="s">
        <v>6011</v>
      </c>
      <c r="E624" s="356"/>
      <c r="F624" s="369"/>
      <c r="G624" s="863">
        <v>44926</v>
      </c>
      <c r="H624" s="807">
        <v>44896</v>
      </c>
    </row>
    <row r="625" spans="1:8" x14ac:dyDescent="0.35">
      <c r="A625" s="495" t="s">
        <v>168</v>
      </c>
      <c r="B625" s="356" t="s">
        <v>740</v>
      </c>
      <c r="C625" s="356"/>
      <c r="D625" s="356" t="s">
        <v>6011</v>
      </c>
      <c r="E625" s="356"/>
      <c r="F625" s="369"/>
      <c r="G625" s="863">
        <v>44926</v>
      </c>
      <c r="H625" s="807">
        <v>44896</v>
      </c>
    </row>
    <row r="626" spans="1:8" x14ac:dyDescent="0.35">
      <c r="A626" s="495" t="s">
        <v>169</v>
      </c>
      <c r="B626" s="356" t="s">
        <v>5434</v>
      </c>
      <c r="C626" s="356"/>
      <c r="D626" s="356" t="s">
        <v>6011</v>
      </c>
      <c r="E626" s="356"/>
      <c r="F626" s="369"/>
      <c r="G626" s="863">
        <v>44926</v>
      </c>
      <c r="H626" s="807">
        <v>44896</v>
      </c>
    </row>
    <row r="627" spans="1:8" x14ac:dyDescent="0.35">
      <c r="A627" s="495" t="s">
        <v>264</v>
      </c>
      <c r="B627" s="356" t="s">
        <v>5434</v>
      </c>
      <c r="C627" s="356"/>
      <c r="D627" s="356" t="s">
        <v>6011</v>
      </c>
      <c r="E627" s="356" t="s">
        <v>1053</v>
      </c>
      <c r="F627" s="369"/>
      <c r="G627" s="863">
        <v>44926</v>
      </c>
      <c r="H627" s="807">
        <v>44896</v>
      </c>
    </row>
    <row r="628" spans="1:8" x14ac:dyDescent="0.35">
      <c r="G628" s="542"/>
    </row>
    <row r="629" spans="1:8" ht="197.25" customHeight="1" x14ac:dyDescent="0.35">
      <c r="A629" s="897" t="s">
        <v>8074</v>
      </c>
      <c r="B629" s="897"/>
      <c r="C629" s="897"/>
      <c r="D629" s="897"/>
      <c r="E629" s="897"/>
      <c r="F629" s="897"/>
      <c r="G629" s="542"/>
      <c r="H629" s="807">
        <v>44896</v>
      </c>
    </row>
    <row r="630" spans="1:8" x14ac:dyDescent="0.35">
      <c r="F630" s="387"/>
      <c r="G630" s="542"/>
      <c r="H630" s="807"/>
    </row>
    <row r="631" spans="1:8" x14ac:dyDescent="0.35">
      <c r="A631" s="495" t="s">
        <v>184</v>
      </c>
      <c r="B631" s="356" t="s">
        <v>2269</v>
      </c>
      <c r="C631" s="356"/>
      <c r="D631" s="356" t="s">
        <v>309</v>
      </c>
      <c r="E631" s="356"/>
      <c r="F631" s="369"/>
      <c r="G631" s="863">
        <v>44926</v>
      </c>
      <c r="H631" s="807">
        <v>44896</v>
      </c>
    </row>
    <row r="632" spans="1:8" x14ac:dyDescent="0.35">
      <c r="A632" s="495" t="s">
        <v>185</v>
      </c>
      <c r="B632" s="356" t="s">
        <v>5547</v>
      </c>
      <c r="C632" s="356"/>
      <c r="D632" s="356" t="s">
        <v>309</v>
      </c>
      <c r="E632" s="356"/>
      <c r="F632" s="369"/>
      <c r="G632" s="863">
        <v>44926</v>
      </c>
      <c r="H632" s="807">
        <v>44896</v>
      </c>
    </row>
    <row r="633" spans="1:8" x14ac:dyDescent="0.35">
      <c r="A633" s="495" t="s">
        <v>186</v>
      </c>
      <c r="B633" s="356" t="s">
        <v>4846</v>
      </c>
      <c r="C633" s="356"/>
      <c r="D633" s="356" t="s">
        <v>309</v>
      </c>
      <c r="E633" s="356"/>
      <c r="F633" s="369"/>
      <c r="G633" s="863">
        <v>44926</v>
      </c>
      <c r="H633" s="807">
        <v>44896</v>
      </c>
    </row>
    <row r="634" spans="1:8" x14ac:dyDescent="0.35">
      <c r="A634" s="495" t="s">
        <v>187</v>
      </c>
      <c r="B634" s="356" t="s">
        <v>5405</v>
      </c>
      <c r="C634" s="356"/>
      <c r="D634" s="356" t="s">
        <v>309</v>
      </c>
      <c r="E634" s="356"/>
      <c r="F634" s="369"/>
      <c r="G634" s="863">
        <v>44926</v>
      </c>
      <c r="H634" s="807">
        <v>44896</v>
      </c>
    </row>
    <row r="635" spans="1:8" x14ac:dyDescent="0.35">
      <c r="A635" s="495" t="s">
        <v>188</v>
      </c>
      <c r="B635" s="356" t="s">
        <v>5410</v>
      </c>
      <c r="C635" s="356"/>
      <c r="D635" s="356" t="s">
        <v>309</v>
      </c>
      <c r="E635" s="356"/>
      <c r="F635" s="369"/>
      <c r="G635" s="863">
        <v>44926</v>
      </c>
      <c r="H635" s="807">
        <v>44896</v>
      </c>
    </row>
    <row r="636" spans="1:8" x14ac:dyDescent="0.35">
      <c r="A636" s="495" t="s">
        <v>189</v>
      </c>
      <c r="B636" s="356" t="s">
        <v>5411</v>
      </c>
      <c r="C636" s="356"/>
      <c r="D636" s="356" t="s">
        <v>309</v>
      </c>
      <c r="E636" s="356"/>
      <c r="F636" s="369"/>
      <c r="G636" s="863">
        <v>44926</v>
      </c>
      <c r="H636" s="807">
        <v>44896</v>
      </c>
    </row>
    <row r="637" spans="1:8" x14ac:dyDescent="0.35">
      <c r="A637" s="495" t="s">
        <v>190</v>
      </c>
      <c r="B637" s="356" t="s">
        <v>2034</v>
      </c>
      <c r="C637" s="356"/>
      <c r="D637" s="356" t="s">
        <v>309</v>
      </c>
      <c r="E637" s="356"/>
      <c r="F637" s="369"/>
      <c r="G637" s="863">
        <v>44926</v>
      </c>
      <c r="H637" s="807">
        <v>44896</v>
      </c>
    </row>
    <row r="638" spans="1:8" x14ac:dyDescent="0.35">
      <c r="A638" s="495" t="s">
        <v>191</v>
      </c>
      <c r="B638" s="356" t="s">
        <v>2067</v>
      </c>
      <c r="C638" s="356"/>
      <c r="D638" s="356" t="s">
        <v>6474</v>
      </c>
      <c r="E638" s="356"/>
      <c r="F638" s="369"/>
      <c r="G638" s="863">
        <v>44926</v>
      </c>
      <c r="H638" s="807">
        <v>44896</v>
      </c>
    </row>
    <row r="639" spans="1:8" x14ac:dyDescent="0.35">
      <c r="A639" s="495" t="s">
        <v>192</v>
      </c>
      <c r="B639" s="356" t="s">
        <v>3373</v>
      </c>
      <c r="C639" s="356"/>
      <c r="D639" s="356" t="s">
        <v>6474</v>
      </c>
      <c r="E639" s="356"/>
      <c r="F639" s="369"/>
      <c r="G639" s="863">
        <v>44926</v>
      </c>
      <c r="H639" s="807">
        <v>44896</v>
      </c>
    </row>
    <row r="640" spans="1:8" x14ac:dyDescent="0.35">
      <c r="A640" s="495" t="s">
        <v>193</v>
      </c>
      <c r="B640" s="356" t="s">
        <v>3381</v>
      </c>
      <c r="C640" s="356"/>
      <c r="D640" s="356" t="s">
        <v>6474</v>
      </c>
      <c r="E640" s="356"/>
      <c r="F640" s="369"/>
      <c r="G640" s="863">
        <v>44926</v>
      </c>
      <c r="H640" s="807">
        <v>44896</v>
      </c>
    </row>
    <row r="641" spans="1:8" x14ac:dyDescent="0.35">
      <c r="A641" s="495" t="s">
        <v>194</v>
      </c>
      <c r="B641" s="356" t="s">
        <v>3389</v>
      </c>
      <c r="C641" s="356"/>
      <c r="D641" s="356" t="s">
        <v>309</v>
      </c>
      <c r="E641" s="356"/>
      <c r="F641" s="369"/>
      <c r="G641" s="863">
        <v>44926</v>
      </c>
      <c r="H641" s="807">
        <v>44896</v>
      </c>
    </row>
    <row r="642" spans="1:8" x14ac:dyDescent="0.35">
      <c r="A642" s="495" t="s">
        <v>195</v>
      </c>
      <c r="B642" s="356" t="s">
        <v>740</v>
      </c>
      <c r="C642" s="356"/>
      <c r="D642" s="356" t="s">
        <v>309</v>
      </c>
      <c r="E642" s="356"/>
      <c r="F642" s="369"/>
      <c r="G642" s="863">
        <v>44926</v>
      </c>
      <c r="H642" s="807">
        <v>44896</v>
      </c>
    </row>
    <row r="643" spans="1:8" x14ac:dyDescent="0.35">
      <c r="A643" s="495" t="s">
        <v>196</v>
      </c>
      <c r="B643" s="356" t="s">
        <v>5434</v>
      </c>
      <c r="C643" s="356"/>
      <c r="D643" s="356" t="s">
        <v>309</v>
      </c>
      <c r="E643" s="356"/>
      <c r="F643" s="369"/>
      <c r="G643" s="863">
        <v>44926</v>
      </c>
      <c r="H643" s="807">
        <v>44896</v>
      </c>
    </row>
    <row r="644" spans="1:8" x14ac:dyDescent="0.35">
      <c r="A644" s="495" t="s">
        <v>7430</v>
      </c>
      <c r="B644" s="356" t="s">
        <v>5434</v>
      </c>
      <c r="C644" s="356"/>
      <c r="D644" s="356" t="s">
        <v>309</v>
      </c>
      <c r="E644" s="356" t="s">
        <v>1053</v>
      </c>
      <c r="F644" s="369"/>
      <c r="G644" s="863">
        <v>44926</v>
      </c>
      <c r="H644" s="807">
        <v>44896</v>
      </c>
    </row>
    <row r="645" spans="1:8" x14ac:dyDescent="0.35">
      <c r="F645" s="387"/>
      <c r="G645" s="542"/>
      <c r="H645"/>
    </row>
    <row r="646" spans="1:8" ht="200.25" customHeight="1" x14ac:dyDescent="0.35">
      <c r="A646" s="897" t="s">
        <v>8075</v>
      </c>
      <c r="B646" s="897"/>
      <c r="C646" s="897"/>
      <c r="D646" s="897"/>
      <c r="E646" s="897"/>
      <c r="F646" s="897"/>
      <c r="G646" s="542"/>
      <c r="H646" s="807">
        <v>44896</v>
      </c>
    </row>
    <row r="647" spans="1:8" x14ac:dyDescent="0.35">
      <c r="F647" s="387"/>
      <c r="G647" s="542"/>
      <c r="H647" s="807"/>
    </row>
    <row r="648" spans="1:8" x14ac:dyDescent="0.35">
      <c r="A648" s="495" t="s">
        <v>197</v>
      </c>
      <c r="B648" s="356" t="s">
        <v>2269</v>
      </c>
      <c r="C648" s="356"/>
      <c r="D648" s="356" t="s">
        <v>310</v>
      </c>
      <c r="E648" s="356"/>
      <c r="F648" s="369"/>
      <c r="G648" s="863">
        <v>44926</v>
      </c>
      <c r="H648" s="807">
        <v>44896</v>
      </c>
    </row>
    <row r="649" spans="1:8" x14ac:dyDescent="0.35">
      <c r="A649" s="495" t="s">
        <v>198</v>
      </c>
      <c r="B649" s="356" t="s">
        <v>5547</v>
      </c>
      <c r="C649" s="356"/>
      <c r="D649" s="356" t="s">
        <v>310</v>
      </c>
      <c r="E649" s="356"/>
      <c r="F649" s="369"/>
      <c r="G649" s="863">
        <v>44926</v>
      </c>
      <c r="H649" s="807">
        <v>44896</v>
      </c>
    </row>
    <row r="650" spans="1:8" x14ac:dyDescent="0.35">
      <c r="A650" s="495" t="s">
        <v>199</v>
      </c>
      <c r="B650" s="356" t="s">
        <v>4846</v>
      </c>
      <c r="C650" s="356"/>
      <c r="D650" s="356" t="s">
        <v>310</v>
      </c>
      <c r="E650" s="356"/>
      <c r="F650" s="369"/>
      <c r="G650" s="863">
        <v>44926</v>
      </c>
      <c r="H650" s="807">
        <v>44896</v>
      </c>
    </row>
    <row r="651" spans="1:8" x14ac:dyDescent="0.35">
      <c r="A651" s="495" t="s">
        <v>200</v>
      </c>
      <c r="B651" s="356" t="s">
        <v>5405</v>
      </c>
      <c r="C651" s="356"/>
      <c r="D651" s="356" t="s">
        <v>310</v>
      </c>
      <c r="E651" s="356"/>
      <c r="F651" s="369"/>
      <c r="G651" s="863">
        <v>44926</v>
      </c>
      <c r="H651" s="807">
        <v>44896</v>
      </c>
    </row>
    <row r="652" spans="1:8" x14ac:dyDescent="0.35">
      <c r="A652" s="495" t="s">
        <v>201</v>
      </c>
      <c r="B652" s="356" t="s">
        <v>5410</v>
      </c>
      <c r="C652" s="356"/>
      <c r="D652" s="356" t="s">
        <v>310</v>
      </c>
      <c r="E652" s="356"/>
      <c r="F652" s="369"/>
      <c r="G652" s="863">
        <v>44926</v>
      </c>
      <c r="H652" s="807">
        <v>44896</v>
      </c>
    </row>
    <row r="653" spans="1:8" x14ac:dyDescent="0.35">
      <c r="A653" s="495" t="s">
        <v>202</v>
      </c>
      <c r="B653" s="356" t="s">
        <v>5411</v>
      </c>
      <c r="C653" s="356"/>
      <c r="D653" s="356" t="s">
        <v>310</v>
      </c>
      <c r="E653" s="356"/>
      <c r="F653" s="369"/>
      <c r="G653" s="863">
        <v>44926</v>
      </c>
      <c r="H653" s="807">
        <v>44896</v>
      </c>
    </row>
    <row r="654" spans="1:8" x14ac:dyDescent="0.35">
      <c r="A654" s="495" t="s">
        <v>203</v>
      </c>
      <c r="B654" s="356" t="s">
        <v>2034</v>
      </c>
      <c r="C654" s="356"/>
      <c r="D654" s="356" t="s">
        <v>310</v>
      </c>
      <c r="E654" s="356"/>
      <c r="F654" s="369"/>
      <c r="G654" s="863">
        <v>44926</v>
      </c>
      <c r="H654" s="807">
        <v>44896</v>
      </c>
    </row>
    <row r="655" spans="1:8" x14ac:dyDescent="0.35">
      <c r="A655" s="495" t="s">
        <v>204</v>
      </c>
      <c r="B655" s="356" t="s">
        <v>2067</v>
      </c>
      <c r="C655" s="356"/>
      <c r="D655" s="356" t="s">
        <v>310</v>
      </c>
      <c r="E655" s="356"/>
      <c r="F655" s="369"/>
      <c r="G655" s="863">
        <v>44926</v>
      </c>
      <c r="H655" s="807">
        <v>44896</v>
      </c>
    </row>
    <row r="656" spans="1:8" x14ac:dyDescent="0.35">
      <c r="A656" s="495" t="s">
        <v>205</v>
      </c>
      <c r="B656" s="356" t="s">
        <v>3373</v>
      </c>
      <c r="C656" s="356"/>
      <c r="D656" s="356" t="s">
        <v>310</v>
      </c>
      <c r="E656" s="356"/>
      <c r="F656" s="369"/>
      <c r="G656" s="863">
        <v>44926</v>
      </c>
      <c r="H656" s="807">
        <v>44896</v>
      </c>
    </row>
    <row r="657" spans="1:8" x14ac:dyDescent="0.35">
      <c r="A657" s="495" t="s">
        <v>206</v>
      </c>
      <c r="B657" s="356" t="s">
        <v>3381</v>
      </c>
      <c r="C657" s="356"/>
      <c r="D657" s="356" t="s">
        <v>310</v>
      </c>
      <c r="E657" s="356"/>
      <c r="F657" s="369"/>
      <c r="G657" s="863">
        <v>44926</v>
      </c>
      <c r="H657" s="807">
        <v>44896</v>
      </c>
    </row>
    <row r="658" spans="1:8" x14ac:dyDescent="0.35">
      <c r="A658" s="495" t="s">
        <v>207</v>
      </c>
      <c r="B658" s="356" t="s">
        <v>3389</v>
      </c>
      <c r="C658" s="356"/>
      <c r="D658" s="356" t="s">
        <v>310</v>
      </c>
      <c r="E658" s="356"/>
      <c r="F658" s="369"/>
      <c r="G658" s="863">
        <v>44926</v>
      </c>
      <c r="H658" s="807">
        <v>44896</v>
      </c>
    </row>
    <row r="659" spans="1:8" x14ac:dyDescent="0.35">
      <c r="A659" s="495" t="s">
        <v>208</v>
      </c>
      <c r="B659" s="356" t="s">
        <v>740</v>
      </c>
      <c r="C659" s="356"/>
      <c r="D659" s="356" t="s">
        <v>310</v>
      </c>
      <c r="E659" s="356"/>
      <c r="F659" s="369"/>
      <c r="G659" s="863">
        <v>44926</v>
      </c>
      <c r="H659" s="807">
        <v>44896</v>
      </c>
    </row>
    <row r="660" spans="1:8" x14ac:dyDescent="0.35">
      <c r="A660" s="495" t="s">
        <v>209</v>
      </c>
      <c r="B660" s="356" t="s">
        <v>5434</v>
      </c>
      <c r="C660" s="356"/>
      <c r="D660" s="356" t="s">
        <v>310</v>
      </c>
      <c r="E660" s="356"/>
      <c r="F660" s="369"/>
      <c r="G660" s="863">
        <v>44926</v>
      </c>
      <c r="H660" s="807">
        <v>44896</v>
      </c>
    </row>
    <row r="661" spans="1:8" x14ac:dyDescent="0.35">
      <c r="A661" s="495" t="s">
        <v>266</v>
      </c>
      <c r="B661" s="356" t="s">
        <v>5434</v>
      </c>
      <c r="C661" s="356"/>
      <c r="D661" s="356" t="s">
        <v>310</v>
      </c>
      <c r="E661" s="356" t="s">
        <v>1053</v>
      </c>
      <c r="F661" s="369"/>
      <c r="G661" s="863">
        <v>44926</v>
      </c>
      <c r="H661" s="807">
        <v>44896</v>
      </c>
    </row>
    <row r="662" spans="1:8" x14ac:dyDescent="0.35">
      <c r="F662" s="387"/>
      <c r="G662" s="542"/>
      <c r="H662" s="807"/>
    </row>
    <row r="663" spans="1:8" ht="197.25" customHeight="1" x14ac:dyDescent="0.35">
      <c r="A663" s="897" t="s">
        <v>8076</v>
      </c>
      <c r="B663" s="897"/>
      <c r="C663" s="897"/>
      <c r="D663" s="897"/>
      <c r="E663" s="897"/>
      <c r="F663" s="897"/>
      <c r="G663" s="542"/>
      <c r="H663" s="807">
        <v>44896</v>
      </c>
    </row>
    <row r="664" spans="1:8" x14ac:dyDescent="0.35">
      <c r="F664" s="387"/>
      <c r="G664" s="542"/>
      <c r="H664" s="807"/>
    </row>
    <row r="665" spans="1:8" x14ac:dyDescent="0.35">
      <c r="A665" s="495" t="s">
        <v>223</v>
      </c>
      <c r="B665" s="356" t="s">
        <v>2269</v>
      </c>
      <c r="C665" s="356"/>
      <c r="D665" s="356" t="s">
        <v>308</v>
      </c>
      <c r="E665" s="356"/>
      <c r="F665" s="369"/>
      <c r="G665" s="863">
        <v>44926</v>
      </c>
      <c r="H665" s="807">
        <v>44896</v>
      </c>
    </row>
    <row r="666" spans="1:8" x14ac:dyDescent="0.35">
      <c r="A666" s="495" t="s">
        <v>224</v>
      </c>
      <c r="B666" s="356" t="s">
        <v>5547</v>
      </c>
      <c r="C666" s="356"/>
      <c r="D666" s="356" t="s">
        <v>308</v>
      </c>
      <c r="E666" s="356"/>
      <c r="F666" s="369"/>
      <c r="G666" s="863">
        <v>44926</v>
      </c>
      <c r="H666" s="807">
        <v>44896</v>
      </c>
    </row>
    <row r="667" spans="1:8" x14ac:dyDescent="0.35">
      <c r="A667" s="495" t="s">
        <v>225</v>
      </c>
      <c r="B667" s="356" t="s">
        <v>4846</v>
      </c>
      <c r="C667" s="356"/>
      <c r="D667" s="356" t="s">
        <v>308</v>
      </c>
      <c r="E667" s="356"/>
      <c r="F667" s="369"/>
      <c r="G667" s="863">
        <v>44926</v>
      </c>
      <c r="H667" s="807">
        <v>44896</v>
      </c>
    </row>
    <row r="668" spans="1:8" x14ac:dyDescent="0.35">
      <c r="A668" s="495" t="s">
        <v>226</v>
      </c>
      <c r="B668" s="356" t="s">
        <v>5405</v>
      </c>
      <c r="C668" s="356"/>
      <c r="D668" s="356" t="s">
        <v>308</v>
      </c>
      <c r="E668" s="356"/>
      <c r="F668" s="369"/>
      <c r="G668" s="863">
        <v>44926</v>
      </c>
      <c r="H668" s="807">
        <v>44896</v>
      </c>
    </row>
    <row r="669" spans="1:8" x14ac:dyDescent="0.35">
      <c r="A669" s="495" t="s">
        <v>227</v>
      </c>
      <c r="B669" s="356" t="s">
        <v>5410</v>
      </c>
      <c r="C669" s="356"/>
      <c r="D669" s="356" t="s">
        <v>308</v>
      </c>
      <c r="E669" s="356"/>
      <c r="F669" s="369"/>
      <c r="G669" s="863">
        <v>44926</v>
      </c>
      <c r="H669" s="807">
        <v>44896</v>
      </c>
    </row>
    <row r="670" spans="1:8" x14ac:dyDescent="0.35">
      <c r="A670" s="495" t="s">
        <v>228</v>
      </c>
      <c r="B670" s="356" t="s">
        <v>5411</v>
      </c>
      <c r="C670" s="356"/>
      <c r="D670" s="356" t="s">
        <v>308</v>
      </c>
      <c r="E670" s="356"/>
      <c r="F670" s="369"/>
      <c r="G670" s="863">
        <v>44926</v>
      </c>
      <c r="H670" s="807">
        <v>44896</v>
      </c>
    </row>
    <row r="671" spans="1:8" x14ac:dyDescent="0.35">
      <c r="A671" s="495" t="s">
        <v>229</v>
      </c>
      <c r="B671" s="356" t="s">
        <v>2034</v>
      </c>
      <c r="C671" s="356"/>
      <c r="D671" s="356" t="s">
        <v>308</v>
      </c>
      <c r="E671" s="356"/>
      <c r="F671" s="369"/>
      <c r="G671" s="863">
        <v>44926</v>
      </c>
      <c r="H671" s="807">
        <v>44896</v>
      </c>
    </row>
    <row r="672" spans="1:8" x14ac:dyDescent="0.35">
      <c r="A672" s="495" t="s">
        <v>230</v>
      </c>
      <c r="B672" s="356" t="s">
        <v>2067</v>
      </c>
      <c r="C672" s="356"/>
      <c r="D672" s="356" t="s">
        <v>308</v>
      </c>
      <c r="E672" s="356"/>
      <c r="F672" s="369"/>
      <c r="G672" s="863">
        <v>44926</v>
      </c>
      <c r="H672" s="807">
        <v>44896</v>
      </c>
    </row>
    <row r="673" spans="1:8" x14ac:dyDescent="0.35">
      <c r="A673" s="495" t="s">
        <v>231</v>
      </c>
      <c r="B673" s="356" t="s">
        <v>3373</v>
      </c>
      <c r="C673" s="356"/>
      <c r="D673" s="356" t="s">
        <v>308</v>
      </c>
      <c r="E673" s="356"/>
      <c r="F673" s="369"/>
      <c r="G673" s="863">
        <v>44926</v>
      </c>
      <c r="H673" s="807">
        <v>44896</v>
      </c>
    </row>
    <row r="674" spans="1:8" x14ac:dyDescent="0.35">
      <c r="A674" s="495" t="s">
        <v>232</v>
      </c>
      <c r="B674" s="356" t="s">
        <v>3381</v>
      </c>
      <c r="C674" s="356"/>
      <c r="D674" s="356" t="s">
        <v>308</v>
      </c>
      <c r="E674" s="356"/>
      <c r="F674" s="369"/>
      <c r="G674" s="863">
        <v>44926</v>
      </c>
      <c r="H674" s="807">
        <v>44896</v>
      </c>
    </row>
    <row r="675" spans="1:8" x14ac:dyDescent="0.35">
      <c r="A675" s="495" t="s">
        <v>233</v>
      </c>
      <c r="B675" s="356" t="s">
        <v>3389</v>
      </c>
      <c r="C675" s="356"/>
      <c r="D675" s="356" t="s">
        <v>308</v>
      </c>
      <c r="E675" s="356"/>
      <c r="F675" s="369"/>
      <c r="G675" s="863">
        <v>44926</v>
      </c>
      <c r="H675" s="807">
        <v>44896</v>
      </c>
    </row>
    <row r="676" spans="1:8" x14ac:dyDescent="0.35">
      <c r="A676" s="495" t="s">
        <v>234</v>
      </c>
      <c r="B676" s="356" t="s">
        <v>740</v>
      </c>
      <c r="C676" s="356"/>
      <c r="D676" s="356" t="s">
        <v>308</v>
      </c>
      <c r="E676" s="356"/>
      <c r="F676" s="369"/>
      <c r="G676" s="863">
        <v>44926</v>
      </c>
      <c r="H676" s="807">
        <v>44896</v>
      </c>
    </row>
    <row r="677" spans="1:8" x14ac:dyDescent="0.35">
      <c r="A677" s="495" t="s">
        <v>235</v>
      </c>
      <c r="B677" s="356" t="s">
        <v>5434</v>
      </c>
      <c r="C677" s="356"/>
      <c r="D677" s="356" t="s">
        <v>308</v>
      </c>
      <c r="E677" s="356"/>
      <c r="F677" s="369"/>
      <c r="G677" s="863">
        <v>44926</v>
      </c>
      <c r="H677" s="807">
        <v>44896</v>
      </c>
    </row>
    <row r="678" spans="1:8" x14ac:dyDescent="0.35">
      <c r="A678" s="495" t="s">
        <v>268</v>
      </c>
      <c r="B678" s="356" t="s">
        <v>5434</v>
      </c>
      <c r="C678" s="356"/>
      <c r="D678" s="356" t="s">
        <v>308</v>
      </c>
      <c r="E678" s="356" t="s">
        <v>1053</v>
      </c>
      <c r="F678" s="369">
        <v>0</v>
      </c>
      <c r="G678" s="863">
        <v>44926</v>
      </c>
      <c r="H678" s="807">
        <v>44896</v>
      </c>
    </row>
    <row r="679" spans="1:8" x14ac:dyDescent="0.35">
      <c r="F679" s="387"/>
      <c r="G679" s="542"/>
      <c r="H679" s="807"/>
    </row>
    <row r="680" spans="1:8" ht="144.75" customHeight="1" x14ac:dyDescent="0.35">
      <c r="A680" s="897" t="s">
        <v>8077</v>
      </c>
      <c r="B680" s="897"/>
      <c r="C680" s="897"/>
      <c r="D680" s="897"/>
      <c r="E680" s="897"/>
      <c r="F680" s="897"/>
      <c r="G680" s="542"/>
      <c r="H680" s="807">
        <v>44896</v>
      </c>
    </row>
    <row r="681" spans="1:8" x14ac:dyDescent="0.35">
      <c r="F681" s="387"/>
      <c r="G681" s="542"/>
      <c r="H681" s="807"/>
    </row>
    <row r="682" spans="1:8" x14ac:dyDescent="0.35">
      <c r="A682" s="495" t="s">
        <v>236</v>
      </c>
      <c r="B682" s="356" t="s">
        <v>2269</v>
      </c>
      <c r="C682" s="356"/>
      <c r="D682" s="356" t="s">
        <v>312</v>
      </c>
      <c r="E682" s="356"/>
      <c r="F682" s="369"/>
      <c r="G682" s="863">
        <v>44926</v>
      </c>
      <c r="H682" s="807">
        <v>44896</v>
      </c>
    </row>
    <row r="683" spans="1:8" x14ac:dyDescent="0.35">
      <c r="A683" s="495" t="s">
        <v>237</v>
      </c>
      <c r="B683" s="356" t="s">
        <v>5547</v>
      </c>
      <c r="C683" s="356"/>
      <c r="D683" s="356" t="s">
        <v>312</v>
      </c>
      <c r="E683" s="356"/>
      <c r="F683" s="369"/>
      <c r="G683" s="863">
        <v>44926</v>
      </c>
      <c r="H683" s="807">
        <v>44896</v>
      </c>
    </row>
    <row r="684" spans="1:8" x14ac:dyDescent="0.35">
      <c r="A684" s="495" t="s">
        <v>238</v>
      </c>
      <c r="B684" s="356" t="s">
        <v>4846</v>
      </c>
      <c r="C684" s="356"/>
      <c r="D684" s="356" t="s">
        <v>312</v>
      </c>
      <c r="E684" s="356"/>
      <c r="F684" s="369"/>
      <c r="G684" s="863">
        <v>44926</v>
      </c>
      <c r="H684" s="807">
        <v>44896</v>
      </c>
    </row>
    <row r="685" spans="1:8" x14ac:dyDescent="0.35">
      <c r="A685" s="495" t="s">
        <v>239</v>
      </c>
      <c r="B685" s="356" t="s">
        <v>5405</v>
      </c>
      <c r="C685" s="356"/>
      <c r="D685" s="356" t="s">
        <v>312</v>
      </c>
      <c r="E685" s="356"/>
      <c r="F685" s="369"/>
      <c r="G685" s="863">
        <v>44926</v>
      </c>
      <c r="H685" s="807">
        <v>44896</v>
      </c>
    </row>
    <row r="686" spans="1:8" x14ac:dyDescent="0.35">
      <c r="A686" s="495" t="s">
        <v>240</v>
      </c>
      <c r="B686" s="356" t="s">
        <v>5410</v>
      </c>
      <c r="C686" s="356"/>
      <c r="D686" s="356" t="s">
        <v>312</v>
      </c>
      <c r="E686" s="356"/>
      <c r="F686" s="369"/>
      <c r="G686" s="863">
        <v>44926</v>
      </c>
      <c r="H686" s="807">
        <v>44896</v>
      </c>
    </row>
    <row r="687" spans="1:8" x14ac:dyDescent="0.35">
      <c r="A687" s="495" t="s">
        <v>241</v>
      </c>
      <c r="B687" s="356" t="s">
        <v>5411</v>
      </c>
      <c r="C687" s="356"/>
      <c r="D687" s="356" t="s">
        <v>312</v>
      </c>
      <c r="E687" s="356"/>
      <c r="F687" s="369"/>
      <c r="G687" s="863">
        <v>44926</v>
      </c>
      <c r="H687" s="807">
        <v>44896</v>
      </c>
    </row>
    <row r="688" spans="1:8" x14ac:dyDescent="0.35">
      <c r="A688" s="495" t="s">
        <v>242</v>
      </c>
      <c r="B688" s="356" t="s">
        <v>2034</v>
      </c>
      <c r="C688" s="356"/>
      <c r="D688" s="356" t="s">
        <v>312</v>
      </c>
      <c r="E688" s="356"/>
      <c r="F688" s="369"/>
      <c r="G688" s="863">
        <v>44926</v>
      </c>
      <c r="H688" s="807">
        <v>44896</v>
      </c>
    </row>
    <row r="689" spans="1:8" x14ac:dyDescent="0.35">
      <c r="A689" s="495" t="s">
        <v>243</v>
      </c>
      <c r="B689" s="356" t="s">
        <v>2067</v>
      </c>
      <c r="C689" s="356"/>
      <c r="D689" s="356" t="s">
        <v>312</v>
      </c>
      <c r="E689" s="356"/>
      <c r="F689" s="369"/>
      <c r="G689" s="863">
        <v>44926</v>
      </c>
      <c r="H689" s="807">
        <v>44896</v>
      </c>
    </row>
    <row r="690" spans="1:8" x14ac:dyDescent="0.35">
      <c r="A690" s="495" t="s">
        <v>244</v>
      </c>
      <c r="B690" s="356" t="s">
        <v>3373</v>
      </c>
      <c r="C690" s="356"/>
      <c r="D690" s="356" t="s">
        <v>312</v>
      </c>
      <c r="E690" s="356"/>
      <c r="F690" s="369"/>
      <c r="G690" s="863">
        <v>44926</v>
      </c>
      <c r="H690" s="807">
        <v>44896</v>
      </c>
    </row>
    <row r="691" spans="1:8" x14ac:dyDescent="0.35">
      <c r="A691" s="495" t="s">
        <v>245</v>
      </c>
      <c r="B691" s="356" t="s">
        <v>3381</v>
      </c>
      <c r="C691" s="356"/>
      <c r="D691" s="356" t="s">
        <v>312</v>
      </c>
      <c r="E691" s="356"/>
      <c r="F691" s="369"/>
      <c r="G691" s="863">
        <v>44926</v>
      </c>
      <c r="H691" s="807">
        <v>44896</v>
      </c>
    </row>
    <row r="692" spans="1:8" x14ac:dyDescent="0.35">
      <c r="A692" s="495" t="s">
        <v>246</v>
      </c>
      <c r="B692" s="356" t="s">
        <v>3389</v>
      </c>
      <c r="C692" s="356"/>
      <c r="D692" s="356" t="s">
        <v>312</v>
      </c>
      <c r="E692" s="356"/>
      <c r="F692" s="369"/>
      <c r="G692" s="863">
        <v>44926</v>
      </c>
      <c r="H692" s="807">
        <v>44896</v>
      </c>
    </row>
    <row r="693" spans="1:8" x14ac:dyDescent="0.35">
      <c r="A693" s="495" t="s">
        <v>247</v>
      </c>
      <c r="B693" s="356" t="s">
        <v>740</v>
      </c>
      <c r="C693" s="356"/>
      <c r="D693" s="356" t="s">
        <v>312</v>
      </c>
      <c r="E693" s="356"/>
      <c r="F693" s="369"/>
      <c r="G693" s="863">
        <v>44926</v>
      </c>
      <c r="H693" s="807">
        <v>44896</v>
      </c>
    </row>
    <row r="694" spans="1:8" x14ac:dyDescent="0.35">
      <c r="A694" s="495" t="s">
        <v>248</v>
      </c>
      <c r="B694" s="356" t="s">
        <v>5434</v>
      </c>
      <c r="C694" s="356"/>
      <c r="D694" s="356" t="s">
        <v>312</v>
      </c>
      <c r="E694" s="356"/>
      <c r="F694" s="369"/>
      <c r="G694" s="863">
        <v>44926</v>
      </c>
      <c r="H694" s="807">
        <v>44896</v>
      </c>
    </row>
    <row r="695" spans="1:8" x14ac:dyDescent="0.35">
      <c r="A695" s="495" t="s">
        <v>269</v>
      </c>
      <c r="B695" s="356" t="s">
        <v>5434</v>
      </c>
      <c r="C695" s="356"/>
      <c r="D695" s="356" t="s">
        <v>312</v>
      </c>
      <c r="E695" s="356" t="s">
        <v>1053</v>
      </c>
      <c r="F695" s="369">
        <v>0</v>
      </c>
      <c r="G695" s="863">
        <v>44926</v>
      </c>
      <c r="H695" s="807">
        <v>44896</v>
      </c>
    </row>
    <row r="696" spans="1:8" x14ac:dyDescent="0.35">
      <c r="G696" s="542"/>
    </row>
    <row r="697" spans="1:8" ht="396" customHeight="1" x14ac:dyDescent="0.35">
      <c r="A697" s="897" t="s">
        <v>7825</v>
      </c>
      <c r="B697" s="897"/>
      <c r="C697" s="897"/>
      <c r="D697" s="897"/>
      <c r="E697" s="897"/>
      <c r="F697" s="897"/>
      <c r="G697" s="542"/>
      <c r="H697" s="807">
        <v>44896</v>
      </c>
    </row>
    <row r="698" spans="1:8" ht="27.75" customHeight="1" x14ac:dyDescent="0.35">
      <c r="A698" s="897" t="s">
        <v>8078</v>
      </c>
      <c r="B698" s="897"/>
      <c r="C698" s="897"/>
      <c r="D698" s="897"/>
      <c r="E698" s="897"/>
      <c r="F698" s="897"/>
      <c r="G698" s="542"/>
      <c r="H698" s="807">
        <v>44896</v>
      </c>
    </row>
    <row r="699" spans="1:8" x14ac:dyDescent="0.35">
      <c r="F699" s="387"/>
      <c r="G699" s="542"/>
      <c r="H699" s="807"/>
    </row>
    <row r="700" spans="1:8" x14ac:dyDescent="0.35">
      <c r="A700" s="528" t="s">
        <v>6042</v>
      </c>
      <c r="B700" s="529" t="s">
        <v>2269</v>
      </c>
      <c r="C700" s="529"/>
      <c r="D700" s="533" t="s">
        <v>6070</v>
      </c>
      <c r="E700" s="529"/>
      <c r="F700" s="530"/>
      <c r="G700" s="863">
        <v>44926</v>
      </c>
      <c r="H700" s="807">
        <v>44896</v>
      </c>
    </row>
    <row r="701" spans="1:8" x14ac:dyDescent="0.35">
      <c r="A701" s="528" t="s">
        <v>6043</v>
      </c>
      <c r="B701" s="529" t="s">
        <v>5547</v>
      </c>
      <c r="C701" s="529"/>
      <c r="D701" s="533" t="s">
        <v>6070</v>
      </c>
      <c r="E701" s="529"/>
      <c r="F701" s="530"/>
      <c r="G701" s="863">
        <v>44926</v>
      </c>
      <c r="H701" s="807">
        <v>44896</v>
      </c>
    </row>
    <row r="702" spans="1:8" x14ac:dyDescent="0.35">
      <c r="A702" s="528" t="s">
        <v>6044</v>
      </c>
      <c r="B702" s="529" t="s">
        <v>4846</v>
      </c>
      <c r="C702" s="529"/>
      <c r="D702" s="533" t="s">
        <v>6070</v>
      </c>
      <c r="E702" s="529"/>
      <c r="F702" s="530"/>
      <c r="G702" s="863">
        <v>44926</v>
      </c>
      <c r="H702" s="807">
        <v>44896</v>
      </c>
    </row>
    <row r="703" spans="1:8" x14ac:dyDescent="0.35">
      <c r="A703" s="528" t="s">
        <v>6045</v>
      </c>
      <c r="B703" s="529" t="s">
        <v>5405</v>
      </c>
      <c r="C703" s="529"/>
      <c r="D703" s="533" t="s">
        <v>6070</v>
      </c>
      <c r="E703" s="529"/>
      <c r="F703" s="530"/>
      <c r="G703" s="863">
        <v>44926</v>
      </c>
      <c r="H703" s="807">
        <v>44896</v>
      </c>
    </row>
    <row r="704" spans="1:8" x14ac:dyDescent="0.35">
      <c r="A704" s="528" t="s">
        <v>6046</v>
      </c>
      <c r="B704" s="529" t="s">
        <v>5410</v>
      </c>
      <c r="C704" s="529"/>
      <c r="D704" s="533" t="s">
        <v>6070</v>
      </c>
      <c r="E704" s="529"/>
      <c r="F704" s="530"/>
      <c r="G704" s="863">
        <v>44926</v>
      </c>
      <c r="H704" s="807">
        <v>44896</v>
      </c>
    </row>
    <row r="705" spans="1:8" x14ac:dyDescent="0.35">
      <c r="A705" s="528" t="s">
        <v>6047</v>
      </c>
      <c r="B705" s="529" t="s">
        <v>5411</v>
      </c>
      <c r="C705" s="529"/>
      <c r="D705" s="533" t="s">
        <v>6070</v>
      </c>
      <c r="E705" s="529"/>
      <c r="F705" s="530"/>
      <c r="G705" s="863">
        <v>44926</v>
      </c>
      <c r="H705" s="807">
        <v>44896</v>
      </c>
    </row>
    <row r="706" spans="1:8" x14ac:dyDescent="0.35">
      <c r="A706" s="528" t="s">
        <v>6048</v>
      </c>
      <c r="B706" s="529" t="s">
        <v>2034</v>
      </c>
      <c r="C706" s="529"/>
      <c r="D706" s="533" t="s">
        <v>6070</v>
      </c>
      <c r="E706" s="529"/>
      <c r="F706" s="530"/>
      <c r="G706" s="863">
        <v>44926</v>
      </c>
      <c r="H706" s="807">
        <v>44896</v>
      </c>
    </row>
    <row r="707" spans="1:8" x14ac:dyDescent="0.35">
      <c r="A707" s="528" t="s">
        <v>6049</v>
      </c>
      <c r="B707" s="529" t="s">
        <v>2067</v>
      </c>
      <c r="C707" s="529"/>
      <c r="D707" s="533" t="s">
        <v>6070</v>
      </c>
      <c r="E707" s="529"/>
      <c r="F707" s="530"/>
      <c r="G707" s="863">
        <v>44926</v>
      </c>
      <c r="H707" s="807">
        <v>44896</v>
      </c>
    </row>
    <row r="708" spans="1:8" x14ac:dyDescent="0.35">
      <c r="A708" s="528" t="s">
        <v>6050</v>
      </c>
      <c r="B708" s="529" t="s">
        <v>3373</v>
      </c>
      <c r="C708" s="529"/>
      <c r="D708" s="533" t="s">
        <v>6070</v>
      </c>
      <c r="E708" s="529"/>
      <c r="F708" s="530"/>
      <c r="G708" s="863">
        <v>44926</v>
      </c>
      <c r="H708" s="807">
        <v>44896</v>
      </c>
    </row>
    <row r="709" spans="1:8" x14ac:dyDescent="0.35">
      <c r="A709" s="528" t="s">
        <v>6051</v>
      </c>
      <c r="B709" s="529" t="s">
        <v>3381</v>
      </c>
      <c r="C709" s="529"/>
      <c r="D709" s="533" t="s">
        <v>6070</v>
      </c>
      <c r="E709" s="529"/>
      <c r="F709" s="530"/>
      <c r="G709" s="863">
        <v>44926</v>
      </c>
      <c r="H709" s="807">
        <v>44896</v>
      </c>
    </row>
    <row r="710" spans="1:8" x14ac:dyDescent="0.35">
      <c r="A710" s="528" t="s">
        <v>6052</v>
      </c>
      <c r="B710" s="529" t="s">
        <v>3389</v>
      </c>
      <c r="C710" s="529"/>
      <c r="D710" s="533" t="s">
        <v>6070</v>
      </c>
      <c r="E710" s="529"/>
      <c r="F710" s="530"/>
      <c r="G710" s="863">
        <v>44926</v>
      </c>
      <c r="H710" s="807">
        <v>44896</v>
      </c>
    </row>
    <row r="711" spans="1:8" x14ac:dyDescent="0.35">
      <c r="A711" s="528" t="s">
        <v>6053</v>
      </c>
      <c r="B711" s="529" t="s">
        <v>740</v>
      </c>
      <c r="C711" s="529"/>
      <c r="D711" s="533" t="s">
        <v>6070</v>
      </c>
      <c r="E711" s="529"/>
      <c r="F711" s="530"/>
      <c r="G711" s="863">
        <v>44926</v>
      </c>
      <c r="H711" s="807">
        <v>44896</v>
      </c>
    </row>
    <row r="712" spans="1:8" x14ac:dyDescent="0.35">
      <c r="A712" s="528" t="s">
        <v>6054</v>
      </c>
      <c r="B712" s="529" t="s">
        <v>5434</v>
      </c>
      <c r="C712" s="529"/>
      <c r="D712" s="533" t="s">
        <v>6070</v>
      </c>
      <c r="E712" s="529"/>
      <c r="F712" s="530"/>
      <c r="G712" s="863">
        <v>44926</v>
      </c>
      <c r="H712" s="807">
        <v>44896</v>
      </c>
    </row>
    <row r="713" spans="1:8" x14ac:dyDescent="0.35">
      <c r="F713" s="387"/>
      <c r="G713" s="542"/>
      <c r="H713" s="807"/>
    </row>
    <row r="714" spans="1:8" x14ac:dyDescent="0.35">
      <c r="A714" s="528" t="s">
        <v>6055</v>
      </c>
      <c r="B714" s="529" t="s">
        <v>2269</v>
      </c>
      <c r="C714" s="529"/>
      <c r="D714" s="533" t="s">
        <v>6071</v>
      </c>
      <c r="E714" s="529"/>
      <c r="F714" s="532"/>
      <c r="G714" s="863">
        <v>44926</v>
      </c>
      <c r="H714" s="807">
        <v>44896</v>
      </c>
    </row>
    <row r="715" spans="1:8" x14ac:dyDescent="0.35">
      <c r="A715" s="528" t="s">
        <v>6056</v>
      </c>
      <c r="B715" s="529" t="s">
        <v>5547</v>
      </c>
      <c r="C715" s="529"/>
      <c r="D715" s="533" t="s">
        <v>6071</v>
      </c>
      <c r="E715" s="529"/>
      <c r="F715" s="532"/>
      <c r="G715" s="863">
        <v>44926</v>
      </c>
      <c r="H715" s="807">
        <v>44896</v>
      </c>
    </row>
    <row r="716" spans="1:8" x14ac:dyDescent="0.35">
      <c r="A716" s="528" t="s">
        <v>6057</v>
      </c>
      <c r="B716" s="529" t="s">
        <v>4846</v>
      </c>
      <c r="C716" s="529"/>
      <c r="D716" s="533" t="s">
        <v>6071</v>
      </c>
      <c r="E716" s="529"/>
      <c r="F716" s="532"/>
      <c r="G716" s="863">
        <v>44926</v>
      </c>
      <c r="H716" s="807">
        <v>44896</v>
      </c>
    </row>
    <row r="717" spans="1:8" x14ac:dyDescent="0.35">
      <c r="A717" s="528" t="s">
        <v>6058</v>
      </c>
      <c r="B717" s="529" t="s">
        <v>5405</v>
      </c>
      <c r="C717" s="529"/>
      <c r="D717" s="533" t="s">
        <v>6071</v>
      </c>
      <c r="E717" s="529"/>
      <c r="F717" s="532"/>
      <c r="G717" s="863">
        <v>44926</v>
      </c>
      <c r="H717" s="807">
        <v>44896</v>
      </c>
    </row>
    <row r="718" spans="1:8" x14ac:dyDescent="0.35">
      <c r="A718" s="528" t="s">
        <v>6059</v>
      </c>
      <c r="B718" s="529" t="s">
        <v>5410</v>
      </c>
      <c r="C718" s="529"/>
      <c r="D718" s="533" t="s">
        <v>6071</v>
      </c>
      <c r="E718" s="529"/>
      <c r="F718" s="532"/>
      <c r="G718" s="863">
        <v>44926</v>
      </c>
      <c r="H718" s="807">
        <v>44896</v>
      </c>
    </row>
    <row r="719" spans="1:8" x14ac:dyDescent="0.35">
      <c r="A719" s="528" t="s">
        <v>6060</v>
      </c>
      <c r="B719" s="529" t="s">
        <v>5411</v>
      </c>
      <c r="C719" s="529"/>
      <c r="D719" s="533" t="s">
        <v>6071</v>
      </c>
      <c r="E719" s="529"/>
      <c r="F719" s="532"/>
      <c r="G719" s="863">
        <v>44926</v>
      </c>
      <c r="H719" s="807">
        <v>44896</v>
      </c>
    </row>
    <row r="720" spans="1:8" x14ac:dyDescent="0.35">
      <c r="A720" s="528" t="s">
        <v>6061</v>
      </c>
      <c r="B720" s="529" t="s">
        <v>2034</v>
      </c>
      <c r="C720" s="529"/>
      <c r="D720" s="533" t="s">
        <v>6071</v>
      </c>
      <c r="E720" s="529"/>
      <c r="F720" s="532"/>
      <c r="G720" s="863">
        <v>44926</v>
      </c>
      <c r="H720" s="807">
        <v>44896</v>
      </c>
    </row>
    <row r="721" spans="1:8" x14ac:dyDescent="0.35">
      <c r="A721" s="528" t="s">
        <v>6067</v>
      </c>
      <c r="B721" s="529" t="s">
        <v>2067</v>
      </c>
      <c r="C721" s="529"/>
      <c r="D721" s="533" t="s">
        <v>6071</v>
      </c>
      <c r="E721" s="529"/>
      <c r="F721" s="532"/>
      <c r="G721" s="863">
        <v>44926</v>
      </c>
      <c r="H721" s="807">
        <v>44896</v>
      </c>
    </row>
    <row r="722" spans="1:8" x14ac:dyDescent="0.35">
      <c r="A722" s="528" t="s">
        <v>6062</v>
      </c>
      <c r="B722" s="529" t="s">
        <v>3373</v>
      </c>
      <c r="C722" s="529"/>
      <c r="D722" s="533" t="s">
        <v>6071</v>
      </c>
      <c r="E722" s="529"/>
      <c r="F722" s="532"/>
      <c r="G722" s="863">
        <v>44926</v>
      </c>
      <c r="H722" s="807">
        <v>44896</v>
      </c>
    </row>
    <row r="723" spans="1:8" x14ac:dyDescent="0.35">
      <c r="A723" s="528" t="s">
        <v>6063</v>
      </c>
      <c r="B723" s="529" t="s">
        <v>3381</v>
      </c>
      <c r="C723" s="529"/>
      <c r="D723" s="533" t="s">
        <v>6071</v>
      </c>
      <c r="E723" s="529"/>
      <c r="F723" s="532"/>
      <c r="G723" s="863">
        <v>44926</v>
      </c>
      <c r="H723" s="807">
        <v>44896</v>
      </c>
    </row>
    <row r="724" spans="1:8" x14ac:dyDescent="0.35">
      <c r="A724" s="528" t="s">
        <v>6064</v>
      </c>
      <c r="B724" s="529" t="s">
        <v>3389</v>
      </c>
      <c r="C724" s="529"/>
      <c r="D724" s="533" t="s">
        <v>6071</v>
      </c>
      <c r="E724" s="529"/>
      <c r="F724" s="532"/>
      <c r="G724" s="863">
        <v>44926</v>
      </c>
      <c r="H724" s="807">
        <v>44896</v>
      </c>
    </row>
    <row r="725" spans="1:8" x14ac:dyDescent="0.35">
      <c r="A725" s="528" t="s">
        <v>6065</v>
      </c>
      <c r="B725" s="529" t="s">
        <v>740</v>
      </c>
      <c r="C725" s="529"/>
      <c r="D725" s="533" t="s">
        <v>6071</v>
      </c>
      <c r="E725" s="529"/>
      <c r="F725" s="532"/>
      <c r="G725" s="863">
        <v>44926</v>
      </c>
      <c r="H725" s="807">
        <v>44896</v>
      </c>
    </row>
    <row r="726" spans="1:8" x14ac:dyDescent="0.35">
      <c r="A726" s="528" t="s">
        <v>6066</v>
      </c>
      <c r="B726" s="529" t="s">
        <v>5434</v>
      </c>
      <c r="C726" s="529"/>
      <c r="D726" s="533" t="s">
        <v>6071</v>
      </c>
      <c r="E726" s="529"/>
      <c r="F726" s="532"/>
      <c r="G726" s="863">
        <v>44926</v>
      </c>
      <c r="H726" s="807">
        <v>44896</v>
      </c>
    </row>
    <row r="727" spans="1:8" x14ac:dyDescent="0.35">
      <c r="F727" s="387"/>
      <c r="G727" s="542"/>
      <c r="H727" s="807"/>
    </row>
    <row r="728" spans="1:8" x14ac:dyDescent="0.35">
      <c r="A728" s="528" t="s">
        <v>6321</v>
      </c>
      <c r="B728" s="529" t="s">
        <v>5434</v>
      </c>
      <c r="C728" s="529"/>
      <c r="D728" s="533" t="s">
        <v>6322</v>
      </c>
      <c r="E728" s="529"/>
      <c r="F728" s="532"/>
      <c r="G728" s="863">
        <v>44926</v>
      </c>
      <c r="H728" s="807">
        <v>44896</v>
      </c>
    </row>
    <row r="729" spans="1:8" x14ac:dyDescent="0.35">
      <c r="G729" s="542"/>
    </row>
    <row r="730" spans="1:8" ht="59.25" customHeight="1" x14ac:dyDescent="0.35">
      <c r="A730" s="896" t="s">
        <v>8079</v>
      </c>
      <c r="B730" s="896"/>
      <c r="C730" s="896"/>
      <c r="D730" s="896"/>
      <c r="E730" s="896"/>
      <c r="F730" s="896"/>
      <c r="G730" s="542"/>
      <c r="H730" s="807">
        <v>44896</v>
      </c>
    </row>
    <row r="731" spans="1:8" x14ac:dyDescent="0.35">
      <c r="F731" s="387"/>
      <c r="G731" s="542"/>
      <c r="H731" s="549" t="s">
        <v>4179</v>
      </c>
    </row>
    <row r="732" spans="1:8" x14ac:dyDescent="0.35">
      <c r="A732" s="652" t="s">
        <v>7869</v>
      </c>
      <c r="B732" s="526" t="s">
        <v>5434</v>
      </c>
      <c r="C732" s="526"/>
      <c r="D732" s="526" t="s">
        <v>7870</v>
      </c>
      <c r="E732" s="537"/>
      <c r="F732" s="538"/>
      <c r="G732" s="863">
        <v>44926</v>
      </c>
      <c r="H732" s="807">
        <v>44896</v>
      </c>
    </row>
    <row r="733" spans="1:8" s="874" customFormat="1" x14ac:dyDescent="0.35">
      <c r="F733" s="875"/>
      <c r="H733" s="807"/>
    </row>
  </sheetData>
  <autoFilter ref="A3:I733" xr:uid="{00000000-0009-0000-0000-000004000000}"/>
  <mergeCells count="57">
    <mergeCell ref="A561:F561"/>
    <mergeCell ref="A730:F730"/>
    <mergeCell ref="A235:F235"/>
    <mergeCell ref="A411:F411"/>
    <mergeCell ref="A543:F543"/>
    <mergeCell ref="A421:F421"/>
    <mergeCell ref="A698:F698"/>
    <mergeCell ref="A697:F697"/>
    <mergeCell ref="A595:F595"/>
    <mergeCell ref="A578:F578"/>
    <mergeCell ref="A612:F612"/>
    <mergeCell ref="A629:F629"/>
    <mergeCell ref="A646:F646"/>
    <mergeCell ref="A680:F680"/>
    <mergeCell ref="A663:F663"/>
    <mergeCell ref="A16:F16"/>
    <mergeCell ref="A268:F268"/>
    <mergeCell ref="A168:F168"/>
    <mergeCell ref="A515:F515"/>
    <mergeCell ref="A151:F151"/>
    <mergeCell ref="A154:F154"/>
    <mergeCell ref="A153:F153"/>
    <mergeCell ref="A152:F152"/>
    <mergeCell ref="A162:F162"/>
    <mergeCell ref="A474:F474"/>
    <mergeCell ref="A201:F201"/>
    <mergeCell ref="A335:F335"/>
    <mergeCell ref="A351:F351"/>
    <mergeCell ref="A393:F393"/>
    <mergeCell ref="A404:F404"/>
    <mergeCell ref="A377:F377"/>
    <mergeCell ref="A1:H1"/>
    <mergeCell ref="A134:F134"/>
    <mergeCell ref="A46:F46"/>
    <mergeCell ref="A319:F319"/>
    <mergeCell ref="A360:F360"/>
    <mergeCell ref="A252:F252"/>
    <mergeCell ref="A184:F184"/>
    <mergeCell ref="A272:F272"/>
    <mergeCell ref="A160:F160"/>
    <mergeCell ref="A288:F288"/>
    <mergeCell ref="A218:F218"/>
    <mergeCell ref="A5:F5"/>
    <mergeCell ref="A12:F12"/>
    <mergeCell ref="A133:F133"/>
    <mergeCell ref="A132:F132"/>
    <mergeCell ref="A131:F131"/>
    <mergeCell ref="H543:I543"/>
    <mergeCell ref="A422:F422"/>
    <mergeCell ref="A423:F423"/>
    <mergeCell ref="A473:F473"/>
    <mergeCell ref="A521:F521"/>
    <mergeCell ref="A523:F523"/>
    <mergeCell ref="A534:F534"/>
    <mergeCell ref="A533:F533"/>
    <mergeCell ref="A522:F522"/>
    <mergeCell ref="A528:F528"/>
  </mergeCells>
  <phoneticPr fontId="11" type="noConversion"/>
  <conditionalFormatting sqref="I545:I546">
    <cfRule type="cellIs" dxfId="54" priority="1" stopIfTrue="1" operator="notEqual">
      <formula>0</formula>
    </cfRule>
  </conditionalFormatting>
  <pageMargins left="0.7" right="0.7" top="0.78740157499999996" bottom="0.78740157499999996"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dimension ref="A1:AZ682"/>
  <sheetViews>
    <sheetView workbookViewId="0">
      <selection activeCell="A5" sqref="A5"/>
    </sheetView>
  </sheetViews>
  <sheetFormatPr baseColWidth="10" defaultColWidth="11.453125" defaultRowHeight="14.5" x14ac:dyDescent="0.35"/>
  <cols>
    <col min="1" max="1" width="21.453125" customWidth="1"/>
    <col min="2" max="2" width="17.453125" customWidth="1"/>
    <col min="3" max="3" width="26.453125" customWidth="1"/>
    <col min="4" max="4" width="71" customWidth="1"/>
    <col min="5" max="5" width="28.54296875" customWidth="1"/>
    <col min="6" max="6" width="19.453125" customWidth="1"/>
    <col min="7" max="8" width="36.54296875" customWidth="1"/>
  </cols>
  <sheetData>
    <row r="1" spans="1:8" ht="26" x14ac:dyDescent="0.6">
      <c r="A1" s="934" t="str">
        <f>"EEG-Vergütungskategorien deren Anspruch auf eine Förderung im Leistungsjahr "&amp;RIGHT('EEG-Vergütungen und vNNE'!A1:D1,4)&amp;" beendet ist."</f>
        <v>EEG-Vergütungskategorien deren Anspruch auf eine Förderung im Leistungsjahr 2024 beendet ist.</v>
      </c>
      <c r="B1" s="934"/>
      <c r="C1" s="934"/>
      <c r="D1" s="934"/>
      <c r="E1" s="934"/>
      <c r="G1" s="542"/>
    </row>
    <row r="2" spans="1:8" x14ac:dyDescent="0.35">
      <c r="G2" s="542"/>
    </row>
    <row r="3" spans="1:8" s="207" customFormat="1" ht="39" x14ac:dyDescent="0.35">
      <c r="A3" s="304" t="s">
        <v>2263</v>
      </c>
      <c r="B3" s="305" t="s">
        <v>2264</v>
      </c>
      <c r="C3" s="305" t="s">
        <v>2265</v>
      </c>
      <c r="D3" s="305" t="s">
        <v>2266</v>
      </c>
      <c r="E3" s="305" t="s">
        <v>2267</v>
      </c>
      <c r="F3" s="306" t="s">
        <v>451</v>
      </c>
      <c r="G3" s="306" t="s">
        <v>6490</v>
      </c>
      <c r="H3" s="306" t="s">
        <v>5827</v>
      </c>
    </row>
    <row r="5" spans="1:8" x14ac:dyDescent="0.35">
      <c r="A5" s="496" t="s">
        <v>1277</v>
      </c>
      <c r="B5" s="1" t="s">
        <v>2269</v>
      </c>
      <c r="C5" s="1" t="s">
        <v>1275</v>
      </c>
      <c r="D5" s="1" t="s">
        <v>1278</v>
      </c>
      <c r="E5" s="1"/>
      <c r="F5" s="362">
        <v>7.67</v>
      </c>
      <c r="G5" s="631">
        <v>43830</v>
      </c>
      <c r="H5" s="633">
        <v>43796</v>
      </c>
    </row>
    <row r="6" spans="1:8" x14ac:dyDescent="0.35">
      <c r="A6" s="496" t="s">
        <v>1279</v>
      </c>
      <c r="B6" s="1" t="s">
        <v>2269</v>
      </c>
      <c r="C6" s="1" t="s">
        <v>1275</v>
      </c>
      <c r="D6" s="1" t="s">
        <v>1280</v>
      </c>
      <c r="E6" s="1"/>
      <c r="F6" s="362">
        <v>6.65</v>
      </c>
      <c r="G6" s="631">
        <v>43830</v>
      </c>
      <c r="H6" s="633">
        <v>43796</v>
      </c>
    </row>
    <row r="7" spans="1:8" x14ac:dyDescent="0.35">
      <c r="A7" s="496" t="s">
        <v>1281</v>
      </c>
      <c r="B7" s="1" t="s">
        <v>2269</v>
      </c>
      <c r="C7" s="1" t="s">
        <v>1275</v>
      </c>
      <c r="D7" s="1" t="s">
        <v>1282</v>
      </c>
      <c r="E7" s="1"/>
      <c r="F7" s="362">
        <v>6.1</v>
      </c>
      <c r="G7" s="631">
        <v>43830</v>
      </c>
      <c r="H7" s="633">
        <v>43796</v>
      </c>
    </row>
    <row r="8" spans="1:8" x14ac:dyDescent="0.35">
      <c r="A8" s="496" t="s">
        <v>1283</v>
      </c>
      <c r="B8" s="1" t="s">
        <v>2269</v>
      </c>
      <c r="C8" s="1" t="s">
        <v>1275</v>
      </c>
      <c r="D8" s="1" t="s">
        <v>1284</v>
      </c>
      <c r="E8" s="1"/>
      <c r="F8" s="362">
        <v>4.5599999999999996</v>
      </c>
      <c r="G8" s="631">
        <v>43830</v>
      </c>
      <c r="H8" s="633">
        <v>43796</v>
      </c>
    </row>
    <row r="9" spans="1:8" x14ac:dyDescent="0.35">
      <c r="A9" s="496" t="s">
        <v>1285</v>
      </c>
      <c r="B9" s="1" t="s">
        <v>2269</v>
      </c>
      <c r="C9" s="1" t="s">
        <v>1275</v>
      </c>
      <c r="D9" s="1" t="s">
        <v>1286</v>
      </c>
      <c r="E9" s="1"/>
      <c r="F9" s="362">
        <v>3.7</v>
      </c>
      <c r="G9" s="631">
        <v>43830</v>
      </c>
      <c r="H9" s="633">
        <v>43796</v>
      </c>
    </row>
    <row r="11" spans="1:8" x14ac:dyDescent="0.35">
      <c r="A11" s="496" t="s">
        <v>1290</v>
      </c>
      <c r="B11" s="1" t="s">
        <v>2269</v>
      </c>
      <c r="C11" s="1" t="s">
        <v>1288</v>
      </c>
      <c r="D11" s="1" t="s">
        <v>1278</v>
      </c>
      <c r="E11" s="1"/>
      <c r="F11" s="362">
        <v>7.59</v>
      </c>
      <c r="G11" s="631">
        <v>44196</v>
      </c>
      <c r="H11" s="633">
        <v>44196</v>
      </c>
    </row>
    <row r="12" spans="1:8" x14ac:dyDescent="0.35">
      <c r="A12" s="496" t="s">
        <v>1291</v>
      </c>
      <c r="B12" s="1" t="s">
        <v>2269</v>
      </c>
      <c r="C12" s="1" t="s">
        <v>1288</v>
      </c>
      <c r="D12" s="1" t="s">
        <v>1280</v>
      </c>
      <c r="E12" s="1"/>
      <c r="F12" s="362">
        <v>6.58</v>
      </c>
      <c r="G12" s="631">
        <v>44196</v>
      </c>
      <c r="H12" s="633">
        <v>44196</v>
      </c>
    </row>
    <row r="13" spans="1:8" x14ac:dyDescent="0.35">
      <c r="A13" s="496" t="s">
        <v>1292</v>
      </c>
      <c r="B13" s="1" t="s">
        <v>2269</v>
      </c>
      <c r="C13" s="1" t="s">
        <v>1288</v>
      </c>
      <c r="D13" s="1" t="s">
        <v>1282</v>
      </c>
      <c r="E13" s="1"/>
      <c r="F13" s="362">
        <v>6.04</v>
      </c>
      <c r="G13" s="631">
        <v>44196</v>
      </c>
      <c r="H13" s="633">
        <v>44196</v>
      </c>
    </row>
    <row r="14" spans="1:8" x14ac:dyDescent="0.35">
      <c r="A14" s="496" t="s">
        <v>1293</v>
      </c>
      <c r="B14" s="1" t="s">
        <v>2269</v>
      </c>
      <c r="C14" s="1" t="s">
        <v>1288</v>
      </c>
      <c r="D14" s="1" t="s">
        <v>1284</v>
      </c>
      <c r="E14" s="1"/>
      <c r="F14" s="362">
        <v>4.51</v>
      </c>
      <c r="G14" s="631">
        <v>44196</v>
      </c>
      <c r="H14" s="633">
        <v>44196</v>
      </c>
    </row>
    <row r="15" spans="1:8" x14ac:dyDescent="0.35">
      <c r="A15" s="496" t="s">
        <v>1294</v>
      </c>
      <c r="B15" s="1" t="s">
        <v>2269</v>
      </c>
      <c r="C15" s="1" t="s">
        <v>1288</v>
      </c>
      <c r="D15" s="1" t="s">
        <v>1286</v>
      </c>
      <c r="E15" s="1"/>
      <c r="F15" s="362">
        <v>3.66</v>
      </c>
      <c r="G15" s="631">
        <v>44196</v>
      </c>
      <c r="H15" s="633">
        <v>44196</v>
      </c>
    </row>
    <row r="17" spans="1:8" x14ac:dyDescent="0.35">
      <c r="A17" s="496" t="s">
        <v>1298</v>
      </c>
      <c r="B17" s="1" t="s">
        <v>2269</v>
      </c>
      <c r="C17" s="1" t="s">
        <v>1296</v>
      </c>
      <c r="D17" s="1" t="s">
        <v>7659</v>
      </c>
      <c r="E17" s="1"/>
      <c r="F17" s="362">
        <v>7.51</v>
      </c>
      <c r="G17" s="631">
        <v>44561</v>
      </c>
      <c r="H17" s="633">
        <v>44536</v>
      </c>
    </row>
    <row r="18" spans="1:8" x14ac:dyDescent="0.35">
      <c r="A18" s="496" t="s">
        <v>1299</v>
      </c>
      <c r="B18" s="1" t="s">
        <v>2269</v>
      </c>
      <c r="C18" s="1" t="s">
        <v>1296</v>
      </c>
      <c r="D18" s="1" t="s">
        <v>7660</v>
      </c>
      <c r="E18" s="1"/>
      <c r="F18" s="362">
        <v>6.51</v>
      </c>
      <c r="G18" s="631">
        <v>44561</v>
      </c>
      <c r="H18" s="633">
        <v>44536</v>
      </c>
    </row>
    <row r="19" spans="1:8" x14ac:dyDescent="0.35">
      <c r="A19" s="496" t="s">
        <v>1300</v>
      </c>
      <c r="B19" s="1" t="s">
        <v>2269</v>
      </c>
      <c r="C19" s="1" t="s">
        <v>1296</v>
      </c>
      <c r="D19" s="1" t="s">
        <v>1282</v>
      </c>
      <c r="E19" s="1"/>
      <c r="F19" s="362">
        <v>5.98</v>
      </c>
      <c r="G19" s="631">
        <v>44561</v>
      </c>
      <c r="H19" s="633">
        <v>44536</v>
      </c>
    </row>
    <row r="20" spans="1:8" x14ac:dyDescent="0.35">
      <c r="A20" s="496" t="s">
        <v>1301</v>
      </c>
      <c r="B20" s="1" t="s">
        <v>2269</v>
      </c>
      <c r="C20" s="1" t="s">
        <v>1296</v>
      </c>
      <c r="D20" s="1" t="s">
        <v>1284</v>
      </c>
      <c r="E20" s="1"/>
      <c r="F20" s="362">
        <v>4.46</v>
      </c>
      <c r="G20" s="631">
        <v>44561</v>
      </c>
      <c r="H20" s="633">
        <v>44536</v>
      </c>
    </row>
    <row r="21" spans="1:8" x14ac:dyDescent="0.35">
      <c r="A21" s="496" t="s">
        <v>1302</v>
      </c>
      <c r="B21" s="1" t="s">
        <v>2269</v>
      </c>
      <c r="C21" s="1" t="s">
        <v>1296</v>
      </c>
      <c r="D21" s="1" t="s">
        <v>1286</v>
      </c>
      <c r="E21" s="1"/>
      <c r="F21" s="362">
        <v>3.62</v>
      </c>
      <c r="G21" s="631">
        <v>44561</v>
      </c>
      <c r="H21" s="633">
        <v>44536</v>
      </c>
    </row>
    <row r="23" spans="1:8" x14ac:dyDescent="0.35">
      <c r="A23" s="496" t="s">
        <v>1306</v>
      </c>
      <c r="B23" s="1" t="s">
        <v>2269</v>
      </c>
      <c r="C23" s="1" t="s">
        <v>1304</v>
      </c>
      <c r="D23" s="1" t="s">
        <v>7367</v>
      </c>
      <c r="E23" s="1"/>
      <c r="F23" s="362">
        <v>7.43</v>
      </c>
      <c r="G23" s="631">
        <v>44926</v>
      </c>
      <c r="H23" s="633">
        <f>'EEG-Vergütungen und vNNE'!J$31</f>
        <v>44896</v>
      </c>
    </row>
    <row r="24" spans="1:8" x14ac:dyDescent="0.35">
      <c r="A24" s="496" t="s">
        <v>1307</v>
      </c>
      <c r="B24" s="1" t="s">
        <v>2269</v>
      </c>
      <c r="C24" s="1" t="s">
        <v>1304</v>
      </c>
      <c r="D24" s="1" t="s">
        <v>7368</v>
      </c>
      <c r="E24" s="1"/>
      <c r="F24" s="362">
        <v>6.44</v>
      </c>
      <c r="G24" s="631">
        <v>44926</v>
      </c>
      <c r="H24" s="633">
        <f>'EEG-Vergütungen und vNNE'!J$31</f>
        <v>44896</v>
      </c>
    </row>
    <row r="25" spans="1:8" x14ac:dyDescent="0.35">
      <c r="A25" s="496" t="s">
        <v>1308</v>
      </c>
      <c r="B25" s="1" t="s">
        <v>2269</v>
      </c>
      <c r="C25" s="1" t="s">
        <v>1304</v>
      </c>
      <c r="D25" s="1" t="s">
        <v>7372</v>
      </c>
      <c r="E25" s="1"/>
      <c r="F25" s="362">
        <v>5.92</v>
      </c>
      <c r="G25" s="631">
        <v>44926</v>
      </c>
      <c r="H25" s="633">
        <f>'EEG-Vergütungen und vNNE'!J$31</f>
        <v>44896</v>
      </c>
    </row>
    <row r="26" spans="1:8" x14ac:dyDescent="0.35">
      <c r="A26" s="496" t="s">
        <v>1309</v>
      </c>
      <c r="B26" s="1" t="s">
        <v>2269</v>
      </c>
      <c r="C26" s="1" t="s">
        <v>1304</v>
      </c>
      <c r="D26" s="1" t="s">
        <v>7373</v>
      </c>
      <c r="E26" s="1"/>
      <c r="F26" s="362">
        <v>4.42</v>
      </c>
      <c r="G26" s="631">
        <v>44926</v>
      </c>
      <c r="H26" s="633">
        <f>'EEG-Vergütungen und vNNE'!J$31</f>
        <v>44896</v>
      </c>
    </row>
    <row r="27" spans="1:8" x14ac:dyDescent="0.35">
      <c r="A27" s="496" t="s">
        <v>1310</v>
      </c>
      <c r="B27" s="1" t="s">
        <v>2269</v>
      </c>
      <c r="C27" s="1" t="s">
        <v>1304</v>
      </c>
      <c r="D27" s="1" t="s">
        <v>7374</v>
      </c>
      <c r="E27" s="1"/>
      <c r="F27" s="362">
        <v>3.58</v>
      </c>
      <c r="G27" s="631">
        <v>44926</v>
      </c>
      <c r="H27" s="633">
        <f>'EEG-Vergütungen und vNNE'!J$31</f>
        <v>44896</v>
      </c>
    </row>
    <row r="28" spans="1:8" x14ac:dyDescent="0.35">
      <c r="A28" s="496"/>
      <c r="B28" s="1"/>
      <c r="C28" s="1"/>
      <c r="D28" s="1"/>
      <c r="E28" s="1"/>
      <c r="F28" s="362"/>
      <c r="G28" s="631"/>
      <c r="H28" s="633"/>
    </row>
    <row r="29" spans="1:8" x14ac:dyDescent="0.35">
      <c r="A29" s="496" t="s">
        <v>5541</v>
      </c>
      <c r="B29" s="1" t="s">
        <v>2269</v>
      </c>
      <c r="C29" s="1" t="s">
        <v>5539</v>
      </c>
      <c r="D29" s="1" t="s">
        <v>7375</v>
      </c>
      <c r="E29" s="1"/>
      <c r="F29" s="362">
        <v>7.36</v>
      </c>
      <c r="G29" s="631">
        <v>45291</v>
      </c>
      <c r="H29" s="633">
        <v>45268</v>
      </c>
    </row>
    <row r="30" spans="1:8" x14ac:dyDescent="0.35">
      <c r="A30" s="496" t="s">
        <v>5542</v>
      </c>
      <c r="B30" s="1" t="s">
        <v>2269</v>
      </c>
      <c r="C30" s="1" t="s">
        <v>5539</v>
      </c>
      <c r="D30" s="1" t="s">
        <v>7368</v>
      </c>
      <c r="E30" s="1"/>
      <c r="F30" s="362">
        <v>6.38</v>
      </c>
      <c r="G30" s="631">
        <v>45291</v>
      </c>
      <c r="H30" s="633">
        <v>45268</v>
      </c>
    </row>
    <row r="31" spans="1:8" x14ac:dyDescent="0.35">
      <c r="A31" s="496" t="s">
        <v>5543</v>
      </c>
      <c r="B31" s="1" t="s">
        <v>2269</v>
      </c>
      <c r="C31" s="1" t="s">
        <v>5539</v>
      </c>
      <c r="D31" s="1" t="s">
        <v>7372</v>
      </c>
      <c r="E31" s="1"/>
      <c r="F31" s="362">
        <v>5.86</v>
      </c>
      <c r="G31" s="631">
        <v>45291</v>
      </c>
      <c r="H31" s="633">
        <v>45268</v>
      </c>
    </row>
    <row r="32" spans="1:8" x14ac:dyDescent="0.35">
      <c r="A32" s="496" t="s">
        <v>5544</v>
      </c>
      <c r="B32" s="1" t="s">
        <v>2269</v>
      </c>
      <c r="C32" s="1" t="s">
        <v>5539</v>
      </c>
      <c r="D32" s="1" t="s">
        <v>7373</v>
      </c>
      <c r="E32" s="1"/>
      <c r="F32" s="362">
        <v>4.38</v>
      </c>
      <c r="G32" s="631">
        <v>45291</v>
      </c>
      <c r="H32" s="633">
        <v>45268</v>
      </c>
    </row>
    <row r="33" spans="1:8" x14ac:dyDescent="0.35">
      <c r="A33" s="496" t="s">
        <v>5545</v>
      </c>
      <c r="B33" s="1" t="s">
        <v>2269</v>
      </c>
      <c r="C33" s="1" t="s">
        <v>5539</v>
      </c>
      <c r="D33" s="1" t="s">
        <v>7374</v>
      </c>
      <c r="E33" s="1"/>
      <c r="F33" s="362">
        <v>3.54</v>
      </c>
      <c r="G33" s="631">
        <v>45291</v>
      </c>
      <c r="H33" s="633">
        <v>45268</v>
      </c>
    </row>
    <row r="35" spans="1:8" x14ac:dyDescent="0.35">
      <c r="A35" s="505" t="s">
        <v>4394</v>
      </c>
      <c r="B35" s="23" t="s">
        <v>5547</v>
      </c>
      <c r="C35" s="23" t="s">
        <v>2270</v>
      </c>
      <c r="D35" s="24" t="s">
        <v>1780</v>
      </c>
      <c r="E35" s="152" t="s">
        <v>4809</v>
      </c>
      <c r="F35" s="370">
        <v>11.67</v>
      </c>
      <c r="G35" s="631">
        <v>44561</v>
      </c>
      <c r="H35" s="633">
        <v>44536</v>
      </c>
    </row>
    <row r="36" spans="1:8" x14ac:dyDescent="0.35">
      <c r="A36" s="497" t="s">
        <v>4328</v>
      </c>
      <c r="B36" s="13" t="s">
        <v>5547</v>
      </c>
      <c r="C36" s="13" t="s">
        <v>2270</v>
      </c>
      <c r="D36" s="17" t="s">
        <v>6864</v>
      </c>
      <c r="E36" s="13" t="s">
        <v>4330</v>
      </c>
      <c r="F36" s="371">
        <v>14.67</v>
      </c>
      <c r="G36" s="631">
        <v>44561</v>
      </c>
      <c r="H36" s="633">
        <v>44536</v>
      </c>
    </row>
    <row r="37" spans="1:8" x14ac:dyDescent="0.35">
      <c r="A37" s="497" t="s">
        <v>4401</v>
      </c>
      <c r="B37" s="13" t="s">
        <v>5547</v>
      </c>
      <c r="C37" s="13" t="s">
        <v>2270</v>
      </c>
      <c r="D37" s="17" t="s">
        <v>6865</v>
      </c>
      <c r="E37" s="13" t="s">
        <v>674</v>
      </c>
      <c r="F37" s="371">
        <v>14.67</v>
      </c>
      <c r="G37" s="631">
        <v>44561</v>
      </c>
      <c r="H37" s="633">
        <v>44536</v>
      </c>
    </row>
    <row r="38" spans="1:8" x14ac:dyDescent="0.35">
      <c r="A38" s="497" t="s">
        <v>1266</v>
      </c>
      <c r="B38" s="13" t="s">
        <v>5547</v>
      </c>
      <c r="C38" s="13" t="s">
        <v>2270</v>
      </c>
      <c r="D38" s="17" t="s">
        <v>6866</v>
      </c>
      <c r="E38" s="13" t="s">
        <v>3566</v>
      </c>
      <c r="F38" s="371">
        <v>14.64</v>
      </c>
      <c r="G38" s="631">
        <v>44561</v>
      </c>
      <c r="H38" s="633">
        <v>44536</v>
      </c>
    </row>
    <row r="39" spans="1:8" x14ac:dyDescent="0.35">
      <c r="A39" s="497" t="s">
        <v>3055</v>
      </c>
      <c r="B39" s="13" t="s">
        <v>5547</v>
      </c>
      <c r="C39" s="13" t="s">
        <v>2270</v>
      </c>
      <c r="D39" s="17" t="s">
        <v>6867</v>
      </c>
      <c r="E39" s="13" t="s">
        <v>3054</v>
      </c>
      <c r="F39" s="371">
        <v>14.61</v>
      </c>
      <c r="G39" s="631">
        <v>44561</v>
      </c>
      <c r="H39" s="633">
        <v>44536</v>
      </c>
    </row>
    <row r="40" spans="1:8" x14ac:dyDescent="0.35">
      <c r="A40" s="511" t="s">
        <v>4180</v>
      </c>
      <c r="B40" s="173" t="s">
        <v>5547</v>
      </c>
      <c r="C40" s="173" t="s">
        <v>2270</v>
      </c>
      <c r="D40" s="174" t="s">
        <v>6868</v>
      </c>
      <c r="E40" s="173" t="s">
        <v>1980</v>
      </c>
      <c r="F40" s="372">
        <v>14.58</v>
      </c>
      <c r="G40" s="631">
        <v>44561</v>
      </c>
      <c r="H40" s="633">
        <v>44536</v>
      </c>
    </row>
    <row r="41" spans="1:8" x14ac:dyDescent="0.35">
      <c r="A41" s="497" t="s">
        <v>844</v>
      </c>
      <c r="B41" s="13" t="s">
        <v>5547</v>
      </c>
      <c r="C41" s="13" t="s">
        <v>2270</v>
      </c>
      <c r="D41" s="17" t="s">
        <v>6869</v>
      </c>
      <c r="E41" s="153" t="s">
        <v>4809</v>
      </c>
      <c r="F41" s="371">
        <v>12.67</v>
      </c>
      <c r="G41" s="631">
        <v>44561</v>
      </c>
      <c r="H41" s="633">
        <v>44536</v>
      </c>
    </row>
    <row r="42" spans="1:8" x14ac:dyDescent="0.35">
      <c r="A42" s="497" t="s">
        <v>845</v>
      </c>
      <c r="B42" s="13" t="s">
        <v>5547</v>
      </c>
      <c r="C42" s="13" t="s">
        <v>2270</v>
      </c>
      <c r="D42" s="17" t="s">
        <v>6871</v>
      </c>
      <c r="E42" s="13" t="s">
        <v>4330</v>
      </c>
      <c r="F42" s="371">
        <v>15.67</v>
      </c>
      <c r="G42" s="631">
        <v>44561</v>
      </c>
      <c r="H42" s="633">
        <v>44536</v>
      </c>
    </row>
    <row r="43" spans="1:8" x14ac:dyDescent="0.35">
      <c r="A43" s="499" t="s">
        <v>4736</v>
      </c>
      <c r="B43" s="13" t="s">
        <v>5547</v>
      </c>
      <c r="C43" s="13" t="s">
        <v>2270</v>
      </c>
      <c r="D43" s="17" t="s">
        <v>6872</v>
      </c>
      <c r="E43" s="13" t="s">
        <v>674</v>
      </c>
      <c r="F43" s="371">
        <v>15.67</v>
      </c>
      <c r="G43" s="631">
        <v>44561</v>
      </c>
      <c r="H43" s="633">
        <v>44536</v>
      </c>
    </row>
    <row r="44" spans="1:8" x14ac:dyDescent="0.35">
      <c r="A44" s="499" t="s">
        <v>1267</v>
      </c>
      <c r="B44" s="13" t="s">
        <v>5547</v>
      </c>
      <c r="C44" s="13" t="s">
        <v>2270</v>
      </c>
      <c r="D44" s="17" t="s">
        <v>6873</v>
      </c>
      <c r="E44" s="13" t="s">
        <v>3566</v>
      </c>
      <c r="F44" s="371">
        <v>15.64</v>
      </c>
      <c r="G44" s="631">
        <v>44561</v>
      </c>
      <c r="H44" s="633">
        <v>44536</v>
      </c>
    </row>
    <row r="45" spans="1:8" x14ac:dyDescent="0.35">
      <c r="A45" s="499" t="s">
        <v>3056</v>
      </c>
      <c r="B45" s="13" t="s">
        <v>5547</v>
      </c>
      <c r="C45" s="13" t="s">
        <v>2270</v>
      </c>
      <c r="D45" s="17" t="s">
        <v>6874</v>
      </c>
      <c r="E45" s="13" t="s">
        <v>3054</v>
      </c>
      <c r="F45" s="371">
        <v>15.61</v>
      </c>
      <c r="G45" s="631">
        <v>44561</v>
      </c>
      <c r="H45" s="633">
        <v>44536</v>
      </c>
    </row>
    <row r="46" spans="1:8" x14ac:dyDescent="0.35">
      <c r="A46" s="512" t="s">
        <v>4181</v>
      </c>
      <c r="B46" s="173" t="s">
        <v>5547</v>
      </c>
      <c r="C46" s="173" t="s">
        <v>2270</v>
      </c>
      <c r="D46" s="174" t="s">
        <v>6875</v>
      </c>
      <c r="E46" s="173" t="s">
        <v>1980</v>
      </c>
      <c r="F46" s="372">
        <v>15.58</v>
      </c>
      <c r="G46" s="631">
        <v>44561</v>
      </c>
      <c r="H46" s="633">
        <v>44536</v>
      </c>
    </row>
    <row r="47" spans="1:8" x14ac:dyDescent="0.35">
      <c r="A47" s="513" t="s">
        <v>4395</v>
      </c>
      <c r="B47" s="23" t="s">
        <v>5547</v>
      </c>
      <c r="C47" s="23" t="s">
        <v>2270</v>
      </c>
      <c r="D47" s="24" t="s">
        <v>7346</v>
      </c>
      <c r="E47" s="152" t="s">
        <v>4809</v>
      </c>
      <c r="F47" s="370">
        <v>17.670000000000002</v>
      </c>
      <c r="G47" s="631">
        <v>44561</v>
      </c>
      <c r="H47" s="633">
        <v>44536</v>
      </c>
    </row>
    <row r="48" spans="1:8" x14ac:dyDescent="0.35">
      <c r="A48" s="499" t="s">
        <v>4329</v>
      </c>
      <c r="B48" s="13" t="s">
        <v>5547</v>
      </c>
      <c r="C48" s="13" t="s">
        <v>2270</v>
      </c>
      <c r="D48" s="17" t="s">
        <v>7347</v>
      </c>
      <c r="E48" s="13" t="s">
        <v>4330</v>
      </c>
      <c r="F48" s="371">
        <v>20.67</v>
      </c>
      <c r="G48" s="631">
        <v>44561</v>
      </c>
      <c r="H48" s="633">
        <v>44536</v>
      </c>
    </row>
    <row r="49" spans="1:8" x14ac:dyDescent="0.35">
      <c r="A49" s="499" t="s">
        <v>4400</v>
      </c>
      <c r="B49" s="13" t="s">
        <v>5547</v>
      </c>
      <c r="C49" s="13" t="s">
        <v>2270</v>
      </c>
      <c r="D49" s="17" t="s">
        <v>6879</v>
      </c>
      <c r="E49" s="13" t="s">
        <v>674</v>
      </c>
      <c r="F49" s="371">
        <v>20.67</v>
      </c>
      <c r="G49" s="631">
        <v>44561</v>
      </c>
      <c r="H49" s="633">
        <v>44536</v>
      </c>
    </row>
    <row r="50" spans="1:8" x14ac:dyDescent="0.35">
      <c r="A50" s="499" t="s">
        <v>1268</v>
      </c>
      <c r="B50" s="13" t="s">
        <v>5547</v>
      </c>
      <c r="C50" s="13" t="s">
        <v>2270</v>
      </c>
      <c r="D50" s="17" t="s">
        <v>6880</v>
      </c>
      <c r="E50" s="13" t="s">
        <v>3566</v>
      </c>
      <c r="F50" s="371">
        <v>20.64</v>
      </c>
      <c r="G50" s="631">
        <v>44561</v>
      </c>
      <c r="H50" s="633">
        <v>44536</v>
      </c>
    </row>
    <row r="51" spans="1:8" x14ac:dyDescent="0.35">
      <c r="A51" s="499" t="s">
        <v>3057</v>
      </c>
      <c r="B51" s="13" t="s">
        <v>5547</v>
      </c>
      <c r="C51" s="13" t="s">
        <v>2270</v>
      </c>
      <c r="D51" s="17" t="s">
        <v>6881</v>
      </c>
      <c r="E51" s="13" t="s">
        <v>3054</v>
      </c>
      <c r="F51" s="371">
        <v>20.61</v>
      </c>
      <c r="G51" s="631">
        <v>44561</v>
      </c>
      <c r="H51" s="633">
        <v>44536</v>
      </c>
    </row>
    <row r="52" spans="1:8" x14ac:dyDescent="0.35">
      <c r="A52" s="512" t="s">
        <v>4182</v>
      </c>
      <c r="B52" s="173" t="s">
        <v>5547</v>
      </c>
      <c r="C52" s="173" t="s">
        <v>2270</v>
      </c>
      <c r="D52" s="174" t="s">
        <v>6882</v>
      </c>
      <c r="E52" s="173" t="s">
        <v>1980</v>
      </c>
      <c r="F52" s="372">
        <v>20.58</v>
      </c>
      <c r="G52" s="631">
        <v>44561</v>
      </c>
      <c r="H52" s="633">
        <v>44536</v>
      </c>
    </row>
    <row r="53" spans="1:8" x14ac:dyDescent="0.35">
      <c r="A53" s="499" t="s">
        <v>4737</v>
      </c>
      <c r="B53" s="13" t="s">
        <v>5547</v>
      </c>
      <c r="C53" s="13" t="s">
        <v>2270</v>
      </c>
      <c r="D53" s="17" t="s">
        <v>7348</v>
      </c>
      <c r="E53" s="153" t="s">
        <v>4809</v>
      </c>
      <c r="F53" s="371">
        <v>18.670000000000002</v>
      </c>
      <c r="G53" s="631">
        <v>44561</v>
      </c>
      <c r="H53" s="633">
        <v>44536</v>
      </c>
    </row>
    <row r="54" spans="1:8" x14ac:dyDescent="0.35">
      <c r="A54" s="497" t="s">
        <v>4738</v>
      </c>
      <c r="B54" s="13" t="s">
        <v>5547</v>
      </c>
      <c r="C54" s="13" t="s">
        <v>2270</v>
      </c>
      <c r="D54" s="17" t="s">
        <v>6885</v>
      </c>
      <c r="E54" s="13" t="s">
        <v>4330</v>
      </c>
      <c r="F54" s="371">
        <v>21.67</v>
      </c>
      <c r="G54" s="631">
        <v>44561</v>
      </c>
      <c r="H54" s="633">
        <v>44536</v>
      </c>
    </row>
    <row r="55" spans="1:8" x14ac:dyDescent="0.35">
      <c r="A55" s="497" t="s">
        <v>4739</v>
      </c>
      <c r="B55" s="13" t="s">
        <v>5547</v>
      </c>
      <c r="C55" s="13" t="s">
        <v>2270</v>
      </c>
      <c r="D55" s="17" t="s">
        <v>6886</v>
      </c>
      <c r="E55" s="13" t="s">
        <v>674</v>
      </c>
      <c r="F55" s="371">
        <v>21.67</v>
      </c>
      <c r="G55" s="631">
        <v>44561</v>
      </c>
      <c r="H55" s="633">
        <v>44536</v>
      </c>
    </row>
    <row r="56" spans="1:8" x14ac:dyDescent="0.35">
      <c r="A56" s="497" t="s">
        <v>3498</v>
      </c>
      <c r="B56" s="13" t="s">
        <v>5547</v>
      </c>
      <c r="C56" s="13" t="s">
        <v>2270</v>
      </c>
      <c r="D56" s="17" t="s">
        <v>6887</v>
      </c>
      <c r="E56" s="13" t="s">
        <v>3566</v>
      </c>
      <c r="F56" s="371">
        <v>21.64</v>
      </c>
      <c r="G56" s="631">
        <v>44561</v>
      </c>
      <c r="H56" s="633">
        <v>44536</v>
      </c>
    </row>
    <row r="57" spans="1:8" x14ac:dyDescent="0.35">
      <c r="A57" s="499" t="s">
        <v>3058</v>
      </c>
      <c r="B57" s="13" t="s">
        <v>5547</v>
      </c>
      <c r="C57" s="13" t="s">
        <v>2270</v>
      </c>
      <c r="D57" s="17" t="s">
        <v>6888</v>
      </c>
      <c r="E57" s="13" t="s">
        <v>3054</v>
      </c>
      <c r="F57" s="371">
        <v>21.61</v>
      </c>
      <c r="G57" s="631">
        <v>44561</v>
      </c>
      <c r="H57" s="633">
        <v>44536</v>
      </c>
    </row>
    <row r="58" spans="1:8" x14ac:dyDescent="0.35">
      <c r="A58" s="512" t="s">
        <v>4183</v>
      </c>
      <c r="B58" s="173" t="s">
        <v>5547</v>
      </c>
      <c r="C58" s="173" t="s">
        <v>2270</v>
      </c>
      <c r="D58" s="174" t="s">
        <v>6889</v>
      </c>
      <c r="E58" s="173" t="s">
        <v>1980</v>
      </c>
      <c r="F58" s="372">
        <v>21.58</v>
      </c>
      <c r="G58" s="631">
        <v>44561</v>
      </c>
      <c r="H58" s="633">
        <v>44536</v>
      </c>
    </row>
    <row r="59" spans="1:8" x14ac:dyDescent="0.35">
      <c r="A59" s="497" t="s">
        <v>2164</v>
      </c>
      <c r="B59" s="13" t="s">
        <v>5547</v>
      </c>
      <c r="C59" s="13" t="s">
        <v>2270</v>
      </c>
      <c r="D59" s="13" t="s">
        <v>6805</v>
      </c>
      <c r="E59" s="13" t="s">
        <v>4809</v>
      </c>
      <c r="F59" s="373">
        <v>18.670000000000002</v>
      </c>
      <c r="G59" s="631">
        <v>44561</v>
      </c>
      <c r="H59" s="633">
        <v>44536</v>
      </c>
    </row>
    <row r="60" spans="1:8" x14ac:dyDescent="0.35">
      <c r="A60" s="497" t="s">
        <v>2165</v>
      </c>
      <c r="B60" s="13" t="s">
        <v>5547</v>
      </c>
      <c r="C60" s="13" t="s">
        <v>2270</v>
      </c>
      <c r="D60" s="13" t="s">
        <v>6806</v>
      </c>
      <c r="E60" s="13" t="s">
        <v>4330</v>
      </c>
      <c r="F60" s="373">
        <v>21.67</v>
      </c>
      <c r="G60" s="631">
        <v>44561</v>
      </c>
      <c r="H60" s="633">
        <v>44536</v>
      </c>
    </row>
    <row r="61" spans="1:8" x14ac:dyDescent="0.35">
      <c r="A61" s="497" t="s">
        <v>2166</v>
      </c>
      <c r="B61" s="13" t="s">
        <v>5547</v>
      </c>
      <c r="C61" s="13" t="s">
        <v>2270</v>
      </c>
      <c r="D61" s="13" t="s">
        <v>6807</v>
      </c>
      <c r="E61" s="13" t="s">
        <v>674</v>
      </c>
      <c r="F61" s="373">
        <v>21.67</v>
      </c>
      <c r="G61" s="631">
        <v>44561</v>
      </c>
      <c r="H61" s="633">
        <v>44536</v>
      </c>
    </row>
    <row r="62" spans="1:8" x14ac:dyDescent="0.35">
      <c r="A62" s="497" t="s">
        <v>3499</v>
      </c>
      <c r="B62" s="13" t="s">
        <v>5547</v>
      </c>
      <c r="C62" s="13" t="s">
        <v>2270</v>
      </c>
      <c r="D62" s="13" t="s">
        <v>6808</v>
      </c>
      <c r="E62" s="13" t="s">
        <v>3566</v>
      </c>
      <c r="F62" s="373">
        <v>21.64</v>
      </c>
      <c r="G62" s="631">
        <v>44561</v>
      </c>
      <c r="H62" s="633">
        <v>44536</v>
      </c>
    </row>
    <row r="63" spans="1:8" x14ac:dyDescent="0.35">
      <c r="A63" s="497" t="s">
        <v>3059</v>
      </c>
      <c r="B63" s="13" t="s">
        <v>5547</v>
      </c>
      <c r="C63" s="13" t="s">
        <v>2270</v>
      </c>
      <c r="D63" s="13" t="s">
        <v>6809</v>
      </c>
      <c r="E63" s="13" t="s">
        <v>3054</v>
      </c>
      <c r="F63" s="373">
        <v>21.61</v>
      </c>
      <c r="G63" s="631">
        <v>44561</v>
      </c>
      <c r="H63" s="633">
        <v>44536</v>
      </c>
    </row>
    <row r="64" spans="1:8" x14ac:dyDescent="0.35">
      <c r="A64" s="511" t="s">
        <v>4184</v>
      </c>
      <c r="B64" s="173" t="s">
        <v>5547</v>
      </c>
      <c r="C64" s="173" t="s">
        <v>2270</v>
      </c>
      <c r="D64" s="173" t="s">
        <v>6810</v>
      </c>
      <c r="E64" s="173" t="s">
        <v>1980</v>
      </c>
      <c r="F64" s="374">
        <v>21.58</v>
      </c>
      <c r="G64" s="631">
        <v>44561</v>
      </c>
      <c r="H64" s="633">
        <v>44536</v>
      </c>
    </row>
    <row r="65" spans="1:8" x14ac:dyDescent="0.35">
      <c r="A65" s="497" t="s">
        <v>2167</v>
      </c>
      <c r="B65" s="13" t="s">
        <v>5547</v>
      </c>
      <c r="C65" s="13" t="s">
        <v>2270</v>
      </c>
      <c r="D65" s="13" t="s">
        <v>6811</v>
      </c>
      <c r="E65" s="13" t="s">
        <v>4809</v>
      </c>
      <c r="F65" s="373">
        <v>19.670000000000002</v>
      </c>
      <c r="G65" s="631">
        <v>44561</v>
      </c>
      <c r="H65" s="633">
        <v>44536</v>
      </c>
    </row>
    <row r="66" spans="1:8" x14ac:dyDescent="0.35">
      <c r="A66" s="497" t="s">
        <v>2168</v>
      </c>
      <c r="B66" s="13" t="s">
        <v>5547</v>
      </c>
      <c r="C66" s="13" t="s">
        <v>2270</v>
      </c>
      <c r="D66" s="88" t="s">
        <v>6812</v>
      </c>
      <c r="E66" s="13" t="s">
        <v>4330</v>
      </c>
      <c r="F66" s="373">
        <v>22.67</v>
      </c>
      <c r="G66" s="631">
        <v>44561</v>
      </c>
      <c r="H66" s="633">
        <v>44536</v>
      </c>
    </row>
    <row r="67" spans="1:8" x14ac:dyDescent="0.35">
      <c r="A67" s="497" t="s">
        <v>2169</v>
      </c>
      <c r="B67" s="13" t="s">
        <v>5547</v>
      </c>
      <c r="C67" s="13" t="s">
        <v>2270</v>
      </c>
      <c r="D67" s="13" t="s">
        <v>6813</v>
      </c>
      <c r="E67" s="13" t="s">
        <v>674</v>
      </c>
      <c r="F67" s="373">
        <v>22.67</v>
      </c>
      <c r="G67" s="631">
        <v>44561</v>
      </c>
      <c r="H67" s="633">
        <v>44536</v>
      </c>
    </row>
    <row r="68" spans="1:8" x14ac:dyDescent="0.35">
      <c r="A68" s="497" t="s">
        <v>3500</v>
      </c>
      <c r="B68" s="13" t="s">
        <v>5547</v>
      </c>
      <c r="C68" s="13" t="s">
        <v>2270</v>
      </c>
      <c r="D68" s="13" t="s">
        <v>6814</v>
      </c>
      <c r="E68" s="13" t="s">
        <v>3566</v>
      </c>
      <c r="F68" s="373">
        <v>22.64</v>
      </c>
      <c r="G68" s="631">
        <v>44561</v>
      </c>
      <c r="H68" s="633">
        <v>44536</v>
      </c>
    </row>
    <row r="69" spans="1:8" x14ac:dyDescent="0.35">
      <c r="A69" s="497" t="s">
        <v>3060</v>
      </c>
      <c r="B69" s="13" t="s">
        <v>5547</v>
      </c>
      <c r="C69" s="13" t="s">
        <v>2270</v>
      </c>
      <c r="D69" s="13" t="s">
        <v>6815</v>
      </c>
      <c r="E69" s="13" t="s">
        <v>3054</v>
      </c>
      <c r="F69" s="373">
        <v>22.61</v>
      </c>
      <c r="G69" s="631">
        <v>44561</v>
      </c>
      <c r="H69" s="633">
        <v>44536</v>
      </c>
    </row>
    <row r="70" spans="1:8" x14ac:dyDescent="0.35">
      <c r="A70" s="511" t="s">
        <v>4185</v>
      </c>
      <c r="B70" s="173" t="s">
        <v>5547</v>
      </c>
      <c r="C70" s="173" t="s">
        <v>2270</v>
      </c>
      <c r="D70" s="173" t="s">
        <v>6816</v>
      </c>
      <c r="E70" s="173" t="s">
        <v>1980</v>
      </c>
      <c r="F70" s="374">
        <v>22.58</v>
      </c>
      <c r="G70" s="631">
        <v>44561</v>
      </c>
      <c r="H70" s="633">
        <v>44536</v>
      </c>
    </row>
    <row r="71" spans="1:8" x14ac:dyDescent="0.35">
      <c r="A71" s="497" t="s">
        <v>2170</v>
      </c>
      <c r="B71" s="13" t="s">
        <v>5547</v>
      </c>
      <c r="C71" s="13" t="s">
        <v>2270</v>
      </c>
      <c r="D71" s="13" t="s">
        <v>6817</v>
      </c>
      <c r="E71" s="13" t="s">
        <v>4809</v>
      </c>
      <c r="F71" s="373">
        <v>22.67</v>
      </c>
      <c r="G71" s="631">
        <v>44561</v>
      </c>
      <c r="H71" s="633">
        <v>44536</v>
      </c>
    </row>
    <row r="72" spans="1:8" x14ac:dyDescent="0.35">
      <c r="A72" s="497" t="s">
        <v>2171</v>
      </c>
      <c r="B72" s="13" t="s">
        <v>5547</v>
      </c>
      <c r="C72" s="13" t="s">
        <v>2270</v>
      </c>
      <c r="D72" s="13" t="s">
        <v>6818</v>
      </c>
      <c r="E72" s="13" t="s">
        <v>4330</v>
      </c>
      <c r="F72" s="373">
        <v>25.67</v>
      </c>
      <c r="G72" s="631">
        <v>44561</v>
      </c>
      <c r="H72" s="633">
        <v>44536</v>
      </c>
    </row>
    <row r="73" spans="1:8" x14ac:dyDescent="0.35">
      <c r="A73" s="497" t="s">
        <v>2172</v>
      </c>
      <c r="B73" s="13" t="s">
        <v>5547</v>
      </c>
      <c r="C73" s="13" t="s">
        <v>2270</v>
      </c>
      <c r="D73" s="13" t="s">
        <v>6819</v>
      </c>
      <c r="E73" s="13" t="s">
        <v>674</v>
      </c>
      <c r="F73" s="373">
        <v>25.67</v>
      </c>
      <c r="G73" s="631">
        <v>44561</v>
      </c>
      <c r="H73" s="633">
        <v>44536</v>
      </c>
    </row>
    <row r="74" spans="1:8" x14ac:dyDescent="0.35">
      <c r="A74" s="497" t="s">
        <v>3501</v>
      </c>
      <c r="B74" s="13" t="s">
        <v>5547</v>
      </c>
      <c r="C74" s="13" t="s">
        <v>2270</v>
      </c>
      <c r="D74" s="13" t="s">
        <v>6820</v>
      </c>
      <c r="E74" s="13" t="s">
        <v>3566</v>
      </c>
      <c r="F74" s="373">
        <v>25.64</v>
      </c>
      <c r="G74" s="631">
        <v>44561</v>
      </c>
      <c r="H74" s="633">
        <v>44536</v>
      </c>
    </row>
    <row r="75" spans="1:8" x14ac:dyDescent="0.35">
      <c r="A75" s="497" t="s">
        <v>3061</v>
      </c>
      <c r="B75" s="13" t="s">
        <v>5547</v>
      </c>
      <c r="C75" s="13" t="s">
        <v>2270</v>
      </c>
      <c r="D75" s="13" t="s">
        <v>6821</v>
      </c>
      <c r="E75" s="13" t="s">
        <v>3054</v>
      </c>
      <c r="F75" s="373">
        <v>25.61</v>
      </c>
      <c r="G75" s="631">
        <v>44561</v>
      </c>
      <c r="H75" s="633">
        <v>44536</v>
      </c>
    </row>
    <row r="76" spans="1:8" x14ac:dyDescent="0.35">
      <c r="A76" s="511" t="s">
        <v>4186</v>
      </c>
      <c r="B76" s="173" t="s">
        <v>5547</v>
      </c>
      <c r="C76" s="173" t="s">
        <v>2270</v>
      </c>
      <c r="D76" s="173" t="s">
        <v>6822</v>
      </c>
      <c r="E76" s="173" t="s">
        <v>1980</v>
      </c>
      <c r="F76" s="374">
        <v>25.58</v>
      </c>
      <c r="G76" s="631">
        <v>44561</v>
      </c>
      <c r="H76" s="633">
        <v>44536</v>
      </c>
    </row>
    <row r="77" spans="1:8" x14ac:dyDescent="0.35">
      <c r="A77" s="497" t="s">
        <v>2173</v>
      </c>
      <c r="B77" s="13" t="s">
        <v>5547</v>
      </c>
      <c r="C77" s="13" t="s">
        <v>2270</v>
      </c>
      <c r="D77" s="13" t="s">
        <v>6823</v>
      </c>
      <c r="E77" s="13" t="s">
        <v>4809</v>
      </c>
      <c r="F77" s="373">
        <v>23.67</v>
      </c>
      <c r="G77" s="631">
        <v>44561</v>
      </c>
      <c r="H77" s="633">
        <v>44536</v>
      </c>
    </row>
    <row r="78" spans="1:8" x14ac:dyDescent="0.35">
      <c r="A78" s="497" t="s">
        <v>2174</v>
      </c>
      <c r="B78" s="13" t="s">
        <v>5547</v>
      </c>
      <c r="C78" s="13" t="s">
        <v>2270</v>
      </c>
      <c r="D78" s="88" t="s">
        <v>6824</v>
      </c>
      <c r="E78" s="13" t="s">
        <v>4330</v>
      </c>
      <c r="F78" s="373">
        <v>26.67</v>
      </c>
      <c r="G78" s="631">
        <v>44561</v>
      </c>
      <c r="H78" s="633">
        <v>44536</v>
      </c>
    </row>
    <row r="79" spans="1:8" x14ac:dyDescent="0.35">
      <c r="A79" s="497" t="s">
        <v>2175</v>
      </c>
      <c r="B79" s="13" t="s">
        <v>5547</v>
      </c>
      <c r="C79" s="13" t="s">
        <v>2270</v>
      </c>
      <c r="D79" s="13" t="s">
        <v>6825</v>
      </c>
      <c r="E79" s="13" t="s">
        <v>674</v>
      </c>
      <c r="F79" s="373">
        <v>26.67</v>
      </c>
      <c r="G79" s="631">
        <v>44561</v>
      </c>
      <c r="H79" s="633">
        <v>44536</v>
      </c>
    </row>
    <row r="80" spans="1:8" x14ac:dyDescent="0.35">
      <c r="A80" s="497" t="s">
        <v>3502</v>
      </c>
      <c r="B80" s="13" t="s">
        <v>5547</v>
      </c>
      <c r="C80" s="13" t="s">
        <v>2270</v>
      </c>
      <c r="D80" s="13" t="s">
        <v>6826</v>
      </c>
      <c r="E80" s="13" t="s">
        <v>3566</v>
      </c>
      <c r="F80" s="373">
        <v>26.64</v>
      </c>
      <c r="G80" s="631">
        <v>44561</v>
      </c>
      <c r="H80" s="633">
        <v>44536</v>
      </c>
    </row>
    <row r="81" spans="1:8" x14ac:dyDescent="0.35">
      <c r="A81" s="497" t="s">
        <v>3062</v>
      </c>
      <c r="B81" s="13" t="s">
        <v>5547</v>
      </c>
      <c r="C81" s="13" t="s">
        <v>2270</v>
      </c>
      <c r="D81" s="13" t="s">
        <v>6827</v>
      </c>
      <c r="E81" s="13" t="s">
        <v>3054</v>
      </c>
      <c r="F81" s="373">
        <v>26.61</v>
      </c>
      <c r="G81" s="631">
        <v>44561</v>
      </c>
      <c r="H81" s="633">
        <v>44536</v>
      </c>
    </row>
    <row r="82" spans="1:8" x14ac:dyDescent="0.35">
      <c r="A82" s="511" t="s">
        <v>4187</v>
      </c>
      <c r="B82" s="173" t="s">
        <v>5547</v>
      </c>
      <c r="C82" s="173" t="s">
        <v>2270</v>
      </c>
      <c r="D82" s="173" t="s">
        <v>6828</v>
      </c>
      <c r="E82" s="173" t="s">
        <v>1980</v>
      </c>
      <c r="F82" s="374">
        <v>26.58</v>
      </c>
      <c r="G82" s="631">
        <v>44561</v>
      </c>
      <c r="H82" s="633">
        <v>44536</v>
      </c>
    </row>
    <row r="83" spans="1:8" x14ac:dyDescent="0.35">
      <c r="A83" s="497" t="s">
        <v>2176</v>
      </c>
      <c r="B83" s="13" t="s">
        <v>5547</v>
      </c>
      <c r="C83" s="13" t="s">
        <v>2270</v>
      </c>
      <c r="D83" s="13" t="s">
        <v>6829</v>
      </c>
      <c r="E83" s="13" t="s">
        <v>4809</v>
      </c>
      <c r="F83" s="373">
        <v>20.67</v>
      </c>
      <c r="G83" s="631">
        <v>44561</v>
      </c>
      <c r="H83" s="633">
        <v>44536</v>
      </c>
    </row>
    <row r="84" spans="1:8" x14ac:dyDescent="0.35">
      <c r="A84" s="497" t="s">
        <v>2177</v>
      </c>
      <c r="B84" s="13" t="s">
        <v>5547</v>
      </c>
      <c r="C84" s="13" t="s">
        <v>2270</v>
      </c>
      <c r="D84" s="13" t="s">
        <v>6830</v>
      </c>
      <c r="E84" s="13" t="s">
        <v>4330</v>
      </c>
      <c r="F84" s="373">
        <v>23.67</v>
      </c>
      <c r="G84" s="631">
        <v>44561</v>
      </c>
      <c r="H84" s="633">
        <v>44536</v>
      </c>
    </row>
    <row r="85" spans="1:8" x14ac:dyDescent="0.35">
      <c r="A85" s="497" t="s">
        <v>5028</v>
      </c>
      <c r="B85" s="13" t="s">
        <v>5547</v>
      </c>
      <c r="C85" s="13" t="s">
        <v>2270</v>
      </c>
      <c r="D85" s="13" t="s">
        <v>6831</v>
      </c>
      <c r="E85" s="13" t="s">
        <v>674</v>
      </c>
      <c r="F85" s="373">
        <v>23.67</v>
      </c>
      <c r="G85" s="631">
        <v>44561</v>
      </c>
      <c r="H85" s="633">
        <v>44536</v>
      </c>
    </row>
    <row r="86" spans="1:8" x14ac:dyDescent="0.35">
      <c r="A86" s="497" t="s">
        <v>3503</v>
      </c>
      <c r="B86" s="13" t="s">
        <v>5547</v>
      </c>
      <c r="C86" s="13" t="s">
        <v>2270</v>
      </c>
      <c r="D86" s="13" t="s">
        <v>6832</v>
      </c>
      <c r="E86" s="13" t="s">
        <v>3566</v>
      </c>
      <c r="F86" s="373">
        <v>23.64</v>
      </c>
      <c r="G86" s="631">
        <v>44561</v>
      </c>
      <c r="H86" s="633">
        <v>44536</v>
      </c>
    </row>
    <row r="87" spans="1:8" x14ac:dyDescent="0.35">
      <c r="A87" s="497" t="s">
        <v>3063</v>
      </c>
      <c r="B87" s="13" t="s">
        <v>5547</v>
      </c>
      <c r="C87" s="13" t="s">
        <v>2270</v>
      </c>
      <c r="D87" s="13" t="s">
        <v>6833</v>
      </c>
      <c r="E87" s="13" t="s">
        <v>3054</v>
      </c>
      <c r="F87" s="373">
        <v>23.61</v>
      </c>
      <c r="G87" s="631">
        <v>44561</v>
      </c>
      <c r="H87" s="633">
        <v>44536</v>
      </c>
    </row>
    <row r="88" spans="1:8" x14ac:dyDescent="0.35">
      <c r="A88" s="511" t="s">
        <v>4188</v>
      </c>
      <c r="B88" s="173" t="s">
        <v>5547</v>
      </c>
      <c r="C88" s="173" t="s">
        <v>2270</v>
      </c>
      <c r="D88" s="173" t="s">
        <v>6834</v>
      </c>
      <c r="E88" s="173" t="s">
        <v>1980</v>
      </c>
      <c r="F88" s="374">
        <v>23.58</v>
      </c>
      <c r="G88" s="631">
        <v>44561</v>
      </c>
      <c r="H88" s="633">
        <v>44536</v>
      </c>
    </row>
    <row r="89" spans="1:8" x14ac:dyDescent="0.35">
      <c r="A89" s="497" t="s">
        <v>5029</v>
      </c>
      <c r="B89" s="13" t="s">
        <v>5547</v>
      </c>
      <c r="C89" s="13" t="s">
        <v>2270</v>
      </c>
      <c r="D89" s="13" t="s">
        <v>6835</v>
      </c>
      <c r="E89" s="13" t="s">
        <v>4809</v>
      </c>
      <c r="F89" s="373">
        <v>21.67</v>
      </c>
      <c r="G89" s="631">
        <v>44561</v>
      </c>
      <c r="H89" s="633">
        <v>44536</v>
      </c>
    </row>
    <row r="90" spans="1:8" x14ac:dyDescent="0.35">
      <c r="A90" s="497" t="s">
        <v>5030</v>
      </c>
      <c r="B90" s="13" t="s">
        <v>5547</v>
      </c>
      <c r="C90" s="13" t="s">
        <v>2270</v>
      </c>
      <c r="D90" s="88" t="s">
        <v>6836</v>
      </c>
      <c r="E90" s="13" t="s">
        <v>4330</v>
      </c>
      <c r="F90" s="373">
        <v>24.67</v>
      </c>
      <c r="G90" s="631">
        <v>44561</v>
      </c>
      <c r="H90" s="633">
        <v>44536</v>
      </c>
    </row>
    <row r="91" spans="1:8" x14ac:dyDescent="0.35">
      <c r="A91" s="497" t="s">
        <v>5031</v>
      </c>
      <c r="B91" s="13" t="s">
        <v>5547</v>
      </c>
      <c r="C91" s="13" t="s">
        <v>2270</v>
      </c>
      <c r="D91" s="13" t="s">
        <v>6837</v>
      </c>
      <c r="E91" s="13" t="s">
        <v>674</v>
      </c>
      <c r="F91" s="373">
        <v>24.67</v>
      </c>
      <c r="G91" s="631">
        <v>44561</v>
      </c>
      <c r="H91" s="633">
        <v>44536</v>
      </c>
    </row>
    <row r="92" spans="1:8" x14ac:dyDescent="0.35">
      <c r="A92" s="497" t="s">
        <v>3504</v>
      </c>
      <c r="B92" s="13" t="s">
        <v>5547</v>
      </c>
      <c r="C92" s="13" t="s">
        <v>2270</v>
      </c>
      <c r="D92" s="13" t="s">
        <v>6838</v>
      </c>
      <c r="E92" s="13" t="s">
        <v>3566</v>
      </c>
      <c r="F92" s="373">
        <v>24.64</v>
      </c>
      <c r="G92" s="631">
        <v>44561</v>
      </c>
      <c r="H92" s="633">
        <v>44536</v>
      </c>
    </row>
    <row r="93" spans="1:8" x14ac:dyDescent="0.35">
      <c r="A93" s="497" t="s">
        <v>3064</v>
      </c>
      <c r="B93" s="13" t="s">
        <v>5547</v>
      </c>
      <c r="C93" s="13" t="s">
        <v>2270</v>
      </c>
      <c r="D93" s="13" t="s">
        <v>6839</v>
      </c>
      <c r="E93" s="13" t="s">
        <v>3054</v>
      </c>
      <c r="F93" s="373">
        <v>24.61</v>
      </c>
      <c r="G93" s="631">
        <v>44561</v>
      </c>
      <c r="H93" s="633">
        <v>44536</v>
      </c>
    </row>
    <row r="94" spans="1:8" x14ac:dyDescent="0.35">
      <c r="A94" s="511" t="s">
        <v>4189</v>
      </c>
      <c r="B94" s="173" t="s">
        <v>5547</v>
      </c>
      <c r="C94" s="173" t="s">
        <v>2270</v>
      </c>
      <c r="D94" s="173" t="s">
        <v>6840</v>
      </c>
      <c r="E94" s="173" t="s">
        <v>1980</v>
      </c>
      <c r="F94" s="374">
        <v>24.58</v>
      </c>
      <c r="G94" s="631">
        <v>44561</v>
      </c>
      <c r="H94" s="633">
        <v>44536</v>
      </c>
    </row>
    <row r="95" spans="1:8" x14ac:dyDescent="0.35">
      <c r="A95" s="497" t="s">
        <v>5032</v>
      </c>
      <c r="B95" s="13" t="s">
        <v>5547</v>
      </c>
      <c r="C95" s="13" t="s">
        <v>2270</v>
      </c>
      <c r="D95" s="13" t="s">
        <v>6841</v>
      </c>
      <c r="E95" s="13" t="s">
        <v>4809</v>
      </c>
      <c r="F95" s="373">
        <v>24.67</v>
      </c>
      <c r="G95" s="631">
        <v>44561</v>
      </c>
      <c r="H95" s="633">
        <v>44536</v>
      </c>
    </row>
    <row r="96" spans="1:8" x14ac:dyDescent="0.35">
      <c r="A96" s="497" t="s">
        <v>5033</v>
      </c>
      <c r="B96" s="13" t="s">
        <v>5547</v>
      </c>
      <c r="C96" s="13" t="s">
        <v>2270</v>
      </c>
      <c r="D96" s="13" t="s">
        <v>6842</v>
      </c>
      <c r="E96" s="13" t="s">
        <v>4330</v>
      </c>
      <c r="F96" s="373">
        <v>27.67</v>
      </c>
      <c r="G96" s="631">
        <v>44561</v>
      </c>
      <c r="H96" s="633">
        <v>44536</v>
      </c>
    </row>
    <row r="97" spans="1:8" x14ac:dyDescent="0.35">
      <c r="A97" s="497" t="s">
        <v>5034</v>
      </c>
      <c r="B97" s="13" t="s">
        <v>5547</v>
      </c>
      <c r="C97" s="13" t="s">
        <v>2270</v>
      </c>
      <c r="D97" s="13" t="s">
        <v>6843</v>
      </c>
      <c r="E97" s="13" t="s">
        <v>674</v>
      </c>
      <c r="F97" s="373">
        <v>27.67</v>
      </c>
      <c r="G97" s="631">
        <v>44561</v>
      </c>
      <c r="H97" s="633">
        <v>44536</v>
      </c>
    </row>
    <row r="98" spans="1:8" x14ac:dyDescent="0.35">
      <c r="A98" s="497" t="s">
        <v>3505</v>
      </c>
      <c r="B98" s="13" t="s">
        <v>5547</v>
      </c>
      <c r="C98" s="13" t="s">
        <v>2270</v>
      </c>
      <c r="D98" s="13" t="s">
        <v>6844</v>
      </c>
      <c r="E98" s="13" t="s">
        <v>3566</v>
      </c>
      <c r="F98" s="373">
        <v>27.64</v>
      </c>
      <c r="G98" s="631">
        <v>44561</v>
      </c>
      <c r="H98" s="633">
        <v>44536</v>
      </c>
    </row>
    <row r="99" spans="1:8" x14ac:dyDescent="0.35">
      <c r="A99" s="497" t="s">
        <v>3065</v>
      </c>
      <c r="B99" s="13" t="s">
        <v>5547</v>
      </c>
      <c r="C99" s="13" t="s">
        <v>2270</v>
      </c>
      <c r="D99" s="13" t="s">
        <v>6845</v>
      </c>
      <c r="E99" s="13" t="s">
        <v>3054</v>
      </c>
      <c r="F99" s="373">
        <v>27.61</v>
      </c>
      <c r="G99" s="631">
        <v>44561</v>
      </c>
      <c r="H99" s="633">
        <v>44536</v>
      </c>
    </row>
    <row r="100" spans="1:8" x14ac:dyDescent="0.35">
      <c r="A100" s="511" t="s">
        <v>4190</v>
      </c>
      <c r="B100" s="173" t="s">
        <v>5547</v>
      </c>
      <c r="C100" s="173" t="s">
        <v>2270</v>
      </c>
      <c r="D100" s="173" t="s">
        <v>6846</v>
      </c>
      <c r="E100" s="173" t="s">
        <v>1980</v>
      </c>
      <c r="F100" s="374">
        <v>27.58</v>
      </c>
      <c r="G100" s="631">
        <v>44561</v>
      </c>
      <c r="H100" s="633">
        <v>44536</v>
      </c>
    </row>
    <row r="101" spans="1:8" x14ac:dyDescent="0.35">
      <c r="A101" s="497" t="s">
        <v>5035</v>
      </c>
      <c r="B101" s="13" t="s">
        <v>5547</v>
      </c>
      <c r="C101" s="13" t="s">
        <v>2270</v>
      </c>
      <c r="D101" s="13" t="s">
        <v>6847</v>
      </c>
      <c r="E101" s="13" t="s">
        <v>4809</v>
      </c>
      <c r="F101" s="373">
        <v>25.67</v>
      </c>
      <c r="G101" s="631">
        <v>44561</v>
      </c>
      <c r="H101" s="633">
        <v>44536</v>
      </c>
    </row>
    <row r="102" spans="1:8" x14ac:dyDescent="0.35">
      <c r="A102" s="497" t="s">
        <v>5036</v>
      </c>
      <c r="B102" s="13" t="s">
        <v>5547</v>
      </c>
      <c r="C102" s="13" t="s">
        <v>2270</v>
      </c>
      <c r="D102" s="88" t="s">
        <v>6848</v>
      </c>
      <c r="E102" s="13" t="s">
        <v>4330</v>
      </c>
      <c r="F102" s="373">
        <v>28.67</v>
      </c>
      <c r="G102" s="631">
        <v>44561</v>
      </c>
      <c r="H102" s="633">
        <v>44536</v>
      </c>
    </row>
    <row r="103" spans="1:8" x14ac:dyDescent="0.35">
      <c r="A103" s="497" t="s">
        <v>5037</v>
      </c>
      <c r="B103" s="13" t="s">
        <v>5547</v>
      </c>
      <c r="C103" s="13" t="s">
        <v>2270</v>
      </c>
      <c r="D103" s="13" t="s">
        <v>6849</v>
      </c>
      <c r="E103" s="13" t="s">
        <v>674</v>
      </c>
      <c r="F103" s="373">
        <v>28.67</v>
      </c>
      <c r="G103" s="631">
        <v>44561</v>
      </c>
      <c r="H103" s="633">
        <v>44536</v>
      </c>
    </row>
    <row r="104" spans="1:8" x14ac:dyDescent="0.35">
      <c r="A104" s="497" t="s">
        <v>3506</v>
      </c>
      <c r="B104" s="13" t="s">
        <v>5547</v>
      </c>
      <c r="C104" s="13" t="s">
        <v>2270</v>
      </c>
      <c r="D104" s="13" t="s">
        <v>6850</v>
      </c>
      <c r="E104" s="13" t="s">
        <v>3566</v>
      </c>
      <c r="F104" s="373">
        <v>28.64</v>
      </c>
      <c r="G104" s="631">
        <v>44561</v>
      </c>
      <c r="H104" s="633">
        <v>44536</v>
      </c>
    </row>
    <row r="105" spans="1:8" x14ac:dyDescent="0.35">
      <c r="A105" s="497" t="s">
        <v>3066</v>
      </c>
      <c r="B105" s="13" t="s">
        <v>5547</v>
      </c>
      <c r="C105" s="13" t="s">
        <v>2270</v>
      </c>
      <c r="D105" s="13" t="s">
        <v>6851</v>
      </c>
      <c r="E105" s="13" t="s">
        <v>3054</v>
      </c>
      <c r="F105" s="373">
        <v>28.61</v>
      </c>
      <c r="G105" s="631">
        <v>44561</v>
      </c>
      <c r="H105" s="633">
        <v>44536</v>
      </c>
    </row>
    <row r="106" spans="1:8" x14ac:dyDescent="0.35">
      <c r="A106" s="511" t="s">
        <v>4191</v>
      </c>
      <c r="B106" s="173" t="s">
        <v>5547</v>
      </c>
      <c r="C106" s="173" t="s">
        <v>2270</v>
      </c>
      <c r="D106" s="173" t="s">
        <v>6852</v>
      </c>
      <c r="E106" s="173" t="s">
        <v>1980</v>
      </c>
      <c r="F106" s="374">
        <v>28.58</v>
      </c>
      <c r="G106" s="631">
        <v>44561</v>
      </c>
      <c r="H106" s="633">
        <v>44536</v>
      </c>
    </row>
    <row r="107" spans="1:8" x14ac:dyDescent="0.35">
      <c r="A107" s="496" t="s">
        <v>5546</v>
      </c>
      <c r="B107" s="1" t="s">
        <v>5547</v>
      </c>
      <c r="C107" s="1" t="s">
        <v>2270</v>
      </c>
      <c r="D107" s="1" t="s">
        <v>1007</v>
      </c>
      <c r="E107" s="151" t="s">
        <v>4809</v>
      </c>
      <c r="F107" s="375">
        <v>10.23</v>
      </c>
      <c r="G107" s="631">
        <v>44561</v>
      </c>
      <c r="H107" s="633">
        <v>44536</v>
      </c>
    </row>
    <row r="108" spans="1:8" x14ac:dyDescent="0.35">
      <c r="A108" s="497" t="s">
        <v>4331</v>
      </c>
      <c r="B108" s="13" t="s">
        <v>5547</v>
      </c>
      <c r="C108" s="13" t="s">
        <v>2270</v>
      </c>
      <c r="D108" s="17" t="s">
        <v>7087</v>
      </c>
      <c r="E108" s="13" t="s">
        <v>4330</v>
      </c>
      <c r="F108" s="371">
        <v>13.23</v>
      </c>
      <c r="G108" s="631">
        <v>44561</v>
      </c>
      <c r="H108" s="633">
        <v>44536</v>
      </c>
    </row>
    <row r="109" spans="1:8" x14ac:dyDescent="0.35">
      <c r="A109" s="497" t="s">
        <v>4402</v>
      </c>
      <c r="B109" s="13" t="s">
        <v>5547</v>
      </c>
      <c r="C109" s="13" t="s">
        <v>2270</v>
      </c>
      <c r="D109" s="17" t="s">
        <v>7088</v>
      </c>
      <c r="E109" s="13" t="s">
        <v>674</v>
      </c>
      <c r="F109" s="371">
        <v>13.23</v>
      </c>
      <c r="G109" s="631">
        <v>44561</v>
      </c>
      <c r="H109" s="633">
        <v>44536</v>
      </c>
    </row>
    <row r="110" spans="1:8" x14ac:dyDescent="0.35">
      <c r="A110" s="497" t="s">
        <v>2808</v>
      </c>
      <c r="B110" s="13" t="s">
        <v>5547</v>
      </c>
      <c r="C110" s="13" t="s">
        <v>2270</v>
      </c>
      <c r="D110" s="17" t="s">
        <v>7089</v>
      </c>
      <c r="E110" s="13" t="s">
        <v>3566</v>
      </c>
      <c r="F110" s="371">
        <v>13.200000000000001</v>
      </c>
      <c r="G110" s="631">
        <v>44561</v>
      </c>
      <c r="H110" s="633">
        <v>44536</v>
      </c>
    </row>
    <row r="111" spans="1:8" x14ac:dyDescent="0.35">
      <c r="A111" s="497" t="s">
        <v>3067</v>
      </c>
      <c r="B111" s="13" t="s">
        <v>5547</v>
      </c>
      <c r="C111" s="13" t="s">
        <v>2270</v>
      </c>
      <c r="D111" s="17" t="s">
        <v>7090</v>
      </c>
      <c r="E111" s="13" t="s">
        <v>3054</v>
      </c>
      <c r="F111" s="371">
        <v>13.17</v>
      </c>
      <c r="G111" s="631">
        <v>44561</v>
      </c>
      <c r="H111" s="633">
        <v>44536</v>
      </c>
    </row>
    <row r="112" spans="1:8" x14ac:dyDescent="0.35">
      <c r="A112" s="511" t="s">
        <v>4192</v>
      </c>
      <c r="B112" s="173" t="s">
        <v>5547</v>
      </c>
      <c r="C112" s="173" t="s">
        <v>2270</v>
      </c>
      <c r="D112" s="174" t="s">
        <v>7091</v>
      </c>
      <c r="E112" s="173" t="s">
        <v>1980</v>
      </c>
      <c r="F112" s="372">
        <v>13.14</v>
      </c>
      <c r="G112" s="631">
        <v>44561</v>
      </c>
      <c r="H112" s="633">
        <v>44536</v>
      </c>
    </row>
    <row r="113" spans="1:8" x14ac:dyDescent="0.35">
      <c r="A113" s="497" t="s">
        <v>4740</v>
      </c>
      <c r="B113" s="13" t="s">
        <v>5547</v>
      </c>
      <c r="C113" s="13" t="s">
        <v>2270</v>
      </c>
      <c r="D113" s="17" t="s">
        <v>7092</v>
      </c>
      <c r="E113" s="153" t="s">
        <v>4809</v>
      </c>
      <c r="F113" s="373">
        <v>11.23</v>
      </c>
      <c r="G113" s="631">
        <v>44561</v>
      </c>
      <c r="H113" s="633">
        <v>44536</v>
      </c>
    </row>
    <row r="114" spans="1:8" x14ac:dyDescent="0.35">
      <c r="A114" s="497" t="s">
        <v>4741</v>
      </c>
      <c r="B114" s="13" t="s">
        <v>5547</v>
      </c>
      <c r="C114" s="13" t="s">
        <v>2270</v>
      </c>
      <c r="D114" s="17" t="s">
        <v>7094</v>
      </c>
      <c r="E114" s="13" t="s">
        <v>4330</v>
      </c>
      <c r="F114" s="371">
        <v>14.23</v>
      </c>
      <c r="G114" s="631">
        <v>44561</v>
      </c>
      <c r="H114" s="633">
        <v>44536</v>
      </c>
    </row>
    <row r="115" spans="1:8" x14ac:dyDescent="0.35">
      <c r="A115" s="497" t="s">
        <v>4742</v>
      </c>
      <c r="B115" s="13" t="s">
        <v>5547</v>
      </c>
      <c r="C115" s="13" t="s">
        <v>2270</v>
      </c>
      <c r="D115" s="17" t="s">
        <v>7095</v>
      </c>
      <c r="E115" s="13" t="s">
        <v>674</v>
      </c>
      <c r="F115" s="371">
        <v>14.23</v>
      </c>
      <c r="G115" s="631">
        <v>44561</v>
      </c>
      <c r="H115" s="633">
        <v>44536</v>
      </c>
    </row>
    <row r="116" spans="1:8" x14ac:dyDescent="0.35">
      <c r="A116" s="497" t="s">
        <v>3507</v>
      </c>
      <c r="B116" s="13" t="s">
        <v>5547</v>
      </c>
      <c r="C116" s="13" t="s">
        <v>2270</v>
      </c>
      <c r="D116" s="17" t="s">
        <v>7096</v>
      </c>
      <c r="E116" s="13" t="s">
        <v>3566</v>
      </c>
      <c r="F116" s="371">
        <v>14.200000000000001</v>
      </c>
      <c r="G116" s="631">
        <v>44561</v>
      </c>
      <c r="H116" s="633">
        <v>44536</v>
      </c>
    </row>
    <row r="117" spans="1:8" x14ac:dyDescent="0.35">
      <c r="A117" s="497" t="s">
        <v>3068</v>
      </c>
      <c r="B117" s="13" t="s">
        <v>5547</v>
      </c>
      <c r="C117" s="13" t="s">
        <v>2270</v>
      </c>
      <c r="D117" s="17" t="s">
        <v>7097</v>
      </c>
      <c r="E117" s="13" t="s">
        <v>3054</v>
      </c>
      <c r="F117" s="371">
        <v>14.17</v>
      </c>
      <c r="G117" s="631">
        <v>44561</v>
      </c>
      <c r="H117" s="633">
        <v>44536</v>
      </c>
    </row>
    <row r="118" spans="1:8" x14ac:dyDescent="0.35">
      <c r="A118" s="511" t="s">
        <v>4193</v>
      </c>
      <c r="B118" s="173" t="s">
        <v>5547</v>
      </c>
      <c r="C118" s="173" t="s">
        <v>2270</v>
      </c>
      <c r="D118" s="174" t="s">
        <v>7098</v>
      </c>
      <c r="E118" s="173" t="s">
        <v>1980</v>
      </c>
      <c r="F118" s="372">
        <v>14.14</v>
      </c>
      <c r="G118" s="631">
        <v>44561</v>
      </c>
      <c r="H118" s="633">
        <v>44536</v>
      </c>
    </row>
    <row r="119" spans="1:8" x14ac:dyDescent="0.35">
      <c r="A119" s="496" t="s">
        <v>5548</v>
      </c>
      <c r="B119" s="1" t="s">
        <v>5547</v>
      </c>
      <c r="C119" s="1" t="s">
        <v>2270</v>
      </c>
      <c r="D119" s="1" t="s">
        <v>7099</v>
      </c>
      <c r="E119" s="151" t="s">
        <v>4809</v>
      </c>
      <c r="F119" s="375">
        <v>16.23</v>
      </c>
      <c r="G119" s="631">
        <v>44561</v>
      </c>
      <c r="H119" s="633">
        <v>44536</v>
      </c>
    </row>
    <row r="120" spans="1:8" x14ac:dyDescent="0.35">
      <c r="A120" s="497" t="s">
        <v>4332</v>
      </c>
      <c r="B120" s="13" t="s">
        <v>5547</v>
      </c>
      <c r="C120" s="13" t="s">
        <v>2270</v>
      </c>
      <c r="D120" s="13" t="s">
        <v>7101</v>
      </c>
      <c r="E120" s="13" t="s">
        <v>4330</v>
      </c>
      <c r="F120" s="373">
        <v>19.23</v>
      </c>
      <c r="G120" s="631">
        <v>44561</v>
      </c>
      <c r="H120" s="633">
        <v>44536</v>
      </c>
    </row>
    <row r="121" spans="1:8" x14ac:dyDescent="0.35">
      <c r="A121" s="497" t="s">
        <v>2620</v>
      </c>
      <c r="B121" s="13" t="s">
        <v>5547</v>
      </c>
      <c r="C121" s="13" t="s">
        <v>2270</v>
      </c>
      <c r="D121" s="13" t="s">
        <v>7102</v>
      </c>
      <c r="E121" s="13" t="s">
        <v>674</v>
      </c>
      <c r="F121" s="373">
        <v>19.23</v>
      </c>
      <c r="G121" s="631">
        <v>44561</v>
      </c>
      <c r="H121" s="633">
        <v>44536</v>
      </c>
    </row>
    <row r="122" spans="1:8" x14ac:dyDescent="0.35">
      <c r="A122" s="497" t="s">
        <v>3508</v>
      </c>
      <c r="B122" s="13" t="s">
        <v>5547</v>
      </c>
      <c r="C122" s="13" t="s">
        <v>2270</v>
      </c>
      <c r="D122" s="13" t="s">
        <v>7103</v>
      </c>
      <c r="E122" s="13" t="s">
        <v>3566</v>
      </c>
      <c r="F122" s="373">
        <v>19.200000000000003</v>
      </c>
      <c r="G122" s="631">
        <v>44561</v>
      </c>
      <c r="H122" s="633">
        <v>44536</v>
      </c>
    </row>
    <row r="123" spans="1:8" x14ac:dyDescent="0.35">
      <c r="A123" s="497" t="s">
        <v>3069</v>
      </c>
      <c r="B123" s="13" t="s">
        <v>5547</v>
      </c>
      <c r="C123" s="13" t="s">
        <v>2270</v>
      </c>
      <c r="D123" s="13" t="s">
        <v>7104</v>
      </c>
      <c r="E123" s="13" t="s">
        <v>3054</v>
      </c>
      <c r="F123" s="373">
        <v>19.170000000000002</v>
      </c>
      <c r="G123" s="631">
        <v>44561</v>
      </c>
      <c r="H123" s="633">
        <v>44536</v>
      </c>
    </row>
    <row r="124" spans="1:8" x14ac:dyDescent="0.35">
      <c r="A124" s="511" t="s">
        <v>4194</v>
      </c>
      <c r="B124" s="173" t="s">
        <v>5547</v>
      </c>
      <c r="C124" s="173" t="s">
        <v>2270</v>
      </c>
      <c r="D124" s="173" t="s">
        <v>7105</v>
      </c>
      <c r="E124" s="173" t="s">
        <v>1980</v>
      </c>
      <c r="F124" s="374">
        <v>19.14</v>
      </c>
      <c r="G124" s="631">
        <v>44561</v>
      </c>
      <c r="H124" s="633">
        <v>44536</v>
      </c>
    </row>
    <row r="125" spans="1:8" x14ac:dyDescent="0.35">
      <c r="A125" s="497" t="s">
        <v>4743</v>
      </c>
      <c r="B125" s="13" t="s">
        <v>5547</v>
      </c>
      <c r="C125" s="13" t="s">
        <v>2270</v>
      </c>
      <c r="D125" s="13" t="s">
        <v>7106</v>
      </c>
      <c r="E125" s="153" t="s">
        <v>4809</v>
      </c>
      <c r="F125" s="373">
        <v>17.23</v>
      </c>
      <c r="G125" s="631">
        <v>44561</v>
      </c>
      <c r="H125" s="633">
        <v>44536</v>
      </c>
    </row>
    <row r="126" spans="1:8" x14ac:dyDescent="0.35">
      <c r="A126" s="497" t="s">
        <v>4744</v>
      </c>
      <c r="B126" s="13" t="s">
        <v>5547</v>
      </c>
      <c r="C126" s="13" t="s">
        <v>2270</v>
      </c>
      <c r="D126" s="13" t="s">
        <v>7108</v>
      </c>
      <c r="E126" s="13" t="s">
        <v>4330</v>
      </c>
      <c r="F126" s="373">
        <v>20.23</v>
      </c>
      <c r="G126" s="631">
        <v>44561</v>
      </c>
      <c r="H126" s="633">
        <v>44536</v>
      </c>
    </row>
    <row r="127" spans="1:8" x14ac:dyDescent="0.35">
      <c r="A127" s="497" t="s">
        <v>4745</v>
      </c>
      <c r="B127" s="13" t="s">
        <v>5547</v>
      </c>
      <c r="C127" s="13" t="s">
        <v>2270</v>
      </c>
      <c r="D127" s="13" t="s">
        <v>7109</v>
      </c>
      <c r="E127" s="13" t="s">
        <v>674</v>
      </c>
      <c r="F127" s="373">
        <v>20.23</v>
      </c>
      <c r="G127" s="631">
        <v>44561</v>
      </c>
      <c r="H127" s="633">
        <v>44536</v>
      </c>
    </row>
    <row r="128" spans="1:8" x14ac:dyDescent="0.35">
      <c r="A128" s="497" t="s">
        <v>3509</v>
      </c>
      <c r="B128" s="13" t="s">
        <v>5547</v>
      </c>
      <c r="C128" s="13" t="s">
        <v>2270</v>
      </c>
      <c r="D128" s="13" t="s">
        <v>7110</v>
      </c>
      <c r="E128" s="13" t="s">
        <v>3566</v>
      </c>
      <c r="F128" s="373">
        <v>20.200000000000003</v>
      </c>
      <c r="G128" s="631">
        <v>44561</v>
      </c>
      <c r="H128" s="633">
        <v>44536</v>
      </c>
    </row>
    <row r="129" spans="1:8" x14ac:dyDescent="0.35">
      <c r="A129" s="497" t="s">
        <v>3070</v>
      </c>
      <c r="B129" s="13" t="s">
        <v>5547</v>
      </c>
      <c r="C129" s="13" t="s">
        <v>2270</v>
      </c>
      <c r="D129" s="13" t="s">
        <v>7111</v>
      </c>
      <c r="E129" s="13" t="s">
        <v>3054</v>
      </c>
      <c r="F129" s="373">
        <v>20.170000000000002</v>
      </c>
      <c r="G129" s="631">
        <v>44561</v>
      </c>
      <c r="H129" s="633">
        <v>44536</v>
      </c>
    </row>
    <row r="130" spans="1:8" x14ac:dyDescent="0.35">
      <c r="A130" s="511" t="s">
        <v>4195</v>
      </c>
      <c r="B130" s="173" t="s">
        <v>5547</v>
      </c>
      <c r="C130" s="173" t="s">
        <v>2270</v>
      </c>
      <c r="D130" s="173" t="s">
        <v>7112</v>
      </c>
      <c r="E130" s="173" t="s">
        <v>1980</v>
      </c>
      <c r="F130" s="374">
        <v>20.14</v>
      </c>
      <c r="G130" s="631">
        <v>44561</v>
      </c>
      <c r="H130" s="633">
        <v>44536</v>
      </c>
    </row>
    <row r="131" spans="1:8" x14ac:dyDescent="0.35">
      <c r="A131" s="497" t="s">
        <v>4111</v>
      </c>
      <c r="B131" s="13" t="s">
        <v>5547</v>
      </c>
      <c r="C131" s="13" t="s">
        <v>2270</v>
      </c>
      <c r="D131" s="13" t="s">
        <v>7029</v>
      </c>
      <c r="E131" s="13" t="s">
        <v>4809</v>
      </c>
      <c r="F131" s="373">
        <v>17.23</v>
      </c>
      <c r="G131" s="631">
        <v>44561</v>
      </c>
      <c r="H131" s="633">
        <v>44536</v>
      </c>
    </row>
    <row r="132" spans="1:8" x14ac:dyDescent="0.35">
      <c r="A132" s="497" t="s">
        <v>4112</v>
      </c>
      <c r="B132" s="13" t="s">
        <v>5547</v>
      </c>
      <c r="C132" s="13" t="s">
        <v>2270</v>
      </c>
      <c r="D132" s="13" t="s">
        <v>7030</v>
      </c>
      <c r="E132" s="13" t="s">
        <v>4330</v>
      </c>
      <c r="F132" s="373">
        <v>20.23</v>
      </c>
      <c r="G132" s="631">
        <v>44561</v>
      </c>
      <c r="H132" s="633">
        <v>44536</v>
      </c>
    </row>
    <row r="133" spans="1:8" x14ac:dyDescent="0.35">
      <c r="A133" s="497" t="s">
        <v>4113</v>
      </c>
      <c r="B133" s="13" t="s">
        <v>5547</v>
      </c>
      <c r="C133" s="13" t="s">
        <v>2270</v>
      </c>
      <c r="D133" s="13" t="s">
        <v>7031</v>
      </c>
      <c r="E133" s="13" t="s">
        <v>674</v>
      </c>
      <c r="F133" s="373">
        <v>20.23</v>
      </c>
      <c r="G133" s="631">
        <v>44561</v>
      </c>
      <c r="H133" s="633">
        <v>44536</v>
      </c>
    </row>
    <row r="134" spans="1:8" x14ac:dyDescent="0.35">
      <c r="A134" s="497" t="s">
        <v>3510</v>
      </c>
      <c r="B134" s="13" t="s">
        <v>5547</v>
      </c>
      <c r="C134" s="13" t="s">
        <v>2270</v>
      </c>
      <c r="D134" s="13" t="s">
        <v>7032</v>
      </c>
      <c r="E134" s="13" t="s">
        <v>3566</v>
      </c>
      <c r="F134" s="373">
        <v>20.200000000000003</v>
      </c>
      <c r="G134" s="631">
        <v>44561</v>
      </c>
      <c r="H134" s="633">
        <v>44536</v>
      </c>
    </row>
    <row r="135" spans="1:8" x14ac:dyDescent="0.35">
      <c r="A135" s="497" t="s">
        <v>3071</v>
      </c>
      <c r="B135" s="13" t="s">
        <v>5547</v>
      </c>
      <c r="C135" s="13" t="s">
        <v>2270</v>
      </c>
      <c r="D135" s="13" t="s">
        <v>7033</v>
      </c>
      <c r="E135" s="13" t="s">
        <v>3054</v>
      </c>
      <c r="F135" s="373">
        <v>20.170000000000002</v>
      </c>
      <c r="G135" s="631">
        <v>44561</v>
      </c>
      <c r="H135" s="633">
        <v>44536</v>
      </c>
    </row>
    <row r="136" spans="1:8" x14ac:dyDescent="0.35">
      <c r="A136" s="511" t="s">
        <v>4196</v>
      </c>
      <c r="B136" s="173" t="s">
        <v>5547</v>
      </c>
      <c r="C136" s="173" t="s">
        <v>2270</v>
      </c>
      <c r="D136" s="173" t="s">
        <v>7034</v>
      </c>
      <c r="E136" s="173" t="s">
        <v>1980</v>
      </c>
      <c r="F136" s="374">
        <v>20.14</v>
      </c>
      <c r="G136" s="631">
        <v>44561</v>
      </c>
      <c r="H136" s="633">
        <v>44536</v>
      </c>
    </row>
    <row r="137" spans="1:8" x14ac:dyDescent="0.35">
      <c r="A137" s="497" t="s">
        <v>4114</v>
      </c>
      <c r="B137" s="13" t="s">
        <v>5547</v>
      </c>
      <c r="C137" s="13" t="s">
        <v>2270</v>
      </c>
      <c r="D137" s="13" t="s">
        <v>7035</v>
      </c>
      <c r="E137" s="13" t="s">
        <v>4809</v>
      </c>
      <c r="F137" s="373">
        <v>18.23</v>
      </c>
      <c r="G137" s="631">
        <v>44561</v>
      </c>
      <c r="H137" s="633">
        <v>44536</v>
      </c>
    </row>
    <row r="138" spans="1:8" x14ac:dyDescent="0.35">
      <c r="A138" s="497" t="s">
        <v>4115</v>
      </c>
      <c r="B138" s="13" t="s">
        <v>5547</v>
      </c>
      <c r="C138" s="13" t="s">
        <v>2270</v>
      </c>
      <c r="D138" s="88" t="s">
        <v>7036</v>
      </c>
      <c r="E138" s="13" t="s">
        <v>4330</v>
      </c>
      <c r="F138" s="373">
        <v>21.23</v>
      </c>
      <c r="G138" s="631">
        <v>44561</v>
      </c>
      <c r="H138" s="633">
        <v>44536</v>
      </c>
    </row>
    <row r="139" spans="1:8" x14ac:dyDescent="0.35">
      <c r="A139" s="497" t="s">
        <v>4116</v>
      </c>
      <c r="B139" s="13" t="s">
        <v>5547</v>
      </c>
      <c r="C139" s="13" t="s">
        <v>2270</v>
      </c>
      <c r="D139" s="13" t="s">
        <v>7037</v>
      </c>
      <c r="E139" s="13" t="s">
        <v>674</v>
      </c>
      <c r="F139" s="373">
        <v>21.23</v>
      </c>
      <c r="G139" s="631">
        <v>44561</v>
      </c>
      <c r="H139" s="633">
        <v>44536</v>
      </c>
    </row>
    <row r="140" spans="1:8" x14ac:dyDescent="0.35">
      <c r="A140" s="497" t="s">
        <v>3511</v>
      </c>
      <c r="B140" s="13" t="s">
        <v>5547</v>
      </c>
      <c r="C140" s="13" t="s">
        <v>2270</v>
      </c>
      <c r="D140" s="13" t="s">
        <v>7038</v>
      </c>
      <c r="E140" s="13" t="s">
        <v>3566</v>
      </c>
      <c r="F140" s="373">
        <v>21.200000000000003</v>
      </c>
      <c r="G140" s="631">
        <v>44561</v>
      </c>
      <c r="H140" s="633">
        <v>44536</v>
      </c>
    </row>
    <row r="141" spans="1:8" x14ac:dyDescent="0.35">
      <c r="A141" s="497" t="s">
        <v>3072</v>
      </c>
      <c r="B141" s="13" t="s">
        <v>5547</v>
      </c>
      <c r="C141" s="13" t="s">
        <v>2270</v>
      </c>
      <c r="D141" s="13" t="s">
        <v>7039</v>
      </c>
      <c r="E141" s="13" t="s">
        <v>3054</v>
      </c>
      <c r="F141" s="373">
        <v>21.17</v>
      </c>
      <c r="G141" s="631">
        <v>44561</v>
      </c>
      <c r="H141" s="633">
        <v>44536</v>
      </c>
    </row>
    <row r="142" spans="1:8" x14ac:dyDescent="0.35">
      <c r="A142" s="511" t="s">
        <v>4197</v>
      </c>
      <c r="B142" s="173" t="s">
        <v>5547</v>
      </c>
      <c r="C142" s="173" t="s">
        <v>2270</v>
      </c>
      <c r="D142" s="173" t="s">
        <v>7040</v>
      </c>
      <c r="E142" s="173" t="s">
        <v>1980</v>
      </c>
      <c r="F142" s="374">
        <v>21.14</v>
      </c>
      <c r="G142" s="631">
        <v>44561</v>
      </c>
      <c r="H142" s="633">
        <v>44536</v>
      </c>
    </row>
    <row r="143" spans="1:8" x14ac:dyDescent="0.35">
      <c r="A143" s="497" t="s">
        <v>4117</v>
      </c>
      <c r="B143" s="13" t="s">
        <v>5547</v>
      </c>
      <c r="C143" s="13" t="s">
        <v>2270</v>
      </c>
      <c r="D143" s="13" t="s">
        <v>7041</v>
      </c>
      <c r="E143" s="13" t="s">
        <v>4809</v>
      </c>
      <c r="F143" s="373">
        <v>18.23</v>
      </c>
      <c r="G143" s="631">
        <v>44561</v>
      </c>
      <c r="H143" s="633">
        <v>44536</v>
      </c>
    </row>
    <row r="144" spans="1:8" x14ac:dyDescent="0.35">
      <c r="A144" s="497" t="s">
        <v>4118</v>
      </c>
      <c r="B144" s="13" t="s">
        <v>5547</v>
      </c>
      <c r="C144" s="13" t="s">
        <v>2270</v>
      </c>
      <c r="D144" s="13" t="s">
        <v>7042</v>
      </c>
      <c r="E144" s="13" t="s">
        <v>4330</v>
      </c>
      <c r="F144" s="373">
        <v>21.23</v>
      </c>
      <c r="G144" s="631">
        <v>44561</v>
      </c>
      <c r="H144" s="633">
        <v>44536</v>
      </c>
    </row>
    <row r="145" spans="1:8" x14ac:dyDescent="0.35">
      <c r="A145" s="497" t="s">
        <v>4119</v>
      </c>
      <c r="B145" s="13" t="s">
        <v>5547</v>
      </c>
      <c r="C145" s="13" t="s">
        <v>2270</v>
      </c>
      <c r="D145" s="13" t="s">
        <v>7043</v>
      </c>
      <c r="E145" s="13" t="s">
        <v>674</v>
      </c>
      <c r="F145" s="373">
        <v>21.23</v>
      </c>
      <c r="G145" s="631">
        <v>44561</v>
      </c>
      <c r="H145" s="633">
        <v>44536</v>
      </c>
    </row>
    <row r="146" spans="1:8" x14ac:dyDescent="0.35">
      <c r="A146" s="497" t="s">
        <v>3512</v>
      </c>
      <c r="B146" s="13" t="s">
        <v>5547</v>
      </c>
      <c r="C146" s="13" t="s">
        <v>2270</v>
      </c>
      <c r="D146" s="13" t="s">
        <v>7044</v>
      </c>
      <c r="E146" s="13" t="s">
        <v>3566</v>
      </c>
      <c r="F146" s="373">
        <v>21.200000000000003</v>
      </c>
      <c r="G146" s="631">
        <v>44561</v>
      </c>
      <c r="H146" s="633">
        <v>44536</v>
      </c>
    </row>
    <row r="147" spans="1:8" x14ac:dyDescent="0.35">
      <c r="A147" s="497" t="s">
        <v>5173</v>
      </c>
      <c r="B147" s="13" t="s">
        <v>5547</v>
      </c>
      <c r="C147" s="13" t="s">
        <v>2270</v>
      </c>
      <c r="D147" s="13" t="s">
        <v>7045</v>
      </c>
      <c r="E147" s="13" t="s">
        <v>3054</v>
      </c>
      <c r="F147" s="373">
        <v>21.17</v>
      </c>
      <c r="G147" s="631">
        <v>44561</v>
      </c>
      <c r="H147" s="633">
        <v>44536</v>
      </c>
    </row>
    <row r="148" spans="1:8" x14ac:dyDescent="0.35">
      <c r="A148" s="511" t="s">
        <v>4198</v>
      </c>
      <c r="B148" s="173" t="s">
        <v>5547</v>
      </c>
      <c r="C148" s="173" t="s">
        <v>2270</v>
      </c>
      <c r="D148" s="173" t="s">
        <v>7046</v>
      </c>
      <c r="E148" s="173" t="s">
        <v>1980</v>
      </c>
      <c r="F148" s="374">
        <v>21.14</v>
      </c>
      <c r="G148" s="631">
        <v>44561</v>
      </c>
      <c r="H148" s="633">
        <v>44536</v>
      </c>
    </row>
    <row r="149" spans="1:8" x14ac:dyDescent="0.35">
      <c r="A149" s="497" t="s">
        <v>4120</v>
      </c>
      <c r="B149" s="13" t="s">
        <v>5547</v>
      </c>
      <c r="C149" s="13" t="s">
        <v>2270</v>
      </c>
      <c r="D149" s="13" t="s">
        <v>7047</v>
      </c>
      <c r="E149" s="13" t="s">
        <v>4809</v>
      </c>
      <c r="F149" s="373">
        <v>19.23</v>
      </c>
      <c r="G149" s="631">
        <v>44561</v>
      </c>
      <c r="H149" s="633">
        <v>44536</v>
      </c>
    </row>
    <row r="150" spans="1:8" x14ac:dyDescent="0.35">
      <c r="A150" s="497" t="s">
        <v>2178</v>
      </c>
      <c r="B150" s="13" t="s">
        <v>5547</v>
      </c>
      <c r="C150" s="13" t="s">
        <v>2270</v>
      </c>
      <c r="D150" s="88" t="s">
        <v>7048</v>
      </c>
      <c r="E150" s="13" t="s">
        <v>4330</v>
      </c>
      <c r="F150" s="373">
        <v>22.23</v>
      </c>
      <c r="G150" s="631">
        <v>44561</v>
      </c>
      <c r="H150" s="633">
        <v>44536</v>
      </c>
    </row>
    <row r="151" spans="1:8" x14ac:dyDescent="0.35">
      <c r="A151" s="497" t="s">
        <v>2179</v>
      </c>
      <c r="B151" s="13" t="s">
        <v>5547</v>
      </c>
      <c r="C151" s="13" t="s">
        <v>2270</v>
      </c>
      <c r="D151" s="13" t="s">
        <v>7049</v>
      </c>
      <c r="E151" s="13" t="s">
        <v>674</v>
      </c>
      <c r="F151" s="373">
        <v>22.23</v>
      </c>
      <c r="G151" s="631">
        <v>44561</v>
      </c>
      <c r="H151" s="633">
        <v>44536</v>
      </c>
    </row>
    <row r="152" spans="1:8" x14ac:dyDescent="0.35">
      <c r="A152" s="497" t="s">
        <v>4704</v>
      </c>
      <c r="B152" s="13" t="s">
        <v>5547</v>
      </c>
      <c r="C152" s="13" t="s">
        <v>2270</v>
      </c>
      <c r="D152" s="13" t="s">
        <v>7050</v>
      </c>
      <c r="E152" s="13" t="s">
        <v>3566</v>
      </c>
      <c r="F152" s="373">
        <v>22.200000000000003</v>
      </c>
      <c r="G152" s="631">
        <v>44561</v>
      </c>
      <c r="H152" s="633">
        <v>44536</v>
      </c>
    </row>
    <row r="153" spans="1:8" x14ac:dyDescent="0.35">
      <c r="A153" s="497" t="s">
        <v>5174</v>
      </c>
      <c r="B153" s="13" t="s">
        <v>5547</v>
      </c>
      <c r="C153" s="13" t="s">
        <v>2270</v>
      </c>
      <c r="D153" s="13" t="s">
        <v>7051</v>
      </c>
      <c r="E153" s="13" t="s">
        <v>3054</v>
      </c>
      <c r="F153" s="373">
        <v>22.17</v>
      </c>
      <c r="G153" s="631">
        <v>44561</v>
      </c>
      <c r="H153" s="633">
        <v>44536</v>
      </c>
    </row>
    <row r="154" spans="1:8" x14ac:dyDescent="0.35">
      <c r="A154" s="511" t="s">
        <v>4199</v>
      </c>
      <c r="B154" s="173" t="s">
        <v>5547</v>
      </c>
      <c r="C154" s="173" t="s">
        <v>2270</v>
      </c>
      <c r="D154" s="173" t="s">
        <v>7052</v>
      </c>
      <c r="E154" s="173" t="s">
        <v>1980</v>
      </c>
      <c r="F154" s="374">
        <v>22.14</v>
      </c>
      <c r="G154" s="631">
        <v>44561</v>
      </c>
      <c r="H154" s="633">
        <v>44536</v>
      </c>
    </row>
    <row r="155" spans="1:8" x14ac:dyDescent="0.35">
      <c r="A155" s="497" t="s">
        <v>2180</v>
      </c>
      <c r="B155" s="13" t="s">
        <v>5547</v>
      </c>
      <c r="C155" s="13" t="s">
        <v>2270</v>
      </c>
      <c r="D155" s="13" t="s">
        <v>7053</v>
      </c>
      <c r="E155" s="13" t="s">
        <v>4809</v>
      </c>
      <c r="F155" s="373">
        <v>19.23</v>
      </c>
      <c r="G155" s="631">
        <v>44561</v>
      </c>
      <c r="H155" s="633">
        <v>44536</v>
      </c>
    </row>
    <row r="156" spans="1:8" x14ac:dyDescent="0.35">
      <c r="A156" s="497" t="s">
        <v>2181</v>
      </c>
      <c r="B156" s="13" t="s">
        <v>5547</v>
      </c>
      <c r="C156" s="13" t="s">
        <v>2270</v>
      </c>
      <c r="D156" s="13" t="s">
        <v>7054</v>
      </c>
      <c r="E156" s="13" t="s">
        <v>4330</v>
      </c>
      <c r="F156" s="373">
        <v>22.23</v>
      </c>
      <c r="G156" s="631">
        <v>44561</v>
      </c>
      <c r="H156" s="633">
        <v>44536</v>
      </c>
    </row>
    <row r="157" spans="1:8" x14ac:dyDescent="0.35">
      <c r="A157" s="497" t="s">
        <v>2182</v>
      </c>
      <c r="B157" s="13" t="s">
        <v>5547</v>
      </c>
      <c r="C157" s="13" t="s">
        <v>2270</v>
      </c>
      <c r="D157" s="13" t="s">
        <v>7055</v>
      </c>
      <c r="E157" s="13" t="s">
        <v>674</v>
      </c>
      <c r="F157" s="373">
        <v>22.23</v>
      </c>
      <c r="G157" s="631">
        <v>44561</v>
      </c>
      <c r="H157" s="633">
        <v>44536</v>
      </c>
    </row>
    <row r="158" spans="1:8" x14ac:dyDescent="0.35">
      <c r="A158" s="497" t="s">
        <v>4705</v>
      </c>
      <c r="B158" s="13" t="s">
        <v>5547</v>
      </c>
      <c r="C158" s="13" t="s">
        <v>2270</v>
      </c>
      <c r="D158" s="13" t="s">
        <v>7056</v>
      </c>
      <c r="E158" s="13" t="s">
        <v>3566</v>
      </c>
      <c r="F158" s="373">
        <v>22.200000000000003</v>
      </c>
      <c r="G158" s="631">
        <v>44561</v>
      </c>
      <c r="H158" s="633">
        <v>44536</v>
      </c>
    </row>
    <row r="159" spans="1:8" x14ac:dyDescent="0.35">
      <c r="A159" s="497" t="s">
        <v>5175</v>
      </c>
      <c r="B159" s="13" t="s">
        <v>5547</v>
      </c>
      <c r="C159" s="13" t="s">
        <v>2270</v>
      </c>
      <c r="D159" s="13" t="s">
        <v>7057</v>
      </c>
      <c r="E159" s="13" t="s">
        <v>3054</v>
      </c>
      <c r="F159" s="373">
        <v>22.17</v>
      </c>
      <c r="G159" s="631">
        <v>44561</v>
      </c>
      <c r="H159" s="633">
        <v>44536</v>
      </c>
    </row>
    <row r="160" spans="1:8" x14ac:dyDescent="0.35">
      <c r="A160" s="511" t="s">
        <v>4200</v>
      </c>
      <c r="B160" s="173" t="s">
        <v>5547</v>
      </c>
      <c r="C160" s="173" t="s">
        <v>2270</v>
      </c>
      <c r="D160" s="173" t="s">
        <v>7058</v>
      </c>
      <c r="E160" s="173" t="s">
        <v>1980</v>
      </c>
      <c r="F160" s="374">
        <v>22.14</v>
      </c>
      <c r="G160" s="631">
        <v>44561</v>
      </c>
      <c r="H160" s="633">
        <v>44536</v>
      </c>
    </row>
    <row r="161" spans="1:8" x14ac:dyDescent="0.35">
      <c r="A161" s="497" t="s">
        <v>2183</v>
      </c>
      <c r="B161" s="13" t="s">
        <v>5547</v>
      </c>
      <c r="C161" s="13" t="s">
        <v>2270</v>
      </c>
      <c r="D161" s="13" t="s">
        <v>7059</v>
      </c>
      <c r="E161" s="13" t="s">
        <v>4809</v>
      </c>
      <c r="F161" s="373">
        <v>20.23</v>
      </c>
      <c r="G161" s="631">
        <v>44561</v>
      </c>
      <c r="H161" s="633">
        <v>44536</v>
      </c>
    </row>
    <row r="162" spans="1:8" x14ac:dyDescent="0.35">
      <c r="A162" s="497" t="s">
        <v>2184</v>
      </c>
      <c r="B162" s="13" t="s">
        <v>5547</v>
      </c>
      <c r="C162" s="13" t="s">
        <v>2270</v>
      </c>
      <c r="D162" s="88" t="s">
        <v>7060</v>
      </c>
      <c r="E162" s="13" t="s">
        <v>4330</v>
      </c>
      <c r="F162" s="373">
        <v>23.23</v>
      </c>
      <c r="G162" s="631">
        <v>44561</v>
      </c>
      <c r="H162" s="633">
        <v>44536</v>
      </c>
    </row>
    <row r="163" spans="1:8" x14ac:dyDescent="0.35">
      <c r="A163" s="497" t="s">
        <v>2185</v>
      </c>
      <c r="B163" s="13" t="s">
        <v>5547</v>
      </c>
      <c r="C163" s="13" t="s">
        <v>2270</v>
      </c>
      <c r="D163" s="13" t="s">
        <v>7061</v>
      </c>
      <c r="E163" s="13" t="s">
        <v>674</v>
      </c>
      <c r="F163" s="373">
        <v>23.23</v>
      </c>
      <c r="G163" s="631">
        <v>44561</v>
      </c>
      <c r="H163" s="633">
        <v>44536</v>
      </c>
    </row>
    <row r="164" spans="1:8" x14ac:dyDescent="0.35">
      <c r="A164" s="497" t="s">
        <v>4706</v>
      </c>
      <c r="B164" s="13" t="s">
        <v>5547</v>
      </c>
      <c r="C164" s="13" t="s">
        <v>2270</v>
      </c>
      <c r="D164" s="13" t="s">
        <v>7062</v>
      </c>
      <c r="E164" s="13" t="s">
        <v>3566</v>
      </c>
      <c r="F164" s="373">
        <v>23.200000000000003</v>
      </c>
      <c r="G164" s="631">
        <v>44561</v>
      </c>
      <c r="H164" s="633">
        <v>44536</v>
      </c>
    </row>
    <row r="165" spans="1:8" x14ac:dyDescent="0.35">
      <c r="A165" s="497" t="s">
        <v>5176</v>
      </c>
      <c r="B165" s="13" t="s">
        <v>5547</v>
      </c>
      <c r="C165" s="13" t="s">
        <v>2270</v>
      </c>
      <c r="D165" s="13" t="s">
        <v>7063</v>
      </c>
      <c r="E165" s="13" t="s">
        <v>3054</v>
      </c>
      <c r="F165" s="373">
        <v>23.17</v>
      </c>
      <c r="G165" s="631">
        <v>44561</v>
      </c>
      <c r="H165" s="633">
        <v>44536</v>
      </c>
    </row>
    <row r="166" spans="1:8" x14ac:dyDescent="0.35">
      <c r="A166" s="511" t="s">
        <v>4201</v>
      </c>
      <c r="B166" s="173" t="s">
        <v>5547</v>
      </c>
      <c r="C166" s="173" t="s">
        <v>2270</v>
      </c>
      <c r="D166" s="173" t="s">
        <v>7064</v>
      </c>
      <c r="E166" s="173" t="s">
        <v>1980</v>
      </c>
      <c r="F166" s="374">
        <v>23.14</v>
      </c>
      <c r="G166" s="631">
        <v>44561</v>
      </c>
      <c r="H166" s="633">
        <v>44536</v>
      </c>
    </row>
    <row r="167" spans="1:8" x14ac:dyDescent="0.35">
      <c r="A167" s="497" t="s">
        <v>2186</v>
      </c>
      <c r="B167" s="13" t="s">
        <v>5547</v>
      </c>
      <c r="C167" s="13" t="s">
        <v>2270</v>
      </c>
      <c r="D167" s="13" t="s">
        <v>7065</v>
      </c>
      <c r="E167" s="13" t="s">
        <v>4809</v>
      </c>
      <c r="F167" s="373">
        <v>20.23</v>
      </c>
      <c r="G167" s="631">
        <v>44561</v>
      </c>
      <c r="H167" s="633">
        <v>44536</v>
      </c>
    </row>
    <row r="168" spans="1:8" x14ac:dyDescent="0.35">
      <c r="A168" s="497" t="s">
        <v>2187</v>
      </c>
      <c r="B168" s="13" t="s">
        <v>5547</v>
      </c>
      <c r="C168" s="13" t="s">
        <v>2270</v>
      </c>
      <c r="D168" s="13" t="s">
        <v>7066</v>
      </c>
      <c r="E168" s="13" t="s">
        <v>4330</v>
      </c>
      <c r="F168" s="373">
        <v>23.23</v>
      </c>
      <c r="G168" s="631">
        <v>44561</v>
      </c>
      <c r="H168" s="633">
        <v>44536</v>
      </c>
    </row>
    <row r="169" spans="1:8" x14ac:dyDescent="0.35">
      <c r="A169" s="497" t="s">
        <v>512</v>
      </c>
      <c r="B169" s="13" t="s">
        <v>5547</v>
      </c>
      <c r="C169" s="13" t="s">
        <v>2270</v>
      </c>
      <c r="D169" s="13" t="s">
        <v>7067</v>
      </c>
      <c r="E169" s="13" t="s">
        <v>674</v>
      </c>
      <c r="F169" s="373">
        <v>23.23</v>
      </c>
      <c r="G169" s="631">
        <v>44561</v>
      </c>
      <c r="H169" s="633">
        <v>44536</v>
      </c>
    </row>
    <row r="170" spans="1:8" x14ac:dyDescent="0.35">
      <c r="A170" s="497" t="s">
        <v>4707</v>
      </c>
      <c r="B170" s="13" t="s">
        <v>5547</v>
      </c>
      <c r="C170" s="13" t="s">
        <v>2270</v>
      </c>
      <c r="D170" s="13" t="s">
        <v>7068</v>
      </c>
      <c r="E170" s="13" t="s">
        <v>3566</v>
      </c>
      <c r="F170" s="373">
        <v>23.200000000000003</v>
      </c>
      <c r="G170" s="631">
        <v>44561</v>
      </c>
      <c r="H170" s="633">
        <v>44536</v>
      </c>
    </row>
    <row r="171" spans="1:8" x14ac:dyDescent="0.35">
      <c r="A171" s="497" t="s">
        <v>5177</v>
      </c>
      <c r="B171" s="13" t="s">
        <v>5547</v>
      </c>
      <c r="C171" s="13" t="s">
        <v>2270</v>
      </c>
      <c r="D171" s="13" t="s">
        <v>7069</v>
      </c>
      <c r="E171" s="13" t="s">
        <v>3054</v>
      </c>
      <c r="F171" s="373">
        <v>23.17</v>
      </c>
      <c r="G171" s="631">
        <v>44561</v>
      </c>
      <c r="H171" s="633">
        <v>44536</v>
      </c>
    </row>
    <row r="172" spans="1:8" x14ac:dyDescent="0.35">
      <c r="A172" s="511" t="s">
        <v>4202</v>
      </c>
      <c r="B172" s="173" t="s">
        <v>5547</v>
      </c>
      <c r="C172" s="173" t="s">
        <v>2270</v>
      </c>
      <c r="D172" s="173" t="s">
        <v>7070</v>
      </c>
      <c r="E172" s="173" t="s">
        <v>1980</v>
      </c>
      <c r="F172" s="374">
        <v>23.14</v>
      </c>
      <c r="G172" s="631">
        <v>44561</v>
      </c>
      <c r="H172" s="633">
        <v>44536</v>
      </c>
    </row>
    <row r="173" spans="1:8" x14ac:dyDescent="0.35">
      <c r="A173" s="497" t="s">
        <v>513</v>
      </c>
      <c r="B173" s="13" t="s">
        <v>5547</v>
      </c>
      <c r="C173" s="13" t="s">
        <v>2270</v>
      </c>
      <c r="D173" s="13" t="s">
        <v>7071</v>
      </c>
      <c r="E173" s="13" t="s">
        <v>4809</v>
      </c>
      <c r="F173" s="373">
        <v>21.23</v>
      </c>
      <c r="G173" s="631">
        <v>44561</v>
      </c>
      <c r="H173" s="633">
        <v>44536</v>
      </c>
    </row>
    <row r="174" spans="1:8" x14ac:dyDescent="0.35">
      <c r="A174" s="497" t="s">
        <v>514</v>
      </c>
      <c r="B174" s="13" t="s">
        <v>5547</v>
      </c>
      <c r="C174" s="13" t="s">
        <v>2270</v>
      </c>
      <c r="D174" s="88" t="s">
        <v>7072</v>
      </c>
      <c r="E174" s="13" t="s">
        <v>4330</v>
      </c>
      <c r="F174" s="373">
        <v>24.23</v>
      </c>
      <c r="G174" s="631">
        <v>44561</v>
      </c>
      <c r="H174" s="633">
        <v>44536</v>
      </c>
    </row>
    <row r="175" spans="1:8" x14ac:dyDescent="0.35">
      <c r="A175" s="497" t="s">
        <v>515</v>
      </c>
      <c r="B175" s="13" t="s">
        <v>5547</v>
      </c>
      <c r="C175" s="13" t="s">
        <v>2270</v>
      </c>
      <c r="D175" s="13" t="s">
        <v>7073</v>
      </c>
      <c r="E175" s="13" t="s">
        <v>674</v>
      </c>
      <c r="F175" s="373">
        <v>24.23</v>
      </c>
      <c r="G175" s="631">
        <v>44561</v>
      </c>
      <c r="H175" s="633">
        <v>44536</v>
      </c>
    </row>
    <row r="176" spans="1:8" x14ac:dyDescent="0.35">
      <c r="A176" s="497" t="s">
        <v>4708</v>
      </c>
      <c r="B176" s="13" t="s">
        <v>5547</v>
      </c>
      <c r="C176" s="13" t="s">
        <v>2270</v>
      </c>
      <c r="D176" s="13" t="s">
        <v>7074</v>
      </c>
      <c r="E176" s="13" t="s">
        <v>3566</v>
      </c>
      <c r="F176" s="373">
        <v>24.200000000000003</v>
      </c>
      <c r="G176" s="631">
        <v>44561</v>
      </c>
      <c r="H176" s="633">
        <v>44536</v>
      </c>
    </row>
    <row r="177" spans="1:8" x14ac:dyDescent="0.35">
      <c r="A177" s="497" t="s">
        <v>5178</v>
      </c>
      <c r="B177" s="13" t="s">
        <v>5547</v>
      </c>
      <c r="C177" s="13" t="s">
        <v>2270</v>
      </c>
      <c r="D177" s="13" t="s">
        <v>7075</v>
      </c>
      <c r="E177" s="13" t="s">
        <v>3054</v>
      </c>
      <c r="F177" s="373">
        <v>24.17</v>
      </c>
      <c r="G177" s="631">
        <v>44561</v>
      </c>
      <c r="H177" s="633">
        <v>44536</v>
      </c>
    </row>
    <row r="178" spans="1:8" x14ac:dyDescent="0.35">
      <c r="A178" s="511" t="s">
        <v>4203</v>
      </c>
      <c r="B178" s="173" t="s">
        <v>5547</v>
      </c>
      <c r="C178" s="173" t="s">
        <v>2270</v>
      </c>
      <c r="D178" s="173" t="s">
        <v>7076</v>
      </c>
      <c r="E178" s="173" t="s">
        <v>1980</v>
      </c>
      <c r="F178" s="374">
        <v>24.14</v>
      </c>
      <c r="G178" s="631">
        <v>44561</v>
      </c>
      <c r="H178" s="633">
        <v>44536</v>
      </c>
    </row>
    <row r="179" spans="1:8" x14ac:dyDescent="0.35">
      <c r="A179" s="496" t="s">
        <v>5549</v>
      </c>
      <c r="B179" s="1" t="s">
        <v>5547</v>
      </c>
      <c r="C179" s="1" t="s">
        <v>2270</v>
      </c>
      <c r="D179" s="1" t="s">
        <v>5407</v>
      </c>
      <c r="E179" s="151" t="s">
        <v>4809</v>
      </c>
      <c r="F179" s="375">
        <v>9.2100000000000009</v>
      </c>
      <c r="G179" s="631">
        <v>44561</v>
      </c>
      <c r="H179" s="633">
        <v>44536</v>
      </c>
    </row>
    <row r="180" spans="1:8" x14ac:dyDescent="0.35">
      <c r="A180" s="497" t="s">
        <v>2621</v>
      </c>
      <c r="B180" s="13" t="s">
        <v>5547</v>
      </c>
      <c r="C180" s="13" t="s">
        <v>2270</v>
      </c>
      <c r="D180" s="13" t="s">
        <v>6749</v>
      </c>
      <c r="E180" s="13" t="s">
        <v>674</v>
      </c>
      <c r="F180" s="373">
        <v>12.21</v>
      </c>
      <c r="G180" s="631">
        <v>44561</v>
      </c>
      <c r="H180" s="633">
        <v>44536</v>
      </c>
    </row>
    <row r="181" spans="1:8" x14ac:dyDescent="0.35">
      <c r="A181" s="497" t="s">
        <v>3213</v>
      </c>
      <c r="B181" s="13" t="s">
        <v>5547</v>
      </c>
      <c r="C181" s="13" t="s">
        <v>2270</v>
      </c>
      <c r="D181" s="13" t="s">
        <v>6750</v>
      </c>
      <c r="E181" s="13" t="s">
        <v>3566</v>
      </c>
      <c r="F181" s="373">
        <v>12.180000000000001</v>
      </c>
      <c r="G181" s="631">
        <v>44561</v>
      </c>
      <c r="H181" s="633">
        <v>44536</v>
      </c>
    </row>
    <row r="182" spans="1:8" x14ac:dyDescent="0.35">
      <c r="A182" s="497" t="s">
        <v>5179</v>
      </c>
      <c r="B182" s="13" t="s">
        <v>5547</v>
      </c>
      <c r="C182" s="13" t="s">
        <v>2270</v>
      </c>
      <c r="D182" s="13" t="s">
        <v>6751</v>
      </c>
      <c r="E182" s="13" t="s">
        <v>3054</v>
      </c>
      <c r="F182" s="373">
        <v>12.15</v>
      </c>
      <c r="G182" s="631">
        <v>44561</v>
      </c>
      <c r="H182" s="633">
        <v>44536</v>
      </c>
    </row>
    <row r="183" spans="1:8" x14ac:dyDescent="0.35">
      <c r="A183" s="511" t="s">
        <v>4204</v>
      </c>
      <c r="B183" s="173" t="s">
        <v>5547</v>
      </c>
      <c r="C183" s="173" t="s">
        <v>2270</v>
      </c>
      <c r="D183" s="173" t="s">
        <v>6752</v>
      </c>
      <c r="E183" s="173" t="s">
        <v>1980</v>
      </c>
      <c r="F183" s="374">
        <v>12.120000000000001</v>
      </c>
      <c r="G183" s="631">
        <v>44561</v>
      </c>
      <c r="H183" s="633">
        <v>44536</v>
      </c>
    </row>
    <row r="184" spans="1:8" x14ac:dyDescent="0.35">
      <c r="A184" s="498" t="s">
        <v>4792</v>
      </c>
      <c r="B184" s="1" t="s">
        <v>5547</v>
      </c>
      <c r="C184" s="1" t="s">
        <v>2270</v>
      </c>
      <c r="D184" s="1" t="s">
        <v>598</v>
      </c>
      <c r="E184" s="151" t="s">
        <v>4809</v>
      </c>
      <c r="F184" s="375">
        <v>13.21</v>
      </c>
      <c r="G184" s="631">
        <v>44561</v>
      </c>
      <c r="H184" s="633">
        <v>44536</v>
      </c>
    </row>
    <row r="185" spans="1:8" x14ac:dyDescent="0.35">
      <c r="A185" s="499" t="s">
        <v>2622</v>
      </c>
      <c r="B185" s="13" t="s">
        <v>5547</v>
      </c>
      <c r="C185" s="13" t="s">
        <v>2270</v>
      </c>
      <c r="D185" s="13" t="s">
        <v>6753</v>
      </c>
      <c r="E185" s="13" t="s">
        <v>674</v>
      </c>
      <c r="F185" s="373">
        <v>16.21</v>
      </c>
      <c r="G185" s="631">
        <v>44561</v>
      </c>
      <c r="H185" s="633">
        <v>44536</v>
      </c>
    </row>
    <row r="186" spans="1:8" x14ac:dyDescent="0.35">
      <c r="A186" s="499" t="s">
        <v>3214</v>
      </c>
      <c r="B186" s="13" t="s">
        <v>5547</v>
      </c>
      <c r="C186" s="13" t="s">
        <v>2270</v>
      </c>
      <c r="D186" s="13" t="s">
        <v>6754</v>
      </c>
      <c r="E186" s="13" t="s">
        <v>3566</v>
      </c>
      <c r="F186" s="373">
        <v>16.18</v>
      </c>
      <c r="G186" s="631">
        <v>44561</v>
      </c>
      <c r="H186" s="633">
        <v>44536</v>
      </c>
    </row>
    <row r="187" spans="1:8" x14ac:dyDescent="0.35">
      <c r="A187" s="499" t="s">
        <v>5180</v>
      </c>
      <c r="B187" s="13" t="s">
        <v>5547</v>
      </c>
      <c r="C187" s="13" t="s">
        <v>2270</v>
      </c>
      <c r="D187" s="13" t="s">
        <v>6755</v>
      </c>
      <c r="E187" s="13" t="s">
        <v>3054</v>
      </c>
      <c r="F187" s="373">
        <v>16.149999999999999</v>
      </c>
      <c r="G187" s="631">
        <v>44561</v>
      </c>
      <c r="H187" s="633">
        <v>44536</v>
      </c>
    </row>
    <row r="188" spans="1:8" x14ac:dyDescent="0.35">
      <c r="A188" s="512" t="s">
        <v>4205</v>
      </c>
      <c r="B188" s="173" t="s">
        <v>5547</v>
      </c>
      <c r="C188" s="173" t="s">
        <v>2270</v>
      </c>
      <c r="D188" s="173" t="s">
        <v>6756</v>
      </c>
      <c r="E188" s="173" t="s">
        <v>1980</v>
      </c>
      <c r="F188" s="374">
        <v>16.12</v>
      </c>
      <c r="G188" s="631">
        <v>44561</v>
      </c>
      <c r="H188" s="633">
        <v>44536</v>
      </c>
    </row>
    <row r="189" spans="1:8" x14ac:dyDescent="0.35">
      <c r="A189" s="498" t="s">
        <v>4793</v>
      </c>
      <c r="B189" s="1" t="s">
        <v>5547</v>
      </c>
      <c r="C189" s="1" t="s">
        <v>2270</v>
      </c>
      <c r="D189" s="1" t="s">
        <v>6757</v>
      </c>
      <c r="E189" s="151" t="s">
        <v>4809</v>
      </c>
      <c r="F189" s="375">
        <v>11.71</v>
      </c>
      <c r="G189" s="631">
        <v>44561</v>
      </c>
      <c r="H189" s="633">
        <v>44536</v>
      </c>
    </row>
    <row r="190" spans="1:8" x14ac:dyDescent="0.35">
      <c r="A190" s="499" t="s">
        <v>5518</v>
      </c>
      <c r="B190" s="13" t="s">
        <v>5547</v>
      </c>
      <c r="C190" s="13" t="s">
        <v>2270</v>
      </c>
      <c r="D190" s="13" t="s">
        <v>6758</v>
      </c>
      <c r="E190" s="13" t="s">
        <v>674</v>
      </c>
      <c r="F190" s="373">
        <v>14.71</v>
      </c>
      <c r="G190" s="631">
        <v>44561</v>
      </c>
      <c r="H190" s="633">
        <v>44536</v>
      </c>
    </row>
    <row r="191" spans="1:8" x14ac:dyDescent="0.35">
      <c r="A191" s="499" t="s">
        <v>3215</v>
      </c>
      <c r="B191" s="13" t="s">
        <v>5547</v>
      </c>
      <c r="C191" s="13" t="s">
        <v>2270</v>
      </c>
      <c r="D191" s="13" t="s">
        <v>6759</v>
      </c>
      <c r="E191" s="13" t="s">
        <v>3566</v>
      </c>
      <c r="F191" s="373">
        <v>14.680000000000001</v>
      </c>
      <c r="G191" s="631">
        <v>44561</v>
      </c>
      <c r="H191" s="633">
        <v>44536</v>
      </c>
    </row>
    <row r="192" spans="1:8" x14ac:dyDescent="0.35">
      <c r="A192" s="499" t="s">
        <v>5181</v>
      </c>
      <c r="B192" s="13" t="s">
        <v>5547</v>
      </c>
      <c r="C192" s="13" t="s">
        <v>2270</v>
      </c>
      <c r="D192" s="13" t="s">
        <v>6760</v>
      </c>
      <c r="E192" s="13" t="s">
        <v>3054</v>
      </c>
      <c r="F192" s="373">
        <v>14.65</v>
      </c>
      <c r="G192" s="631">
        <v>44561</v>
      </c>
      <c r="H192" s="633">
        <v>44536</v>
      </c>
    </row>
    <row r="193" spans="1:8" x14ac:dyDescent="0.35">
      <c r="A193" s="512" t="s">
        <v>4206</v>
      </c>
      <c r="B193" s="173" t="s">
        <v>5547</v>
      </c>
      <c r="C193" s="173" t="s">
        <v>2270</v>
      </c>
      <c r="D193" s="173" t="s">
        <v>6761</v>
      </c>
      <c r="E193" s="173" t="s">
        <v>1980</v>
      </c>
      <c r="F193" s="374">
        <v>14.620000000000001</v>
      </c>
      <c r="G193" s="631">
        <v>44561</v>
      </c>
      <c r="H193" s="633">
        <v>44536</v>
      </c>
    </row>
    <row r="194" spans="1:8" x14ac:dyDescent="0.35">
      <c r="A194" s="498" t="s">
        <v>4794</v>
      </c>
      <c r="B194" s="1" t="s">
        <v>5547</v>
      </c>
      <c r="C194" s="1" t="s">
        <v>2270</v>
      </c>
      <c r="D194" s="1" t="s">
        <v>7357</v>
      </c>
      <c r="E194" s="151" t="s">
        <v>4809</v>
      </c>
      <c r="F194" s="375">
        <v>8.6999999999999993</v>
      </c>
      <c r="G194" s="631">
        <v>44561</v>
      </c>
      <c r="H194" s="633">
        <v>44536</v>
      </c>
    </row>
    <row r="195" spans="1:8" x14ac:dyDescent="0.35">
      <c r="A195" s="497" t="s">
        <v>3662</v>
      </c>
      <c r="B195" s="13" t="s">
        <v>5547</v>
      </c>
      <c r="C195" s="13" t="s">
        <v>2270</v>
      </c>
      <c r="D195" s="13" t="s">
        <v>7358</v>
      </c>
      <c r="E195" s="13" t="s">
        <v>674</v>
      </c>
      <c r="F195" s="373">
        <v>11.7</v>
      </c>
      <c r="G195" s="631">
        <v>44561</v>
      </c>
      <c r="H195" s="633">
        <v>44536</v>
      </c>
    </row>
    <row r="196" spans="1:8" x14ac:dyDescent="0.35">
      <c r="A196" s="497" t="s">
        <v>3216</v>
      </c>
      <c r="B196" s="13" t="s">
        <v>5547</v>
      </c>
      <c r="C196" s="13" t="s">
        <v>2270</v>
      </c>
      <c r="D196" s="13" t="s">
        <v>7359</v>
      </c>
      <c r="E196" s="13" t="s">
        <v>3566</v>
      </c>
      <c r="F196" s="373">
        <v>11.67</v>
      </c>
      <c r="G196" s="631">
        <v>44561</v>
      </c>
      <c r="H196" s="633">
        <v>44536</v>
      </c>
    </row>
    <row r="197" spans="1:8" x14ac:dyDescent="0.35">
      <c r="A197" s="497" t="s">
        <v>5182</v>
      </c>
      <c r="B197" s="13" t="s">
        <v>5547</v>
      </c>
      <c r="C197" s="13" t="s">
        <v>2270</v>
      </c>
      <c r="D197" s="13" t="s">
        <v>7360</v>
      </c>
      <c r="E197" s="13" t="s">
        <v>3054</v>
      </c>
      <c r="F197" s="373">
        <v>11.639999999999999</v>
      </c>
      <c r="G197" s="631">
        <v>44561</v>
      </c>
      <c r="H197" s="633">
        <v>44536</v>
      </c>
    </row>
    <row r="198" spans="1:8" x14ac:dyDescent="0.35">
      <c r="A198" s="511" t="s">
        <v>4207</v>
      </c>
      <c r="B198" s="173" t="s">
        <v>5547</v>
      </c>
      <c r="C198" s="173" t="s">
        <v>2270</v>
      </c>
      <c r="D198" s="173" t="s">
        <v>7361</v>
      </c>
      <c r="E198" s="173" t="s">
        <v>1980</v>
      </c>
      <c r="F198" s="374">
        <v>11.61</v>
      </c>
      <c r="G198" s="631">
        <v>44561</v>
      </c>
      <c r="H198" s="633">
        <v>44536</v>
      </c>
    </row>
    <row r="199" spans="1:8" x14ac:dyDescent="0.35">
      <c r="A199" s="499" t="s">
        <v>677</v>
      </c>
      <c r="B199" s="17" t="s">
        <v>5547</v>
      </c>
      <c r="C199" s="13" t="s">
        <v>2270</v>
      </c>
      <c r="D199" s="13" t="s">
        <v>7377</v>
      </c>
      <c r="E199" s="153" t="s">
        <v>4179</v>
      </c>
      <c r="F199" s="373">
        <v>7</v>
      </c>
      <c r="G199" s="631">
        <v>44561</v>
      </c>
      <c r="H199" s="633">
        <v>44536</v>
      </c>
    </row>
    <row r="200" spans="1:8" x14ac:dyDescent="0.35">
      <c r="A200" s="497" t="s">
        <v>2662</v>
      </c>
      <c r="B200" s="13" t="s">
        <v>5547</v>
      </c>
      <c r="C200" s="13" t="s">
        <v>2270</v>
      </c>
      <c r="D200" s="13" t="s">
        <v>7378</v>
      </c>
      <c r="E200" s="13" t="s">
        <v>674</v>
      </c>
      <c r="F200" s="373">
        <v>10</v>
      </c>
      <c r="G200" s="631">
        <v>44561</v>
      </c>
      <c r="H200" s="633">
        <v>44536</v>
      </c>
    </row>
    <row r="201" spans="1:8" x14ac:dyDescent="0.35">
      <c r="A201" s="497" t="s">
        <v>3217</v>
      </c>
      <c r="B201" s="13" t="s">
        <v>5547</v>
      </c>
      <c r="C201" s="13" t="s">
        <v>2270</v>
      </c>
      <c r="D201" s="13" t="s">
        <v>7379</v>
      </c>
      <c r="E201" s="13" t="s">
        <v>3566</v>
      </c>
      <c r="F201" s="373">
        <v>9.9700000000000006</v>
      </c>
      <c r="G201" s="631">
        <v>44561</v>
      </c>
      <c r="H201" s="633">
        <v>44536</v>
      </c>
    </row>
    <row r="202" spans="1:8" x14ac:dyDescent="0.35">
      <c r="A202" s="497" t="s">
        <v>5183</v>
      </c>
      <c r="B202" s="13" t="s">
        <v>5547</v>
      </c>
      <c r="C202" s="13" t="s">
        <v>2270</v>
      </c>
      <c r="D202" s="13" t="s">
        <v>7380</v>
      </c>
      <c r="E202" s="13" t="s">
        <v>3054</v>
      </c>
      <c r="F202" s="373">
        <v>9.94</v>
      </c>
      <c r="G202" s="631">
        <v>44561</v>
      </c>
      <c r="H202" s="633">
        <v>44536</v>
      </c>
    </row>
    <row r="203" spans="1:8" x14ac:dyDescent="0.35">
      <c r="A203" s="511" t="s">
        <v>4208</v>
      </c>
      <c r="B203" s="173" t="s">
        <v>5547</v>
      </c>
      <c r="C203" s="173" t="s">
        <v>2270</v>
      </c>
      <c r="D203" s="173" t="s">
        <v>7381</v>
      </c>
      <c r="E203" s="173" t="s">
        <v>1980</v>
      </c>
      <c r="F203" s="374">
        <v>9.91</v>
      </c>
      <c r="G203" s="631">
        <v>44561</v>
      </c>
      <c r="H203" s="633">
        <v>44536</v>
      </c>
    </row>
    <row r="204" spans="1:8" x14ac:dyDescent="0.35">
      <c r="A204" s="496" t="s">
        <v>4179</v>
      </c>
      <c r="B204" s="1"/>
      <c r="C204" s="1"/>
      <c r="D204" s="1" t="s">
        <v>4179</v>
      </c>
      <c r="E204" s="1" t="s">
        <v>4179</v>
      </c>
      <c r="F204" s="375"/>
    </row>
    <row r="205" spans="1:8" x14ac:dyDescent="0.35">
      <c r="A205" s="502" t="s">
        <v>2825</v>
      </c>
      <c r="B205" s="301" t="s">
        <v>5547</v>
      </c>
      <c r="C205" s="301" t="s">
        <v>2270</v>
      </c>
      <c r="D205" s="301" t="s">
        <v>7005</v>
      </c>
      <c r="E205" s="301" t="s">
        <v>2826</v>
      </c>
      <c r="F205" s="376">
        <v>14.55</v>
      </c>
      <c r="G205" s="631">
        <v>44561</v>
      </c>
      <c r="H205" s="633">
        <v>44536</v>
      </c>
    </row>
    <row r="206" spans="1:8" x14ac:dyDescent="0.35">
      <c r="A206" s="502" t="s">
        <v>338</v>
      </c>
      <c r="B206" s="301" t="s">
        <v>5547</v>
      </c>
      <c r="C206" s="301" t="s">
        <v>2270</v>
      </c>
      <c r="D206" s="301" t="s">
        <v>7349</v>
      </c>
      <c r="E206" s="301" t="s">
        <v>2826</v>
      </c>
      <c r="F206" s="376">
        <v>15.55</v>
      </c>
      <c r="G206" s="631">
        <v>44561</v>
      </c>
      <c r="H206" s="633">
        <v>44536</v>
      </c>
    </row>
    <row r="207" spans="1:8" x14ac:dyDescent="0.35">
      <c r="A207" s="502" t="s">
        <v>2328</v>
      </c>
      <c r="B207" s="301" t="s">
        <v>5547</v>
      </c>
      <c r="C207" s="301" t="s">
        <v>2270</v>
      </c>
      <c r="D207" s="301" t="s">
        <v>7350</v>
      </c>
      <c r="E207" s="301" t="s">
        <v>2826</v>
      </c>
      <c r="F207" s="376">
        <v>20.55</v>
      </c>
      <c r="G207" s="631">
        <v>44561</v>
      </c>
      <c r="H207" s="633">
        <v>44536</v>
      </c>
    </row>
    <row r="208" spans="1:8" x14ac:dyDescent="0.35">
      <c r="A208" s="502" t="s">
        <v>2591</v>
      </c>
      <c r="B208" s="301" t="s">
        <v>5547</v>
      </c>
      <c r="C208" s="301" t="s">
        <v>2270</v>
      </c>
      <c r="D208" s="301" t="s">
        <v>6853</v>
      </c>
      <c r="E208" s="301" t="s">
        <v>2826</v>
      </c>
      <c r="F208" s="377">
        <v>25.55</v>
      </c>
      <c r="G208" s="631">
        <v>44561</v>
      </c>
      <c r="H208" s="633">
        <v>44536</v>
      </c>
    </row>
    <row r="209" spans="1:8" x14ac:dyDescent="0.35">
      <c r="A209" s="502" t="s">
        <v>2589</v>
      </c>
      <c r="B209" s="301" t="s">
        <v>5547</v>
      </c>
      <c r="C209" s="301" t="s">
        <v>2270</v>
      </c>
      <c r="D209" s="301" t="s">
        <v>6854</v>
      </c>
      <c r="E209" s="301" t="s">
        <v>2826</v>
      </c>
      <c r="F209" s="377">
        <v>26.55</v>
      </c>
      <c r="G209" s="631">
        <v>44561</v>
      </c>
      <c r="H209" s="633">
        <v>44536</v>
      </c>
    </row>
    <row r="210" spans="1:8" x14ac:dyDescent="0.35">
      <c r="A210" s="502" t="s">
        <v>663</v>
      </c>
      <c r="B210" s="301" t="s">
        <v>5547</v>
      </c>
      <c r="C210" s="301" t="s">
        <v>2270</v>
      </c>
      <c r="D210" s="301" t="s">
        <v>6855</v>
      </c>
      <c r="E210" s="301" t="s">
        <v>2826</v>
      </c>
      <c r="F210" s="376">
        <v>28.55</v>
      </c>
      <c r="G210" s="631">
        <v>44561</v>
      </c>
      <c r="H210" s="633">
        <v>44536</v>
      </c>
    </row>
    <row r="211" spans="1:8" x14ac:dyDescent="0.35">
      <c r="A211" s="502" t="s">
        <v>2828</v>
      </c>
      <c r="B211" s="301" t="s">
        <v>5547</v>
      </c>
      <c r="C211" s="301" t="s">
        <v>2270</v>
      </c>
      <c r="D211" s="301" t="s">
        <v>7224</v>
      </c>
      <c r="E211" s="301" t="s">
        <v>2826</v>
      </c>
      <c r="F211" s="376">
        <v>13.11</v>
      </c>
      <c r="G211" s="631">
        <v>44561</v>
      </c>
      <c r="H211" s="633">
        <v>44536</v>
      </c>
    </row>
    <row r="212" spans="1:8" x14ac:dyDescent="0.35">
      <c r="A212" s="502" t="s">
        <v>339</v>
      </c>
      <c r="B212" s="301" t="s">
        <v>5547</v>
      </c>
      <c r="C212" s="301" t="s">
        <v>2270</v>
      </c>
      <c r="D212" s="301" t="s">
        <v>7333</v>
      </c>
      <c r="E212" s="301" t="s">
        <v>2826</v>
      </c>
      <c r="F212" s="376">
        <v>14.11</v>
      </c>
      <c r="G212" s="631">
        <v>44561</v>
      </c>
      <c r="H212" s="633">
        <v>44536</v>
      </c>
    </row>
    <row r="213" spans="1:8" x14ac:dyDescent="0.35">
      <c r="A213" s="502" t="s">
        <v>2329</v>
      </c>
      <c r="B213" s="301" t="s">
        <v>5547</v>
      </c>
      <c r="C213" s="301" t="s">
        <v>2270</v>
      </c>
      <c r="D213" s="301" t="s">
        <v>7334</v>
      </c>
      <c r="E213" s="301" t="s">
        <v>2826</v>
      </c>
      <c r="F213" s="376">
        <v>19.11</v>
      </c>
      <c r="G213" s="631">
        <v>44561</v>
      </c>
      <c r="H213" s="633">
        <v>44536</v>
      </c>
    </row>
    <row r="214" spans="1:8" x14ac:dyDescent="0.35">
      <c r="A214" s="502" t="s">
        <v>2592</v>
      </c>
      <c r="B214" s="301" t="s">
        <v>5547</v>
      </c>
      <c r="C214" s="301" t="s">
        <v>2270</v>
      </c>
      <c r="D214" s="301" t="s">
        <v>7077</v>
      </c>
      <c r="E214" s="301" t="s">
        <v>2826</v>
      </c>
      <c r="F214" s="377">
        <v>21.11</v>
      </c>
      <c r="G214" s="631">
        <v>44561</v>
      </c>
      <c r="H214" s="633">
        <v>44536</v>
      </c>
    </row>
    <row r="215" spans="1:8" x14ac:dyDescent="0.35">
      <c r="A215" s="502" t="s">
        <v>2590</v>
      </c>
      <c r="B215" s="301" t="s">
        <v>5547</v>
      </c>
      <c r="C215" s="301" t="s">
        <v>2270</v>
      </c>
      <c r="D215" s="301" t="s">
        <v>7078</v>
      </c>
      <c r="E215" s="301" t="s">
        <v>2826</v>
      </c>
      <c r="F215" s="377">
        <v>22.11</v>
      </c>
      <c r="G215" s="631">
        <v>44561</v>
      </c>
      <c r="H215" s="633">
        <v>44536</v>
      </c>
    </row>
    <row r="216" spans="1:8" x14ac:dyDescent="0.35">
      <c r="A216" s="502" t="s">
        <v>664</v>
      </c>
      <c r="B216" s="301" t="s">
        <v>5547</v>
      </c>
      <c r="C216" s="301" t="s">
        <v>2270</v>
      </c>
      <c r="D216" s="301" t="s">
        <v>7079</v>
      </c>
      <c r="E216" s="301" t="s">
        <v>2826</v>
      </c>
      <c r="F216" s="376">
        <v>24.11</v>
      </c>
      <c r="G216" s="631">
        <v>44561</v>
      </c>
      <c r="H216" s="633">
        <v>44536</v>
      </c>
    </row>
    <row r="217" spans="1:8" x14ac:dyDescent="0.35">
      <c r="A217" s="502" t="s">
        <v>2829</v>
      </c>
      <c r="B217" s="301" t="s">
        <v>5547</v>
      </c>
      <c r="C217" s="301" t="s">
        <v>2270</v>
      </c>
      <c r="D217" s="301" t="s">
        <v>6762</v>
      </c>
      <c r="E217" s="301" t="s">
        <v>2826</v>
      </c>
      <c r="F217" s="376">
        <v>12.09</v>
      </c>
      <c r="G217" s="631">
        <v>44561</v>
      </c>
      <c r="H217" s="633">
        <v>44536</v>
      </c>
    </row>
    <row r="218" spans="1:8" x14ac:dyDescent="0.35">
      <c r="A218" s="502" t="s">
        <v>2330</v>
      </c>
      <c r="B218" s="301" t="s">
        <v>5547</v>
      </c>
      <c r="C218" s="301" t="s">
        <v>2270</v>
      </c>
      <c r="D218" s="301" t="s">
        <v>6763</v>
      </c>
      <c r="E218" s="301" t="s">
        <v>2826</v>
      </c>
      <c r="F218" s="376">
        <v>16.09</v>
      </c>
      <c r="G218" s="631">
        <v>44561</v>
      </c>
      <c r="H218" s="633">
        <v>44536</v>
      </c>
    </row>
    <row r="219" spans="1:8" x14ac:dyDescent="0.35">
      <c r="A219" s="342" t="s">
        <v>340</v>
      </c>
      <c r="B219" s="301" t="s">
        <v>5547</v>
      </c>
      <c r="C219" s="301" t="s">
        <v>2270</v>
      </c>
      <c r="D219" s="301" t="s">
        <v>7351</v>
      </c>
      <c r="E219" s="301" t="s">
        <v>314</v>
      </c>
      <c r="F219" s="376">
        <v>20.520000000000003</v>
      </c>
      <c r="G219" s="631">
        <v>44561</v>
      </c>
      <c r="H219" s="633">
        <v>44536</v>
      </c>
    </row>
    <row r="220" spans="1:8" x14ac:dyDescent="0.35">
      <c r="A220" s="502" t="s">
        <v>6115</v>
      </c>
      <c r="B220" s="301" t="s">
        <v>5547</v>
      </c>
      <c r="C220" s="301" t="s">
        <v>2270</v>
      </c>
      <c r="D220" s="301" t="s">
        <v>6856</v>
      </c>
      <c r="E220" s="301" t="s">
        <v>314</v>
      </c>
      <c r="F220" s="376">
        <v>21.520000000000003</v>
      </c>
      <c r="G220" s="631">
        <v>44561</v>
      </c>
      <c r="H220" s="633">
        <v>44536</v>
      </c>
    </row>
    <row r="221" spans="1:8" x14ac:dyDescent="0.35">
      <c r="A221" s="342" t="s">
        <v>5621</v>
      </c>
      <c r="B221" s="301" t="s">
        <v>5547</v>
      </c>
      <c r="C221" s="301" t="s">
        <v>2270</v>
      </c>
      <c r="D221" s="301" t="s">
        <v>7352</v>
      </c>
      <c r="E221" s="301" t="s">
        <v>314</v>
      </c>
      <c r="F221" s="376">
        <v>25.520000000000003</v>
      </c>
      <c r="G221" s="631">
        <v>44561</v>
      </c>
      <c r="H221" s="633">
        <v>44536</v>
      </c>
    </row>
    <row r="222" spans="1:8" x14ac:dyDescent="0.35">
      <c r="A222" s="342" t="s">
        <v>341</v>
      </c>
      <c r="B222" s="301" t="s">
        <v>5547</v>
      </c>
      <c r="C222" s="301" t="s">
        <v>2270</v>
      </c>
      <c r="D222" s="301" t="s">
        <v>7335</v>
      </c>
      <c r="E222" s="301" t="s">
        <v>314</v>
      </c>
      <c r="F222" s="376">
        <v>19.080000000000002</v>
      </c>
      <c r="G222" s="631">
        <v>44561</v>
      </c>
      <c r="H222" s="633">
        <v>44536</v>
      </c>
    </row>
    <row r="223" spans="1:8" x14ac:dyDescent="0.35">
      <c r="A223" s="502" t="s">
        <v>6116</v>
      </c>
      <c r="B223" s="301" t="s">
        <v>5547</v>
      </c>
      <c r="C223" s="301" t="s">
        <v>2270</v>
      </c>
      <c r="D223" s="301" t="s">
        <v>7080</v>
      </c>
      <c r="E223" s="301" t="s">
        <v>314</v>
      </c>
      <c r="F223" s="376">
        <v>20.080000000000002</v>
      </c>
      <c r="G223" s="631">
        <v>44561</v>
      </c>
      <c r="H223" s="633">
        <v>44536</v>
      </c>
    </row>
    <row r="224" spans="1:8" x14ac:dyDescent="0.35">
      <c r="A224" s="342" t="s">
        <v>6329</v>
      </c>
      <c r="B224" s="301" t="s">
        <v>5547</v>
      </c>
      <c r="C224" s="301" t="s">
        <v>2270</v>
      </c>
      <c r="D224" s="301" t="s">
        <v>7081</v>
      </c>
      <c r="E224" s="301" t="s">
        <v>314</v>
      </c>
      <c r="F224" s="376">
        <v>21.080000000000002</v>
      </c>
      <c r="G224" s="631">
        <v>44561</v>
      </c>
      <c r="H224" s="633">
        <v>44536</v>
      </c>
    </row>
    <row r="225" spans="1:8" x14ac:dyDescent="0.35">
      <c r="A225" s="502" t="s">
        <v>342</v>
      </c>
      <c r="B225" s="301" t="s">
        <v>5547</v>
      </c>
      <c r="C225" s="301" t="s">
        <v>2270</v>
      </c>
      <c r="D225" s="301" t="s">
        <v>6764</v>
      </c>
      <c r="E225" s="301" t="s">
        <v>314</v>
      </c>
      <c r="F225" s="376">
        <v>16.060000000000002</v>
      </c>
      <c r="G225" s="631">
        <v>44561</v>
      </c>
      <c r="H225" s="633">
        <v>44536</v>
      </c>
    </row>
    <row r="226" spans="1:8" x14ac:dyDescent="0.35">
      <c r="A226" s="502" t="s">
        <v>5800</v>
      </c>
      <c r="B226" s="301" t="s">
        <v>5547</v>
      </c>
      <c r="C226" s="301" t="s">
        <v>2270</v>
      </c>
      <c r="D226" s="301" t="s">
        <v>6857</v>
      </c>
      <c r="E226" s="301" t="s">
        <v>5624</v>
      </c>
      <c r="F226" s="376">
        <v>25.490000000000002</v>
      </c>
      <c r="G226" s="631">
        <v>44561</v>
      </c>
      <c r="H226" s="633">
        <v>44536</v>
      </c>
    </row>
    <row r="227" spans="1:8" x14ac:dyDescent="0.35">
      <c r="A227" s="502" t="s">
        <v>6335</v>
      </c>
      <c r="B227" s="301" t="s">
        <v>5547</v>
      </c>
      <c r="C227" s="301" t="s">
        <v>2270</v>
      </c>
      <c r="D227" s="301" t="s">
        <v>6858</v>
      </c>
      <c r="E227" s="301" t="s">
        <v>5624</v>
      </c>
      <c r="F227" s="376">
        <v>26.490000000000002</v>
      </c>
      <c r="G227" s="631">
        <v>44561</v>
      </c>
      <c r="H227" s="633">
        <v>44536</v>
      </c>
    </row>
    <row r="228" spans="1:8" x14ac:dyDescent="0.35">
      <c r="A228" s="502" t="s">
        <v>5801</v>
      </c>
      <c r="B228" s="301" t="s">
        <v>5547</v>
      </c>
      <c r="C228" s="301" t="s">
        <v>2270</v>
      </c>
      <c r="D228" s="301" t="s">
        <v>7082</v>
      </c>
      <c r="E228" s="301" t="s">
        <v>5624</v>
      </c>
      <c r="F228" s="376">
        <v>21.05</v>
      </c>
      <c r="G228" s="631">
        <v>44561</v>
      </c>
      <c r="H228" s="633">
        <v>44536</v>
      </c>
    </row>
    <row r="229" spans="1:8" x14ac:dyDescent="0.35">
      <c r="A229" s="502" t="s">
        <v>6336</v>
      </c>
      <c r="B229" s="301" t="s">
        <v>5547</v>
      </c>
      <c r="C229" s="301" t="s">
        <v>2270</v>
      </c>
      <c r="D229" s="301" t="s">
        <v>7083</v>
      </c>
      <c r="E229" s="301" t="s">
        <v>5624</v>
      </c>
      <c r="F229" s="376">
        <v>22.05</v>
      </c>
      <c r="G229" s="631">
        <v>44561</v>
      </c>
      <c r="H229" s="633">
        <v>44536</v>
      </c>
    </row>
    <row r="230" spans="1:8" x14ac:dyDescent="0.35">
      <c r="A230" s="502" t="s">
        <v>6337</v>
      </c>
      <c r="B230" s="301" t="s">
        <v>5547</v>
      </c>
      <c r="C230" s="301" t="s">
        <v>2270</v>
      </c>
      <c r="D230" s="301" t="s">
        <v>6765</v>
      </c>
      <c r="E230" s="301" t="s">
        <v>5624</v>
      </c>
      <c r="F230" s="376">
        <v>16.03</v>
      </c>
      <c r="G230" s="631">
        <v>44561</v>
      </c>
      <c r="H230" s="633">
        <v>44536</v>
      </c>
    </row>
    <row r="231" spans="1:8" x14ac:dyDescent="0.35">
      <c r="A231" s="502" t="s">
        <v>6146</v>
      </c>
      <c r="B231" s="301" t="s">
        <v>5547</v>
      </c>
      <c r="C231" s="301" t="s">
        <v>2270</v>
      </c>
      <c r="D231" s="301" t="s">
        <v>7353</v>
      </c>
      <c r="E231" s="301" t="s">
        <v>5806</v>
      </c>
      <c r="F231" s="376">
        <v>15.469999999999999</v>
      </c>
      <c r="G231" s="631">
        <v>44561</v>
      </c>
      <c r="H231" s="633">
        <v>44536</v>
      </c>
    </row>
    <row r="232" spans="1:8" x14ac:dyDescent="0.35">
      <c r="A232" s="502" t="s">
        <v>6147</v>
      </c>
      <c r="B232" s="301" t="s">
        <v>5547</v>
      </c>
      <c r="C232" s="301" t="s">
        <v>2270</v>
      </c>
      <c r="D232" s="301" t="s">
        <v>7336</v>
      </c>
      <c r="E232" s="301" t="s">
        <v>5806</v>
      </c>
      <c r="F232" s="376">
        <v>14.030000000000001</v>
      </c>
      <c r="G232" s="631">
        <v>44561</v>
      </c>
      <c r="H232" s="633">
        <v>44536</v>
      </c>
    </row>
    <row r="233" spans="1:8" x14ac:dyDescent="0.35">
      <c r="A233" s="502" t="s">
        <v>7505</v>
      </c>
      <c r="B233" s="301" t="s">
        <v>5547</v>
      </c>
      <c r="C233" s="301" t="s">
        <v>2270</v>
      </c>
      <c r="D233" s="301" t="s">
        <v>7504</v>
      </c>
      <c r="E233" s="301" t="s">
        <v>6155</v>
      </c>
      <c r="F233" s="376">
        <v>15.44</v>
      </c>
      <c r="G233" s="631">
        <v>44561</v>
      </c>
      <c r="H233" s="633">
        <v>44536</v>
      </c>
    </row>
    <row r="234" spans="1:8" x14ac:dyDescent="0.35">
      <c r="A234" s="502" t="s">
        <v>6344</v>
      </c>
      <c r="B234" s="301" t="s">
        <v>5547</v>
      </c>
      <c r="C234" s="301" t="s">
        <v>2270</v>
      </c>
      <c r="D234" s="301" t="s">
        <v>6859</v>
      </c>
      <c r="E234" s="301" t="s">
        <v>6155</v>
      </c>
      <c r="F234" s="376">
        <v>25.44</v>
      </c>
      <c r="G234" s="631">
        <v>44561</v>
      </c>
      <c r="H234" s="633">
        <v>44536</v>
      </c>
    </row>
    <row r="236" spans="1:8" s="145" customFormat="1" x14ac:dyDescent="0.35">
      <c r="A236" s="505" t="s">
        <v>4396</v>
      </c>
      <c r="B236" s="23" t="s">
        <v>5547</v>
      </c>
      <c r="C236" s="23" t="s">
        <v>3723</v>
      </c>
      <c r="D236" s="24" t="s">
        <v>1780</v>
      </c>
      <c r="E236" s="152" t="s">
        <v>4809</v>
      </c>
      <c r="F236" s="370">
        <v>11.67</v>
      </c>
      <c r="G236" s="631">
        <v>44926</v>
      </c>
      <c r="H236" s="633">
        <f>'EEG-Vergütungen und vNNE'!J$31</f>
        <v>44896</v>
      </c>
    </row>
    <row r="237" spans="1:8" s="145" customFormat="1" x14ac:dyDescent="0.35">
      <c r="A237" s="497" t="s">
        <v>4027</v>
      </c>
      <c r="B237" s="13" t="s">
        <v>5547</v>
      </c>
      <c r="C237" s="13" t="s">
        <v>3723</v>
      </c>
      <c r="D237" s="17" t="s">
        <v>6864</v>
      </c>
      <c r="E237" s="13" t="s">
        <v>4330</v>
      </c>
      <c r="F237" s="371">
        <v>14.67</v>
      </c>
      <c r="G237" s="631">
        <v>44926</v>
      </c>
      <c r="H237" s="633">
        <f>'EEG-Vergütungen und vNNE'!J$31</f>
        <v>44896</v>
      </c>
    </row>
    <row r="238" spans="1:8" s="145" customFormat="1" x14ac:dyDescent="0.35">
      <c r="A238" s="497" t="s">
        <v>2605</v>
      </c>
      <c r="B238" s="13" t="s">
        <v>5547</v>
      </c>
      <c r="C238" s="13" t="s">
        <v>3723</v>
      </c>
      <c r="D238" s="17" t="s">
        <v>6865</v>
      </c>
      <c r="E238" s="13" t="s">
        <v>674</v>
      </c>
      <c r="F238" s="371">
        <v>14.67</v>
      </c>
      <c r="G238" s="631">
        <v>44926</v>
      </c>
      <c r="H238" s="633">
        <f>'EEG-Vergütungen und vNNE'!J$31</f>
        <v>44896</v>
      </c>
    </row>
    <row r="239" spans="1:8" s="145" customFormat="1" x14ac:dyDescent="0.35">
      <c r="A239" s="497" t="s">
        <v>3218</v>
      </c>
      <c r="B239" s="13" t="s">
        <v>5547</v>
      </c>
      <c r="C239" s="13" t="s">
        <v>3723</v>
      </c>
      <c r="D239" s="17" t="s">
        <v>6866</v>
      </c>
      <c r="E239" s="13" t="s">
        <v>3566</v>
      </c>
      <c r="F239" s="371">
        <v>14.64</v>
      </c>
      <c r="G239" s="631">
        <v>44926</v>
      </c>
      <c r="H239" s="633">
        <f>'EEG-Vergütungen und vNNE'!J$31</f>
        <v>44896</v>
      </c>
    </row>
    <row r="240" spans="1:8" s="145" customFormat="1" x14ac:dyDescent="0.35">
      <c r="A240" s="497" t="s">
        <v>5184</v>
      </c>
      <c r="B240" s="13" t="s">
        <v>5547</v>
      </c>
      <c r="C240" s="13" t="s">
        <v>3723</v>
      </c>
      <c r="D240" s="17" t="s">
        <v>6867</v>
      </c>
      <c r="E240" s="13" t="s">
        <v>3054</v>
      </c>
      <c r="F240" s="371">
        <v>14.61</v>
      </c>
      <c r="G240" s="631">
        <v>44926</v>
      </c>
      <c r="H240" s="633">
        <f>'EEG-Vergütungen und vNNE'!J$31</f>
        <v>44896</v>
      </c>
    </row>
    <row r="241" spans="1:8" s="145" customFormat="1" x14ac:dyDescent="0.35">
      <c r="A241" s="511" t="s">
        <v>4209</v>
      </c>
      <c r="B241" s="173" t="s">
        <v>5547</v>
      </c>
      <c r="C241" s="173" t="s">
        <v>3723</v>
      </c>
      <c r="D241" s="174" t="s">
        <v>6868</v>
      </c>
      <c r="E241" s="173" t="s">
        <v>1980</v>
      </c>
      <c r="F241" s="372">
        <v>14.58</v>
      </c>
      <c r="G241" s="631">
        <v>44926</v>
      </c>
      <c r="H241" s="633">
        <f>'EEG-Vergütungen und vNNE'!J$31</f>
        <v>44896</v>
      </c>
    </row>
    <row r="242" spans="1:8" s="145" customFormat="1" x14ac:dyDescent="0.35">
      <c r="A242" s="497" t="s">
        <v>832</v>
      </c>
      <c r="B242" s="13" t="s">
        <v>5547</v>
      </c>
      <c r="C242" s="13" t="s">
        <v>3723</v>
      </c>
      <c r="D242" s="17" t="s">
        <v>6869</v>
      </c>
      <c r="E242" s="153" t="s">
        <v>4809</v>
      </c>
      <c r="F242" s="371">
        <v>12.67</v>
      </c>
      <c r="G242" s="631">
        <v>44926</v>
      </c>
      <c r="H242" s="633">
        <f>'EEG-Vergütungen und vNNE'!J$31</f>
        <v>44896</v>
      </c>
    </row>
    <row r="243" spans="1:8" s="145" customFormat="1" x14ac:dyDescent="0.35">
      <c r="A243" s="497" t="s">
        <v>833</v>
      </c>
      <c r="B243" s="13" t="s">
        <v>5547</v>
      </c>
      <c r="C243" s="13" t="s">
        <v>3723</v>
      </c>
      <c r="D243" s="17" t="s">
        <v>6871</v>
      </c>
      <c r="E243" s="13" t="s">
        <v>4330</v>
      </c>
      <c r="F243" s="371">
        <v>15.67</v>
      </c>
      <c r="G243" s="631">
        <v>44926</v>
      </c>
      <c r="H243" s="633">
        <f>'EEG-Vergütungen und vNNE'!J$31</f>
        <v>44896</v>
      </c>
    </row>
    <row r="244" spans="1:8" s="145" customFormat="1" x14ac:dyDescent="0.35">
      <c r="A244" s="497" t="s">
        <v>834</v>
      </c>
      <c r="B244" s="13" t="s">
        <v>5547</v>
      </c>
      <c r="C244" s="13" t="s">
        <v>3723</v>
      </c>
      <c r="D244" s="17" t="s">
        <v>6872</v>
      </c>
      <c r="E244" s="13" t="s">
        <v>674</v>
      </c>
      <c r="F244" s="371">
        <v>15.67</v>
      </c>
      <c r="G244" s="631">
        <v>44926</v>
      </c>
      <c r="H244" s="633">
        <f>'EEG-Vergütungen und vNNE'!J$31</f>
        <v>44896</v>
      </c>
    </row>
    <row r="245" spans="1:8" s="145" customFormat="1" x14ac:dyDescent="0.35">
      <c r="A245" s="497" t="s">
        <v>3219</v>
      </c>
      <c r="B245" s="13" t="s">
        <v>5547</v>
      </c>
      <c r="C245" s="13" t="s">
        <v>3723</v>
      </c>
      <c r="D245" s="17" t="s">
        <v>6873</v>
      </c>
      <c r="E245" s="13" t="s">
        <v>3566</v>
      </c>
      <c r="F245" s="371">
        <v>15.64</v>
      </c>
      <c r="G245" s="631">
        <v>44926</v>
      </c>
      <c r="H245" s="633">
        <f>'EEG-Vergütungen und vNNE'!J$31</f>
        <v>44896</v>
      </c>
    </row>
    <row r="246" spans="1:8" s="145" customFormat="1" x14ac:dyDescent="0.35">
      <c r="A246" s="497" t="s">
        <v>5185</v>
      </c>
      <c r="B246" s="13" t="s">
        <v>5547</v>
      </c>
      <c r="C246" s="13" t="s">
        <v>3723</v>
      </c>
      <c r="D246" s="17" t="s">
        <v>6874</v>
      </c>
      <c r="E246" s="13" t="s">
        <v>3054</v>
      </c>
      <c r="F246" s="371">
        <v>15.61</v>
      </c>
      <c r="G246" s="631">
        <v>44926</v>
      </c>
      <c r="H246" s="633">
        <f>'EEG-Vergütungen und vNNE'!J$31</f>
        <v>44896</v>
      </c>
    </row>
    <row r="247" spans="1:8" s="145" customFormat="1" x14ac:dyDescent="0.35">
      <c r="A247" s="511" t="s">
        <v>4210</v>
      </c>
      <c r="B247" s="173" t="s">
        <v>5547</v>
      </c>
      <c r="C247" s="173" t="s">
        <v>3723</v>
      </c>
      <c r="D247" s="174" t="s">
        <v>6875</v>
      </c>
      <c r="E247" s="173" t="s">
        <v>1980</v>
      </c>
      <c r="F247" s="372">
        <v>15.58</v>
      </c>
      <c r="G247" s="631">
        <v>44926</v>
      </c>
      <c r="H247" s="633">
        <f>'EEG-Vergütungen und vNNE'!J$31</f>
        <v>44896</v>
      </c>
    </row>
    <row r="248" spans="1:8" s="145" customFormat="1" x14ac:dyDescent="0.35">
      <c r="A248" s="505" t="s">
        <v>4397</v>
      </c>
      <c r="B248" s="23" t="s">
        <v>5547</v>
      </c>
      <c r="C248" s="23" t="s">
        <v>3723</v>
      </c>
      <c r="D248" s="24" t="s">
        <v>7346</v>
      </c>
      <c r="E248" s="152" t="s">
        <v>4809</v>
      </c>
      <c r="F248" s="370">
        <v>17.670000000000002</v>
      </c>
      <c r="G248" s="631">
        <v>44926</v>
      </c>
      <c r="H248" s="633">
        <f>'EEG-Vergütungen und vNNE'!J$31</f>
        <v>44896</v>
      </c>
    </row>
    <row r="249" spans="1:8" s="145" customFormat="1" x14ac:dyDescent="0.35">
      <c r="A249" s="497" t="s">
        <v>4028</v>
      </c>
      <c r="B249" s="13" t="s">
        <v>5547</v>
      </c>
      <c r="C249" s="13" t="s">
        <v>3723</v>
      </c>
      <c r="D249" s="17" t="s">
        <v>7347</v>
      </c>
      <c r="E249" s="13" t="s">
        <v>4330</v>
      </c>
      <c r="F249" s="371">
        <v>20.67</v>
      </c>
      <c r="G249" s="631">
        <v>44926</v>
      </c>
      <c r="H249" s="633">
        <f>'EEG-Vergütungen und vNNE'!J$31</f>
        <v>44896</v>
      </c>
    </row>
    <row r="250" spans="1:8" s="145" customFormat="1" x14ac:dyDescent="0.35">
      <c r="A250" s="497" t="s">
        <v>2606</v>
      </c>
      <c r="B250" s="13" t="s">
        <v>5547</v>
      </c>
      <c r="C250" s="13" t="s">
        <v>3723</v>
      </c>
      <c r="D250" s="17" t="s">
        <v>6879</v>
      </c>
      <c r="E250" s="13" t="s">
        <v>674</v>
      </c>
      <c r="F250" s="371">
        <v>20.67</v>
      </c>
      <c r="G250" s="631">
        <v>44926</v>
      </c>
      <c r="H250" s="633">
        <f>'EEG-Vergütungen und vNNE'!J$31</f>
        <v>44896</v>
      </c>
    </row>
    <row r="251" spans="1:8" s="145" customFormat="1" x14ac:dyDescent="0.35">
      <c r="A251" s="497" t="s">
        <v>3220</v>
      </c>
      <c r="B251" s="13" t="s">
        <v>5547</v>
      </c>
      <c r="C251" s="13" t="s">
        <v>3723</v>
      </c>
      <c r="D251" s="17" t="s">
        <v>6880</v>
      </c>
      <c r="E251" s="13" t="s">
        <v>3566</v>
      </c>
      <c r="F251" s="371">
        <v>20.64</v>
      </c>
      <c r="G251" s="631">
        <v>44926</v>
      </c>
      <c r="H251" s="633">
        <f>'EEG-Vergütungen und vNNE'!J$31</f>
        <v>44896</v>
      </c>
    </row>
    <row r="252" spans="1:8" s="145" customFormat="1" x14ac:dyDescent="0.35">
      <c r="A252" s="497" t="s">
        <v>5186</v>
      </c>
      <c r="B252" s="13" t="s">
        <v>5547</v>
      </c>
      <c r="C252" s="13" t="s">
        <v>3723</v>
      </c>
      <c r="D252" s="17" t="s">
        <v>6881</v>
      </c>
      <c r="E252" s="13" t="s">
        <v>3054</v>
      </c>
      <c r="F252" s="371">
        <v>20.61</v>
      </c>
      <c r="G252" s="631">
        <v>44926</v>
      </c>
      <c r="H252" s="633">
        <f>'EEG-Vergütungen und vNNE'!J$31</f>
        <v>44896</v>
      </c>
    </row>
    <row r="253" spans="1:8" s="145" customFormat="1" x14ac:dyDescent="0.35">
      <c r="A253" s="511" t="s">
        <v>4211</v>
      </c>
      <c r="B253" s="173" t="s">
        <v>5547</v>
      </c>
      <c r="C253" s="173" t="s">
        <v>3723</v>
      </c>
      <c r="D253" s="174" t="s">
        <v>6882</v>
      </c>
      <c r="E253" s="173" t="s">
        <v>1980</v>
      </c>
      <c r="F253" s="372">
        <v>20.58</v>
      </c>
      <c r="G253" s="631">
        <v>44926</v>
      </c>
      <c r="H253" s="633">
        <f>'EEG-Vergütungen und vNNE'!J$31</f>
        <v>44896</v>
      </c>
    </row>
    <row r="254" spans="1:8" s="145" customFormat="1" x14ac:dyDescent="0.35">
      <c r="A254" s="497" t="s">
        <v>835</v>
      </c>
      <c r="B254" s="13" t="s">
        <v>5547</v>
      </c>
      <c r="C254" s="13" t="s">
        <v>3723</v>
      </c>
      <c r="D254" s="17" t="s">
        <v>7348</v>
      </c>
      <c r="E254" s="153" t="s">
        <v>4809</v>
      </c>
      <c r="F254" s="371">
        <v>18.670000000000002</v>
      </c>
      <c r="G254" s="631">
        <v>44926</v>
      </c>
      <c r="H254" s="633">
        <f>'EEG-Vergütungen und vNNE'!J$31</f>
        <v>44896</v>
      </c>
    </row>
    <row r="255" spans="1:8" s="145" customFormat="1" x14ac:dyDescent="0.35">
      <c r="A255" s="497" t="s">
        <v>836</v>
      </c>
      <c r="B255" s="13" t="s">
        <v>5547</v>
      </c>
      <c r="C255" s="13" t="s">
        <v>3723</v>
      </c>
      <c r="D255" s="17" t="s">
        <v>6885</v>
      </c>
      <c r="E255" s="13" t="s">
        <v>4330</v>
      </c>
      <c r="F255" s="371">
        <v>21.67</v>
      </c>
      <c r="G255" s="631">
        <v>44926</v>
      </c>
      <c r="H255" s="633">
        <f>'EEG-Vergütungen und vNNE'!J$31</f>
        <v>44896</v>
      </c>
    </row>
    <row r="256" spans="1:8" s="145" customFormat="1" x14ac:dyDescent="0.35">
      <c r="A256" s="497" t="s">
        <v>837</v>
      </c>
      <c r="B256" s="13" t="s">
        <v>5547</v>
      </c>
      <c r="C256" s="13" t="s">
        <v>3723</v>
      </c>
      <c r="D256" s="17" t="s">
        <v>6886</v>
      </c>
      <c r="E256" s="13" t="s">
        <v>674</v>
      </c>
      <c r="F256" s="371">
        <v>21.67</v>
      </c>
      <c r="G256" s="631">
        <v>44926</v>
      </c>
      <c r="H256" s="633">
        <f>'EEG-Vergütungen und vNNE'!J$31</f>
        <v>44896</v>
      </c>
    </row>
    <row r="257" spans="1:8" s="145" customFormat="1" x14ac:dyDescent="0.35">
      <c r="A257" s="497" t="s">
        <v>3221</v>
      </c>
      <c r="B257" s="13" t="s">
        <v>5547</v>
      </c>
      <c r="C257" s="13" t="s">
        <v>3723</v>
      </c>
      <c r="D257" s="17" t="s">
        <v>6887</v>
      </c>
      <c r="E257" s="13" t="s">
        <v>3566</v>
      </c>
      <c r="F257" s="371">
        <v>21.64</v>
      </c>
      <c r="G257" s="631">
        <v>44926</v>
      </c>
      <c r="H257" s="633">
        <f>'EEG-Vergütungen und vNNE'!J$31</f>
        <v>44896</v>
      </c>
    </row>
    <row r="258" spans="1:8" s="145" customFormat="1" x14ac:dyDescent="0.35">
      <c r="A258" s="497" t="s">
        <v>5187</v>
      </c>
      <c r="B258" s="13" t="s">
        <v>5547</v>
      </c>
      <c r="C258" s="13" t="s">
        <v>3723</v>
      </c>
      <c r="D258" s="17" t="s">
        <v>6888</v>
      </c>
      <c r="E258" s="13" t="s">
        <v>3054</v>
      </c>
      <c r="F258" s="371">
        <v>21.61</v>
      </c>
      <c r="G258" s="631">
        <v>44926</v>
      </c>
      <c r="H258" s="633">
        <f>'EEG-Vergütungen und vNNE'!J$31</f>
        <v>44896</v>
      </c>
    </row>
    <row r="259" spans="1:8" s="145" customFormat="1" x14ac:dyDescent="0.35">
      <c r="A259" s="511" t="s">
        <v>4212</v>
      </c>
      <c r="B259" s="173" t="s">
        <v>5547</v>
      </c>
      <c r="C259" s="173" t="s">
        <v>3723</v>
      </c>
      <c r="D259" s="174" t="s">
        <v>6889</v>
      </c>
      <c r="E259" s="173" t="s">
        <v>1980</v>
      </c>
      <c r="F259" s="372">
        <v>21.58</v>
      </c>
      <c r="G259" s="631">
        <v>44926</v>
      </c>
      <c r="H259" s="633">
        <f>'EEG-Vergütungen und vNNE'!J$31</f>
        <v>44896</v>
      </c>
    </row>
    <row r="260" spans="1:8" s="145" customFormat="1" x14ac:dyDescent="0.35">
      <c r="A260" s="497" t="s">
        <v>4627</v>
      </c>
      <c r="B260" s="13" t="s">
        <v>5547</v>
      </c>
      <c r="C260" s="13" t="s">
        <v>3723</v>
      </c>
      <c r="D260" s="13" t="s">
        <v>6805</v>
      </c>
      <c r="E260" s="13" t="s">
        <v>4809</v>
      </c>
      <c r="F260" s="373">
        <v>18.670000000000002</v>
      </c>
      <c r="G260" s="631">
        <v>44926</v>
      </c>
      <c r="H260" s="633">
        <f>'EEG-Vergütungen und vNNE'!J$31</f>
        <v>44896</v>
      </c>
    </row>
    <row r="261" spans="1:8" s="145" customFormat="1" x14ac:dyDescent="0.35">
      <c r="A261" s="497" t="s">
        <v>2141</v>
      </c>
      <c r="B261" s="13" t="s">
        <v>5547</v>
      </c>
      <c r="C261" s="13" t="s">
        <v>3723</v>
      </c>
      <c r="D261" s="13" t="s">
        <v>6806</v>
      </c>
      <c r="E261" s="13" t="s">
        <v>4330</v>
      </c>
      <c r="F261" s="373">
        <v>21.67</v>
      </c>
      <c r="G261" s="631">
        <v>44926</v>
      </c>
      <c r="H261" s="633">
        <f>'EEG-Vergütungen und vNNE'!J$31</f>
        <v>44896</v>
      </c>
    </row>
    <row r="262" spans="1:8" s="145" customFormat="1" x14ac:dyDescent="0.35">
      <c r="A262" s="497" t="s">
        <v>2142</v>
      </c>
      <c r="B262" s="13" t="s">
        <v>5547</v>
      </c>
      <c r="C262" s="13" t="s">
        <v>3723</v>
      </c>
      <c r="D262" s="13" t="s">
        <v>6807</v>
      </c>
      <c r="E262" s="13" t="s">
        <v>674</v>
      </c>
      <c r="F262" s="373">
        <v>21.67</v>
      </c>
      <c r="G262" s="631">
        <v>44926</v>
      </c>
      <c r="H262" s="633">
        <f>'EEG-Vergütungen und vNNE'!J$31</f>
        <v>44896</v>
      </c>
    </row>
    <row r="263" spans="1:8" s="145" customFormat="1" x14ac:dyDescent="0.35">
      <c r="A263" s="497" t="s">
        <v>3222</v>
      </c>
      <c r="B263" s="13" t="s">
        <v>5547</v>
      </c>
      <c r="C263" s="13" t="s">
        <v>3723</v>
      </c>
      <c r="D263" s="13" t="s">
        <v>6808</v>
      </c>
      <c r="E263" s="13" t="s">
        <v>3566</v>
      </c>
      <c r="F263" s="373">
        <v>21.64</v>
      </c>
      <c r="G263" s="631">
        <v>44926</v>
      </c>
      <c r="H263" s="633">
        <f>'EEG-Vergütungen und vNNE'!J$31</f>
        <v>44896</v>
      </c>
    </row>
    <row r="264" spans="1:8" s="145" customFormat="1" x14ac:dyDescent="0.35">
      <c r="A264" s="497" t="s">
        <v>5188</v>
      </c>
      <c r="B264" s="13" t="s">
        <v>5547</v>
      </c>
      <c r="C264" s="13" t="s">
        <v>3723</v>
      </c>
      <c r="D264" s="13" t="s">
        <v>6809</v>
      </c>
      <c r="E264" s="13" t="s">
        <v>3054</v>
      </c>
      <c r="F264" s="373">
        <v>21.61</v>
      </c>
      <c r="G264" s="631">
        <v>44926</v>
      </c>
      <c r="H264" s="633">
        <f>'EEG-Vergütungen und vNNE'!J$31</f>
        <v>44896</v>
      </c>
    </row>
    <row r="265" spans="1:8" s="145" customFormat="1" x14ac:dyDescent="0.35">
      <c r="A265" s="511" t="s">
        <v>4213</v>
      </c>
      <c r="B265" s="173" t="s">
        <v>5547</v>
      </c>
      <c r="C265" s="173" t="s">
        <v>3723</v>
      </c>
      <c r="D265" s="173" t="s">
        <v>6810</v>
      </c>
      <c r="E265" s="173" t="s">
        <v>1980</v>
      </c>
      <c r="F265" s="374">
        <v>21.58</v>
      </c>
      <c r="G265" s="631">
        <v>44926</v>
      </c>
      <c r="H265" s="633">
        <f>'EEG-Vergütungen und vNNE'!J$31</f>
        <v>44896</v>
      </c>
    </row>
    <row r="266" spans="1:8" s="145" customFormat="1" x14ac:dyDescent="0.35">
      <c r="A266" s="497" t="s">
        <v>2143</v>
      </c>
      <c r="B266" s="13" t="s">
        <v>5547</v>
      </c>
      <c r="C266" s="13" t="s">
        <v>3723</v>
      </c>
      <c r="D266" s="13" t="s">
        <v>6811</v>
      </c>
      <c r="E266" s="13" t="s">
        <v>4809</v>
      </c>
      <c r="F266" s="373">
        <v>19.670000000000002</v>
      </c>
      <c r="G266" s="631">
        <v>44926</v>
      </c>
      <c r="H266" s="633">
        <f>'EEG-Vergütungen und vNNE'!J$31</f>
        <v>44896</v>
      </c>
    </row>
    <row r="267" spans="1:8" x14ac:dyDescent="0.35">
      <c r="A267" s="497" t="s">
        <v>2144</v>
      </c>
      <c r="B267" s="13" t="s">
        <v>5547</v>
      </c>
      <c r="C267" s="13" t="s">
        <v>3723</v>
      </c>
      <c r="D267" s="88" t="s">
        <v>6812</v>
      </c>
      <c r="E267" s="13" t="s">
        <v>4330</v>
      </c>
      <c r="F267" s="373">
        <v>22.67</v>
      </c>
      <c r="G267" s="631">
        <v>44926</v>
      </c>
      <c r="H267" s="633">
        <f>'EEG-Vergütungen und vNNE'!J$31</f>
        <v>44896</v>
      </c>
    </row>
    <row r="268" spans="1:8" x14ac:dyDescent="0.35">
      <c r="A268" s="497" t="s">
        <v>2145</v>
      </c>
      <c r="B268" s="13" t="s">
        <v>5547</v>
      </c>
      <c r="C268" s="13" t="s">
        <v>3723</v>
      </c>
      <c r="D268" s="13" t="s">
        <v>6813</v>
      </c>
      <c r="E268" s="13" t="s">
        <v>674</v>
      </c>
      <c r="F268" s="373">
        <v>22.67</v>
      </c>
      <c r="G268" s="631">
        <v>44926</v>
      </c>
      <c r="H268" s="633">
        <f>'EEG-Vergütungen und vNNE'!J$31</f>
        <v>44896</v>
      </c>
    </row>
    <row r="269" spans="1:8" x14ac:dyDescent="0.35">
      <c r="A269" s="497" t="s">
        <v>3223</v>
      </c>
      <c r="B269" s="13" t="s">
        <v>5547</v>
      </c>
      <c r="C269" s="13" t="s">
        <v>3723</v>
      </c>
      <c r="D269" s="13" t="s">
        <v>6814</v>
      </c>
      <c r="E269" s="13" t="s">
        <v>3566</v>
      </c>
      <c r="F269" s="373">
        <v>22.64</v>
      </c>
      <c r="G269" s="631">
        <v>44926</v>
      </c>
      <c r="H269" s="633">
        <f>'EEG-Vergütungen und vNNE'!J$31</f>
        <v>44896</v>
      </c>
    </row>
    <row r="270" spans="1:8" x14ac:dyDescent="0.35">
      <c r="A270" s="497" t="s">
        <v>5189</v>
      </c>
      <c r="B270" s="13" t="s">
        <v>5547</v>
      </c>
      <c r="C270" s="13" t="s">
        <v>3723</v>
      </c>
      <c r="D270" s="13" t="s">
        <v>6815</v>
      </c>
      <c r="E270" s="13" t="s">
        <v>3054</v>
      </c>
      <c r="F270" s="373">
        <v>22.61</v>
      </c>
      <c r="G270" s="631">
        <v>44926</v>
      </c>
      <c r="H270" s="633">
        <f>'EEG-Vergütungen und vNNE'!J$31</f>
        <v>44896</v>
      </c>
    </row>
    <row r="271" spans="1:8" x14ac:dyDescent="0.35">
      <c r="A271" s="511" t="s">
        <v>4214</v>
      </c>
      <c r="B271" s="173" t="s">
        <v>5547</v>
      </c>
      <c r="C271" s="173" t="s">
        <v>3723</v>
      </c>
      <c r="D271" s="173" t="s">
        <v>6816</v>
      </c>
      <c r="E271" s="173" t="s">
        <v>1980</v>
      </c>
      <c r="F271" s="374">
        <v>22.58</v>
      </c>
      <c r="G271" s="631">
        <v>44926</v>
      </c>
      <c r="H271" s="633">
        <f>'EEG-Vergütungen und vNNE'!J$31</f>
        <v>44896</v>
      </c>
    </row>
    <row r="272" spans="1:8" x14ac:dyDescent="0.35">
      <c r="A272" s="497" t="s">
        <v>2146</v>
      </c>
      <c r="B272" s="13" t="s">
        <v>5547</v>
      </c>
      <c r="C272" s="13" t="s">
        <v>3723</v>
      </c>
      <c r="D272" s="13" t="s">
        <v>6817</v>
      </c>
      <c r="E272" s="13" t="s">
        <v>4809</v>
      </c>
      <c r="F272" s="373">
        <v>22.67</v>
      </c>
      <c r="G272" s="631">
        <v>44926</v>
      </c>
      <c r="H272" s="633">
        <f>'EEG-Vergütungen und vNNE'!J$31</f>
        <v>44896</v>
      </c>
    </row>
    <row r="273" spans="1:8" x14ac:dyDescent="0.35">
      <c r="A273" s="497" t="s">
        <v>2147</v>
      </c>
      <c r="B273" s="13" t="s">
        <v>5547</v>
      </c>
      <c r="C273" s="13" t="s">
        <v>3723</v>
      </c>
      <c r="D273" s="13" t="s">
        <v>6818</v>
      </c>
      <c r="E273" s="13" t="s">
        <v>4330</v>
      </c>
      <c r="F273" s="373">
        <v>25.67</v>
      </c>
      <c r="G273" s="631">
        <v>44926</v>
      </c>
      <c r="H273" s="633">
        <f>'EEG-Vergütungen und vNNE'!J$31</f>
        <v>44896</v>
      </c>
    </row>
    <row r="274" spans="1:8" x14ac:dyDescent="0.35">
      <c r="A274" s="497" t="s">
        <v>2148</v>
      </c>
      <c r="B274" s="13" t="s">
        <v>5547</v>
      </c>
      <c r="C274" s="13" t="s">
        <v>3723</v>
      </c>
      <c r="D274" s="13" t="s">
        <v>6819</v>
      </c>
      <c r="E274" s="13" t="s">
        <v>674</v>
      </c>
      <c r="F274" s="373">
        <v>25.67</v>
      </c>
      <c r="G274" s="631">
        <v>44926</v>
      </c>
      <c r="H274" s="633">
        <f>'EEG-Vergütungen und vNNE'!J$31</f>
        <v>44896</v>
      </c>
    </row>
    <row r="275" spans="1:8" x14ac:dyDescent="0.35">
      <c r="A275" s="497" t="s">
        <v>3224</v>
      </c>
      <c r="B275" s="13" t="s">
        <v>5547</v>
      </c>
      <c r="C275" s="13" t="s">
        <v>3723</v>
      </c>
      <c r="D275" s="13" t="s">
        <v>6820</v>
      </c>
      <c r="E275" s="13" t="s">
        <v>3566</v>
      </c>
      <c r="F275" s="373">
        <v>25.64</v>
      </c>
      <c r="G275" s="631">
        <v>44926</v>
      </c>
      <c r="H275" s="633">
        <f>'EEG-Vergütungen und vNNE'!J$31</f>
        <v>44896</v>
      </c>
    </row>
    <row r="276" spans="1:8" x14ac:dyDescent="0.35">
      <c r="A276" s="497" t="s">
        <v>5190</v>
      </c>
      <c r="B276" s="13" t="s">
        <v>5547</v>
      </c>
      <c r="C276" s="13" t="s">
        <v>3723</v>
      </c>
      <c r="D276" s="13" t="s">
        <v>6821</v>
      </c>
      <c r="E276" s="13" t="s">
        <v>3054</v>
      </c>
      <c r="F276" s="373">
        <v>25.61</v>
      </c>
      <c r="G276" s="631">
        <v>44926</v>
      </c>
      <c r="H276" s="633">
        <f>'EEG-Vergütungen und vNNE'!J$31</f>
        <v>44896</v>
      </c>
    </row>
    <row r="277" spans="1:8" x14ac:dyDescent="0.35">
      <c r="A277" s="511" t="s">
        <v>4215</v>
      </c>
      <c r="B277" s="173" t="s">
        <v>5547</v>
      </c>
      <c r="C277" s="173" t="s">
        <v>3723</v>
      </c>
      <c r="D277" s="173" t="s">
        <v>6822</v>
      </c>
      <c r="E277" s="173" t="s">
        <v>1980</v>
      </c>
      <c r="F277" s="374">
        <v>25.58</v>
      </c>
      <c r="G277" s="631">
        <v>44926</v>
      </c>
      <c r="H277" s="633">
        <f>'EEG-Vergütungen und vNNE'!J$31</f>
        <v>44896</v>
      </c>
    </row>
    <row r="278" spans="1:8" x14ac:dyDescent="0.35">
      <c r="A278" s="497" t="s">
        <v>2149</v>
      </c>
      <c r="B278" s="13" t="s">
        <v>5547</v>
      </c>
      <c r="C278" s="13" t="s">
        <v>3723</v>
      </c>
      <c r="D278" s="13" t="s">
        <v>6823</v>
      </c>
      <c r="E278" s="13" t="s">
        <v>4809</v>
      </c>
      <c r="F278" s="373">
        <v>23.67</v>
      </c>
      <c r="G278" s="631">
        <v>44926</v>
      </c>
      <c r="H278" s="633">
        <f>'EEG-Vergütungen und vNNE'!J$31</f>
        <v>44896</v>
      </c>
    </row>
    <row r="279" spans="1:8" x14ac:dyDescent="0.35">
      <c r="A279" s="497" t="s">
        <v>2150</v>
      </c>
      <c r="B279" s="13" t="s">
        <v>5547</v>
      </c>
      <c r="C279" s="13" t="s">
        <v>3723</v>
      </c>
      <c r="D279" s="88" t="s">
        <v>6824</v>
      </c>
      <c r="E279" s="13" t="s">
        <v>4330</v>
      </c>
      <c r="F279" s="373">
        <v>26.67</v>
      </c>
      <c r="G279" s="631">
        <v>44926</v>
      </c>
      <c r="H279" s="633">
        <f>'EEG-Vergütungen und vNNE'!J$31</f>
        <v>44896</v>
      </c>
    </row>
    <row r="280" spans="1:8" x14ac:dyDescent="0.35">
      <c r="A280" s="497" t="s">
        <v>2151</v>
      </c>
      <c r="B280" s="13" t="s">
        <v>5547</v>
      </c>
      <c r="C280" s="13" t="s">
        <v>3723</v>
      </c>
      <c r="D280" s="13" t="s">
        <v>6825</v>
      </c>
      <c r="E280" s="13" t="s">
        <v>674</v>
      </c>
      <c r="F280" s="373">
        <v>26.67</v>
      </c>
      <c r="G280" s="631">
        <v>44926</v>
      </c>
      <c r="H280" s="633">
        <f>'EEG-Vergütungen und vNNE'!J$31</f>
        <v>44896</v>
      </c>
    </row>
    <row r="281" spans="1:8" x14ac:dyDescent="0.35">
      <c r="A281" s="497" t="s">
        <v>3225</v>
      </c>
      <c r="B281" s="13" t="s">
        <v>5547</v>
      </c>
      <c r="C281" s="13" t="s">
        <v>3723</v>
      </c>
      <c r="D281" s="13" t="s">
        <v>6826</v>
      </c>
      <c r="E281" s="13" t="s">
        <v>3566</v>
      </c>
      <c r="F281" s="373">
        <v>26.64</v>
      </c>
      <c r="G281" s="631">
        <v>44926</v>
      </c>
      <c r="H281" s="633">
        <f>'EEG-Vergütungen und vNNE'!J$31</f>
        <v>44896</v>
      </c>
    </row>
    <row r="282" spans="1:8" x14ac:dyDescent="0.35">
      <c r="A282" s="497" t="s">
        <v>5191</v>
      </c>
      <c r="B282" s="13" t="s">
        <v>5547</v>
      </c>
      <c r="C282" s="13" t="s">
        <v>3723</v>
      </c>
      <c r="D282" s="13" t="s">
        <v>6827</v>
      </c>
      <c r="E282" s="13" t="s">
        <v>3054</v>
      </c>
      <c r="F282" s="373">
        <v>26.61</v>
      </c>
      <c r="G282" s="631">
        <v>44926</v>
      </c>
      <c r="H282" s="633">
        <f>'EEG-Vergütungen und vNNE'!J$31</f>
        <v>44896</v>
      </c>
    </row>
    <row r="283" spans="1:8" x14ac:dyDescent="0.35">
      <c r="A283" s="511" t="s">
        <v>4216</v>
      </c>
      <c r="B283" s="173" t="s">
        <v>5547</v>
      </c>
      <c r="C283" s="173" t="s">
        <v>3723</v>
      </c>
      <c r="D283" s="173" t="s">
        <v>6828</v>
      </c>
      <c r="E283" s="173" t="s">
        <v>1980</v>
      </c>
      <c r="F283" s="374">
        <v>26.58</v>
      </c>
      <c r="G283" s="631">
        <v>44926</v>
      </c>
      <c r="H283" s="633">
        <f>'EEG-Vergütungen und vNNE'!J$31</f>
        <v>44896</v>
      </c>
    </row>
    <row r="284" spans="1:8" x14ac:dyDescent="0.35">
      <c r="A284" s="497" t="s">
        <v>2152</v>
      </c>
      <c r="B284" s="13" t="s">
        <v>5547</v>
      </c>
      <c r="C284" s="13" t="s">
        <v>3723</v>
      </c>
      <c r="D284" s="13" t="s">
        <v>6829</v>
      </c>
      <c r="E284" s="13" t="s">
        <v>4809</v>
      </c>
      <c r="F284" s="373">
        <v>20.67</v>
      </c>
      <c r="G284" s="631">
        <v>44926</v>
      </c>
      <c r="H284" s="633">
        <f>'EEG-Vergütungen und vNNE'!J$31</f>
        <v>44896</v>
      </c>
    </row>
    <row r="285" spans="1:8" x14ac:dyDescent="0.35">
      <c r="A285" s="497" t="s">
        <v>2153</v>
      </c>
      <c r="B285" s="13" t="s">
        <v>5547</v>
      </c>
      <c r="C285" s="13" t="s">
        <v>3723</v>
      </c>
      <c r="D285" s="13" t="s">
        <v>6830</v>
      </c>
      <c r="E285" s="13" t="s">
        <v>4330</v>
      </c>
      <c r="F285" s="373">
        <v>23.67</v>
      </c>
      <c r="G285" s="631">
        <v>44926</v>
      </c>
      <c r="H285" s="633">
        <f>'EEG-Vergütungen und vNNE'!J$31</f>
        <v>44896</v>
      </c>
    </row>
    <row r="286" spans="1:8" s="145" customFormat="1" x14ac:dyDescent="0.35">
      <c r="A286" s="497" t="s">
        <v>2154</v>
      </c>
      <c r="B286" s="13" t="s">
        <v>5547</v>
      </c>
      <c r="C286" s="13" t="s">
        <v>3723</v>
      </c>
      <c r="D286" s="13" t="s">
        <v>6831</v>
      </c>
      <c r="E286" s="13" t="s">
        <v>674</v>
      </c>
      <c r="F286" s="373">
        <v>23.67</v>
      </c>
      <c r="G286" s="631">
        <v>44926</v>
      </c>
      <c r="H286" s="633">
        <f>'EEG-Vergütungen und vNNE'!J$31</f>
        <v>44896</v>
      </c>
    </row>
    <row r="287" spans="1:8" s="145" customFormat="1" x14ac:dyDescent="0.35">
      <c r="A287" s="497" t="s">
        <v>3226</v>
      </c>
      <c r="B287" s="13" t="s">
        <v>5547</v>
      </c>
      <c r="C287" s="13" t="s">
        <v>3723</v>
      </c>
      <c r="D287" s="13" t="s">
        <v>6832</v>
      </c>
      <c r="E287" s="13" t="s">
        <v>3566</v>
      </c>
      <c r="F287" s="373">
        <v>23.64</v>
      </c>
      <c r="G287" s="631">
        <v>44926</v>
      </c>
      <c r="H287" s="633">
        <f>'EEG-Vergütungen und vNNE'!J$31</f>
        <v>44896</v>
      </c>
    </row>
    <row r="288" spans="1:8" s="145" customFormat="1" x14ac:dyDescent="0.35">
      <c r="A288" s="497" t="s">
        <v>5192</v>
      </c>
      <c r="B288" s="13" t="s">
        <v>5547</v>
      </c>
      <c r="C288" s="13" t="s">
        <v>3723</v>
      </c>
      <c r="D288" s="13" t="s">
        <v>6833</v>
      </c>
      <c r="E288" s="13" t="s">
        <v>3054</v>
      </c>
      <c r="F288" s="373">
        <v>23.61</v>
      </c>
      <c r="G288" s="631">
        <v>44926</v>
      </c>
      <c r="H288" s="633">
        <f>'EEG-Vergütungen und vNNE'!J$31</f>
        <v>44896</v>
      </c>
    </row>
    <row r="289" spans="1:8" s="145" customFormat="1" x14ac:dyDescent="0.35">
      <c r="A289" s="511" t="s">
        <v>4217</v>
      </c>
      <c r="B289" s="173" t="s">
        <v>5547</v>
      </c>
      <c r="C289" s="173" t="s">
        <v>3723</v>
      </c>
      <c r="D289" s="173" t="s">
        <v>6834</v>
      </c>
      <c r="E289" s="173" t="s">
        <v>1980</v>
      </c>
      <c r="F289" s="374">
        <v>23.58</v>
      </c>
      <c r="G289" s="631">
        <v>44926</v>
      </c>
      <c r="H289" s="633">
        <f>'EEG-Vergütungen und vNNE'!J$31</f>
        <v>44896</v>
      </c>
    </row>
    <row r="290" spans="1:8" s="145" customFormat="1" x14ac:dyDescent="0.35">
      <c r="A290" s="497" t="s">
        <v>2155</v>
      </c>
      <c r="B290" s="13" t="s">
        <v>5547</v>
      </c>
      <c r="C290" s="13" t="s">
        <v>3723</v>
      </c>
      <c r="D290" s="13" t="s">
        <v>6835</v>
      </c>
      <c r="E290" s="13" t="s">
        <v>4809</v>
      </c>
      <c r="F290" s="373">
        <v>21.67</v>
      </c>
      <c r="G290" s="631">
        <v>44926</v>
      </c>
      <c r="H290" s="633">
        <f>'EEG-Vergütungen und vNNE'!J$31</f>
        <v>44896</v>
      </c>
    </row>
    <row r="291" spans="1:8" s="145" customFormat="1" x14ac:dyDescent="0.35">
      <c r="A291" s="497" t="s">
        <v>2156</v>
      </c>
      <c r="B291" s="13" t="s">
        <v>5547</v>
      </c>
      <c r="C291" s="13" t="s">
        <v>3723</v>
      </c>
      <c r="D291" s="88" t="s">
        <v>6836</v>
      </c>
      <c r="E291" s="13" t="s">
        <v>4330</v>
      </c>
      <c r="F291" s="373">
        <v>24.67</v>
      </c>
      <c r="G291" s="631">
        <v>44926</v>
      </c>
      <c r="H291" s="633">
        <f>'EEG-Vergütungen und vNNE'!J$31</f>
        <v>44896</v>
      </c>
    </row>
    <row r="292" spans="1:8" s="145" customFormat="1" x14ac:dyDescent="0.35">
      <c r="A292" s="497" t="s">
        <v>2157</v>
      </c>
      <c r="B292" s="13" t="s">
        <v>5547</v>
      </c>
      <c r="C292" s="13" t="s">
        <v>3723</v>
      </c>
      <c r="D292" s="13" t="s">
        <v>6837</v>
      </c>
      <c r="E292" s="13" t="s">
        <v>674</v>
      </c>
      <c r="F292" s="373">
        <v>24.67</v>
      </c>
      <c r="G292" s="631">
        <v>44926</v>
      </c>
      <c r="H292" s="633">
        <f>'EEG-Vergütungen und vNNE'!J$31</f>
        <v>44896</v>
      </c>
    </row>
    <row r="293" spans="1:8" s="145" customFormat="1" x14ac:dyDescent="0.35">
      <c r="A293" s="497" t="s">
        <v>3227</v>
      </c>
      <c r="B293" s="13" t="s">
        <v>5547</v>
      </c>
      <c r="C293" s="13" t="s">
        <v>3723</v>
      </c>
      <c r="D293" s="13" t="s">
        <v>6838</v>
      </c>
      <c r="E293" s="13" t="s">
        <v>3566</v>
      </c>
      <c r="F293" s="373">
        <v>24.64</v>
      </c>
      <c r="G293" s="631">
        <v>44926</v>
      </c>
      <c r="H293" s="633">
        <f>'EEG-Vergütungen und vNNE'!J$31</f>
        <v>44896</v>
      </c>
    </row>
    <row r="294" spans="1:8" s="145" customFormat="1" x14ac:dyDescent="0.35">
      <c r="A294" s="497" t="s">
        <v>5193</v>
      </c>
      <c r="B294" s="13" t="s">
        <v>5547</v>
      </c>
      <c r="C294" s="13" t="s">
        <v>3723</v>
      </c>
      <c r="D294" s="13" t="s">
        <v>6839</v>
      </c>
      <c r="E294" s="13" t="s">
        <v>3054</v>
      </c>
      <c r="F294" s="373">
        <v>24.61</v>
      </c>
      <c r="G294" s="631">
        <v>44926</v>
      </c>
      <c r="H294" s="633">
        <f>'EEG-Vergütungen und vNNE'!J$31</f>
        <v>44896</v>
      </c>
    </row>
    <row r="295" spans="1:8" s="145" customFormat="1" x14ac:dyDescent="0.35">
      <c r="A295" s="511" t="s">
        <v>4218</v>
      </c>
      <c r="B295" s="173" t="s">
        <v>5547</v>
      </c>
      <c r="C295" s="173" t="s">
        <v>3723</v>
      </c>
      <c r="D295" s="173" t="s">
        <v>6840</v>
      </c>
      <c r="E295" s="173" t="s">
        <v>1980</v>
      </c>
      <c r="F295" s="374">
        <v>24.58</v>
      </c>
      <c r="G295" s="631">
        <v>44926</v>
      </c>
      <c r="H295" s="633">
        <f>'EEG-Vergütungen und vNNE'!J$31</f>
        <v>44896</v>
      </c>
    </row>
    <row r="296" spans="1:8" s="145" customFormat="1" x14ac:dyDescent="0.35">
      <c r="A296" s="497" t="s">
        <v>2158</v>
      </c>
      <c r="B296" s="13" t="s">
        <v>5547</v>
      </c>
      <c r="C296" s="13" t="s">
        <v>3723</v>
      </c>
      <c r="D296" s="13" t="s">
        <v>6841</v>
      </c>
      <c r="E296" s="13" t="s">
        <v>4809</v>
      </c>
      <c r="F296" s="373">
        <v>24.67</v>
      </c>
      <c r="G296" s="631">
        <v>44926</v>
      </c>
      <c r="H296" s="633">
        <f>'EEG-Vergütungen und vNNE'!J$31</f>
        <v>44896</v>
      </c>
    </row>
    <row r="297" spans="1:8" s="145" customFormat="1" x14ac:dyDescent="0.35">
      <c r="A297" s="497" t="s">
        <v>2159</v>
      </c>
      <c r="B297" s="13" t="s">
        <v>5547</v>
      </c>
      <c r="C297" s="13" t="s">
        <v>3723</v>
      </c>
      <c r="D297" s="13" t="s">
        <v>6842</v>
      </c>
      <c r="E297" s="13" t="s">
        <v>4330</v>
      </c>
      <c r="F297" s="373">
        <v>27.67</v>
      </c>
      <c r="G297" s="631">
        <v>44926</v>
      </c>
      <c r="H297" s="633">
        <f>'EEG-Vergütungen und vNNE'!J$31</f>
        <v>44896</v>
      </c>
    </row>
    <row r="298" spans="1:8" s="145" customFormat="1" x14ac:dyDescent="0.35">
      <c r="A298" s="497" t="s">
        <v>2160</v>
      </c>
      <c r="B298" s="13" t="s">
        <v>5547</v>
      </c>
      <c r="C298" s="13" t="s">
        <v>3723</v>
      </c>
      <c r="D298" s="13" t="s">
        <v>6843</v>
      </c>
      <c r="E298" s="13" t="s">
        <v>674</v>
      </c>
      <c r="F298" s="373">
        <v>27.67</v>
      </c>
      <c r="G298" s="631">
        <v>44926</v>
      </c>
      <c r="H298" s="633">
        <f>'EEG-Vergütungen und vNNE'!J$31</f>
        <v>44896</v>
      </c>
    </row>
    <row r="299" spans="1:8" s="145" customFormat="1" x14ac:dyDescent="0.35">
      <c r="A299" s="497" t="s">
        <v>3228</v>
      </c>
      <c r="B299" s="13" t="s">
        <v>5547</v>
      </c>
      <c r="C299" s="13" t="s">
        <v>3723</v>
      </c>
      <c r="D299" s="13" t="s">
        <v>6844</v>
      </c>
      <c r="E299" s="13" t="s">
        <v>3566</v>
      </c>
      <c r="F299" s="373">
        <v>27.64</v>
      </c>
      <c r="G299" s="631">
        <v>44926</v>
      </c>
      <c r="H299" s="633">
        <f>'EEG-Vergütungen und vNNE'!J$31</f>
        <v>44896</v>
      </c>
    </row>
    <row r="300" spans="1:8" s="145" customFormat="1" x14ac:dyDescent="0.35">
      <c r="A300" s="497" t="s">
        <v>5194</v>
      </c>
      <c r="B300" s="13" t="s">
        <v>5547</v>
      </c>
      <c r="C300" s="13" t="s">
        <v>3723</v>
      </c>
      <c r="D300" s="13" t="s">
        <v>6845</v>
      </c>
      <c r="E300" s="13" t="s">
        <v>3054</v>
      </c>
      <c r="F300" s="373">
        <v>27.61</v>
      </c>
      <c r="G300" s="631">
        <v>44926</v>
      </c>
      <c r="H300" s="633">
        <f>'EEG-Vergütungen und vNNE'!J$31</f>
        <v>44896</v>
      </c>
    </row>
    <row r="301" spans="1:8" s="145" customFormat="1" x14ac:dyDescent="0.35">
      <c r="A301" s="511" t="s">
        <v>4219</v>
      </c>
      <c r="B301" s="173" t="s">
        <v>5547</v>
      </c>
      <c r="C301" s="173" t="s">
        <v>3723</v>
      </c>
      <c r="D301" s="173" t="s">
        <v>6846</v>
      </c>
      <c r="E301" s="173" t="s">
        <v>1980</v>
      </c>
      <c r="F301" s="374">
        <v>27.58</v>
      </c>
      <c r="G301" s="631">
        <v>44926</v>
      </c>
      <c r="H301" s="633">
        <f>'EEG-Vergütungen und vNNE'!J$31</f>
        <v>44896</v>
      </c>
    </row>
    <row r="302" spans="1:8" s="145" customFormat="1" x14ac:dyDescent="0.35">
      <c r="A302" s="497" t="s">
        <v>2161</v>
      </c>
      <c r="B302" s="13" t="s">
        <v>5547</v>
      </c>
      <c r="C302" s="13" t="s">
        <v>3723</v>
      </c>
      <c r="D302" s="13" t="s">
        <v>6847</v>
      </c>
      <c r="E302" s="13" t="s">
        <v>4809</v>
      </c>
      <c r="F302" s="373">
        <v>25.67</v>
      </c>
      <c r="G302" s="631">
        <v>44926</v>
      </c>
      <c r="H302" s="633">
        <f>'EEG-Vergütungen und vNNE'!J$31</f>
        <v>44896</v>
      </c>
    </row>
    <row r="303" spans="1:8" s="145" customFormat="1" x14ac:dyDescent="0.35">
      <c r="A303" s="497" t="s">
        <v>2162</v>
      </c>
      <c r="B303" s="13" t="s">
        <v>5547</v>
      </c>
      <c r="C303" s="13" t="s">
        <v>3723</v>
      </c>
      <c r="D303" s="88" t="s">
        <v>6848</v>
      </c>
      <c r="E303" s="13" t="s">
        <v>4330</v>
      </c>
      <c r="F303" s="373">
        <v>28.67</v>
      </c>
      <c r="G303" s="631">
        <v>44926</v>
      </c>
      <c r="H303" s="633">
        <f>'EEG-Vergütungen und vNNE'!J$31</f>
        <v>44896</v>
      </c>
    </row>
    <row r="304" spans="1:8" s="145" customFormat="1" x14ac:dyDescent="0.35">
      <c r="A304" s="497" t="s">
        <v>2163</v>
      </c>
      <c r="B304" s="13" t="s">
        <v>5547</v>
      </c>
      <c r="C304" s="13" t="s">
        <v>3723</v>
      </c>
      <c r="D304" s="13" t="s">
        <v>6849</v>
      </c>
      <c r="E304" s="13" t="s">
        <v>674</v>
      </c>
      <c r="F304" s="373">
        <v>28.67</v>
      </c>
      <c r="G304" s="631">
        <v>44926</v>
      </c>
      <c r="H304" s="633">
        <f>'EEG-Vergütungen und vNNE'!J$31</f>
        <v>44896</v>
      </c>
    </row>
    <row r="305" spans="1:8" s="145" customFormat="1" x14ac:dyDescent="0.35">
      <c r="A305" s="497" t="s">
        <v>3229</v>
      </c>
      <c r="B305" s="13" t="s">
        <v>5547</v>
      </c>
      <c r="C305" s="13" t="s">
        <v>3723</v>
      </c>
      <c r="D305" s="13" t="s">
        <v>6850</v>
      </c>
      <c r="E305" s="13" t="s">
        <v>3566</v>
      </c>
      <c r="F305" s="373">
        <v>28.64</v>
      </c>
      <c r="G305" s="631">
        <v>44926</v>
      </c>
      <c r="H305" s="633">
        <f>'EEG-Vergütungen und vNNE'!J$31</f>
        <v>44896</v>
      </c>
    </row>
    <row r="306" spans="1:8" s="145" customFormat="1" x14ac:dyDescent="0.35">
      <c r="A306" s="497" t="s">
        <v>5195</v>
      </c>
      <c r="B306" s="13" t="s">
        <v>5547</v>
      </c>
      <c r="C306" s="13" t="s">
        <v>3723</v>
      </c>
      <c r="D306" s="13" t="s">
        <v>6851</v>
      </c>
      <c r="E306" s="13" t="s">
        <v>3054</v>
      </c>
      <c r="F306" s="373">
        <v>28.61</v>
      </c>
      <c r="G306" s="631">
        <v>44926</v>
      </c>
      <c r="H306" s="633">
        <f>'EEG-Vergütungen und vNNE'!J$31</f>
        <v>44896</v>
      </c>
    </row>
    <row r="307" spans="1:8" s="145" customFormat="1" x14ac:dyDescent="0.35">
      <c r="A307" s="511" t="s">
        <v>4220</v>
      </c>
      <c r="B307" s="173" t="s">
        <v>5547</v>
      </c>
      <c r="C307" s="173" t="s">
        <v>3723</v>
      </c>
      <c r="D307" s="173" t="s">
        <v>6852</v>
      </c>
      <c r="E307" s="173" t="s">
        <v>1980</v>
      </c>
      <c r="F307" s="374">
        <v>28.58</v>
      </c>
      <c r="G307" s="631">
        <v>44926</v>
      </c>
      <c r="H307" s="633">
        <f>'EEG-Vergütungen und vNNE'!J$31</f>
        <v>44896</v>
      </c>
    </row>
    <row r="308" spans="1:8" s="145" customFormat="1" x14ac:dyDescent="0.35">
      <c r="A308" s="496" t="s">
        <v>4795</v>
      </c>
      <c r="B308" s="1" t="s">
        <v>5547</v>
      </c>
      <c r="C308" s="1" t="s">
        <v>3723</v>
      </c>
      <c r="D308" s="1" t="s">
        <v>1779</v>
      </c>
      <c r="E308" s="151" t="s">
        <v>4809</v>
      </c>
      <c r="F308" s="375">
        <v>10.1</v>
      </c>
      <c r="G308" s="631">
        <v>44926</v>
      </c>
      <c r="H308" s="633">
        <f>'EEG-Vergütungen und vNNE'!J$31</f>
        <v>44896</v>
      </c>
    </row>
    <row r="309" spans="1:8" s="145" customFormat="1" x14ac:dyDescent="0.35">
      <c r="A309" s="497" t="s">
        <v>4029</v>
      </c>
      <c r="B309" s="13" t="s">
        <v>5547</v>
      </c>
      <c r="C309" s="13" t="s">
        <v>3723</v>
      </c>
      <c r="D309" s="17" t="s">
        <v>7087</v>
      </c>
      <c r="E309" s="13" t="s">
        <v>4330</v>
      </c>
      <c r="F309" s="371">
        <v>13.1</v>
      </c>
      <c r="G309" s="631">
        <v>44926</v>
      </c>
      <c r="H309" s="633">
        <f>'EEG-Vergütungen und vNNE'!J$31</f>
        <v>44896</v>
      </c>
    </row>
    <row r="310" spans="1:8" s="145" customFormat="1" x14ac:dyDescent="0.35">
      <c r="A310" s="497" t="s">
        <v>2607</v>
      </c>
      <c r="B310" s="13" t="s">
        <v>5547</v>
      </c>
      <c r="C310" s="13" t="s">
        <v>3723</v>
      </c>
      <c r="D310" s="17" t="s">
        <v>7088</v>
      </c>
      <c r="E310" s="13" t="s">
        <v>674</v>
      </c>
      <c r="F310" s="371">
        <v>13.1</v>
      </c>
      <c r="G310" s="631">
        <v>44926</v>
      </c>
      <c r="H310" s="633">
        <f>'EEG-Vergütungen und vNNE'!J$31</f>
        <v>44896</v>
      </c>
    </row>
    <row r="311" spans="1:8" s="145" customFormat="1" x14ac:dyDescent="0.35">
      <c r="A311" s="497" t="s">
        <v>3230</v>
      </c>
      <c r="B311" s="13" t="s">
        <v>5547</v>
      </c>
      <c r="C311" s="13" t="s">
        <v>3723</v>
      </c>
      <c r="D311" s="17" t="s">
        <v>7089</v>
      </c>
      <c r="E311" s="13" t="s">
        <v>3566</v>
      </c>
      <c r="F311" s="371">
        <v>13.07</v>
      </c>
      <c r="G311" s="631">
        <v>44926</v>
      </c>
      <c r="H311" s="633">
        <f>'EEG-Vergütungen und vNNE'!J$31</f>
        <v>44896</v>
      </c>
    </row>
    <row r="312" spans="1:8" s="145" customFormat="1" x14ac:dyDescent="0.35">
      <c r="A312" s="497" t="s">
        <v>5196</v>
      </c>
      <c r="B312" s="13" t="s">
        <v>5547</v>
      </c>
      <c r="C312" s="13" t="s">
        <v>3723</v>
      </c>
      <c r="D312" s="17" t="s">
        <v>7090</v>
      </c>
      <c r="E312" s="13" t="s">
        <v>3054</v>
      </c>
      <c r="F312" s="371">
        <v>13.04</v>
      </c>
      <c r="G312" s="631">
        <v>44926</v>
      </c>
      <c r="H312" s="633">
        <f>'EEG-Vergütungen und vNNE'!J$31</f>
        <v>44896</v>
      </c>
    </row>
    <row r="313" spans="1:8" s="145" customFormat="1" x14ac:dyDescent="0.35">
      <c r="A313" s="511" t="s">
        <v>4221</v>
      </c>
      <c r="B313" s="173" t="s">
        <v>5547</v>
      </c>
      <c r="C313" s="173" t="s">
        <v>3723</v>
      </c>
      <c r="D313" s="174" t="s">
        <v>7091</v>
      </c>
      <c r="E313" s="173" t="s">
        <v>1980</v>
      </c>
      <c r="F313" s="372">
        <v>13.01</v>
      </c>
      <c r="G313" s="631">
        <v>44926</v>
      </c>
      <c r="H313" s="633">
        <f>'EEG-Vergütungen und vNNE'!J$31</f>
        <v>44896</v>
      </c>
    </row>
    <row r="314" spans="1:8" s="145" customFormat="1" x14ac:dyDescent="0.35">
      <c r="A314" s="497" t="s">
        <v>838</v>
      </c>
      <c r="B314" s="13" t="s">
        <v>5547</v>
      </c>
      <c r="C314" s="13" t="s">
        <v>3723</v>
      </c>
      <c r="D314" s="17" t="s">
        <v>7092</v>
      </c>
      <c r="E314" s="153" t="s">
        <v>4809</v>
      </c>
      <c r="F314" s="373">
        <v>11.1</v>
      </c>
      <c r="G314" s="631">
        <v>44926</v>
      </c>
      <c r="H314" s="633">
        <f>'EEG-Vergütungen und vNNE'!J$31</f>
        <v>44896</v>
      </c>
    </row>
    <row r="315" spans="1:8" s="145" customFormat="1" x14ac:dyDescent="0.35">
      <c r="A315" s="497" t="s">
        <v>839</v>
      </c>
      <c r="B315" s="13" t="s">
        <v>5547</v>
      </c>
      <c r="C315" s="13" t="s">
        <v>3723</v>
      </c>
      <c r="D315" s="17" t="s">
        <v>7094</v>
      </c>
      <c r="E315" s="13" t="s">
        <v>4330</v>
      </c>
      <c r="F315" s="371">
        <v>14.1</v>
      </c>
      <c r="G315" s="631">
        <v>44926</v>
      </c>
      <c r="H315" s="633">
        <f>'EEG-Vergütungen und vNNE'!J$31</f>
        <v>44896</v>
      </c>
    </row>
    <row r="316" spans="1:8" s="145" customFormat="1" x14ac:dyDescent="0.35">
      <c r="A316" s="497" t="s">
        <v>840</v>
      </c>
      <c r="B316" s="13" t="s">
        <v>5547</v>
      </c>
      <c r="C316" s="13" t="s">
        <v>3723</v>
      </c>
      <c r="D316" s="17" t="s">
        <v>7095</v>
      </c>
      <c r="E316" s="13" t="s">
        <v>674</v>
      </c>
      <c r="F316" s="371">
        <v>14.1</v>
      </c>
      <c r="G316" s="631">
        <v>44926</v>
      </c>
      <c r="H316" s="633">
        <f>'EEG-Vergütungen und vNNE'!J$31</f>
        <v>44896</v>
      </c>
    </row>
    <row r="317" spans="1:8" s="145" customFormat="1" x14ac:dyDescent="0.35">
      <c r="A317" s="497" t="s">
        <v>3231</v>
      </c>
      <c r="B317" s="13" t="s">
        <v>5547</v>
      </c>
      <c r="C317" s="13" t="s">
        <v>3723</v>
      </c>
      <c r="D317" s="17" t="s">
        <v>7096</v>
      </c>
      <c r="E317" s="13" t="s">
        <v>3566</v>
      </c>
      <c r="F317" s="371">
        <v>14.07</v>
      </c>
      <c r="G317" s="631">
        <v>44926</v>
      </c>
      <c r="H317" s="633">
        <f>'EEG-Vergütungen und vNNE'!J$31</f>
        <v>44896</v>
      </c>
    </row>
    <row r="318" spans="1:8" s="145" customFormat="1" x14ac:dyDescent="0.35">
      <c r="A318" s="497" t="s">
        <v>5197</v>
      </c>
      <c r="B318" s="13" t="s">
        <v>5547</v>
      </c>
      <c r="C318" s="13" t="s">
        <v>3723</v>
      </c>
      <c r="D318" s="17" t="s">
        <v>7097</v>
      </c>
      <c r="E318" s="13" t="s">
        <v>3054</v>
      </c>
      <c r="F318" s="371">
        <v>14.04</v>
      </c>
      <c r="G318" s="631">
        <v>44926</v>
      </c>
      <c r="H318" s="633">
        <f>'EEG-Vergütungen und vNNE'!J$31</f>
        <v>44896</v>
      </c>
    </row>
    <row r="319" spans="1:8" s="145" customFormat="1" x14ac:dyDescent="0.35">
      <c r="A319" s="511" t="s">
        <v>4222</v>
      </c>
      <c r="B319" s="173" t="s">
        <v>5547</v>
      </c>
      <c r="C319" s="173" t="s">
        <v>3723</v>
      </c>
      <c r="D319" s="174" t="s">
        <v>7098</v>
      </c>
      <c r="E319" s="173" t="s">
        <v>1980</v>
      </c>
      <c r="F319" s="372">
        <v>14.01</v>
      </c>
      <c r="G319" s="631">
        <v>44926</v>
      </c>
      <c r="H319" s="633">
        <f>'EEG-Vergütungen und vNNE'!J$31</f>
        <v>44896</v>
      </c>
    </row>
    <row r="320" spans="1:8" s="145" customFormat="1" x14ac:dyDescent="0.35">
      <c r="A320" s="496" t="s">
        <v>4796</v>
      </c>
      <c r="B320" s="1" t="s">
        <v>5547</v>
      </c>
      <c r="C320" s="1" t="s">
        <v>3723</v>
      </c>
      <c r="D320" s="1" t="s">
        <v>7099</v>
      </c>
      <c r="E320" s="151" t="s">
        <v>4809</v>
      </c>
      <c r="F320" s="375">
        <v>16.100000000000001</v>
      </c>
      <c r="G320" s="631">
        <v>44926</v>
      </c>
      <c r="H320" s="633">
        <f>'EEG-Vergütungen und vNNE'!J$31</f>
        <v>44896</v>
      </c>
    </row>
    <row r="321" spans="1:8" s="145" customFormat="1" x14ac:dyDescent="0.35">
      <c r="A321" s="497" t="s">
        <v>4030</v>
      </c>
      <c r="B321" s="13" t="s">
        <v>5547</v>
      </c>
      <c r="C321" s="13" t="s">
        <v>3723</v>
      </c>
      <c r="D321" s="13" t="s">
        <v>7337</v>
      </c>
      <c r="E321" s="13" t="s">
        <v>4330</v>
      </c>
      <c r="F321" s="373">
        <v>19.100000000000001</v>
      </c>
      <c r="G321" s="631">
        <v>44926</v>
      </c>
      <c r="H321" s="633">
        <f>'EEG-Vergütungen und vNNE'!J$31</f>
        <v>44896</v>
      </c>
    </row>
    <row r="322" spans="1:8" s="145" customFormat="1" x14ac:dyDescent="0.35">
      <c r="A322" s="497" t="s">
        <v>2608</v>
      </c>
      <c r="B322" s="13" t="s">
        <v>5547</v>
      </c>
      <c r="C322" s="13" t="s">
        <v>3723</v>
      </c>
      <c r="D322" s="13" t="s">
        <v>7338</v>
      </c>
      <c r="E322" s="13" t="s">
        <v>674</v>
      </c>
      <c r="F322" s="373">
        <v>19.100000000000001</v>
      </c>
      <c r="G322" s="631">
        <v>44926</v>
      </c>
      <c r="H322" s="633">
        <f>'EEG-Vergütungen und vNNE'!J$31</f>
        <v>44896</v>
      </c>
    </row>
    <row r="323" spans="1:8" s="145" customFormat="1" x14ac:dyDescent="0.35">
      <c r="A323" s="497" t="s">
        <v>3232</v>
      </c>
      <c r="B323" s="13" t="s">
        <v>5547</v>
      </c>
      <c r="C323" s="13" t="s">
        <v>3723</v>
      </c>
      <c r="D323" s="13" t="s">
        <v>7339</v>
      </c>
      <c r="E323" s="13" t="s">
        <v>3566</v>
      </c>
      <c r="F323" s="373">
        <v>19.07</v>
      </c>
      <c r="G323" s="631">
        <v>44926</v>
      </c>
      <c r="H323" s="633">
        <f>'EEG-Vergütungen und vNNE'!J$31</f>
        <v>44896</v>
      </c>
    </row>
    <row r="324" spans="1:8" x14ac:dyDescent="0.35">
      <c r="A324" s="497" t="s">
        <v>5198</v>
      </c>
      <c r="B324" s="13" t="s">
        <v>5547</v>
      </c>
      <c r="C324" s="13" t="s">
        <v>3723</v>
      </c>
      <c r="D324" s="13" t="s">
        <v>7340</v>
      </c>
      <c r="E324" s="13" t="s">
        <v>3054</v>
      </c>
      <c r="F324" s="373">
        <v>19.04</v>
      </c>
      <c r="G324" s="631">
        <v>44926</v>
      </c>
      <c r="H324" s="633">
        <f>'EEG-Vergütungen und vNNE'!J$31</f>
        <v>44896</v>
      </c>
    </row>
    <row r="325" spans="1:8" x14ac:dyDescent="0.35">
      <c r="A325" s="511" t="s">
        <v>4223</v>
      </c>
      <c r="B325" s="173" t="s">
        <v>5547</v>
      </c>
      <c r="C325" s="173" t="s">
        <v>3723</v>
      </c>
      <c r="D325" s="173" t="s">
        <v>7341</v>
      </c>
      <c r="E325" s="173" t="s">
        <v>1980</v>
      </c>
      <c r="F325" s="374">
        <v>19.009999999999998</v>
      </c>
      <c r="G325" s="631">
        <v>44926</v>
      </c>
      <c r="H325" s="633">
        <f>'EEG-Vergütungen und vNNE'!J$31</f>
        <v>44896</v>
      </c>
    </row>
    <row r="326" spans="1:8" x14ac:dyDescent="0.35">
      <c r="A326" s="497" t="s">
        <v>841</v>
      </c>
      <c r="B326" s="13" t="s">
        <v>5547</v>
      </c>
      <c r="C326" s="13" t="s">
        <v>3723</v>
      </c>
      <c r="D326" s="13" t="s">
        <v>7106</v>
      </c>
      <c r="E326" s="153" t="s">
        <v>4809</v>
      </c>
      <c r="F326" s="373">
        <v>17.100000000000001</v>
      </c>
      <c r="G326" s="631">
        <v>44926</v>
      </c>
      <c r="H326" s="633">
        <f>'EEG-Vergütungen und vNNE'!J$31</f>
        <v>44896</v>
      </c>
    </row>
    <row r="327" spans="1:8" x14ac:dyDescent="0.35">
      <c r="A327" s="497" t="s">
        <v>842</v>
      </c>
      <c r="B327" s="13" t="s">
        <v>5547</v>
      </c>
      <c r="C327" s="13" t="s">
        <v>3723</v>
      </c>
      <c r="D327" s="13" t="s">
        <v>7108</v>
      </c>
      <c r="E327" s="13" t="s">
        <v>4330</v>
      </c>
      <c r="F327" s="373">
        <v>20.100000000000001</v>
      </c>
      <c r="G327" s="631">
        <v>44926</v>
      </c>
      <c r="H327" s="633">
        <f>'EEG-Vergütungen und vNNE'!J$31</f>
        <v>44896</v>
      </c>
    </row>
    <row r="328" spans="1:8" x14ac:dyDescent="0.35">
      <c r="A328" s="497" t="s">
        <v>843</v>
      </c>
      <c r="B328" s="13" t="s">
        <v>5547</v>
      </c>
      <c r="C328" s="13" t="s">
        <v>3723</v>
      </c>
      <c r="D328" s="13" t="s">
        <v>7109</v>
      </c>
      <c r="E328" s="13" t="s">
        <v>674</v>
      </c>
      <c r="F328" s="373">
        <v>20.100000000000001</v>
      </c>
      <c r="G328" s="631">
        <v>44926</v>
      </c>
      <c r="H328" s="633">
        <f>'EEG-Vergütungen und vNNE'!J$31</f>
        <v>44896</v>
      </c>
    </row>
    <row r="329" spans="1:8" x14ac:dyDescent="0.35">
      <c r="A329" s="497" t="s">
        <v>3233</v>
      </c>
      <c r="B329" s="13" t="s">
        <v>5547</v>
      </c>
      <c r="C329" s="13" t="s">
        <v>3723</v>
      </c>
      <c r="D329" s="13" t="s">
        <v>7110</v>
      </c>
      <c r="E329" s="13" t="s">
        <v>3566</v>
      </c>
      <c r="F329" s="373">
        <v>20.07</v>
      </c>
      <c r="G329" s="631">
        <v>44926</v>
      </c>
      <c r="H329" s="633">
        <f>'EEG-Vergütungen und vNNE'!J$31</f>
        <v>44896</v>
      </c>
    </row>
    <row r="330" spans="1:8" x14ac:dyDescent="0.35">
      <c r="A330" s="497" t="s">
        <v>5199</v>
      </c>
      <c r="B330" s="13" t="s">
        <v>5547</v>
      </c>
      <c r="C330" s="13" t="s">
        <v>3723</v>
      </c>
      <c r="D330" s="13" t="s">
        <v>7111</v>
      </c>
      <c r="E330" s="13" t="s">
        <v>3054</v>
      </c>
      <c r="F330" s="373">
        <v>20.04</v>
      </c>
      <c r="G330" s="631">
        <v>44926</v>
      </c>
      <c r="H330" s="633">
        <f>'EEG-Vergütungen und vNNE'!J$31</f>
        <v>44896</v>
      </c>
    </row>
    <row r="331" spans="1:8" x14ac:dyDescent="0.35">
      <c r="A331" s="511" t="s">
        <v>4224</v>
      </c>
      <c r="B331" s="173" t="s">
        <v>5547</v>
      </c>
      <c r="C331" s="173" t="s">
        <v>3723</v>
      </c>
      <c r="D331" s="173" t="s">
        <v>7112</v>
      </c>
      <c r="E331" s="173" t="s">
        <v>1980</v>
      </c>
      <c r="F331" s="374">
        <v>20.009999999999998</v>
      </c>
      <c r="G331" s="631">
        <v>44926</v>
      </c>
      <c r="H331" s="633">
        <f>'EEG-Vergütungen und vNNE'!J$31</f>
        <v>44896</v>
      </c>
    </row>
    <row r="332" spans="1:8" x14ac:dyDescent="0.35">
      <c r="A332" s="497" t="s">
        <v>4618</v>
      </c>
      <c r="B332" s="13" t="s">
        <v>5547</v>
      </c>
      <c r="C332" s="13" t="s">
        <v>3723</v>
      </c>
      <c r="D332" s="13" t="s">
        <v>7029</v>
      </c>
      <c r="E332" s="13" t="s">
        <v>4809</v>
      </c>
      <c r="F332" s="373">
        <v>17.100000000000001</v>
      </c>
      <c r="G332" s="631">
        <v>44926</v>
      </c>
      <c r="H332" s="633">
        <f>'EEG-Vergütungen und vNNE'!J$31</f>
        <v>44896</v>
      </c>
    </row>
    <row r="333" spans="1:8" x14ac:dyDescent="0.35">
      <c r="A333" s="497" t="s">
        <v>4619</v>
      </c>
      <c r="B333" s="13" t="s">
        <v>5547</v>
      </c>
      <c r="C333" s="13" t="s">
        <v>3723</v>
      </c>
      <c r="D333" s="13" t="s">
        <v>7030</v>
      </c>
      <c r="E333" s="13" t="s">
        <v>4330</v>
      </c>
      <c r="F333" s="373">
        <v>20.100000000000001</v>
      </c>
      <c r="G333" s="631">
        <v>44926</v>
      </c>
      <c r="H333" s="633">
        <f>'EEG-Vergütungen und vNNE'!J$31</f>
        <v>44896</v>
      </c>
    </row>
    <row r="334" spans="1:8" x14ac:dyDescent="0.35">
      <c r="A334" s="497" t="s">
        <v>4620</v>
      </c>
      <c r="B334" s="13" t="s">
        <v>5547</v>
      </c>
      <c r="C334" s="13" t="s">
        <v>3723</v>
      </c>
      <c r="D334" s="13" t="s">
        <v>7031</v>
      </c>
      <c r="E334" s="13" t="s">
        <v>674</v>
      </c>
      <c r="F334" s="373">
        <v>20.100000000000001</v>
      </c>
      <c r="G334" s="631">
        <v>44926</v>
      </c>
      <c r="H334" s="633">
        <f>'EEG-Vergütungen und vNNE'!J$31</f>
        <v>44896</v>
      </c>
    </row>
    <row r="335" spans="1:8" x14ac:dyDescent="0.35">
      <c r="A335" s="497" t="s">
        <v>3234</v>
      </c>
      <c r="B335" s="13" t="s">
        <v>5547</v>
      </c>
      <c r="C335" s="13" t="s">
        <v>3723</v>
      </c>
      <c r="D335" s="13" t="s">
        <v>7032</v>
      </c>
      <c r="E335" s="13" t="s">
        <v>3566</v>
      </c>
      <c r="F335" s="373">
        <v>20.07</v>
      </c>
      <c r="G335" s="631">
        <v>44926</v>
      </c>
      <c r="H335" s="633">
        <f>'EEG-Vergütungen und vNNE'!J$31</f>
        <v>44896</v>
      </c>
    </row>
    <row r="336" spans="1:8" x14ac:dyDescent="0.35">
      <c r="A336" s="497" t="s">
        <v>5200</v>
      </c>
      <c r="B336" s="13" t="s">
        <v>5547</v>
      </c>
      <c r="C336" s="13" t="s">
        <v>3723</v>
      </c>
      <c r="D336" s="13" t="s">
        <v>7033</v>
      </c>
      <c r="E336" s="13" t="s">
        <v>3054</v>
      </c>
      <c r="F336" s="373">
        <v>20.04</v>
      </c>
      <c r="G336" s="631">
        <v>44926</v>
      </c>
      <c r="H336" s="633">
        <f>'EEG-Vergütungen und vNNE'!J$31</f>
        <v>44896</v>
      </c>
    </row>
    <row r="337" spans="1:8" x14ac:dyDescent="0.35">
      <c r="A337" s="511" t="s">
        <v>4225</v>
      </c>
      <c r="B337" s="173" t="s">
        <v>5547</v>
      </c>
      <c r="C337" s="173" t="s">
        <v>3723</v>
      </c>
      <c r="D337" s="173" t="s">
        <v>7034</v>
      </c>
      <c r="E337" s="173" t="s">
        <v>1980</v>
      </c>
      <c r="F337" s="374">
        <v>20.009999999999998</v>
      </c>
      <c r="G337" s="631">
        <v>44926</v>
      </c>
      <c r="H337" s="633">
        <f>'EEG-Vergütungen und vNNE'!J$31</f>
        <v>44896</v>
      </c>
    </row>
    <row r="338" spans="1:8" x14ac:dyDescent="0.35">
      <c r="A338" s="497" t="s">
        <v>4621</v>
      </c>
      <c r="B338" s="13" t="s">
        <v>5547</v>
      </c>
      <c r="C338" s="13" t="s">
        <v>3723</v>
      </c>
      <c r="D338" s="13" t="s">
        <v>7035</v>
      </c>
      <c r="E338" s="13" t="s">
        <v>4809</v>
      </c>
      <c r="F338" s="373">
        <v>18.100000000000001</v>
      </c>
      <c r="G338" s="631">
        <v>44926</v>
      </c>
      <c r="H338" s="633">
        <f>'EEG-Vergütungen und vNNE'!J$31</f>
        <v>44896</v>
      </c>
    </row>
    <row r="339" spans="1:8" x14ac:dyDescent="0.35">
      <c r="A339" s="497" t="s">
        <v>4622</v>
      </c>
      <c r="B339" s="13" t="s">
        <v>5547</v>
      </c>
      <c r="C339" s="13" t="s">
        <v>3723</v>
      </c>
      <c r="D339" s="88" t="s">
        <v>7036</v>
      </c>
      <c r="E339" s="13" t="s">
        <v>4330</v>
      </c>
      <c r="F339" s="373">
        <v>21.1</v>
      </c>
      <c r="G339" s="631">
        <v>44926</v>
      </c>
      <c r="H339" s="633">
        <f>'EEG-Vergütungen und vNNE'!J$31</f>
        <v>44896</v>
      </c>
    </row>
    <row r="340" spans="1:8" x14ac:dyDescent="0.35">
      <c r="A340" s="497" t="s">
        <v>4623</v>
      </c>
      <c r="B340" s="13" t="s">
        <v>5547</v>
      </c>
      <c r="C340" s="13" t="s">
        <v>3723</v>
      </c>
      <c r="D340" s="13" t="s">
        <v>7037</v>
      </c>
      <c r="E340" s="13" t="s">
        <v>674</v>
      </c>
      <c r="F340" s="373">
        <v>21.1</v>
      </c>
      <c r="G340" s="631">
        <v>44926</v>
      </c>
      <c r="H340" s="633">
        <f>'EEG-Vergütungen und vNNE'!J$31</f>
        <v>44896</v>
      </c>
    </row>
    <row r="341" spans="1:8" x14ac:dyDescent="0.35">
      <c r="A341" s="497" t="s">
        <v>3235</v>
      </c>
      <c r="B341" s="13" t="s">
        <v>5547</v>
      </c>
      <c r="C341" s="13" t="s">
        <v>3723</v>
      </c>
      <c r="D341" s="13" t="s">
        <v>7038</v>
      </c>
      <c r="E341" s="13" t="s">
        <v>3566</v>
      </c>
      <c r="F341" s="373">
        <v>21.07</v>
      </c>
      <c r="G341" s="631">
        <v>44926</v>
      </c>
      <c r="H341" s="633">
        <f>'EEG-Vergütungen und vNNE'!J$31</f>
        <v>44896</v>
      </c>
    </row>
    <row r="342" spans="1:8" x14ac:dyDescent="0.35">
      <c r="A342" s="497" t="s">
        <v>5201</v>
      </c>
      <c r="B342" s="13" t="s">
        <v>5547</v>
      </c>
      <c r="C342" s="13" t="s">
        <v>3723</v>
      </c>
      <c r="D342" s="13" t="s">
        <v>7039</v>
      </c>
      <c r="E342" s="13" t="s">
        <v>3054</v>
      </c>
      <c r="F342" s="373">
        <v>21.04</v>
      </c>
      <c r="G342" s="631">
        <v>44926</v>
      </c>
      <c r="H342" s="633">
        <f>'EEG-Vergütungen und vNNE'!J$31</f>
        <v>44896</v>
      </c>
    </row>
    <row r="343" spans="1:8" x14ac:dyDescent="0.35">
      <c r="A343" s="511" t="s">
        <v>4226</v>
      </c>
      <c r="B343" s="173" t="s">
        <v>5547</v>
      </c>
      <c r="C343" s="173" t="s">
        <v>3723</v>
      </c>
      <c r="D343" s="173" t="s">
        <v>7040</v>
      </c>
      <c r="E343" s="173" t="s">
        <v>1980</v>
      </c>
      <c r="F343" s="374">
        <v>21.009999999999998</v>
      </c>
      <c r="G343" s="631">
        <v>44926</v>
      </c>
      <c r="H343" s="633">
        <f>'EEG-Vergütungen und vNNE'!J$31</f>
        <v>44896</v>
      </c>
    </row>
    <row r="344" spans="1:8" x14ac:dyDescent="0.35">
      <c r="A344" s="497" t="s">
        <v>4624</v>
      </c>
      <c r="B344" s="13" t="s">
        <v>5547</v>
      </c>
      <c r="C344" s="13" t="s">
        <v>3723</v>
      </c>
      <c r="D344" s="13" t="s">
        <v>7041</v>
      </c>
      <c r="E344" s="13" t="s">
        <v>4809</v>
      </c>
      <c r="F344" s="373">
        <v>18.100000000000001</v>
      </c>
      <c r="G344" s="631">
        <v>44926</v>
      </c>
      <c r="H344" s="633">
        <f>'EEG-Vergütungen und vNNE'!J$31</f>
        <v>44896</v>
      </c>
    </row>
    <row r="345" spans="1:8" x14ac:dyDescent="0.35">
      <c r="A345" s="497" t="s">
        <v>4625</v>
      </c>
      <c r="B345" s="13" t="s">
        <v>5547</v>
      </c>
      <c r="C345" s="13" t="s">
        <v>3723</v>
      </c>
      <c r="D345" s="13" t="s">
        <v>7042</v>
      </c>
      <c r="E345" s="13" t="s">
        <v>4330</v>
      </c>
      <c r="F345" s="373">
        <v>21.1</v>
      </c>
      <c r="G345" s="631">
        <v>44926</v>
      </c>
      <c r="H345" s="633">
        <f>'EEG-Vergütungen und vNNE'!J$31</f>
        <v>44896</v>
      </c>
    </row>
    <row r="346" spans="1:8" x14ac:dyDescent="0.35">
      <c r="A346" s="497" t="s">
        <v>4095</v>
      </c>
      <c r="B346" s="13" t="s">
        <v>5547</v>
      </c>
      <c r="C346" s="13" t="s">
        <v>3723</v>
      </c>
      <c r="D346" s="13" t="s">
        <v>7043</v>
      </c>
      <c r="E346" s="13" t="s">
        <v>674</v>
      </c>
      <c r="F346" s="373">
        <v>21.1</v>
      </c>
      <c r="G346" s="631">
        <v>44926</v>
      </c>
      <c r="H346" s="633">
        <f>'EEG-Vergütungen und vNNE'!J$31</f>
        <v>44896</v>
      </c>
    </row>
    <row r="347" spans="1:8" x14ac:dyDescent="0.35">
      <c r="A347" s="497" t="s">
        <v>3236</v>
      </c>
      <c r="B347" s="13" t="s">
        <v>5547</v>
      </c>
      <c r="C347" s="13" t="s">
        <v>3723</v>
      </c>
      <c r="D347" s="13" t="s">
        <v>7044</v>
      </c>
      <c r="E347" s="13" t="s">
        <v>3566</v>
      </c>
      <c r="F347" s="373">
        <v>21.07</v>
      </c>
      <c r="G347" s="631">
        <v>44926</v>
      </c>
      <c r="H347" s="633">
        <f>'EEG-Vergütungen und vNNE'!J$31</f>
        <v>44896</v>
      </c>
    </row>
    <row r="348" spans="1:8" x14ac:dyDescent="0.35">
      <c r="A348" s="497" t="s">
        <v>5202</v>
      </c>
      <c r="B348" s="13" t="s">
        <v>5547</v>
      </c>
      <c r="C348" s="13" t="s">
        <v>3723</v>
      </c>
      <c r="D348" s="13" t="s">
        <v>7045</v>
      </c>
      <c r="E348" s="13" t="s">
        <v>3054</v>
      </c>
      <c r="F348" s="373">
        <v>21.04</v>
      </c>
      <c r="G348" s="631">
        <v>44926</v>
      </c>
      <c r="H348" s="633">
        <f>'EEG-Vergütungen und vNNE'!J$31</f>
        <v>44896</v>
      </c>
    </row>
    <row r="349" spans="1:8" x14ac:dyDescent="0.35">
      <c r="A349" s="511" t="s">
        <v>4227</v>
      </c>
      <c r="B349" s="173" t="s">
        <v>5547</v>
      </c>
      <c r="C349" s="173" t="s">
        <v>3723</v>
      </c>
      <c r="D349" s="173" t="s">
        <v>7046</v>
      </c>
      <c r="E349" s="173" t="s">
        <v>1980</v>
      </c>
      <c r="F349" s="374">
        <v>21.009999999999998</v>
      </c>
      <c r="G349" s="631">
        <v>44926</v>
      </c>
      <c r="H349" s="633">
        <f>'EEG-Vergütungen und vNNE'!J$31</f>
        <v>44896</v>
      </c>
    </row>
    <row r="350" spans="1:8" x14ac:dyDescent="0.35">
      <c r="A350" s="499" t="s">
        <v>4096</v>
      </c>
      <c r="B350" s="13" t="s">
        <v>5547</v>
      </c>
      <c r="C350" s="13" t="s">
        <v>3723</v>
      </c>
      <c r="D350" s="13" t="s">
        <v>7047</v>
      </c>
      <c r="E350" s="13" t="s">
        <v>4809</v>
      </c>
      <c r="F350" s="373">
        <v>19.100000000000001</v>
      </c>
      <c r="G350" s="631">
        <v>44926</v>
      </c>
      <c r="H350" s="633">
        <f>'EEG-Vergütungen und vNNE'!J$31</f>
        <v>44896</v>
      </c>
    </row>
    <row r="351" spans="1:8" x14ac:dyDescent="0.35">
      <c r="A351" s="499" t="s">
        <v>4097</v>
      </c>
      <c r="B351" s="13" t="s">
        <v>5547</v>
      </c>
      <c r="C351" s="13" t="s">
        <v>3723</v>
      </c>
      <c r="D351" s="88" t="s">
        <v>7048</v>
      </c>
      <c r="E351" s="13" t="s">
        <v>4330</v>
      </c>
      <c r="F351" s="373">
        <v>22.1</v>
      </c>
      <c r="G351" s="631">
        <v>44926</v>
      </c>
      <c r="H351" s="633">
        <f>'EEG-Vergütungen und vNNE'!J$31</f>
        <v>44896</v>
      </c>
    </row>
    <row r="352" spans="1:8" x14ac:dyDescent="0.35">
      <c r="A352" s="499" t="s">
        <v>4098</v>
      </c>
      <c r="B352" s="13" t="s">
        <v>5547</v>
      </c>
      <c r="C352" s="13" t="s">
        <v>3723</v>
      </c>
      <c r="D352" s="13" t="s">
        <v>7049</v>
      </c>
      <c r="E352" s="13" t="s">
        <v>674</v>
      </c>
      <c r="F352" s="373">
        <v>22.1</v>
      </c>
      <c r="G352" s="631">
        <v>44926</v>
      </c>
      <c r="H352" s="633">
        <f>'EEG-Vergütungen und vNNE'!J$31</f>
        <v>44896</v>
      </c>
    </row>
    <row r="353" spans="1:8" x14ac:dyDescent="0.35">
      <c r="A353" s="499" t="s">
        <v>3237</v>
      </c>
      <c r="B353" s="13" t="s">
        <v>5547</v>
      </c>
      <c r="C353" s="13" t="s">
        <v>3723</v>
      </c>
      <c r="D353" s="13" t="s">
        <v>7050</v>
      </c>
      <c r="E353" s="13" t="s">
        <v>3566</v>
      </c>
      <c r="F353" s="373">
        <v>22.07</v>
      </c>
      <c r="G353" s="631">
        <v>44926</v>
      </c>
      <c r="H353" s="633">
        <f>'EEG-Vergütungen und vNNE'!J$31</f>
        <v>44896</v>
      </c>
    </row>
    <row r="354" spans="1:8" x14ac:dyDescent="0.35">
      <c r="A354" s="499" t="s">
        <v>5203</v>
      </c>
      <c r="B354" s="13" t="s">
        <v>5547</v>
      </c>
      <c r="C354" s="13" t="s">
        <v>3723</v>
      </c>
      <c r="D354" s="13" t="s">
        <v>7051</v>
      </c>
      <c r="E354" s="13" t="s">
        <v>3054</v>
      </c>
      <c r="F354" s="373">
        <v>22.04</v>
      </c>
      <c r="G354" s="631">
        <v>44926</v>
      </c>
      <c r="H354" s="633">
        <f>'EEG-Vergütungen und vNNE'!J$31</f>
        <v>44896</v>
      </c>
    </row>
    <row r="355" spans="1:8" x14ac:dyDescent="0.35">
      <c r="A355" s="512" t="s">
        <v>4228</v>
      </c>
      <c r="B355" s="173" t="s">
        <v>5547</v>
      </c>
      <c r="C355" s="173" t="s">
        <v>3723</v>
      </c>
      <c r="D355" s="173" t="s">
        <v>7052</v>
      </c>
      <c r="E355" s="173" t="s">
        <v>1980</v>
      </c>
      <c r="F355" s="374">
        <v>22.009999999999998</v>
      </c>
      <c r="G355" s="631">
        <v>44926</v>
      </c>
      <c r="H355" s="633">
        <f>'EEG-Vergütungen und vNNE'!J$31</f>
        <v>44896</v>
      </c>
    </row>
    <row r="356" spans="1:8" x14ac:dyDescent="0.35">
      <c r="A356" s="499" t="s">
        <v>4099</v>
      </c>
      <c r="B356" s="13" t="s">
        <v>5547</v>
      </c>
      <c r="C356" s="13" t="s">
        <v>3723</v>
      </c>
      <c r="D356" s="13" t="s">
        <v>7053</v>
      </c>
      <c r="E356" s="13" t="s">
        <v>4809</v>
      </c>
      <c r="F356" s="373">
        <v>19.100000000000001</v>
      </c>
      <c r="G356" s="631">
        <v>44926</v>
      </c>
      <c r="H356" s="633">
        <f>'EEG-Vergütungen und vNNE'!J$31</f>
        <v>44896</v>
      </c>
    </row>
    <row r="357" spans="1:8" x14ac:dyDescent="0.35">
      <c r="A357" s="499" t="s">
        <v>4100</v>
      </c>
      <c r="B357" s="13" t="s">
        <v>5547</v>
      </c>
      <c r="C357" s="13" t="s">
        <v>3723</v>
      </c>
      <c r="D357" s="13" t="s">
        <v>7054</v>
      </c>
      <c r="E357" s="13" t="s">
        <v>4330</v>
      </c>
      <c r="F357" s="373">
        <v>22.1</v>
      </c>
      <c r="G357" s="631">
        <v>44926</v>
      </c>
      <c r="H357" s="633">
        <f>'EEG-Vergütungen und vNNE'!J$31</f>
        <v>44896</v>
      </c>
    </row>
    <row r="358" spans="1:8" x14ac:dyDescent="0.35">
      <c r="A358" s="499" t="s">
        <v>4101</v>
      </c>
      <c r="B358" s="13" t="s">
        <v>5547</v>
      </c>
      <c r="C358" s="13" t="s">
        <v>3723</v>
      </c>
      <c r="D358" s="13" t="s">
        <v>7055</v>
      </c>
      <c r="E358" s="13" t="s">
        <v>674</v>
      </c>
      <c r="F358" s="373">
        <v>22.1</v>
      </c>
      <c r="G358" s="631">
        <v>44926</v>
      </c>
      <c r="H358" s="633">
        <f>'EEG-Vergütungen und vNNE'!J$31</f>
        <v>44896</v>
      </c>
    </row>
    <row r="359" spans="1:8" x14ac:dyDescent="0.35">
      <c r="A359" s="499" t="s">
        <v>3238</v>
      </c>
      <c r="B359" s="13" t="s">
        <v>5547</v>
      </c>
      <c r="C359" s="13" t="s">
        <v>3723</v>
      </c>
      <c r="D359" s="13" t="s">
        <v>7056</v>
      </c>
      <c r="E359" s="13" t="s">
        <v>3566</v>
      </c>
      <c r="F359" s="373">
        <v>22.07</v>
      </c>
      <c r="G359" s="631">
        <v>44926</v>
      </c>
      <c r="H359" s="633">
        <f>'EEG-Vergütungen und vNNE'!J$31</f>
        <v>44896</v>
      </c>
    </row>
    <row r="360" spans="1:8" x14ac:dyDescent="0.35">
      <c r="A360" s="497" t="s">
        <v>5204</v>
      </c>
      <c r="B360" s="13" t="s">
        <v>5547</v>
      </c>
      <c r="C360" s="13" t="s">
        <v>3723</v>
      </c>
      <c r="D360" s="13" t="s">
        <v>7057</v>
      </c>
      <c r="E360" s="13" t="s">
        <v>3054</v>
      </c>
      <c r="F360" s="373">
        <v>22.04</v>
      </c>
      <c r="G360" s="631">
        <v>44926</v>
      </c>
      <c r="H360" s="633">
        <f>'EEG-Vergütungen und vNNE'!J$31</f>
        <v>44896</v>
      </c>
    </row>
    <row r="361" spans="1:8" x14ac:dyDescent="0.35">
      <c r="A361" s="511" t="s">
        <v>4229</v>
      </c>
      <c r="B361" s="173" t="s">
        <v>5547</v>
      </c>
      <c r="C361" s="173" t="s">
        <v>3723</v>
      </c>
      <c r="D361" s="173" t="s">
        <v>7058</v>
      </c>
      <c r="E361" s="173" t="s">
        <v>1980</v>
      </c>
      <c r="F361" s="374">
        <v>22.009999999999998</v>
      </c>
      <c r="G361" s="631">
        <v>44926</v>
      </c>
      <c r="H361" s="633">
        <f>'EEG-Vergütungen und vNNE'!J$31</f>
        <v>44896</v>
      </c>
    </row>
    <row r="362" spans="1:8" x14ac:dyDescent="0.35">
      <c r="A362" s="497" t="s">
        <v>4102</v>
      </c>
      <c r="B362" s="13" t="s">
        <v>5547</v>
      </c>
      <c r="C362" s="13" t="s">
        <v>3723</v>
      </c>
      <c r="D362" s="13" t="s">
        <v>7059</v>
      </c>
      <c r="E362" s="13" t="s">
        <v>4809</v>
      </c>
      <c r="F362" s="373">
        <v>20.100000000000001</v>
      </c>
      <c r="G362" s="631">
        <v>44926</v>
      </c>
      <c r="H362" s="633">
        <f>'EEG-Vergütungen und vNNE'!J$31</f>
        <v>44896</v>
      </c>
    </row>
    <row r="363" spans="1:8" x14ac:dyDescent="0.35">
      <c r="A363" s="497" t="s">
        <v>4103</v>
      </c>
      <c r="B363" s="13" t="s">
        <v>5547</v>
      </c>
      <c r="C363" s="13" t="s">
        <v>3723</v>
      </c>
      <c r="D363" s="88" t="s">
        <v>7060</v>
      </c>
      <c r="E363" s="13" t="s">
        <v>4330</v>
      </c>
      <c r="F363" s="373">
        <v>23.1</v>
      </c>
      <c r="G363" s="631">
        <v>44926</v>
      </c>
      <c r="H363" s="633">
        <f>'EEG-Vergütungen und vNNE'!J$31</f>
        <v>44896</v>
      </c>
    </row>
    <row r="364" spans="1:8" x14ac:dyDescent="0.35">
      <c r="A364" s="499" t="s">
        <v>4104</v>
      </c>
      <c r="B364" s="13" t="s">
        <v>5547</v>
      </c>
      <c r="C364" s="13" t="s">
        <v>3723</v>
      </c>
      <c r="D364" s="13" t="s">
        <v>7061</v>
      </c>
      <c r="E364" s="13" t="s">
        <v>674</v>
      </c>
      <c r="F364" s="373">
        <v>23.1</v>
      </c>
      <c r="G364" s="631">
        <v>44926</v>
      </c>
      <c r="H364" s="633">
        <f>'EEG-Vergütungen und vNNE'!J$31</f>
        <v>44896</v>
      </c>
    </row>
    <row r="365" spans="1:8" x14ac:dyDescent="0.35">
      <c r="A365" s="497" t="s">
        <v>3239</v>
      </c>
      <c r="B365" s="13" t="s">
        <v>5547</v>
      </c>
      <c r="C365" s="13" t="s">
        <v>3723</v>
      </c>
      <c r="D365" s="13" t="s">
        <v>7062</v>
      </c>
      <c r="E365" s="13" t="s">
        <v>3566</v>
      </c>
      <c r="F365" s="373">
        <v>23.07</v>
      </c>
      <c r="G365" s="631">
        <v>44926</v>
      </c>
      <c r="H365" s="633">
        <f>'EEG-Vergütungen und vNNE'!J$31</f>
        <v>44896</v>
      </c>
    </row>
    <row r="366" spans="1:8" x14ac:dyDescent="0.35">
      <c r="A366" s="497" t="s">
        <v>5205</v>
      </c>
      <c r="B366" s="13" t="s">
        <v>5547</v>
      </c>
      <c r="C366" s="13" t="s">
        <v>3723</v>
      </c>
      <c r="D366" s="13" t="s">
        <v>7063</v>
      </c>
      <c r="E366" s="13" t="s">
        <v>3054</v>
      </c>
      <c r="F366" s="373">
        <v>23.04</v>
      </c>
      <c r="G366" s="631">
        <v>44926</v>
      </c>
      <c r="H366" s="633">
        <f>'EEG-Vergütungen und vNNE'!J$31</f>
        <v>44896</v>
      </c>
    </row>
    <row r="367" spans="1:8" x14ac:dyDescent="0.35">
      <c r="A367" s="511" t="s">
        <v>4230</v>
      </c>
      <c r="B367" s="173" t="s">
        <v>5547</v>
      </c>
      <c r="C367" s="173" t="s">
        <v>3723</v>
      </c>
      <c r="D367" s="173" t="s">
        <v>7064</v>
      </c>
      <c r="E367" s="173" t="s">
        <v>1980</v>
      </c>
      <c r="F367" s="374">
        <v>23.009999999999998</v>
      </c>
      <c r="G367" s="631">
        <v>44926</v>
      </c>
      <c r="H367" s="633">
        <f>'EEG-Vergütungen und vNNE'!J$31</f>
        <v>44896</v>
      </c>
    </row>
    <row r="368" spans="1:8" x14ac:dyDescent="0.35">
      <c r="A368" s="497" t="s">
        <v>4105</v>
      </c>
      <c r="B368" s="13" t="s">
        <v>5547</v>
      </c>
      <c r="C368" s="13" t="s">
        <v>3723</v>
      </c>
      <c r="D368" s="13" t="s">
        <v>7065</v>
      </c>
      <c r="E368" s="13" t="s">
        <v>4809</v>
      </c>
      <c r="F368" s="373">
        <v>20.100000000000001</v>
      </c>
      <c r="G368" s="631">
        <v>44926</v>
      </c>
      <c r="H368" s="633">
        <f>'EEG-Vergütungen und vNNE'!J$31</f>
        <v>44896</v>
      </c>
    </row>
    <row r="369" spans="1:8" s="145" customFormat="1" x14ac:dyDescent="0.35">
      <c r="A369" s="497" t="s">
        <v>4106</v>
      </c>
      <c r="B369" s="13" t="s">
        <v>5547</v>
      </c>
      <c r="C369" s="13" t="s">
        <v>3723</v>
      </c>
      <c r="D369" s="13" t="s">
        <v>7066</v>
      </c>
      <c r="E369" s="13" t="s">
        <v>4330</v>
      </c>
      <c r="F369" s="373">
        <v>23.1</v>
      </c>
      <c r="G369" s="631">
        <v>44926</v>
      </c>
      <c r="H369" s="633">
        <f>'EEG-Vergütungen und vNNE'!J$31</f>
        <v>44896</v>
      </c>
    </row>
    <row r="370" spans="1:8" s="145" customFormat="1" x14ac:dyDescent="0.35">
      <c r="A370" s="497" t="s">
        <v>4107</v>
      </c>
      <c r="B370" s="13" t="s">
        <v>5547</v>
      </c>
      <c r="C370" s="13" t="s">
        <v>3723</v>
      </c>
      <c r="D370" s="13" t="s">
        <v>7067</v>
      </c>
      <c r="E370" s="13" t="s">
        <v>674</v>
      </c>
      <c r="F370" s="373">
        <v>23.1</v>
      </c>
      <c r="G370" s="631">
        <v>44926</v>
      </c>
      <c r="H370" s="633">
        <f>'EEG-Vergütungen und vNNE'!J$31</f>
        <v>44896</v>
      </c>
    </row>
    <row r="371" spans="1:8" s="145" customFormat="1" x14ac:dyDescent="0.35">
      <c r="A371" s="497" t="s">
        <v>3240</v>
      </c>
      <c r="B371" s="13" t="s">
        <v>5547</v>
      </c>
      <c r="C371" s="13" t="s">
        <v>3723</v>
      </c>
      <c r="D371" s="13" t="s">
        <v>7068</v>
      </c>
      <c r="E371" s="13" t="s">
        <v>3566</v>
      </c>
      <c r="F371" s="373">
        <v>23.07</v>
      </c>
      <c r="G371" s="631">
        <v>44926</v>
      </c>
      <c r="H371" s="633">
        <f>'EEG-Vergütungen und vNNE'!J$31</f>
        <v>44896</v>
      </c>
    </row>
    <row r="372" spans="1:8" s="145" customFormat="1" x14ac:dyDescent="0.35">
      <c r="A372" s="497" t="s">
        <v>5206</v>
      </c>
      <c r="B372" s="13" t="s">
        <v>5547</v>
      </c>
      <c r="C372" s="13" t="s">
        <v>3723</v>
      </c>
      <c r="D372" s="13" t="s">
        <v>7069</v>
      </c>
      <c r="E372" s="13" t="s">
        <v>3054</v>
      </c>
      <c r="F372" s="373">
        <v>23.04</v>
      </c>
      <c r="G372" s="631">
        <v>44926</v>
      </c>
      <c r="H372" s="633">
        <f>'EEG-Vergütungen und vNNE'!J$31</f>
        <v>44896</v>
      </c>
    </row>
    <row r="373" spans="1:8" s="145" customFormat="1" x14ac:dyDescent="0.35">
      <c r="A373" s="511" t="s">
        <v>3513</v>
      </c>
      <c r="B373" s="173" t="s">
        <v>5547</v>
      </c>
      <c r="C373" s="173" t="s">
        <v>3723</v>
      </c>
      <c r="D373" s="173" t="s">
        <v>7070</v>
      </c>
      <c r="E373" s="173" t="s">
        <v>1980</v>
      </c>
      <c r="F373" s="374">
        <v>23.009999999999998</v>
      </c>
      <c r="G373" s="631">
        <v>44926</v>
      </c>
      <c r="H373" s="633">
        <f>'EEG-Vergütungen und vNNE'!J$31</f>
        <v>44896</v>
      </c>
    </row>
    <row r="374" spans="1:8" s="145" customFormat="1" x14ac:dyDescent="0.35">
      <c r="A374" s="497" t="s">
        <v>4108</v>
      </c>
      <c r="B374" s="13" t="s">
        <v>5547</v>
      </c>
      <c r="C374" s="13" t="s">
        <v>3723</v>
      </c>
      <c r="D374" s="13" t="s">
        <v>7071</v>
      </c>
      <c r="E374" s="13" t="s">
        <v>4809</v>
      </c>
      <c r="F374" s="373">
        <v>21.1</v>
      </c>
      <c r="G374" s="631">
        <v>44926</v>
      </c>
      <c r="H374" s="633">
        <f>'EEG-Vergütungen und vNNE'!J$31</f>
        <v>44896</v>
      </c>
    </row>
    <row r="375" spans="1:8" s="145" customFormat="1" x14ac:dyDescent="0.35">
      <c r="A375" s="497" t="s">
        <v>4109</v>
      </c>
      <c r="B375" s="13" t="s">
        <v>5547</v>
      </c>
      <c r="C375" s="13" t="s">
        <v>3723</v>
      </c>
      <c r="D375" s="88" t="s">
        <v>7072</v>
      </c>
      <c r="E375" s="13" t="s">
        <v>4330</v>
      </c>
      <c r="F375" s="373">
        <v>24.1</v>
      </c>
      <c r="G375" s="631">
        <v>44926</v>
      </c>
      <c r="H375" s="633">
        <f>'EEG-Vergütungen und vNNE'!J$31</f>
        <v>44896</v>
      </c>
    </row>
    <row r="376" spans="1:8" s="145" customFormat="1" x14ac:dyDescent="0.35">
      <c r="A376" s="497" t="s">
        <v>4110</v>
      </c>
      <c r="B376" s="13" t="s">
        <v>5547</v>
      </c>
      <c r="C376" s="13" t="s">
        <v>3723</v>
      </c>
      <c r="D376" s="13" t="s">
        <v>7073</v>
      </c>
      <c r="E376" s="13" t="s">
        <v>674</v>
      </c>
      <c r="F376" s="373">
        <v>24.1</v>
      </c>
      <c r="G376" s="631">
        <v>44926</v>
      </c>
      <c r="H376" s="633">
        <f>'EEG-Vergütungen und vNNE'!J$31</f>
        <v>44896</v>
      </c>
    </row>
    <row r="377" spans="1:8" s="145" customFormat="1" x14ac:dyDescent="0.35">
      <c r="A377" s="497" t="s">
        <v>3241</v>
      </c>
      <c r="B377" s="13" t="s">
        <v>5547</v>
      </c>
      <c r="C377" s="13" t="s">
        <v>3723</v>
      </c>
      <c r="D377" s="13" t="s">
        <v>7074</v>
      </c>
      <c r="E377" s="13" t="s">
        <v>3566</v>
      </c>
      <c r="F377" s="373">
        <v>24.07</v>
      </c>
      <c r="G377" s="631">
        <v>44926</v>
      </c>
      <c r="H377" s="633">
        <f>'EEG-Vergütungen und vNNE'!J$31</f>
        <v>44896</v>
      </c>
    </row>
    <row r="378" spans="1:8" s="145" customFormat="1" x14ac:dyDescent="0.35">
      <c r="A378" s="497" t="s">
        <v>5207</v>
      </c>
      <c r="B378" s="13" t="s">
        <v>5547</v>
      </c>
      <c r="C378" s="13" t="s">
        <v>3723</v>
      </c>
      <c r="D378" s="13" t="s">
        <v>7075</v>
      </c>
      <c r="E378" s="13" t="s">
        <v>3054</v>
      </c>
      <c r="F378" s="373">
        <v>24.04</v>
      </c>
      <c r="G378" s="631">
        <v>44926</v>
      </c>
      <c r="H378" s="633">
        <f>'EEG-Vergütungen und vNNE'!J$31</f>
        <v>44896</v>
      </c>
    </row>
    <row r="379" spans="1:8" s="145" customFormat="1" x14ac:dyDescent="0.35">
      <c r="A379" s="511" t="s">
        <v>3514</v>
      </c>
      <c r="B379" s="173" t="s">
        <v>5547</v>
      </c>
      <c r="C379" s="173" t="s">
        <v>3723</v>
      </c>
      <c r="D379" s="173" t="s">
        <v>7076</v>
      </c>
      <c r="E379" s="173" t="s">
        <v>1980</v>
      </c>
      <c r="F379" s="374">
        <v>24.009999999999998</v>
      </c>
      <c r="G379" s="631">
        <v>44926</v>
      </c>
      <c r="H379" s="633">
        <f>'EEG-Vergütungen und vNNE'!J$31</f>
        <v>44896</v>
      </c>
    </row>
    <row r="380" spans="1:8" s="145" customFormat="1" x14ac:dyDescent="0.35">
      <c r="A380" s="496" t="s">
        <v>4797</v>
      </c>
      <c r="B380" s="1" t="s">
        <v>5547</v>
      </c>
      <c r="C380" s="1" t="s">
        <v>3723</v>
      </c>
      <c r="D380" s="1" t="s">
        <v>5407</v>
      </c>
      <c r="E380" s="151" t="s">
        <v>4809</v>
      </c>
      <c r="F380" s="375">
        <v>9.1</v>
      </c>
      <c r="G380" s="631">
        <v>44926</v>
      </c>
      <c r="H380" s="633">
        <f>'EEG-Vergütungen und vNNE'!J$31</f>
        <v>44896</v>
      </c>
    </row>
    <row r="381" spans="1:8" s="145" customFormat="1" x14ac:dyDescent="0.35">
      <c r="A381" s="497" t="s">
        <v>2609</v>
      </c>
      <c r="B381" s="13" t="s">
        <v>5547</v>
      </c>
      <c r="C381" s="13" t="s">
        <v>3723</v>
      </c>
      <c r="D381" s="13" t="s">
        <v>6749</v>
      </c>
      <c r="E381" s="13" t="s">
        <v>674</v>
      </c>
      <c r="F381" s="373">
        <v>12.1</v>
      </c>
      <c r="G381" s="631">
        <v>44926</v>
      </c>
      <c r="H381" s="633">
        <f>'EEG-Vergütungen und vNNE'!J$31</f>
        <v>44896</v>
      </c>
    </row>
    <row r="382" spans="1:8" s="145" customFormat="1" x14ac:dyDescent="0.35">
      <c r="A382" s="497" t="s">
        <v>3242</v>
      </c>
      <c r="B382" s="13" t="s">
        <v>5547</v>
      </c>
      <c r="C382" s="13" t="s">
        <v>3723</v>
      </c>
      <c r="D382" s="13" t="s">
        <v>6750</v>
      </c>
      <c r="E382" s="13" t="s">
        <v>3566</v>
      </c>
      <c r="F382" s="373">
        <v>12.07</v>
      </c>
      <c r="G382" s="631">
        <v>44926</v>
      </c>
      <c r="H382" s="633">
        <f>'EEG-Vergütungen und vNNE'!J$31</f>
        <v>44896</v>
      </c>
    </row>
    <row r="383" spans="1:8" s="145" customFormat="1" x14ac:dyDescent="0.35">
      <c r="A383" s="497" t="s">
        <v>5208</v>
      </c>
      <c r="B383" s="13" t="s">
        <v>5547</v>
      </c>
      <c r="C383" s="13" t="s">
        <v>3723</v>
      </c>
      <c r="D383" s="13" t="s">
        <v>6751</v>
      </c>
      <c r="E383" s="13" t="s">
        <v>3054</v>
      </c>
      <c r="F383" s="373">
        <v>12.04</v>
      </c>
      <c r="G383" s="631">
        <v>44926</v>
      </c>
      <c r="H383" s="633">
        <f>'EEG-Vergütungen und vNNE'!J$31</f>
        <v>44896</v>
      </c>
    </row>
    <row r="384" spans="1:8" s="145" customFormat="1" x14ac:dyDescent="0.35">
      <c r="A384" s="511" t="s">
        <v>3515</v>
      </c>
      <c r="B384" s="173" t="s">
        <v>5547</v>
      </c>
      <c r="C384" s="173" t="s">
        <v>3723</v>
      </c>
      <c r="D384" s="173" t="s">
        <v>6752</v>
      </c>
      <c r="E384" s="173" t="s">
        <v>1980</v>
      </c>
      <c r="F384" s="374">
        <v>12.01</v>
      </c>
      <c r="G384" s="631">
        <v>44926</v>
      </c>
      <c r="H384" s="633">
        <f>'EEG-Vergütungen und vNNE'!J$31</f>
        <v>44896</v>
      </c>
    </row>
    <row r="385" spans="1:8" s="145" customFormat="1" x14ac:dyDescent="0.35">
      <c r="A385" s="496" t="s">
        <v>4798</v>
      </c>
      <c r="B385" s="1" t="s">
        <v>5547</v>
      </c>
      <c r="C385" s="1" t="s">
        <v>3723</v>
      </c>
      <c r="D385" s="1" t="s">
        <v>598</v>
      </c>
      <c r="E385" s="151" t="s">
        <v>4809</v>
      </c>
      <c r="F385" s="375">
        <v>13.1</v>
      </c>
      <c r="G385" s="631">
        <v>44926</v>
      </c>
      <c r="H385" s="633">
        <f>'EEG-Vergütungen und vNNE'!J$31</f>
        <v>44896</v>
      </c>
    </row>
    <row r="386" spans="1:8" s="145" customFormat="1" x14ac:dyDescent="0.35">
      <c r="A386" s="497" t="s">
        <v>2610</v>
      </c>
      <c r="B386" s="13" t="s">
        <v>5547</v>
      </c>
      <c r="C386" s="13" t="s">
        <v>3723</v>
      </c>
      <c r="D386" s="13" t="s">
        <v>6753</v>
      </c>
      <c r="E386" s="13" t="s">
        <v>674</v>
      </c>
      <c r="F386" s="373">
        <v>16.100000000000001</v>
      </c>
      <c r="G386" s="631">
        <v>44926</v>
      </c>
      <c r="H386" s="633">
        <f>'EEG-Vergütungen und vNNE'!J$31</f>
        <v>44896</v>
      </c>
    </row>
    <row r="387" spans="1:8" s="145" customFormat="1" x14ac:dyDescent="0.35">
      <c r="A387" s="497" t="s">
        <v>3243</v>
      </c>
      <c r="B387" s="13" t="s">
        <v>5547</v>
      </c>
      <c r="C387" s="13" t="s">
        <v>3723</v>
      </c>
      <c r="D387" s="13" t="s">
        <v>6754</v>
      </c>
      <c r="E387" s="13" t="s">
        <v>3566</v>
      </c>
      <c r="F387" s="373">
        <v>16.07</v>
      </c>
      <c r="G387" s="631">
        <v>44926</v>
      </c>
      <c r="H387" s="633">
        <f>'EEG-Vergütungen und vNNE'!J$31</f>
        <v>44896</v>
      </c>
    </row>
    <row r="388" spans="1:8" s="145" customFormat="1" x14ac:dyDescent="0.35">
      <c r="A388" s="497" t="s">
        <v>5209</v>
      </c>
      <c r="B388" s="13" t="s">
        <v>5547</v>
      </c>
      <c r="C388" s="13" t="s">
        <v>3723</v>
      </c>
      <c r="D388" s="13" t="s">
        <v>6755</v>
      </c>
      <c r="E388" s="13" t="s">
        <v>3054</v>
      </c>
      <c r="F388" s="373">
        <v>16.04</v>
      </c>
      <c r="G388" s="631">
        <v>44926</v>
      </c>
      <c r="H388" s="633">
        <f>'EEG-Vergütungen und vNNE'!J$31</f>
        <v>44896</v>
      </c>
    </row>
    <row r="389" spans="1:8" s="145" customFormat="1" x14ac:dyDescent="0.35">
      <c r="A389" s="511" t="s">
        <v>3516</v>
      </c>
      <c r="B389" s="173" t="s">
        <v>5547</v>
      </c>
      <c r="C389" s="173" t="s">
        <v>3723</v>
      </c>
      <c r="D389" s="173" t="s">
        <v>6756</v>
      </c>
      <c r="E389" s="173" t="s">
        <v>1980</v>
      </c>
      <c r="F389" s="374">
        <v>16.009999999999998</v>
      </c>
      <c r="G389" s="631">
        <v>44926</v>
      </c>
      <c r="H389" s="633">
        <f>'EEG-Vergütungen und vNNE'!J$31</f>
        <v>44896</v>
      </c>
    </row>
    <row r="390" spans="1:8" s="145" customFormat="1" x14ac:dyDescent="0.35">
      <c r="A390" s="496" t="s">
        <v>4799</v>
      </c>
      <c r="B390" s="1" t="s">
        <v>5547</v>
      </c>
      <c r="C390" s="1" t="s">
        <v>3723</v>
      </c>
      <c r="D390" s="1" t="s">
        <v>6757</v>
      </c>
      <c r="E390" s="151" t="s">
        <v>4809</v>
      </c>
      <c r="F390" s="375">
        <v>11.6</v>
      </c>
      <c r="G390" s="631">
        <v>44926</v>
      </c>
      <c r="H390" s="633">
        <f>'EEG-Vergütungen und vNNE'!J$31</f>
        <v>44896</v>
      </c>
    </row>
    <row r="391" spans="1:8" s="145" customFormat="1" x14ac:dyDescent="0.35">
      <c r="A391" s="497" t="s">
        <v>2611</v>
      </c>
      <c r="B391" s="13" t="s">
        <v>5547</v>
      </c>
      <c r="C391" s="13" t="s">
        <v>3723</v>
      </c>
      <c r="D391" s="13" t="s">
        <v>6758</v>
      </c>
      <c r="E391" s="13" t="s">
        <v>674</v>
      </c>
      <c r="F391" s="373">
        <v>14.6</v>
      </c>
      <c r="G391" s="631">
        <v>44926</v>
      </c>
      <c r="H391" s="633">
        <f>'EEG-Vergütungen und vNNE'!J$31</f>
        <v>44896</v>
      </c>
    </row>
    <row r="392" spans="1:8" s="145" customFormat="1" x14ac:dyDescent="0.35">
      <c r="A392" s="497" t="s">
        <v>3244</v>
      </c>
      <c r="B392" s="13" t="s">
        <v>5547</v>
      </c>
      <c r="C392" s="13" t="s">
        <v>3723</v>
      </c>
      <c r="D392" s="13" t="s">
        <v>6759</v>
      </c>
      <c r="E392" s="13" t="s">
        <v>3566</v>
      </c>
      <c r="F392" s="373">
        <v>14.57</v>
      </c>
      <c r="G392" s="631">
        <v>44926</v>
      </c>
      <c r="H392" s="633">
        <f>'EEG-Vergütungen und vNNE'!J$31</f>
        <v>44896</v>
      </c>
    </row>
    <row r="393" spans="1:8" s="145" customFormat="1" x14ac:dyDescent="0.35">
      <c r="A393" s="497" t="s">
        <v>5210</v>
      </c>
      <c r="B393" s="13" t="s">
        <v>5547</v>
      </c>
      <c r="C393" s="13" t="s">
        <v>3723</v>
      </c>
      <c r="D393" s="13" t="s">
        <v>6760</v>
      </c>
      <c r="E393" s="13" t="s">
        <v>3054</v>
      </c>
      <c r="F393" s="373">
        <v>14.54</v>
      </c>
      <c r="G393" s="631">
        <v>44926</v>
      </c>
      <c r="H393" s="633">
        <f>'EEG-Vergütungen und vNNE'!J$31</f>
        <v>44896</v>
      </c>
    </row>
    <row r="394" spans="1:8" s="145" customFormat="1" x14ac:dyDescent="0.35">
      <c r="A394" s="511" t="s">
        <v>3517</v>
      </c>
      <c r="B394" s="173" t="s">
        <v>5547</v>
      </c>
      <c r="C394" s="173" t="s">
        <v>3723</v>
      </c>
      <c r="D394" s="173" t="s">
        <v>6761</v>
      </c>
      <c r="E394" s="173" t="s">
        <v>1980</v>
      </c>
      <c r="F394" s="374">
        <v>14.51</v>
      </c>
      <c r="G394" s="631">
        <v>44926</v>
      </c>
      <c r="H394" s="633">
        <f>'EEG-Vergütungen und vNNE'!J$31</f>
        <v>44896</v>
      </c>
    </row>
    <row r="395" spans="1:8" s="145" customFormat="1" x14ac:dyDescent="0.35">
      <c r="A395" s="496" t="s">
        <v>4800</v>
      </c>
      <c r="B395" s="1" t="s">
        <v>5547</v>
      </c>
      <c r="C395" s="1" t="s">
        <v>3723</v>
      </c>
      <c r="D395" s="1" t="s">
        <v>7357</v>
      </c>
      <c r="E395" s="151" t="s">
        <v>4809</v>
      </c>
      <c r="F395" s="375">
        <v>8.6</v>
      </c>
      <c r="G395" s="631">
        <v>44926</v>
      </c>
      <c r="H395" s="633">
        <f>'EEG-Vergütungen und vNNE'!J$31</f>
        <v>44896</v>
      </c>
    </row>
    <row r="396" spans="1:8" s="145" customFormat="1" x14ac:dyDescent="0.35">
      <c r="A396" s="497" t="s">
        <v>2612</v>
      </c>
      <c r="B396" s="13" t="s">
        <v>5547</v>
      </c>
      <c r="C396" s="13" t="s">
        <v>3723</v>
      </c>
      <c r="D396" s="13" t="s">
        <v>7358</v>
      </c>
      <c r="E396" s="13" t="s">
        <v>674</v>
      </c>
      <c r="F396" s="373">
        <v>11.6</v>
      </c>
      <c r="G396" s="631">
        <v>44926</v>
      </c>
      <c r="H396" s="633">
        <f>'EEG-Vergütungen und vNNE'!J$31</f>
        <v>44896</v>
      </c>
    </row>
    <row r="397" spans="1:8" s="145" customFormat="1" x14ac:dyDescent="0.35">
      <c r="A397" s="497" t="s">
        <v>3245</v>
      </c>
      <c r="B397" s="13" t="s">
        <v>5547</v>
      </c>
      <c r="C397" s="13" t="s">
        <v>3723</v>
      </c>
      <c r="D397" s="13" t="s">
        <v>7359</v>
      </c>
      <c r="E397" s="13" t="s">
        <v>3566</v>
      </c>
      <c r="F397" s="373">
        <v>11.57</v>
      </c>
      <c r="G397" s="631">
        <v>44926</v>
      </c>
      <c r="H397" s="633">
        <f>'EEG-Vergütungen und vNNE'!J$31</f>
        <v>44896</v>
      </c>
    </row>
    <row r="398" spans="1:8" s="145" customFormat="1" x14ac:dyDescent="0.35">
      <c r="A398" s="497" t="s">
        <v>5211</v>
      </c>
      <c r="B398" s="13" t="s">
        <v>5547</v>
      </c>
      <c r="C398" s="13" t="s">
        <v>3723</v>
      </c>
      <c r="D398" s="13" t="s">
        <v>7360</v>
      </c>
      <c r="E398" s="13" t="s">
        <v>3054</v>
      </c>
      <c r="F398" s="373">
        <v>11.54</v>
      </c>
      <c r="G398" s="631">
        <v>44926</v>
      </c>
      <c r="H398" s="633">
        <f>'EEG-Vergütungen und vNNE'!J$31</f>
        <v>44896</v>
      </c>
    </row>
    <row r="399" spans="1:8" s="145" customFormat="1" x14ac:dyDescent="0.35">
      <c r="A399" s="511" t="s">
        <v>3518</v>
      </c>
      <c r="B399" s="173" t="s">
        <v>5547</v>
      </c>
      <c r="C399" s="173" t="s">
        <v>3723</v>
      </c>
      <c r="D399" s="173" t="s">
        <v>7361</v>
      </c>
      <c r="E399" s="173" t="s">
        <v>1980</v>
      </c>
      <c r="F399" s="374">
        <v>11.51</v>
      </c>
      <c r="G399" s="631">
        <v>44926</v>
      </c>
      <c r="H399" s="633">
        <f>'EEG-Vergütungen und vNNE'!J$31</f>
        <v>44896</v>
      </c>
    </row>
    <row r="400" spans="1:8" s="145" customFormat="1" x14ac:dyDescent="0.35">
      <c r="A400" s="497" t="s">
        <v>678</v>
      </c>
      <c r="B400" s="17" t="s">
        <v>5547</v>
      </c>
      <c r="C400" s="17" t="s">
        <v>3723</v>
      </c>
      <c r="D400" s="13" t="s">
        <v>7377</v>
      </c>
      <c r="E400" s="153" t="s">
        <v>4179</v>
      </c>
      <c r="F400" s="373">
        <v>7</v>
      </c>
      <c r="G400" s="631">
        <v>44926</v>
      </c>
      <c r="H400" s="633">
        <f>'EEG-Vergütungen und vNNE'!J$31</f>
        <v>44896</v>
      </c>
    </row>
    <row r="401" spans="1:8" s="145" customFormat="1" x14ac:dyDescent="0.35">
      <c r="A401" s="497" t="s">
        <v>2663</v>
      </c>
      <c r="B401" s="13" t="s">
        <v>5547</v>
      </c>
      <c r="C401" s="13" t="s">
        <v>3723</v>
      </c>
      <c r="D401" s="13" t="s">
        <v>7378</v>
      </c>
      <c r="E401" s="13" t="s">
        <v>674</v>
      </c>
      <c r="F401" s="373">
        <v>10</v>
      </c>
      <c r="G401" s="631">
        <v>44926</v>
      </c>
      <c r="H401" s="633">
        <f>'EEG-Vergütungen und vNNE'!J$31</f>
        <v>44896</v>
      </c>
    </row>
    <row r="402" spans="1:8" s="145" customFormat="1" x14ac:dyDescent="0.35">
      <c r="A402" s="497" t="s">
        <v>3246</v>
      </c>
      <c r="B402" s="13" t="s">
        <v>5547</v>
      </c>
      <c r="C402" s="13" t="s">
        <v>3723</v>
      </c>
      <c r="D402" s="13" t="s">
        <v>7379</v>
      </c>
      <c r="E402" s="13" t="s">
        <v>3566</v>
      </c>
      <c r="F402" s="373">
        <v>9.9700000000000006</v>
      </c>
      <c r="G402" s="631">
        <v>44926</v>
      </c>
      <c r="H402" s="633">
        <f>'EEG-Vergütungen und vNNE'!J$31</f>
        <v>44896</v>
      </c>
    </row>
    <row r="403" spans="1:8" s="145" customFormat="1" x14ac:dyDescent="0.35">
      <c r="A403" s="497" t="s">
        <v>5212</v>
      </c>
      <c r="B403" s="13" t="s">
        <v>5547</v>
      </c>
      <c r="C403" s="13" t="s">
        <v>3723</v>
      </c>
      <c r="D403" s="13" t="s">
        <v>7380</v>
      </c>
      <c r="E403" s="13" t="s">
        <v>3054</v>
      </c>
      <c r="F403" s="373">
        <v>9.94</v>
      </c>
      <c r="G403" s="631">
        <v>44926</v>
      </c>
      <c r="H403" s="633">
        <f>'EEG-Vergütungen und vNNE'!J$31</f>
        <v>44896</v>
      </c>
    </row>
    <row r="404" spans="1:8" s="145" customFormat="1" x14ac:dyDescent="0.35">
      <c r="A404" s="511" t="s">
        <v>3519</v>
      </c>
      <c r="B404" s="173" t="s">
        <v>5547</v>
      </c>
      <c r="C404" s="173" t="s">
        <v>3723</v>
      </c>
      <c r="D404" s="173" t="s">
        <v>7381</v>
      </c>
      <c r="E404" s="173" t="s">
        <v>1980</v>
      </c>
      <c r="F404" s="374">
        <v>9.91</v>
      </c>
      <c r="G404" s="631">
        <v>44926</v>
      </c>
      <c r="H404" s="633">
        <f>'EEG-Vergütungen und vNNE'!J$31</f>
        <v>44896</v>
      </c>
    </row>
    <row r="405" spans="1:8" s="145" customFormat="1" x14ac:dyDescent="0.35">
      <c r="A405" s="496" t="s">
        <v>4179</v>
      </c>
      <c r="B405" s="1"/>
      <c r="C405" s="1"/>
      <c r="D405" s="1" t="s">
        <v>4179</v>
      </c>
      <c r="E405" s="1" t="s">
        <v>4179</v>
      </c>
      <c r="F405" s="375"/>
    </row>
    <row r="406" spans="1:8" x14ac:dyDescent="0.35">
      <c r="A406" s="502" t="s">
        <v>2321</v>
      </c>
      <c r="B406" s="301" t="s">
        <v>5547</v>
      </c>
      <c r="C406" s="301" t="s">
        <v>3723</v>
      </c>
      <c r="D406" s="301" t="s">
        <v>7005</v>
      </c>
      <c r="E406" s="301" t="s">
        <v>2826</v>
      </c>
      <c r="F406" s="376">
        <v>14.55</v>
      </c>
      <c r="G406" s="631">
        <v>44926</v>
      </c>
      <c r="H406" s="633">
        <f>'EEG-Vergütungen und vNNE'!J$31</f>
        <v>44896</v>
      </c>
    </row>
    <row r="407" spans="1:8" x14ac:dyDescent="0.35">
      <c r="A407" s="502" t="s">
        <v>2322</v>
      </c>
      <c r="B407" s="301" t="s">
        <v>5547</v>
      </c>
      <c r="C407" s="301" t="s">
        <v>3723</v>
      </c>
      <c r="D407" s="301" t="s">
        <v>7349</v>
      </c>
      <c r="E407" s="301" t="s">
        <v>2826</v>
      </c>
      <c r="F407" s="376">
        <v>15.55</v>
      </c>
      <c r="G407" s="631">
        <v>44926</v>
      </c>
      <c r="H407" s="633">
        <f>'EEG-Vergütungen und vNNE'!J$31</f>
        <v>44896</v>
      </c>
    </row>
    <row r="408" spans="1:8" x14ac:dyDescent="0.35">
      <c r="A408" s="502" t="s">
        <v>5782</v>
      </c>
      <c r="B408" s="301" t="s">
        <v>5547</v>
      </c>
      <c r="C408" s="301" t="s">
        <v>3723</v>
      </c>
      <c r="D408" s="301" t="s">
        <v>6853</v>
      </c>
      <c r="E408" s="301" t="s">
        <v>2826</v>
      </c>
      <c r="F408" s="376">
        <v>25.55</v>
      </c>
      <c r="G408" s="631">
        <v>44926</v>
      </c>
      <c r="H408" s="633">
        <f>'EEG-Vergütungen und vNNE'!J$31</f>
        <v>44896</v>
      </c>
    </row>
    <row r="409" spans="1:8" x14ac:dyDescent="0.35">
      <c r="A409" s="502" t="s">
        <v>7841</v>
      </c>
      <c r="B409" s="301" t="s">
        <v>5547</v>
      </c>
      <c r="C409" s="301" t="s">
        <v>3723</v>
      </c>
      <c r="D409" s="301" t="s">
        <v>6854</v>
      </c>
      <c r="E409" s="301" t="s">
        <v>2826</v>
      </c>
      <c r="F409" s="376">
        <v>26.55</v>
      </c>
      <c r="G409" s="631">
        <v>44926</v>
      </c>
      <c r="H409" s="633">
        <f>'EEG-Vergütungen und vNNE'!J$31</f>
        <v>44896</v>
      </c>
    </row>
    <row r="410" spans="1:8" x14ac:dyDescent="0.35">
      <c r="A410" s="502" t="s">
        <v>2323</v>
      </c>
      <c r="B410" s="301" t="s">
        <v>5547</v>
      </c>
      <c r="C410" s="301" t="s">
        <v>3723</v>
      </c>
      <c r="D410" s="301" t="s">
        <v>7224</v>
      </c>
      <c r="E410" s="301" t="s">
        <v>2826</v>
      </c>
      <c r="F410" s="376">
        <v>12.98</v>
      </c>
      <c r="G410" s="631">
        <v>44926</v>
      </c>
      <c r="H410" s="633">
        <f>'EEG-Vergütungen und vNNE'!J$31</f>
        <v>44896</v>
      </c>
    </row>
    <row r="411" spans="1:8" x14ac:dyDescent="0.35">
      <c r="A411" s="502" t="s">
        <v>2324</v>
      </c>
      <c r="B411" s="301" t="s">
        <v>5547</v>
      </c>
      <c r="C411" s="301" t="s">
        <v>3723</v>
      </c>
      <c r="D411" s="301" t="s">
        <v>7333</v>
      </c>
      <c r="E411" s="301" t="s">
        <v>2826</v>
      </c>
      <c r="F411" s="376">
        <v>13.98</v>
      </c>
      <c r="G411" s="631">
        <v>44926</v>
      </c>
      <c r="H411" s="633">
        <f>'EEG-Vergütungen und vNNE'!J$31</f>
        <v>44896</v>
      </c>
    </row>
    <row r="412" spans="1:8" x14ac:dyDescent="0.35">
      <c r="A412" s="502" t="s">
        <v>5783</v>
      </c>
      <c r="B412" s="301" t="s">
        <v>5547</v>
      </c>
      <c r="C412" s="301" t="s">
        <v>3723</v>
      </c>
      <c r="D412" s="301" t="s">
        <v>7077</v>
      </c>
      <c r="E412" s="301" t="s">
        <v>2826</v>
      </c>
      <c r="F412" s="376">
        <v>20.98</v>
      </c>
      <c r="G412" s="631">
        <v>44926</v>
      </c>
      <c r="H412" s="633">
        <f>'EEG-Vergütungen und vNNE'!J$31</f>
        <v>44896</v>
      </c>
    </row>
    <row r="413" spans="1:8" x14ac:dyDescent="0.35">
      <c r="A413" s="502" t="s">
        <v>7842</v>
      </c>
      <c r="B413" s="301" t="s">
        <v>5547</v>
      </c>
      <c r="C413" s="301" t="s">
        <v>3723</v>
      </c>
      <c r="D413" s="301" t="s">
        <v>7078</v>
      </c>
      <c r="E413" s="301" t="s">
        <v>2826</v>
      </c>
      <c r="F413" s="376">
        <v>21.98</v>
      </c>
      <c r="G413" s="631">
        <v>44926</v>
      </c>
      <c r="H413" s="633">
        <f>'EEG-Vergütungen und vNNE'!J$31</f>
        <v>44896</v>
      </c>
    </row>
    <row r="414" spans="1:8" x14ac:dyDescent="0.35">
      <c r="A414" s="502" t="s">
        <v>2325</v>
      </c>
      <c r="B414" s="301" t="s">
        <v>5547</v>
      </c>
      <c r="C414" s="301" t="s">
        <v>3723</v>
      </c>
      <c r="D414" s="301" t="s">
        <v>6762</v>
      </c>
      <c r="E414" s="301" t="s">
        <v>2826</v>
      </c>
      <c r="F414" s="376">
        <v>11.98</v>
      </c>
      <c r="G414" s="631">
        <v>44926</v>
      </c>
      <c r="H414" s="633">
        <f>'EEG-Vergütungen und vNNE'!J$31</f>
        <v>44896</v>
      </c>
    </row>
    <row r="415" spans="1:8" x14ac:dyDescent="0.35">
      <c r="A415" s="502" t="s">
        <v>7503</v>
      </c>
      <c r="B415" s="301" t="s">
        <v>5547</v>
      </c>
      <c r="C415" s="301" t="s">
        <v>3723</v>
      </c>
      <c r="D415" s="301" t="s">
        <v>7352</v>
      </c>
      <c r="E415" s="301" t="s">
        <v>314</v>
      </c>
      <c r="F415" s="376">
        <v>25.520000000000003</v>
      </c>
      <c r="G415" s="631">
        <v>44926</v>
      </c>
      <c r="H415" s="633">
        <f>'EEG-Vergütungen und vNNE'!J$31</f>
        <v>44896</v>
      </c>
    </row>
    <row r="416" spans="1:8" x14ac:dyDescent="0.35">
      <c r="A416" s="502" t="s">
        <v>6350</v>
      </c>
      <c r="B416" s="301" t="s">
        <v>5547</v>
      </c>
      <c r="C416" s="301" t="s">
        <v>3723</v>
      </c>
      <c r="D416" s="301" t="s">
        <v>5811</v>
      </c>
      <c r="E416" s="301" t="s">
        <v>314</v>
      </c>
      <c r="F416" s="376">
        <v>26.520000000000003</v>
      </c>
      <c r="G416" s="631">
        <v>44926</v>
      </c>
      <c r="H416" s="633">
        <f>'EEG-Vergütungen und vNNE'!J$31</f>
        <v>44896</v>
      </c>
    </row>
    <row r="417" spans="1:8" x14ac:dyDescent="0.35">
      <c r="A417" s="502" t="s">
        <v>7520</v>
      </c>
      <c r="B417" s="301" t="s">
        <v>5547</v>
      </c>
      <c r="C417" s="301" t="s">
        <v>3723</v>
      </c>
      <c r="D417" s="301" t="s">
        <v>7521</v>
      </c>
      <c r="E417" s="301" t="s">
        <v>314</v>
      </c>
      <c r="F417" s="376">
        <v>20.950000000000003</v>
      </c>
      <c r="G417" s="631">
        <v>44926</v>
      </c>
      <c r="H417" s="633">
        <f>'EEG-Vergütungen und vNNE'!J$31</f>
        <v>44896</v>
      </c>
    </row>
    <row r="418" spans="1:8" x14ac:dyDescent="0.35">
      <c r="A418" s="502" t="s">
        <v>6351</v>
      </c>
      <c r="B418" s="301" t="s">
        <v>5547</v>
      </c>
      <c r="C418" s="301" t="s">
        <v>3723</v>
      </c>
      <c r="D418" s="301" t="s">
        <v>7342</v>
      </c>
      <c r="E418" s="301" t="s">
        <v>314</v>
      </c>
      <c r="F418" s="376">
        <v>21.950000000000003</v>
      </c>
      <c r="G418" s="631">
        <v>44926</v>
      </c>
      <c r="H418" s="633">
        <f>'EEG-Vergütungen und vNNE'!J$31</f>
        <v>44896</v>
      </c>
    </row>
    <row r="419" spans="1:8" s="559" customFormat="1" x14ac:dyDescent="0.35">
      <c r="A419" s="502" t="s">
        <v>6174</v>
      </c>
      <c r="B419" s="301" t="s">
        <v>5547</v>
      </c>
      <c r="C419" s="301" t="s">
        <v>3723</v>
      </c>
      <c r="D419" s="301" t="s">
        <v>7354</v>
      </c>
      <c r="E419" s="301" t="s">
        <v>5624</v>
      </c>
      <c r="F419" s="560">
        <v>14.49</v>
      </c>
      <c r="G419" s="631">
        <v>44926</v>
      </c>
      <c r="H419" s="633">
        <f>'EEG-Vergütungen und vNNE'!J$31</f>
        <v>44896</v>
      </c>
    </row>
    <row r="420" spans="1:8" x14ac:dyDescent="0.35">
      <c r="A420" s="502" t="s">
        <v>5797</v>
      </c>
      <c r="B420" s="301" t="s">
        <v>5547</v>
      </c>
      <c r="C420" s="301" t="s">
        <v>3723</v>
      </c>
      <c r="D420" s="301" t="s">
        <v>6857</v>
      </c>
      <c r="E420" s="301" t="s">
        <v>5624</v>
      </c>
      <c r="F420" s="376">
        <v>25.490000000000002</v>
      </c>
      <c r="G420" s="631">
        <v>44926</v>
      </c>
      <c r="H420" s="633">
        <f>'EEG-Vergütungen und vNNE'!J$31</f>
        <v>44896</v>
      </c>
    </row>
    <row r="421" spans="1:8" s="559" customFormat="1" x14ac:dyDescent="0.35">
      <c r="A421" s="502" t="s">
        <v>6175</v>
      </c>
      <c r="B421" s="301" t="s">
        <v>5547</v>
      </c>
      <c r="C421" s="301" t="s">
        <v>3723</v>
      </c>
      <c r="D421" s="301" t="s">
        <v>7343</v>
      </c>
      <c r="E421" s="301" t="s">
        <v>5624</v>
      </c>
      <c r="F421" s="560">
        <v>12.92</v>
      </c>
      <c r="G421" s="631">
        <v>44926</v>
      </c>
      <c r="H421" s="633">
        <f>'EEG-Vergütungen und vNNE'!J$31</f>
        <v>44896</v>
      </c>
    </row>
    <row r="422" spans="1:8" x14ac:dyDescent="0.35">
      <c r="A422" s="502" t="s">
        <v>5798</v>
      </c>
      <c r="B422" s="301" t="s">
        <v>5547</v>
      </c>
      <c r="C422" s="301" t="s">
        <v>3723</v>
      </c>
      <c r="D422" s="301" t="s">
        <v>7082</v>
      </c>
      <c r="E422" s="301" t="s">
        <v>5624</v>
      </c>
      <c r="F422" s="376">
        <v>20.92</v>
      </c>
      <c r="G422" s="631">
        <v>44926</v>
      </c>
      <c r="H422" s="633">
        <f>'EEG-Vergütungen und vNNE'!J$31</f>
        <v>44896</v>
      </c>
    </row>
    <row r="423" spans="1:8" s="559" customFormat="1" x14ac:dyDescent="0.35">
      <c r="A423" s="502" t="s">
        <v>6176</v>
      </c>
      <c r="B423" s="301" t="s">
        <v>5547</v>
      </c>
      <c r="C423" s="301" t="s">
        <v>3723</v>
      </c>
      <c r="D423" s="301" t="s">
        <v>6766</v>
      </c>
      <c r="E423" s="301" t="s">
        <v>5624</v>
      </c>
      <c r="F423" s="560">
        <v>11.92</v>
      </c>
      <c r="G423" s="631">
        <v>44926</v>
      </c>
      <c r="H423" s="633">
        <f>'EEG-Vergütungen und vNNE'!J$31</f>
        <v>44896</v>
      </c>
    </row>
    <row r="424" spans="1:8" s="559" customFormat="1" x14ac:dyDescent="0.35">
      <c r="A424" s="502" t="s">
        <v>6177</v>
      </c>
      <c r="B424" s="301" t="s">
        <v>5547</v>
      </c>
      <c r="C424" s="301" t="s">
        <v>3723</v>
      </c>
      <c r="D424" s="301" t="s">
        <v>7365</v>
      </c>
      <c r="E424" s="301" t="s">
        <v>5624</v>
      </c>
      <c r="F424" s="560">
        <v>11.42</v>
      </c>
      <c r="G424" s="631">
        <v>44926</v>
      </c>
      <c r="H424" s="633">
        <f>'EEG-Vergütungen und vNNE'!J$31</f>
        <v>44896</v>
      </c>
    </row>
    <row r="425" spans="1:8" x14ac:dyDescent="0.35">
      <c r="A425" s="502" t="s">
        <v>6150</v>
      </c>
      <c r="B425" s="301" t="s">
        <v>5547</v>
      </c>
      <c r="C425" s="301" t="s">
        <v>3723</v>
      </c>
      <c r="D425" s="301" t="s">
        <v>7355</v>
      </c>
      <c r="E425" s="301" t="s">
        <v>5806</v>
      </c>
      <c r="F425" s="376">
        <v>14.469999999999999</v>
      </c>
      <c r="G425" s="631">
        <v>44926</v>
      </c>
      <c r="H425" s="633">
        <f>'EEG-Vergütungen und vNNE'!J$31</f>
        <v>44896</v>
      </c>
    </row>
    <row r="426" spans="1:8" x14ac:dyDescent="0.35">
      <c r="A426" s="502" t="s">
        <v>5805</v>
      </c>
      <c r="B426" s="301" t="s">
        <v>5547</v>
      </c>
      <c r="C426" s="301" t="s">
        <v>3723</v>
      </c>
      <c r="D426" s="301" t="s">
        <v>6860</v>
      </c>
      <c r="E426" s="301" t="s">
        <v>5806</v>
      </c>
      <c r="F426" s="376">
        <v>25.470000000000002</v>
      </c>
      <c r="G426" s="631">
        <v>44926</v>
      </c>
      <c r="H426" s="633">
        <f>'EEG-Vergütungen und vNNE'!J$31</f>
        <v>44896</v>
      </c>
    </row>
    <row r="427" spans="1:8" x14ac:dyDescent="0.35">
      <c r="A427" s="502" t="s">
        <v>6151</v>
      </c>
      <c r="B427" s="301" t="s">
        <v>5547</v>
      </c>
      <c r="C427" s="301" t="s">
        <v>3723</v>
      </c>
      <c r="D427" s="301" t="s">
        <v>7344</v>
      </c>
      <c r="E427" s="301" t="s">
        <v>5806</v>
      </c>
      <c r="F427" s="376">
        <v>12.899999999999999</v>
      </c>
      <c r="G427" s="631">
        <v>44926</v>
      </c>
      <c r="H427" s="633">
        <f>'EEG-Vergütungen und vNNE'!J$31</f>
        <v>44896</v>
      </c>
    </row>
    <row r="428" spans="1:8" s="145" customFormat="1" x14ac:dyDescent="0.35">
      <c r="A428" s="502" t="s">
        <v>6152</v>
      </c>
      <c r="B428" s="301" t="s">
        <v>5547</v>
      </c>
      <c r="C428" s="301" t="s">
        <v>3723</v>
      </c>
      <c r="D428" s="301" t="s">
        <v>6767</v>
      </c>
      <c r="E428" s="301" t="s">
        <v>5806</v>
      </c>
      <c r="F428" s="376">
        <v>11.899999999999999</v>
      </c>
      <c r="G428" s="631">
        <v>44926</v>
      </c>
      <c r="H428" s="633">
        <f>'EEG-Vergütungen und vNNE'!J$31</f>
        <v>44896</v>
      </c>
    </row>
    <row r="429" spans="1:8" s="145" customFormat="1" x14ac:dyDescent="0.35">
      <c r="A429" s="502" t="s">
        <v>6153</v>
      </c>
      <c r="B429" s="301" t="s">
        <v>5547</v>
      </c>
      <c r="C429" s="301" t="s">
        <v>3723</v>
      </c>
      <c r="D429" s="301" t="s">
        <v>7366</v>
      </c>
      <c r="E429" s="301" t="s">
        <v>5806</v>
      </c>
      <c r="F429" s="376">
        <v>11.399999999999999</v>
      </c>
      <c r="G429" s="631">
        <v>44926</v>
      </c>
      <c r="H429" s="633">
        <f>'EEG-Vergütungen und vNNE'!J$31</f>
        <v>44896</v>
      </c>
    </row>
    <row r="430" spans="1:8" s="145" customFormat="1" x14ac:dyDescent="0.35">
      <c r="A430" s="502" t="s">
        <v>7507</v>
      </c>
      <c r="B430" s="301" t="s">
        <v>5547</v>
      </c>
      <c r="C430" s="301" t="s">
        <v>3723</v>
      </c>
      <c r="D430" s="301" t="s">
        <v>7000</v>
      </c>
      <c r="E430" s="301" t="s">
        <v>6155</v>
      </c>
      <c r="F430" s="376">
        <v>14.44</v>
      </c>
      <c r="G430" s="631">
        <v>44926</v>
      </c>
      <c r="H430" s="633">
        <f>'EEG-Vergütungen und vNNE'!J$31</f>
        <v>44896</v>
      </c>
    </row>
    <row r="431" spans="1:8" s="145" customFormat="1" x14ac:dyDescent="0.35">
      <c r="A431" s="502" t="s">
        <v>7506</v>
      </c>
      <c r="B431" s="301" t="s">
        <v>5547</v>
      </c>
      <c r="C431" s="301" t="s">
        <v>3723</v>
      </c>
      <c r="D431" s="301" t="s">
        <v>7504</v>
      </c>
      <c r="E431" s="301" t="s">
        <v>6155</v>
      </c>
      <c r="F431" s="376">
        <v>15.44</v>
      </c>
      <c r="G431" s="631">
        <v>44926</v>
      </c>
      <c r="H431" s="633">
        <f>'EEG-Vergütungen und vNNE'!J$31</f>
        <v>44896</v>
      </c>
    </row>
    <row r="432" spans="1:8" s="145" customFormat="1" x14ac:dyDescent="0.35">
      <c r="A432" s="502" t="s">
        <v>7509</v>
      </c>
      <c r="B432" s="301" t="s">
        <v>5547</v>
      </c>
      <c r="C432" s="301" t="s">
        <v>3723</v>
      </c>
      <c r="D432" s="301" t="s">
        <v>7219</v>
      </c>
      <c r="E432" s="301" t="s">
        <v>6155</v>
      </c>
      <c r="F432" s="376">
        <v>12.87</v>
      </c>
      <c r="G432" s="631">
        <v>44926</v>
      </c>
      <c r="H432" s="633">
        <f>'EEG-Vergütungen und vNNE'!J$31</f>
        <v>44896</v>
      </c>
    </row>
    <row r="433" spans="1:52" s="145" customFormat="1" x14ac:dyDescent="0.35">
      <c r="A433" s="502" t="s">
        <v>7508</v>
      </c>
      <c r="B433" s="301" t="s">
        <v>5547</v>
      </c>
      <c r="C433" s="301" t="s">
        <v>3723</v>
      </c>
      <c r="D433" s="301" t="s">
        <v>7510</v>
      </c>
      <c r="E433" s="301" t="s">
        <v>6155</v>
      </c>
      <c r="F433" s="376">
        <v>13.87</v>
      </c>
      <c r="G433" s="631">
        <v>44926</v>
      </c>
      <c r="H433" s="633">
        <f>'EEG-Vergütungen und vNNE'!J$31</f>
        <v>44896</v>
      </c>
    </row>
    <row r="435" spans="1:52" x14ac:dyDescent="0.35">
      <c r="A435" s="505" t="s">
        <v>4398</v>
      </c>
      <c r="B435" s="23" t="s">
        <v>5547</v>
      </c>
      <c r="C435" s="23" t="s">
        <v>3726</v>
      </c>
      <c r="D435" s="24" t="s">
        <v>1780</v>
      </c>
      <c r="E435" s="152" t="s">
        <v>4809</v>
      </c>
      <c r="F435" s="370">
        <v>11.67</v>
      </c>
      <c r="G435" s="631">
        <v>45291</v>
      </c>
      <c r="H435" s="633">
        <v>45268</v>
      </c>
      <c r="K435" s="11"/>
      <c r="M435" s="37">
        <v>11.67</v>
      </c>
      <c r="N435" s="29">
        <v>11.67</v>
      </c>
      <c r="O435" s="71"/>
      <c r="P435" s="11"/>
      <c r="S435" t="s">
        <v>4179</v>
      </c>
      <c r="T435" t="s">
        <v>4179</v>
      </c>
      <c r="U435" s="42"/>
      <c r="W435" s="50"/>
      <c r="X435" s="50"/>
      <c r="AA435" s="50"/>
      <c r="AD435" s="50"/>
      <c r="AE435" s="75"/>
      <c r="AH435" s="166" t="s">
        <v>4179</v>
      </c>
      <c r="AI435" s="168" t="s">
        <v>4179</v>
      </c>
      <c r="AJ435" s="168" t="s">
        <v>4179</v>
      </c>
      <c r="AK435" s="168" t="s">
        <v>4179</v>
      </c>
      <c r="AL435" s="168" t="s">
        <v>4179</v>
      </c>
      <c r="AM435" s="168" t="s">
        <v>4179</v>
      </c>
      <c r="AN435" s="167" t="s">
        <v>4179</v>
      </c>
      <c r="AO435" s="167" t="s">
        <v>4179</v>
      </c>
      <c r="AP435" s="167" t="s">
        <v>4179</v>
      </c>
      <c r="AQ435" s="169" t="s">
        <v>4179</v>
      </c>
      <c r="AR435" s="170" t="s">
        <v>4398</v>
      </c>
      <c r="AS435" s="169" t="s">
        <v>4179</v>
      </c>
      <c r="AT435">
        <v>14</v>
      </c>
      <c r="AU435" s="170" t="s">
        <v>1780</v>
      </c>
      <c r="AV435" s="169" t="s">
        <v>4179</v>
      </c>
      <c r="AW435" s="170" t="s">
        <v>4809</v>
      </c>
      <c r="AX435" s="169" t="s">
        <v>4179</v>
      </c>
      <c r="AY435" t="s">
        <v>4179</v>
      </c>
      <c r="AZ435" t="s">
        <v>4179</v>
      </c>
    </row>
    <row r="436" spans="1:52" x14ac:dyDescent="0.35">
      <c r="A436" s="497" t="s">
        <v>4031</v>
      </c>
      <c r="B436" s="13" t="s">
        <v>5547</v>
      </c>
      <c r="C436" s="13" t="s">
        <v>3726</v>
      </c>
      <c r="D436" s="17" t="s">
        <v>6864</v>
      </c>
      <c r="E436" s="13" t="s">
        <v>4330</v>
      </c>
      <c r="F436" s="371">
        <v>14.67</v>
      </c>
      <c r="G436" s="631">
        <v>45291</v>
      </c>
      <c r="H436" s="633">
        <v>45268</v>
      </c>
      <c r="K436" s="11"/>
      <c r="M436" s="37">
        <v>14.67</v>
      </c>
      <c r="N436" s="29">
        <v>11.67</v>
      </c>
      <c r="O436" s="71"/>
      <c r="P436" t="s">
        <v>1017</v>
      </c>
      <c r="S436" t="s">
        <v>4179</v>
      </c>
      <c r="T436" t="s">
        <v>4179</v>
      </c>
      <c r="U436" s="42"/>
      <c r="W436" s="50"/>
      <c r="X436" s="50"/>
      <c r="AA436" s="50"/>
      <c r="AD436" s="50"/>
      <c r="AE436" s="75"/>
      <c r="AH436" s="166" t="s">
        <v>4179</v>
      </c>
      <c r="AI436" s="168" t="s">
        <v>4179</v>
      </c>
      <c r="AJ436" s="168" t="s">
        <v>4179</v>
      </c>
      <c r="AK436" s="168" t="s">
        <v>4179</v>
      </c>
      <c r="AL436" s="168" t="s">
        <v>4179</v>
      </c>
      <c r="AM436" s="168" t="s">
        <v>4179</v>
      </c>
      <c r="AN436" s="167" t="s">
        <v>4179</v>
      </c>
      <c r="AO436" s="167" t="s">
        <v>4179</v>
      </c>
      <c r="AP436" s="167" t="s">
        <v>4179</v>
      </c>
      <c r="AQ436" s="169" t="s">
        <v>4179</v>
      </c>
      <c r="AR436" s="170" t="s">
        <v>4031</v>
      </c>
      <c r="AS436" s="169" t="s">
        <v>4179</v>
      </c>
      <c r="AT436">
        <v>14</v>
      </c>
      <c r="AU436" s="170" t="s">
        <v>6864</v>
      </c>
      <c r="AV436" s="169" t="s">
        <v>4179</v>
      </c>
      <c r="AW436" s="170" t="s">
        <v>4330</v>
      </c>
      <c r="AX436" s="169" t="s">
        <v>4179</v>
      </c>
      <c r="AY436" t="s">
        <v>4179</v>
      </c>
      <c r="AZ436" t="s">
        <v>4179</v>
      </c>
    </row>
    <row r="437" spans="1:52" x14ac:dyDescent="0.35">
      <c r="A437" s="497" t="s">
        <v>2613</v>
      </c>
      <c r="B437" s="13" t="s">
        <v>5547</v>
      </c>
      <c r="C437" s="13" t="s">
        <v>3726</v>
      </c>
      <c r="D437" s="17" t="s">
        <v>6865</v>
      </c>
      <c r="E437" s="13" t="s">
        <v>674</v>
      </c>
      <c r="F437" s="371">
        <v>14.67</v>
      </c>
      <c r="G437" s="631">
        <v>45291</v>
      </c>
      <c r="H437" s="633">
        <v>45268</v>
      </c>
      <c r="K437" s="11"/>
      <c r="M437" s="37">
        <v>14.67</v>
      </c>
      <c r="N437" s="29">
        <v>11.67</v>
      </c>
      <c r="O437" s="71"/>
      <c r="P437" s="11"/>
      <c r="Q437" t="s">
        <v>1017</v>
      </c>
      <c r="S437" t="s">
        <v>4179</v>
      </c>
      <c r="T437" t="s">
        <v>4179</v>
      </c>
      <c r="U437" s="42"/>
      <c r="W437" s="50"/>
      <c r="X437" s="50"/>
      <c r="AA437" s="50"/>
      <c r="AD437" s="50"/>
      <c r="AE437" s="75"/>
      <c r="AH437" s="166" t="s">
        <v>4179</v>
      </c>
      <c r="AI437" s="168" t="s">
        <v>4179</v>
      </c>
      <c r="AJ437" s="168" t="s">
        <v>4179</v>
      </c>
      <c r="AK437" s="168" t="s">
        <v>4179</v>
      </c>
      <c r="AL437" s="168" t="s">
        <v>4179</v>
      </c>
      <c r="AM437" s="168" t="s">
        <v>4179</v>
      </c>
      <c r="AN437" s="167" t="s">
        <v>4179</v>
      </c>
      <c r="AO437" s="167" t="s">
        <v>4179</v>
      </c>
      <c r="AP437" s="167" t="s">
        <v>4179</v>
      </c>
      <c r="AQ437" s="169" t="s">
        <v>4179</v>
      </c>
      <c r="AR437" s="170" t="s">
        <v>2613</v>
      </c>
      <c r="AS437" s="169" t="s">
        <v>4179</v>
      </c>
      <c r="AT437">
        <v>14</v>
      </c>
      <c r="AU437" s="170" t="s">
        <v>6865</v>
      </c>
      <c r="AV437" s="169" t="s">
        <v>4179</v>
      </c>
      <c r="AW437" s="170" t="s">
        <v>674</v>
      </c>
      <c r="AX437" s="169" t="s">
        <v>4179</v>
      </c>
      <c r="AY437" t="s">
        <v>4179</v>
      </c>
      <c r="AZ437" t="s">
        <v>4179</v>
      </c>
    </row>
    <row r="438" spans="1:52" x14ac:dyDescent="0.35">
      <c r="A438" s="497" t="s">
        <v>3247</v>
      </c>
      <c r="B438" s="13" t="s">
        <v>5547</v>
      </c>
      <c r="C438" s="13" t="s">
        <v>3726</v>
      </c>
      <c r="D438" s="17" t="s">
        <v>6866</v>
      </c>
      <c r="E438" s="13" t="s">
        <v>3566</v>
      </c>
      <c r="F438" s="371">
        <v>14.64</v>
      </c>
      <c r="G438" s="631">
        <v>45291</v>
      </c>
      <c r="H438" s="633">
        <v>45268</v>
      </c>
      <c r="K438" s="11"/>
      <c r="M438" s="37">
        <v>14.64</v>
      </c>
      <c r="N438" s="29">
        <v>11.67</v>
      </c>
      <c r="O438" s="71"/>
      <c r="P438" s="11"/>
      <c r="R438" t="s">
        <v>1017</v>
      </c>
      <c r="S438" t="s">
        <v>4179</v>
      </c>
      <c r="T438" t="s">
        <v>4179</v>
      </c>
      <c r="U438" s="42"/>
      <c r="W438" s="50"/>
      <c r="X438" s="50"/>
      <c r="AA438" s="50"/>
      <c r="AD438" s="50"/>
      <c r="AE438" s="75"/>
      <c r="AH438" s="166" t="s">
        <v>8228</v>
      </c>
      <c r="AI438" s="168" t="s">
        <v>4179</v>
      </c>
      <c r="AJ438" s="168" t="s">
        <v>4179</v>
      </c>
      <c r="AK438" s="168" t="s">
        <v>4179</v>
      </c>
      <c r="AL438" s="168" t="s">
        <v>4179</v>
      </c>
      <c r="AM438" s="168" t="s">
        <v>4179</v>
      </c>
      <c r="AN438" s="167" t="s">
        <v>8228</v>
      </c>
      <c r="AO438" s="167" t="s">
        <v>8228</v>
      </c>
      <c r="AP438" s="167" t="s">
        <v>8228</v>
      </c>
      <c r="AQ438" s="169" t="s">
        <v>4179</v>
      </c>
      <c r="AR438" s="170" t="s">
        <v>3247</v>
      </c>
      <c r="AS438" s="169" t="s">
        <v>4179</v>
      </c>
      <c r="AT438">
        <v>14</v>
      </c>
      <c r="AU438" s="170" t="s">
        <v>6866</v>
      </c>
      <c r="AV438" s="169" t="s">
        <v>4179</v>
      </c>
      <c r="AW438" s="170" t="s">
        <v>3566</v>
      </c>
      <c r="AX438" s="169" t="s">
        <v>4179</v>
      </c>
      <c r="AY438" t="s">
        <v>4179</v>
      </c>
      <c r="AZ438" t="s">
        <v>4179</v>
      </c>
    </row>
    <row r="439" spans="1:52" x14ac:dyDescent="0.35">
      <c r="A439" s="497" t="s">
        <v>5213</v>
      </c>
      <c r="B439" s="13" t="s">
        <v>5547</v>
      </c>
      <c r="C439" s="13" t="s">
        <v>3726</v>
      </c>
      <c r="D439" s="17" t="s">
        <v>6867</v>
      </c>
      <c r="E439" s="13" t="s">
        <v>3054</v>
      </c>
      <c r="F439" s="371">
        <v>14.61</v>
      </c>
      <c r="G439" s="631">
        <v>45291</v>
      </c>
      <c r="H439" s="633">
        <v>45268</v>
      </c>
      <c r="K439" s="11"/>
      <c r="M439" s="37">
        <v>14.61</v>
      </c>
      <c r="N439" s="29">
        <v>11.67</v>
      </c>
      <c r="O439" s="71"/>
      <c r="P439" s="11"/>
      <c r="S439" t="s">
        <v>1017</v>
      </c>
      <c r="T439" t="s">
        <v>4179</v>
      </c>
      <c r="U439" s="42"/>
      <c r="W439" s="50"/>
      <c r="X439" s="50"/>
      <c r="AA439" s="50"/>
      <c r="AD439" s="50"/>
      <c r="AE439" s="75"/>
      <c r="AH439" s="166" t="s">
        <v>8229</v>
      </c>
      <c r="AI439" s="168" t="s">
        <v>4179</v>
      </c>
      <c r="AJ439" s="168" t="s">
        <v>4179</v>
      </c>
      <c r="AK439" s="168" t="s">
        <v>4179</v>
      </c>
      <c r="AL439" s="168" t="s">
        <v>4179</v>
      </c>
      <c r="AM439" s="168" t="s">
        <v>4179</v>
      </c>
      <c r="AN439" s="167" t="s">
        <v>8229</v>
      </c>
      <c r="AO439" s="167" t="s">
        <v>8229</v>
      </c>
      <c r="AP439" s="167" t="s">
        <v>8229</v>
      </c>
      <c r="AQ439" s="169" t="s">
        <v>4179</v>
      </c>
      <c r="AR439" s="170" t="s">
        <v>5213</v>
      </c>
      <c r="AS439" s="169" t="s">
        <v>4179</v>
      </c>
      <c r="AT439">
        <v>14</v>
      </c>
      <c r="AU439" s="170" t="s">
        <v>6867</v>
      </c>
      <c r="AV439" s="169" t="s">
        <v>4179</v>
      </c>
      <c r="AW439" s="170" t="s">
        <v>3054</v>
      </c>
      <c r="AX439" s="169" t="s">
        <v>4179</v>
      </c>
      <c r="AY439" t="s">
        <v>1017</v>
      </c>
      <c r="AZ439" t="s">
        <v>4179</v>
      </c>
    </row>
    <row r="440" spans="1:52" x14ac:dyDescent="0.35">
      <c r="A440" s="511" t="s">
        <v>3520</v>
      </c>
      <c r="B440" s="173" t="s">
        <v>5547</v>
      </c>
      <c r="C440" s="173" t="s">
        <v>3726</v>
      </c>
      <c r="D440" s="174" t="s">
        <v>6868</v>
      </c>
      <c r="E440" s="173" t="s">
        <v>1980</v>
      </c>
      <c r="F440" s="372">
        <v>14.58</v>
      </c>
      <c r="G440" s="631">
        <v>45291</v>
      </c>
      <c r="H440" s="633">
        <v>45268</v>
      </c>
      <c r="K440" s="11"/>
      <c r="M440" s="37">
        <v>14.58</v>
      </c>
      <c r="N440" s="29">
        <v>11.67</v>
      </c>
      <c r="O440" s="71"/>
      <c r="P440" s="11"/>
      <c r="S440" t="s">
        <v>4179</v>
      </c>
      <c r="T440" t="s">
        <v>1017</v>
      </c>
      <c r="U440" s="42"/>
      <c r="W440" s="50"/>
      <c r="X440" s="50"/>
      <c r="AA440" s="50"/>
      <c r="AD440" s="50"/>
      <c r="AE440" s="75"/>
      <c r="AH440" s="171" t="s">
        <v>4178</v>
      </c>
      <c r="AI440" s="168" t="s">
        <v>4179</v>
      </c>
      <c r="AJ440" s="168" t="s">
        <v>4179</v>
      </c>
      <c r="AK440" s="168" t="s">
        <v>4179</v>
      </c>
      <c r="AL440" s="168" t="s">
        <v>4179</v>
      </c>
      <c r="AM440" s="168" t="s">
        <v>4179</v>
      </c>
      <c r="AN440" s="167" t="s">
        <v>4178</v>
      </c>
      <c r="AO440" s="167" t="s">
        <v>4178</v>
      </c>
      <c r="AP440" s="167" t="s">
        <v>4178</v>
      </c>
      <c r="AQ440" s="169" t="s">
        <v>4179</v>
      </c>
      <c r="AR440" s="170" t="s">
        <v>3520</v>
      </c>
      <c r="AS440" s="169" t="s">
        <v>4179</v>
      </c>
      <c r="AT440">
        <v>14</v>
      </c>
      <c r="AU440" s="170" t="s">
        <v>6868</v>
      </c>
      <c r="AV440" s="169" t="s">
        <v>4179</v>
      </c>
      <c r="AW440" s="170" t="s">
        <v>1980</v>
      </c>
      <c r="AX440" s="169" t="s">
        <v>4179</v>
      </c>
      <c r="AY440" t="s">
        <v>4179</v>
      </c>
      <c r="AZ440" t="s">
        <v>1017</v>
      </c>
    </row>
    <row r="441" spans="1:52" x14ac:dyDescent="0.35">
      <c r="A441" s="497" t="s">
        <v>1373</v>
      </c>
      <c r="B441" s="13" t="s">
        <v>5547</v>
      </c>
      <c r="C441" s="13" t="s">
        <v>3726</v>
      </c>
      <c r="D441" s="17" t="s">
        <v>6869</v>
      </c>
      <c r="E441" s="153" t="s">
        <v>4809</v>
      </c>
      <c r="F441" s="371">
        <v>12.67</v>
      </c>
      <c r="G441" s="631">
        <v>45291</v>
      </c>
      <c r="H441" s="633">
        <v>45268</v>
      </c>
      <c r="K441" s="11"/>
      <c r="M441" s="37">
        <v>12.67</v>
      </c>
      <c r="N441" s="29">
        <v>11.67</v>
      </c>
      <c r="O441" s="71"/>
      <c r="P441" s="11"/>
      <c r="S441" t="s">
        <v>4179</v>
      </c>
      <c r="T441" t="s">
        <v>4179</v>
      </c>
      <c r="U441" s="42" t="s">
        <v>1017</v>
      </c>
      <c r="W441" s="50"/>
      <c r="X441" s="50"/>
      <c r="AA441" s="50"/>
      <c r="AD441" s="50"/>
      <c r="AE441" s="75"/>
      <c r="AH441" s="166" t="s">
        <v>4179</v>
      </c>
      <c r="AI441" s="168" t="s">
        <v>4179</v>
      </c>
      <c r="AJ441" s="168" t="s">
        <v>4179</v>
      </c>
      <c r="AK441" s="168" t="s">
        <v>4179</v>
      </c>
      <c r="AL441" s="168" t="s">
        <v>4179</v>
      </c>
      <c r="AM441" s="168" t="s">
        <v>4179</v>
      </c>
      <c r="AN441" s="167" t="s">
        <v>4179</v>
      </c>
      <c r="AO441" s="167" t="s">
        <v>4179</v>
      </c>
      <c r="AP441" s="167" t="s">
        <v>4179</v>
      </c>
      <c r="AQ441" s="169" t="s">
        <v>4179</v>
      </c>
      <c r="AR441" s="170" t="s">
        <v>1373</v>
      </c>
      <c r="AS441" s="169" t="s">
        <v>4179</v>
      </c>
      <c r="AT441">
        <v>14</v>
      </c>
      <c r="AU441" s="170" t="s">
        <v>6869</v>
      </c>
      <c r="AV441" s="169" t="s">
        <v>4179</v>
      </c>
      <c r="AW441" s="170" t="s">
        <v>4809</v>
      </c>
      <c r="AX441" s="169" t="s">
        <v>4179</v>
      </c>
      <c r="AY441" t="s">
        <v>4179</v>
      </c>
      <c r="AZ441" t="s">
        <v>4179</v>
      </c>
    </row>
    <row r="442" spans="1:52" x14ac:dyDescent="0.35">
      <c r="A442" s="497" t="s">
        <v>3049</v>
      </c>
      <c r="B442" s="13" t="s">
        <v>5547</v>
      </c>
      <c r="C442" s="13" t="s">
        <v>3726</v>
      </c>
      <c r="D442" s="17" t="s">
        <v>7356</v>
      </c>
      <c r="E442" s="13" t="s">
        <v>4330</v>
      </c>
      <c r="F442" s="371">
        <v>15.67</v>
      </c>
      <c r="G442" s="631">
        <v>45291</v>
      </c>
      <c r="H442" s="633">
        <v>45268</v>
      </c>
      <c r="K442" s="11"/>
      <c r="M442" s="37">
        <v>15.67</v>
      </c>
      <c r="N442" s="29">
        <v>11.67</v>
      </c>
      <c r="O442" s="71"/>
      <c r="P442" t="s">
        <v>1017</v>
      </c>
      <c r="S442" t="s">
        <v>4179</v>
      </c>
      <c r="T442" t="s">
        <v>4179</v>
      </c>
      <c r="U442" s="42" t="s">
        <v>1017</v>
      </c>
      <c r="W442" s="50"/>
      <c r="X442" s="50"/>
      <c r="AA442" s="50"/>
      <c r="AD442" s="50"/>
      <c r="AE442" s="75"/>
      <c r="AH442" s="166" t="s">
        <v>4179</v>
      </c>
      <c r="AI442" s="168" t="s">
        <v>4179</v>
      </c>
      <c r="AJ442" s="168" t="s">
        <v>4179</v>
      </c>
      <c r="AK442" s="168" t="s">
        <v>4179</v>
      </c>
      <c r="AL442" s="168" t="s">
        <v>4179</v>
      </c>
      <c r="AM442" s="168" t="s">
        <v>4179</v>
      </c>
      <c r="AN442" s="167" t="s">
        <v>4179</v>
      </c>
      <c r="AO442" s="167" t="s">
        <v>4179</v>
      </c>
      <c r="AP442" s="167" t="s">
        <v>4179</v>
      </c>
      <c r="AQ442" s="169" t="s">
        <v>4179</v>
      </c>
      <c r="AR442" s="170" t="s">
        <v>3049</v>
      </c>
      <c r="AS442" s="169" t="s">
        <v>4179</v>
      </c>
      <c r="AT442">
        <v>14</v>
      </c>
      <c r="AU442" s="170" t="s">
        <v>7356</v>
      </c>
      <c r="AV442" s="169" t="s">
        <v>4179</v>
      </c>
      <c r="AW442" s="170" t="s">
        <v>4330</v>
      </c>
      <c r="AX442" s="169" t="s">
        <v>4179</v>
      </c>
      <c r="AY442" t="s">
        <v>4179</v>
      </c>
      <c r="AZ442" t="s">
        <v>4179</v>
      </c>
    </row>
    <row r="443" spans="1:52" x14ac:dyDescent="0.35">
      <c r="A443" s="497" t="s">
        <v>3050</v>
      </c>
      <c r="B443" s="13" t="s">
        <v>5547</v>
      </c>
      <c r="C443" s="13" t="s">
        <v>3726</v>
      </c>
      <c r="D443" s="17" t="s">
        <v>6872</v>
      </c>
      <c r="E443" s="13" t="s">
        <v>674</v>
      </c>
      <c r="F443" s="371">
        <v>15.67</v>
      </c>
      <c r="G443" s="631">
        <v>45291</v>
      </c>
      <c r="H443" s="633">
        <v>45268</v>
      </c>
      <c r="K443" s="11"/>
      <c r="M443" s="37">
        <v>15.67</v>
      </c>
      <c r="N443" s="29">
        <v>11.67</v>
      </c>
      <c r="O443" s="71"/>
      <c r="P443" s="11"/>
      <c r="Q443" t="s">
        <v>1017</v>
      </c>
      <c r="S443" t="s">
        <v>4179</v>
      </c>
      <c r="T443" t="s">
        <v>4179</v>
      </c>
      <c r="U443" s="42" t="s">
        <v>1017</v>
      </c>
      <c r="W443" s="50"/>
      <c r="X443" s="50"/>
      <c r="AA443" s="50"/>
      <c r="AD443" s="50"/>
      <c r="AE443" s="75"/>
      <c r="AH443" s="166" t="s">
        <v>4179</v>
      </c>
      <c r="AI443" s="168" t="s">
        <v>4179</v>
      </c>
      <c r="AJ443" s="168" t="s">
        <v>4179</v>
      </c>
      <c r="AK443" s="168" t="s">
        <v>4179</v>
      </c>
      <c r="AL443" s="168" t="s">
        <v>4179</v>
      </c>
      <c r="AM443" s="168" t="s">
        <v>4179</v>
      </c>
      <c r="AN443" s="167" t="s">
        <v>4179</v>
      </c>
      <c r="AO443" s="167" t="s">
        <v>4179</v>
      </c>
      <c r="AP443" s="167" t="s">
        <v>4179</v>
      </c>
      <c r="AQ443" s="169" t="s">
        <v>4179</v>
      </c>
      <c r="AR443" s="170" t="s">
        <v>3050</v>
      </c>
      <c r="AS443" s="169" t="s">
        <v>4179</v>
      </c>
      <c r="AT443">
        <v>14</v>
      </c>
      <c r="AU443" s="170" t="s">
        <v>6872</v>
      </c>
      <c r="AV443" s="169" t="s">
        <v>4179</v>
      </c>
      <c r="AW443" s="170" t="s">
        <v>674</v>
      </c>
      <c r="AX443" s="169" t="s">
        <v>4179</v>
      </c>
      <c r="AY443" t="s">
        <v>4179</v>
      </c>
      <c r="AZ443" t="s">
        <v>4179</v>
      </c>
    </row>
    <row r="444" spans="1:52" x14ac:dyDescent="0.35">
      <c r="A444" s="497" t="s">
        <v>3248</v>
      </c>
      <c r="B444" s="13" t="s">
        <v>5547</v>
      </c>
      <c r="C444" s="13" t="s">
        <v>3726</v>
      </c>
      <c r="D444" s="17" t="s">
        <v>6873</v>
      </c>
      <c r="E444" s="13" t="s">
        <v>3566</v>
      </c>
      <c r="F444" s="371">
        <v>15.64</v>
      </c>
      <c r="G444" s="631">
        <v>45291</v>
      </c>
      <c r="H444" s="633">
        <v>45268</v>
      </c>
      <c r="K444" s="11"/>
      <c r="M444" s="37">
        <v>15.64</v>
      </c>
      <c r="N444" s="29">
        <v>11.67</v>
      </c>
      <c r="O444" s="71"/>
      <c r="P444" s="11"/>
      <c r="R444" t="s">
        <v>1017</v>
      </c>
      <c r="S444" t="s">
        <v>4179</v>
      </c>
      <c r="T444" t="s">
        <v>4179</v>
      </c>
      <c r="U444" s="42" t="s">
        <v>1017</v>
      </c>
      <c r="W444" s="50"/>
      <c r="X444" s="50"/>
      <c r="AA444" s="50"/>
      <c r="AD444" s="50"/>
      <c r="AE444" s="75"/>
      <c r="AH444" s="166" t="s">
        <v>8228</v>
      </c>
      <c r="AI444" s="168" t="s">
        <v>4179</v>
      </c>
      <c r="AJ444" s="168" t="s">
        <v>4179</v>
      </c>
      <c r="AK444" s="168" t="s">
        <v>4179</v>
      </c>
      <c r="AL444" s="168" t="s">
        <v>4179</v>
      </c>
      <c r="AM444" s="168" t="s">
        <v>4179</v>
      </c>
      <c r="AN444" s="167" t="s">
        <v>8228</v>
      </c>
      <c r="AO444" s="167" t="s">
        <v>8228</v>
      </c>
      <c r="AP444" s="167" t="s">
        <v>8228</v>
      </c>
      <c r="AQ444" s="169" t="s">
        <v>4179</v>
      </c>
      <c r="AR444" s="170" t="s">
        <v>3248</v>
      </c>
      <c r="AS444" s="169" t="s">
        <v>4179</v>
      </c>
      <c r="AT444">
        <v>14</v>
      </c>
      <c r="AU444" s="170" t="s">
        <v>6873</v>
      </c>
      <c r="AV444" s="169" t="s">
        <v>4179</v>
      </c>
      <c r="AW444" s="170" t="s">
        <v>3566</v>
      </c>
      <c r="AX444" s="169" t="s">
        <v>4179</v>
      </c>
      <c r="AY444" t="s">
        <v>4179</v>
      </c>
      <c r="AZ444" t="s">
        <v>4179</v>
      </c>
    </row>
    <row r="445" spans="1:52" x14ac:dyDescent="0.35">
      <c r="A445" s="497" t="s">
        <v>5214</v>
      </c>
      <c r="B445" s="13" t="s">
        <v>5547</v>
      </c>
      <c r="C445" s="13" t="s">
        <v>3726</v>
      </c>
      <c r="D445" s="17" t="s">
        <v>6874</v>
      </c>
      <c r="E445" s="13" t="s">
        <v>3054</v>
      </c>
      <c r="F445" s="371">
        <v>15.61</v>
      </c>
      <c r="G445" s="631">
        <v>45291</v>
      </c>
      <c r="H445" s="633">
        <v>45268</v>
      </c>
      <c r="K445" s="11"/>
      <c r="M445" s="37">
        <v>15.61</v>
      </c>
      <c r="N445" s="29">
        <v>11.67</v>
      </c>
      <c r="O445" s="71"/>
      <c r="P445" s="11"/>
      <c r="S445" t="s">
        <v>1017</v>
      </c>
      <c r="T445" t="s">
        <v>4179</v>
      </c>
      <c r="U445" s="42" t="s">
        <v>1017</v>
      </c>
      <c r="W445" s="50"/>
      <c r="X445" s="50"/>
      <c r="AA445" s="50"/>
      <c r="AD445" s="50"/>
      <c r="AE445" s="75"/>
      <c r="AH445" s="166" t="s">
        <v>8229</v>
      </c>
      <c r="AI445" s="168" t="s">
        <v>4179</v>
      </c>
      <c r="AJ445" s="168" t="s">
        <v>4179</v>
      </c>
      <c r="AK445" s="168" t="s">
        <v>4179</v>
      </c>
      <c r="AL445" s="168" t="s">
        <v>4179</v>
      </c>
      <c r="AM445" s="168" t="s">
        <v>4179</v>
      </c>
      <c r="AN445" s="167" t="s">
        <v>8229</v>
      </c>
      <c r="AO445" s="167" t="s">
        <v>8229</v>
      </c>
      <c r="AP445" s="167" t="s">
        <v>8229</v>
      </c>
      <c r="AQ445" s="169" t="s">
        <v>4179</v>
      </c>
      <c r="AR445" s="170" t="s">
        <v>5214</v>
      </c>
      <c r="AS445" s="169" t="s">
        <v>4179</v>
      </c>
      <c r="AT445">
        <v>14</v>
      </c>
      <c r="AU445" s="170" t="s">
        <v>6874</v>
      </c>
      <c r="AV445" s="169" t="s">
        <v>4179</v>
      </c>
      <c r="AW445" s="170" t="s">
        <v>3054</v>
      </c>
      <c r="AX445" s="169" t="s">
        <v>4179</v>
      </c>
      <c r="AY445" t="s">
        <v>1017</v>
      </c>
      <c r="AZ445" t="s">
        <v>4179</v>
      </c>
    </row>
    <row r="446" spans="1:52" x14ac:dyDescent="0.35">
      <c r="A446" s="511" t="s">
        <v>3521</v>
      </c>
      <c r="B446" s="173" t="s">
        <v>5547</v>
      </c>
      <c r="C446" s="173" t="s">
        <v>3726</v>
      </c>
      <c r="D446" s="174" t="s">
        <v>6875</v>
      </c>
      <c r="E446" s="173" t="s">
        <v>1980</v>
      </c>
      <c r="F446" s="372">
        <v>15.58</v>
      </c>
      <c r="G446" s="631">
        <v>45291</v>
      </c>
      <c r="H446" s="633">
        <v>45268</v>
      </c>
      <c r="K446" s="11"/>
      <c r="M446" s="37">
        <v>15.58</v>
      </c>
      <c r="N446" s="29">
        <v>11.67</v>
      </c>
      <c r="O446" s="71"/>
      <c r="P446" s="11"/>
      <c r="S446" t="s">
        <v>4179</v>
      </c>
      <c r="T446" t="s">
        <v>1017</v>
      </c>
      <c r="U446" s="42" t="s">
        <v>1017</v>
      </c>
      <c r="W446" s="50"/>
      <c r="X446" s="50"/>
      <c r="AA446" s="50"/>
      <c r="AD446" s="50"/>
      <c r="AE446" s="75"/>
      <c r="AH446" s="171" t="s">
        <v>4178</v>
      </c>
      <c r="AI446" s="168" t="s">
        <v>4179</v>
      </c>
      <c r="AJ446" s="168" t="s">
        <v>4179</v>
      </c>
      <c r="AK446" s="168" t="s">
        <v>4179</v>
      </c>
      <c r="AL446" s="168" t="s">
        <v>4179</v>
      </c>
      <c r="AM446" s="168" t="s">
        <v>4179</v>
      </c>
      <c r="AN446" s="167" t="s">
        <v>4178</v>
      </c>
      <c r="AO446" s="167" t="s">
        <v>4178</v>
      </c>
      <c r="AP446" s="167" t="s">
        <v>4178</v>
      </c>
      <c r="AQ446" s="169" t="s">
        <v>4179</v>
      </c>
      <c r="AR446" s="170" t="s">
        <v>3521</v>
      </c>
      <c r="AS446" s="169" t="s">
        <v>4179</v>
      </c>
      <c r="AT446">
        <v>14</v>
      </c>
      <c r="AU446" s="170" t="s">
        <v>6875</v>
      </c>
      <c r="AV446" s="169" t="s">
        <v>4179</v>
      </c>
      <c r="AW446" s="170" t="s">
        <v>1980</v>
      </c>
      <c r="AX446" s="169" t="s">
        <v>4179</v>
      </c>
      <c r="AY446" t="s">
        <v>4179</v>
      </c>
      <c r="AZ446" t="s">
        <v>1017</v>
      </c>
    </row>
    <row r="447" spans="1:52" x14ac:dyDescent="0.35">
      <c r="A447" s="505" t="s">
        <v>4399</v>
      </c>
      <c r="B447" s="23" t="s">
        <v>5547</v>
      </c>
      <c r="C447" s="23" t="s">
        <v>3726</v>
      </c>
      <c r="D447" s="24" t="s">
        <v>7346</v>
      </c>
      <c r="E447" s="152" t="s">
        <v>4809</v>
      </c>
      <c r="F447" s="370">
        <v>17.670000000000002</v>
      </c>
      <c r="G447" s="631">
        <v>45291</v>
      </c>
      <c r="H447" s="633">
        <v>45268</v>
      </c>
      <c r="K447" s="11"/>
      <c r="M447" s="37">
        <v>17.670000000000002</v>
      </c>
      <c r="N447" s="29">
        <v>11.67</v>
      </c>
      <c r="O447" s="71"/>
      <c r="P447" s="11"/>
      <c r="S447" t="s">
        <v>4179</v>
      </c>
      <c r="T447" t="s">
        <v>4179</v>
      </c>
      <c r="U447" s="42"/>
      <c r="V447" t="s">
        <v>1017</v>
      </c>
      <c r="W447" s="50"/>
      <c r="X447" s="50"/>
      <c r="AA447" s="50"/>
      <c r="AD447" s="50"/>
      <c r="AE447" s="75"/>
      <c r="AH447" s="166" t="s">
        <v>4179</v>
      </c>
      <c r="AI447" s="168" t="s">
        <v>4179</v>
      </c>
      <c r="AJ447" s="168" t="s">
        <v>4179</v>
      </c>
      <c r="AK447" s="168" t="s">
        <v>4179</v>
      </c>
      <c r="AL447" s="168" t="s">
        <v>4179</v>
      </c>
      <c r="AM447" s="168" t="s">
        <v>4179</v>
      </c>
      <c r="AN447" s="167" t="s">
        <v>4179</v>
      </c>
      <c r="AO447" s="167" t="s">
        <v>4179</v>
      </c>
      <c r="AP447" s="167" t="s">
        <v>4179</v>
      </c>
      <c r="AQ447" s="169" t="s">
        <v>4179</v>
      </c>
      <c r="AR447" s="170" t="s">
        <v>4399</v>
      </c>
      <c r="AS447" s="169" t="s">
        <v>4179</v>
      </c>
      <c r="AT447">
        <v>14</v>
      </c>
      <c r="AU447" s="170" t="s">
        <v>7346</v>
      </c>
      <c r="AV447" s="169" t="s">
        <v>4179</v>
      </c>
      <c r="AW447" s="170" t="s">
        <v>4809</v>
      </c>
      <c r="AX447" s="169" t="s">
        <v>4179</v>
      </c>
      <c r="AY447" t="s">
        <v>4179</v>
      </c>
      <c r="AZ447" t="s">
        <v>4179</v>
      </c>
    </row>
    <row r="448" spans="1:52" x14ac:dyDescent="0.35">
      <c r="A448" s="497" t="s">
        <v>4032</v>
      </c>
      <c r="B448" s="13" t="s">
        <v>5547</v>
      </c>
      <c r="C448" s="13" t="s">
        <v>3726</v>
      </c>
      <c r="D448" s="17" t="s">
        <v>7347</v>
      </c>
      <c r="E448" s="13" t="s">
        <v>4330</v>
      </c>
      <c r="F448" s="371">
        <v>20.67</v>
      </c>
      <c r="G448" s="631">
        <v>45291</v>
      </c>
      <c r="H448" s="633">
        <v>45268</v>
      </c>
      <c r="K448" s="11"/>
      <c r="M448" s="37">
        <v>20.67</v>
      </c>
      <c r="N448" s="29">
        <v>11.67</v>
      </c>
      <c r="O448" s="71"/>
      <c r="P448" t="s">
        <v>1017</v>
      </c>
      <c r="S448" t="s">
        <v>4179</v>
      </c>
      <c r="T448" t="s">
        <v>4179</v>
      </c>
      <c r="U448" s="42"/>
      <c r="V448" t="s">
        <v>1017</v>
      </c>
      <c r="W448" s="50"/>
      <c r="X448" s="50"/>
      <c r="AA448" s="50"/>
      <c r="AD448" s="50"/>
      <c r="AE448" s="75"/>
      <c r="AH448" s="166" t="s">
        <v>4179</v>
      </c>
      <c r="AI448" s="168" t="s">
        <v>4179</v>
      </c>
      <c r="AJ448" s="168" t="s">
        <v>4179</v>
      </c>
      <c r="AK448" s="168" t="s">
        <v>4179</v>
      </c>
      <c r="AL448" s="168" t="s">
        <v>4179</v>
      </c>
      <c r="AM448" s="168" t="s">
        <v>4179</v>
      </c>
      <c r="AN448" s="167" t="s">
        <v>4179</v>
      </c>
      <c r="AO448" s="167" t="s">
        <v>4179</v>
      </c>
      <c r="AP448" s="167" t="s">
        <v>4179</v>
      </c>
      <c r="AQ448" s="169" t="s">
        <v>4179</v>
      </c>
      <c r="AR448" s="170" t="s">
        <v>4032</v>
      </c>
      <c r="AS448" s="169" t="s">
        <v>4179</v>
      </c>
      <c r="AT448">
        <v>14</v>
      </c>
      <c r="AU448" s="170" t="s">
        <v>7347</v>
      </c>
      <c r="AV448" s="169" t="s">
        <v>4179</v>
      </c>
      <c r="AW448" s="170" t="s">
        <v>4330</v>
      </c>
      <c r="AX448" s="169" t="s">
        <v>4179</v>
      </c>
      <c r="AY448" t="s">
        <v>4179</v>
      </c>
      <c r="AZ448" t="s">
        <v>4179</v>
      </c>
    </row>
    <row r="449" spans="1:52" x14ac:dyDescent="0.35">
      <c r="A449" s="497" t="s">
        <v>2614</v>
      </c>
      <c r="B449" s="13" t="s">
        <v>5547</v>
      </c>
      <c r="C449" s="13" t="s">
        <v>3726</v>
      </c>
      <c r="D449" s="17" t="s">
        <v>6879</v>
      </c>
      <c r="E449" s="13" t="s">
        <v>674</v>
      </c>
      <c r="F449" s="371">
        <v>20.67</v>
      </c>
      <c r="G449" s="631">
        <v>45291</v>
      </c>
      <c r="H449" s="633">
        <v>45268</v>
      </c>
      <c r="K449" s="11"/>
      <c r="M449" s="37">
        <v>20.67</v>
      </c>
      <c r="N449" s="29">
        <v>11.67</v>
      </c>
      <c r="O449" s="71"/>
      <c r="P449" s="11"/>
      <c r="Q449" t="s">
        <v>1017</v>
      </c>
      <c r="S449" t="s">
        <v>4179</v>
      </c>
      <c r="T449" t="s">
        <v>4179</v>
      </c>
      <c r="U449" s="42"/>
      <c r="V449" t="s">
        <v>1017</v>
      </c>
      <c r="W449" s="50"/>
      <c r="X449" s="50"/>
      <c r="AA449" s="50"/>
      <c r="AD449" s="50"/>
      <c r="AE449" s="75"/>
      <c r="AH449" s="166" t="s">
        <v>4179</v>
      </c>
      <c r="AI449" s="168" t="s">
        <v>4179</v>
      </c>
      <c r="AJ449" s="168" t="s">
        <v>4179</v>
      </c>
      <c r="AK449" s="168" t="s">
        <v>4179</v>
      </c>
      <c r="AL449" s="168" t="s">
        <v>4179</v>
      </c>
      <c r="AM449" s="168" t="s">
        <v>4179</v>
      </c>
      <c r="AN449" s="167" t="s">
        <v>4179</v>
      </c>
      <c r="AO449" s="167" t="s">
        <v>4179</v>
      </c>
      <c r="AP449" s="167" t="s">
        <v>4179</v>
      </c>
      <c r="AQ449" s="169" t="s">
        <v>4179</v>
      </c>
      <c r="AR449" s="170" t="s">
        <v>2614</v>
      </c>
      <c r="AS449" s="169" t="s">
        <v>4179</v>
      </c>
      <c r="AT449">
        <v>14</v>
      </c>
      <c r="AU449" s="170" t="s">
        <v>6879</v>
      </c>
      <c r="AV449" s="169" t="s">
        <v>4179</v>
      </c>
      <c r="AW449" s="170" t="s">
        <v>674</v>
      </c>
      <c r="AX449" s="169" t="s">
        <v>4179</v>
      </c>
      <c r="AY449" t="s">
        <v>4179</v>
      </c>
      <c r="AZ449" t="s">
        <v>4179</v>
      </c>
    </row>
    <row r="450" spans="1:52" s="145" customFormat="1" x14ac:dyDescent="0.35">
      <c r="A450" s="497" t="s">
        <v>3249</v>
      </c>
      <c r="B450" s="13" t="s">
        <v>5547</v>
      </c>
      <c r="C450" s="13" t="s">
        <v>3726</v>
      </c>
      <c r="D450" s="17" t="s">
        <v>6880</v>
      </c>
      <c r="E450" s="13" t="s">
        <v>3566</v>
      </c>
      <c r="F450" s="371">
        <v>20.64</v>
      </c>
      <c r="G450" s="631">
        <v>45291</v>
      </c>
      <c r="H450" s="633">
        <v>45268</v>
      </c>
      <c r="I450"/>
      <c r="J450"/>
      <c r="K450" s="11"/>
      <c r="L450"/>
      <c r="M450" s="37">
        <v>20.64</v>
      </c>
      <c r="N450" s="29">
        <v>11.67</v>
      </c>
      <c r="O450" s="71"/>
      <c r="P450" s="11"/>
      <c r="Q450"/>
      <c r="R450" t="s">
        <v>1017</v>
      </c>
      <c r="S450" t="s">
        <v>4179</v>
      </c>
      <c r="T450" s="145" t="s">
        <v>4179</v>
      </c>
      <c r="U450" s="42"/>
      <c r="V450" t="s">
        <v>1017</v>
      </c>
      <c r="W450" s="50"/>
      <c r="X450" s="50"/>
      <c r="Y450"/>
      <c r="Z450"/>
      <c r="AA450" s="50"/>
      <c r="AB450"/>
      <c r="AC450"/>
      <c r="AD450" s="50"/>
      <c r="AE450" s="75"/>
      <c r="AF450"/>
      <c r="AG450"/>
      <c r="AH450" s="166" t="s">
        <v>8228</v>
      </c>
      <c r="AI450" s="168" t="s">
        <v>4179</v>
      </c>
      <c r="AJ450" s="168" t="s">
        <v>4179</v>
      </c>
      <c r="AK450" s="168" t="s">
        <v>4179</v>
      </c>
      <c r="AL450" s="168" t="s">
        <v>4179</v>
      </c>
      <c r="AM450" s="168" t="s">
        <v>4179</v>
      </c>
      <c r="AN450" s="167" t="s">
        <v>8228</v>
      </c>
      <c r="AO450" s="167" t="s">
        <v>8228</v>
      </c>
      <c r="AP450" s="167" t="s">
        <v>8228</v>
      </c>
      <c r="AQ450" s="169" t="s">
        <v>4179</v>
      </c>
      <c r="AR450" s="170" t="s">
        <v>3249</v>
      </c>
      <c r="AS450" s="169" t="s">
        <v>4179</v>
      </c>
      <c r="AT450">
        <v>14</v>
      </c>
      <c r="AU450" s="170" t="s">
        <v>6880</v>
      </c>
      <c r="AV450" s="169" t="s">
        <v>4179</v>
      </c>
      <c r="AW450" s="170" t="s">
        <v>3566</v>
      </c>
      <c r="AX450" s="169" t="s">
        <v>4179</v>
      </c>
      <c r="AY450" t="s">
        <v>4179</v>
      </c>
      <c r="AZ450" t="s">
        <v>4179</v>
      </c>
    </row>
    <row r="451" spans="1:52" s="145" customFormat="1" x14ac:dyDescent="0.35">
      <c r="A451" s="497" t="s">
        <v>5215</v>
      </c>
      <c r="B451" s="13" t="s">
        <v>5547</v>
      </c>
      <c r="C451" s="13" t="s">
        <v>3726</v>
      </c>
      <c r="D451" s="17" t="s">
        <v>6881</v>
      </c>
      <c r="E451" s="13" t="s">
        <v>3054</v>
      </c>
      <c r="F451" s="371">
        <v>20.61</v>
      </c>
      <c r="G451" s="631">
        <v>45291</v>
      </c>
      <c r="H451" s="633">
        <v>45268</v>
      </c>
      <c r="I451"/>
      <c r="J451"/>
      <c r="K451" s="11"/>
      <c r="L451"/>
      <c r="M451" s="37">
        <v>20.61</v>
      </c>
      <c r="N451" s="29">
        <v>11.67</v>
      </c>
      <c r="O451" s="71"/>
      <c r="P451" s="11"/>
      <c r="Q451"/>
      <c r="R451"/>
      <c r="S451" t="s">
        <v>1017</v>
      </c>
      <c r="T451" s="145" t="s">
        <v>4179</v>
      </c>
      <c r="U451" s="42"/>
      <c r="V451" t="s">
        <v>1017</v>
      </c>
      <c r="W451" s="50"/>
      <c r="X451" s="50"/>
      <c r="Y451"/>
      <c r="Z451"/>
      <c r="AA451" s="50"/>
      <c r="AB451"/>
      <c r="AC451"/>
      <c r="AD451" s="50"/>
      <c r="AE451" s="75"/>
      <c r="AF451"/>
      <c r="AG451"/>
      <c r="AH451" s="166" t="s">
        <v>8229</v>
      </c>
      <c r="AI451" s="168" t="s">
        <v>4179</v>
      </c>
      <c r="AJ451" s="168" t="s">
        <v>4179</v>
      </c>
      <c r="AK451" s="168" t="s">
        <v>4179</v>
      </c>
      <c r="AL451" s="168" t="s">
        <v>4179</v>
      </c>
      <c r="AM451" s="168" t="s">
        <v>4179</v>
      </c>
      <c r="AN451" s="167" t="s">
        <v>8229</v>
      </c>
      <c r="AO451" s="167" t="s">
        <v>8229</v>
      </c>
      <c r="AP451" s="167" t="s">
        <v>8229</v>
      </c>
      <c r="AQ451" s="169" t="s">
        <v>4179</v>
      </c>
      <c r="AR451" s="170" t="s">
        <v>5215</v>
      </c>
      <c r="AS451" s="169" t="s">
        <v>4179</v>
      </c>
      <c r="AT451">
        <v>14</v>
      </c>
      <c r="AU451" s="170" t="s">
        <v>6881</v>
      </c>
      <c r="AV451" s="169" t="s">
        <v>4179</v>
      </c>
      <c r="AW451" s="170" t="s">
        <v>3054</v>
      </c>
      <c r="AX451" s="169" t="s">
        <v>4179</v>
      </c>
      <c r="AY451" t="s">
        <v>1017</v>
      </c>
      <c r="AZ451" t="s">
        <v>4179</v>
      </c>
    </row>
    <row r="452" spans="1:52" s="145" customFormat="1" x14ac:dyDescent="0.35">
      <c r="A452" s="511" t="s">
        <v>3522</v>
      </c>
      <c r="B452" s="173" t="s">
        <v>5547</v>
      </c>
      <c r="C452" s="173" t="s">
        <v>3726</v>
      </c>
      <c r="D452" s="174" t="s">
        <v>6882</v>
      </c>
      <c r="E452" s="173" t="s">
        <v>1980</v>
      </c>
      <c r="F452" s="372">
        <v>20.58</v>
      </c>
      <c r="G452" s="631">
        <v>45291</v>
      </c>
      <c r="H452" s="633">
        <v>45268</v>
      </c>
      <c r="I452"/>
      <c r="J452"/>
      <c r="K452" s="11"/>
      <c r="L452"/>
      <c r="M452" s="37">
        <v>20.58</v>
      </c>
      <c r="N452" s="29">
        <v>11.67</v>
      </c>
      <c r="O452" s="71"/>
      <c r="P452" s="11"/>
      <c r="Q452"/>
      <c r="R452"/>
      <c r="S452" t="s">
        <v>4179</v>
      </c>
      <c r="T452" s="145" t="s">
        <v>1017</v>
      </c>
      <c r="U452" s="42"/>
      <c r="V452" t="s">
        <v>1017</v>
      </c>
      <c r="W452" s="50"/>
      <c r="X452" s="50"/>
      <c r="Y452"/>
      <c r="Z452"/>
      <c r="AA452" s="50"/>
      <c r="AB452"/>
      <c r="AC452"/>
      <c r="AD452" s="50"/>
      <c r="AE452" s="75"/>
      <c r="AF452"/>
      <c r="AG452"/>
      <c r="AH452" s="171" t="s">
        <v>4178</v>
      </c>
      <c r="AI452" s="168" t="s">
        <v>4179</v>
      </c>
      <c r="AJ452" s="168" t="s">
        <v>4179</v>
      </c>
      <c r="AK452" s="168" t="s">
        <v>4179</v>
      </c>
      <c r="AL452" s="168" t="s">
        <v>4179</v>
      </c>
      <c r="AM452" s="168" t="s">
        <v>4179</v>
      </c>
      <c r="AN452" s="167" t="s">
        <v>4178</v>
      </c>
      <c r="AO452" s="167" t="s">
        <v>4178</v>
      </c>
      <c r="AP452" s="167" t="s">
        <v>4178</v>
      </c>
      <c r="AQ452" s="169" t="s">
        <v>4179</v>
      </c>
      <c r="AR452" s="170" t="s">
        <v>3522</v>
      </c>
      <c r="AS452" s="169" t="s">
        <v>4179</v>
      </c>
      <c r="AT452">
        <v>14</v>
      </c>
      <c r="AU452" s="170" t="s">
        <v>6882</v>
      </c>
      <c r="AV452" s="169" t="s">
        <v>4179</v>
      </c>
      <c r="AW452" s="170" t="s">
        <v>1980</v>
      </c>
      <c r="AX452" s="169" t="s">
        <v>4179</v>
      </c>
      <c r="AY452" t="s">
        <v>4179</v>
      </c>
      <c r="AZ452" t="s">
        <v>1017</v>
      </c>
    </row>
    <row r="453" spans="1:52" s="145" customFormat="1" x14ac:dyDescent="0.35">
      <c r="A453" s="497" t="s">
        <v>3051</v>
      </c>
      <c r="B453" s="13" t="s">
        <v>5547</v>
      </c>
      <c r="C453" s="13" t="s">
        <v>3726</v>
      </c>
      <c r="D453" s="17" t="s">
        <v>7348</v>
      </c>
      <c r="E453" s="153" t="s">
        <v>4809</v>
      </c>
      <c r="F453" s="371">
        <v>18.670000000000002</v>
      </c>
      <c r="G453" s="631">
        <v>45291</v>
      </c>
      <c r="H453" s="633">
        <v>45268</v>
      </c>
      <c r="I453"/>
      <c r="J453"/>
      <c r="K453" s="11"/>
      <c r="L453"/>
      <c r="M453" s="37">
        <v>18.670000000000002</v>
      </c>
      <c r="N453" s="29">
        <v>11.67</v>
      </c>
      <c r="O453" s="71"/>
      <c r="P453" s="11"/>
      <c r="Q453"/>
      <c r="R453"/>
      <c r="S453" t="s">
        <v>4179</v>
      </c>
      <c r="T453" s="145" t="s">
        <v>4179</v>
      </c>
      <c r="U453" s="42" t="s">
        <v>1017</v>
      </c>
      <c r="V453" t="s">
        <v>1017</v>
      </c>
      <c r="W453" s="50"/>
      <c r="X453" s="50"/>
      <c r="Y453"/>
      <c r="Z453"/>
      <c r="AA453" s="50"/>
      <c r="AB453"/>
      <c r="AC453"/>
      <c r="AD453" s="50"/>
      <c r="AE453" s="75"/>
      <c r="AF453"/>
      <c r="AG453"/>
      <c r="AH453" s="166" t="s">
        <v>4179</v>
      </c>
      <c r="AI453" s="168" t="s">
        <v>4179</v>
      </c>
      <c r="AJ453" s="168" t="s">
        <v>4179</v>
      </c>
      <c r="AK453" s="168" t="s">
        <v>4179</v>
      </c>
      <c r="AL453" s="168" t="s">
        <v>4179</v>
      </c>
      <c r="AM453" s="168" t="s">
        <v>4179</v>
      </c>
      <c r="AN453" s="167" t="s">
        <v>4179</v>
      </c>
      <c r="AO453" s="167" t="s">
        <v>4179</v>
      </c>
      <c r="AP453" s="167" t="s">
        <v>4179</v>
      </c>
      <c r="AQ453" s="169" t="s">
        <v>4179</v>
      </c>
      <c r="AR453" s="170" t="s">
        <v>3051</v>
      </c>
      <c r="AS453" s="169" t="s">
        <v>4179</v>
      </c>
      <c r="AT453">
        <v>14</v>
      </c>
      <c r="AU453" s="170" t="s">
        <v>7348</v>
      </c>
      <c r="AV453" s="169" t="s">
        <v>4179</v>
      </c>
      <c r="AW453" s="170" t="s">
        <v>4809</v>
      </c>
      <c r="AX453" s="169" t="s">
        <v>4179</v>
      </c>
      <c r="AY453" t="s">
        <v>4179</v>
      </c>
      <c r="AZ453" t="s">
        <v>4179</v>
      </c>
    </row>
    <row r="454" spans="1:52" s="145" customFormat="1" x14ac:dyDescent="0.35">
      <c r="A454" s="497" t="s">
        <v>3052</v>
      </c>
      <c r="B454" s="13" t="s">
        <v>5547</v>
      </c>
      <c r="C454" s="13" t="s">
        <v>3726</v>
      </c>
      <c r="D454" s="17" t="s">
        <v>6885</v>
      </c>
      <c r="E454" s="13" t="s">
        <v>4330</v>
      </c>
      <c r="F454" s="371">
        <v>21.67</v>
      </c>
      <c r="G454" s="631">
        <v>45291</v>
      </c>
      <c r="H454" s="633">
        <v>45268</v>
      </c>
      <c r="I454"/>
      <c r="J454"/>
      <c r="K454" s="11"/>
      <c r="L454"/>
      <c r="M454" s="37">
        <v>21.67</v>
      </c>
      <c r="N454" s="29">
        <v>11.67</v>
      </c>
      <c r="O454" s="71"/>
      <c r="P454" t="s">
        <v>1017</v>
      </c>
      <c r="Q454"/>
      <c r="R454"/>
      <c r="S454" t="s">
        <v>4179</v>
      </c>
      <c r="T454" s="145" t="s">
        <v>4179</v>
      </c>
      <c r="U454" s="42" t="s">
        <v>1017</v>
      </c>
      <c r="V454" t="s">
        <v>1017</v>
      </c>
      <c r="W454" s="50"/>
      <c r="X454" s="50"/>
      <c r="Y454"/>
      <c r="Z454"/>
      <c r="AA454" s="50"/>
      <c r="AB454"/>
      <c r="AC454"/>
      <c r="AD454" s="50"/>
      <c r="AE454" s="75"/>
      <c r="AF454"/>
      <c r="AG454"/>
      <c r="AH454" s="166" t="s">
        <v>4179</v>
      </c>
      <c r="AI454" s="168" t="s">
        <v>4179</v>
      </c>
      <c r="AJ454" s="168" t="s">
        <v>4179</v>
      </c>
      <c r="AK454" s="168" t="s">
        <v>4179</v>
      </c>
      <c r="AL454" s="168" t="s">
        <v>4179</v>
      </c>
      <c r="AM454" s="168" t="s">
        <v>4179</v>
      </c>
      <c r="AN454" s="167" t="s">
        <v>4179</v>
      </c>
      <c r="AO454" s="167" t="s">
        <v>4179</v>
      </c>
      <c r="AP454" s="167" t="s">
        <v>4179</v>
      </c>
      <c r="AQ454" s="169" t="s">
        <v>4179</v>
      </c>
      <c r="AR454" s="170" t="s">
        <v>3052</v>
      </c>
      <c r="AS454" s="169" t="s">
        <v>4179</v>
      </c>
      <c r="AT454">
        <v>14</v>
      </c>
      <c r="AU454" s="170" t="s">
        <v>6885</v>
      </c>
      <c r="AV454" s="169" t="s">
        <v>4179</v>
      </c>
      <c r="AW454" s="170" t="s">
        <v>4330</v>
      </c>
      <c r="AX454" s="169" t="s">
        <v>4179</v>
      </c>
      <c r="AY454" t="s">
        <v>4179</v>
      </c>
      <c r="AZ454" t="s">
        <v>4179</v>
      </c>
    </row>
    <row r="455" spans="1:52" s="145" customFormat="1" x14ac:dyDescent="0.35">
      <c r="A455" s="497" t="s">
        <v>3053</v>
      </c>
      <c r="B455" s="13" t="s">
        <v>5547</v>
      </c>
      <c r="C455" s="13" t="s">
        <v>3726</v>
      </c>
      <c r="D455" s="17" t="s">
        <v>6886</v>
      </c>
      <c r="E455" s="13" t="s">
        <v>674</v>
      </c>
      <c r="F455" s="371">
        <v>21.67</v>
      </c>
      <c r="G455" s="631">
        <v>45291</v>
      </c>
      <c r="H455" s="633">
        <v>45268</v>
      </c>
      <c r="I455"/>
      <c r="J455"/>
      <c r="K455" s="11"/>
      <c r="L455"/>
      <c r="M455" s="37">
        <v>21.67</v>
      </c>
      <c r="N455" s="29">
        <v>11.67</v>
      </c>
      <c r="O455" s="71"/>
      <c r="P455" s="11"/>
      <c r="Q455" t="s">
        <v>1017</v>
      </c>
      <c r="R455"/>
      <c r="S455" t="s">
        <v>4179</v>
      </c>
      <c r="T455" s="145" t="s">
        <v>4179</v>
      </c>
      <c r="U455" s="42" t="s">
        <v>1017</v>
      </c>
      <c r="V455" t="s">
        <v>1017</v>
      </c>
      <c r="W455" s="50"/>
      <c r="X455" s="50"/>
      <c r="Y455"/>
      <c r="Z455"/>
      <c r="AA455" s="50"/>
      <c r="AB455"/>
      <c r="AC455"/>
      <c r="AD455" s="50"/>
      <c r="AE455" s="75"/>
      <c r="AF455"/>
      <c r="AG455"/>
      <c r="AH455" s="166" t="s">
        <v>4179</v>
      </c>
      <c r="AI455" s="168" t="s">
        <v>4179</v>
      </c>
      <c r="AJ455" s="168" t="s">
        <v>4179</v>
      </c>
      <c r="AK455" s="168" t="s">
        <v>4179</v>
      </c>
      <c r="AL455" s="168" t="s">
        <v>4179</v>
      </c>
      <c r="AM455" s="168" t="s">
        <v>4179</v>
      </c>
      <c r="AN455" s="167" t="s">
        <v>4179</v>
      </c>
      <c r="AO455" s="167" t="s">
        <v>4179</v>
      </c>
      <c r="AP455" s="167" t="s">
        <v>4179</v>
      </c>
      <c r="AQ455" s="169" t="s">
        <v>4179</v>
      </c>
      <c r="AR455" s="170" t="s">
        <v>3053</v>
      </c>
      <c r="AS455" s="169" t="s">
        <v>4179</v>
      </c>
      <c r="AT455">
        <v>14</v>
      </c>
      <c r="AU455" s="170" t="s">
        <v>6886</v>
      </c>
      <c r="AV455" s="169" t="s">
        <v>4179</v>
      </c>
      <c r="AW455" s="170" t="s">
        <v>674</v>
      </c>
      <c r="AX455" s="169" t="s">
        <v>4179</v>
      </c>
      <c r="AY455" t="s">
        <v>4179</v>
      </c>
      <c r="AZ455" t="s">
        <v>4179</v>
      </c>
    </row>
    <row r="456" spans="1:52" s="145" customFormat="1" x14ac:dyDescent="0.35">
      <c r="A456" s="497" t="s">
        <v>3250</v>
      </c>
      <c r="B456" s="13" t="s">
        <v>5547</v>
      </c>
      <c r="C456" s="13" t="s">
        <v>3726</v>
      </c>
      <c r="D456" s="17" t="s">
        <v>6887</v>
      </c>
      <c r="E456" s="13" t="s">
        <v>3566</v>
      </c>
      <c r="F456" s="371">
        <v>21.64</v>
      </c>
      <c r="G456" s="631">
        <v>45291</v>
      </c>
      <c r="H456" s="633">
        <v>45268</v>
      </c>
      <c r="I456"/>
      <c r="J456"/>
      <c r="K456" s="11"/>
      <c r="L456"/>
      <c r="M456" s="37">
        <v>21.64</v>
      </c>
      <c r="N456" s="29">
        <v>11.67</v>
      </c>
      <c r="O456" s="71"/>
      <c r="P456" s="11"/>
      <c r="Q456"/>
      <c r="R456" t="s">
        <v>1017</v>
      </c>
      <c r="S456" t="s">
        <v>4179</v>
      </c>
      <c r="T456" s="145" t="s">
        <v>4179</v>
      </c>
      <c r="U456" s="42" t="s">
        <v>1017</v>
      </c>
      <c r="V456" t="s">
        <v>1017</v>
      </c>
      <c r="W456" s="50"/>
      <c r="X456" s="50"/>
      <c r="Y456"/>
      <c r="Z456"/>
      <c r="AA456" s="50"/>
      <c r="AB456"/>
      <c r="AC456"/>
      <c r="AD456" s="50"/>
      <c r="AE456" s="75"/>
      <c r="AF456"/>
      <c r="AG456"/>
      <c r="AH456" s="166" t="s">
        <v>8228</v>
      </c>
      <c r="AI456" s="168" t="s">
        <v>4179</v>
      </c>
      <c r="AJ456" s="168" t="s">
        <v>4179</v>
      </c>
      <c r="AK456" s="168" t="s">
        <v>4179</v>
      </c>
      <c r="AL456" s="168" t="s">
        <v>4179</v>
      </c>
      <c r="AM456" s="168" t="s">
        <v>4179</v>
      </c>
      <c r="AN456" s="167" t="s">
        <v>8228</v>
      </c>
      <c r="AO456" s="167" t="s">
        <v>8228</v>
      </c>
      <c r="AP456" s="167" t="s">
        <v>8228</v>
      </c>
      <c r="AQ456" s="169" t="s">
        <v>4179</v>
      </c>
      <c r="AR456" s="170" t="s">
        <v>3250</v>
      </c>
      <c r="AS456" s="169" t="s">
        <v>4179</v>
      </c>
      <c r="AT456">
        <v>14</v>
      </c>
      <c r="AU456" s="170" t="s">
        <v>6887</v>
      </c>
      <c r="AV456" s="169" t="s">
        <v>4179</v>
      </c>
      <c r="AW456" s="170" t="s">
        <v>3566</v>
      </c>
      <c r="AX456" s="169" t="s">
        <v>4179</v>
      </c>
      <c r="AY456" t="s">
        <v>4179</v>
      </c>
      <c r="AZ456" t="s">
        <v>4179</v>
      </c>
    </row>
    <row r="457" spans="1:52" s="145" customFormat="1" x14ac:dyDescent="0.35">
      <c r="A457" s="497" t="s">
        <v>5216</v>
      </c>
      <c r="B457" s="13" t="s">
        <v>5547</v>
      </c>
      <c r="C457" s="13" t="s">
        <v>3726</v>
      </c>
      <c r="D457" s="17" t="s">
        <v>6888</v>
      </c>
      <c r="E457" s="13" t="s">
        <v>3054</v>
      </c>
      <c r="F457" s="371">
        <v>21.61</v>
      </c>
      <c r="G457" s="631">
        <v>45291</v>
      </c>
      <c r="H457" s="633">
        <v>45268</v>
      </c>
      <c r="I457"/>
      <c r="J457"/>
      <c r="K457" s="11"/>
      <c r="L457"/>
      <c r="M457" s="37">
        <v>21.61</v>
      </c>
      <c r="N457" s="29">
        <v>11.67</v>
      </c>
      <c r="O457" s="71"/>
      <c r="P457" s="11"/>
      <c r="Q457"/>
      <c r="R457"/>
      <c r="S457" t="s">
        <v>1017</v>
      </c>
      <c r="T457" s="145" t="s">
        <v>4179</v>
      </c>
      <c r="U457" s="42" t="s">
        <v>1017</v>
      </c>
      <c r="V457" t="s">
        <v>1017</v>
      </c>
      <c r="W457" s="50"/>
      <c r="X457" s="50"/>
      <c r="Y457"/>
      <c r="Z457"/>
      <c r="AA457" s="50"/>
      <c r="AB457"/>
      <c r="AC457"/>
      <c r="AD457" s="50"/>
      <c r="AE457" s="75"/>
      <c r="AF457"/>
      <c r="AG457"/>
      <c r="AH457" s="166" t="s">
        <v>8229</v>
      </c>
      <c r="AI457" s="168" t="s">
        <v>4179</v>
      </c>
      <c r="AJ457" s="168" t="s">
        <v>4179</v>
      </c>
      <c r="AK457" s="168" t="s">
        <v>4179</v>
      </c>
      <c r="AL457" s="168" t="s">
        <v>4179</v>
      </c>
      <c r="AM457" s="168" t="s">
        <v>4179</v>
      </c>
      <c r="AN457" s="167" t="s">
        <v>8229</v>
      </c>
      <c r="AO457" s="167" t="s">
        <v>8229</v>
      </c>
      <c r="AP457" s="167" t="s">
        <v>8229</v>
      </c>
      <c r="AQ457" s="169" t="s">
        <v>4179</v>
      </c>
      <c r="AR457" s="170" t="s">
        <v>5216</v>
      </c>
      <c r="AS457" s="169" t="s">
        <v>4179</v>
      </c>
      <c r="AT457">
        <v>14</v>
      </c>
      <c r="AU457" s="170" t="s">
        <v>6888</v>
      </c>
      <c r="AV457" s="169" t="s">
        <v>4179</v>
      </c>
      <c r="AW457" s="170" t="s">
        <v>3054</v>
      </c>
      <c r="AX457" s="169" t="s">
        <v>4179</v>
      </c>
      <c r="AY457" t="s">
        <v>1017</v>
      </c>
      <c r="AZ457" t="s">
        <v>4179</v>
      </c>
    </row>
    <row r="458" spans="1:52" s="145" customFormat="1" x14ac:dyDescent="0.35">
      <c r="A458" s="511" t="s">
        <v>3523</v>
      </c>
      <c r="B458" s="173" t="s">
        <v>5547</v>
      </c>
      <c r="C458" s="173" t="s">
        <v>3726</v>
      </c>
      <c r="D458" s="174" t="s">
        <v>6889</v>
      </c>
      <c r="E458" s="173" t="s">
        <v>1980</v>
      </c>
      <c r="F458" s="372">
        <v>21.58</v>
      </c>
      <c r="G458" s="631">
        <v>45291</v>
      </c>
      <c r="H458" s="633">
        <v>45268</v>
      </c>
      <c r="I458"/>
      <c r="J458"/>
      <c r="K458" s="11"/>
      <c r="L458"/>
      <c r="M458" s="37">
        <v>21.58</v>
      </c>
      <c r="N458" s="29">
        <v>11.67</v>
      </c>
      <c r="O458" s="71"/>
      <c r="P458" s="11"/>
      <c r="Q458"/>
      <c r="R458"/>
      <c r="S458" t="s">
        <v>4179</v>
      </c>
      <c r="T458" s="145" t="s">
        <v>1017</v>
      </c>
      <c r="U458" s="42" t="s">
        <v>1017</v>
      </c>
      <c r="V458" t="s">
        <v>1017</v>
      </c>
      <c r="W458" s="50"/>
      <c r="X458" s="50"/>
      <c r="Y458"/>
      <c r="Z458"/>
      <c r="AA458" s="50"/>
      <c r="AB458"/>
      <c r="AC458"/>
      <c r="AD458" s="50"/>
      <c r="AE458" s="75"/>
      <c r="AF458"/>
      <c r="AG458"/>
      <c r="AH458" s="171" t="s">
        <v>4178</v>
      </c>
      <c r="AI458" s="168" t="s">
        <v>4179</v>
      </c>
      <c r="AJ458" s="168" t="s">
        <v>4179</v>
      </c>
      <c r="AK458" s="168" t="s">
        <v>4179</v>
      </c>
      <c r="AL458" s="168" t="s">
        <v>4179</v>
      </c>
      <c r="AM458" s="168" t="s">
        <v>4179</v>
      </c>
      <c r="AN458" s="167" t="s">
        <v>4178</v>
      </c>
      <c r="AO458" s="167" t="s">
        <v>4178</v>
      </c>
      <c r="AP458" s="167" t="s">
        <v>4178</v>
      </c>
      <c r="AQ458" s="169" t="s">
        <v>4179</v>
      </c>
      <c r="AR458" s="170" t="s">
        <v>3523</v>
      </c>
      <c r="AS458" s="169" t="s">
        <v>4179</v>
      </c>
      <c r="AT458">
        <v>14</v>
      </c>
      <c r="AU458" s="170" t="s">
        <v>6889</v>
      </c>
      <c r="AV458" s="169" t="s">
        <v>4179</v>
      </c>
      <c r="AW458" s="170" t="s">
        <v>1980</v>
      </c>
      <c r="AX458" s="169" t="s">
        <v>4179</v>
      </c>
      <c r="AY458" t="s">
        <v>4179</v>
      </c>
      <c r="AZ458" t="s">
        <v>1017</v>
      </c>
    </row>
    <row r="459" spans="1:52" s="145" customFormat="1" x14ac:dyDescent="0.35">
      <c r="A459" s="497" t="s">
        <v>1084</v>
      </c>
      <c r="B459" s="13" t="s">
        <v>5547</v>
      </c>
      <c r="C459" s="13" t="s">
        <v>3726</v>
      </c>
      <c r="D459" s="13" t="s">
        <v>6805</v>
      </c>
      <c r="E459" s="13" t="s">
        <v>4809</v>
      </c>
      <c r="F459" s="373">
        <v>18.670000000000002</v>
      </c>
      <c r="G459" s="631">
        <v>45291</v>
      </c>
      <c r="H459" s="633">
        <v>45268</v>
      </c>
      <c r="I459"/>
      <c r="J459"/>
      <c r="K459" s="11"/>
      <c r="L459"/>
      <c r="M459" s="37">
        <v>18.670000000000002</v>
      </c>
      <c r="N459" s="29">
        <v>11.67</v>
      </c>
      <c r="O459" s="143"/>
      <c r="P459" s="144"/>
      <c r="S459" s="145" t="s">
        <v>4179</v>
      </c>
      <c r="T459" s="145" t="s">
        <v>4179</v>
      </c>
      <c r="U459" s="146"/>
      <c r="W459" s="147"/>
      <c r="X459" s="147"/>
      <c r="Y459" s="145" t="s">
        <v>1017</v>
      </c>
      <c r="AA459" s="147"/>
      <c r="AD459" s="147"/>
      <c r="AE459" s="148"/>
      <c r="AH459" s="166" t="s">
        <v>4179</v>
      </c>
      <c r="AI459" s="168" t="s">
        <v>4179</v>
      </c>
      <c r="AJ459" s="168" t="s">
        <v>4179</v>
      </c>
      <c r="AK459" s="168" t="s">
        <v>4179</v>
      </c>
      <c r="AL459" s="168" t="s">
        <v>4179</v>
      </c>
      <c r="AM459" s="168" t="s">
        <v>4179</v>
      </c>
      <c r="AN459" s="167" t="s">
        <v>4179</v>
      </c>
      <c r="AO459" s="167" t="s">
        <v>4179</v>
      </c>
      <c r="AP459" s="167" t="s">
        <v>4179</v>
      </c>
      <c r="AQ459" s="169" t="s">
        <v>4179</v>
      </c>
      <c r="AR459" s="170" t="s">
        <v>1084</v>
      </c>
      <c r="AS459" s="169" t="s">
        <v>4179</v>
      </c>
      <c r="AT459">
        <v>14</v>
      </c>
      <c r="AU459" s="170" t="s">
        <v>6805</v>
      </c>
      <c r="AV459" s="169" t="s">
        <v>4179</v>
      </c>
      <c r="AW459" s="170" t="s">
        <v>4809</v>
      </c>
      <c r="AX459" s="169" t="s">
        <v>4179</v>
      </c>
      <c r="AY459" t="s">
        <v>4179</v>
      </c>
      <c r="AZ459" t="s">
        <v>4179</v>
      </c>
    </row>
    <row r="460" spans="1:52" s="145" customFormat="1" x14ac:dyDescent="0.35">
      <c r="A460" s="497" t="s">
        <v>1085</v>
      </c>
      <c r="B460" s="13" t="s">
        <v>5547</v>
      </c>
      <c r="C460" s="13" t="s">
        <v>3726</v>
      </c>
      <c r="D460" s="13" t="s">
        <v>6806</v>
      </c>
      <c r="E460" s="13" t="s">
        <v>4330</v>
      </c>
      <c r="F460" s="373">
        <v>21.67</v>
      </c>
      <c r="G460" s="631">
        <v>45291</v>
      </c>
      <c r="H460" s="633">
        <v>45268</v>
      </c>
      <c r="I460"/>
      <c r="J460"/>
      <c r="K460" s="11"/>
      <c r="L460"/>
      <c r="M460" s="37">
        <v>21.67</v>
      </c>
      <c r="N460" s="29">
        <v>11.67</v>
      </c>
      <c r="O460" s="143"/>
      <c r="P460" s="145" t="s">
        <v>1017</v>
      </c>
      <c r="S460" s="145" t="s">
        <v>4179</v>
      </c>
      <c r="T460" s="145" t="s">
        <v>4179</v>
      </c>
      <c r="U460" s="146"/>
      <c r="W460" s="147"/>
      <c r="X460" s="147"/>
      <c r="Y460" s="145" t="s">
        <v>1017</v>
      </c>
      <c r="AA460" s="147"/>
      <c r="AD460" s="147"/>
      <c r="AE460" s="148"/>
      <c r="AH460" s="166" t="s">
        <v>4179</v>
      </c>
      <c r="AI460" s="168" t="s">
        <v>4179</v>
      </c>
      <c r="AJ460" s="168" t="s">
        <v>4179</v>
      </c>
      <c r="AK460" s="168" t="s">
        <v>4179</v>
      </c>
      <c r="AL460" s="168" t="s">
        <v>4179</v>
      </c>
      <c r="AM460" s="168" t="s">
        <v>4179</v>
      </c>
      <c r="AN460" s="167" t="s">
        <v>4179</v>
      </c>
      <c r="AO460" s="167" t="s">
        <v>4179</v>
      </c>
      <c r="AP460" s="167" t="s">
        <v>4179</v>
      </c>
      <c r="AQ460" s="169" t="s">
        <v>4179</v>
      </c>
      <c r="AR460" s="170" t="s">
        <v>1085</v>
      </c>
      <c r="AS460" s="169" t="s">
        <v>4179</v>
      </c>
      <c r="AT460">
        <v>14</v>
      </c>
      <c r="AU460" s="170" t="s">
        <v>6806</v>
      </c>
      <c r="AV460" s="169" t="s">
        <v>4179</v>
      </c>
      <c r="AW460" s="170" t="s">
        <v>4330</v>
      </c>
      <c r="AX460" s="169" t="s">
        <v>4179</v>
      </c>
      <c r="AY460" t="s">
        <v>4179</v>
      </c>
      <c r="AZ460" t="s">
        <v>4179</v>
      </c>
    </row>
    <row r="461" spans="1:52" s="145" customFormat="1" x14ac:dyDescent="0.35">
      <c r="A461" s="497" t="s">
        <v>1086</v>
      </c>
      <c r="B461" s="13" t="s">
        <v>5547</v>
      </c>
      <c r="C461" s="13" t="s">
        <v>3726</v>
      </c>
      <c r="D461" s="13" t="s">
        <v>6807</v>
      </c>
      <c r="E461" s="13" t="s">
        <v>674</v>
      </c>
      <c r="F461" s="373">
        <v>21.67</v>
      </c>
      <c r="G461" s="631">
        <v>45291</v>
      </c>
      <c r="H461" s="633">
        <v>45268</v>
      </c>
      <c r="I461"/>
      <c r="J461"/>
      <c r="K461" s="11"/>
      <c r="L461"/>
      <c r="M461" s="37">
        <v>21.67</v>
      </c>
      <c r="N461" s="29">
        <v>11.67</v>
      </c>
      <c r="O461" s="143"/>
      <c r="P461" s="144"/>
      <c r="Q461" s="145" t="s">
        <v>1017</v>
      </c>
      <c r="S461" s="145" t="s">
        <v>4179</v>
      </c>
      <c r="T461" s="145" t="s">
        <v>4179</v>
      </c>
      <c r="U461" s="146"/>
      <c r="W461" s="147"/>
      <c r="X461" s="147"/>
      <c r="Y461" s="145" t="s">
        <v>1017</v>
      </c>
      <c r="AA461" s="147"/>
      <c r="AD461" s="147"/>
      <c r="AE461" s="148"/>
      <c r="AH461" s="166" t="s">
        <v>4179</v>
      </c>
      <c r="AI461" s="168" t="s">
        <v>4179</v>
      </c>
      <c r="AJ461" s="168" t="s">
        <v>4179</v>
      </c>
      <c r="AK461" s="168" t="s">
        <v>4179</v>
      </c>
      <c r="AL461" s="168" t="s">
        <v>4179</v>
      </c>
      <c r="AM461" s="168" t="s">
        <v>4179</v>
      </c>
      <c r="AN461" s="167" t="s">
        <v>4179</v>
      </c>
      <c r="AO461" s="167" t="s">
        <v>4179</v>
      </c>
      <c r="AP461" s="167" t="s">
        <v>4179</v>
      </c>
      <c r="AQ461" s="169" t="s">
        <v>4179</v>
      </c>
      <c r="AR461" s="170" t="s">
        <v>1086</v>
      </c>
      <c r="AS461" s="169" t="s">
        <v>4179</v>
      </c>
      <c r="AT461">
        <v>14</v>
      </c>
      <c r="AU461" s="170" t="s">
        <v>6807</v>
      </c>
      <c r="AV461" s="169" t="s">
        <v>4179</v>
      </c>
      <c r="AW461" s="170" t="s">
        <v>674</v>
      </c>
      <c r="AX461" s="169" t="s">
        <v>4179</v>
      </c>
      <c r="AY461" t="s">
        <v>4179</v>
      </c>
      <c r="AZ461" t="s">
        <v>4179</v>
      </c>
    </row>
    <row r="462" spans="1:52" s="145" customFormat="1" x14ac:dyDescent="0.35">
      <c r="A462" s="497" t="s">
        <v>3251</v>
      </c>
      <c r="B462" s="13" t="s">
        <v>5547</v>
      </c>
      <c r="C462" s="13" t="s">
        <v>3726</v>
      </c>
      <c r="D462" s="13" t="s">
        <v>6808</v>
      </c>
      <c r="E462" s="13" t="s">
        <v>3566</v>
      </c>
      <c r="F462" s="373">
        <v>21.64</v>
      </c>
      <c r="G462" s="631">
        <v>45291</v>
      </c>
      <c r="H462" s="633">
        <v>45268</v>
      </c>
      <c r="I462"/>
      <c r="J462"/>
      <c r="K462" s="11"/>
      <c r="L462"/>
      <c r="M462" s="37">
        <v>21.64</v>
      </c>
      <c r="N462" s="29">
        <v>11.67</v>
      </c>
      <c r="O462" s="143"/>
      <c r="P462" s="144"/>
      <c r="R462" s="145" t="s">
        <v>1017</v>
      </c>
      <c r="S462" s="145" t="s">
        <v>4179</v>
      </c>
      <c r="T462" s="145" t="s">
        <v>4179</v>
      </c>
      <c r="U462" s="146"/>
      <c r="W462" s="147"/>
      <c r="X462" s="147"/>
      <c r="Y462" s="145" t="s">
        <v>1017</v>
      </c>
      <c r="AA462" s="147"/>
      <c r="AD462" s="147"/>
      <c r="AE462" s="148"/>
      <c r="AH462" s="166" t="s">
        <v>8228</v>
      </c>
      <c r="AI462" s="168" t="s">
        <v>4179</v>
      </c>
      <c r="AJ462" s="168" t="s">
        <v>4179</v>
      </c>
      <c r="AK462" s="168" t="s">
        <v>4179</v>
      </c>
      <c r="AL462" s="168" t="s">
        <v>4179</v>
      </c>
      <c r="AM462" s="168" t="s">
        <v>4179</v>
      </c>
      <c r="AN462" s="167" t="s">
        <v>8228</v>
      </c>
      <c r="AO462" s="167" t="s">
        <v>8228</v>
      </c>
      <c r="AP462" s="167" t="s">
        <v>8228</v>
      </c>
      <c r="AQ462" s="169" t="s">
        <v>4179</v>
      </c>
      <c r="AR462" s="170" t="s">
        <v>3251</v>
      </c>
      <c r="AS462" s="169" t="s">
        <v>4179</v>
      </c>
      <c r="AT462">
        <v>14</v>
      </c>
      <c r="AU462" s="170" t="s">
        <v>6808</v>
      </c>
      <c r="AV462" s="169" t="s">
        <v>4179</v>
      </c>
      <c r="AW462" s="170" t="s">
        <v>3566</v>
      </c>
      <c r="AX462" s="169" t="s">
        <v>4179</v>
      </c>
      <c r="AY462" t="s">
        <v>4179</v>
      </c>
      <c r="AZ462" t="s">
        <v>4179</v>
      </c>
    </row>
    <row r="463" spans="1:52" s="145" customFormat="1" x14ac:dyDescent="0.35">
      <c r="A463" s="497" t="s">
        <v>5217</v>
      </c>
      <c r="B463" s="13" t="s">
        <v>5547</v>
      </c>
      <c r="C463" s="13" t="s">
        <v>3726</v>
      </c>
      <c r="D463" s="13" t="s">
        <v>6809</v>
      </c>
      <c r="E463" s="13" t="s">
        <v>3054</v>
      </c>
      <c r="F463" s="373">
        <v>21.61</v>
      </c>
      <c r="G463" s="631">
        <v>45291</v>
      </c>
      <c r="H463" s="633">
        <v>45268</v>
      </c>
      <c r="I463"/>
      <c r="J463"/>
      <c r="K463" s="11"/>
      <c r="L463"/>
      <c r="M463" s="37">
        <v>21.61</v>
      </c>
      <c r="N463" s="29">
        <v>11.67</v>
      </c>
      <c r="O463" s="143"/>
      <c r="P463" s="144"/>
      <c r="S463" s="145" t="s">
        <v>1017</v>
      </c>
      <c r="T463" s="145" t="s">
        <v>4179</v>
      </c>
      <c r="U463" s="146"/>
      <c r="W463" s="147"/>
      <c r="X463" s="147"/>
      <c r="Y463" s="145" t="s">
        <v>1017</v>
      </c>
      <c r="AA463" s="147"/>
      <c r="AD463" s="147"/>
      <c r="AE463" s="148"/>
      <c r="AH463" s="166" t="s">
        <v>8229</v>
      </c>
      <c r="AI463" s="168" t="s">
        <v>4179</v>
      </c>
      <c r="AJ463" s="168" t="s">
        <v>4179</v>
      </c>
      <c r="AK463" s="168" t="s">
        <v>4179</v>
      </c>
      <c r="AL463" s="168" t="s">
        <v>4179</v>
      </c>
      <c r="AM463" s="168" t="s">
        <v>4179</v>
      </c>
      <c r="AN463" s="167" t="s">
        <v>8229</v>
      </c>
      <c r="AO463" s="167" t="s">
        <v>8229</v>
      </c>
      <c r="AP463" s="167" t="s">
        <v>8229</v>
      </c>
      <c r="AQ463" s="169" t="s">
        <v>4179</v>
      </c>
      <c r="AR463" s="170" t="s">
        <v>5217</v>
      </c>
      <c r="AS463" s="169" t="s">
        <v>4179</v>
      </c>
      <c r="AT463">
        <v>14</v>
      </c>
      <c r="AU463" s="170" t="s">
        <v>6809</v>
      </c>
      <c r="AV463" s="169" t="s">
        <v>4179</v>
      </c>
      <c r="AW463" s="170" t="s">
        <v>3054</v>
      </c>
      <c r="AX463" s="169" t="s">
        <v>4179</v>
      </c>
      <c r="AY463" t="s">
        <v>1017</v>
      </c>
      <c r="AZ463" t="s">
        <v>4179</v>
      </c>
    </row>
    <row r="464" spans="1:52" s="145" customFormat="1" x14ac:dyDescent="0.35">
      <c r="A464" s="511" t="s">
        <v>3524</v>
      </c>
      <c r="B464" s="173" t="s">
        <v>5547</v>
      </c>
      <c r="C464" s="173" t="s">
        <v>3726</v>
      </c>
      <c r="D464" s="173" t="s">
        <v>6810</v>
      </c>
      <c r="E464" s="173" t="s">
        <v>1980</v>
      </c>
      <c r="F464" s="374">
        <v>21.58</v>
      </c>
      <c r="G464" s="631">
        <v>45291</v>
      </c>
      <c r="H464" s="633">
        <v>45268</v>
      </c>
      <c r="I464"/>
      <c r="J464"/>
      <c r="K464" s="11"/>
      <c r="L464"/>
      <c r="M464" s="37">
        <v>21.58</v>
      </c>
      <c r="N464" s="29">
        <v>11.67</v>
      </c>
      <c r="O464" s="143"/>
      <c r="P464" s="144"/>
      <c r="S464" s="145" t="s">
        <v>4179</v>
      </c>
      <c r="T464" s="145" t="s">
        <v>1017</v>
      </c>
      <c r="U464" s="146"/>
      <c r="W464" s="147"/>
      <c r="X464" s="147"/>
      <c r="Y464" s="145" t="s">
        <v>1017</v>
      </c>
      <c r="AA464" s="147"/>
      <c r="AD464" s="147"/>
      <c r="AE464" s="148"/>
      <c r="AH464" s="171" t="s">
        <v>4178</v>
      </c>
      <c r="AI464" s="168" t="s">
        <v>4179</v>
      </c>
      <c r="AJ464" s="168" t="s">
        <v>4179</v>
      </c>
      <c r="AK464" s="168" t="s">
        <v>4179</v>
      </c>
      <c r="AL464" s="168" t="s">
        <v>4179</v>
      </c>
      <c r="AM464" s="168" t="s">
        <v>4179</v>
      </c>
      <c r="AN464" s="167" t="s">
        <v>4178</v>
      </c>
      <c r="AO464" s="167" t="s">
        <v>4178</v>
      </c>
      <c r="AP464" s="167" t="s">
        <v>4178</v>
      </c>
      <c r="AQ464" s="169" t="s">
        <v>4179</v>
      </c>
      <c r="AR464" s="170" t="s">
        <v>3524</v>
      </c>
      <c r="AS464" s="169" t="s">
        <v>4179</v>
      </c>
      <c r="AT464">
        <v>14</v>
      </c>
      <c r="AU464" s="170" t="s">
        <v>6810</v>
      </c>
      <c r="AV464" s="169" t="s">
        <v>4179</v>
      </c>
      <c r="AW464" s="170" t="s">
        <v>1980</v>
      </c>
      <c r="AX464" s="169" t="s">
        <v>4179</v>
      </c>
      <c r="AY464" t="s">
        <v>4179</v>
      </c>
      <c r="AZ464" t="s">
        <v>1017</v>
      </c>
    </row>
    <row r="465" spans="1:52" s="145" customFormat="1" x14ac:dyDescent="0.35">
      <c r="A465" s="497" t="s">
        <v>1087</v>
      </c>
      <c r="B465" s="13" t="s">
        <v>5547</v>
      </c>
      <c r="C465" s="13" t="s">
        <v>3726</v>
      </c>
      <c r="D465" s="13" t="s">
        <v>6861</v>
      </c>
      <c r="E465" s="13" t="s">
        <v>4809</v>
      </c>
      <c r="F465" s="373">
        <v>19.670000000000002</v>
      </c>
      <c r="G465" s="631">
        <v>45291</v>
      </c>
      <c r="H465" s="633">
        <v>45268</v>
      </c>
      <c r="I465"/>
      <c r="J465"/>
      <c r="K465" s="11"/>
      <c r="L465"/>
      <c r="M465" s="37">
        <v>19.670000000000002</v>
      </c>
      <c r="N465" s="29">
        <v>11.67</v>
      </c>
      <c r="O465" s="143"/>
      <c r="P465" s="144"/>
      <c r="S465" s="145" t="s">
        <v>4179</v>
      </c>
      <c r="T465" s="145" t="s">
        <v>4179</v>
      </c>
      <c r="U465" s="146" t="s">
        <v>1017</v>
      </c>
      <c r="W465" s="147"/>
      <c r="X465" s="147"/>
      <c r="Y465" s="145" t="s">
        <v>1017</v>
      </c>
      <c r="AA465" s="147"/>
      <c r="AD465" s="147"/>
      <c r="AE465" s="148"/>
      <c r="AH465" s="166" t="s">
        <v>4179</v>
      </c>
      <c r="AI465" s="168" t="s">
        <v>4179</v>
      </c>
      <c r="AJ465" s="168" t="s">
        <v>4179</v>
      </c>
      <c r="AK465" s="168" t="s">
        <v>4179</v>
      </c>
      <c r="AL465" s="168" t="s">
        <v>4179</v>
      </c>
      <c r="AM465" s="168" t="s">
        <v>4179</v>
      </c>
      <c r="AN465" s="167" t="s">
        <v>4179</v>
      </c>
      <c r="AO465" s="167" t="s">
        <v>4179</v>
      </c>
      <c r="AP465" s="167" t="s">
        <v>4179</v>
      </c>
      <c r="AQ465" s="169" t="s">
        <v>4179</v>
      </c>
      <c r="AR465" s="170" t="s">
        <v>1087</v>
      </c>
      <c r="AS465" s="169" t="s">
        <v>4179</v>
      </c>
      <c r="AT465">
        <v>14</v>
      </c>
      <c r="AU465" s="170" t="s">
        <v>6861</v>
      </c>
      <c r="AV465" s="169" t="s">
        <v>4179</v>
      </c>
      <c r="AW465" s="170" t="s">
        <v>4809</v>
      </c>
      <c r="AX465" s="169" t="s">
        <v>4179</v>
      </c>
      <c r="AY465" t="s">
        <v>4179</v>
      </c>
      <c r="AZ465" t="s">
        <v>4179</v>
      </c>
    </row>
    <row r="466" spans="1:52" s="145" customFormat="1" x14ac:dyDescent="0.35">
      <c r="A466" s="497" t="s">
        <v>1088</v>
      </c>
      <c r="B466" s="13" t="s">
        <v>5547</v>
      </c>
      <c r="C466" s="13" t="s">
        <v>3726</v>
      </c>
      <c r="D466" s="88" t="s">
        <v>6812</v>
      </c>
      <c r="E466" s="13" t="s">
        <v>4330</v>
      </c>
      <c r="F466" s="373">
        <v>22.67</v>
      </c>
      <c r="G466" s="631">
        <v>45291</v>
      </c>
      <c r="H466" s="633">
        <v>45268</v>
      </c>
      <c r="I466"/>
      <c r="J466"/>
      <c r="K466" s="11"/>
      <c r="L466"/>
      <c r="M466" s="37">
        <v>22.67</v>
      </c>
      <c r="N466" s="29">
        <v>11.67</v>
      </c>
      <c r="O466" s="143"/>
      <c r="P466" s="145" t="s">
        <v>1017</v>
      </c>
      <c r="S466" s="145" t="s">
        <v>4179</v>
      </c>
      <c r="T466" s="145" t="s">
        <v>4179</v>
      </c>
      <c r="U466" s="146" t="s">
        <v>1017</v>
      </c>
      <c r="W466" s="147"/>
      <c r="X466" s="147"/>
      <c r="Y466" s="145" t="s">
        <v>1017</v>
      </c>
      <c r="AA466" s="147"/>
      <c r="AD466" s="147"/>
      <c r="AE466" s="148"/>
      <c r="AH466" s="166" t="s">
        <v>4179</v>
      </c>
      <c r="AI466" s="168" t="s">
        <v>4179</v>
      </c>
      <c r="AJ466" s="168" t="s">
        <v>4179</v>
      </c>
      <c r="AK466" s="168" t="s">
        <v>4179</v>
      </c>
      <c r="AL466" s="168" t="s">
        <v>4179</v>
      </c>
      <c r="AM466" s="168" t="s">
        <v>4179</v>
      </c>
      <c r="AN466" s="167" t="s">
        <v>4179</v>
      </c>
      <c r="AO466" s="167" t="s">
        <v>4179</v>
      </c>
      <c r="AP466" s="167" t="s">
        <v>4179</v>
      </c>
      <c r="AQ466" s="169" t="s">
        <v>4179</v>
      </c>
      <c r="AR466" s="170" t="s">
        <v>1088</v>
      </c>
      <c r="AS466" s="169" t="s">
        <v>4179</v>
      </c>
      <c r="AT466">
        <v>14</v>
      </c>
      <c r="AU466" s="170" t="s">
        <v>6812</v>
      </c>
      <c r="AV466" s="169" t="s">
        <v>4179</v>
      </c>
      <c r="AW466" s="170" t="s">
        <v>4330</v>
      </c>
      <c r="AX466" s="169" t="s">
        <v>4179</v>
      </c>
      <c r="AY466" t="s">
        <v>4179</v>
      </c>
      <c r="AZ466" t="s">
        <v>4179</v>
      </c>
    </row>
    <row r="467" spans="1:52" s="145" customFormat="1" x14ac:dyDescent="0.35">
      <c r="A467" s="497" t="s">
        <v>1089</v>
      </c>
      <c r="B467" s="13" t="s">
        <v>5547</v>
      </c>
      <c r="C467" s="13" t="s">
        <v>3726</v>
      </c>
      <c r="D467" s="13" t="s">
        <v>6813</v>
      </c>
      <c r="E467" s="13" t="s">
        <v>674</v>
      </c>
      <c r="F467" s="373">
        <v>22.67</v>
      </c>
      <c r="G467" s="631">
        <v>45291</v>
      </c>
      <c r="H467" s="633">
        <v>45268</v>
      </c>
      <c r="I467"/>
      <c r="J467"/>
      <c r="K467" s="11"/>
      <c r="L467"/>
      <c r="M467" s="37">
        <v>22.67</v>
      </c>
      <c r="N467" s="29">
        <v>11.67</v>
      </c>
      <c r="O467" s="143"/>
      <c r="P467" s="144"/>
      <c r="Q467" s="145" t="s">
        <v>1017</v>
      </c>
      <c r="S467" s="145" t="s">
        <v>4179</v>
      </c>
      <c r="T467" s="145" t="s">
        <v>4179</v>
      </c>
      <c r="U467" s="146" t="s">
        <v>1017</v>
      </c>
      <c r="W467" s="147"/>
      <c r="X467" s="147"/>
      <c r="Y467" s="145" t="s">
        <v>1017</v>
      </c>
      <c r="AA467" s="147"/>
      <c r="AD467" s="147"/>
      <c r="AE467" s="148"/>
      <c r="AH467" s="166" t="s">
        <v>4179</v>
      </c>
      <c r="AI467" s="168" t="s">
        <v>4179</v>
      </c>
      <c r="AJ467" s="168" t="s">
        <v>4179</v>
      </c>
      <c r="AK467" s="168" t="s">
        <v>4179</v>
      </c>
      <c r="AL467" s="168" t="s">
        <v>4179</v>
      </c>
      <c r="AM467" s="168" t="s">
        <v>4179</v>
      </c>
      <c r="AN467" s="167" t="s">
        <v>4179</v>
      </c>
      <c r="AO467" s="167" t="s">
        <v>4179</v>
      </c>
      <c r="AP467" s="167" t="s">
        <v>4179</v>
      </c>
      <c r="AQ467" s="169" t="s">
        <v>4179</v>
      </c>
      <c r="AR467" s="170" t="s">
        <v>1089</v>
      </c>
      <c r="AS467" s="169" t="s">
        <v>4179</v>
      </c>
      <c r="AT467">
        <v>14</v>
      </c>
      <c r="AU467" s="170" t="s">
        <v>6813</v>
      </c>
      <c r="AV467" s="169" t="s">
        <v>4179</v>
      </c>
      <c r="AW467" s="170" t="s">
        <v>674</v>
      </c>
      <c r="AX467" s="169" t="s">
        <v>4179</v>
      </c>
      <c r="AY467" t="s">
        <v>4179</v>
      </c>
      <c r="AZ467" t="s">
        <v>4179</v>
      </c>
    </row>
    <row r="468" spans="1:52" s="145" customFormat="1" x14ac:dyDescent="0.35">
      <c r="A468" s="497" t="s">
        <v>3252</v>
      </c>
      <c r="B468" s="13" t="s">
        <v>5547</v>
      </c>
      <c r="C468" s="13" t="s">
        <v>3726</v>
      </c>
      <c r="D468" s="13" t="s">
        <v>6814</v>
      </c>
      <c r="E468" s="13" t="s">
        <v>3566</v>
      </c>
      <c r="F468" s="373">
        <v>22.64</v>
      </c>
      <c r="G468" s="631">
        <v>45291</v>
      </c>
      <c r="H468" s="633">
        <v>45268</v>
      </c>
      <c r="I468"/>
      <c r="J468"/>
      <c r="K468" s="11"/>
      <c r="L468"/>
      <c r="M468" s="37">
        <v>22.64</v>
      </c>
      <c r="N468" s="29">
        <v>11.67</v>
      </c>
      <c r="O468" s="143"/>
      <c r="P468" s="144"/>
      <c r="R468" s="145" t="s">
        <v>1017</v>
      </c>
      <c r="S468" s="145" t="s">
        <v>4179</v>
      </c>
      <c r="T468" s="145" t="s">
        <v>4179</v>
      </c>
      <c r="U468" s="146" t="s">
        <v>1017</v>
      </c>
      <c r="W468" s="147"/>
      <c r="X468" s="147"/>
      <c r="Y468" s="145" t="s">
        <v>1017</v>
      </c>
      <c r="AA468" s="147"/>
      <c r="AD468" s="147"/>
      <c r="AE468" s="148"/>
      <c r="AH468" s="166" t="s">
        <v>8228</v>
      </c>
      <c r="AI468" s="168" t="s">
        <v>4179</v>
      </c>
      <c r="AJ468" s="168" t="s">
        <v>4179</v>
      </c>
      <c r="AK468" s="168" t="s">
        <v>4179</v>
      </c>
      <c r="AL468" s="168" t="s">
        <v>4179</v>
      </c>
      <c r="AM468" s="168" t="s">
        <v>4179</v>
      </c>
      <c r="AN468" s="167" t="s">
        <v>8228</v>
      </c>
      <c r="AO468" s="167" t="s">
        <v>8228</v>
      </c>
      <c r="AP468" s="167" t="s">
        <v>8228</v>
      </c>
      <c r="AQ468" s="169" t="s">
        <v>4179</v>
      </c>
      <c r="AR468" s="170" t="s">
        <v>3252</v>
      </c>
      <c r="AS468" s="169" t="s">
        <v>4179</v>
      </c>
      <c r="AT468">
        <v>14</v>
      </c>
      <c r="AU468" s="170" t="s">
        <v>6814</v>
      </c>
      <c r="AV468" s="169" t="s">
        <v>4179</v>
      </c>
      <c r="AW468" s="170" t="s">
        <v>3566</v>
      </c>
      <c r="AX468" s="169" t="s">
        <v>4179</v>
      </c>
      <c r="AY468" t="s">
        <v>4179</v>
      </c>
      <c r="AZ468" t="s">
        <v>4179</v>
      </c>
    </row>
    <row r="469" spans="1:52" s="145" customFormat="1" x14ac:dyDescent="0.35">
      <c r="A469" s="497" t="s">
        <v>5218</v>
      </c>
      <c r="B469" s="13" t="s">
        <v>5547</v>
      </c>
      <c r="C469" s="13" t="s">
        <v>3726</v>
      </c>
      <c r="D469" s="13" t="s">
        <v>6815</v>
      </c>
      <c r="E469" s="13" t="s">
        <v>3054</v>
      </c>
      <c r="F469" s="373">
        <v>22.61</v>
      </c>
      <c r="G469" s="631">
        <v>45291</v>
      </c>
      <c r="H469" s="633">
        <v>45268</v>
      </c>
      <c r="I469"/>
      <c r="J469"/>
      <c r="K469" s="11"/>
      <c r="L469"/>
      <c r="M469" s="37">
        <v>22.61</v>
      </c>
      <c r="N469" s="29">
        <v>11.67</v>
      </c>
      <c r="O469" s="143"/>
      <c r="P469" s="144"/>
      <c r="S469" s="145" t="s">
        <v>1017</v>
      </c>
      <c r="T469" s="145" t="s">
        <v>4179</v>
      </c>
      <c r="U469" s="146" t="s">
        <v>1017</v>
      </c>
      <c r="W469" s="147"/>
      <c r="X469" s="147"/>
      <c r="Y469" s="145" t="s">
        <v>1017</v>
      </c>
      <c r="AA469" s="147"/>
      <c r="AD469" s="147"/>
      <c r="AE469" s="148"/>
      <c r="AH469" s="166" t="s">
        <v>8229</v>
      </c>
      <c r="AI469" s="168" t="s">
        <v>4179</v>
      </c>
      <c r="AJ469" s="168" t="s">
        <v>4179</v>
      </c>
      <c r="AK469" s="168" t="s">
        <v>4179</v>
      </c>
      <c r="AL469" s="168" t="s">
        <v>4179</v>
      </c>
      <c r="AM469" s="168" t="s">
        <v>4179</v>
      </c>
      <c r="AN469" s="167" t="s">
        <v>8229</v>
      </c>
      <c r="AO469" s="167" t="s">
        <v>8229</v>
      </c>
      <c r="AP469" s="167" t="s">
        <v>8229</v>
      </c>
      <c r="AQ469" s="169" t="s">
        <v>4179</v>
      </c>
      <c r="AR469" s="170" t="s">
        <v>5218</v>
      </c>
      <c r="AS469" s="169" t="s">
        <v>4179</v>
      </c>
      <c r="AT469">
        <v>14</v>
      </c>
      <c r="AU469" s="170" t="s">
        <v>6815</v>
      </c>
      <c r="AV469" s="169" t="s">
        <v>4179</v>
      </c>
      <c r="AW469" s="170" t="s">
        <v>3054</v>
      </c>
      <c r="AX469" s="169" t="s">
        <v>4179</v>
      </c>
      <c r="AY469" t="s">
        <v>1017</v>
      </c>
      <c r="AZ469" t="s">
        <v>4179</v>
      </c>
    </row>
    <row r="470" spans="1:52" s="145" customFormat="1" x14ac:dyDescent="0.35">
      <c r="A470" s="511" t="s">
        <v>3525</v>
      </c>
      <c r="B470" s="173" t="s">
        <v>5547</v>
      </c>
      <c r="C470" s="173" t="s">
        <v>3726</v>
      </c>
      <c r="D470" s="173" t="s">
        <v>6816</v>
      </c>
      <c r="E470" s="173" t="s">
        <v>1980</v>
      </c>
      <c r="F470" s="374">
        <v>22.58</v>
      </c>
      <c r="G470" s="631">
        <v>45291</v>
      </c>
      <c r="H470" s="633">
        <v>45268</v>
      </c>
      <c r="I470"/>
      <c r="J470"/>
      <c r="K470" s="11"/>
      <c r="L470"/>
      <c r="M470" s="37">
        <v>22.58</v>
      </c>
      <c r="N470" s="29">
        <v>11.67</v>
      </c>
      <c r="O470" s="143"/>
      <c r="P470" s="144"/>
      <c r="S470" s="145" t="s">
        <v>4179</v>
      </c>
      <c r="T470" s="145" t="s">
        <v>1017</v>
      </c>
      <c r="U470" s="146" t="s">
        <v>1017</v>
      </c>
      <c r="W470" s="147"/>
      <c r="X470" s="147"/>
      <c r="Y470" s="145" t="s">
        <v>1017</v>
      </c>
      <c r="AA470" s="147"/>
      <c r="AD470" s="147"/>
      <c r="AE470" s="148"/>
      <c r="AH470" s="171" t="s">
        <v>4178</v>
      </c>
      <c r="AI470" s="168" t="s">
        <v>4179</v>
      </c>
      <c r="AJ470" s="168" t="s">
        <v>4179</v>
      </c>
      <c r="AK470" s="168" t="s">
        <v>4179</v>
      </c>
      <c r="AL470" s="168" t="s">
        <v>4179</v>
      </c>
      <c r="AM470" s="168" t="s">
        <v>4179</v>
      </c>
      <c r="AN470" s="167" t="s">
        <v>4178</v>
      </c>
      <c r="AO470" s="167" t="s">
        <v>4178</v>
      </c>
      <c r="AP470" s="167" t="s">
        <v>4178</v>
      </c>
      <c r="AQ470" s="169" t="s">
        <v>4179</v>
      </c>
      <c r="AR470" s="170" t="s">
        <v>3525</v>
      </c>
      <c r="AS470" s="169" t="s">
        <v>4179</v>
      </c>
      <c r="AT470">
        <v>14</v>
      </c>
      <c r="AU470" s="170" t="s">
        <v>6816</v>
      </c>
      <c r="AV470" s="169" t="s">
        <v>4179</v>
      </c>
      <c r="AW470" s="170" t="s">
        <v>1980</v>
      </c>
      <c r="AX470" s="169" t="s">
        <v>4179</v>
      </c>
      <c r="AY470" t="s">
        <v>4179</v>
      </c>
      <c r="AZ470" t="s">
        <v>1017</v>
      </c>
    </row>
    <row r="471" spans="1:52" s="145" customFormat="1" x14ac:dyDescent="0.35">
      <c r="A471" s="497" t="s">
        <v>1090</v>
      </c>
      <c r="B471" s="13" t="s">
        <v>5547</v>
      </c>
      <c r="C471" s="13" t="s">
        <v>3726</v>
      </c>
      <c r="D471" s="13" t="s">
        <v>6817</v>
      </c>
      <c r="E471" s="13" t="s">
        <v>4809</v>
      </c>
      <c r="F471" s="373">
        <v>22.67</v>
      </c>
      <c r="G471" s="631">
        <v>45291</v>
      </c>
      <c r="H471" s="633">
        <v>45268</v>
      </c>
      <c r="I471"/>
      <c r="J471"/>
      <c r="K471" s="11"/>
      <c r="L471"/>
      <c r="M471" s="37">
        <v>22.67</v>
      </c>
      <c r="N471" s="29">
        <v>11.67</v>
      </c>
      <c r="O471" s="143"/>
      <c r="P471" s="144"/>
      <c r="S471" s="145" t="s">
        <v>4179</v>
      </c>
      <c r="T471" s="145" t="s">
        <v>4179</v>
      </c>
      <c r="U471" s="146"/>
      <c r="W471" s="147"/>
      <c r="X471" s="147"/>
      <c r="Z471" s="145" t="s">
        <v>1017</v>
      </c>
      <c r="AA471" s="147"/>
      <c r="AD471" s="147"/>
      <c r="AE471" s="148"/>
      <c r="AH471" s="166" t="s">
        <v>4179</v>
      </c>
      <c r="AI471" s="168" t="s">
        <v>4179</v>
      </c>
      <c r="AJ471" s="168" t="s">
        <v>4179</v>
      </c>
      <c r="AK471" s="168" t="s">
        <v>4179</v>
      </c>
      <c r="AL471" s="168" t="s">
        <v>4179</v>
      </c>
      <c r="AM471" s="168" t="s">
        <v>4179</v>
      </c>
      <c r="AN471" s="167" t="s">
        <v>4179</v>
      </c>
      <c r="AO471" s="167" t="s">
        <v>4179</v>
      </c>
      <c r="AP471" s="167" t="s">
        <v>4179</v>
      </c>
      <c r="AQ471" s="169" t="s">
        <v>4179</v>
      </c>
      <c r="AR471" s="170" t="s">
        <v>1090</v>
      </c>
      <c r="AS471" s="169" t="s">
        <v>4179</v>
      </c>
      <c r="AT471">
        <v>14</v>
      </c>
      <c r="AU471" s="170" t="s">
        <v>6817</v>
      </c>
      <c r="AV471" s="169" t="s">
        <v>4179</v>
      </c>
      <c r="AW471" s="170" t="s">
        <v>4809</v>
      </c>
      <c r="AX471" s="169" t="s">
        <v>4179</v>
      </c>
      <c r="AY471" t="s">
        <v>4179</v>
      </c>
      <c r="AZ471" t="s">
        <v>4179</v>
      </c>
    </row>
    <row r="472" spans="1:52" s="145" customFormat="1" x14ac:dyDescent="0.35">
      <c r="A472" s="497" t="s">
        <v>1091</v>
      </c>
      <c r="B472" s="13" t="s">
        <v>5547</v>
      </c>
      <c r="C472" s="13" t="s">
        <v>3726</v>
      </c>
      <c r="D472" s="13" t="s">
        <v>6818</v>
      </c>
      <c r="E472" s="13" t="s">
        <v>4330</v>
      </c>
      <c r="F472" s="373">
        <v>25.67</v>
      </c>
      <c r="G472" s="631">
        <v>45291</v>
      </c>
      <c r="H472" s="633">
        <v>45268</v>
      </c>
      <c r="I472"/>
      <c r="J472"/>
      <c r="K472" s="11"/>
      <c r="L472"/>
      <c r="M472" s="37">
        <v>25.67</v>
      </c>
      <c r="N472" s="29">
        <v>11.67</v>
      </c>
      <c r="O472" s="143"/>
      <c r="P472" s="145" t="s">
        <v>1017</v>
      </c>
      <c r="S472" s="145" t="s">
        <v>4179</v>
      </c>
      <c r="T472" s="145" t="s">
        <v>4179</v>
      </c>
      <c r="U472" s="146"/>
      <c r="W472" s="147"/>
      <c r="X472" s="147"/>
      <c r="Z472" s="145" t="s">
        <v>1017</v>
      </c>
      <c r="AA472" s="147"/>
      <c r="AD472" s="147"/>
      <c r="AE472" s="148"/>
      <c r="AH472" s="166" t="s">
        <v>4179</v>
      </c>
      <c r="AI472" s="168" t="s">
        <v>4179</v>
      </c>
      <c r="AJ472" s="168" t="s">
        <v>4179</v>
      </c>
      <c r="AK472" s="168" t="s">
        <v>4179</v>
      </c>
      <c r="AL472" s="168" t="s">
        <v>4179</v>
      </c>
      <c r="AM472" s="168" t="s">
        <v>4179</v>
      </c>
      <c r="AN472" s="167" t="s">
        <v>4179</v>
      </c>
      <c r="AO472" s="167" t="s">
        <v>4179</v>
      </c>
      <c r="AP472" s="167" t="s">
        <v>4179</v>
      </c>
      <c r="AQ472" s="169" t="s">
        <v>4179</v>
      </c>
      <c r="AR472" s="170" t="s">
        <v>1091</v>
      </c>
      <c r="AS472" s="169" t="s">
        <v>4179</v>
      </c>
      <c r="AT472">
        <v>14</v>
      </c>
      <c r="AU472" s="170" t="s">
        <v>6818</v>
      </c>
      <c r="AV472" s="169" t="s">
        <v>4179</v>
      </c>
      <c r="AW472" s="170" t="s">
        <v>4330</v>
      </c>
      <c r="AX472" s="169" t="s">
        <v>4179</v>
      </c>
      <c r="AY472" t="s">
        <v>4179</v>
      </c>
      <c r="AZ472" t="s">
        <v>4179</v>
      </c>
    </row>
    <row r="473" spans="1:52" s="145" customFormat="1" x14ac:dyDescent="0.35">
      <c r="A473" s="497" t="s">
        <v>1092</v>
      </c>
      <c r="B473" s="13" t="s">
        <v>5547</v>
      </c>
      <c r="C473" s="13" t="s">
        <v>3726</v>
      </c>
      <c r="D473" s="13" t="s">
        <v>6819</v>
      </c>
      <c r="E473" s="13" t="s">
        <v>674</v>
      </c>
      <c r="F473" s="373">
        <v>25.67</v>
      </c>
      <c r="G473" s="631">
        <v>45291</v>
      </c>
      <c r="H473" s="633">
        <v>45268</v>
      </c>
      <c r="I473"/>
      <c r="J473"/>
      <c r="K473" s="11"/>
      <c r="L473"/>
      <c r="M473" s="37">
        <v>25.67</v>
      </c>
      <c r="N473" s="29">
        <v>11.67</v>
      </c>
      <c r="O473" s="143"/>
      <c r="P473" s="144"/>
      <c r="Q473" s="145" t="s">
        <v>1017</v>
      </c>
      <c r="S473" s="145" t="s">
        <v>4179</v>
      </c>
      <c r="T473" s="145" t="s">
        <v>4179</v>
      </c>
      <c r="U473" s="146"/>
      <c r="W473" s="147"/>
      <c r="X473" s="147"/>
      <c r="Z473" s="145" t="s">
        <v>1017</v>
      </c>
      <c r="AA473" s="147"/>
      <c r="AD473" s="147"/>
      <c r="AE473" s="148"/>
      <c r="AH473" s="166" t="s">
        <v>4179</v>
      </c>
      <c r="AI473" s="168" t="s">
        <v>4179</v>
      </c>
      <c r="AJ473" s="168" t="s">
        <v>4179</v>
      </c>
      <c r="AK473" s="168" t="s">
        <v>4179</v>
      </c>
      <c r="AL473" s="168" t="s">
        <v>4179</v>
      </c>
      <c r="AM473" s="168" t="s">
        <v>4179</v>
      </c>
      <c r="AN473" s="167" t="s">
        <v>4179</v>
      </c>
      <c r="AO473" s="167" t="s">
        <v>4179</v>
      </c>
      <c r="AP473" s="167" t="s">
        <v>4179</v>
      </c>
      <c r="AQ473" s="169" t="s">
        <v>4179</v>
      </c>
      <c r="AR473" s="170" t="s">
        <v>1092</v>
      </c>
      <c r="AS473" s="169" t="s">
        <v>4179</v>
      </c>
      <c r="AT473">
        <v>14</v>
      </c>
      <c r="AU473" s="170" t="s">
        <v>6819</v>
      </c>
      <c r="AV473" s="169" t="s">
        <v>4179</v>
      </c>
      <c r="AW473" s="170" t="s">
        <v>674</v>
      </c>
      <c r="AX473" s="169" t="s">
        <v>4179</v>
      </c>
      <c r="AY473" t="s">
        <v>4179</v>
      </c>
      <c r="AZ473" t="s">
        <v>4179</v>
      </c>
    </row>
    <row r="474" spans="1:52" s="145" customFormat="1" x14ac:dyDescent="0.35">
      <c r="A474" s="497" t="s">
        <v>3253</v>
      </c>
      <c r="B474" s="13" t="s">
        <v>5547</v>
      </c>
      <c r="C474" s="13" t="s">
        <v>3726</v>
      </c>
      <c r="D474" s="13" t="s">
        <v>6820</v>
      </c>
      <c r="E474" s="13" t="s">
        <v>3566</v>
      </c>
      <c r="F474" s="373">
        <v>25.64</v>
      </c>
      <c r="G474" s="631">
        <v>45291</v>
      </c>
      <c r="H474" s="633">
        <v>45268</v>
      </c>
      <c r="I474"/>
      <c r="J474"/>
      <c r="K474" s="11"/>
      <c r="L474"/>
      <c r="M474" s="37">
        <v>25.64</v>
      </c>
      <c r="N474" s="29">
        <v>11.67</v>
      </c>
      <c r="O474" s="143"/>
      <c r="P474" s="144"/>
      <c r="R474" s="145" t="s">
        <v>1017</v>
      </c>
      <c r="S474" s="145" t="s">
        <v>4179</v>
      </c>
      <c r="T474" s="145" t="s">
        <v>4179</v>
      </c>
      <c r="U474" s="146"/>
      <c r="W474" s="147"/>
      <c r="X474" s="147"/>
      <c r="Z474" s="145" t="s">
        <v>1017</v>
      </c>
      <c r="AA474" s="147"/>
      <c r="AD474" s="147"/>
      <c r="AE474" s="148"/>
      <c r="AH474" s="166" t="s">
        <v>8228</v>
      </c>
      <c r="AI474" s="168" t="s">
        <v>4179</v>
      </c>
      <c r="AJ474" s="168" t="s">
        <v>4179</v>
      </c>
      <c r="AK474" s="168" t="s">
        <v>4179</v>
      </c>
      <c r="AL474" s="168" t="s">
        <v>4179</v>
      </c>
      <c r="AM474" s="168" t="s">
        <v>4179</v>
      </c>
      <c r="AN474" s="167" t="s">
        <v>8228</v>
      </c>
      <c r="AO474" s="167" t="s">
        <v>8228</v>
      </c>
      <c r="AP474" s="167" t="s">
        <v>8228</v>
      </c>
      <c r="AQ474" s="169" t="s">
        <v>4179</v>
      </c>
      <c r="AR474" s="170" t="s">
        <v>3253</v>
      </c>
      <c r="AS474" s="169" t="s">
        <v>4179</v>
      </c>
      <c r="AT474">
        <v>14</v>
      </c>
      <c r="AU474" s="170" t="s">
        <v>6820</v>
      </c>
      <c r="AV474" s="169" t="s">
        <v>4179</v>
      </c>
      <c r="AW474" s="170" t="s">
        <v>3566</v>
      </c>
      <c r="AX474" s="169" t="s">
        <v>4179</v>
      </c>
      <c r="AY474" t="s">
        <v>4179</v>
      </c>
      <c r="AZ474" t="s">
        <v>4179</v>
      </c>
    </row>
    <row r="475" spans="1:52" s="145" customFormat="1" x14ac:dyDescent="0.35">
      <c r="A475" s="497" t="s">
        <v>5219</v>
      </c>
      <c r="B475" s="13" t="s">
        <v>5547</v>
      </c>
      <c r="C475" s="13" t="s">
        <v>3726</v>
      </c>
      <c r="D475" s="13" t="s">
        <v>6821</v>
      </c>
      <c r="E475" s="13" t="s">
        <v>3054</v>
      </c>
      <c r="F475" s="373">
        <v>25.61</v>
      </c>
      <c r="G475" s="631">
        <v>45291</v>
      </c>
      <c r="H475" s="633">
        <v>45268</v>
      </c>
      <c r="I475"/>
      <c r="J475"/>
      <c r="K475" s="11"/>
      <c r="L475"/>
      <c r="M475" s="37">
        <v>25.61</v>
      </c>
      <c r="N475" s="29">
        <v>11.67</v>
      </c>
      <c r="O475" s="143"/>
      <c r="P475" s="144"/>
      <c r="S475" s="145" t="s">
        <v>1017</v>
      </c>
      <c r="T475" s="145" t="s">
        <v>4179</v>
      </c>
      <c r="U475" s="146"/>
      <c r="W475" s="147"/>
      <c r="X475" s="147"/>
      <c r="Z475" s="145" t="s">
        <v>1017</v>
      </c>
      <c r="AA475" s="147"/>
      <c r="AD475" s="147"/>
      <c r="AE475" s="148"/>
      <c r="AH475" s="166" t="s">
        <v>8229</v>
      </c>
      <c r="AI475" s="168" t="s">
        <v>4179</v>
      </c>
      <c r="AJ475" s="168" t="s">
        <v>4179</v>
      </c>
      <c r="AK475" s="168" t="s">
        <v>4179</v>
      </c>
      <c r="AL475" s="168" t="s">
        <v>4179</v>
      </c>
      <c r="AM475" s="168" t="s">
        <v>4179</v>
      </c>
      <c r="AN475" s="167" t="s">
        <v>8229</v>
      </c>
      <c r="AO475" s="167" t="s">
        <v>8229</v>
      </c>
      <c r="AP475" s="167" t="s">
        <v>8229</v>
      </c>
      <c r="AQ475" s="169" t="s">
        <v>4179</v>
      </c>
      <c r="AR475" s="170" t="s">
        <v>5219</v>
      </c>
      <c r="AS475" s="169" t="s">
        <v>4179</v>
      </c>
      <c r="AT475">
        <v>14</v>
      </c>
      <c r="AU475" s="170" t="s">
        <v>6821</v>
      </c>
      <c r="AV475" s="169" t="s">
        <v>4179</v>
      </c>
      <c r="AW475" s="170" t="s">
        <v>3054</v>
      </c>
      <c r="AX475" s="169" t="s">
        <v>4179</v>
      </c>
      <c r="AY475" t="s">
        <v>1017</v>
      </c>
      <c r="AZ475" t="s">
        <v>4179</v>
      </c>
    </row>
    <row r="476" spans="1:52" s="145" customFormat="1" x14ac:dyDescent="0.35">
      <c r="A476" s="511" t="s">
        <v>3526</v>
      </c>
      <c r="B476" s="173" t="s">
        <v>5547</v>
      </c>
      <c r="C476" s="173" t="s">
        <v>3726</v>
      </c>
      <c r="D476" s="173" t="s">
        <v>6822</v>
      </c>
      <c r="E476" s="173" t="s">
        <v>1980</v>
      </c>
      <c r="F476" s="374">
        <v>25.58</v>
      </c>
      <c r="G476" s="631">
        <v>45291</v>
      </c>
      <c r="H476" s="633">
        <v>45268</v>
      </c>
      <c r="I476"/>
      <c r="J476"/>
      <c r="K476" s="11"/>
      <c r="L476"/>
      <c r="M476" s="37">
        <v>25.58</v>
      </c>
      <c r="N476" s="29">
        <v>11.67</v>
      </c>
      <c r="O476" s="143"/>
      <c r="P476" s="144"/>
      <c r="S476" s="145" t="s">
        <v>4179</v>
      </c>
      <c r="T476" s="145" t="s">
        <v>1017</v>
      </c>
      <c r="U476" s="146"/>
      <c r="W476" s="147"/>
      <c r="X476" s="147"/>
      <c r="Z476" s="145" t="s">
        <v>1017</v>
      </c>
      <c r="AA476" s="147"/>
      <c r="AD476" s="147"/>
      <c r="AE476" s="148"/>
      <c r="AH476" s="171" t="s">
        <v>4178</v>
      </c>
      <c r="AI476" s="168" t="s">
        <v>4179</v>
      </c>
      <c r="AJ476" s="168" t="s">
        <v>4179</v>
      </c>
      <c r="AK476" s="168" t="s">
        <v>4179</v>
      </c>
      <c r="AL476" s="168" t="s">
        <v>4179</v>
      </c>
      <c r="AM476" s="168" t="s">
        <v>4179</v>
      </c>
      <c r="AN476" s="167" t="s">
        <v>4178</v>
      </c>
      <c r="AO476" s="167" t="s">
        <v>4178</v>
      </c>
      <c r="AP476" s="167" t="s">
        <v>4178</v>
      </c>
      <c r="AQ476" s="169" t="s">
        <v>4179</v>
      </c>
      <c r="AR476" s="170" t="s">
        <v>3526</v>
      </c>
      <c r="AS476" s="169" t="s">
        <v>4179</v>
      </c>
      <c r="AT476">
        <v>14</v>
      </c>
      <c r="AU476" s="170" t="s">
        <v>6822</v>
      </c>
      <c r="AV476" s="169" t="s">
        <v>4179</v>
      </c>
      <c r="AW476" s="170" t="s">
        <v>1980</v>
      </c>
      <c r="AX476" s="169" t="s">
        <v>4179</v>
      </c>
      <c r="AY476" t="s">
        <v>4179</v>
      </c>
      <c r="AZ476" t="s">
        <v>1017</v>
      </c>
    </row>
    <row r="477" spans="1:52" s="145" customFormat="1" x14ac:dyDescent="0.35">
      <c r="A477" s="497" t="s">
        <v>1093</v>
      </c>
      <c r="B477" s="13" t="s">
        <v>5547</v>
      </c>
      <c r="C477" s="13" t="s">
        <v>3726</v>
      </c>
      <c r="D477" s="13" t="s">
        <v>6823</v>
      </c>
      <c r="E477" s="13" t="s">
        <v>4809</v>
      </c>
      <c r="F477" s="373">
        <v>23.67</v>
      </c>
      <c r="G477" s="631">
        <v>45291</v>
      </c>
      <c r="H477" s="633">
        <v>45268</v>
      </c>
      <c r="I477"/>
      <c r="J477"/>
      <c r="K477" s="11"/>
      <c r="L477"/>
      <c r="M477" s="37">
        <v>23.67</v>
      </c>
      <c r="N477" s="29">
        <v>11.67</v>
      </c>
      <c r="O477" s="143"/>
      <c r="P477" s="144"/>
      <c r="S477" s="145" t="s">
        <v>4179</v>
      </c>
      <c r="T477" s="145" t="s">
        <v>4179</v>
      </c>
      <c r="U477" s="146" t="s">
        <v>1017</v>
      </c>
      <c r="W477" s="147"/>
      <c r="X477" s="147"/>
      <c r="Z477" s="145" t="s">
        <v>1017</v>
      </c>
      <c r="AA477" s="147"/>
      <c r="AD477" s="147"/>
      <c r="AE477" s="148"/>
      <c r="AH477" s="166" t="s">
        <v>4179</v>
      </c>
      <c r="AI477" s="168" t="s">
        <v>4179</v>
      </c>
      <c r="AJ477" s="168" t="s">
        <v>4179</v>
      </c>
      <c r="AK477" s="168" t="s">
        <v>4179</v>
      </c>
      <c r="AL477" s="168" t="s">
        <v>4179</v>
      </c>
      <c r="AM477" s="168" t="s">
        <v>4179</v>
      </c>
      <c r="AN477" s="167" t="s">
        <v>4179</v>
      </c>
      <c r="AO477" s="167" t="s">
        <v>4179</v>
      </c>
      <c r="AP477" s="167" t="s">
        <v>4179</v>
      </c>
      <c r="AQ477" s="169" t="s">
        <v>4179</v>
      </c>
      <c r="AR477" s="170" t="s">
        <v>1093</v>
      </c>
      <c r="AS477" s="169" t="s">
        <v>4179</v>
      </c>
      <c r="AT477">
        <v>14</v>
      </c>
      <c r="AU477" s="170" t="s">
        <v>6823</v>
      </c>
      <c r="AV477" s="169" t="s">
        <v>4179</v>
      </c>
      <c r="AW477" s="170" t="s">
        <v>4809</v>
      </c>
      <c r="AX477" s="169" t="s">
        <v>4179</v>
      </c>
      <c r="AY477" t="s">
        <v>4179</v>
      </c>
      <c r="AZ477" t="s">
        <v>4179</v>
      </c>
    </row>
    <row r="478" spans="1:52" s="145" customFormat="1" x14ac:dyDescent="0.35">
      <c r="A478" s="497" t="s">
        <v>1094</v>
      </c>
      <c r="B478" s="13" t="s">
        <v>5547</v>
      </c>
      <c r="C478" s="13" t="s">
        <v>3726</v>
      </c>
      <c r="D478" s="88" t="s">
        <v>6824</v>
      </c>
      <c r="E478" s="13" t="s">
        <v>4330</v>
      </c>
      <c r="F478" s="373">
        <v>26.67</v>
      </c>
      <c r="G478" s="631">
        <v>45291</v>
      </c>
      <c r="H478" s="633">
        <v>45268</v>
      </c>
      <c r="I478"/>
      <c r="J478"/>
      <c r="K478" s="11"/>
      <c r="L478"/>
      <c r="M478" s="37">
        <v>26.67</v>
      </c>
      <c r="N478" s="29">
        <v>11.67</v>
      </c>
      <c r="O478" s="143"/>
      <c r="P478" s="145" t="s">
        <v>1017</v>
      </c>
      <c r="S478" s="145" t="s">
        <v>4179</v>
      </c>
      <c r="T478" s="145" t="s">
        <v>4179</v>
      </c>
      <c r="U478" s="146" t="s">
        <v>1017</v>
      </c>
      <c r="W478" s="147"/>
      <c r="X478" s="147"/>
      <c r="Z478" s="145" t="s">
        <v>1017</v>
      </c>
      <c r="AA478" s="147"/>
      <c r="AD478" s="147"/>
      <c r="AE478" s="148"/>
      <c r="AH478" s="166" t="s">
        <v>4179</v>
      </c>
      <c r="AI478" s="168" t="s">
        <v>4179</v>
      </c>
      <c r="AJ478" s="168" t="s">
        <v>4179</v>
      </c>
      <c r="AK478" s="168" t="s">
        <v>4179</v>
      </c>
      <c r="AL478" s="168" t="s">
        <v>4179</v>
      </c>
      <c r="AM478" s="168" t="s">
        <v>4179</v>
      </c>
      <c r="AN478" s="167" t="s">
        <v>4179</v>
      </c>
      <c r="AO478" s="167" t="s">
        <v>4179</v>
      </c>
      <c r="AP478" s="167" t="s">
        <v>4179</v>
      </c>
      <c r="AQ478" s="169" t="s">
        <v>4179</v>
      </c>
      <c r="AR478" s="170" t="s">
        <v>1094</v>
      </c>
      <c r="AS478" s="169" t="s">
        <v>4179</v>
      </c>
      <c r="AT478">
        <v>14</v>
      </c>
      <c r="AU478" s="170" t="s">
        <v>6824</v>
      </c>
      <c r="AV478" s="169" t="s">
        <v>4179</v>
      </c>
      <c r="AW478" s="170" t="s">
        <v>4330</v>
      </c>
      <c r="AX478" s="169" t="s">
        <v>4179</v>
      </c>
      <c r="AY478" t="s">
        <v>4179</v>
      </c>
      <c r="AZ478" t="s">
        <v>4179</v>
      </c>
    </row>
    <row r="479" spans="1:52" s="145" customFormat="1" x14ac:dyDescent="0.35">
      <c r="A479" s="497" t="s">
        <v>1095</v>
      </c>
      <c r="B479" s="13" t="s">
        <v>5547</v>
      </c>
      <c r="C479" s="13" t="s">
        <v>3726</v>
      </c>
      <c r="D479" s="13" t="s">
        <v>6825</v>
      </c>
      <c r="E479" s="13" t="s">
        <v>674</v>
      </c>
      <c r="F479" s="373">
        <v>26.67</v>
      </c>
      <c r="G479" s="631">
        <v>45291</v>
      </c>
      <c r="H479" s="633">
        <v>45268</v>
      </c>
      <c r="I479"/>
      <c r="J479"/>
      <c r="K479" s="11"/>
      <c r="L479"/>
      <c r="M479" s="37">
        <v>26.67</v>
      </c>
      <c r="N479" s="29">
        <v>11.67</v>
      </c>
      <c r="O479" s="143"/>
      <c r="P479" s="144"/>
      <c r="Q479" s="145" t="s">
        <v>1017</v>
      </c>
      <c r="S479" s="145" t="s">
        <v>4179</v>
      </c>
      <c r="T479" s="145" t="s">
        <v>4179</v>
      </c>
      <c r="U479" s="146" t="s">
        <v>1017</v>
      </c>
      <c r="W479" s="147"/>
      <c r="X479" s="147"/>
      <c r="Z479" s="145" t="s">
        <v>1017</v>
      </c>
      <c r="AA479" s="147"/>
      <c r="AD479" s="147"/>
      <c r="AE479" s="148"/>
      <c r="AH479" s="166" t="s">
        <v>4179</v>
      </c>
      <c r="AI479" s="168" t="s">
        <v>4179</v>
      </c>
      <c r="AJ479" s="168" t="s">
        <v>4179</v>
      </c>
      <c r="AK479" s="168" t="s">
        <v>4179</v>
      </c>
      <c r="AL479" s="168" t="s">
        <v>4179</v>
      </c>
      <c r="AM479" s="168" t="s">
        <v>4179</v>
      </c>
      <c r="AN479" s="167" t="s">
        <v>4179</v>
      </c>
      <c r="AO479" s="167" t="s">
        <v>4179</v>
      </c>
      <c r="AP479" s="167" t="s">
        <v>4179</v>
      </c>
      <c r="AQ479" s="169" t="s">
        <v>4179</v>
      </c>
      <c r="AR479" s="170" t="s">
        <v>1095</v>
      </c>
      <c r="AS479" s="169" t="s">
        <v>4179</v>
      </c>
      <c r="AT479">
        <v>14</v>
      </c>
      <c r="AU479" s="170" t="s">
        <v>6825</v>
      </c>
      <c r="AV479" s="169" t="s">
        <v>4179</v>
      </c>
      <c r="AW479" s="170" t="s">
        <v>674</v>
      </c>
      <c r="AX479" s="169" t="s">
        <v>4179</v>
      </c>
      <c r="AY479" t="s">
        <v>4179</v>
      </c>
      <c r="AZ479" t="s">
        <v>4179</v>
      </c>
    </row>
    <row r="480" spans="1:52" s="145" customFormat="1" x14ac:dyDescent="0.35">
      <c r="A480" s="497" t="s">
        <v>3254</v>
      </c>
      <c r="B480" s="13" t="s">
        <v>5547</v>
      </c>
      <c r="C480" s="13" t="s">
        <v>3726</v>
      </c>
      <c r="D480" s="13" t="s">
        <v>6826</v>
      </c>
      <c r="E480" s="13" t="s">
        <v>3566</v>
      </c>
      <c r="F480" s="373">
        <v>26.64</v>
      </c>
      <c r="G480" s="631">
        <v>45291</v>
      </c>
      <c r="H480" s="633">
        <v>45268</v>
      </c>
      <c r="I480"/>
      <c r="J480"/>
      <c r="K480" s="11"/>
      <c r="L480"/>
      <c r="M480" s="37">
        <v>26.64</v>
      </c>
      <c r="N480" s="29">
        <v>11.67</v>
      </c>
      <c r="O480" s="143"/>
      <c r="P480" s="144"/>
      <c r="R480" s="145" t="s">
        <v>1017</v>
      </c>
      <c r="S480" s="145" t="s">
        <v>4179</v>
      </c>
      <c r="T480" s="145" t="s">
        <v>4179</v>
      </c>
      <c r="U480" s="146" t="s">
        <v>1017</v>
      </c>
      <c r="W480" s="147"/>
      <c r="X480" s="147"/>
      <c r="Z480" s="145" t="s">
        <v>1017</v>
      </c>
      <c r="AA480" s="147"/>
      <c r="AD480" s="147"/>
      <c r="AE480" s="148"/>
      <c r="AH480" s="166" t="s">
        <v>8228</v>
      </c>
      <c r="AI480" s="168" t="s">
        <v>4179</v>
      </c>
      <c r="AJ480" s="168" t="s">
        <v>4179</v>
      </c>
      <c r="AK480" s="168" t="s">
        <v>4179</v>
      </c>
      <c r="AL480" s="168" t="s">
        <v>4179</v>
      </c>
      <c r="AM480" s="168" t="s">
        <v>4179</v>
      </c>
      <c r="AN480" s="167" t="s">
        <v>8228</v>
      </c>
      <c r="AO480" s="167" t="s">
        <v>8228</v>
      </c>
      <c r="AP480" s="167" t="s">
        <v>8228</v>
      </c>
      <c r="AQ480" s="169" t="s">
        <v>4179</v>
      </c>
      <c r="AR480" s="170" t="s">
        <v>3254</v>
      </c>
      <c r="AS480" s="169" t="s">
        <v>4179</v>
      </c>
      <c r="AT480">
        <v>14</v>
      </c>
      <c r="AU480" s="170" t="s">
        <v>6826</v>
      </c>
      <c r="AV480" s="169" t="s">
        <v>4179</v>
      </c>
      <c r="AW480" s="170" t="s">
        <v>3566</v>
      </c>
      <c r="AX480" s="169" t="s">
        <v>4179</v>
      </c>
      <c r="AY480" t="s">
        <v>4179</v>
      </c>
      <c r="AZ480" t="s">
        <v>4179</v>
      </c>
    </row>
    <row r="481" spans="1:52" s="145" customFormat="1" x14ac:dyDescent="0.35">
      <c r="A481" s="497" t="s">
        <v>5220</v>
      </c>
      <c r="B481" s="13" t="s">
        <v>5547</v>
      </c>
      <c r="C481" s="13" t="s">
        <v>3726</v>
      </c>
      <c r="D481" s="13" t="s">
        <v>6827</v>
      </c>
      <c r="E481" s="13" t="s">
        <v>3054</v>
      </c>
      <c r="F481" s="373">
        <v>26.61</v>
      </c>
      <c r="G481" s="631">
        <v>45291</v>
      </c>
      <c r="H481" s="633">
        <v>45268</v>
      </c>
      <c r="I481"/>
      <c r="J481"/>
      <c r="K481" s="11"/>
      <c r="L481"/>
      <c r="M481" s="37">
        <v>26.61</v>
      </c>
      <c r="N481" s="29">
        <v>11.67</v>
      </c>
      <c r="O481" s="143"/>
      <c r="P481" s="144"/>
      <c r="S481" s="145" t="s">
        <v>1017</v>
      </c>
      <c r="T481" s="145" t="s">
        <v>4179</v>
      </c>
      <c r="U481" s="146" t="s">
        <v>1017</v>
      </c>
      <c r="W481" s="147"/>
      <c r="X481" s="147"/>
      <c r="Z481" s="145" t="s">
        <v>1017</v>
      </c>
      <c r="AA481" s="147"/>
      <c r="AD481" s="147"/>
      <c r="AE481" s="148"/>
      <c r="AH481" s="166" t="s">
        <v>8229</v>
      </c>
      <c r="AI481" s="168" t="s">
        <v>4179</v>
      </c>
      <c r="AJ481" s="168" t="s">
        <v>4179</v>
      </c>
      <c r="AK481" s="168" t="s">
        <v>4179</v>
      </c>
      <c r="AL481" s="168" t="s">
        <v>4179</v>
      </c>
      <c r="AM481" s="168" t="s">
        <v>4179</v>
      </c>
      <c r="AN481" s="167" t="s">
        <v>8229</v>
      </c>
      <c r="AO481" s="167" t="s">
        <v>8229</v>
      </c>
      <c r="AP481" s="167" t="s">
        <v>8229</v>
      </c>
      <c r="AQ481" s="169" t="s">
        <v>4179</v>
      </c>
      <c r="AR481" s="170" t="s">
        <v>5220</v>
      </c>
      <c r="AS481" s="169" t="s">
        <v>4179</v>
      </c>
      <c r="AT481">
        <v>14</v>
      </c>
      <c r="AU481" s="170" t="s">
        <v>6827</v>
      </c>
      <c r="AV481" s="169" t="s">
        <v>4179</v>
      </c>
      <c r="AW481" s="170" t="s">
        <v>3054</v>
      </c>
      <c r="AX481" s="169" t="s">
        <v>4179</v>
      </c>
      <c r="AY481" t="s">
        <v>1017</v>
      </c>
      <c r="AZ481" t="s">
        <v>4179</v>
      </c>
    </row>
    <row r="482" spans="1:52" s="145" customFormat="1" x14ac:dyDescent="0.35">
      <c r="A482" s="511" t="s">
        <v>3527</v>
      </c>
      <c r="B482" s="173" t="s">
        <v>5547</v>
      </c>
      <c r="C482" s="173" t="s">
        <v>3726</v>
      </c>
      <c r="D482" s="173" t="s">
        <v>6828</v>
      </c>
      <c r="E482" s="173" t="s">
        <v>1980</v>
      </c>
      <c r="F482" s="374">
        <v>26.58</v>
      </c>
      <c r="G482" s="631">
        <v>45291</v>
      </c>
      <c r="H482" s="633">
        <v>45268</v>
      </c>
      <c r="I482"/>
      <c r="J482"/>
      <c r="K482" s="11"/>
      <c r="L482"/>
      <c r="M482" s="37">
        <v>26.58</v>
      </c>
      <c r="N482" s="29">
        <v>11.67</v>
      </c>
      <c r="O482" s="143"/>
      <c r="P482" s="144"/>
      <c r="S482" s="145" t="s">
        <v>4179</v>
      </c>
      <c r="T482" s="145" t="s">
        <v>1017</v>
      </c>
      <c r="U482" s="146" t="s">
        <v>1017</v>
      </c>
      <c r="W482" s="147"/>
      <c r="X482" s="147"/>
      <c r="Z482" s="145" t="s">
        <v>1017</v>
      </c>
      <c r="AA482" s="147"/>
      <c r="AD482" s="147"/>
      <c r="AE482" s="148"/>
      <c r="AH482" s="171" t="s">
        <v>4178</v>
      </c>
      <c r="AI482" s="168" t="s">
        <v>4179</v>
      </c>
      <c r="AJ482" s="168" t="s">
        <v>4179</v>
      </c>
      <c r="AK482" s="168" t="s">
        <v>4179</v>
      </c>
      <c r="AL482" s="168" t="s">
        <v>4179</v>
      </c>
      <c r="AM482" s="168" t="s">
        <v>4179</v>
      </c>
      <c r="AN482" s="167" t="s">
        <v>4178</v>
      </c>
      <c r="AO482" s="167" t="s">
        <v>4178</v>
      </c>
      <c r="AP482" s="167" t="s">
        <v>4178</v>
      </c>
      <c r="AQ482" s="169" t="s">
        <v>4179</v>
      </c>
      <c r="AR482" s="170" t="s">
        <v>3527</v>
      </c>
      <c r="AS482" s="169" t="s">
        <v>4179</v>
      </c>
      <c r="AT482">
        <v>14</v>
      </c>
      <c r="AU482" s="170" t="s">
        <v>6828</v>
      </c>
      <c r="AV482" s="169" t="s">
        <v>4179</v>
      </c>
      <c r="AW482" s="170" t="s">
        <v>1980</v>
      </c>
      <c r="AX482" s="169" t="s">
        <v>4179</v>
      </c>
      <c r="AY482" t="s">
        <v>4179</v>
      </c>
      <c r="AZ482" t="s">
        <v>1017</v>
      </c>
    </row>
    <row r="483" spans="1:52" s="145" customFormat="1" x14ac:dyDescent="0.35">
      <c r="A483" s="497" t="s">
        <v>1096</v>
      </c>
      <c r="B483" s="13" t="s">
        <v>5547</v>
      </c>
      <c r="C483" s="13" t="s">
        <v>3726</v>
      </c>
      <c r="D483" s="13" t="s">
        <v>6829</v>
      </c>
      <c r="E483" s="13" t="s">
        <v>4809</v>
      </c>
      <c r="F483" s="373">
        <v>20.67</v>
      </c>
      <c r="G483" s="631">
        <v>45291</v>
      </c>
      <c r="H483" s="633">
        <v>45268</v>
      </c>
      <c r="I483"/>
      <c r="J483"/>
      <c r="K483" s="11"/>
      <c r="L483"/>
      <c r="M483" s="37">
        <v>20.67</v>
      </c>
      <c r="N483" s="29">
        <v>11.67</v>
      </c>
      <c r="O483" s="143"/>
      <c r="P483" s="144"/>
      <c r="S483" s="145" t="s">
        <v>4179</v>
      </c>
      <c r="T483" s="145" t="s">
        <v>4179</v>
      </c>
      <c r="U483" s="146"/>
      <c r="W483" s="147"/>
      <c r="X483" s="147"/>
      <c r="AA483" s="147"/>
      <c r="AB483" s="145" t="s">
        <v>1017</v>
      </c>
      <c r="AD483" s="147"/>
      <c r="AE483" s="148"/>
      <c r="AH483" s="166" t="s">
        <v>4179</v>
      </c>
      <c r="AI483" s="168" t="s">
        <v>4179</v>
      </c>
      <c r="AJ483" s="168" t="s">
        <v>4179</v>
      </c>
      <c r="AK483" s="168" t="s">
        <v>4179</v>
      </c>
      <c r="AL483" s="168" t="s">
        <v>4179</v>
      </c>
      <c r="AM483" s="168" t="s">
        <v>4179</v>
      </c>
      <c r="AN483" s="167" t="s">
        <v>4179</v>
      </c>
      <c r="AO483" s="167" t="s">
        <v>4179</v>
      </c>
      <c r="AP483" s="167" t="s">
        <v>4179</v>
      </c>
      <c r="AQ483" s="169" t="s">
        <v>4179</v>
      </c>
      <c r="AR483" s="170" t="s">
        <v>1096</v>
      </c>
      <c r="AS483" s="169" t="s">
        <v>4179</v>
      </c>
      <c r="AT483">
        <v>14</v>
      </c>
      <c r="AU483" s="170" t="s">
        <v>6829</v>
      </c>
      <c r="AV483" s="169" t="s">
        <v>4179</v>
      </c>
      <c r="AW483" s="170" t="s">
        <v>4809</v>
      </c>
      <c r="AX483" s="169" t="s">
        <v>4179</v>
      </c>
      <c r="AY483" t="s">
        <v>4179</v>
      </c>
      <c r="AZ483" t="s">
        <v>4179</v>
      </c>
    </row>
    <row r="484" spans="1:52" s="145" customFormat="1" x14ac:dyDescent="0.35">
      <c r="A484" s="497" t="s">
        <v>1097</v>
      </c>
      <c r="B484" s="13" t="s">
        <v>5547</v>
      </c>
      <c r="C484" s="13" t="s">
        <v>3726</v>
      </c>
      <c r="D484" s="13" t="s">
        <v>6830</v>
      </c>
      <c r="E484" s="13" t="s">
        <v>4330</v>
      </c>
      <c r="F484" s="373">
        <v>23.67</v>
      </c>
      <c r="G484" s="631">
        <v>45291</v>
      </c>
      <c r="H484" s="633">
        <v>45268</v>
      </c>
      <c r="I484"/>
      <c r="J484"/>
      <c r="K484" s="11"/>
      <c r="L484"/>
      <c r="M484" s="37">
        <v>23.67</v>
      </c>
      <c r="N484" s="29">
        <v>11.67</v>
      </c>
      <c r="O484" s="143"/>
      <c r="P484" s="145" t="s">
        <v>1017</v>
      </c>
      <c r="S484" s="145" t="s">
        <v>4179</v>
      </c>
      <c r="T484" s="145" t="s">
        <v>4179</v>
      </c>
      <c r="U484" s="146"/>
      <c r="W484" s="147"/>
      <c r="X484" s="147"/>
      <c r="AA484" s="147"/>
      <c r="AB484" s="145" t="s">
        <v>1017</v>
      </c>
      <c r="AD484" s="147"/>
      <c r="AE484" s="148"/>
      <c r="AH484" s="166" t="s">
        <v>4179</v>
      </c>
      <c r="AI484" s="168" t="s">
        <v>4179</v>
      </c>
      <c r="AJ484" s="168" t="s">
        <v>4179</v>
      </c>
      <c r="AK484" s="168" t="s">
        <v>4179</v>
      </c>
      <c r="AL484" s="168" t="s">
        <v>4179</v>
      </c>
      <c r="AM484" s="168" t="s">
        <v>4179</v>
      </c>
      <c r="AN484" s="167" t="s">
        <v>4179</v>
      </c>
      <c r="AO484" s="167" t="s">
        <v>4179</v>
      </c>
      <c r="AP484" s="167" t="s">
        <v>4179</v>
      </c>
      <c r="AQ484" s="169" t="s">
        <v>4179</v>
      </c>
      <c r="AR484" s="170" t="s">
        <v>1097</v>
      </c>
      <c r="AS484" s="169" t="s">
        <v>4179</v>
      </c>
      <c r="AT484">
        <v>14</v>
      </c>
      <c r="AU484" s="170" t="s">
        <v>6830</v>
      </c>
      <c r="AV484" s="169" t="s">
        <v>4179</v>
      </c>
      <c r="AW484" s="170" t="s">
        <v>4330</v>
      </c>
      <c r="AX484" s="169" t="s">
        <v>4179</v>
      </c>
      <c r="AY484" t="s">
        <v>4179</v>
      </c>
      <c r="AZ484" t="s">
        <v>4179</v>
      </c>
    </row>
    <row r="485" spans="1:52" s="145" customFormat="1" x14ac:dyDescent="0.35">
      <c r="A485" s="497" t="s">
        <v>1098</v>
      </c>
      <c r="B485" s="13" t="s">
        <v>5547</v>
      </c>
      <c r="C485" s="13" t="s">
        <v>3726</v>
      </c>
      <c r="D485" s="13" t="s">
        <v>6831</v>
      </c>
      <c r="E485" s="13" t="s">
        <v>674</v>
      </c>
      <c r="F485" s="373">
        <v>23.67</v>
      </c>
      <c r="G485" s="631">
        <v>45291</v>
      </c>
      <c r="H485" s="633">
        <v>45268</v>
      </c>
      <c r="I485"/>
      <c r="J485"/>
      <c r="K485" s="11"/>
      <c r="L485"/>
      <c r="M485" s="37">
        <v>23.67</v>
      </c>
      <c r="N485" s="29">
        <v>11.67</v>
      </c>
      <c r="O485" s="143"/>
      <c r="P485" s="144"/>
      <c r="Q485" s="145" t="s">
        <v>1017</v>
      </c>
      <c r="S485" s="145" t="s">
        <v>4179</v>
      </c>
      <c r="T485" s="145" t="s">
        <v>4179</v>
      </c>
      <c r="U485" s="146"/>
      <c r="W485" s="147"/>
      <c r="X485" s="147"/>
      <c r="AA485" s="147"/>
      <c r="AB485" s="145" t="s">
        <v>1017</v>
      </c>
      <c r="AD485" s="147"/>
      <c r="AE485" s="148"/>
      <c r="AH485" s="166" t="s">
        <v>4179</v>
      </c>
      <c r="AI485" s="168" t="s">
        <v>4179</v>
      </c>
      <c r="AJ485" s="168" t="s">
        <v>4179</v>
      </c>
      <c r="AK485" s="168" t="s">
        <v>4179</v>
      </c>
      <c r="AL485" s="168" t="s">
        <v>4179</v>
      </c>
      <c r="AM485" s="168" t="s">
        <v>4179</v>
      </c>
      <c r="AN485" s="167" t="s">
        <v>4179</v>
      </c>
      <c r="AO485" s="167" t="s">
        <v>4179</v>
      </c>
      <c r="AP485" s="167" t="s">
        <v>4179</v>
      </c>
      <c r="AQ485" s="169" t="s">
        <v>4179</v>
      </c>
      <c r="AR485" s="170" t="s">
        <v>1098</v>
      </c>
      <c r="AS485" s="169" t="s">
        <v>4179</v>
      </c>
      <c r="AT485">
        <v>14</v>
      </c>
      <c r="AU485" s="170" t="s">
        <v>6831</v>
      </c>
      <c r="AV485" s="169" t="s">
        <v>4179</v>
      </c>
      <c r="AW485" s="170" t="s">
        <v>674</v>
      </c>
      <c r="AX485" s="169" t="s">
        <v>4179</v>
      </c>
      <c r="AY485" t="s">
        <v>4179</v>
      </c>
      <c r="AZ485" t="s">
        <v>4179</v>
      </c>
    </row>
    <row r="486" spans="1:52" s="145" customFormat="1" x14ac:dyDescent="0.35">
      <c r="A486" s="497" t="s">
        <v>3255</v>
      </c>
      <c r="B486" s="13" t="s">
        <v>5547</v>
      </c>
      <c r="C486" s="13" t="s">
        <v>3726</v>
      </c>
      <c r="D486" s="13" t="s">
        <v>6832</v>
      </c>
      <c r="E486" s="13" t="s">
        <v>3566</v>
      </c>
      <c r="F486" s="373">
        <v>23.64</v>
      </c>
      <c r="G486" s="631">
        <v>45291</v>
      </c>
      <c r="H486" s="633">
        <v>45268</v>
      </c>
      <c r="I486"/>
      <c r="J486"/>
      <c r="K486" s="11"/>
      <c r="L486"/>
      <c r="M486" s="37">
        <v>23.64</v>
      </c>
      <c r="N486" s="29">
        <v>11.67</v>
      </c>
      <c r="O486" s="143"/>
      <c r="P486" s="144"/>
      <c r="R486" s="145" t="s">
        <v>1017</v>
      </c>
      <c r="S486" s="145" t="s">
        <v>4179</v>
      </c>
      <c r="T486" s="145" t="s">
        <v>4179</v>
      </c>
      <c r="U486" s="146"/>
      <c r="W486" s="147"/>
      <c r="X486" s="147"/>
      <c r="AA486" s="147"/>
      <c r="AB486" s="145" t="s">
        <v>1017</v>
      </c>
      <c r="AD486" s="147"/>
      <c r="AE486" s="148"/>
      <c r="AH486" s="166" t="s">
        <v>8228</v>
      </c>
      <c r="AI486" s="168" t="s">
        <v>4179</v>
      </c>
      <c r="AJ486" s="168" t="s">
        <v>4179</v>
      </c>
      <c r="AK486" s="168" t="s">
        <v>4179</v>
      </c>
      <c r="AL486" s="168" t="s">
        <v>4179</v>
      </c>
      <c r="AM486" s="168" t="s">
        <v>4179</v>
      </c>
      <c r="AN486" s="167" t="s">
        <v>8228</v>
      </c>
      <c r="AO486" s="167" t="s">
        <v>8228</v>
      </c>
      <c r="AP486" s="167" t="s">
        <v>8228</v>
      </c>
      <c r="AQ486" s="169" t="s">
        <v>4179</v>
      </c>
      <c r="AR486" s="170" t="s">
        <v>3255</v>
      </c>
      <c r="AS486" s="169" t="s">
        <v>4179</v>
      </c>
      <c r="AT486">
        <v>14</v>
      </c>
      <c r="AU486" s="170" t="s">
        <v>6832</v>
      </c>
      <c r="AV486" s="169" t="s">
        <v>4179</v>
      </c>
      <c r="AW486" s="170" t="s">
        <v>3566</v>
      </c>
      <c r="AX486" s="169" t="s">
        <v>4179</v>
      </c>
      <c r="AY486" t="s">
        <v>4179</v>
      </c>
      <c r="AZ486" t="s">
        <v>4179</v>
      </c>
    </row>
    <row r="487" spans="1:52" s="145" customFormat="1" x14ac:dyDescent="0.35">
      <c r="A487" s="497" t="s">
        <v>5221</v>
      </c>
      <c r="B487" s="13" t="s">
        <v>5547</v>
      </c>
      <c r="C487" s="13" t="s">
        <v>3726</v>
      </c>
      <c r="D487" s="13" t="s">
        <v>6833</v>
      </c>
      <c r="E487" s="13" t="s">
        <v>3054</v>
      </c>
      <c r="F487" s="373">
        <v>23.61</v>
      </c>
      <c r="G487" s="631">
        <v>45291</v>
      </c>
      <c r="H487" s="633">
        <v>45268</v>
      </c>
      <c r="I487"/>
      <c r="J487"/>
      <c r="K487" s="11"/>
      <c r="L487"/>
      <c r="M487" s="37">
        <v>23.61</v>
      </c>
      <c r="N487" s="29">
        <v>11.67</v>
      </c>
      <c r="O487" s="143"/>
      <c r="P487" s="144"/>
      <c r="S487" s="145" t="s">
        <v>1017</v>
      </c>
      <c r="T487" s="145" t="s">
        <v>4179</v>
      </c>
      <c r="U487" s="146"/>
      <c r="W487" s="147"/>
      <c r="X487" s="147"/>
      <c r="AA487" s="147"/>
      <c r="AB487" s="145" t="s">
        <v>1017</v>
      </c>
      <c r="AD487" s="147"/>
      <c r="AE487" s="148"/>
      <c r="AH487" s="166" t="s">
        <v>8229</v>
      </c>
      <c r="AI487" s="168" t="s">
        <v>4179</v>
      </c>
      <c r="AJ487" s="168" t="s">
        <v>4179</v>
      </c>
      <c r="AK487" s="168" t="s">
        <v>4179</v>
      </c>
      <c r="AL487" s="168" t="s">
        <v>4179</v>
      </c>
      <c r="AM487" s="168" t="s">
        <v>4179</v>
      </c>
      <c r="AN487" s="167" t="s">
        <v>8229</v>
      </c>
      <c r="AO487" s="167" t="s">
        <v>8229</v>
      </c>
      <c r="AP487" s="167" t="s">
        <v>8229</v>
      </c>
      <c r="AQ487" s="169" t="s">
        <v>4179</v>
      </c>
      <c r="AR487" s="170" t="s">
        <v>5221</v>
      </c>
      <c r="AS487" s="169" t="s">
        <v>4179</v>
      </c>
      <c r="AT487">
        <v>14</v>
      </c>
      <c r="AU487" s="170" t="s">
        <v>6833</v>
      </c>
      <c r="AV487" s="169" t="s">
        <v>4179</v>
      </c>
      <c r="AW487" s="170" t="s">
        <v>3054</v>
      </c>
      <c r="AX487" s="169" t="s">
        <v>4179</v>
      </c>
      <c r="AY487" t="s">
        <v>1017</v>
      </c>
      <c r="AZ487" t="s">
        <v>4179</v>
      </c>
    </row>
    <row r="488" spans="1:52" s="145" customFormat="1" x14ac:dyDescent="0.35">
      <c r="A488" s="511" t="s">
        <v>3528</v>
      </c>
      <c r="B488" s="173" t="s">
        <v>5547</v>
      </c>
      <c r="C488" s="173" t="s">
        <v>3726</v>
      </c>
      <c r="D488" s="173" t="s">
        <v>6834</v>
      </c>
      <c r="E488" s="173" t="s">
        <v>1980</v>
      </c>
      <c r="F488" s="374">
        <v>23.58</v>
      </c>
      <c r="G488" s="631">
        <v>45291</v>
      </c>
      <c r="H488" s="633">
        <v>45268</v>
      </c>
      <c r="I488"/>
      <c r="J488"/>
      <c r="K488" s="11"/>
      <c r="L488"/>
      <c r="M488" s="37">
        <v>23.58</v>
      </c>
      <c r="N488" s="29">
        <v>11.67</v>
      </c>
      <c r="O488" s="143"/>
      <c r="P488" s="144"/>
      <c r="S488" s="145" t="s">
        <v>4179</v>
      </c>
      <c r="T488" s="145" t="s">
        <v>1017</v>
      </c>
      <c r="U488" s="146"/>
      <c r="W488" s="147"/>
      <c r="X488" s="147"/>
      <c r="AA488" s="147"/>
      <c r="AB488" s="145" t="s">
        <v>1017</v>
      </c>
      <c r="AD488" s="147"/>
      <c r="AE488" s="148"/>
      <c r="AH488" s="171" t="s">
        <v>4178</v>
      </c>
      <c r="AI488" s="168" t="s">
        <v>4179</v>
      </c>
      <c r="AJ488" s="168" t="s">
        <v>4179</v>
      </c>
      <c r="AK488" s="168" t="s">
        <v>4179</v>
      </c>
      <c r="AL488" s="168" t="s">
        <v>4179</v>
      </c>
      <c r="AM488" s="168" t="s">
        <v>4179</v>
      </c>
      <c r="AN488" s="167" t="s">
        <v>4178</v>
      </c>
      <c r="AO488" s="167" t="s">
        <v>4178</v>
      </c>
      <c r="AP488" s="167" t="s">
        <v>4178</v>
      </c>
      <c r="AQ488" s="169" t="s">
        <v>4179</v>
      </c>
      <c r="AR488" s="170" t="s">
        <v>3528</v>
      </c>
      <c r="AS488" s="169" t="s">
        <v>4179</v>
      </c>
      <c r="AT488">
        <v>14</v>
      </c>
      <c r="AU488" s="170" t="s">
        <v>6834</v>
      </c>
      <c r="AV488" s="169" t="s">
        <v>4179</v>
      </c>
      <c r="AW488" s="170" t="s">
        <v>1980</v>
      </c>
      <c r="AX488" s="169" t="s">
        <v>4179</v>
      </c>
      <c r="AY488" t="s">
        <v>4179</v>
      </c>
      <c r="AZ488" t="s">
        <v>1017</v>
      </c>
    </row>
    <row r="489" spans="1:52" x14ac:dyDescent="0.35">
      <c r="A489" s="497" t="s">
        <v>1099</v>
      </c>
      <c r="B489" s="13" t="s">
        <v>5547</v>
      </c>
      <c r="C489" s="13" t="s">
        <v>3726</v>
      </c>
      <c r="D489" s="13" t="s">
        <v>6835</v>
      </c>
      <c r="E489" s="13" t="s">
        <v>4809</v>
      </c>
      <c r="F489" s="373">
        <v>21.67</v>
      </c>
      <c r="G489" s="631">
        <v>45291</v>
      </c>
      <c r="H489" s="633">
        <v>45268</v>
      </c>
      <c r="K489" s="11"/>
      <c r="M489" s="37">
        <v>21.67</v>
      </c>
      <c r="N489" s="29">
        <v>11.67</v>
      </c>
      <c r="O489" s="143"/>
      <c r="P489" s="144"/>
      <c r="Q489" s="145"/>
      <c r="R489" s="145"/>
      <c r="S489" s="145" t="s">
        <v>4179</v>
      </c>
      <c r="T489" t="s">
        <v>4179</v>
      </c>
      <c r="U489" s="146" t="s">
        <v>1017</v>
      </c>
      <c r="V489" s="145"/>
      <c r="W489" s="147"/>
      <c r="X489" s="147"/>
      <c r="Y489" s="145"/>
      <c r="Z489" s="145"/>
      <c r="AA489" s="147"/>
      <c r="AB489" s="145" t="s">
        <v>1017</v>
      </c>
      <c r="AC489" s="145"/>
      <c r="AD489" s="147"/>
      <c r="AE489" s="148"/>
      <c r="AF489" s="145"/>
      <c r="AG489" s="145"/>
      <c r="AH489" s="166" t="s">
        <v>4179</v>
      </c>
      <c r="AI489" s="168" t="s">
        <v>4179</v>
      </c>
      <c r="AJ489" s="168" t="s">
        <v>4179</v>
      </c>
      <c r="AK489" s="168" t="s">
        <v>4179</v>
      </c>
      <c r="AL489" s="168" t="s">
        <v>4179</v>
      </c>
      <c r="AM489" s="168" t="s">
        <v>4179</v>
      </c>
      <c r="AN489" s="167" t="s">
        <v>4179</v>
      </c>
      <c r="AO489" s="167" t="s">
        <v>4179</v>
      </c>
      <c r="AP489" s="167" t="s">
        <v>4179</v>
      </c>
      <c r="AQ489" s="169" t="s">
        <v>4179</v>
      </c>
      <c r="AR489" s="170" t="s">
        <v>1099</v>
      </c>
      <c r="AS489" s="169" t="s">
        <v>4179</v>
      </c>
      <c r="AT489">
        <v>14</v>
      </c>
      <c r="AU489" s="170" t="s">
        <v>6835</v>
      </c>
      <c r="AV489" s="169" t="s">
        <v>4179</v>
      </c>
      <c r="AW489" s="170" t="s">
        <v>4809</v>
      </c>
      <c r="AX489" s="169" t="s">
        <v>4179</v>
      </c>
      <c r="AY489" t="s">
        <v>4179</v>
      </c>
      <c r="AZ489" t="s">
        <v>4179</v>
      </c>
    </row>
    <row r="490" spans="1:52" x14ac:dyDescent="0.35">
      <c r="A490" s="497" t="s">
        <v>1100</v>
      </c>
      <c r="B490" s="13" t="s">
        <v>5547</v>
      </c>
      <c r="C490" s="13" t="s">
        <v>3726</v>
      </c>
      <c r="D490" s="88" t="s">
        <v>6836</v>
      </c>
      <c r="E490" s="13" t="s">
        <v>4330</v>
      </c>
      <c r="F490" s="373">
        <v>24.67</v>
      </c>
      <c r="G490" s="631">
        <v>45291</v>
      </c>
      <c r="H490" s="633">
        <v>45268</v>
      </c>
      <c r="K490" s="11"/>
      <c r="M490" s="37">
        <v>24.67</v>
      </c>
      <c r="N490" s="29">
        <v>11.67</v>
      </c>
      <c r="O490" s="143"/>
      <c r="P490" s="145" t="s">
        <v>1017</v>
      </c>
      <c r="Q490" s="145"/>
      <c r="R490" s="145"/>
      <c r="S490" s="145" t="s">
        <v>4179</v>
      </c>
      <c r="T490" t="s">
        <v>4179</v>
      </c>
      <c r="U490" s="146" t="s">
        <v>1017</v>
      </c>
      <c r="V490" s="145"/>
      <c r="W490" s="147"/>
      <c r="X490" s="147"/>
      <c r="Y490" s="145"/>
      <c r="Z490" s="145"/>
      <c r="AA490" s="147"/>
      <c r="AB490" s="145" t="s">
        <v>1017</v>
      </c>
      <c r="AC490" s="145"/>
      <c r="AD490" s="147"/>
      <c r="AE490" s="148"/>
      <c r="AF490" s="145"/>
      <c r="AG490" s="145"/>
      <c r="AH490" s="166" t="s">
        <v>4179</v>
      </c>
      <c r="AI490" s="168" t="s">
        <v>4179</v>
      </c>
      <c r="AJ490" s="168" t="s">
        <v>4179</v>
      </c>
      <c r="AK490" s="168" t="s">
        <v>4179</v>
      </c>
      <c r="AL490" s="168" t="s">
        <v>4179</v>
      </c>
      <c r="AM490" s="168" t="s">
        <v>4179</v>
      </c>
      <c r="AN490" s="167" t="s">
        <v>4179</v>
      </c>
      <c r="AO490" s="167" t="s">
        <v>4179</v>
      </c>
      <c r="AP490" s="167" t="s">
        <v>4179</v>
      </c>
      <c r="AQ490" s="169" t="s">
        <v>4179</v>
      </c>
      <c r="AR490" s="170" t="s">
        <v>1100</v>
      </c>
      <c r="AS490" s="169" t="s">
        <v>4179</v>
      </c>
      <c r="AT490">
        <v>14</v>
      </c>
      <c r="AU490" s="170" t="s">
        <v>6836</v>
      </c>
      <c r="AV490" s="169" t="s">
        <v>4179</v>
      </c>
      <c r="AW490" s="170" t="s">
        <v>4330</v>
      </c>
      <c r="AX490" s="169" t="s">
        <v>4179</v>
      </c>
      <c r="AY490" t="s">
        <v>4179</v>
      </c>
      <c r="AZ490" t="s">
        <v>4179</v>
      </c>
    </row>
    <row r="491" spans="1:52" x14ac:dyDescent="0.35">
      <c r="A491" s="497" t="s">
        <v>1101</v>
      </c>
      <c r="B491" s="13" t="s">
        <v>5547</v>
      </c>
      <c r="C491" s="13" t="s">
        <v>3726</v>
      </c>
      <c r="D491" s="13" t="s">
        <v>6837</v>
      </c>
      <c r="E491" s="13" t="s">
        <v>674</v>
      </c>
      <c r="F491" s="373">
        <v>24.67</v>
      </c>
      <c r="G491" s="631">
        <v>45291</v>
      </c>
      <c r="H491" s="633">
        <v>45268</v>
      </c>
      <c r="K491" s="11"/>
      <c r="M491" s="37">
        <v>24.67</v>
      </c>
      <c r="N491" s="29">
        <v>11.67</v>
      </c>
      <c r="O491" s="143"/>
      <c r="P491" s="144"/>
      <c r="Q491" s="145" t="s">
        <v>1017</v>
      </c>
      <c r="R491" s="145"/>
      <c r="S491" s="145" t="s">
        <v>4179</v>
      </c>
      <c r="T491" t="s">
        <v>4179</v>
      </c>
      <c r="U491" s="146" t="s">
        <v>1017</v>
      </c>
      <c r="V491" s="145"/>
      <c r="W491" s="147"/>
      <c r="X491" s="147"/>
      <c r="Y491" s="145"/>
      <c r="Z491" s="145"/>
      <c r="AA491" s="147"/>
      <c r="AB491" s="145" t="s">
        <v>1017</v>
      </c>
      <c r="AC491" s="145"/>
      <c r="AD491" s="147"/>
      <c r="AE491" s="148"/>
      <c r="AF491" s="145"/>
      <c r="AG491" s="145"/>
      <c r="AH491" s="166" t="s">
        <v>4179</v>
      </c>
      <c r="AI491" s="168" t="s">
        <v>4179</v>
      </c>
      <c r="AJ491" s="168" t="s">
        <v>4179</v>
      </c>
      <c r="AK491" s="168" t="s">
        <v>4179</v>
      </c>
      <c r="AL491" s="168" t="s">
        <v>4179</v>
      </c>
      <c r="AM491" s="168" t="s">
        <v>4179</v>
      </c>
      <c r="AN491" s="167" t="s">
        <v>4179</v>
      </c>
      <c r="AO491" s="167" t="s">
        <v>4179</v>
      </c>
      <c r="AP491" s="167" t="s">
        <v>4179</v>
      </c>
      <c r="AQ491" s="169" t="s">
        <v>4179</v>
      </c>
      <c r="AR491" s="170" t="s">
        <v>1101</v>
      </c>
      <c r="AS491" s="169" t="s">
        <v>4179</v>
      </c>
      <c r="AT491">
        <v>14</v>
      </c>
      <c r="AU491" s="170" t="s">
        <v>6837</v>
      </c>
      <c r="AV491" s="169" t="s">
        <v>4179</v>
      </c>
      <c r="AW491" s="170" t="s">
        <v>674</v>
      </c>
      <c r="AX491" s="169" t="s">
        <v>4179</v>
      </c>
      <c r="AY491" t="s">
        <v>4179</v>
      </c>
      <c r="AZ491" t="s">
        <v>4179</v>
      </c>
    </row>
    <row r="492" spans="1:52" x14ac:dyDescent="0.35">
      <c r="A492" s="497" t="s">
        <v>3256</v>
      </c>
      <c r="B492" s="13" t="s">
        <v>5547</v>
      </c>
      <c r="C492" s="13" t="s">
        <v>3726</v>
      </c>
      <c r="D492" s="13" t="s">
        <v>6838</v>
      </c>
      <c r="E492" s="13" t="s">
        <v>3566</v>
      </c>
      <c r="F492" s="373">
        <v>24.64</v>
      </c>
      <c r="G492" s="631">
        <v>45291</v>
      </c>
      <c r="H492" s="633">
        <v>45268</v>
      </c>
      <c r="K492" s="11"/>
      <c r="M492" s="37">
        <v>24.64</v>
      </c>
      <c r="N492" s="29">
        <v>11.67</v>
      </c>
      <c r="O492" s="143"/>
      <c r="P492" s="144"/>
      <c r="Q492" s="145"/>
      <c r="R492" s="145" t="s">
        <v>1017</v>
      </c>
      <c r="S492" s="145" t="s">
        <v>4179</v>
      </c>
      <c r="T492" t="s">
        <v>4179</v>
      </c>
      <c r="U492" s="146" t="s">
        <v>1017</v>
      </c>
      <c r="V492" s="145"/>
      <c r="W492" s="147"/>
      <c r="X492" s="147"/>
      <c r="Y492" s="145"/>
      <c r="Z492" s="145"/>
      <c r="AA492" s="147"/>
      <c r="AB492" s="145" t="s">
        <v>1017</v>
      </c>
      <c r="AC492" s="145"/>
      <c r="AD492" s="147"/>
      <c r="AE492" s="148"/>
      <c r="AF492" s="145"/>
      <c r="AG492" s="145"/>
      <c r="AH492" s="166" t="s">
        <v>8228</v>
      </c>
      <c r="AI492" s="168" t="s">
        <v>4179</v>
      </c>
      <c r="AJ492" s="168" t="s">
        <v>4179</v>
      </c>
      <c r="AK492" s="168" t="s">
        <v>4179</v>
      </c>
      <c r="AL492" s="168" t="s">
        <v>4179</v>
      </c>
      <c r="AM492" s="168" t="s">
        <v>4179</v>
      </c>
      <c r="AN492" s="167" t="s">
        <v>8228</v>
      </c>
      <c r="AO492" s="167" t="s">
        <v>8228</v>
      </c>
      <c r="AP492" s="167" t="s">
        <v>8228</v>
      </c>
      <c r="AQ492" s="169" t="s">
        <v>4179</v>
      </c>
      <c r="AR492" s="170" t="s">
        <v>3256</v>
      </c>
      <c r="AS492" s="169" t="s">
        <v>4179</v>
      </c>
      <c r="AT492">
        <v>14</v>
      </c>
      <c r="AU492" s="170" t="s">
        <v>6838</v>
      </c>
      <c r="AV492" s="169" t="s">
        <v>4179</v>
      </c>
      <c r="AW492" s="170" t="s">
        <v>3566</v>
      </c>
      <c r="AX492" s="169" t="s">
        <v>4179</v>
      </c>
      <c r="AY492" t="s">
        <v>4179</v>
      </c>
      <c r="AZ492" t="s">
        <v>4179</v>
      </c>
    </row>
    <row r="493" spans="1:52" x14ac:dyDescent="0.35">
      <c r="A493" s="497" t="s">
        <v>5222</v>
      </c>
      <c r="B493" s="13" t="s">
        <v>5547</v>
      </c>
      <c r="C493" s="13" t="s">
        <v>3726</v>
      </c>
      <c r="D493" s="13" t="s">
        <v>6839</v>
      </c>
      <c r="E493" s="13" t="s">
        <v>3054</v>
      </c>
      <c r="F493" s="373">
        <v>24.61</v>
      </c>
      <c r="G493" s="631">
        <v>45291</v>
      </c>
      <c r="H493" s="633">
        <v>45268</v>
      </c>
      <c r="K493" s="11"/>
      <c r="M493" s="37">
        <v>24.61</v>
      </c>
      <c r="N493" s="29">
        <v>11.67</v>
      </c>
      <c r="O493" s="143"/>
      <c r="P493" s="144"/>
      <c r="Q493" s="145"/>
      <c r="R493" s="145"/>
      <c r="S493" s="145" t="s">
        <v>1017</v>
      </c>
      <c r="T493" t="s">
        <v>4179</v>
      </c>
      <c r="U493" s="146" t="s">
        <v>1017</v>
      </c>
      <c r="V493" s="145"/>
      <c r="W493" s="147"/>
      <c r="X493" s="147"/>
      <c r="Y493" s="145"/>
      <c r="Z493" s="145"/>
      <c r="AA493" s="147"/>
      <c r="AB493" s="145" t="s">
        <v>1017</v>
      </c>
      <c r="AC493" s="145"/>
      <c r="AD493" s="147"/>
      <c r="AE493" s="148"/>
      <c r="AF493" s="145"/>
      <c r="AG493" s="145"/>
      <c r="AH493" s="166" t="s">
        <v>8229</v>
      </c>
      <c r="AI493" s="168" t="s">
        <v>4179</v>
      </c>
      <c r="AJ493" s="168" t="s">
        <v>4179</v>
      </c>
      <c r="AK493" s="168" t="s">
        <v>4179</v>
      </c>
      <c r="AL493" s="168" t="s">
        <v>4179</v>
      </c>
      <c r="AM493" s="168" t="s">
        <v>4179</v>
      </c>
      <c r="AN493" s="167" t="s">
        <v>8229</v>
      </c>
      <c r="AO493" s="167" t="s">
        <v>8229</v>
      </c>
      <c r="AP493" s="167" t="s">
        <v>8229</v>
      </c>
      <c r="AQ493" s="169" t="s">
        <v>4179</v>
      </c>
      <c r="AR493" s="170" t="s">
        <v>5222</v>
      </c>
      <c r="AS493" s="169" t="s">
        <v>4179</v>
      </c>
      <c r="AT493">
        <v>14</v>
      </c>
      <c r="AU493" s="170" t="s">
        <v>6839</v>
      </c>
      <c r="AV493" s="169" t="s">
        <v>4179</v>
      </c>
      <c r="AW493" s="170" t="s">
        <v>3054</v>
      </c>
      <c r="AX493" s="169" t="s">
        <v>4179</v>
      </c>
      <c r="AY493" t="s">
        <v>1017</v>
      </c>
      <c r="AZ493" t="s">
        <v>4179</v>
      </c>
    </row>
    <row r="494" spans="1:52" x14ac:dyDescent="0.35">
      <c r="A494" s="511" t="s">
        <v>3529</v>
      </c>
      <c r="B494" s="173" t="s">
        <v>5547</v>
      </c>
      <c r="C494" s="173" t="s">
        <v>3726</v>
      </c>
      <c r="D494" s="173" t="s">
        <v>6840</v>
      </c>
      <c r="E494" s="173" t="s">
        <v>1980</v>
      </c>
      <c r="F494" s="374">
        <v>24.58</v>
      </c>
      <c r="G494" s="631">
        <v>45291</v>
      </c>
      <c r="H494" s="633">
        <v>45268</v>
      </c>
      <c r="K494" s="11"/>
      <c r="M494" s="37">
        <v>24.58</v>
      </c>
      <c r="N494" s="29">
        <v>11.67</v>
      </c>
      <c r="O494" s="143"/>
      <c r="P494" s="144"/>
      <c r="Q494" s="145"/>
      <c r="R494" s="145"/>
      <c r="S494" s="145" t="s">
        <v>4179</v>
      </c>
      <c r="T494" t="s">
        <v>1017</v>
      </c>
      <c r="U494" s="146" t="s">
        <v>1017</v>
      </c>
      <c r="V494" s="145"/>
      <c r="W494" s="147"/>
      <c r="X494" s="147"/>
      <c r="Y494" s="145"/>
      <c r="Z494" s="145"/>
      <c r="AA494" s="147"/>
      <c r="AB494" s="145" t="s">
        <v>1017</v>
      </c>
      <c r="AC494" s="145"/>
      <c r="AD494" s="147"/>
      <c r="AE494" s="148"/>
      <c r="AF494" s="145"/>
      <c r="AG494" s="145"/>
      <c r="AH494" s="171" t="s">
        <v>4178</v>
      </c>
      <c r="AI494" s="168" t="s">
        <v>4179</v>
      </c>
      <c r="AJ494" s="168" t="s">
        <v>4179</v>
      </c>
      <c r="AK494" s="168" t="s">
        <v>4179</v>
      </c>
      <c r="AL494" s="168" t="s">
        <v>4179</v>
      </c>
      <c r="AM494" s="168" t="s">
        <v>4179</v>
      </c>
      <c r="AN494" s="167" t="s">
        <v>4178</v>
      </c>
      <c r="AO494" s="167" t="s">
        <v>4178</v>
      </c>
      <c r="AP494" s="167" t="s">
        <v>4178</v>
      </c>
      <c r="AQ494" s="169" t="s">
        <v>4179</v>
      </c>
      <c r="AR494" s="170" t="s">
        <v>3529</v>
      </c>
      <c r="AS494" s="169" t="s">
        <v>4179</v>
      </c>
      <c r="AT494">
        <v>14</v>
      </c>
      <c r="AU494" s="170" t="s">
        <v>6840</v>
      </c>
      <c r="AV494" s="169" t="s">
        <v>4179</v>
      </c>
      <c r="AW494" s="170" t="s">
        <v>1980</v>
      </c>
      <c r="AX494" s="169" t="s">
        <v>4179</v>
      </c>
      <c r="AY494" t="s">
        <v>4179</v>
      </c>
      <c r="AZ494" t="s">
        <v>1017</v>
      </c>
    </row>
    <row r="495" spans="1:52" x14ac:dyDescent="0.35">
      <c r="A495" s="497" t="s">
        <v>1102</v>
      </c>
      <c r="B495" s="13" t="s">
        <v>5547</v>
      </c>
      <c r="C495" s="13" t="s">
        <v>3726</v>
      </c>
      <c r="D495" s="13" t="s">
        <v>6841</v>
      </c>
      <c r="E495" s="13" t="s">
        <v>4809</v>
      </c>
      <c r="F495" s="373">
        <v>24.67</v>
      </c>
      <c r="G495" s="631">
        <v>45291</v>
      </c>
      <c r="H495" s="633">
        <v>45268</v>
      </c>
      <c r="K495" s="11"/>
      <c r="M495" s="37">
        <v>24.67</v>
      </c>
      <c r="N495" s="29">
        <v>11.67</v>
      </c>
      <c r="O495" s="143"/>
      <c r="P495" s="144"/>
      <c r="Q495" s="145"/>
      <c r="R495" s="145"/>
      <c r="S495" s="145" t="s">
        <v>4179</v>
      </c>
      <c r="T495" t="s">
        <v>4179</v>
      </c>
      <c r="U495" s="146"/>
      <c r="V495" s="145"/>
      <c r="W495" s="147"/>
      <c r="X495" s="147"/>
      <c r="Y495" s="145"/>
      <c r="Z495" s="145"/>
      <c r="AA495" s="147"/>
      <c r="AB495" s="145"/>
      <c r="AC495" s="145" t="s">
        <v>1017</v>
      </c>
      <c r="AD495" s="147"/>
      <c r="AE495" s="148"/>
      <c r="AF495" s="145"/>
      <c r="AG495" s="145"/>
      <c r="AH495" s="166" t="s">
        <v>4179</v>
      </c>
      <c r="AI495" s="168" t="s">
        <v>4179</v>
      </c>
      <c r="AJ495" s="168" t="s">
        <v>4179</v>
      </c>
      <c r="AK495" s="168" t="s">
        <v>4179</v>
      </c>
      <c r="AL495" s="168" t="s">
        <v>4179</v>
      </c>
      <c r="AM495" s="168" t="s">
        <v>4179</v>
      </c>
      <c r="AN495" s="167" t="s">
        <v>4179</v>
      </c>
      <c r="AO495" s="167" t="s">
        <v>4179</v>
      </c>
      <c r="AP495" s="167" t="s">
        <v>4179</v>
      </c>
      <c r="AQ495" s="169" t="s">
        <v>4179</v>
      </c>
      <c r="AR495" s="170" t="s">
        <v>1102</v>
      </c>
      <c r="AS495" s="169" t="s">
        <v>4179</v>
      </c>
      <c r="AT495">
        <v>14</v>
      </c>
      <c r="AU495" s="170" t="s">
        <v>6841</v>
      </c>
      <c r="AV495" s="169" t="s">
        <v>4179</v>
      </c>
      <c r="AW495" s="170" t="s">
        <v>4809</v>
      </c>
      <c r="AX495" s="169" t="s">
        <v>4179</v>
      </c>
      <c r="AY495" t="s">
        <v>4179</v>
      </c>
      <c r="AZ495" t="s">
        <v>4179</v>
      </c>
    </row>
    <row r="496" spans="1:52" x14ac:dyDescent="0.35">
      <c r="A496" s="497" t="s">
        <v>1103</v>
      </c>
      <c r="B496" s="13" t="s">
        <v>5547</v>
      </c>
      <c r="C496" s="13" t="s">
        <v>3726</v>
      </c>
      <c r="D496" s="13" t="s">
        <v>6842</v>
      </c>
      <c r="E496" s="13" t="s">
        <v>4330</v>
      </c>
      <c r="F496" s="373">
        <v>27.67</v>
      </c>
      <c r="G496" s="631">
        <v>45291</v>
      </c>
      <c r="H496" s="633">
        <v>45268</v>
      </c>
      <c r="K496" s="11"/>
      <c r="M496" s="37">
        <v>27.67</v>
      </c>
      <c r="N496" s="29">
        <v>11.67</v>
      </c>
      <c r="O496" s="143"/>
      <c r="P496" s="145" t="s">
        <v>1017</v>
      </c>
      <c r="Q496" s="145"/>
      <c r="R496" s="145"/>
      <c r="S496" s="145" t="s">
        <v>4179</v>
      </c>
      <c r="T496" t="s">
        <v>4179</v>
      </c>
      <c r="U496" s="146"/>
      <c r="V496" s="145"/>
      <c r="W496" s="147"/>
      <c r="X496" s="147"/>
      <c r="Y496" s="145"/>
      <c r="Z496" s="145"/>
      <c r="AA496" s="147"/>
      <c r="AB496" s="145"/>
      <c r="AC496" s="145" t="s">
        <v>1017</v>
      </c>
      <c r="AD496" s="147"/>
      <c r="AE496" s="148"/>
      <c r="AF496" s="145"/>
      <c r="AG496" s="145"/>
      <c r="AH496" s="166" t="s">
        <v>4179</v>
      </c>
      <c r="AI496" s="168" t="s">
        <v>4179</v>
      </c>
      <c r="AJ496" s="168" t="s">
        <v>4179</v>
      </c>
      <c r="AK496" s="168" t="s">
        <v>4179</v>
      </c>
      <c r="AL496" s="168" t="s">
        <v>4179</v>
      </c>
      <c r="AM496" s="168" t="s">
        <v>4179</v>
      </c>
      <c r="AN496" s="167" t="s">
        <v>4179</v>
      </c>
      <c r="AO496" s="167" t="s">
        <v>4179</v>
      </c>
      <c r="AP496" s="167" t="s">
        <v>4179</v>
      </c>
      <c r="AQ496" s="169" t="s">
        <v>4179</v>
      </c>
      <c r="AR496" s="170" t="s">
        <v>1103</v>
      </c>
      <c r="AS496" s="169" t="s">
        <v>4179</v>
      </c>
      <c r="AT496">
        <v>14</v>
      </c>
      <c r="AU496" s="170" t="s">
        <v>6842</v>
      </c>
      <c r="AV496" s="169" t="s">
        <v>4179</v>
      </c>
      <c r="AW496" s="170" t="s">
        <v>4330</v>
      </c>
      <c r="AX496" s="169" t="s">
        <v>4179</v>
      </c>
      <c r="AY496" t="s">
        <v>4179</v>
      </c>
      <c r="AZ496" t="s">
        <v>4179</v>
      </c>
    </row>
    <row r="497" spans="1:52" x14ac:dyDescent="0.35">
      <c r="A497" s="497" t="s">
        <v>1104</v>
      </c>
      <c r="B497" s="13" t="s">
        <v>5547</v>
      </c>
      <c r="C497" s="13" t="s">
        <v>3726</v>
      </c>
      <c r="D497" s="13" t="s">
        <v>6843</v>
      </c>
      <c r="E497" s="13" t="s">
        <v>674</v>
      </c>
      <c r="F497" s="373">
        <v>27.67</v>
      </c>
      <c r="G497" s="631">
        <v>45291</v>
      </c>
      <c r="H497" s="633">
        <v>45268</v>
      </c>
      <c r="K497" s="11"/>
      <c r="M497" s="37">
        <v>27.67</v>
      </c>
      <c r="N497" s="29">
        <v>11.67</v>
      </c>
      <c r="O497" s="143"/>
      <c r="P497" s="144"/>
      <c r="Q497" s="145" t="s">
        <v>1017</v>
      </c>
      <c r="R497" s="145"/>
      <c r="S497" s="145" t="s">
        <v>4179</v>
      </c>
      <c r="T497" t="s">
        <v>4179</v>
      </c>
      <c r="U497" s="146"/>
      <c r="V497" s="145"/>
      <c r="W497" s="147"/>
      <c r="X497" s="147"/>
      <c r="Y497" s="145"/>
      <c r="Z497" s="145"/>
      <c r="AA497" s="147"/>
      <c r="AB497" s="145"/>
      <c r="AC497" s="145" t="s">
        <v>1017</v>
      </c>
      <c r="AD497" s="147"/>
      <c r="AE497" s="148"/>
      <c r="AF497" s="145"/>
      <c r="AG497" s="145"/>
      <c r="AH497" s="166" t="s">
        <v>4179</v>
      </c>
      <c r="AI497" s="168" t="s">
        <v>4179</v>
      </c>
      <c r="AJ497" s="168" t="s">
        <v>4179</v>
      </c>
      <c r="AK497" s="168" t="s">
        <v>4179</v>
      </c>
      <c r="AL497" s="168" t="s">
        <v>4179</v>
      </c>
      <c r="AM497" s="168" t="s">
        <v>4179</v>
      </c>
      <c r="AN497" s="167" t="s">
        <v>4179</v>
      </c>
      <c r="AO497" s="167" t="s">
        <v>4179</v>
      </c>
      <c r="AP497" s="167" t="s">
        <v>4179</v>
      </c>
      <c r="AQ497" s="169" t="s">
        <v>4179</v>
      </c>
      <c r="AR497" s="170" t="s">
        <v>1104</v>
      </c>
      <c r="AS497" s="169" t="s">
        <v>4179</v>
      </c>
      <c r="AT497">
        <v>14</v>
      </c>
      <c r="AU497" s="170" t="s">
        <v>6843</v>
      </c>
      <c r="AV497" s="169" t="s">
        <v>4179</v>
      </c>
      <c r="AW497" s="170" t="s">
        <v>674</v>
      </c>
      <c r="AX497" s="169" t="s">
        <v>4179</v>
      </c>
      <c r="AY497" t="s">
        <v>4179</v>
      </c>
      <c r="AZ497" t="s">
        <v>4179</v>
      </c>
    </row>
    <row r="498" spans="1:52" x14ac:dyDescent="0.35">
      <c r="A498" s="497" t="s">
        <v>3257</v>
      </c>
      <c r="B498" s="13" t="s">
        <v>5547</v>
      </c>
      <c r="C498" s="13" t="s">
        <v>3726</v>
      </c>
      <c r="D498" s="13" t="s">
        <v>6844</v>
      </c>
      <c r="E498" s="13" t="s">
        <v>3566</v>
      </c>
      <c r="F498" s="373">
        <v>27.64</v>
      </c>
      <c r="G498" s="631">
        <v>45291</v>
      </c>
      <c r="H498" s="633">
        <v>45268</v>
      </c>
      <c r="K498" s="11"/>
      <c r="M498" s="37">
        <v>27.64</v>
      </c>
      <c r="N498" s="29">
        <v>11.67</v>
      </c>
      <c r="O498" s="143"/>
      <c r="P498" s="144"/>
      <c r="Q498" s="145"/>
      <c r="R498" s="145" t="s">
        <v>1017</v>
      </c>
      <c r="S498" s="145" t="s">
        <v>4179</v>
      </c>
      <c r="T498" t="s">
        <v>4179</v>
      </c>
      <c r="U498" s="146"/>
      <c r="V498" s="145"/>
      <c r="W498" s="147"/>
      <c r="X498" s="147"/>
      <c r="Y498" s="145"/>
      <c r="Z498" s="145"/>
      <c r="AA498" s="147"/>
      <c r="AB498" s="145"/>
      <c r="AC498" s="145" t="s">
        <v>1017</v>
      </c>
      <c r="AD498" s="147"/>
      <c r="AE498" s="148"/>
      <c r="AF498" s="145"/>
      <c r="AG498" s="145"/>
      <c r="AH498" s="166" t="s">
        <v>8228</v>
      </c>
      <c r="AI498" s="168" t="s">
        <v>4179</v>
      </c>
      <c r="AJ498" s="168" t="s">
        <v>4179</v>
      </c>
      <c r="AK498" s="168" t="s">
        <v>4179</v>
      </c>
      <c r="AL498" s="168" t="s">
        <v>4179</v>
      </c>
      <c r="AM498" s="168" t="s">
        <v>4179</v>
      </c>
      <c r="AN498" s="167" t="s">
        <v>8228</v>
      </c>
      <c r="AO498" s="167" t="s">
        <v>8228</v>
      </c>
      <c r="AP498" s="167" t="s">
        <v>8228</v>
      </c>
      <c r="AQ498" s="169" t="s">
        <v>4179</v>
      </c>
      <c r="AR498" s="170" t="s">
        <v>3257</v>
      </c>
      <c r="AS498" s="169" t="s">
        <v>4179</v>
      </c>
      <c r="AT498">
        <v>14</v>
      </c>
      <c r="AU498" s="170" t="s">
        <v>6844</v>
      </c>
      <c r="AV498" s="169" t="s">
        <v>4179</v>
      </c>
      <c r="AW498" s="170" t="s">
        <v>3566</v>
      </c>
      <c r="AX498" s="169" t="s">
        <v>4179</v>
      </c>
      <c r="AY498" t="s">
        <v>4179</v>
      </c>
      <c r="AZ498" t="s">
        <v>4179</v>
      </c>
    </row>
    <row r="499" spans="1:52" x14ac:dyDescent="0.35">
      <c r="A499" s="497" t="s">
        <v>5223</v>
      </c>
      <c r="B499" s="13" t="s">
        <v>5547</v>
      </c>
      <c r="C499" s="13" t="s">
        <v>3726</v>
      </c>
      <c r="D499" s="13" t="s">
        <v>6845</v>
      </c>
      <c r="E499" s="13" t="s">
        <v>3054</v>
      </c>
      <c r="F499" s="373">
        <v>27.61</v>
      </c>
      <c r="G499" s="631">
        <v>45291</v>
      </c>
      <c r="H499" s="633">
        <v>45268</v>
      </c>
      <c r="K499" s="11"/>
      <c r="M499" s="37">
        <v>27.61</v>
      </c>
      <c r="N499" s="29">
        <v>11.67</v>
      </c>
      <c r="O499" s="143"/>
      <c r="P499" s="144"/>
      <c r="Q499" s="145"/>
      <c r="R499" s="145"/>
      <c r="S499" s="145" t="s">
        <v>1017</v>
      </c>
      <c r="T499" t="s">
        <v>4179</v>
      </c>
      <c r="U499" s="146"/>
      <c r="V499" s="145"/>
      <c r="W499" s="147"/>
      <c r="X499" s="147"/>
      <c r="Y499" s="145"/>
      <c r="Z499" s="145"/>
      <c r="AA499" s="147"/>
      <c r="AB499" s="145"/>
      <c r="AC499" s="145" t="s">
        <v>1017</v>
      </c>
      <c r="AD499" s="147"/>
      <c r="AE499" s="148"/>
      <c r="AF499" s="145"/>
      <c r="AG499" s="145"/>
      <c r="AH499" s="166" t="s">
        <v>8229</v>
      </c>
      <c r="AI499" s="168" t="s">
        <v>4179</v>
      </c>
      <c r="AJ499" s="168" t="s">
        <v>4179</v>
      </c>
      <c r="AK499" s="168" t="s">
        <v>4179</v>
      </c>
      <c r="AL499" s="168" t="s">
        <v>4179</v>
      </c>
      <c r="AM499" s="168" t="s">
        <v>4179</v>
      </c>
      <c r="AN499" s="167" t="s">
        <v>8229</v>
      </c>
      <c r="AO499" s="167" t="s">
        <v>8229</v>
      </c>
      <c r="AP499" s="167" t="s">
        <v>8229</v>
      </c>
      <c r="AQ499" s="169" t="s">
        <v>4179</v>
      </c>
      <c r="AR499" s="170" t="s">
        <v>5223</v>
      </c>
      <c r="AS499" s="169" t="s">
        <v>4179</v>
      </c>
      <c r="AT499">
        <v>14</v>
      </c>
      <c r="AU499" s="170" t="s">
        <v>6845</v>
      </c>
      <c r="AV499" s="169" t="s">
        <v>4179</v>
      </c>
      <c r="AW499" s="170" t="s">
        <v>3054</v>
      </c>
      <c r="AX499" s="169" t="s">
        <v>4179</v>
      </c>
      <c r="AY499" t="s">
        <v>1017</v>
      </c>
      <c r="AZ499" t="s">
        <v>4179</v>
      </c>
    </row>
    <row r="500" spans="1:52" x14ac:dyDescent="0.35">
      <c r="A500" s="511" t="s">
        <v>3530</v>
      </c>
      <c r="B500" s="173" t="s">
        <v>5547</v>
      </c>
      <c r="C500" s="173" t="s">
        <v>3726</v>
      </c>
      <c r="D500" s="173" t="s">
        <v>6846</v>
      </c>
      <c r="E500" s="173" t="s">
        <v>1980</v>
      </c>
      <c r="F500" s="374">
        <v>27.58</v>
      </c>
      <c r="G500" s="631">
        <v>45291</v>
      </c>
      <c r="H500" s="633">
        <v>45268</v>
      </c>
      <c r="K500" s="11"/>
      <c r="M500" s="37">
        <v>27.58</v>
      </c>
      <c r="N500" s="29">
        <v>11.67</v>
      </c>
      <c r="O500" s="143"/>
      <c r="P500" s="144"/>
      <c r="Q500" s="145"/>
      <c r="R500" s="145"/>
      <c r="S500" s="145" t="s">
        <v>4179</v>
      </c>
      <c r="T500" t="s">
        <v>1017</v>
      </c>
      <c r="U500" s="146"/>
      <c r="V500" s="145"/>
      <c r="W500" s="147"/>
      <c r="X500" s="147"/>
      <c r="Y500" s="145"/>
      <c r="Z500" s="145"/>
      <c r="AA500" s="147"/>
      <c r="AB500" s="145"/>
      <c r="AC500" s="145" t="s">
        <v>1017</v>
      </c>
      <c r="AD500" s="147"/>
      <c r="AE500" s="148"/>
      <c r="AF500" s="145"/>
      <c r="AG500" s="145"/>
      <c r="AH500" s="171" t="s">
        <v>4178</v>
      </c>
      <c r="AI500" s="168" t="s">
        <v>4179</v>
      </c>
      <c r="AJ500" s="168" t="s">
        <v>4179</v>
      </c>
      <c r="AK500" s="168" t="s">
        <v>4179</v>
      </c>
      <c r="AL500" s="168" t="s">
        <v>4179</v>
      </c>
      <c r="AM500" s="168" t="s">
        <v>4179</v>
      </c>
      <c r="AN500" s="167" t="s">
        <v>4178</v>
      </c>
      <c r="AO500" s="167" t="s">
        <v>4178</v>
      </c>
      <c r="AP500" s="167" t="s">
        <v>4178</v>
      </c>
      <c r="AQ500" s="169" t="s">
        <v>4179</v>
      </c>
      <c r="AR500" s="170" t="s">
        <v>3530</v>
      </c>
      <c r="AS500" s="169" t="s">
        <v>4179</v>
      </c>
      <c r="AT500">
        <v>14</v>
      </c>
      <c r="AU500" s="170" t="s">
        <v>6846</v>
      </c>
      <c r="AV500" s="169" t="s">
        <v>4179</v>
      </c>
      <c r="AW500" s="170" t="s">
        <v>1980</v>
      </c>
      <c r="AX500" s="169" t="s">
        <v>4179</v>
      </c>
      <c r="AY500" t="s">
        <v>4179</v>
      </c>
      <c r="AZ500" t="s">
        <v>1017</v>
      </c>
    </row>
    <row r="501" spans="1:52" x14ac:dyDescent="0.35">
      <c r="A501" s="497" t="s">
        <v>1105</v>
      </c>
      <c r="B501" s="13" t="s">
        <v>5547</v>
      </c>
      <c r="C501" s="13" t="s">
        <v>3726</v>
      </c>
      <c r="D501" s="13" t="s">
        <v>6847</v>
      </c>
      <c r="E501" s="13" t="s">
        <v>4809</v>
      </c>
      <c r="F501" s="373">
        <v>25.67</v>
      </c>
      <c r="G501" s="631">
        <v>45291</v>
      </c>
      <c r="H501" s="633">
        <v>45268</v>
      </c>
      <c r="K501" s="11"/>
      <c r="M501" s="37">
        <v>25.67</v>
      </c>
      <c r="N501" s="29">
        <v>11.67</v>
      </c>
      <c r="O501" s="143"/>
      <c r="P501" s="144"/>
      <c r="Q501" s="145"/>
      <c r="R501" s="145"/>
      <c r="S501" s="145" t="s">
        <v>4179</v>
      </c>
      <c r="T501" t="s">
        <v>4179</v>
      </c>
      <c r="U501" s="146" t="s">
        <v>1017</v>
      </c>
      <c r="V501" s="145"/>
      <c r="W501" s="147"/>
      <c r="X501" s="147"/>
      <c r="Y501" s="145"/>
      <c r="Z501" s="145"/>
      <c r="AA501" s="147"/>
      <c r="AB501" s="145"/>
      <c r="AC501" s="145" t="s">
        <v>1017</v>
      </c>
      <c r="AD501" s="147"/>
      <c r="AE501" s="148"/>
      <c r="AF501" s="145"/>
      <c r="AG501" s="145"/>
      <c r="AH501" s="166" t="s">
        <v>4179</v>
      </c>
      <c r="AI501" s="168" t="s">
        <v>4179</v>
      </c>
      <c r="AJ501" s="168" t="s">
        <v>4179</v>
      </c>
      <c r="AK501" s="168" t="s">
        <v>4179</v>
      </c>
      <c r="AL501" s="168" t="s">
        <v>4179</v>
      </c>
      <c r="AM501" s="168" t="s">
        <v>4179</v>
      </c>
      <c r="AN501" s="167" t="s">
        <v>4179</v>
      </c>
      <c r="AO501" s="167" t="s">
        <v>4179</v>
      </c>
      <c r="AP501" s="167" t="s">
        <v>4179</v>
      </c>
      <c r="AQ501" s="169" t="s">
        <v>4179</v>
      </c>
      <c r="AR501" s="170" t="s">
        <v>1105</v>
      </c>
      <c r="AS501" s="169" t="s">
        <v>4179</v>
      </c>
      <c r="AT501">
        <v>14</v>
      </c>
      <c r="AU501" s="170" t="s">
        <v>6847</v>
      </c>
      <c r="AV501" s="169" t="s">
        <v>4179</v>
      </c>
      <c r="AW501" s="170" t="s">
        <v>4809</v>
      </c>
      <c r="AX501" s="169" t="s">
        <v>4179</v>
      </c>
      <c r="AY501" t="s">
        <v>4179</v>
      </c>
      <c r="AZ501" t="s">
        <v>4179</v>
      </c>
    </row>
    <row r="502" spans="1:52" x14ac:dyDescent="0.35">
      <c r="A502" s="497" t="s">
        <v>1106</v>
      </c>
      <c r="B502" s="13" t="s">
        <v>5547</v>
      </c>
      <c r="C502" s="13" t="s">
        <v>3726</v>
      </c>
      <c r="D502" s="88" t="s">
        <v>6848</v>
      </c>
      <c r="E502" s="13" t="s">
        <v>4330</v>
      </c>
      <c r="F502" s="373">
        <v>28.67</v>
      </c>
      <c r="G502" s="631">
        <v>45291</v>
      </c>
      <c r="H502" s="633">
        <v>45268</v>
      </c>
      <c r="K502" s="11"/>
      <c r="M502" s="37">
        <v>28.67</v>
      </c>
      <c r="N502" s="29">
        <v>11.67</v>
      </c>
      <c r="O502" s="143"/>
      <c r="P502" s="145" t="s">
        <v>1017</v>
      </c>
      <c r="Q502" s="145"/>
      <c r="R502" s="145"/>
      <c r="S502" s="145" t="s">
        <v>4179</v>
      </c>
      <c r="T502" t="s">
        <v>4179</v>
      </c>
      <c r="U502" s="146" t="s">
        <v>1017</v>
      </c>
      <c r="V502" s="145"/>
      <c r="W502" s="147"/>
      <c r="X502" s="147"/>
      <c r="Y502" s="145"/>
      <c r="Z502" s="145"/>
      <c r="AA502" s="147"/>
      <c r="AB502" s="145"/>
      <c r="AC502" s="145" t="s">
        <v>1017</v>
      </c>
      <c r="AD502" s="147"/>
      <c r="AE502" s="148"/>
      <c r="AF502" s="145"/>
      <c r="AG502" s="145"/>
      <c r="AH502" s="166" t="s">
        <v>4179</v>
      </c>
      <c r="AI502" s="168" t="s">
        <v>4179</v>
      </c>
      <c r="AJ502" s="168" t="s">
        <v>4179</v>
      </c>
      <c r="AK502" s="168" t="s">
        <v>4179</v>
      </c>
      <c r="AL502" s="168" t="s">
        <v>4179</v>
      </c>
      <c r="AM502" s="168" t="s">
        <v>4179</v>
      </c>
      <c r="AN502" s="167" t="s">
        <v>4179</v>
      </c>
      <c r="AO502" s="167" t="s">
        <v>4179</v>
      </c>
      <c r="AP502" s="167" t="s">
        <v>4179</v>
      </c>
      <c r="AQ502" s="169" t="s">
        <v>4179</v>
      </c>
      <c r="AR502" s="170" t="s">
        <v>1106</v>
      </c>
      <c r="AS502" s="169" t="s">
        <v>4179</v>
      </c>
      <c r="AT502">
        <v>14</v>
      </c>
      <c r="AU502" s="170" t="s">
        <v>6848</v>
      </c>
      <c r="AV502" s="169" t="s">
        <v>4179</v>
      </c>
      <c r="AW502" s="170" t="s">
        <v>4330</v>
      </c>
      <c r="AX502" s="169" t="s">
        <v>4179</v>
      </c>
      <c r="AY502" t="s">
        <v>4179</v>
      </c>
      <c r="AZ502" t="s">
        <v>4179</v>
      </c>
    </row>
    <row r="503" spans="1:52" x14ac:dyDescent="0.35">
      <c r="A503" s="497" t="s">
        <v>1107</v>
      </c>
      <c r="B503" s="13" t="s">
        <v>5547</v>
      </c>
      <c r="C503" s="13" t="s">
        <v>3726</v>
      </c>
      <c r="D503" s="13" t="s">
        <v>6849</v>
      </c>
      <c r="E503" s="13" t="s">
        <v>674</v>
      </c>
      <c r="F503" s="373">
        <v>28.67</v>
      </c>
      <c r="G503" s="631">
        <v>45291</v>
      </c>
      <c r="H503" s="633">
        <v>45268</v>
      </c>
      <c r="K503" s="11"/>
      <c r="M503" s="37">
        <v>28.67</v>
      </c>
      <c r="N503" s="29">
        <v>11.67</v>
      </c>
      <c r="O503" s="143"/>
      <c r="P503" s="144"/>
      <c r="Q503" s="145" t="s">
        <v>1017</v>
      </c>
      <c r="R503" s="145"/>
      <c r="S503" s="145" t="s">
        <v>4179</v>
      </c>
      <c r="T503" t="s">
        <v>4179</v>
      </c>
      <c r="U503" s="146" t="s">
        <v>1017</v>
      </c>
      <c r="V503" s="145"/>
      <c r="W503" s="147"/>
      <c r="X503" s="147"/>
      <c r="Y503" s="145"/>
      <c r="Z503" s="145"/>
      <c r="AA503" s="147"/>
      <c r="AB503" s="145"/>
      <c r="AC503" s="145" t="s">
        <v>1017</v>
      </c>
      <c r="AD503" s="147"/>
      <c r="AE503" s="148"/>
      <c r="AF503" s="145"/>
      <c r="AG503" s="145"/>
      <c r="AH503" s="166" t="s">
        <v>4179</v>
      </c>
      <c r="AI503" s="168" t="s">
        <v>4179</v>
      </c>
      <c r="AJ503" s="168" t="s">
        <v>4179</v>
      </c>
      <c r="AK503" s="168" t="s">
        <v>4179</v>
      </c>
      <c r="AL503" s="168" t="s">
        <v>4179</v>
      </c>
      <c r="AM503" s="168" t="s">
        <v>4179</v>
      </c>
      <c r="AN503" s="167" t="s">
        <v>4179</v>
      </c>
      <c r="AO503" s="167" t="s">
        <v>4179</v>
      </c>
      <c r="AP503" s="167" t="s">
        <v>4179</v>
      </c>
      <c r="AQ503" s="169" t="s">
        <v>4179</v>
      </c>
      <c r="AR503" s="170" t="s">
        <v>1107</v>
      </c>
      <c r="AS503" s="169" t="s">
        <v>4179</v>
      </c>
      <c r="AT503">
        <v>14</v>
      </c>
      <c r="AU503" s="170" t="s">
        <v>6849</v>
      </c>
      <c r="AV503" s="169" t="s">
        <v>4179</v>
      </c>
      <c r="AW503" s="170" t="s">
        <v>674</v>
      </c>
      <c r="AX503" s="169" t="s">
        <v>4179</v>
      </c>
      <c r="AY503" t="s">
        <v>4179</v>
      </c>
      <c r="AZ503" t="s">
        <v>4179</v>
      </c>
    </row>
    <row r="504" spans="1:52" x14ac:dyDescent="0.35">
      <c r="A504" s="497" t="s">
        <v>3258</v>
      </c>
      <c r="B504" s="13" t="s">
        <v>5547</v>
      </c>
      <c r="C504" s="13" t="s">
        <v>3726</v>
      </c>
      <c r="D504" s="13" t="s">
        <v>6850</v>
      </c>
      <c r="E504" s="13" t="s">
        <v>3566</v>
      </c>
      <c r="F504" s="373">
        <v>28.64</v>
      </c>
      <c r="G504" s="631">
        <v>45291</v>
      </c>
      <c r="H504" s="633">
        <v>45268</v>
      </c>
      <c r="K504" s="11"/>
      <c r="M504" s="37">
        <v>28.64</v>
      </c>
      <c r="N504" s="29">
        <v>11.67</v>
      </c>
      <c r="O504" s="143"/>
      <c r="P504" s="144"/>
      <c r="Q504" s="145"/>
      <c r="R504" s="145" t="s">
        <v>1017</v>
      </c>
      <c r="S504" s="145" t="s">
        <v>4179</v>
      </c>
      <c r="T504" t="s">
        <v>4179</v>
      </c>
      <c r="U504" s="146" t="s">
        <v>1017</v>
      </c>
      <c r="V504" s="145"/>
      <c r="W504" s="147"/>
      <c r="X504" s="147"/>
      <c r="Y504" s="145"/>
      <c r="Z504" s="145"/>
      <c r="AA504" s="147"/>
      <c r="AB504" s="145"/>
      <c r="AC504" s="145" t="s">
        <v>1017</v>
      </c>
      <c r="AD504" s="147"/>
      <c r="AE504" s="148"/>
      <c r="AF504" s="145"/>
      <c r="AG504" s="145"/>
      <c r="AH504" s="166" t="s">
        <v>8228</v>
      </c>
      <c r="AI504" s="168" t="s">
        <v>4179</v>
      </c>
      <c r="AJ504" s="168" t="s">
        <v>4179</v>
      </c>
      <c r="AK504" s="168" t="s">
        <v>4179</v>
      </c>
      <c r="AL504" s="168" t="s">
        <v>4179</v>
      </c>
      <c r="AM504" s="168" t="s">
        <v>4179</v>
      </c>
      <c r="AN504" s="167" t="s">
        <v>8228</v>
      </c>
      <c r="AO504" s="167" t="s">
        <v>8228</v>
      </c>
      <c r="AP504" s="167" t="s">
        <v>8228</v>
      </c>
      <c r="AQ504" s="169" t="s">
        <v>4179</v>
      </c>
      <c r="AR504" s="170" t="s">
        <v>3258</v>
      </c>
      <c r="AS504" s="169" t="s">
        <v>4179</v>
      </c>
      <c r="AT504">
        <v>14</v>
      </c>
      <c r="AU504" s="170" t="s">
        <v>6850</v>
      </c>
      <c r="AV504" s="169" t="s">
        <v>4179</v>
      </c>
      <c r="AW504" s="170" t="s">
        <v>3566</v>
      </c>
      <c r="AX504" s="169" t="s">
        <v>4179</v>
      </c>
      <c r="AY504" t="s">
        <v>4179</v>
      </c>
      <c r="AZ504" t="s">
        <v>4179</v>
      </c>
    </row>
    <row r="505" spans="1:52" x14ac:dyDescent="0.35">
      <c r="A505" s="497" t="s">
        <v>5224</v>
      </c>
      <c r="B505" s="13" t="s">
        <v>5547</v>
      </c>
      <c r="C505" s="13" t="s">
        <v>3726</v>
      </c>
      <c r="D505" s="13" t="s">
        <v>6851</v>
      </c>
      <c r="E505" s="13" t="s">
        <v>3054</v>
      </c>
      <c r="F505" s="373">
        <v>28.61</v>
      </c>
      <c r="G505" s="631">
        <v>45291</v>
      </c>
      <c r="H505" s="633">
        <v>45268</v>
      </c>
      <c r="K505" s="11"/>
      <c r="M505" s="37">
        <v>28.61</v>
      </c>
      <c r="N505" s="29">
        <v>11.67</v>
      </c>
      <c r="O505" s="143"/>
      <c r="P505" s="144"/>
      <c r="Q505" s="145"/>
      <c r="R505" s="145"/>
      <c r="S505" s="145" t="s">
        <v>1017</v>
      </c>
      <c r="T505" t="s">
        <v>4179</v>
      </c>
      <c r="U505" s="146" t="s">
        <v>1017</v>
      </c>
      <c r="V505" s="145"/>
      <c r="W505" s="147"/>
      <c r="X505" s="147"/>
      <c r="Y505" s="145"/>
      <c r="Z505" s="145"/>
      <c r="AA505" s="147"/>
      <c r="AB505" s="145"/>
      <c r="AC505" s="145" t="s">
        <v>1017</v>
      </c>
      <c r="AD505" s="147"/>
      <c r="AE505" s="148"/>
      <c r="AF505" s="145"/>
      <c r="AG505" s="145"/>
      <c r="AH505" s="166" t="s">
        <v>8229</v>
      </c>
      <c r="AI505" s="168" t="s">
        <v>4179</v>
      </c>
      <c r="AJ505" s="168" t="s">
        <v>4179</v>
      </c>
      <c r="AK505" s="168" t="s">
        <v>4179</v>
      </c>
      <c r="AL505" s="168" t="s">
        <v>4179</v>
      </c>
      <c r="AM505" s="168" t="s">
        <v>4179</v>
      </c>
      <c r="AN505" s="167" t="s">
        <v>8229</v>
      </c>
      <c r="AO505" s="167" t="s">
        <v>8229</v>
      </c>
      <c r="AP505" s="167" t="s">
        <v>8229</v>
      </c>
      <c r="AQ505" s="169" t="s">
        <v>4179</v>
      </c>
      <c r="AR505" s="170" t="s">
        <v>5224</v>
      </c>
      <c r="AS505" s="169" t="s">
        <v>4179</v>
      </c>
      <c r="AT505">
        <v>14</v>
      </c>
      <c r="AU505" s="170" t="s">
        <v>6851</v>
      </c>
      <c r="AV505" s="169" t="s">
        <v>4179</v>
      </c>
      <c r="AW505" s="170" t="s">
        <v>3054</v>
      </c>
      <c r="AX505" s="169" t="s">
        <v>4179</v>
      </c>
      <c r="AY505" t="s">
        <v>1017</v>
      </c>
      <c r="AZ505" t="s">
        <v>4179</v>
      </c>
    </row>
    <row r="506" spans="1:52" x14ac:dyDescent="0.35">
      <c r="A506" s="511" t="s">
        <v>3531</v>
      </c>
      <c r="B506" s="173" t="s">
        <v>5547</v>
      </c>
      <c r="C506" s="173" t="s">
        <v>3726</v>
      </c>
      <c r="D506" s="173" t="s">
        <v>6852</v>
      </c>
      <c r="E506" s="173" t="s">
        <v>1980</v>
      </c>
      <c r="F506" s="374">
        <v>28.58</v>
      </c>
      <c r="G506" s="631">
        <v>45291</v>
      </c>
      <c r="H506" s="633">
        <v>45268</v>
      </c>
      <c r="K506" s="11"/>
      <c r="M506" s="37">
        <v>28.58</v>
      </c>
      <c r="N506" s="29">
        <v>11.67</v>
      </c>
      <c r="O506" s="143"/>
      <c r="P506" s="144"/>
      <c r="Q506" s="145"/>
      <c r="R506" s="145"/>
      <c r="S506" s="145" t="s">
        <v>4179</v>
      </c>
      <c r="T506" t="s">
        <v>1017</v>
      </c>
      <c r="U506" s="146" t="s">
        <v>1017</v>
      </c>
      <c r="V506" s="145"/>
      <c r="W506" s="147"/>
      <c r="X506" s="147"/>
      <c r="Y506" s="145"/>
      <c r="Z506" s="145"/>
      <c r="AA506" s="147"/>
      <c r="AB506" s="145"/>
      <c r="AC506" s="145" t="s">
        <v>1017</v>
      </c>
      <c r="AD506" s="147"/>
      <c r="AE506" s="148"/>
      <c r="AF506" s="145"/>
      <c r="AG506" s="145"/>
      <c r="AH506" s="171" t="s">
        <v>4178</v>
      </c>
      <c r="AI506" s="168" t="s">
        <v>4179</v>
      </c>
      <c r="AJ506" s="168" t="s">
        <v>4179</v>
      </c>
      <c r="AK506" s="168" t="s">
        <v>4179</v>
      </c>
      <c r="AL506" s="168" t="s">
        <v>4179</v>
      </c>
      <c r="AM506" s="168" t="s">
        <v>4179</v>
      </c>
      <c r="AN506" s="167" t="s">
        <v>4178</v>
      </c>
      <c r="AO506" s="167" t="s">
        <v>4178</v>
      </c>
      <c r="AP506" s="167" t="s">
        <v>4178</v>
      </c>
      <c r="AQ506" s="169" t="s">
        <v>4179</v>
      </c>
      <c r="AR506" s="170" t="s">
        <v>3531</v>
      </c>
      <c r="AS506" s="169" t="s">
        <v>4179</v>
      </c>
      <c r="AT506">
        <v>14</v>
      </c>
      <c r="AU506" s="170" t="s">
        <v>6852</v>
      </c>
      <c r="AV506" s="169" t="s">
        <v>4179</v>
      </c>
      <c r="AW506" s="170" t="s">
        <v>1980</v>
      </c>
      <c r="AX506" s="169" t="s">
        <v>4179</v>
      </c>
      <c r="AY506" t="s">
        <v>4179</v>
      </c>
      <c r="AZ506" t="s">
        <v>1017</v>
      </c>
    </row>
    <row r="507" spans="1:52" x14ac:dyDescent="0.35">
      <c r="A507" s="496" t="s">
        <v>4801</v>
      </c>
      <c r="B507" s="1" t="s">
        <v>5547</v>
      </c>
      <c r="C507" s="1" t="s">
        <v>3726</v>
      </c>
      <c r="D507" s="1" t="s">
        <v>1779</v>
      </c>
      <c r="E507" s="151" t="s">
        <v>4809</v>
      </c>
      <c r="F507" s="375">
        <v>10</v>
      </c>
      <c r="G507" s="631">
        <v>45291</v>
      </c>
      <c r="H507" s="633">
        <v>45268</v>
      </c>
      <c r="K507" s="11"/>
      <c r="M507" s="37">
        <v>10</v>
      </c>
      <c r="N507" s="29">
        <v>10</v>
      </c>
      <c r="O507" s="71"/>
      <c r="S507" t="s">
        <v>4179</v>
      </c>
      <c r="T507" t="s">
        <v>4179</v>
      </c>
      <c r="U507" s="42"/>
      <c r="W507" s="50"/>
      <c r="X507" s="50"/>
      <c r="Z507" s="50"/>
      <c r="AC507" s="50"/>
      <c r="AE507" s="75"/>
      <c r="AH507" s="166" t="s">
        <v>4179</v>
      </c>
      <c r="AI507" s="168" t="s">
        <v>4179</v>
      </c>
      <c r="AJ507" s="168" t="s">
        <v>4179</v>
      </c>
      <c r="AK507" s="168" t="s">
        <v>4179</v>
      </c>
      <c r="AL507" s="168" t="s">
        <v>4179</v>
      </c>
      <c r="AM507" s="168" t="s">
        <v>4179</v>
      </c>
      <c r="AN507" s="167" t="s">
        <v>4179</v>
      </c>
      <c r="AO507" s="167" t="s">
        <v>4179</v>
      </c>
      <c r="AP507" s="167" t="s">
        <v>4179</v>
      </c>
      <c r="AQ507" s="169" t="s">
        <v>4179</v>
      </c>
      <c r="AR507" s="170" t="s">
        <v>4801</v>
      </c>
      <c r="AS507" s="169" t="s">
        <v>4179</v>
      </c>
      <c r="AT507">
        <v>14</v>
      </c>
      <c r="AU507" s="170" t="s">
        <v>1779</v>
      </c>
      <c r="AV507" s="169" t="s">
        <v>4179</v>
      </c>
      <c r="AW507" s="170" t="s">
        <v>4809</v>
      </c>
      <c r="AX507" s="169" t="s">
        <v>4179</v>
      </c>
      <c r="AY507" t="s">
        <v>4179</v>
      </c>
      <c r="AZ507" t="s">
        <v>4179</v>
      </c>
    </row>
    <row r="508" spans="1:52" ht="17.25" customHeight="1" x14ac:dyDescent="0.35">
      <c r="A508" s="497" t="s">
        <v>4033</v>
      </c>
      <c r="B508" s="13" t="s">
        <v>5547</v>
      </c>
      <c r="C508" s="13" t="s">
        <v>3726</v>
      </c>
      <c r="D508" s="17" t="s">
        <v>7087</v>
      </c>
      <c r="E508" s="13" t="s">
        <v>4330</v>
      </c>
      <c r="F508" s="371">
        <v>13</v>
      </c>
      <c r="G508" s="631">
        <v>45291</v>
      </c>
      <c r="H508" s="633">
        <v>45268</v>
      </c>
      <c r="K508" s="11"/>
      <c r="M508" s="37">
        <v>13</v>
      </c>
      <c r="N508" s="29">
        <v>10</v>
      </c>
      <c r="O508" s="71"/>
      <c r="P508" t="s">
        <v>1017</v>
      </c>
      <c r="S508" t="s">
        <v>4179</v>
      </c>
      <c r="T508" t="s">
        <v>4179</v>
      </c>
      <c r="U508" s="42"/>
      <c r="W508" s="50"/>
      <c r="X508" s="50"/>
      <c r="Z508" s="50"/>
      <c r="AC508" s="50"/>
      <c r="AE508" s="75"/>
      <c r="AH508" s="166" t="s">
        <v>4179</v>
      </c>
      <c r="AI508" s="168" t="s">
        <v>4179</v>
      </c>
      <c r="AJ508" s="168" t="s">
        <v>4179</v>
      </c>
      <c r="AK508" s="168" t="s">
        <v>4179</v>
      </c>
      <c r="AL508" s="168" t="s">
        <v>4179</v>
      </c>
      <c r="AM508" s="168" t="s">
        <v>4179</v>
      </c>
      <c r="AN508" s="167" t="s">
        <v>4179</v>
      </c>
      <c r="AO508" s="167" t="s">
        <v>4179</v>
      </c>
      <c r="AP508" s="167" t="s">
        <v>4179</v>
      </c>
      <c r="AQ508" s="169" t="s">
        <v>4179</v>
      </c>
      <c r="AR508" s="170" t="s">
        <v>4033</v>
      </c>
      <c r="AS508" s="169" t="s">
        <v>4179</v>
      </c>
      <c r="AT508">
        <v>14</v>
      </c>
      <c r="AU508" s="170" t="s">
        <v>7087</v>
      </c>
      <c r="AV508" s="169" t="s">
        <v>4179</v>
      </c>
      <c r="AW508" s="170" t="s">
        <v>4330</v>
      </c>
      <c r="AX508" s="169" t="s">
        <v>4179</v>
      </c>
      <c r="AY508" t="s">
        <v>4179</v>
      </c>
      <c r="AZ508" t="s">
        <v>4179</v>
      </c>
    </row>
    <row r="509" spans="1:52" x14ac:dyDescent="0.35">
      <c r="A509" s="497" t="s">
        <v>2615</v>
      </c>
      <c r="B509" s="13" t="s">
        <v>5547</v>
      </c>
      <c r="C509" s="13" t="s">
        <v>3726</v>
      </c>
      <c r="D509" s="17" t="s">
        <v>7088</v>
      </c>
      <c r="E509" s="13" t="s">
        <v>674</v>
      </c>
      <c r="F509" s="371">
        <v>13</v>
      </c>
      <c r="G509" s="631">
        <v>45291</v>
      </c>
      <c r="H509" s="633">
        <v>45268</v>
      </c>
      <c r="K509" s="11"/>
      <c r="M509" s="37">
        <v>13</v>
      </c>
      <c r="N509" s="29">
        <v>10</v>
      </c>
      <c r="O509" s="71"/>
      <c r="P509" s="11"/>
      <c r="Q509" t="s">
        <v>1017</v>
      </c>
      <c r="S509" t="s">
        <v>4179</v>
      </c>
      <c r="T509" t="s">
        <v>4179</v>
      </c>
      <c r="U509" s="42"/>
      <c r="W509" s="50"/>
      <c r="X509" s="50"/>
      <c r="Z509" s="50"/>
      <c r="AC509" s="50"/>
      <c r="AE509" s="75"/>
      <c r="AH509" s="166" t="s">
        <v>4179</v>
      </c>
      <c r="AI509" s="168" t="s">
        <v>4179</v>
      </c>
      <c r="AJ509" s="168" t="s">
        <v>4179</v>
      </c>
      <c r="AK509" s="168" t="s">
        <v>4179</v>
      </c>
      <c r="AL509" s="168" t="s">
        <v>4179</v>
      </c>
      <c r="AM509" s="168" t="s">
        <v>4179</v>
      </c>
      <c r="AN509" s="167" t="s">
        <v>4179</v>
      </c>
      <c r="AO509" s="167" t="s">
        <v>4179</v>
      </c>
      <c r="AP509" s="167" t="s">
        <v>4179</v>
      </c>
      <c r="AQ509" s="169" t="s">
        <v>4179</v>
      </c>
      <c r="AR509" s="170" t="s">
        <v>2615</v>
      </c>
      <c r="AS509" s="169" t="s">
        <v>4179</v>
      </c>
      <c r="AT509">
        <v>14</v>
      </c>
      <c r="AU509" s="170" t="s">
        <v>7088</v>
      </c>
      <c r="AV509" s="169" t="s">
        <v>4179</v>
      </c>
      <c r="AW509" s="170" t="s">
        <v>674</v>
      </c>
      <c r="AX509" s="169" t="s">
        <v>4179</v>
      </c>
      <c r="AY509" t="s">
        <v>4179</v>
      </c>
      <c r="AZ509" t="s">
        <v>4179</v>
      </c>
    </row>
    <row r="510" spans="1:52" x14ac:dyDescent="0.35">
      <c r="A510" s="497" t="s">
        <v>3259</v>
      </c>
      <c r="B510" s="13" t="s">
        <v>5547</v>
      </c>
      <c r="C510" s="13" t="s">
        <v>3726</v>
      </c>
      <c r="D510" s="17" t="s">
        <v>7089</v>
      </c>
      <c r="E510" s="13" t="s">
        <v>3566</v>
      </c>
      <c r="F510" s="371">
        <v>12.97</v>
      </c>
      <c r="G510" s="631">
        <v>45291</v>
      </c>
      <c r="H510" s="633">
        <v>45268</v>
      </c>
      <c r="K510" s="11"/>
      <c r="M510" s="37">
        <v>12.97</v>
      </c>
      <c r="N510" s="29">
        <v>10</v>
      </c>
      <c r="O510" s="71"/>
      <c r="P510" s="11"/>
      <c r="R510" t="s">
        <v>1017</v>
      </c>
      <c r="S510" t="s">
        <v>4179</v>
      </c>
      <c r="T510" t="s">
        <v>4179</v>
      </c>
      <c r="U510" s="42"/>
      <c r="W510" s="50"/>
      <c r="X510" s="50"/>
      <c r="Z510" s="50"/>
      <c r="AC510" s="50"/>
      <c r="AE510" s="75"/>
      <c r="AH510" s="166" t="s">
        <v>8228</v>
      </c>
      <c r="AI510" s="168" t="s">
        <v>4179</v>
      </c>
      <c r="AJ510" s="168" t="s">
        <v>4179</v>
      </c>
      <c r="AK510" s="168" t="s">
        <v>4179</v>
      </c>
      <c r="AL510" s="168" t="s">
        <v>4179</v>
      </c>
      <c r="AM510" s="168" t="s">
        <v>4179</v>
      </c>
      <c r="AN510" s="167" t="s">
        <v>8228</v>
      </c>
      <c r="AO510" s="167" t="s">
        <v>8228</v>
      </c>
      <c r="AP510" s="167" t="s">
        <v>8228</v>
      </c>
      <c r="AQ510" s="169" t="s">
        <v>4179</v>
      </c>
      <c r="AR510" s="170" t="s">
        <v>3259</v>
      </c>
      <c r="AS510" s="169" t="s">
        <v>4179</v>
      </c>
      <c r="AT510">
        <v>14</v>
      </c>
      <c r="AU510" s="170" t="s">
        <v>7089</v>
      </c>
      <c r="AV510" s="169" t="s">
        <v>4179</v>
      </c>
      <c r="AW510" s="170" t="s">
        <v>3566</v>
      </c>
      <c r="AX510" s="169" t="s">
        <v>4179</v>
      </c>
      <c r="AY510" t="s">
        <v>4179</v>
      </c>
      <c r="AZ510" t="s">
        <v>4179</v>
      </c>
    </row>
    <row r="511" spans="1:52" x14ac:dyDescent="0.35">
      <c r="A511" s="497" t="s">
        <v>5225</v>
      </c>
      <c r="B511" s="13" t="s">
        <v>5547</v>
      </c>
      <c r="C511" s="13" t="s">
        <v>3726</v>
      </c>
      <c r="D511" s="17" t="s">
        <v>7090</v>
      </c>
      <c r="E511" s="13" t="s">
        <v>3054</v>
      </c>
      <c r="F511" s="371">
        <v>12.94</v>
      </c>
      <c r="G511" s="631">
        <v>45291</v>
      </c>
      <c r="H511" s="633">
        <v>45268</v>
      </c>
      <c r="K511" s="11"/>
      <c r="M511" s="37">
        <v>12.94</v>
      </c>
      <c r="N511" s="29">
        <v>10</v>
      </c>
      <c r="O511" s="71"/>
      <c r="P511" s="11"/>
      <c r="S511" t="s">
        <v>1017</v>
      </c>
      <c r="T511" t="s">
        <v>4179</v>
      </c>
      <c r="U511" s="42"/>
      <c r="W511" s="50"/>
      <c r="X511" s="50"/>
      <c r="Z511" s="50"/>
      <c r="AC511" s="50"/>
      <c r="AE511" s="75"/>
      <c r="AH511" s="166" t="s">
        <v>8229</v>
      </c>
      <c r="AI511" s="168" t="s">
        <v>4179</v>
      </c>
      <c r="AJ511" s="168" t="s">
        <v>4179</v>
      </c>
      <c r="AK511" s="168" t="s">
        <v>4179</v>
      </c>
      <c r="AL511" s="168" t="s">
        <v>4179</v>
      </c>
      <c r="AM511" s="168" t="s">
        <v>4179</v>
      </c>
      <c r="AN511" s="167" t="s">
        <v>8229</v>
      </c>
      <c r="AO511" s="167" t="s">
        <v>8229</v>
      </c>
      <c r="AP511" s="167" t="s">
        <v>8229</v>
      </c>
      <c r="AQ511" s="169" t="s">
        <v>4179</v>
      </c>
      <c r="AR511" s="170" t="s">
        <v>5225</v>
      </c>
      <c r="AS511" s="169" t="s">
        <v>4179</v>
      </c>
      <c r="AT511">
        <v>14</v>
      </c>
      <c r="AU511" s="170" t="s">
        <v>7090</v>
      </c>
      <c r="AV511" s="169" t="s">
        <v>4179</v>
      </c>
      <c r="AW511" s="170" t="s">
        <v>3054</v>
      </c>
      <c r="AX511" s="169" t="s">
        <v>4179</v>
      </c>
      <c r="AY511" t="s">
        <v>1017</v>
      </c>
      <c r="AZ511" t="s">
        <v>4179</v>
      </c>
    </row>
    <row r="512" spans="1:52" x14ac:dyDescent="0.35">
      <c r="A512" s="511" t="s">
        <v>3532</v>
      </c>
      <c r="B512" s="173" t="s">
        <v>5547</v>
      </c>
      <c r="C512" s="173" t="s">
        <v>3726</v>
      </c>
      <c r="D512" s="174" t="s">
        <v>7091</v>
      </c>
      <c r="E512" s="173" t="s">
        <v>1980</v>
      </c>
      <c r="F512" s="372">
        <v>12.91</v>
      </c>
      <c r="G512" s="631">
        <v>45291</v>
      </c>
      <c r="H512" s="633">
        <v>45268</v>
      </c>
      <c r="K512" s="11"/>
      <c r="M512" s="37">
        <v>12.91</v>
      </c>
      <c r="N512" s="29">
        <v>10</v>
      </c>
      <c r="O512" s="71"/>
      <c r="P512" s="11"/>
      <c r="S512" t="s">
        <v>4179</v>
      </c>
      <c r="T512" t="s">
        <v>1017</v>
      </c>
      <c r="U512" s="42"/>
      <c r="W512" s="50"/>
      <c r="X512" s="50"/>
      <c r="Z512" s="50"/>
      <c r="AC512" s="50"/>
      <c r="AE512" s="75"/>
      <c r="AH512" s="171" t="s">
        <v>4178</v>
      </c>
      <c r="AI512" s="168" t="s">
        <v>4179</v>
      </c>
      <c r="AJ512" s="168" t="s">
        <v>4179</v>
      </c>
      <c r="AK512" s="168" t="s">
        <v>4179</v>
      </c>
      <c r="AL512" s="168" t="s">
        <v>4179</v>
      </c>
      <c r="AM512" s="168" t="s">
        <v>4179</v>
      </c>
      <c r="AN512" s="167" t="s">
        <v>4178</v>
      </c>
      <c r="AO512" s="167" t="s">
        <v>4178</v>
      </c>
      <c r="AP512" s="167" t="s">
        <v>4178</v>
      </c>
      <c r="AQ512" s="169" t="s">
        <v>4179</v>
      </c>
      <c r="AR512" s="170" t="s">
        <v>3532</v>
      </c>
      <c r="AS512" s="169" t="s">
        <v>4179</v>
      </c>
      <c r="AT512">
        <v>14</v>
      </c>
      <c r="AU512" s="170" t="s">
        <v>7091</v>
      </c>
      <c r="AV512" s="169" t="s">
        <v>4179</v>
      </c>
      <c r="AW512" s="170" t="s">
        <v>1980</v>
      </c>
      <c r="AX512" s="169" t="s">
        <v>4179</v>
      </c>
      <c r="AY512" t="s">
        <v>4179</v>
      </c>
      <c r="AZ512" t="s">
        <v>1017</v>
      </c>
    </row>
    <row r="513" spans="1:52" x14ac:dyDescent="0.35">
      <c r="A513" s="497" t="s">
        <v>4975</v>
      </c>
      <c r="B513" s="13" t="s">
        <v>5547</v>
      </c>
      <c r="C513" s="13" t="s">
        <v>3726</v>
      </c>
      <c r="D513" s="17" t="s">
        <v>7092</v>
      </c>
      <c r="E513" s="153" t="s">
        <v>4809</v>
      </c>
      <c r="F513" s="373">
        <v>11</v>
      </c>
      <c r="G513" s="631">
        <v>45291</v>
      </c>
      <c r="H513" s="633">
        <v>45268</v>
      </c>
      <c r="K513" s="11"/>
      <c r="M513" s="37">
        <v>11</v>
      </c>
      <c r="N513" s="29">
        <v>10</v>
      </c>
      <c r="O513" s="71"/>
      <c r="S513" t="s">
        <v>4179</v>
      </c>
      <c r="T513" t="s">
        <v>4179</v>
      </c>
      <c r="U513" s="42" t="s">
        <v>1017</v>
      </c>
      <c r="W513" s="50"/>
      <c r="X513" s="50"/>
      <c r="Z513" s="50"/>
      <c r="AC513" s="50"/>
      <c r="AE513" s="75"/>
      <c r="AH513" s="166" t="s">
        <v>4179</v>
      </c>
      <c r="AI513" s="168" t="s">
        <v>4179</v>
      </c>
      <c r="AJ513" s="168" t="s">
        <v>4179</v>
      </c>
      <c r="AK513" s="168" t="s">
        <v>4179</v>
      </c>
      <c r="AL513" s="168" t="s">
        <v>4179</v>
      </c>
      <c r="AM513" s="168" t="s">
        <v>4179</v>
      </c>
      <c r="AN513" s="167" t="s">
        <v>4179</v>
      </c>
      <c r="AO513" s="167" t="s">
        <v>4179</v>
      </c>
      <c r="AP513" s="167" t="s">
        <v>4179</v>
      </c>
      <c r="AQ513" s="169" t="s">
        <v>4179</v>
      </c>
      <c r="AR513" s="170" t="s">
        <v>4975</v>
      </c>
      <c r="AS513" s="169" t="s">
        <v>4179</v>
      </c>
      <c r="AT513">
        <v>14</v>
      </c>
      <c r="AU513" s="170" t="s">
        <v>7092</v>
      </c>
      <c r="AV513" s="169" t="s">
        <v>4179</v>
      </c>
      <c r="AW513" s="170" t="s">
        <v>4809</v>
      </c>
      <c r="AX513" s="169" t="s">
        <v>4179</v>
      </c>
      <c r="AY513" t="s">
        <v>4179</v>
      </c>
      <c r="AZ513" t="s">
        <v>4179</v>
      </c>
    </row>
    <row r="514" spans="1:52" x14ac:dyDescent="0.35">
      <c r="A514" s="497" t="s">
        <v>4976</v>
      </c>
      <c r="B514" s="13" t="s">
        <v>5547</v>
      </c>
      <c r="C514" s="13" t="s">
        <v>3726</v>
      </c>
      <c r="D514" s="17" t="s">
        <v>7094</v>
      </c>
      <c r="E514" s="13" t="s">
        <v>4330</v>
      </c>
      <c r="F514" s="371">
        <v>14</v>
      </c>
      <c r="G514" s="631">
        <v>45291</v>
      </c>
      <c r="H514" s="633">
        <v>45268</v>
      </c>
      <c r="K514" s="11"/>
      <c r="M514" s="37">
        <v>14</v>
      </c>
      <c r="N514" s="29">
        <v>10</v>
      </c>
      <c r="O514" s="71"/>
      <c r="P514" t="s">
        <v>1017</v>
      </c>
      <c r="S514" t="s">
        <v>4179</v>
      </c>
      <c r="T514" t="s">
        <v>4179</v>
      </c>
      <c r="U514" s="42" t="s">
        <v>1017</v>
      </c>
      <c r="W514" s="50"/>
      <c r="X514" s="50"/>
      <c r="Z514" s="50"/>
      <c r="AC514" s="50"/>
      <c r="AE514" s="75"/>
      <c r="AH514" s="166" t="s">
        <v>4179</v>
      </c>
      <c r="AI514" s="168" t="s">
        <v>4179</v>
      </c>
      <c r="AJ514" s="168" t="s">
        <v>4179</v>
      </c>
      <c r="AK514" s="168" t="s">
        <v>4179</v>
      </c>
      <c r="AL514" s="168" t="s">
        <v>4179</v>
      </c>
      <c r="AM514" s="168" t="s">
        <v>4179</v>
      </c>
      <c r="AN514" s="167" t="s">
        <v>4179</v>
      </c>
      <c r="AO514" s="167" t="s">
        <v>4179</v>
      </c>
      <c r="AP514" s="167" t="s">
        <v>4179</v>
      </c>
      <c r="AQ514" s="169" t="s">
        <v>4179</v>
      </c>
      <c r="AR514" s="170" t="s">
        <v>4976</v>
      </c>
      <c r="AS514" s="169" t="s">
        <v>4179</v>
      </c>
      <c r="AT514">
        <v>14</v>
      </c>
      <c r="AU514" s="170" t="s">
        <v>7094</v>
      </c>
      <c r="AV514" s="169" t="s">
        <v>4179</v>
      </c>
      <c r="AW514" s="170" t="s">
        <v>4330</v>
      </c>
      <c r="AX514" s="169" t="s">
        <v>4179</v>
      </c>
      <c r="AY514" t="s">
        <v>4179</v>
      </c>
      <c r="AZ514" t="s">
        <v>4179</v>
      </c>
    </row>
    <row r="515" spans="1:52" x14ac:dyDescent="0.35">
      <c r="A515" s="497" t="s">
        <v>828</v>
      </c>
      <c r="B515" s="13" t="s">
        <v>5547</v>
      </c>
      <c r="C515" s="13" t="s">
        <v>3726</v>
      </c>
      <c r="D515" s="17" t="s">
        <v>7095</v>
      </c>
      <c r="E515" s="13" t="s">
        <v>674</v>
      </c>
      <c r="F515" s="371">
        <v>14</v>
      </c>
      <c r="G515" s="631">
        <v>45291</v>
      </c>
      <c r="H515" s="633">
        <v>45268</v>
      </c>
      <c r="K515" s="11"/>
      <c r="M515" s="37">
        <v>14</v>
      </c>
      <c r="N515" s="29">
        <v>10</v>
      </c>
      <c r="O515" s="71"/>
      <c r="P515" s="11"/>
      <c r="Q515" t="s">
        <v>1017</v>
      </c>
      <c r="S515" t="s">
        <v>4179</v>
      </c>
      <c r="T515" t="s">
        <v>4179</v>
      </c>
      <c r="U515" s="42" t="s">
        <v>1017</v>
      </c>
      <c r="W515" s="50"/>
      <c r="X515" s="50"/>
      <c r="Z515" s="50"/>
      <c r="AC515" s="50"/>
      <c r="AE515" s="75"/>
      <c r="AH515" s="166" t="s">
        <v>4179</v>
      </c>
      <c r="AI515" s="168" t="s">
        <v>4179</v>
      </c>
      <c r="AJ515" s="168" t="s">
        <v>4179</v>
      </c>
      <c r="AK515" s="168" t="s">
        <v>4179</v>
      </c>
      <c r="AL515" s="168" t="s">
        <v>4179</v>
      </c>
      <c r="AM515" s="168" t="s">
        <v>4179</v>
      </c>
      <c r="AN515" s="167" t="s">
        <v>4179</v>
      </c>
      <c r="AO515" s="167" t="s">
        <v>4179</v>
      </c>
      <c r="AP515" s="167" t="s">
        <v>4179</v>
      </c>
      <c r="AQ515" s="169" t="s">
        <v>4179</v>
      </c>
      <c r="AR515" s="170" t="s">
        <v>828</v>
      </c>
      <c r="AS515" s="169" t="s">
        <v>4179</v>
      </c>
      <c r="AT515">
        <v>14</v>
      </c>
      <c r="AU515" s="170" t="s">
        <v>7095</v>
      </c>
      <c r="AV515" s="169" t="s">
        <v>4179</v>
      </c>
      <c r="AW515" s="170" t="s">
        <v>674</v>
      </c>
      <c r="AX515" s="169" t="s">
        <v>4179</v>
      </c>
      <c r="AY515" t="s">
        <v>4179</v>
      </c>
      <c r="AZ515" t="s">
        <v>4179</v>
      </c>
    </row>
    <row r="516" spans="1:52" x14ac:dyDescent="0.35">
      <c r="A516" s="497" t="s">
        <v>1612</v>
      </c>
      <c r="B516" s="13" t="s">
        <v>5547</v>
      </c>
      <c r="C516" s="13" t="s">
        <v>3726</v>
      </c>
      <c r="D516" s="17" t="s">
        <v>7096</v>
      </c>
      <c r="E516" s="13" t="s">
        <v>3566</v>
      </c>
      <c r="F516" s="371">
        <v>13.97</v>
      </c>
      <c r="G516" s="631">
        <v>45291</v>
      </c>
      <c r="H516" s="633">
        <v>45268</v>
      </c>
      <c r="K516" s="11"/>
      <c r="M516" s="37">
        <v>13.97</v>
      </c>
      <c r="N516" s="29">
        <v>10</v>
      </c>
      <c r="O516" s="71"/>
      <c r="P516" s="11"/>
      <c r="R516" t="s">
        <v>1017</v>
      </c>
      <c r="S516" t="s">
        <v>4179</v>
      </c>
      <c r="T516" t="s">
        <v>4179</v>
      </c>
      <c r="U516" s="42" t="s">
        <v>1017</v>
      </c>
      <c r="W516" s="50"/>
      <c r="X516" s="50"/>
      <c r="Z516" s="50"/>
      <c r="AC516" s="50"/>
      <c r="AE516" s="75"/>
      <c r="AH516" s="166" t="s">
        <v>8228</v>
      </c>
      <c r="AI516" s="168" t="s">
        <v>4179</v>
      </c>
      <c r="AJ516" s="168" t="s">
        <v>4179</v>
      </c>
      <c r="AK516" s="168" t="s">
        <v>4179</v>
      </c>
      <c r="AL516" s="168" t="s">
        <v>4179</v>
      </c>
      <c r="AM516" s="168" t="s">
        <v>4179</v>
      </c>
      <c r="AN516" s="167" t="s">
        <v>8228</v>
      </c>
      <c r="AO516" s="167" t="s">
        <v>8228</v>
      </c>
      <c r="AP516" s="167" t="s">
        <v>8228</v>
      </c>
      <c r="AQ516" s="169" t="s">
        <v>4179</v>
      </c>
      <c r="AR516" s="170" t="s">
        <v>1612</v>
      </c>
      <c r="AS516" s="169" t="s">
        <v>4179</v>
      </c>
      <c r="AT516">
        <v>14</v>
      </c>
      <c r="AU516" s="170" t="s">
        <v>7096</v>
      </c>
      <c r="AV516" s="169" t="s">
        <v>4179</v>
      </c>
      <c r="AW516" s="170" t="s">
        <v>3566</v>
      </c>
      <c r="AX516" s="169" t="s">
        <v>4179</v>
      </c>
      <c r="AY516" t="s">
        <v>4179</v>
      </c>
      <c r="AZ516" t="s">
        <v>4179</v>
      </c>
    </row>
    <row r="517" spans="1:52" x14ac:dyDescent="0.35">
      <c r="A517" s="497" t="s">
        <v>5226</v>
      </c>
      <c r="B517" s="13" t="s">
        <v>5547</v>
      </c>
      <c r="C517" s="13" t="s">
        <v>3726</v>
      </c>
      <c r="D517" s="17" t="s">
        <v>7097</v>
      </c>
      <c r="E517" s="13" t="s">
        <v>3054</v>
      </c>
      <c r="F517" s="371">
        <v>13.94</v>
      </c>
      <c r="G517" s="631">
        <v>45291</v>
      </c>
      <c r="H517" s="633">
        <v>45268</v>
      </c>
      <c r="K517" s="11"/>
      <c r="M517" s="37">
        <v>13.94</v>
      </c>
      <c r="N517" s="29">
        <v>10</v>
      </c>
      <c r="O517" s="71"/>
      <c r="P517" s="11"/>
      <c r="S517" t="s">
        <v>1017</v>
      </c>
      <c r="T517" t="s">
        <v>4179</v>
      </c>
      <c r="U517" s="42" t="s">
        <v>1017</v>
      </c>
      <c r="W517" s="50"/>
      <c r="X517" s="50"/>
      <c r="Z517" s="50"/>
      <c r="AC517" s="50"/>
      <c r="AE517" s="75"/>
      <c r="AH517" s="166" t="s">
        <v>8229</v>
      </c>
      <c r="AI517" s="168" t="s">
        <v>4179</v>
      </c>
      <c r="AJ517" s="168" t="s">
        <v>4179</v>
      </c>
      <c r="AK517" s="168" t="s">
        <v>4179</v>
      </c>
      <c r="AL517" s="168" t="s">
        <v>4179</v>
      </c>
      <c r="AM517" s="168" t="s">
        <v>4179</v>
      </c>
      <c r="AN517" s="167" t="s">
        <v>8229</v>
      </c>
      <c r="AO517" s="167" t="s">
        <v>8229</v>
      </c>
      <c r="AP517" s="167" t="s">
        <v>8229</v>
      </c>
      <c r="AQ517" s="169" t="s">
        <v>4179</v>
      </c>
      <c r="AR517" s="170" t="s">
        <v>5226</v>
      </c>
      <c r="AS517" s="169" t="s">
        <v>4179</v>
      </c>
      <c r="AT517">
        <v>14</v>
      </c>
      <c r="AU517" s="170" t="s">
        <v>7097</v>
      </c>
      <c r="AV517" s="169" t="s">
        <v>4179</v>
      </c>
      <c r="AW517" s="170" t="s">
        <v>3054</v>
      </c>
      <c r="AX517" s="169" t="s">
        <v>4179</v>
      </c>
      <c r="AY517" t="s">
        <v>1017</v>
      </c>
      <c r="AZ517" t="s">
        <v>4179</v>
      </c>
    </row>
    <row r="518" spans="1:52" x14ac:dyDescent="0.35">
      <c r="A518" s="511" t="s">
        <v>3533</v>
      </c>
      <c r="B518" s="173" t="s">
        <v>5547</v>
      </c>
      <c r="C518" s="173" t="s">
        <v>3726</v>
      </c>
      <c r="D518" s="174" t="s">
        <v>7098</v>
      </c>
      <c r="E518" s="173" t="s">
        <v>1980</v>
      </c>
      <c r="F518" s="372">
        <v>13.91</v>
      </c>
      <c r="G518" s="631">
        <v>45291</v>
      </c>
      <c r="H518" s="633">
        <v>45268</v>
      </c>
      <c r="K518" s="11"/>
      <c r="M518" s="37">
        <v>13.91</v>
      </c>
      <c r="N518" s="29">
        <v>10</v>
      </c>
      <c r="O518" s="71"/>
      <c r="P518" s="11"/>
      <c r="S518" t="s">
        <v>4179</v>
      </c>
      <c r="T518" t="s">
        <v>1017</v>
      </c>
      <c r="U518" s="42" t="s">
        <v>1017</v>
      </c>
      <c r="W518" s="50"/>
      <c r="X518" s="50"/>
      <c r="Z518" s="50"/>
      <c r="AC518" s="50"/>
      <c r="AE518" s="75"/>
      <c r="AH518" s="171" t="s">
        <v>4178</v>
      </c>
      <c r="AI518" s="168" t="s">
        <v>4179</v>
      </c>
      <c r="AJ518" s="168" t="s">
        <v>4179</v>
      </c>
      <c r="AK518" s="168" t="s">
        <v>4179</v>
      </c>
      <c r="AL518" s="168" t="s">
        <v>4179</v>
      </c>
      <c r="AM518" s="168" t="s">
        <v>4179</v>
      </c>
      <c r="AN518" s="167" t="s">
        <v>4178</v>
      </c>
      <c r="AO518" s="167" t="s">
        <v>4178</v>
      </c>
      <c r="AP518" s="167" t="s">
        <v>4178</v>
      </c>
      <c r="AQ518" s="169" t="s">
        <v>4179</v>
      </c>
      <c r="AR518" s="170" t="s">
        <v>3533</v>
      </c>
      <c r="AS518" s="169" t="s">
        <v>4179</v>
      </c>
      <c r="AT518">
        <v>14</v>
      </c>
      <c r="AU518" s="170" t="s">
        <v>7098</v>
      </c>
      <c r="AV518" s="169" t="s">
        <v>4179</v>
      </c>
      <c r="AW518" s="170" t="s">
        <v>1980</v>
      </c>
      <c r="AX518" s="169" t="s">
        <v>4179</v>
      </c>
      <c r="AY518" t="s">
        <v>4179</v>
      </c>
      <c r="AZ518" t="s">
        <v>1017</v>
      </c>
    </row>
    <row r="519" spans="1:52" x14ac:dyDescent="0.35">
      <c r="A519" s="496" t="s">
        <v>4802</v>
      </c>
      <c r="B519" s="1" t="s">
        <v>5547</v>
      </c>
      <c r="C519" s="1" t="s">
        <v>3726</v>
      </c>
      <c r="D519" s="1" t="s">
        <v>7099</v>
      </c>
      <c r="E519" s="151" t="s">
        <v>4809</v>
      </c>
      <c r="F519" s="375">
        <v>16</v>
      </c>
      <c r="G519" s="631">
        <v>45291</v>
      </c>
      <c r="H519" s="633">
        <v>45268</v>
      </c>
      <c r="K519" s="11"/>
      <c r="M519" s="37">
        <v>16</v>
      </c>
      <c r="N519" s="29">
        <v>10</v>
      </c>
      <c r="O519" s="71"/>
      <c r="S519" t="s">
        <v>4179</v>
      </c>
      <c r="T519" t="s">
        <v>4179</v>
      </c>
      <c r="U519" s="42"/>
      <c r="V519" t="s">
        <v>1017</v>
      </c>
      <c r="W519" s="50"/>
      <c r="X519" s="50"/>
      <c r="Z519" s="50"/>
      <c r="AC519" s="50"/>
      <c r="AE519" s="75"/>
      <c r="AH519" s="166" t="s">
        <v>4179</v>
      </c>
      <c r="AI519" s="168" t="s">
        <v>4179</v>
      </c>
      <c r="AJ519" s="168" t="s">
        <v>4179</v>
      </c>
      <c r="AK519" s="168" t="s">
        <v>4179</v>
      </c>
      <c r="AL519" s="168" t="s">
        <v>4179</v>
      </c>
      <c r="AM519" s="168" t="s">
        <v>4179</v>
      </c>
      <c r="AN519" s="167" t="s">
        <v>4179</v>
      </c>
      <c r="AO519" s="167" t="s">
        <v>4179</v>
      </c>
      <c r="AP519" s="167" t="s">
        <v>4179</v>
      </c>
      <c r="AQ519" s="169" t="s">
        <v>4179</v>
      </c>
      <c r="AR519" s="170" t="s">
        <v>4802</v>
      </c>
      <c r="AS519" s="169" t="s">
        <v>4179</v>
      </c>
      <c r="AT519">
        <v>14</v>
      </c>
      <c r="AU519" s="170" t="s">
        <v>7099</v>
      </c>
      <c r="AV519" s="169" t="s">
        <v>4179</v>
      </c>
      <c r="AW519" s="170" t="s">
        <v>4809</v>
      </c>
      <c r="AX519" s="169" t="s">
        <v>4179</v>
      </c>
      <c r="AY519" t="s">
        <v>4179</v>
      </c>
      <c r="AZ519" t="s">
        <v>4179</v>
      </c>
    </row>
    <row r="520" spans="1:52" x14ac:dyDescent="0.35">
      <c r="A520" s="497" t="s">
        <v>4034</v>
      </c>
      <c r="B520" s="13" t="s">
        <v>5547</v>
      </c>
      <c r="C520" s="13" t="s">
        <v>3726</v>
      </c>
      <c r="D520" s="13" t="s">
        <v>7101</v>
      </c>
      <c r="E520" s="13" t="s">
        <v>4330</v>
      </c>
      <c r="F520" s="373">
        <v>19</v>
      </c>
      <c r="G520" s="631">
        <v>45291</v>
      </c>
      <c r="H520" s="633">
        <v>45268</v>
      </c>
      <c r="K520" s="11"/>
      <c r="M520" s="37">
        <v>19</v>
      </c>
      <c r="N520" s="29">
        <v>10</v>
      </c>
      <c r="O520" s="71"/>
      <c r="P520" t="s">
        <v>1017</v>
      </c>
      <c r="S520" t="s">
        <v>4179</v>
      </c>
      <c r="T520" t="s">
        <v>4179</v>
      </c>
      <c r="U520" s="42"/>
      <c r="V520" t="s">
        <v>1017</v>
      </c>
      <c r="W520" s="50"/>
      <c r="X520" s="50"/>
      <c r="Z520" s="50"/>
      <c r="AC520" s="50"/>
      <c r="AE520" s="75"/>
      <c r="AH520" s="166" t="s">
        <v>4179</v>
      </c>
      <c r="AI520" s="168" t="s">
        <v>4179</v>
      </c>
      <c r="AJ520" s="168" t="s">
        <v>4179</v>
      </c>
      <c r="AK520" s="168" t="s">
        <v>4179</v>
      </c>
      <c r="AL520" s="168" t="s">
        <v>4179</v>
      </c>
      <c r="AM520" s="168" t="s">
        <v>4179</v>
      </c>
      <c r="AN520" s="167" t="s">
        <v>4179</v>
      </c>
      <c r="AO520" s="167" t="s">
        <v>4179</v>
      </c>
      <c r="AP520" s="167" t="s">
        <v>4179</v>
      </c>
      <c r="AQ520" s="169" t="s">
        <v>4179</v>
      </c>
      <c r="AR520" s="170" t="s">
        <v>4034</v>
      </c>
      <c r="AS520" s="169" t="s">
        <v>4179</v>
      </c>
      <c r="AT520">
        <v>14</v>
      </c>
      <c r="AU520" s="170" t="s">
        <v>7101</v>
      </c>
      <c r="AV520" s="169" t="s">
        <v>4179</v>
      </c>
      <c r="AW520" s="170" t="s">
        <v>4330</v>
      </c>
      <c r="AX520" s="169" t="s">
        <v>4179</v>
      </c>
      <c r="AY520" t="s">
        <v>4179</v>
      </c>
      <c r="AZ520" t="s">
        <v>4179</v>
      </c>
    </row>
    <row r="521" spans="1:52" x14ac:dyDescent="0.35">
      <c r="A521" s="497" t="s">
        <v>2616</v>
      </c>
      <c r="B521" s="13" t="s">
        <v>5547</v>
      </c>
      <c r="C521" s="13" t="s">
        <v>3726</v>
      </c>
      <c r="D521" s="13" t="s">
        <v>7102</v>
      </c>
      <c r="E521" s="13" t="s">
        <v>674</v>
      </c>
      <c r="F521" s="373">
        <v>19</v>
      </c>
      <c r="G521" s="631">
        <v>45291</v>
      </c>
      <c r="H521" s="633">
        <v>45268</v>
      </c>
      <c r="K521" s="11"/>
      <c r="M521" s="37">
        <v>19</v>
      </c>
      <c r="N521" s="29">
        <v>10</v>
      </c>
      <c r="O521" s="71"/>
      <c r="P521" s="11"/>
      <c r="Q521" t="s">
        <v>1017</v>
      </c>
      <c r="S521" t="s">
        <v>4179</v>
      </c>
      <c r="T521" t="s">
        <v>4179</v>
      </c>
      <c r="U521" s="42"/>
      <c r="V521" t="s">
        <v>1017</v>
      </c>
      <c r="W521" s="50"/>
      <c r="X521" s="50"/>
      <c r="Z521" s="50"/>
      <c r="AC521" s="50"/>
      <c r="AE521" s="75"/>
      <c r="AH521" s="166" t="s">
        <v>4179</v>
      </c>
      <c r="AI521" s="168" t="s">
        <v>4179</v>
      </c>
      <c r="AJ521" s="168" t="s">
        <v>4179</v>
      </c>
      <c r="AK521" s="168" t="s">
        <v>4179</v>
      </c>
      <c r="AL521" s="168" t="s">
        <v>4179</v>
      </c>
      <c r="AM521" s="168" t="s">
        <v>4179</v>
      </c>
      <c r="AN521" s="167" t="s">
        <v>4179</v>
      </c>
      <c r="AO521" s="167" t="s">
        <v>4179</v>
      </c>
      <c r="AP521" s="167" t="s">
        <v>4179</v>
      </c>
      <c r="AQ521" s="169" t="s">
        <v>4179</v>
      </c>
      <c r="AR521" s="170" t="s">
        <v>2616</v>
      </c>
      <c r="AS521" s="169" t="s">
        <v>4179</v>
      </c>
      <c r="AT521">
        <v>14</v>
      </c>
      <c r="AU521" s="170" t="s">
        <v>7102</v>
      </c>
      <c r="AV521" s="169" t="s">
        <v>4179</v>
      </c>
      <c r="AW521" s="170" t="s">
        <v>674</v>
      </c>
      <c r="AX521" s="169" t="s">
        <v>4179</v>
      </c>
      <c r="AY521" t="s">
        <v>4179</v>
      </c>
      <c r="AZ521" t="s">
        <v>4179</v>
      </c>
    </row>
    <row r="522" spans="1:52" x14ac:dyDescent="0.35">
      <c r="A522" s="497" t="s">
        <v>1613</v>
      </c>
      <c r="B522" s="13" t="s">
        <v>5547</v>
      </c>
      <c r="C522" s="13" t="s">
        <v>3726</v>
      </c>
      <c r="D522" s="13" t="s">
        <v>7103</v>
      </c>
      <c r="E522" s="13" t="s">
        <v>3566</v>
      </c>
      <c r="F522" s="373">
        <v>18.97</v>
      </c>
      <c r="G522" s="631">
        <v>45291</v>
      </c>
      <c r="H522" s="633">
        <v>45268</v>
      </c>
      <c r="K522" s="11"/>
      <c r="M522" s="37">
        <v>18.97</v>
      </c>
      <c r="N522" s="29">
        <v>10</v>
      </c>
      <c r="O522" s="71"/>
      <c r="P522" s="11"/>
      <c r="R522" t="s">
        <v>1017</v>
      </c>
      <c r="S522" t="s">
        <v>4179</v>
      </c>
      <c r="T522" t="s">
        <v>4179</v>
      </c>
      <c r="U522" s="42"/>
      <c r="V522" t="s">
        <v>1017</v>
      </c>
      <c r="W522" s="50"/>
      <c r="X522" s="50"/>
      <c r="Z522" s="50"/>
      <c r="AC522" s="50"/>
      <c r="AE522" s="75"/>
      <c r="AH522" s="166" t="s">
        <v>8228</v>
      </c>
      <c r="AI522" s="168" t="s">
        <v>4179</v>
      </c>
      <c r="AJ522" s="168" t="s">
        <v>4179</v>
      </c>
      <c r="AK522" s="168" t="s">
        <v>4179</v>
      </c>
      <c r="AL522" s="168" t="s">
        <v>4179</v>
      </c>
      <c r="AM522" s="168" t="s">
        <v>4179</v>
      </c>
      <c r="AN522" s="167" t="s">
        <v>8228</v>
      </c>
      <c r="AO522" s="167" t="s">
        <v>8228</v>
      </c>
      <c r="AP522" s="167" t="s">
        <v>8228</v>
      </c>
      <c r="AQ522" s="169" t="s">
        <v>4179</v>
      </c>
      <c r="AR522" s="170" t="s">
        <v>1613</v>
      </c>
      <c r="AS522" s="169" t="s">
        <v>4179</v>
      </c>
      <c r="AT522">
        <v>14</v>
      </c>
      <c r="AU522" s="170" t="s">
        <v>7103</v>
      </c>
      <c r="AV522" s="169" t="s">
        <v>4179</v>
      </c>
      <c r="AW522" s="170" t="s">
        <v>3566</v>
      </c>
      <c r="AX522" s="169" t="s">
        <v>4179</v>
      </c>
      <c r="AY522" t="s">
        <v>4179</v>
      </c>
      <c r="AZ522" t="s">
        <v>4179</v>
      </c>
    </row>
    <row r="523" spans="1:52" x14ac:dyDescent="0.35">
      <c r="A523" s="497" t="s">
        <v>5227</v>
      </c>
      <c r="B523" s="13" t="s">
        <v>5547</v>
      </c>
      <c r="C523" s="13" t="s">
        <v>3726</v>
      </c>
      <c r="D523" s="13" t="s">
        <v>7104</v>
      </c>
      <c r="E523" s="13" t="s">
        <v>3054</v>
      </c>
      <c r="F523" s="373">
        <v>18.939999999999998</v>
      </c>
      <c r="G523" s="631">
        <v>45291</v>
      </c>
      <c r="H523" s="633">
        <v>45268</v>
      </c>
      <c r="K523" s="11"/>
      <c r="M523" s="37">
        <v>18.939999999999998</v>
      </c>
      <c r="N523" s="29">
        <v>10</v>
      </c>
      <c r="O523" s="71"/>
      <c r="P523" s="11"/>
      <c r="S523" t="s">
        <v>1017</v>
      </c>
      <c r="T523" t="s">
        <v>4179</v>
      </c>
      <c r="U523" s="42"/>
      <c r="V523" t="s">
        <v>1017</v>
      </c>
      <c r="W523" s="50"/>
      <c r="X523" s="50"/>
      <c r="Z523" s="50"/>
      <c r="AC523" s="50"/>
      <c r="AE523" s="75"/>
      <c r="AH523" s="166" t="s">
        <v>8229</v>
      </c>
      <c r="AI523" s="168" t="s">
        <v>4179</v>
      </c>
      <c r="AJ523" s="168" t="s">
        <v>4179</v>
      </c>
      <c r="AK523" s="168" t="s">
        <v>4179</v>
      </c>
      <c r="AL523" s="168" t="s">
        <v>4179</v>
      </c>
      <c r="AM523" s="168" t="s">
        <v>4179</v>
      </c>
      <c r="AN523" s="167" t="s">
        <v>8229</v>
      </c>
      <c r="AO523" s="167" t="s">
        <v>8229</v>
      </c>
      <c r="AP523" s="167" t="s">
        <v>8229</v>
      </c>
      <c r="AQ523" s="169" t="s">
        <v>4179</v>
      </c>
      <c r="AR523" s="170" t="s">
        <v>5227</v>
      </c>
      <c r="AS523" s="169" t="s">
        <v>4179</v>
      </c>
      <c r="AT523">
        <v>14</v>
      </c>
      <c r="AU523" s="170" t="s">
        <v>7104</v>
      </c>
      <c r="AV523" s="169" t="s">
        <v>4179</v>
      </c>
      <c r="AW523" s="170" t="s">
        <v>3054</v>
      </c>
      <c r="AX523" s="169" t="s">
        <v>4179</v>
      </c>
      <c r="AY523" t="s">
        <v>1017</v>
      </c>
      <c r="AZ523" t="s">
        <v>4179</v>
      </c>
    </row>
    <row r="524" spans="1:52" x14ac:dyDescent="0.35">
      <c r="A524" s="511" t="s">
        <v>3534</v>
      </c>
      <c r="B524" s="173" t="s">
        <v>5547</v>
      </c>
      <c r="C524" s="173" t="s">
        <v>3726</v>
      </c>
      <c r="D524" s="173" t="s">
        <v>7105</v>
      </c>
      <c r="E524" s="173" t="s">
        <v>1980</v>
      </c>
      <c r="F524" s="374">
        <v>18.91</v>
      </c>
      <c r="G524" s="631">
        <v>45291</v>
      </c>
      <c r="H524" s="633">
        <v>45268</v>
      </c>
      <c r="K524" s="11"/>
      <c r="M524" s="37">
        <v>18.91</v>
      </c>
      <c r="N524" s="29">
        <v>10</v>
      </c>
      <c r="O524" s="71"/>
      <c r="P524" s="11"/>
      <c r="S524" t="s">
        <v>4179</v>
      </c>
      <c r="T524" t="s">
        <v>1017</v>
      </c>
      <c r="U524" s="42"/>
      <c r="V524" t="s">
        <v>1017</v>
      </c>
      <c r="W524" s="50"/>
      <c r="X524" s="50"/>
      <c r="Z524" s="50"/>
      <c r="AC524" s="50"/>
      <c r="AE524" s="75"/>
      <c r="AH524" s="171" t="s">
        <v>4178</v>
      </c>
      <c r="AI524" s="168" t="s">
        <v>4179</v>
      </c>
      <c r="AJ524" s="168" t="s">
        <v>4179</v>
      </c>
      <c r="AK524" s="168" t="s">
        <v>4179</v>
      </c>
      <c r="AL524" s="168" t="s">
        <v>4179</v>
      </c>
      <c r="AM524" s="168" t="s">
        <v>4179</v>
      </c>
      <c r="AN524" s="167" t="s">
        <v>4178</v>
      </c>
      <c r="AO524" s="167" t="s">
        <v>4178</v>
      </c>
      <c r="AP524" s="167" t="s">
        <v>4178</v>
      </c>
      <c r="AQ524" s="169" t="s">
        <v>4179</v>
      </c>
      <c r="AR524" s="170" t="s">
        <v>3534</v>
      </c>
      <c r="AS524" s="169" t="s">
        <v>4179</v>
      </c>
      <c r="AT524">
        <v>14</v>
      </c>
      <c r="AU524" s="170" t="s">
        <v>7105</v>
      </c>
      <c r="AV524" s="169" t="s">
        <v>4179</v>
      </c>
      <c r="AW524" s="170" t="s">
        <v>1980</v>
      </c>
      <c r="AX524" s="169" t="s">
        <v>4179</v>
      </c>
      <c r="AY524" t="s">
        <v>4179</v>
      </c>
      <c r="AZ524" t="s">
        <v>1017</v>
      </c>
    </row>
    <row r="525" spans="1:52" x14ac:dyDescent="0.35">
      <c r="A525" s="497" t="s">
        <v>829</v>
      </c>
      <c r="B525" s="13" t="s">
        <v>5547</v>
      </c>
      <c r="C525" s="13" t="s">
        <v>3726</v>
      </c>
      <c r="D525" s="13" t="s">
        <v>7106</v>
      </c>
      <c r="E525" s="153" t="s">
        <v>4809</v>
      </c>
      <c r="F525" s="373">
        <v>17</v>
      </c>
      <c r="G525" s="631">
        <v>45291</v>
      </c>
      <c r="H525" s="633">
        <v>45268</v>
      </c>
      <c r="K525" s="11"/>
      <c r="M525" s="37">
        <v>17</v>
      </c>
      <c r="N525" s="29">
        <v>10</v>
      </c>
      <c r="O525" s="71"/>
      <c r="S525" t="s">
        <v>4179</v>
      </c>
      <c r="T525" t="s">
        <v>4179</v>
      </c>
      <c r="U525" s="42" t="s">
        <v>1017</v>
      </c>
      <c r="V525" t="s">
        <v>1017</v>
      </c>
      <c r="W525" s="50"/>
      <c r="X525" s="50"/>
      <c r="Z525" s="50"/>
      <c r="AC525" s="50"/>
      <c r="AE525" s="75"/>
      <c r="AH525" s="166" t="s">
        <v>4179</v>
      </c>
      <c r="AI525" s="168" t="s">
        <v>4179</v>
      </c>
      <c r="AJ525" s="168" t="s">
        <v>4179</v>
      </c>
      <c r="AK525" s="168" t="s">
        <v>4179</v>
      </c>
      <c r="AL525" s="168" t="s">
        <v>4179</v>
      </c>
      <c r="AM525" s="168" t="s">
        <v>4179</v>
      </c>
      <c r="AN525" s="167" t="s">
        <v>4179</v>
      </c>
      <c r="AO525" s="167" t="s">
        <v>4179</v>
      </c>
      <c r="AP525" s="167" t="s">
        <v>4179</v>
      </c>
      <c r="AQ525" s="169" t="s">
        <v>4179</v>
      </c>
      <c r="AR525" s="170" t="s">
        <v>829</v>
      </c>
      <c r="AS525" s="169" t="s">
        <v>4179</v>
      </c>
      <c r="AT525">
        <v>14</v>
      </c>
      <c r="AU525" s="170" t="s">
        <v>7106</v>
      </c>
      <c r="AV525" s="169" t="s">
        <v>4179</v>
      </c>
      <c r="AW525" s="170" t="s">
        <v>4809</v>
      </c>
      <c r="AX525" s="169" t="s">
        <v>4179</v>
      </c>
      <c r="AY525" t="s">
        <v>4179</v>
      </c>
      <c r="AZ525" t="s">
        <v>4179</v>
      </c>
    </row>
    <row r="526" spans="1:52" x14ac:dyDescent="0.35">
      <c r="A526" s="497" t="s">
        <v>830</v>
      </c>
      <c r="B526" s="13" t="s">
        <v>5547</v>
      </c>
      <c r="C526" s="13" t="s">
        <v>3726</v>
      </c>
      <c r="D526" s="13" t="s">
        <v>7108</v>
      </c>
      <c r="E526" s="13" t="s">
        <v>4330</v>
      </c>
      <c r="F526" s="373">
        <v>20</v>
      </c>
      <c r="G526" s="631">
        <v>45291</v>
      </c>
      <c r="H526" s="633">
        <v>45268</v>
      </c>
      <c r="K526" s="11"/>
      <c r="M526" s="37">
        <v>20</v>
      </c>
      <c r="N526" s="29">
        <v>10</v>
      </c>
      <c r="O526" s="71"/>
      <c r="P526" t="s">
        <v>1017</v>
      </c>
      <c r="S526" t="s">
        <v>4179</v>
      </c>
      <c r="T526" t="s">
        <v>4179</v>
      </c>
      <c r="U526" s="42" t="s">
        <v>1017</v>
      </c>
      <c r="V526" t="s">
        <v>1017</v>
      </c>
      <c r="W526" s="50"/>
      <c r="X526" s="50"/>
      <c r="Z526" s="50"/>
      <c r="AC526" s="50"/>
      <c r="AE526" s="75"/>
      <c r="AH526" s="166" t="s">
        <v>4179</v>
      </c>
      <c r="AI526" s="168" t="s">
        <v>4179</v>
      </c>
      <c r="AJ526" s="168" t="s">
        <v>4179</v>
      </c>
      <c r="AK526" s="168" t="s">
        <v>4179</v>
      </c>
      <c r="AL526" s="168" t="s">
        <v>4179</v>
      </c>
      <c r="AM526" s="168" t="s">
        <v>4179</v>
      </c>
      <c r="AN526" s="167" t="s">
        <v>4179</v>
      </c>
      <c r="AO526" s="167" t="s">
        <v>4179</v>
      </c>
      <c r="AP526" s="167" t="s">
        <v>4179</v>
      </c>
      <c r="AQ526" s="169" t="s">
        <v>4179</v>
      </c>
      <c r="AR526" s="170" t="s">
        <v>830</v>
      </c>
      <c r="AS526" s="169" t="s">
        <v>4179</v>
      </c>
      <c r="AT526">
        <v>14</v>
      </c>
      <c r="AU526" s="170" t="s">
        <v>7108</v>
      </c>
      <c r="AV526" s="169" t="s">
        <v>4179</v>
      </c>
      <c r="AW526" s="170" t="s">
        <v>4330</v>
      </c>
      <c r="AX526" s="169" t="s">
        <v>4179</v>
      </c>
      <c r="AY526" t="s">
        <v>4179</v>
      </c>
      <c r="AZ526" t="s">
        <v>4179</v>
      </c>
    </row>
    <row r="527" spans="1:52" x14ac:dyDescent="0.35">
      <c r="A527" s="497" t="s">
        <v>831</v>
      </c>
      <c r="B527" s="13" t="s">
        <v>5547</v>
      </c>
      <c r="C527" s="13" t="s">
        <v>3726</v>
      </c>
      <c r="D527" s="13" t="s">
        <v>7109</v>
      </c>
      <c r="E527" s="13" t="s">
        <v>674</v>
      </c>
      <c r="F527" s="373">
        <v>20</v>
      </c>
      <c r="G527" s="631">
        <v>45291</v>
      </c>
      <c r="H527" s="633">
        <v>45268</v>
      </c>
      <c r="K527" s="11"/>
      <c r="M527" s="37">
        <v>20</v>
      </c>
      <c r="N527" s="29">
        <v>10</v>
      </c>
      <c r="O527" s="71"/>
      <c r="P527" s="11"/>
      <c r="Q527" t="s">
        <v>1017</v>
      </c>
      <c r="S527" t="s">
        <v>4179</v>
      </c>
      <c r="T527" t="s">
        <v>4179</v>
      </c>
      <c r="U527" s="42" t="s">
        <v>1017</v>
      </c>
      <c r="V527" t="s">
        <v>1017</v>
      </c>
      <c r="W527" s="50"/>
      <c r="X527" s="50"/>
      <c r="Z527" s="50"/>
      <c r="AC527" s="50"/>
      <c r="AE527" s="75"/>
      <c r="AH527" s="166" t="s">
        <v>4179</v>
      </c>
      <c r="AI527" s="168" t="s">
        <v>4179</v>
      </c>
      <c r="AJ527" s="168" t="s">
        <v>4179</v>
      </c>
      <c r="AK527" s="168" t="s">
        <v>4179</v>
      </c>
      <c r="AL527" s="168" t="s">
        <v>4179</v>
      </c>
      <c r="AM527" s="168" t="s">
        <v>4179</v>
      </c>
      <c r="AN527" s="167" t="s">
        <v>4179</v>
      </c>
      <c r="AO527" s="167" t="s">
        <v>4179</v>
      </c>
      <c r="AP527" s="167" t="s">
        <v>4179</v>
      </c>
      <c r="AQ527" s="169" t="s">
        <v>4179</v>
      </c>
      <c r="AR527" s="170" t="s">
        <v>831</v>
      </c>
      <c r="AS527" s="169" t="s">
        <v>4179</v>
      </c>
      <c r="AT527">
        <v>14</v>
      </c>
      <c r="AU527" s="170" t="s">
        <v>7109</v>
      </c>
      <c r="AV527" s="169" t="s">
        <v>4179</v>
      </c>
      <c r="AW527" s="170" t="s">
        <v>674</v>
      </c>
      <c r="AX527" s="169" t="s">
        <v>4179</v>
      </c>
      <c r="AY527" t="s">
        <v>4179</v>
      </c>
      <c r="AZ527" t="s">
        <v>4179</v>
      </c>
    </row>
    <row r="528" spans="1:52" x14ac:dyDescent="0.35">
      <c r="A528" s="497" t="s">
        <v>1614</v>
      </c>
      <c r="B528" s="13" t="s">
        <v>5547</v>
      </c>
      <c r="C528" s="13" t="s">
        <v>3726</v>
      </c>
      <c r="D528" s="13" t="s">
        <v>7110</v>
      </c>
      <c r="E528" s="13" t="s">
        <v>3566</v>
      </c>
      <c r="F528" s="373">
        <v>19.97</v>
      </c>
      <c r="G528" s="631">
        <v>45291</v>
      </c>
      <c r="H528" s="633">
        <v>45268</v>
      </c>
      <c r="K528" s="11"/>
      <c r="M528" s="37">
        <v>19.97</v>
      </c>
      <c r="N528" s="29">
        <v>10</v>
      </c>
      <c r="O528" s="71"/>
      <c r="P528" s="11"/>
      <c r="R528" t="s">
        <v>1017</v>
      </c>
      <c r="S528" t="s">
        <v>4179</v>
      </c>
      <c r="T528" t="s">
        <v>4179</v>
      </c>
      <c r="U528" s="42" t="s">
        <v>1017</v>
      </c>
      <c r="V528" t="s">
        <v>1017</v>
      </c>
      <c r="W528" s="50"/>
      <c r="X528" s="50"/>
      <c r="Z528" s="50"/>
      <c r="AC528" s="50"/>
      <c r="AE528" s="75"/>
      <c r="AH528" s="166" t="s">
        <v>8228</v>
      </c>
      <c r="AI528" s="168" t="s">
        <v>4179</v>
      </c>
      <c r="AJ528" s="168" t="s">
        <v>4179</v>
      </c>
      <c r="AK528" s="168" t="s">
        <v>4179</v>
      </c>
      <c r="AL528" s="168" t="s">
        <v>4179</v>
      </c>
      <c r="AM528" s="168" t="s">
        <v>4179</v>
      </c>
      <c r="AN528" s="167" t="s">
        <v>8228</v>
      </c>
      <c r="AO528" s="167" t="s">
        <v>8228</v>
      </c>
      <c r="AP528" s="167" t="s">
        <v>8228</v>
      </c>
      <c r="AQ528" s="169" t="s">
        <v>4179</v>
      </c>
      <c r="AR528" s="170" t="s">
        <v>1614</v>
      </c>
      <c r="AS528" s="169" t="s">
        <v>4179</v>
      </c>
      <c r="AT528">
        <v>14</v>
      </c>
      <c r="AU528" s="170" t="s">
        <v>7110</v>
      </c>
      <c r="AV528" s="169" t="s">
        <v>4179</v>
      </c>
      <c r="AW528" s="170" t="s">
        <v>3566</v>
      </c>
      <c r="AX528" s="169" t="s">
        <v>4179</v>
      </c>
      <c r="AY528" t="s">
        <v>4179</v>
      </c>
      <c r="AZ528" t="s">
        <v>4179</v>
      </c>
    </row>
    <row r="529" spans="1:52" x14ac:dyDescent="0.35">
      <c r="A529" s="497" t="s">
        <v>5228</v>
      </c>
      <c r="B529" s="13" t="s">
        <v>5547</v>
      </c>
      <c r="C529" s="13" t="s">
        <v>3726</v>
      </c>
      <c r="D529" s="13" t="s">
        <v>7111</v>
      </c>
      <c r="E529" s="13" t="s">
        <v>3054</v>
      </c>
      <c r="F529" s="373">
        <v>19.939999999999998</v>
      </c>
      <c r="G529" s="631">
        <v>45291</v>
      </c>
      <c r="H529" s="633">
        <v>45268</v>
      </c>
      <c r="K529" s="11"/>
      <c r="M529" s="37">
        <v>19.939999999999998</v>
      </c>
      <c r="N529" s="29">
        <v>10</v>
      </c>
      <c r="O529" s="71"/>
      <c r="P529" s="11"/>
      <c r="S529" t="s">
        <v>1017</v>
      </c>
      <c r="T529" t="s">
        <v>4179</v>
      </c>
      <c r="U529" s="42" t="s">
        <v>1017</v>
      </c>
      <c r="V529" t="s">
        <v>1017</v>
      </c>
      <c r="W529" s="50"/>
      <c r="X529" s="50"/>
      <c r="Z529" s="50"/>
      <c r="AC529" s="50"/>
      <c r="AE529" s="75"/>
      <c r="AH529" s="166" t="s">
        <v>8229</v>
      </c>
      <c r="AI529" s="168" t="s">
        <v>4179</v>
      </c>
      <c r="AJ529" s="168" t="s">
        <v>4179</v>
      </c>
      <c r="AK529" s="168" t="s">
        <v>4179</v>
      </c>
      <c r="AL529" s="168" t="s">
        <v>4179</v>
      </c>
      <c r="AM529" s="168" t="s">
        <v>4179</v>
      </c>
      <c r="AN529" s="167" t="s">
        <v>8229</v>
      </c>
      <c r="AO529" s="167" t="s">
        <v>8229</v>
      </c>
      <c r="AP529" s="167" t="s">
        <v>8229</v>
      </c>
      <c r="AQ529" s="169" t="s">
        <v>4179</v>
      </c>
      <c r="AR529" s="170" t="s">
        <v>5228</v>
      </c>
      <c r="AS529" s="169" t="s">
        <v>4179</v>
      </c>
      <c r="AT529">
        <v>14</v>
      </c>
      <c r="AU529" s="170" t="s">
        <v>7111</v>
      </c>
      <c r="AV529" s="169" t="s">
        <v>4179</v>
      </c>
      <c r="AW529" s="170" t="s">
        <v>3054</v>
      </c>
      <c r="AX529" s="169" t="s">
        <v>4179</v>
      </c>
      <c r="AY529" t="s">
        <v>1017</v>
      </c>
      <c r="AZ529" t="s">
        <v>4179</v>
      </c>
    </row>
    <row r="530" spans="1:52" x14ac:dyDescent="0.35">
      <c r="A530" s="511" t="s">
        <v>3535</v>
      </c>
      <c r="B530" s="173" t="s">
        <v>5547</v>
      </c>
      <c r="C530" s="173" t="s">
        <v>3726</v>
      </c>
      <c r="D530" s="173" t="s">
        <v>7112</v>
      </c>
      <c r="E530" s="173" t="s">
        <v>1980</v>
      </c>
      <c r="F530" s="374">
        <v>19.91</v>
      </c>
      <c r="G530" s="631">
        <v>45291</v>
      </c>
      <c r="H530" s="633">
        <v>45268</v>
      </c>
      <c r="K530" s="11"/>
      <c r="M530" s="37">
        <v>19.91</v>
      </c>
      <c r="N530" s="29">
        <v>10</v>
      </c>
      <c r="O530" s="71"/>
      <c r="P530" s="11"/>
      <c r="S530" t="s">
        <v>4179</v>
      </c>
      <c r="T530" t="s">
        <v>1017</v>
      </c>
      <c r="U530" s="42" t="s">
        <v>1017</v>
      </c>
      <c r="V530" t="s">
        <v>1017</v>
      </c>
      <c r="W530" s="50"/>
      <c r="X530" s="50"/>
      <c r="Z530" s="50"/>
      <c r="AC530" s="50"/>
      <c r="AE530" s="75"/>
      <c r="AH530" s="171" t="s">
        <v>4178</v>
      </c>
      <c r="AI530" s="168" t="s">
        <v>4179</v>
      </c>
      <c r="AJ530" s="168" t="s">
        <v>4179</v>
      </c>
      <c r="AK530" s="168" t="s">
        <v>4179</v>
      </c>
      <c r="AL530" s="168" t="s">
        <v>4179</v>
      </c>
      <c r="AM530" s="168" t="s">
        <v>4179</v>
      </c>
      <c r="AN530" s="167" t="s">
        <v>4178</v>
      </c>
      <c r="AO530" s="167" t="s">
        <v>4178</v>
      </c>
      <c r="AP530" s="167" t="s">
        <v>4178</v>
      </c>
      <c r="AQ530" s="169" t="s">
        <v>4179</v>
      </c>
      <c r="AR530" s="170" t="s">
        <v>3535</v>
      </c>
      <c r="AS530" s="169" t="s">
        <v>4179</v>
      </c>
      <c r="AT530">
        <v>14</v>
      </c>
      <c r="AU530" s="170" t="s">
        <v>7112</v>
      </c>
      <c r="AV530" s="169" t="s">
        <v>4179</v>
      </c>
      <c r="AW530" s="170" t="s">
        <v>1980</v>
      </c>
      <c r="AX530" s="169" t="s">
        <v>4179</v>
      </c>
      <c r="AY530" t="s">
        <v>4179</v>
      </c>
      <c r="AZ530" t="s">
        <v>1017</v>
      </c>
    </row>
    <row r="531" spans="1:52" x14ac:dyDescent="0.35">
      <c r="A531" s="497" t="s">
        <v>1108</v>
      </c>
      <c r="B531" s="13" t="s">
        <v>5547</v>
      </c>
      <c r="C531" s="13" t="s">
        <v>3726</v>
      </c>
      <c r="D531" s="13" t="s">
        <v>7029</v>
      </c>
      <c r="E531" s="13" t="s">
        <v>4809</v>
      </c>
      <c r="F531" s="373">
        <v>17</v>
      </c>
      <c r="G531" s="631">
        <v>45291</v>
      </c>
      <c r="H531" s="633">
        <v>45268</v>
      </c>
      <c r="K531" s="11"/>
      <c r="M531" s="37">
        <v>17</v>
      </c>
      <c r="N531" s="29">
        <v>10</v>
      </c>
      <c r="O531" s="143"/>
      <c r="P531" s="144"/>
      <c r="Q531" s="145"/>
      <c r="R531" s="145"/>
      <c r="S531" s="145" t="s">
        <v>4179</v>
      </c>
      <c r="T531" t="s">
        <v>4179</v>
      </c>
      <c r="U531" s="146"/>
      <c r="V531" s="145"/>
      <c r="W531" s="147"/>
      <c r="X531" s="147"/>
      <c r="Y531" s="145" t="s">
        <v>1017</v>
      </c>
      <c r="Z531" s="147"/>
      <c r="AA531" s="145"/>
      <c r="AB531" s="145"/>
      <c r="AC531" s="147"/>
      <c r="AD531" s="145"/>
      <c r="AE531" s="148"/>
      <c r="AF531" s="145"/>
      <c r="AG531" s="145"/>
      <c r="AH531" s="166" t="s">
        <v>4179</v>
      </c>
      <c r="AI531" s="168" t="s">
        <v>4179</v>
      </c>
      <c r="AJ531" s="168" t="s">
        <v>4179</v>
      </c>
      <c r="AK531" s="168" t="s">
        <v>4179</v>
      </c>
      <c r="AL531" s="168" t="s">
        <v>4179</v>
      </c>
      <c r="AM531" s="168" t="s">
        <v>4179</v>
      </c>
      <c r="AN531" s="167" t="s">
        <v>4179</v>
      </c>
      <c r="AO531" s="167" t="s">
        <v>4179</v>
      </c>
      <c r="AP531" s="167" t="s">
        <v>4179</v>
      </c>
      <c r="AQ531" s="169" t="s">
        <v>4179</v>
      </c>
      <c r="AR531" s="170" t="s">
        <v>1108</v>
      </c>
      <c r="AS531" s="169" t="s">
        <v>4179</v>
      </c>
      <c r="AT531">
        <v>14</v>
      </c>
      <c r="AU531" s="170" t="s">
        <v>7029</v>
      </c>
      <c r="AV531" s="169" t="s">
        <v>4179</v>
      </c>
      <c r="AW531" s="170" t="s">
        <v>4809</v>
      </c>
      <c r="AX531" s="169" t="s">
        <v>4179</v>
      </c>
      <c r="AY531" t="s">
        <v>4179</v>
      </c>
      <c r="AZ531" t="s">
        <v>4179</v>
      </c>
    </row>
    <row r="532" spans="1:52" x14ac:dyDescent="0.35">
      <c r="A532" s="497" t="s">
        <v>1109</v>
      </c>
      <c r="B532" s="13" t="s">
        <v>5547</v>
      </c>
      <c r="C532" s="13" t="s">
        <v>3726</v>
      </c>
      <c r="D532" s="13" t="s">
        <v>7030</v>
      </c>
      <c r="E532" s="13" t="s">
        <v>4330</v>
      </c>
      <c r="F532" s="373">
        <v>20</v>
      </c>
      <c r="G532" s="631">
        <v>45291</v>
      </c>
      <c r="H532" s="633">
        <v>45268</v>
      </c>
      <c r="K532" s="11"/>
      <c r="M532" s="37">
        <v>20</v>
      </c>
      <c r="N532" s="29">
        <v>10</v>
      </c>
      <c r="O532" s="143"/>
      <c r="P532" s="145" t="s">
        <v>1017</v>
      </c>
      <c r="Q532" s="145"/>
      <c r="R532" s="145"/>
      <c r="S532" s="145" t="s">
        <v>4179</v>
      </c>
      <c r="T532" t="s">
        <v>4179</v>
      </c>
      <c r="U532" s="146"/>
      <c r="V532" s="145"/>
      <c r="W532" s="147"/>
      <c r="X532" s="147"/>
      <c r="Y532" s="145" t="s">
        <v>1017</v>
      </c>
      <c r="Z532" s="147"/>
      <c r="AA532" s="145"/>
      <c r="AB532" s="145"/>
      <c r="AC532" s="147"/>
      <c r="AD532" s="145"/>
      <c r="AE532" s="148"/>
      <c r="AF532" s="145"/>
      <c r="AG532" s="145"/>
      <c r="AH532" s="166" t="s">
        <v>4179</v>
      </c>
      <c r="AI532" s="168" t="s">
        <v>4179</v>
      </c>
      <c r="AJ532" s="168" t="s">
        <v>4179</v>
      </c>
      <c r="AK532" s="168" t="s">
        <v>4179</v>
      </c>
      <c r="AL532" s="168" t="s">
        <v>4179</v>
      </c>
      <c r="AM532" s="168" t="s">
        <v>4179</v>
      </c>
      <c r="AN532" s="167" t="s">
        <v>4179</v>
      </c>
      <c r="AO532" s="167" t="s">
        <v>4179</v>
      </c>
      <c r="AP532" s="167" t="s">
        <v>4179</v>
      </c>
      <c r="AQ532" s="169" t="s">
        <v>4179</v>
      </c>
      <c r="AR532" s="170" t="s">
        <v>1109</v>
      </c>
      <c r="AS532" s="169" t="s">
        <v>4179</v>
      </c>
      <c r="AT532">
        <v>14</v>
      </c>
      <c r="AU532" s="170" t="s">
        <v>7030</v>
      </c>
      <c r="AV532" s="169" t="s">
        <v>4179</v>
      </c>
      <c r="AW532" s="170" t="s">
        <v>4330</v>
      </c>
      <c r="AX532" s="169" t="s">
        <v>4179</v>
      </c>
      <c r="AY532" t="s">
        <v>4179</v>
      </c>
      <c r="AZ532" t="s">
        <v>4179</v>
      </c>
    </row>
    <row r="533" spans="1:52" x14ac:dyDescent="0.35">
      <c r="A533" s="497" t="s">
        <v>1110</v>
      </c>
      <c r="B533" s="13" t="s">
        <v>5547</v>
      </c>
      <c r="C533" s="13" t="s">
        <v>3726</v>
      </c>
      <c r="D533" s="13" t="s">
        <v>7031</v>
      </c>
      <c r="E533" s="13" t="s">
        <v>674</v>
      </c>
      <c r="F533" s="373">
        <v>20</v>
      </c>
      <c r="G533" s="631">
        <v>45291</v>
      </c>
      <c r="H533" s="633">
        <v>45268</v>
      </c>
      <c r="K533" s="11"/>
      <c r="M533" s="37">
        <v>20</v>
      </c>
      <c r="N533" s="29">
        <v>10</v>
      </c>
      <c r="O533" s="143"/>
      <c r="P533" s="144"/>
      <c r="Q533" s="145" t="s">
        <v>1017</v>
      </c>
      <c r="R533" s="145"/>
      <c r="S533" s="145" t="s">
        <v>4179</v>
      </c>
      <c r="T533" t="s">
        <v>4179</v>
      </c>
      <c r="U533" s="146"/>
      <c r="V533" s="145"/>
      <c r="W533" s="147"/>
      <c r="X533" s="147"/>
      <c r="Y533" s="145" t="s">
        <v>1017</v>
      </c>
      <c r="Z533" s="147"/>
      <c r="AA533" s="145"/>
      <c r="AB533" s="145"/>
      <c r="AC533" s="147"/>
      <c r="AD533" s="145"/>
      <c r="AE533" s="148"/>
      <c r="AF533" s="145"/>
      <c r="AG533" s="145"/>
      <c r="AH533" s="166" t="s">
        <v>4179</v>
      </c>
      <c r="AI533" s="168" t="s">
        <v>4179</v>
      </c>
      <c r="AJ533" s="168" t="s">
        <v>4179</v>
      </c>
      <c r="AK533" s="168" t="s">
        <v>4179</v>
      </c>
      <c r="AL533" s="168" t="s">
        <v>4179</v>
      </c>
      <c r="AM533" s="168" t="s">
        <v>4179</v>
      </c>
      <c r="AN533" s="167" t="s">
        <v>4179</v>
      </c>
      <c r="AO533" s="167" t="s">
        <v>4179</v>
      </c>
      <c r="AP533" s="167" t="s">
        <v>4179</v>
      </c>
      <c r="AQ533" s="169" t="s">
        <v>4179</v>
      </c>
      <c r="AR533" s="170" t="s">
        <v>1110</v>
      </c>
      <c r="AS533" s="169" t="s">
        <v>4179</v>
      </c>
      <c r="AT533">
        <v>14</v>
      </c>
      <c r="AU533" s="170" t="s">
        <v>7031</v>
      </c>
      <c r="AV533" s="169" t="s">
        <v>4179</v>
      </c>
      <c r="AW533" s="170" t="s">
        <v>674</v>
      </c>
      <c r="AX533" s="169" t="s">
        <v>4179</v>
      </c>
      <c r="AY533" t="s">
        <v>4179</v>
      </c>
      <c r="AZ533" t="s">
        <v>4179</v>
      </c>
    </row>
    <row r="534" spans="1:52" x14ac:dyDescent="0.35">
      <c r="A534" s="497" t="s">
        <v>1615</v>
      </c>
      <c r="B534" s="13" t="s">
        <v>5547</v>
      </c>
      <c r="C534" s="13" t="s">
        <v>3726</v>
      </c>
      <c r="D534" s="13" t="s">
        <v>7032</v>
      </c>
      <c r="E534" s="13" t="s">
        <v>3566</v>
      </c>
      <c r="F534" s="373">
        <v>19.97</v>
      </c>
      <c r="G534" s="631">
        <v>45291</v>
      </c>
      <c r="H534" s="633">
        <v>45268</v>
      </c>
      <c r="K534" s="11"/>
      <c r="M534" s="37">
        <v>19.97</v>
      </c>
      <c r="N534" s="29">
        <v>10</v>
      </c>
      <c r="O534" s="143"/>
      <c r="P534" s="144"/>
      <c r="Q534" s="145"/>
      <c r="R534" s="145" t="s">
        <v>1017</v>
      </c>
      <c r="S534" s="145" t="s">
        <v>4179</v>
      </c>
      <c r="T534" t="s">
        <v>4179</v>
      </c>
      <c r="U534" s="146"/>
      <c r="V534" s="145"/>
      <c r="W534" s="147"/>
      <c r="X534" s="147"/>
      <c r="Y534" s="145" t="s">
        <v>1017</v>
      </c>
      <c r="Z534" s="147"/>
      <c r="AA534" s="145"/>
      <c r="AB534" s="145"/>
      <c r="AC534" s="147"/>
      <c r="AD534" s="145"/>
      <c r="AE534" s="148"/>
      <c r="AF534" s="145"/>
      <c r="AG534" s="145"/>
      <c r="AH534" s="166" t="s">
        <v>8228</v>
      </c>
      <c r="AI534" s="168" t="s">
        <v>4179</v>
      </c>
      <c r="AJ534" s="168" t="s">
        <v>4179</v>
      </c>
      <c r="AK534" s="168" t="s">
        <v>4179</v>
      </c>
      <c r="AL534" s="168" t="s">
        <v>4179</v>
      </c>
      <c r="AM534" s="168" t="s">
        <v>4179</v>
      </c>
      <c r="AN534" s="167" t="s">
        <v>8228</v>
      </c>
      <c r="AO534" s="167" t="s">
        <v>8228</v>
      </c>
      <c r="AP534" s="167" t="s">
        <v>8228</v>
      </c>
      <c r="AQ534" s="169" t="s">
        <v>4179</v>
      </c>
      <c r="AR534" s="170" t="s">
        <v>1615</v>
      </c>
      <c r="AS534" s="169" t="s">
        <v>4179</v>
      </c>
      <c r="AT534">
        <v>14</v>
      </c>
      <c r="AU534" s="170" t="s">
        <v>7032</v>
      </c>
      <c r="AV534" s="169" t="s">
        <v>4179</v>
      </c>
      <c r="AW534" s="170" t="s">
        <v>3566</v>
      </c>
      <c r="AX534" s="169" t="s">
        <v>4179</v>
      </c>
      <c r="AY534" t="s">
        <v>4179</v>
      </c>
      <c r="AZ534" t="s">
        <v>4179</v>
      </c>
    </row>
    <row r="535" spans="1:52" x14ac:dyDescent="0.35">
      <c r="A535" s="497" t="s">
        <v>5229</v>
      </c>
      <c r="B535" s="13" t="s">
        <v>5547</v>
      </c>
      <c r="C535" s="13" t="s">
        <v>3726</v>
      </c>
      <c r="D535" s="13" t="s">
        <v>7033</v>
      </c>
      <c r="E535" s="13" t="s">
        <v>3054</v>
      </c>
      <c r="F535" s="373">
        <v>19.939999999999998</v>
      </c>
      <c r="G535" s="631">
        <v>45291</v>
      </c>
      <c r="H535" s="633">
        <v>45268</v>
      </c>
      <c r="K535" s="11"/>
      <c r="M535" s="37">
        <v>19.939999999999998</v>
      </c>
      <c r="N535" s="29">
        <v>10</v>
      </c>
      <c r="O535" s="143"/>
      <c r="P535" s="144"/>
      <c r="Q535" s="145"/>
      <c r="R535" s="145"/>
      <c r="S535" s="145" t="s">
        <v>1017</v>
      </c>
      <c r="T535" t="s">
        <v>4179</v>
      </c>
      <c r="U535" s="146"/>
      <c r="V535" s="145"/>
      <c r="W535" s="147"/>
      <c r="X535" s="147"/>
      <c r="Y535" s="145" t="s">
        <v>1017</v>
      </c>
      <c r="Z535" s="147"/>
      <c r="AA535" s="145"/>
      <c r="AB535" s="145"/>
      <c r="AC535" s="147"/>
      <c r="AD535" s="145"/>
      <c r="AE535" s="148"/>
      <c r="AF535" s="145"/>
      <c r="AG535" s="145"/>
      <c r="AH535" s="166" t="s">
        <v>8229</v>
      </c>
      <c r="AI535" s="168" t="s">
        <v>4179</v>
      </c>
      <c r="AJ535" s="168" t="s">
        <v>4179</v>
      </c>
      <c r="AK535" s="168" t="s">
        <v>4179</v>
      </c>
      <c r="AL535" s="168" t="s">
        <v>4179</v>
      </c>
      <c r="AM535" s="168" t="s">
        <v>4179</v>
      </c>
      <c r="AN535" s="167" t="s">
        <v>8229</v>
      </c>
      <c r="AO535" s="167" t="s">
        <v>8229</v>
      </c>
      <c r="AP535" s="167" t="s">
        <v>8229</v>
      </c>
      <c r="AQ535" s="169" t="s">
        <v>4179</v>
      </c>
      <c r="AR535" s="170" t="s">
        <v>5229</v>
      </c>
      <c r="AS535" s="169" t="s">
        <v>4179</v>
      </c>
      <c r="AT535">
        <v>14</v>
      </c>
      <c r="AU535" s="170" t="s">
        <v>7033</v>
      </c>
      <c r="AV535" s="169" t="s">
        <v>4179</v>
      </c>
      <c r="AW535" s="170" t="s">
        <v>3054</v>
      </c>
      <c r="AX535" s="169" t="s">
        <v>4179</v>
      </c>
      <c r="AY535" t="s">
        <v>1017</v>
      </c>
      <c r="AZ535" t="s">
        <v>4179</v>
      </c>
    </row>
    <row r="536" spans="1:52" x14ac:dyDescent="0.35">
      <c r="A536" s="511" t="s">
        <v>3536</v>
      </c>
      <c r="B536" s="173" t="s">
        <v>5547</v>
      </c>
      <c r="C536" s="173" t="s">
        <v>3726</v>
      </c>
      <c r="D536" s="173" t="s">
        <v>7034</v>
      </c>
      <c r="E536" s="173" t="s">
        <v>1980</v>
      </c>
      <c r="F536" s="374">
        <v>19.91</v>
      </c>
      <c r="G536" s="631">
        <v>45291</v>
      </c>
      <c r="H536" s="633">
        <v>45268</v>
      </c>
      <c r="K536" s="11"/>
      <c r="M536" s="37">
        <v>19.91</v>
      </c>
      <c r="N536" s="29">
        <v>10</v>
      </c>
      <c r="O536" s="143"/>
      <c r="P536" s="144"/>
      <c r="Q536" s="145"/>
      <c r="R536" s="145"/>
      <c r="S536" s="145" t="s">
        <v>4179</v>
      </c>
      <c r="T536" t="s">
        <v>1017</v>
      </c>
      <c r="U536" s="146"/>
      <c r="V536" s="145"/>
      <c r="W536" s="147"/>
      <c r="X536" s="147"/>
      <c r="Y536" s="145" t="s">
        <v>1017</v>
      </c>
      <c r="Z536" s="147"/>
      <c r="AA536" s="145"/>
      <c r="AB536" s="145"/>
      <c r="AC536" s="147"/>
      <c r="AD536" s="145"/>
      <c r="AE536" s="148"/>
      <c r="AF536" s="145"/>
      <c r="AG536" s="145"/>
      <c r="AH536" s="171" t="s">
        <v>4178</v>
      </c>
      <c r="AI536" s="168" t="s">
        <v>4179</v>
      </c>
      <c r="AJ536" s="168" t="s">
        <v>4179</v>
      </c>
      <c r="AK536" s="168" t="s">
        <v>4179</v>
      </c>
      <c r="AL536" s="168" t="s">
        <v>4179</v>
      </c>
      <c r="AM536" s="168" t="s">
        <v>4179</v>
      </c>
      <c r="AN536" s="167" t="s">
        <v>4178</v>
      </c>
      <c r="AO536" s="167" t="s">
        <v>4178</v>
      </c>
      <c r="AP536" s="167" t="s">
        <v>4178</v>
      </c>
      <c r="AQ536" s="169" t="s">
        <v>4179</v>
      </c>
      <c r="AR536" s="170" t="s">
        <v>3536</v>
      </c>
      <c r="AS536" s="169" t="s">
        <v>4179</v>
      </c>
      <c r="AT536">
        <v>14</v>
      </c>
      <c r="AU536" s="170" t="s">
        <v>7034</v>
      </c>
      <c r="AV536" s="169" t="s">
        <v>4179</v>
      </c>
      <c r="AW536" s="170" t="s">
        <v>1980</v>
      </c>
      <c r="AX536" s="169" t="s">
        <v>4179</v>
      </c>
      <c r="AY536" t="s">
        <v>4179</v>
      </c>
      <c r="AZ536" t="s">
        <v>1017</v>
      </c>
    </row>
    <row r="537" spans="1:52" x14ac:dyDescent="0.35">
      <c r="A537" s="497" t="s">
        <v>1111</v>
      </c>
      <c r="B537" s="13" t="s">
        <v>5547</v>
      </c>
      <c r="C537" s="13" t="s">
        <v>3726</v>
      </c>
      <c r="D537" s="13" t="s">
        <v>7084</v>
      </c>
      <c r="E537" s="13" t="s">
        <v>4809</v>
      </c>
      <c r="F537" s="373">
        <v>18</v>
      </c>
      <c r="G537" s="631">
        <v>45291</v>
      </c>
      <c r="H537" s="633">
        <v>45268</v>
      </c>
      <c r="K537" s="11"/>
      <c r="M537" s="37">
        <v>18</v>
      </c>
      <c r="N537" s="29">
        <v>10</v>
      </c>
      <c r="O537" s="143"/>
      <c r="P537" s="144"/>
      <c r="Q537" s="145"/>
      <c r="R537" s="145"/>
      <c r="S537" s="145" t="s">
        <v>4179</v>
      </c>
      <c r="T537" t="s">
        <v>4179</v>
      </c>
      <c r="U537" s="146" t="s">
        <v>1017</v>
      </c>
      <c r="V537" s="145"/>
      <c r="W537" s="147"/>
      <c r="X537" s="147"/>
      <c r="Y537" s="145" t="s">
        <v>1017</v>
      </c>
      <c r="Z537" s="147"/>
      <c r="AA537" s="145"/>
      <c r="AB537" s="145"/>
      <c r="AC537" s="147"/>
      <c r="AD537" s="145"/>
      <c r="AE537" s="148"/>
      <c r="AF537" s="145"/>
      <c r="AG537" s="145"/>
      <c r="AH537" s="166" t="s">
        <v>4179</v>
      </c>
      <c r="AI537" s="168" t="s">
        <v>4179</v>
      </c>
      <c r="AJ537" s="168" t="s">
        <v>4179</v>
      </c>
      <c r="AK537" s="168" t="s">
        <v>4179</v>
      </c>
      <c r="AL537" s="168" t="s">
        <v>4179</v>
      </c>
      <c r="AM537" s="168" t="s">
        <v>4179</v>
      </c>
      <c r="AN537" s="167" t="s">
        <v>4179</v>
      </c>
      <c r="AO537" s="167" t="s">
        <v>4179</v>
      </c>
      <c r="AP537" s="167" t="s">
        <v>4179</v>
      </c>
      <c r="AQ537" s="169" t="s">
        <v>4179</v>
      </c>
      <c r="AR537" s="170" t="s">
        <v>1111</v>
      </c>
      <c r="AS537" s="169" t="s">
        <v>4179</v>
      </c>
      <c r="AT537">
        <v>14</v>
      </c>
      <c r="AU537" s="170" t="s">
        <v>7084</v>
      </c>
      <c r="AV537" s="169" t="s">
        <v>4179</v>
      </c>
      <c r="AW537" s="170" t="s">
        <v>4809</v>
      </c>
      <c r="AX537" s="169" t="s">
        <v>4179</v>
      </c>
      <c r="AY537" t="s">
        <v>4179</v>
      </c>
      <c r="AZ537" t="s">
        <v>4179</v>
      </c>
    </row>
    <row r="538" spans="1:52" s="145" customFormat="1" x14ac:dyDescent="0.35">
      <c r="A538" s="497" t="s">
        <v>1112</v>
      </c>
      <c r="B538" s="13" t="s">
        <v>5547</v>
      </c>
      <c r="C538" s="13" t="s">
        <v>3726</v>
      </c>
      <c r="D538" s="88" t="s">
        <v>7036</v>
      </c>
      <c r="E538" s="13" t="s">
        <v>4330</v>
      </c>
      <c r="F538" s="373">
        <v>21</v>
      </c>
      <c r="G538" s="631">
        <v>45291</v>
      </c>
      <c r="H538" s="633">
        <v>45268</v>
      </c>
      <c r="I538"/>
      <c r="J538"/>
      <c r="K538" s="11"/>
      <c r="L538"/>
      <c r="M538" s="37">
        <v>21</v>
      </c>
      <c r="N538" s="29">
        <v>10</v>
      </c>
      <c r="O538" s="143"/>
      <c r="P538" s="145" t="s">
        <v>1017</v>
      </c>
      <c r="S538" s="145" t="s">
        <v>4179</v>
      </c>
      <c r="T538" s="145" t="s">
        <v>4179</v>
      </c>
      <c r="U538" s="146" t="s">
        <v>1017</v>
      </c>
      <c r="W538" s="147"/>
      <c r="X538" s="147"/>
      <c r="Y538" s="145" t="s">
        <v>1017</v>
      </c>
      <c r="Z538" s="147"/>
      <c r="AC538" s="147"/>
      <c r="AE538" s="148"/>
      <c r="AH538" s="166" t="s">
        <v>4179</v>
      </c>
      <c r="AI538" s="168" t="s">
        <v>4179</v>
      </c>
      <c r="AJ538" s="168" t="s">
        <v>4179</v>
      </c>
      <c r="AK538" s="168" t="s">
        <v>4179</v>
      </c>
      <c r="AL538" s="168" t="s">
        <v>4179</v>
      </c>
      <c r="AM538" s="168" t="s">
        <v>4179</v>
      </c>
      <c r="AN538" s="167" t="s">
        <v>4179</v>
      </c>
      <c r="AO538" s="167" t="s">
        <v>4179</v>
      </c>
      <c r="AP538" s="167" t="s">
        <v>4179</v>
      </c>
      <c r="AQ538" s="169" t="s">
        <v>4179</v>
      </c>
      <c r="AR538" s="170" t="s">
        <v>1112</v>
      </c>
      <c r="AS538" s="169" t="s">
        <v>4179</v>
      </c>
      <c r="AT538">
        <v>14</v>
      </c>
      <c r="AU538" s="170" t="s">
        <v>7036</v>
      </c>
      <c r="AV538" s="169" t="s">
        <v>4179</v>
      </c>
      <c r="AW538" s="170" t="s">
        <v>4330</v>
      </c>
      <c r="AX538" s="169" t="s">
        <v>4179</v>
      </c>
      <c r="AY538" t="s">
        <v>4179</v>
      </c>
      <c r="AZ538" t="s">
        <v>4179</v>
      </c>
    </row>
    <row r="539" spans="1:52" s="145" customFormat="1" x14ac:dyDescent="0.35">
      <c r="A539" s="497" t="s">
        <v>1113</v>
      </c>
      <c r="B539" s="13" t="s">
        <v>5547</v>
      </c>
      <c r="C539" s="13" t="s">
        <v>3726</v>
      </c>
      <c r="D539" s="13" t="s">
        <v>7037</v>
      </c>
      <c r="E539" s="13" t="s">
        <v>674</v>
      </c>
      <c r="F539" s="373">
        <v>21</v>
      </c>
      <c r="G539" s="631">
        <v>45291</v>
      </c>
      <c r="H539" s="633">
        <v>45268</v>
      </c>
      <c r="I539"/>
      <c r="J539"/>
      <c r="K539" s="11"/>
      <c r="L539"/>
      <c r="M539" s="37">
        <v>21</v>
      </c>
      <c r="N539" s="29">
        <v>10</v>
      </c>
      <c r="O539" s="143"/>
      <c r="P539" s="144"/>
      <c r="Q539" s="145" t="s">
        <v>1017</v>
      </c>
      <c r="S539" s="145" t="s">
        <v>4179</v>
      </c>
      <c r="T539" s="145" t="s">
        <v>4179</v>
      </c>
      <c r="U539" s="146" t="s">
        <v>1017</v>
      </c>
      <c r="W539" s="147"/>
      <c r="X539" s="147"/>
      <c r="Y539" s="145" t="s">
        <v>1017</v>
      </c>
      <c r="Z539" s="147"/>
      <c r="AC539" s="147"/>
      <c r="AE539" s="148"/>
      <c r="AH539" s="166" t="s">
        <v>4179</v>
      </c>
      <c r="AI539" s="168" t="s">
        <v>4179</v>
      </c>
      <c r="AJ539" s="168" t="s">
        <v>4179</v>
      </c>
      <c r="AK539" s="168" t="s">
        <v>4179</v>
      </c>
      <c r="AL539" s="168" t="s">
        <v>4179</v>
      </c>
      <c r="AM539" s="168" t="s">
        <v>4179</v>
      </c>
      <c r="AN539" s="167" t="s">
        <v>4179</v>
      </c>
      <c r="AO539" s="167" t="s">
        <v>4179</v>
      </c>
      <c r="AP539" s="167" t="s">
        <v>4179</v>
      </c>
      <c r="AQ539" s="169" t="s">
        <v>4179</v>
      </c>
      <c r="AR539" s="170" t="s">
        <v>1113</v>
      </c>
      <c r="AS539" s="169" t="s">
        <v>4179</v>
      </c>
      <c r="AT539">
        <v>14</v>
      </c>
      <c r="AU539" s="170" t="s">
        <v>7037</v>
      </c>
      <c r="AV539" s="169" t="s">
        <v>4179</v>
      </c>
      <c r="AW539" s="170" t="s">
        <v>674</v>
      </c>
      <c r="AX539" s="169" t="s">
        <v>4179</v>
      </c>
      <c r="AY539" t="s">
        <v>4179</v>
      </c>
      <c r="AZ539" t="s">
        <v>4179</v>
      </c>
    </row>
    <row r="540" spans="1:52" s="145" customFormat="1" x14ac:dyDescent="0.35">
      <c r="A540" s="497" t="s">
        <v>1616</v>
      </c>
      <c r="B540" s="13" t="s">
        <v>5547</v>
      </c>
      <c r="C540" s="13" t="s">
        <v>3726</v>
      </c>
      <c r="D540" s="13" t="s">
        <v>7038</v>
      </c>
      <c r="E540" s="13" t="s">
        <v>3566</v>
      </c>
      <c r="F540" s="373">
        <v>20.97</v>
      </c>
      <c r="G540" s="631">
        <v>45291</v>
      </c>
      <c r="H540" s="633">
        <v>45268</v>
      </c>
      <c r="I540"/>
      <c r="J540"/>
      <c r="K540" s="11"/>
      <c r="L540"/>
      <c r="M540" s="37">
        <v>20.97</v>
      </c>
      <c r="N540" s="29">
        <v>10</v>
      </c>
      <c r="O540" s="143"/>
      <c r="P540" s="144"/>
      <c r="R540" s="145" t="s">
        <v>1017</v>
      </c>
      <c r="S540" s="145" t="s">
        <v>4179</v>
      </c>
      <c r="T540" s="145" t="s">
        <v>4179</v>
      </c>
      <c r="U540" s="146" t="s">
        <v>1017</v>
      </c>
      <c r="W540" s="147"/>
      <c r="X540" s="147"/>
      <c r="Y540" s="145" t="s">
        <v>1017</v>
      </c>
      <c r="Z540" s="147"/>
      <c r="AC540" s="147"/>
      <c r="AE540" s="148"/>
      <c r="AH540" s="166" t="s">
        <v>8228</v>
      </c>
      <c r="AI540" s="168" t="s">
        <v>4179</v>
      </c>
      <c r="AJ540" s="168" t="s">
        <v>4179</v>
      </c>
      <c r="AK540" s="168" t="s">
        <v>4179</v>
      </c>
      <c r="AL540" s="168" t="s">
        <v>4179</v>
      </c>
      <c r="AM540" s="168" t="s">
        <v>4179</v>
      </c>
      <c r="AN540" s="167" t="s">
        <v>8228</v>
      </c>
      <c r="AO540" s="167" t="s">
        <v>8228</v>
      </c>
      <c r="AP540" s="167" t="s">
        <v>8228</v>
      </c>
      <c r="AQ540" s="169" t="s">
        <v>4179</v>
      </c>
      <c r="AR540" s="170" t="s">
        <v>1616</v>
      </c>
      <c r="AS540" s="169" t="s">
        <v>4179</v>
      </c>
      <c r="AT540">
        <v>14</v>
      </c>
      <c r="AU540" s="170" t="s">
        <v>7038</v>
      </c>
      <c r="AV540" s="169" t="s">
        <v>4179</v>
      </c>
      <c r="AW540" s="170" t="s">
        <v>3566</v>
      </c>
      <c r="AX540" s="169" t="s">
        <v>4179</v>
      </c>
      <c r="AY540" t="s">
        <v>4179</v>
      </c>
      <c r="AZ540" t="s">
        <v>4179</v>
      </c>
    </row>
    <row r="541" spans="1:52" s="145" customFormat="1" x14ac:dyDescent="0.35">
      <c r="A541" s="497" t="s">
        <v>5230</v>
      </c>
      <c r="B541" s="13" t="s">
        <v>5547</v>
      </c>
      <c r="C541" s="13" t="s">
        <v>3726</v>
      </c>
      <c r="D541" s="13" t="s">
        <v>7039</v>
      </c>
      <c r="E541" s="13" t="s">
        <v>3054</v>
      </c>
      <c r="F541" s="373">
        <v>20.939999999999998</v>
      </c>
      <c r="G541" s="631">
        <v>45291</v>
      </c>
      <c r="H541" s="633">
        <v>45268</v>
      </c>
      <c r="I541"/>
      <c r="J541"/>
      <c r="K541" s="11"/>
      <c r="L541"/>
      <c r="M541" s="37">
        <v>20.939999999999998</v>
      </c>
      <c r="N541" s="29">
        <v>10</v>
      </c>
      <c r="O541" s="143"/>
      <c r="P541" s="144"/>
      <c r="S541" s="145" t="s">
        <v>1017</v>
      </c>
      <c r="T541" s="145" t="s">
        <v>4179</v>
      </c>
      <c r="U541" s="146" t="s">
        <v>1017</v>
      </c>
      <c r="W541" s="147"/>
      <c r="X541" s="147"/>
      <c r="Y541" s="145" t="s">
        <v>1017</v>
      </c>
      <c r="Z541" s="147"/>
      <c r="AC541" s="147"/>
      <c r="AE541" s="148"/>
      <c r="AH541" s="166" t="s">
        <v>8229</v>
      </c>
      <c r="AI541" s="168" t="s">
        <v>4179</v>
      </c>
      <c r="AJ541" s="168" t="s">
        <v>4179</v>
      </c>
      <c r="AK541" s="168" t="s">
        <v>4179</v>
      </c>
      <c r="AL541" s="168" t="s">
        <v>4179</v>
      </c>
      <c r="AM541" s="168" t="s">
        <v>4179</v>
      </c>
      <c r="AN541" s="167" t="s">
        <v>8229</v>
      </c>
      <c r="AO541" s="167" t="s">
        <v>8229</v>
      </c>
      <c r="AP541" s="167" t="s">
        <v>8229</v>
      </c>
      <c r="AQ541" s="169" t="s">
        <v>4179</v>
      </c>
      <c r="AR541" s="170" t="s">
        <v>5230</v>
      </c>
      <c r="AS541" s="169" t="s">
        <v>4179</v>
      </c>
      <c r="AT541">
        <v>14</v>
      </c>
      <c r="AU541" s="170" t="s">
        <v>7039</v>
      </c>
      <c r="AV541" s="169" t="s">
        <v>4179</v>
      </c>
      <c r="AW541" s="170" t="s">
        <v>3054</v>
      </c>
      <c r="AX541" s="169" t="s">
        <v>4179</v>
      </c>
      <c r="AY541" t="s">
        <v>1017</v>
      </c>
      <c r="AZ541" t="s">
        <v>4179</v>
      </c>
    </row>
    <row r="542" spans="1:52" s="145" customFormat="1" x14ac:dyDescent="0.35">
      <c r="A542" s="511" t="s">
        <v>3537</v>
      </c>
      <c r="B542" s="173" t="s">
        <v>5547</v>
      </c>
      <c r="C542" s="173" t="s">
        <v>3726</v>
      </c>
      <c r="D542" s="173" t="s">
        <v>7040</v>
      </c>
      <c r="E542" s="173" t="s">
        <v>1980</v>
      </c>
      <c r="F542" s="374">
        <v>20.91</v>
      </c>
      <c r="G542" s="631">
        <v>45291</v>
      </c>
      <c r="H542" s="633">
        <v>45268</v>
      </c>
      <c r="I542"/>
      <c r="J542"/>
      <c r="K542" s="11"/>
      <c r="L542"/>
      <c r="M542" s="37">
        <v>20.91</v>
      </c>
      <c r="N542" s="29">
        <v>10</v>
      </c>
      <c r="O542" s="143"/>
      <c r="P542" s="144"/>
      <c r="S542" s="145" t="s">
        <v>4179</v>
      </c>
      <c r="T542" s="145" t="s">
        <v>1017</v>
      </c>
      <c r="U542" s="146" t="s">
        <v>1017</v>
      </c>
      <c r="W542" s="147"/>
      <c r="X542" s="147"/>
      <c r="Y542" s="145" t="s">
        <v>1017</v>
      </c>
      <c r="Z542" s="147"/>
      <c r="AC542" s="147"/>
      <c r="AE542" s="148"/>
      <c r="AH542" s="171" t="s">
        <v>4178</v>
      </c>
      <c r="AI542" s="168" t="s">
        <v>4179</v>
      </c>
      <c r="AJ542" s="168" t="s">
        <v>4179</v>
      </c>
      <c r="AK542" s="168" t="s">
        <v>4179</v>
      </c>
      <c r="AL542" s="168" t="s">
        <v>4179</v>
      </c>
      <c r="AM542" s="168" t="s">
        <v>4179</v>
      </c>
      <c r="AN542" s="167" t="s">
        <v>4178</v>
      </c>
      <c r="AO542" s="167" t="s">
        <v>4178</v>
      </c>
      <c r="AP542" s="167" t="s">
        <v>4178</v>
      </c>
      <c r="AQ542" s="169" t="s">
        <v>4179</v>
      </c>
      <c r="AR542" s="170" t="s">
        <v>3537</v>
      </c>
      <c r="AS542" s="169" t="s">
        <v>4179</v>
      </c>
      <c r="AT542">
        <v>14</v>
      </c>
      <c r="AU542" s="170" t="s">
        <v>7040</v>
      </c>
      <c r="AV542" s="169" t="s">
        <v>4179</v>
      </c>
      <c r="AW542" s="170" t="s">
        <v>1980</v>
      </c>
      <c r="AX542" s="169" t="s">
        <v>4179</v>
      </c>
      <c r="AY542" t="s">
        <v>4179</v>
      </c>
      <c r="AZ542" t="s">
        <v>1017</v>
      </c>
    </row>
    <row r="543" spans="1:52" s="145" customFormat="1" x14ac:dyDescent="0.35">
      <c r="A543" s="497" t="s">
        <v>1114</v>
      </c>
      <c r="B543" s="13" t="s">
        <v>5547</v>
      </c>
      <c r="C543" s="13" t="s">
        <v>3726</v>
      </c>
      <c r="D543" s="13" t="s">
        <v>7041</v>
      </c>
      <c r="E543" s="13" t="s">
        <v>4809</v>
      </c>
      <c r="F543" s="373">
        <v>18</v>
      </c>
      <c r="G543" s="631">
        <v>45291</v>
      </c>
      <c r="H543" s="633">
        <v>45268</v>
      </c>
      <c r="I543"/>
      <c r="J543"/>
      <c r="K543" s="11"/>
      <c r="L543"/>
      <c r="M543" s="37">
        <v>18</v>
      </c>
      <c r="N543" s="29">
        <v>10</v>
      </c>
      <c r="O543" s="143"/>
      <c r="P543" s="144"/>
      <c r="S543" s="145" t="s">
        <v>4179</v>
      </c>
      <c r="T543" s="145" t="s">
        <v>4179</v>
      </c>
      <c r="U543" s="146"/>
      <c r="W543" s="147"/>
      <c r="X543" s="147"/>
      <c r="Z543" s="147"/>
      <c r="AA543" s="145" t="s">
        <v>1017</v>
      </c>
      <c r="AC543" s="147"/>
      <c r="AE543" s="148"/>
      <c r="AH543" s="166" t="s">
        <v>4179</v>
      </c>
      <c r="AI543" s="168" t="s">
        <v>4179</v>
      </c>
      <c r="AJ543" s="168" t="s">
        <v>4179</v>
      </c>
      <c r="AK543" s="168" t="s">
        <v>4179</v>
      </c>
      <c r="AL543" s="168" t="s">
        <v>4179</v>
      </c>
      <c r="AM543" s="168" t="s">
        <v>4179</v>
      </c>
      <c r="AN543" s="167" t="s">
        <v>4179</v>
      </c>
      <c r="AO543" s="167" t="s">
        <v>4179</v>
      </c>
      <c r="AP543" s="167" t="s">
        <v>4179</v>
      </c>
      <c r="AQ543" s="169" t="s">
        <v>4179</v>
      </c>
      <c r="AR543" s="170" t="s">
        <v>1114</v>
      </c>
      <c r="AS543" s="169" t="s">
        <v>4179</v>
      </c>
      <c r="AT543">
        <v>14</v>
      </c>
      <c r="AU543" s="170" t="s">
        <v>7041</v>
      </c>
      <c r="AV543" s="169" t="s">
        <v>4179</v>
      </c>
      <c r="AW543" s="170" t="s">
        <v>4809</v>
      </c>
      <c r="AX543" s="169" t="s">
        <v>4179</v>
      </c>
      <c r="AY543" t="s">
        <v>4179</v>
      </c>
      <c r="AZ543" t="s">
        <v>4179</v>
      </c>
    </row>
    <row r="544" spans="1:52" s="145" customFormat="1" x14ac:dyDescent="0.35">
      <c r="A544" s="497" t="s">
        <v>1115</v>
      </c>
      <c r="B544" s="13" t="s">
        <v>5547</v>
      </c>
      <c r="C544" s="13" t="s">
        <v>3726</v>
      </c>
      <c r="D544" s="13" t="s">
        <v>7042</v>
      </c>
      <c r="E544" s="13" t="s">
        <v>4330</v>
      </c>
      <c r="F544" s="373">
        <v>21</v>
      </c>
      <c r="G544" s="631">
        <v>45291</v>
      </c>
      <c r="H544" s="633">
        <v>45268</v>
      </c>
      <c r="I544"/>
      <c r="J544"/>
      <c r="K544" s="11"/>
      <c r="L544"/>
      <c r="M544" s="37">
        <v>21</v>
      </c>
      <c r="N544" s="29">
        <v>10</v>
      </c>
      <c r="O544" s="143"/>
      <c r="P544" s="145" t="s">
        <v>1017</v>
      </c>
      <c r="S544" s="145" t="s">
        <v>4179</v>
      </c>
      <c r="T544" s="145" t="s">
        <v>4179</v>
      </c>
      <c r="U544" s="146"/>
      <c r="W544" s="147"/>
      <c r="X544" s="147"/>
      <c r="Z544" s="147"/>
      <c r="AA544" s="145" t="s">
        <v>1017</v>
      </c>
      <c r="AC544" s="147"/>
      <c r="AE544" s="148"/>
      <c r="AH544" s="166" t="s">
        <v>4179</v>
      </c>
      <c r="AI544" s="168" t="s">
        <v>4179</v>
      </c>
      <c r="AJ544" s="168" t="s">
        <v>4179</v>
      </c>
      <c r="AK544" s="168" t="s">
        <v>4179</v>
      </c>
      <c r="AL544" s="168" t="s">
        <v>4179</v>
      </c>
      <c r="AM544" s="168" t="s">
        <v>4179</v>
      </c>
      <c r="AN544" s="167" t="s">
        <v>4179</v>
      </c>
      <c r="AO544" s="167" t="s">
        <v>4179</v>
      </c>
      <c r="AP544" s="167" t="s">
        <v>4179</v>
      </c>
      <c r="AQ544" s="169" t="s">
        <v>4179</v>
      </c>
      <c r="AR544" s="170" t="s">
        <v>1115</v>
      </c>
      <c r="AS544" s="169" t="s">
        <v>4179</v>
      </c>
      <c r="AT544">
        <v>14</v>
      </c>
      <c r="AU544" s="170" t="s">
        <v>7042</v>
      </c>
      <c r="AV544" s="169" t="s">
        <v>4179</v>
      </c>
      <c r="AW544" s="170" t="s">
        <v>4330</v>
      </c>
      <c r="AX544" s="169" t="s">
        <v>4179</v>
      </c>
      <c r="AY544" t="s">
        <v>4179</v>
      </c>
      <c r="AZ544" t="s">
        <v>4179</v>
      </c>
    </row>
    <row r="545" spans="1:52" s="145" customFormat="1" x14ac:dyDescent="0.35">
      <c r="A545" s="497" t="s">
        <v>1116</v>
      </c>
      <c r="B545" s="13" t="s">
        <v>5547</v>
      </c>
      <c r="C545" s="13" t="s">
        <v>3726</v>
      </c>
      <c r="D545" s="13" t="s">
        <v>7043</v>
      </c>
      <c r="E545" s="13" t="s">
        <v>674</v>
      </c>
      <c r="F545" s="373">
        <v>21</v>
      </c>
      <c r="G545" s="631">
        <v>45291</v>
      </c>
      <c r="H545" s="633">
        <v>45268</v>
      </c>
      <c r="I545"/>
      <c r="J545"/>
      <c r="K545" s="11"/>
      <c r="L545"/>
      <c r="M545" s="37">
        <v>21</v>
      </c>
      <c r="N545" s="29">
        <v>10</v>
      </c>
      <c r="O545" s="143"/>
      <c r="P545" s="144"/>
      <c r="Q545" s="145" t="s">
        <v>1017</v>
      </c>
      <c r="S545" s="145" t="s">
        <v>4179</v>
      </c>
      <c r="T545" s="145" t="s">
        <v>4179</v>
      </c>
      <c r="U545" s="146"/>
      <c r="W545" s="147"/>
      <c r="X545" s="147"/>
      <c r="Z545" s="147"/>
      <c r="AA545" s="145" t="s">
        <v>1017</v>
      </c>
      <c r="AC545" s="147"/>
      <c r="AE545" s="148"/>
      <c r="AH545" s="166" t="s">
        <v>4179</v>
      </c>
      <c r="AI545" s="168" t="s">
        <v>4179</v>
      </c>
      <c r="AJ545" s="168" t="s">
        <v>4179</v>
      </c>
      <c r="AK545" s="168" t="s">
        <v>4179</v>
      </c>
      <c r="AL545" s="168" t="s">
        <v>4179</v>
      </c>
      <c r="AM545" s="168" t="s">
        <v>4179</v>
      </c>
      <c r="AN545" s="167" t="s">
        <v>4179</v>
      </c>
      <c r="AO545" s="167" t="s">
        <v>4179</v>
      </c>
      <c r="AP545" s="167" t="s">
        <v>4179</v>
      </c>
      <c r="AQ545" s="169" t="s">
        <v>4179</v>
      </c>
      <c r="AR545" s="170" t="s">
        <v>1116</v>
      </c>
      <c r="AS545" s="169" t="s">
        <v>4179</v>
      </c>
      <c r="AT545">
        <v>14</v>
      </c>
      <c r="AU545" s="170" t="s">
        <v>7043</v>
      </c>
      <c r="AV545" s="169" t="s">
        <v>4179</v>
      </c>
      <c r="AW545" s="170" t="s">
        <v>674</v>
      </c>
      <c r="AX545" s="169" t="s">
        <v>4179</v>
      </c>
      <c r="AY545" t="s">
        <v>4179</v>
      </c>
      <c r="AZ545" t="s">
        <v>4179</v>
      </c>
    </row>
    <row r="546" spans="1:52" s="145" customFormat="1" x14ac:dyDescent="0.35">
      <c r="A546" s="497" t="s">
        <v>1617</v>
      </c>
      <c r="B546" s="13" t="s">
        <v>5547</v>
      </c>
      <c r="C546" s="13" t="s">
        <v>3726</v>
      </c>
      <c r="D546" s="13" t="s">
        <v>7044</v>
      </c>
      <c r="E546" s="13" t="s">
        <v>3566</v>
      </c>
      <c r="F546" s="373">
        <v>20.97</v>
      </c>
      <c r="G546" s="631">
        <v>45291</v>
      </c>
      <c r="H546" s="633">
        <v>45268</v>
      </c>
      <c r="I546"/>
      <c r="J546"/>
      <c r="K546" s="11"/>
      <c r="L546"/>
      <c r="M546" s="37">
        <v>20.97</v>
      </c>
      <c r="N546" s="29">
        <v>10</v>
      </c>
      <c r="O546" s="143"/>
      <c r="P546" s="144"/>
      <c r="R546" s="145" t="s">
        <v>1017</v>
      </c>
      <c r="S546" s="145" t="s">
        <v>4179</v>
      </c>
      <c r="T546" s="145" t="s">
        <v>4179</v>
      </c>
      <c r="U546" s="146"/>
      <c r="W546" s="147"/>
      <c r="X546" s="147"/>
      <c r="Z546" s="147"/>
      <c r="AA546" s="145" t="s">
        <v>1017</v>
      </c>
      <c r="AC546" s="147"/>
      <c r="AE546" s="148"/>
      <c r="AH546" s="166" t="s">
        <v>8228</v>
      </c>
      <c r="AI546" s="168" t="s">
        <v>4179</v>
      </c>
      <c r="AJ546" s="168" t="s">
        <v>4179</v>
      </c>
      <c r="AK546" s="168" t="s">
        <v>4179</v>
      </c>
      <c r="AL546" s="168" t="s">
        <v>4179</v>
      </c>
      <c r="AM546" s="168" t="s">
        <v>4179</v>
      </c>
      <c r="AN546" s="167" t="s">
        <v>8228</v>
      </c>
      <c r="AO546" s="167" t="s">
        <v>8228</v>
      </c>
      <c r="AP546" s="167" t="s">
        <v>8228</v>
      </c>
      <c r="AQ546" s="169" t="s">
        <v>4179</v>
      </c>
      <c r="AR546" s="170" t="s">
        <v>1617</v>
      </c>
      <c r="AS546" s="169" t="s">
        <v>4179</v>
      </c>
      <c r="AT546">
        <v>14</v>
      </c>
      <c r="AU546" s="170" t="s">
        <v>7044</v>
      </c>
      <c r="AV546" s="169" t="s">
        <v>4179</v>
      </c>
      <c r="AW546" s="170" t="s">
        <v>3566</v>
      </c>
      <c r="AX546" s="169" t="s">
        <v>4179</v>
      </c>
      <c r="AY546" t="s">
        <v>4179</v>
      </c>
      <c r="AZ546" t="s">
        <v>4179</v>
      </c>
    </row>
    <row r="547" spans="1:52" s="145" customFormat="1" x14ac:dyDescent="0.35">
      <c r="A547" s="497" t="s">
        <v>5231</v>
      </c>
      <c r="B547" s="13" t="s">
        <v>5547</v>
      </c>
      <c r="C547" s="13" t="s">
        <v>3726</v>
      </c>
      <c r="D547" s="13" t="s">
        <v>7045</v>
      </c>
      <c r="E547" s="13" t="s">
        <v>3054</v>
      </c>
      <c r="F547" s="373">
        <v>20.939999999999998</v>
      </c>
      <c r="G547" s="631">
        <v>45291</v>
      </c>
      <c r="H547" s="633">
        <v>45268</v>
      </c>
      <c r="I547"/>
      <c r="J547"/>
      <c r="K547" s="11"/>
      <c r="L547"/>
      <c r="M547" s="37">
        <v>20.939999999999998</v>
      </c>
      <c r="N547" s="29">
        <v>10</v>
      </c>
      <c r="O547" s="143"/>
      <c r="P547" s="144"/>
      <c r="S547" s="145" t="s">
        <v>1017</v>
      </c>
      <c r="T547" s="145" t="s">
        <v>4179</v>
      </c>
      <c r="U547" s="146"/>
      <c r="W547" s="147"/>
      <c r="X547" s="147"/>
      <c r="Z547" s="147"/>
      <c r="AA547" s="145" t="s">
        <v>1017</v>
      </c>
      <c r="AC547" s="147"/>
      <c r="AE547" s="148"/>
      <c r="AH547" s="166" t="s">
        <v>8229</v>
      </c>
      <c r="AI547" s="168" t="s">
        <v>4179</v>
      </c>
      <c r="AJ547" s="168" t="s">
        <v>4179</v>
      </c>
      <c r="AK547" s="168" t="s">
        <v>4179</v>
      </c>
      <c r="AL547" s="168" t="s">
        <v>4179</v>
      </c>
      <c r="AM547" s="168" t="s">
        <v>4179</v>
      </c>
      <c r="AN547" s="167" t="s">
        <v>8229</v>
      </c>
      <c r="AO547" s="167" t="s">
        <v>8229</v>
      </c>
      <c r="AP547" s="167" t="s">
        <v>8229</v>
      </c>
      <c r="AQ547" s="169" t="s">
        <v>4179</v>
      </c>
      <c r="AR547" s="170" t="s">
        <v>5231</v>
      </c>
      <c r="AS547" s="169" t="s">
        <v>4179</v>
      </c>
      <c r="AT547">
        <v>14</v>
      </c>
      <c r="AU547" s="170" t="s">
        <v>7045</v>
      </c>
      <c r="AV547" s="169" t="s">
        <v>4179</v>
      </c>
      <c r="AW547" s="170" t="s">
        <v>3054</v>
      </c>
      <c r="AX547" s="169" t="s">
        <v>4179</v>
      </c>
      <c r="AY547" t="s">
        <v>1017</v>
      </c>
      <c r="AZ547" t="s">
        <v>4179</v>
      </c>
    </row>
    <row r="548" spans="1:52" s="145" customFormat="1" x14ac:dyDescent="0.35">
      <c r="A548" s="511" t="s">
        <v>3538</v>
      </c>
      <c r="B548" s="173" t="s">
        <v>5547</v>
      </c>
      <c r="C548" s="173" t="s">
        <v>3726</v>
      </c>
      <c r="D548" s="173" t="s">
        <v>7046</v>
      </c>
      <c r="E548" s="173" t="s">
        <v>1980</v>
      </c>
      <c r="F548" s="374">
        <v>20.91</v>
      </c>
      <c r="G548" s="631">
        <v>45291</v>
      </c>
      <c r="H548" s="633">
        <v>45268</v>
      </c>
      <c r="I548"/>
      <c r="J548"/>
      <c r="K548" s="11"/>
      <c r="L548"/>
      <c r="M548" s="37">
        <v>20.91</v>
      </c>
      <c r="N548" s="29">
        <v>10</v>
      </c>
      <c r="O548" s="143"/>
      <c r="P548" s="144"/>
      <c r="S548" s="145" t="s">
        <v>4179</v>
      </c>
      <c r="T548" s="145" t="s">
        <v>1017</v>
      </c>
      <c r="U548" s="146"/>
      <c r="W548" s="147"/>
      <c r="X548" s="147"/>
      <c r="Z548" s="147"/>
      <c r="AA548" s="145" t="s">
        <v>1017</v>
      </c>
      <c r="AC548" s="147"/>
      <c r="AE548" s="148"/>
      <c r="AH548" s="171" t="s">
        <v>4178</v>
      </c>
      <c r="AI548" s="168" t="s">
        <v>4179</v>
      </c>
      <c r="AJ548" s="168" t="s">
        <v>4179</v>
      </c>
      <c r="AK548" s="168" t="s">
        <v>4179</v>
      </c>
      <c r="AL548" s="168" t="s">
        <v>4179</v>
      </c>
      <c r="AM548" s="168" t="s">
        <v>4179</v>
      </c>
      <c r="AN548" s="167" t="s">
        <v>4178</v>
      </c>
      <c r="AO548" s="167" t="s">
        <v>4178</v>
      </c>
      <c r="AP548" s="167" t="s">
        <v>4178</v>
      </c>
      <c r="AQ548" s="169" t="s">
        <v>4179</v>
      </c>
      <c r="AR548" s="170" t="s">
        <v>3538</v>
      </c>
      <c r="AS548" s="169" t="s">
        <v>4179</v>
      </c>
      <c r="AT548">
        <v>14</v>
      </c>
      <c r="AU548" s="170" t="s">
        <v>7046</v>
      </c>
      <c r="AV548" s="169" t="s">
        <v>4179</v>
      </c>
      <c r="AW548" s="170" t="s">
        <v>1980</v>
      </c>
      <c r="AX548" s="169" t="s">
        <v>4179</v>
      </c>
      <c r="AY548" t="s">
        <v>4179</v>
      </c>
      <c r="AZ548" t="s">
        <v>1017</v>
      </c>
    </row>
    <row r="549" spans="1:52" s="145" customFormat="1" x14ac:dyDescent="0.35">
      <c r="A549" s="497" t="s">
        <v>1954</v>
      </c>
      <c r="B549" s="13" t="s">
        <v>5547</v>
      </c>
      <c r="C549" s="13" t="s">
        <v>3726</v>
      </c>
      <c r="D549" s="13" t="s">
        <v>7047</v>
      </c>
      <c r="E549" s="13" t="s">
        <v>4809</v>
      </c>
      <c r="F549" s="373">
        <v>19</v>
      </c>
      <c r="G549" s="631">
        <v>45291</v>
      </c>
      <c r="H549" s="633">
        <v>45268</v>
      </c>
      <c r="I549"/>
      <c r="J549"/>
      <c r="K549" s="11"/>
      <c r="L549"/>
      <c r="M549" s="37">
        <v>19</v>
      </c>
      <c r="N549" s="29">
        <v>10</v>
      </c>
      <c r="O549" s="143"/>
      <c r="P549" s="144"/>
      <c r="S549" s="145" t="s">
        <v>4179</v>
      </c>
      <c r="T549" s="145" t="s">
        <v>4179</v>
      </c>
      <c r="U549" s="146" t="s">
        <v>1017</v>
      </c>
      <c r="W549" s="147"/>
      <c r="X549" s="147"/>
      <c r="Z549" s="147"/>
      <c r="AA549" s="145" t="s">
        <v>1017</v>
      </c>
      <c r="AC549" s="147"/>
      <c r="AE549" s="148"/>
      <c r="AH549" s="166" t="s">
        <v>4179</v>
      </c>
      <c r="AI549" s="168" t="s">
        <v>4179</v>
      </c>
      <c r="AJ549" s="168" t="s">
        <v>4179</v>
      </c>
      <c r="AK549" s="168" t="s">
        <v>4179</v>
      </c>
      <c r="AL549" s="168" t="s">
        <v>4179</v>
      </c>
      <c r="AM549" s="168" t="s">
        <v>4179</v>
      </c>
      <c r="AN549" s="167" t="s">
        <v>4179</v>
      </c>
      <c r="AO549" s="167" t="s">
        <v>4179</v>
      </c>
      <c r="AP549" s="167" t="s">
        <v>4179</v>
      </c>
      <c r="AQ549" s="169" t="s">
        <v>4179</v>
      </c>
      <c r="AR549" s="170" t="s">
        <v>1954</v>
      </c>
      <c r="AS549" s="169" t="s">
        <v>4179</v>
      </c>
      <c r="AT549">
        <v>14</v>
      </c>
      <c r="AU549" s="170" t="s">
        <v>7047</v>
      </c>
      <c r="AV549" s="169" t="s">
        <v>4179</v>
      </c>
      <c r="AW549" s="170" t="s">
        <v>4809</v>
      </c>
      <c r="AX549" s="169" t="s">
        <v>4179</v>
      </c>
      <c r="AY549" t="s">
        <v>4179</v>
      </c>
      <c r="AZ549" t="s">
        <v>4179</v>
      </c>
    </row>
    <row r="550" spans="1:52" s="145" customFormat="1" x14ac:dyDescent="0.35">
      <c r="A550" s="497" t="s">
        <v>1955</v>
      </c>
      <c r="B550" s="13" t="s">
        <v>5547</v>
      </c>
      <c r="C550" s="13" t="s">
        <v>3726</v>
      </c>
      <c r="D550" s="88" t="s">
        <v>7048</v>
      </c>
      <c r="E550" s="13" t="s">
        <v>4330</v>
      </c>
      <c r="F550" s="373">
        <v>22</v>
      </c>
      <c r="G550" s="631">
        <v>45291</v>
      </c>
      <c r="H550" s="633">
        <v>45268</v>
      </c>
      <c r="I550"/>
      <c r="J550"/>
      <c r="K550" s="11"/>
      <c r="L550"/>
      <c r="M550" s="37">
        <v>22</v>
      </c>
      <c r="N550" s="29">
        <v>10</v>
      </c>
      <c r="O550" s="143"/>
      <c r="P550" s="145" t="s">
        <v>1017</v>
      </c>
      <c r="S550" s="145" t="s">
        <v>4179</v>
      </c>
      <c r="T550" s="145" t="s">
        <v>4179</v>
      </c>
      <c r="U550" s="146" t="s">
        <v>1017</v>
      </c>
      <c r="W550" s="147"/>
      <c r="X550" s="147"/>
      <c r="Z550" s="147"/>
      <c r="AA550" s="145" t="s">
        <v>1017</v>
      </c>
      <c r="AC550" s="147"/>
      <c r="AE550" s="148"/>
      <c r="AH550" s="166" t="s">
        <v>4179</v>
      </c>
      <c r="AI550" s="168" t="s">
        <v>4179</v>
      </c>
      <c r="AJ550" s="168" t="s">
        <v>4179</v>
      </c>
      <c r="AK550" s="168" t="s">
        <v>4179</v>
      </c>
      <c r="AL550" s="168" t="s">
        <v>4179</v>
      </c>
      <c r="AM550" s="168" t="s">
        <v>4179</v>
      </c>
      <c r="AN550" s="167" t="s">
        <v>4179</v>
      </c>
      <c r="AO550" s="167" t="s">
        <v>4179</v>
      </c>
      <c r="AP550" s="167" t="s">
        <v>4179</v>
      </c>
      <c r="AQ550" s="169" t="s">
        <v>4179</v>
      </c>
      <c r="AR550" s="170" t="s">
        <v>1955</v>
      </c>
      <c r="AS550" s="169" t="s">
        <v>4179</v>
      </c>
      <c r="AT550">
        <v>14</v>
      </c>
      <c r="AU550" s="170" t="s">
        <v>7048</v>
      </c>
      <c r="AV550" s="169" t="s">
        <v>4179</v>
      </c>
      <c r="AW550" s="170" t="s">
        <v>4330</v>
      </c>
      <c r="AX550" s="169" t="s">
        <v>4179</v>
      </c>
      <c r="AY550" t="s">
        <v>4179</v>
      </c>
      <c r="AZ550" t="s">
        <v>4179</v>
      </c>
    </row>
    <row r="551" spans="1:52" s="145" customFormat="1" x14ac:dyDescent="0.35">
      <c r="A551" s="497" t="s">
        <v>1956</v>
      </c>
      <c r="B551" s="13" t="s">
        <v>5547</v>
      </c>
      <c r="C551" s="13" t="s">
        <v>3726</v>
      </c>
      <c r="D551" s="13" t="s">
        <v>7049</v>
      </c>
      <c r="E551" s="13" t="s">
        <v>674</v>
      </c>
      <c r="F551" s="373">
        <v>22</v>
      </c>
      <c r="G551" s="631">
        <v>45291</v>
      </c>
      <c r="H551" s="633">
        <v>45268</v>
      </c>
      <c r="I551"/>
      <c r="J551"/>
      <c r="K551" s="11"/>
      <c r="L551"/>
      <c r="M551" s="37">
        <v>22</v>
      </c>
      <c r="N551" s="29">
        <v>10</v>
      </c>
      <c r="O551" s="143"/>
      <c r="P551" s="144"/>
      <c r="Q551" s="145" t="s">
        <v>1017</v>
      </c>
      <c r="S551" s="145" t="s">
        <v>4179</v>
      </c>
      <c r="T551" s="145" t="s">
        <v>4179</v>
      </c>
      <c r="U551" s="146" t="s">
        <v>1017</v>
      </c>
      <c r="W551" s="147"/>
      <c r="X551" s="147"/>
      <c r="Z551" s="147"/>
      <c r="AA551" s="145" t="s">
        <v>1017</v>
      </c>
      <c r="AC551" s="147"/>
      <c r="AE551" s="148"/>
      <c r="AH551" s="166" t="s">
        <v>4179</v>
      </c>
      <c r="AI551" s="168" t="s">
        <v>4179</v>
      </c>
      <c r="AJ551" s="168" t="s">
        <v>4179</v>
      </c>
      <c r="AK551" s="168" t="s">
        <v>4179</v>
      </c>
      <c r="AL551" s="168" t="s">
        <v>4179</v>
      </c>
      <c r="AM551" s="168" t="s">
        <v>4179</v>
      </c>
      <c r="AN551" s="167" t="s">
        <v>4179</v>
      </c>
      <c r="AO551" s="167" t="s">
        <v>4179</v>
      </c>
      <c r="AP551" s="167" t="s">
        <v>4179</v>
      </c>
      <c r="AQ551" s="169" t="s">
        <v>4179</v>
      </c>
      <c r="AR551" s="170" t="s">
        <v>1956</v>
      </c>
      <c r="AS551" s="169" t="s">
        <v>4179</v>
      </c>
      <c r="AT551">
        <v>14</v>
      </c>
      <c r="AU551" s="170" t="s">
        <v>7049</v>
      </c>
      <c r="AV551" s="169" t="s">
        <v>4179</v>
      </c>
      <c r="AW551" s="170" t="s">
        <v>674</v>
      </c>
      <c r="AX551" s="169" t="s">
        <v>4179</v>
      </c>
      <c r="AY551" t="s">
        <v>4179</v>
      </c>
      <c r="AZ551" t="s">
        <v>4179</v>
      </c>
    </row>
    <row r="552" spans="1:52" s="145" customFormat="1" x14ac:dyDescent="0.35">
      <c r="A552" s="497" t="s">
        <v>1618</v>
      </c>
      <c r="B552" s="13" t="s">
        <v>5547</v>
      </c>
      <c r="C552" s="13" t="s">
        <v>3726</v>
      </c>
      <c r="D552" s="13" t="s">
        <v>7050</v>
      </c>
      <c r="E552" s="13" t="s">
        <v>3566</v>
      </c>
      <c r="F552" s="373">
        <v>21.97</v>
      </c>
      <c r="G552" s="631">
        <v>45291</v>
      </c>
      <c r="H552" s="633">
        <v>45268</v>
      </c>
      <c r="I552"/>
      <c r="J552"/>
      <c r="K552" s="11"/>
      <c r="L552"/>
      <c r="M552" s="37">
        <v>21.97</v>
      </c>
      <c r="N552" s="29">
        <v>10</v>
      </c>
      <c r="O552" s="143"/>
      <c r="P552" s="144"/>
      <c r="R552" s="145" t="s">
        <v>1017</v>
      </c>
      <c r="S552" s="145" t="s">
        <v>4179</v>
      </c>
      <c r="T552" s="145" t="s">
        <v>4179</v>
      </c>
      <c r="U552" s="146" t="s">
        <v>1017</v>
      </c>
      <c r="W552" s="147"/>
      <c r="X552" s="147"/>
      <c r="Z552" s="147"/>
      <c r="AA552" s="145" t="s">
        <v>1017</v>
      </c>
      <c r="AC552" s="147"/>
      <c r="AE552" s="148"/>
      <c r="AH552" s="166" t="s">
        <v>8228</v>
      </c>
      <c r="AI552" s="168" t="s">
        <v>4179</v>
      </c>
      <c r="AJ552" s="168" t="s">
        <v>4179</v>
      </c>
      <c r="AK552" s="168" t="s">
        <v>4179</v>
      </c>
      <c r="AL552" s="168" t="s">
        <v>4179</v>
      </c>
      <c r="AM552" s="168" t="s">
        <v>4179</v>
      </c>
      <c r="AN552" s="167" t="s">
        <v>8228</v>
      </c>
      <c r="AO552" s="167" t="s">
        <v>8228</v>
      </c>
      <c r="AP552" s="167" t="s">
        <v>8228</v>
      </c>
      <c r="AQ552" s="169" t="s">
        <v>4179</v>
      </c>
      <c r="AR552" s="170" t="s">
        <v>1618</v>
      </c>
      <c r="AS552" s="169" t="s">
        <v>4179</v>
      </c>
      <c r="AT552">
        <v>14</v>
      </c>
      <c r="AU552" s="170" t="s">
        <v>7050</v>
      </c>
      <c r="AV552" s="169" t="s">
        <v>4179</v>
      </c>
      <c r="AW552" s="170" t="s">
        <v>3566</v>
      </c>
      <c r="AX552" s="169" t="s">
        <v>4179</v>
      </c>
      <c r="AY552" t="s">
        <v>4179</v>
      </c>
      <c r="AZ552" t="s">
        <v>4179</v>
      </c>
    </row>
    <row r="553" spans="1:52" s="145" customFormat="1" x14ac:dyDescent="0.35">
      <c r="A553" s="497" t="s">
        <v>5232</v>
      </c>
      <c r="B553" s="13" t="s">
        <v>5547</v>
      </c>
      <c r="C553" s="13" t="s">
        <v>3726</v>
      </c>
      <c r="D553" s="13" t="s">
        <v>7051</v>
      </c>
      <c r="E553" s="13" t="s">
        <v>3054</v>
      </c>
      <c r="F553" s="373">
        <v>21.939999999999998</v>
      </c>
      <c r="G553" s="631">
        <v>45291</v>
      </c>
      <c r="H553" s="633">
        <v>45268</v>
      </c>
      <c r="I553"/>
      <c r="J553"/>
      <c r="K553" s="11"/>
      <c r="L553"/>
      <c r="M553" s="37">
        <v>21.939999999999998</v>
      </c>
      <c r="N553" s="29">
        <v>10</v>
      </c>
      <c r="O553" s="143"/>
      <c r="P553" s="144"/>
      <c r="S553" s="145" t="s">
        <v>1017</v>
      </c>
      <c r="T553" s="145" t="s">
        <v>4179</v>
      </c>
      <c r="U553" s="146" t="s">
        <v>1017</v>
      </c>
      <c r="W553" s="147"/>
      <c r="X553" s="147"/>
      <c r="Z553" s="147"/>
      <c r="AA553" s="145" t="s">
        <v>1017</v>
      </c>
      <c r="AC553" s="147"/>
      <c r="AE553" s="148"/>
      <c r="AH553" s="166" t="s">
        <v>8229</v>
      </c>
      <c r="AI553" s="168" t="s">
        <v>4179</v>
      </c>
      <c r="AJ553" s="168" t="s">
        <v>4179</v>
      </c>
      <c r="AK553" s="168" t="s">
        <v>4179</v>
      </c>
      <c r="AL553" s="168" t="s">
        <v>4179</v>
      </c>
      <c r="AM553" s="168" t="s">
        <v>4179</v>
      </c>
      <c r="AN553" s="167" t="s">
        <v>8229</v>
      </c>
      <c r="AO553" s="167" t="s">
        <v>8229</v>
      </c>
      <c r="AP553" s="167" t="s">
        <v>8229</v>
      </c>
      <c r="AQ553" s="169" t="s">
        <v>4179</v>
      </c>
      <c r="AR553" s="170" t="s">
        <v>5232</v>
      </c>
      <c r="AS553" s="169" t="s">
        <v>4179</v>
      </c>
      <c r="AT553">
        <v>14</v>
      </c>
      <c r="AU553" s="170" t="s">
        <v>7051</v>
      </c>
      <c r="AV553" s="169" t="s">
        <v>4179</v>
      </c>
      <c r="AW553" s="170" t="s">
        <v>3054</v>
      </c>
      <c r="AX553" s="169" t="s">
        <v>4179</v>
      </c>
      <c r="AY553" t="s">
        <v>1017</v>
      </c>
      <c r="AZ553" t="s">
        <v>4179</v>
      </c>
    </row>
    <row r="554" spans="1:52" s="145" customFormat="1" x14ac:dyDescent="0.35">
      <c r="A554" s="511" t="s">
        <v>3539</v>
      </c>
      <c r="B554" s="173" t="s">
        <v>5547</v>
      </c>
      <c r="C554" s="173" t="s">
        <v>3726</v>
      </c>
      <c r="D554" s="173" t="s">
        <v>7052</v>
      </c>
      <c r="E554" s="173" t="s">
        <v>1980</v>
      </c>
      <c r="F554" s="374">
        <v>21.91</v>
      </c>
      <c r="G554" s="631">
        <v>45291</v>
      </c>
      <c r="H554" s="633">
        <v>45268</v>
      </c>
      <c r="I554"/>
      <c r="J554"/>
      <c r="K554" s="11"/>
      <c r="L554"/>
      <c r="M554" s="37">
        <v>21.91</v>
      </c>
      <c r="N554" s="29">
        <v>10</v>
      </c>
      <c r="O554" s="143"/>
      <c r="P554" s="144"/>
      <c r="S554" s="145" t="s">
        <v>4179</v>
      </c>
      <c r="T554" s="145" t="s">
        <v>1017</v>
      </c>
      <c r="U554" s="146" t="s">
        <v>1017</v>
      </c>
      <c r="W554" s="147"/>
      <c r="X554" s="147"/>
      <c r="Z554" s="147"/>
      <c r="AA554" s="145" t="s">
        <v>1017</v>
      </c>
      <c r="AC554" s="147"/>
      <c r="AE554" s="148"/>
      <c r="AH554" s="171" t="s">
        <v>4178</v>
      </c>
      <c r="AI554" s="168" t="s">
        <v>4179</v>
      </c>
      <c r="AJ554" s="168" t="s">
        <v>4179</v>
      </c>
      <c r="AK554" s="168" t="s">
        <v>4179</v>
      </c>
      <c r="AL554" s="168" t="s">
        <v>4179</v>
      </c>
      <c r="AM554" s="168" t="s">
        <v>4179</v>
      </c>
      <c r="AN554" s="167" t="s">
        <v>4178</v>
      </c>
      <c r="AO554" s="167" t="s">
        <v>4178</v>
      </c>
      <c r="AP554" s="167" t="s">
        <v>4178</v>
      </c>
      <c r="AQ554" s="169" t="s">
        <v>4179</v>
      </c>
      <c r="AR554" s="170" t="s">
        <v>3539</v>
      </c>
      <c r="AS554" s="169" t="s">
        <v>4179</v>
      </c>
      <c r="AT554">
        <v>14</v>
      </c>
      <c r="AU554" s="170" t="s">
        <v>7052</v>
      </c>
      <c r="AV554" s="169" t="s">
        <v>4179</v>
      </c>
      <c r="AW554" s="170" t="s">
        <v>1980</v>
      </c>
      <c r="AX554" s="169" t="s">
        <v>4179</v>
      </c>
      <c r="AY554" t="s">
        <v>4179</v>
      </c>
      <c r="AZ554" t="s">
        <v>1017</v>
      </c>
    </row>
    <row r="555" spans="1:52" s="145" customFormat="1" x14ac:dyDescent="0.35">
      <c r="A555" s="497" t="s">
        <v>1957</v>
      </c>
      <c r="B555" s="13" t="s">
        <v>5547</v>
      </c>
      <c r="C555" s="13" t="s">
        <v>3726</v>
      </c>
      <c r="D555" s="13" t="s">
        <v>7053</v>
      </c>
      <c r="E555" s="13" t="s">
        <v>4809</v>
      </c>
      <c r="F555" s="373">
        <v>19</v>
      </c>
      <c r="G555" s="631">
        <v>45291</v>
      </c>
      <c r="H555" s="633">
        <v>45268</v>
      </c>
      <c r="I555"/>
      <c r="J555"/>
      <c r="K555" s="11"/>
      <c r="L555"/>
      <c r="M555" s="37">
        <v>19</v>
      </c>
      <c r="N555" s="29">
        <v>10</v>
      </c>
      <c r="O555" s="143"/>
      <c r="P555" s="144"/>
      <c r="S555" s="145" t="s">
        <v>4179</v>
      </c>
      <c r="T555" s="145" t="s">
        <v>4179</v>
      </c>
      <c r="U555" s="146"/>
      <c r="W555" s="147"/>
      <c r="X555" s="147"/>
      <c r="Z555" s="147"/>
      <c r="AB555" s="145" t="s">
        <v>1017</v>
      </c>
      <c r="AC555" s="147"/>
      <c r="AE555" s="148"/>
      <c r="AH555" s="166" t="s">
        <v>4179</v>
      </c>
      <c r="AI555" s="168" t="s">
        <v>4179</v>
      </c>
      <c r="AJ555" s="168" t="s">
        <v>4179</v>
      </c>
      <c r="AK555" s="168" t="s">
        <v>4179</v>
      </c>
      <c r="AL555" s="168" t="s">
        <v>4179</v>
      </c>
      <c r="AM555" s="168" t="s">
        <v>4179</v>
      </c>
      <c r="AN555" s="167" t="s">
        <v>4179</v>
      </c>
      <c r="AO555" s="167" t="s">
        <v>4179</v>
      </c>
      <c r="AP555" s="167" t="s">
        <v>4179</v>
      </c>
      <c r="AQ555" s="169" t="s">
        <v>4179</v>
      </c>
      <c r="AR555" s="170" t="s">
        <v>1957</v>
      </c>
      <c r="AS555" s="169" t="s">
        <v>4179</v>
      </c>
      <c r="AT555">
        <v>14</v>
      </c>
      <c r="AU555" s="170" t="s">
        <v>7053</v>
      </c>
      <c r="AV555" s="169" t="s">
        <v>4179</v>
      </c>
      <c r="AW555" s="170" t="s">
        <v>4809</v>
      </c>
      <c r="AX555" s="169" t="s">
        <v>4179</v>
      </c>
      <c r="AY555" t="s">
        <v>4179</v>
      </c>
      <c r="AZ555" t="s">
        <v>4179</v>
      </c>
    </row>
    <row r="556" spans="1:52" s="145" customFormat="1" x14ac:dyDescent="0.35">
      <c r="A556" s="497" t="s">
        <v>1958</v>
      </c>
      <c r="B556" s="13" t="s">
        <v>5547</v>
      </c>
      <c r="C556" s="13" t="s">
        <v>3726</v>
      </c>
      <c r="D556" s="13" t="s">
        <v>7054</v>
      </c>
      <c r="E556" s="13" t="s">
        <v>4330</v>
      </c>
      <c r="F556" s="373">
        <v>22</v>
      </c>
      <c r="G556" s="631">
        <v>45291</v>
      </c>
      <c r="H556" s="633">
        <v>45268</v>
      </c>
      <c r="I556"/>
      <c r="J556"/>
      <c r="K556" s="11"/>
      <c r="L556"/>
      <c r="M556" s="37">
        <v>22</v>
      </c>
      <c r="N556" s="29">
        <v>10</v>
      </c>
      <c r="O556" s="143"/>
      <c r="P556" s="145" t="s">
        <v>1017</v>
      </c>
      <c r="S556" s="145" t="s">
        <v>4179</v>
      </c>
      <c r="T556" s="145" t="s">
        <v>4179</v>
      </c>
      <c r="U556" s="146"/>
      <c r="W556" s="147"/>
      <c r="X556" s="147"/>
      <c r="Z556" s="147"/>
      <c r="AB556" s="145" t="s">
        <v>1017</v>
      </c>
      <c r="AC556" s="147"/>
      <c r="AE556" s="148"/>
      <c r="AH556" s="166" t="s">
        <v>4179</v>
      </c>
      <c r="AI556" s="168" t="s">
        <v>4179</v>
      </c>
      <c r="AJ556" s="168" t="s">
        <v>4179</v>
      </c>
      <c r="AK556" s="168" t="s">
        <v>4179</v>
      </c>
      <c r="AL556" s="168" t="s">
        <v>4179</v>
      </c>
      <c r="AM556" s="168" t="s">
        <v>4179</v>
      </c>
      <c r="AN556" s="167" t="s">
        <v>4179</v>
      </c>
      <c r="AO556" s="167" t="s">
        <v>4179</v>
      </c>
      <c r="AP556" s="167" t="s">
        <v>4179</v>
      </c>
      <c r="AQ556" s="169" t="s">
        <v>4179</v>
      </c>
      <c r="AR556" s="170" t="s">
        <v>1958</v>
      </c>
      <c r="AS556" s="169" t="s">
        <v>4179</v>
      </c>
      <c r="AT556">
        <v>14</v>
      </c>
      <c r="AU556" s="170" t="s">
        <v>7054</v>
      </c>
      <c r="AV556" s="169" t="s">
        <v>4179</v>
      </c>
      <c r="AW556" s="170" t="s">
        <v>4330</v>
      </c>
      <c r="AX556" s="169" t="s">
        <v>4179</v>
      </c>
      <c r="AY556" t="s">
        <v>4179</v>
      </c>
      <c r="AZ556" t="s">
        <v>4179</v>
      </c>
    </row>
    <row r="557" spans="1:52" s="145" customFormat="1" x14ac:dyDescent="0.35">
      <c r="A557" s="497" t="s">
        <v>4854</v>
      </c>
      <c r="B557" s="13" t="s">
        <v>5547</v>
      </c>
      <c r="C557" s="13" t="s">
        <v>3726</v>
      </c>
      <c r="D557" s="13" t="s">
        <v>7055</v>
      </c>
      <c r="E557" s="13" t="s">
        <v>674</v>
      </c>
      <c r="F557" s="373">
        <v>22</v>
      </c>
      <c r="G557" s="631">
        <v>45291</v>
      </c>
      <c r="H557" s="633">
        <v>45268</v>
      </c>
      <c r="I557"/>
      <c r="J557"/>
      <c r="K557" s="11"/>
      <c r="L557"/>
      <c r="M557" s="37">
        <v>22</v>
      </c>
      <c r="N557" s="29">
        <v>10</v>
      </c>
      <c r="O557" s="143"/>
      <c r="P557" s="144"/>
      <c r="Q557" s="145" t="s">
        <v>1017</v>
      </c>
      <c r="S557" s="145" t="s">
        <v>4179</v>
      </c>
      <c r="T557" s="145" t="s">
        <v>4179</v>
      </c>
      <c r="U557" s="146"/>
      <c r="W557" s="147"/>
      <c r="X557" s="147"/>
      <c r="Z557" s="147"/>
      <c r="AB557" s="145" t="s">
        <v>1017</v>
      </c>
      <c r="AC557" s="147"/>
      <c r="AE557" s="148"/>
      <c r="AH557" s="166" t="s">
        <v>4179</v>
      </c>
      <c r="AI557" s="168" t="s">
        <v>4179</v>
      </c>
      <c r="AJ557" s="168" t="s">
        <v>4179</v>
      </c>
      <c r="AK557" s="168" t="s">
        <v>4179</v>
      </c>
      <c r="AL557" s="168" t="s">
        <v>4179</v>
      </c>
      <c r="AM557" s="168" t="s">
        <v>4179</v>
      </c>
      <c r="AN557" s="167" t="s">
        <v>4179</v>
      </c>
      <c r="AO557" s="167" t="s">
        <v>4179</v>
      </c>
      <c r="AP557" s="167" t="s">
        <v>4179</v>
      </c>
      <c r="AQ557" s="169" t="s">
        <v>4179</v>
      </c>
      <c r="AR557" s="170" t="s">
        <v>4854</v>
      </c>
      <c r="AS557" s="169" t="s">
        <v>4179</v>
      </c>
      <c r="AT557">
        <v>14</v>
      </c>
      <c r="AU557" s="170" t="s">
        <v>7055</v>
      </c>
      <c r="AV557" s="169" t="s">
        <v>4179</v>
      </c>
      <c r="AW557" s="170" t="s">
        <v>674</v>
      </c>
      <c r="AX557" s="169" t="s">
        <v>4179</v>
      </c>
      <c r="AY557" t="s">
        <v>4179</v>
      </c>
      <c r="AZ557" t="s">
        <v>4179</v>
      </c>
    </row>
    <row r="558" spans="1:52" s="145" customFormat="1" x14ac:dyDescent="0.35">
      <c r="A558" s="497" t="s">
        <v>1619</v>
      </c>
      <c r="B558" s="13" t="s">
        <v>5547</v>
      </c>
      <c r="C558" s="13" t="s">
        <v>3726</v>
      </c>
      <c r="D558" s="13" t="s">
        <v>7056</v>
      </c>
      <c r="E558" s="13" t="s">
        <v>3566</v>
      </c>
      <c r="F558" s="373">
        <v>21.97</v>
      </c>
      <c r="G558" s="631">
        <v>45291</v>
      </c>
      <c r="H558" s="633">
        <v>45268</v>
      </c>
      <c r="I558"/>
      <c r="J558"/>
      <c r="K558" s="11"/>
      <c r="L558"/>
      <c r="M558" s="37">
        <v>21.97</v>
      </c>
      <c r="N558" s="29">
        <v>10</v>
      </c>
      <c r="O558" s="143"/>
      <c r="P558" s="144"/>
      <c r="R558" s="145" t="s">
        <v>1017</v>
      </c>
      <c r="S558" s="145" t="s">
        <v>4179</v>
      </c>
      <c r="T558" s="145" t="s">
        <v>4179</v>
      </c>
      <c r="U558" s="146"/>
      <c r="W558" s="147"/>
      <c r="X558" s="147"/>
      <c r="Z558" s="147"/>
      <c r="AB558" s="145" t="s">
        <v>1017</v>
      </c>
      <c r="AC558" s="147"/>
      <c r="AE558" s="148"/>
      <c r="AH558" s="166" t="s">
        <v>8228</v>
      </c>
      <c r="AI558" s="168" t="s">
        <v>4179</v>
      </c>
      <c r="AJ558" s="168" t="s">
        <v>4179</v>
      </c>
      <c r="AK558" s="168" t="s">
        <v>4179</v>
      </c>
      <c r="AL558" s="168" t="s">
        <v>4179</v>
      </c>
      <c r="AM558" s="168" t="s">
        <v>4179</v>
      </c>
      <c r="AN558" s="167" t="s">
        <v>8228</v>
      </c>
      <c r="AO558" s="167" t="s">
        <v>8228</v>
      </c>
      <c r="AP558" s="167" t="s">
        <v>8228</v>
      </c>
      <c r="AQ558" s="169" t="s">
        <v>4179</v>
      </c>
      <c r="AR558" s="170" t="s">
        <v>1619</v>
      </c>
      <c r="AS558" s="169" t="s">
        <v>4179</v>
      </c>
      <c r="AT558">
        <v>14</v>
      </c>
      <c r="AU558" s="170" t="s">
        <v>7056</v>
      </c>
      <c r="AV558" s="169" t="s">
        <v>4179</v>
      </c>
      <c r="AW558" s="170" t="s">
        <v>3566</v>
      </c>
      <c r="AX558" s="169" t="s">
        <v>4179</v>
      </c>
      <c r="AY558" t="s">
        <v>4179</v>
      </c>
      <c r="AZ558" t="s">
        <v>4179</v>
      </c>
    </row>
    <row r="559" spans="1:52" s="145" customFormat="1" x14ac:dyDescent="0.35">
      <c r="A559" s="497" t="s">
        <v>5233</v>
      </c>
      <c r="B559" s="13" t="s">
        <v>5547</v>
      </c>
      <c r="C559" s="13" t="s">
        <v>3726</v>
      </c>
      <c r="D559" s="13" t="s">
        <v>7057</v>
      </c>
      <c r="E559" s="13" t="s">
        <v>3054</v>
      </c>
      <c r="F559" s="373">
        <v>21.939999999999998</v>
      </c>
      <c r="G559" s="631">
        <v>45291</v>
      </c>
      <c r="H559" s="633">
        <v>45268</v>
      </c>
      <c r="I559"/>
      <c r="J559"/>
      <c r="K559" s="11"/>
      <c r="L559"/>
      <c r="M559" s="37">
        <v>21.939999999999998</v>
      </c>
      <c r="N559" s="29">
        <v>10</v>
      </c>
      <c r="O559" s="143"/>
      <c r="P559" s="144"/>
      <c r="S559" s="145" t="s">
        <v>1017</v>
      </c>
      <c r="T559" s="145" t="s">
        <v>4179</v>
      </c>
      <c r="U559" s="146"/>
      <c r="W559" s="147"/>
      <c r="X559" s="147"/>
      <c r="Z559" s="147"/>
      <c r="AB559" s="145" t="s">
        <v>1017</v>
      </c>
      <c r="AC559" s="147"/>
      <c r="AE559" s="148"/>
      <c r="AH559" s="166" t="s">
        <v>8229</v>
      </c>
      <c r="AI559" s="168" t="s">
        <v>4179</v>
      </c>
      <c r="AJ559" s="168" t="s">
        <v>4179</v>
      </c>
      <c r="AK559" s="168" t="s">
        <v>4179</v>
      </c>
      <c r="AL559" s="168" t="s">
        <v>4179</v>
      </c>
      <c r="AM559" s="168" t="s">
        <v>4179</v>
      </c>
      <c r="AN559" s="167" t="s">
        <v>8229</v>
      </c>
      <c r="AO559" s="167" t="s">
        <v>8229</v>
      </c>
      <c r="AP559" s="167" t="s">
        <v>8229</v>
      </c>
      <c r="AQ559" s="169" t="s">
        <v>4179</v>
      </c>
      <c r="AR559" s="170" t="s">
        <v>5233</v>
      </c>
      <c r="AS559" s="169" t="s">
        <v>4179</v>
      </c>
      <c r="AT559">
        <v>14</v>
      </c>
      <c r="AU559" s="170" t="s">
        <v>7057</v>
      </c>
      <c r="AV559" s="169" t="s">
        <v>4179</v>
      </c>
      <c r="AW559" s="170" t="s">
        <v>3054</v>
      </c>
      <c r="AX559" s="169" t="s">
        <v>4179</v>
      </c>
      <c r="AY559" t="s">
        <v>1017</v>
      </c>
      <c r="AZ559" t="s">
        <v>4179</v>
      </c>
    </row>
    <row r="560" spans="1:52" s="145" customFormat="1" x14ac:dyDescent="0.35">
      <c r="A560" s="511" t="s">
        <v>3540</v>
      </c>
      <c r="B560" s="173" t="s">
        <v>5547</v>
      </c>
      <c r="C560" s="173" t="s">
        <v>3726</v>
      </c>
      <c r="D560" s="173" t="s">
        <v>7058</v>
      </c>
      <c r="E560" s="173" t="s">
        <v>1980</v>
      </c>
      <c r="F560" s="374">
        <v>21.91</v>
      </c>
      <c r="G560" s="631">
        <v>45291</v>
      </c>
      <c r="H560" s="633">
        <v>45268</v>
      </c>
      <c r="I560"/>
      <c r="J560"/>
      <c r="K560" s="11"/>
      <c r="L560"/>
      <c r="M560" s="37">
        <v>21.91</v>
      </c>
      <c r="N560" s="29">
        <v>10</v>
      </c>
      <c r="O560" s="143"/>
      <c r="P560" s="144"/>
      <c r="S560" s="145" t="s">
        <v>4179</v>
      </c>
      <c r="T560" s="145" t="s">
        <v>1017</v>
      </c>
      <c r="U560" s="146"/>
      <c r="W560" s="147"/>
      <c r="X560" s="147"/>
      <c r="Z560" s="147"/>
      <c r="AB560" s="145" t="s">
        <v>1017</v>
      </c>
      <c r="AC560" s="147"/>
      <c r="AE560" s="148"/>
      <c r="AH560" s="171" t="s">
        <v>4178</v>
      </c>
      <c r="AI560" s="168" t="s">
        <v>4179</v>
      </c>
      <c r="AJ560" s="168" t="s">
        <v>4179</v>
      </c>
      <c r="AK560" s="168" t="s">
        <v>4179</v>
      </c>
      <c r="AL560" s="168" t="s">
        <v>4179</v>
      </c>
      <c r="AM560" s="168" t="s">
        <v>4179</v>
      </c>
      <c r="AN560" s="167" t="s">
        <v>4178</v>
      </c>
      <c r="AO560" s="167" t="s">
        <v>4178</v>
      </c>
      <c r="AP560" s="167" t="s">
        <v>4178</v>
      </c>
      <c r="AQ560" s="169" t="s">
        <v>4179</v>
      </c>
      <c r="AR560" s="170" t="s">
        <v>3540</v>
      </c>
      <c r="AS560" s="169" t="s">
        <v>4179</v>
      </c>
      <c r="AT560">
        <v>14</v>
      </c>
      <c r="AU560" s="170" t="s">
        <v>7058</v>
      </c>
      <c r="AV560" s="169" t="s">
        <v>4179</v>
      </c>
      <c r="AW560" s="170" t="s">
        <v>1980</v>
      </c>
      <c r="AX560" s="169" t="s">
        <v>4179</v>
      </c>
      <c r="AY560" t="s">
        <v>4179</v>
      </c>
      <c r="AZ560" t="s">
        <v>1017</v>
      </c>
    </row>
    <row r="561" spans="1:52" s="145" customFormat="1" x14ac:dyDescent="0.35">
      <c r="A561" s="497" t="s">
        <v>4855</v>
      </c>
      <c r="B561" s="13" t="s">
        <v>5547</v>
      </c>
      <c r="C561" s="13" t="s">
        <v>3726</v>
      </c>
      <c r="D561" s="13" t="s">
        <v>7059</v>
      </c>
      <c r="E561" s="13" t="s">
        <v>4809</v>
      </c>
      <c r="F561" s="373">
        <v>20</v>
      </c>
      <c r="G561" s="631">
        <v>45291</v>
      </c>
      <c r="H561" s="633">
        <v>45268</v>
      </c>
      <c r="I561"/>
      <c r="J561"/>
      <c r="K561" s="11"/>
      <c r="L561"/>
      <c r="M561" s="37">
        <v>20</v>
      </c>
      <c r="N561" s="29">
        <v>10</v>
      </c>
      <c r="O561" s="143"/>
      <c r="P561" s="144"/>
      <c r="S561" s="145" t="s">
        <v>4179</v>
      </c>
      <c r="T561" s="145" t="s">
        <v>4179</v>
      </c>
      <c r="U561" s="146" t="s">
        <v>1017</v>
      </c>
      <c r="W561" s="147"/>
      <c r="X561" s="147"/>
      <c r="Z561" s="147"/>
      <c r="AB561" s="145" t="s">
        <v>1017</v>
      </c>
      <c r="AC561" s="147"/>
      <c r="AE561" s="148"/>
      <c r="AH561" s="166" t="s">
        <v>4179</v>
      </c>
      <c r="AI561" s="168" t="s">
        <v>4179</v>
      </c>
      <c r="AJ561" s="168" t="s">
        <v>4179</v>
      </c>
      <c r="AK561" s="168" t="s">
        <v>4179</v>
      </c>
      <c r="AL561" s="168" t="s">
        <v>4179</v>
      </c>
      <c r="AM561" s="168" t="s">
        <v>4179</v>
      </c>
      <c r="AN561" s="167" t="s">
        <v>4179</v>
      </c>
      <c r="AO561" s="167" t="s">
        <v>4179</v>
      </c>
      <c r="AP561" s="167" t="s">
        <v>4179</v>
      </c>
      <c r="AQ561" s="169" t="s">
        <v>4179</v>
      </c>
      <c r="AR561" s="170" t="s">
        <v>4855</v>
      </c>
      <c r="AS561" s="169" t="s">
        <v>4179</v>
      </c>
      <c r="AT561">
        <v>14</v>
      </c>
      <c r="AU561" s="170" t="s">
        <v>7059</v>
      </c>
      <c r="AV561" s="169" t="s">
        <v>4179</v>
      </c>
      <c r="AW561" s="170" t="s">
        <v>4809</v>
      </c>
      <c r="AX561" s="169" t="s">
        <v>4179</v>
      </c>
      <c r="AY561" t="s">
        <v>4179</v>
      </c>
      <c r="AZ561" t="s">
        <v>4179</v>
      </c>
    </row>
    <row r="562" spans="1:52" s="145" customFormat="1" x14ac:dyDescent="0.35">
      <c r="A562" s="497" t="s">
        <v>4856</v>
      </c>
      <c r="B562" s="13" t="s">
        <v>5547</v>
      </c>
      <c r="C562" s="13" t="s">
        <v>3726</v>
      </c>
      <c r="D562" s="88" t="s">
        <v>7060</v>
      </c>
      <c r="E562" s="13" t="s">
        <v>4330</v>
      </c>
      <c r="F562" s="373">
        <v>23</v>
      </c>
      <c r="G562" s="631">
        <v>45291</v>
      </c>
      <c r="H562" s="633">
        <v>45268</v>
      </c>
      <c r="I562"/>
      <c r="J562"/>
      <c r="K562" s="11"/>
      <c r="L562"/>
      <c r="M562" s="37">
        <v>23</v>
      </c>
      <c r="N562" s="29">
        <v>10</v>
      </c>
      <c r="O562" s="143"/>
      <c r="P562" s="145" t="s">
        <v>1017</v>
      </c>
      <c r="S562" s="145" t="s">
        <v>4179</v>
      </c>
      <c r="T562" s="145" t="s">
        <v>4179</v>
      </c>
      <c r="U562" s="146" t="s">
        <v>1017</v>
      </c>
      <c r="W562" s="147"/>
      <c r="X562" s="147"/>
      <c r="Z562" s="147"/>
      <c r="AB562" s="145" t="s">
        <v>1017</v>
      </c>
      <c r="AC562" s="147"/>
      <c r="AE562" s="148"/>
      <c r="AH562" s="166" t="s">
        <v>4179</v>
      </c>
      <c r="AI562" s="168" t="s">
        <v>4179</v>
      </c>
      <c r="AJ562" s="168" t="s">
        <v>4179</v>
      </c>
      <c r="AK562" s="168" t="s">
        <v>4179</v>
      </c>
      <c r="AL562" s="168" t="s">
        <v>4179</v>
      </c>
      <c r="AM562" s="168" t="s">
        <v>4179</v>
      </c>
      <c r="AN562" s="167" t="s">
        <v>4179</v>
      </c>
      <c r="AO562" s="167" t="s">
        <v>4179</v>
      </c>
      <c r="AP562" s="167" t="s">
        <v>4179</v>
      </c>
      <c r="AQ562" s="169" t="s">
        <v>4179</v>
      </c>
      <c r="AR562" s="170" t="s">
        <v>4856</v>
      </c>
      <c r="AS562" s="169" t="s">
        <v>4179</v>
      </c>
      <c r="AT562">
        <v>14</v>
      </c>
      <c r="AU562" s="170" t="s">
        <v>7060</v>
      </c>
      <c r="AV562" s="169" t="s">
        <v>4179</v>
      </c>
      <c r="AW562" s="170" t="s">
        <v>4330</v>
      </c>
      <c r="AX562" s="169" t="s">
        <v>4179</v>
      </c>
      <c r="AY562" t="s">
        <v>4179</v>
      </c>
      <c r="AZ562" t="s">
        <v>4179</v>
      </c>
    </row>
    <row r="563" spans="1:52" s="145" customFormat="1" x14ac:dyDescent="0.35">
      <c r="A563" s="497" t="s">
        <v>4857</v>
      </c>
      <c r="B563" s="13" t="s">
        <v>5547</v>
      </c>
      <c r="C563" s="13" t="s">
        <v>3726</v>
      </c>
      <c r="D563" s="13" t="s">
        <v>7061</v>
      </c>
      <c r="E563" s="13" t="s">
        <v>674</v>
      </c>
      <c r="F563" s="373">
        <v>23</v>
      </c>
      <c r="G563" s="631">
        <v>45291</v>
      </c>
      <c r="H563" s="633">
        <v>45268</v>
      </c>
      <c r="I563"/>
      <c r="J563"/>
      <c r="K563" s="11"/>
      <c r="L563"/>
      <c r="M563" s="37">
        <v>23</v>
      </c>
      <c r="N563" s="29">
        <v>10</v>
      </c>
      <c r="O563" s="143"/>
      <c r="P563" s="144"/>
      <c r="Q563" s="145" t="s">
        <v>1017</v>
      </c>
      <c r="S563" s="145" t="s">
        <v>4179</v>
      </c>
      <c r="T563" s="145" t="s">
        <v>4179</v>
      </c>
      <c r="U563" s="146" t="s">
        <v>1017</v>
      </c>
      <c r="W563" s="147"/>
      <c r="X563" s="147"/>
      <c r="Z563" s="147"/>
      <c r="AB563" s="145" t="s">
        <v>1017</v>
      </c>
      <c r="AC563" s="147"/>
      <c r="AE563" s="148"/>
      <c r="AH563" s="166" t="s">
        <v>4179</v>
      </c>
      <c r="AI563" s="168" t="s">
        <v>4179</v>
      </c>
      <c r="AJ563" s="168" t="s">
        <v>4179</v>
      </c>
      <c r="AK563" s="168" t="s">
        <v>4179</v>
      </c>
      <c r="AL563" s="168" t="s">
        <v>4179</v>
      </c>
      <c r="AM563" s="168" t="s">
        <v>4179</v>
      </c>
      <c r="AN563" s="167" t="s">
        <v>4179</v>
      </c>
      <c r="AO563" s="167" t="s">
        <v>4179</v>
      </c>
      <c r="AP563" s="167" t="s">
        <v>4179</v>
      </c>
      <c r="AQ563" s="169" t="s">
        <v>4179</v>
      </c>
      <c r="AR563" s="170" t="s">
        <v>4857</v>
      </c>
      <c r="AS563" s="169" t="s">
        <v>4179</v>
      </c>
      <c r="AT563">
        <v>14</v>
      </c>
      <c r="AU563" s="170" t="s">
        <v>7061</v>
      </c>
      <c r="AV563" s="169" t="s">
        <v>4179</v>
      </c>
      <c r="AW563" s="170" t="s">
        <v>674</v>
      </c>
      <c r="AX563" s="169" t="s">
        <v>4179</v>
      </c>
      <c r="AY563" t="s">
        <v>4179</v>
      </c>
      <c r="AZ563" t="s">
        <v>4179</v>
      </c>
    </row>
    <row r="564" spans="1:52" s="145" customFormat="1" x14ac:dyDescent="0.35">
      <c r="A564" s="497" t="s">
        <v>1620</v>
      </c>
      <c r="B564" s="13" t="s">
        <v>5547</v>
      </c>
      <c r="C564" s="13" t="s">
        <v>3726</v>
      </c>
      <c r="D564" s="13" t="s">
        <v>7062</v>
      </c>
      <c r="E564" s="13" t="s">
        <v>3566</v>
      </c>
      <c r="F564" s="373">
        <v>22.97</v>
      </c>
      <c r="G564" s="631">
        <v>45291</v>
      </c>
      <c r="H564" s="633">
        <v>45268</v>
      </c>
      <c r="I564"/>
      <c r="J564"/>
      <c r="K564" s="11"/>
      <c r="L564"/>
      <c r="M564" s="37">
        <v>22.97</v>
      </c>
      <c r="N564" s="29">
        <v>10</v>
      </c>
      <c r="O564" s="143"/>
      <c r="P564" s="144"/>
      <c r="R564" s="145" t="s">
        <v>1017</v>
      </c>
      <c r="S564" s="145" t="s">
        <v>4179</v>
      </c>
      <c r="T564" s="145" t="s">
        <v>4179</v>
      </c>
      <c r="U564" s="146" t="s">
        <v>1017</v>
      </c>
      <c r="W564" s="147"/>
      <c r="X564" s="147"/>
      <c r="Z564" s="147"/>
      <c r="AB564" s="145" t="s">
        <v>1017</v>
      </c>
      <c r="AC564" s="147"/>
      <c r="AE564" s="148"/>
      <c r="AH564" s="166" t="s">
        <v>8228</v>
      </c>
      <c r="AI564" s="168" t="s">
        <v>4179</v>
      </c>
      <c r="AJ564" s="168" t="s">
        <v>4179</v>
      </c>
      <c r="AK564" s="168" t="s">
        <v>4179</v>
      </c>
      <c r="AL564" s="168" t="s">
        <v>4179</v>
      </c>
      <c r="AM564" s="168" t="s">
        <v>4179</v>
      </c>
      <c r="AN564" s="167" t="s">
        <v>8228</v>
      </c>
      <c r="AO564" s="167" t="s">
        <v>8228</v>
      </c>
      <c r="AP564" s="167" t="s">
        <v>8228</v>
      </c>
      <c r="AQ564" s="169" t="s">
        <v>4179</v>
      </c>
      <c r="AR564" s="170" t="s">
        <v>1620</v>
      </c>
      <c r="AS564" s="169" t="s">
        <v>4179</v>
      </c>
      <c r="AT564">
        <v>14</v>
      </c>
      <c r="AU564" s="170" t="s">
        <v>7062</v>
      </c>
      <c r="AV564" s="169" t="s">
        <v>4179</v>
      </c>
      <c r="AW564" s="170" t="s">
        <v>3566</v>
      </c>
      <c r="AX564" s="169" t="s">
        <v>4179</v>
      </c>
      <c r="AY564" t="s">
        <v>4179</v>
      </c>
      <c r="AZ564" t="s">
        <v>4179</v>
      </c>
    </row>
    <row r="565" spans="1:52" s="145" customFormat="1" x14ac:dyDescent="0.35">
      <c r="A565" s="497" t="s">
        <v>5234</v>
      </c>
      <c r="B565" s="13" t="s">
        <v>5547</v>
      </c>
      <c r="C565" s="13" t="s">
        <v>3726</v>
      </c>
      <c r="D565" s="13" t="s">
        <v>7063</v>
      </c>
      <c r="E565" s="13" t="s">
        <v>3054</v>
      </c>
      <c r="F565" s="373">
        <v>22.939999999999998</v>
      </c>
      <c r="G565" s="631">
        <v>45291</v>
      </c>
      <c r="H565" s="633">
        <v>45268</v>
      </c>
      <c r="I565"/>
      <c r="J565"/>
      <c r="K565" s="11"/>
      <c r="L565"/>
      <c r="M565" s="37">
        <v>22.939999999999998</v>
      </c>
      <c r="N565" s="29">
        <v>10</v>
      </c>
      <c r="O565" s="143"/>
      <c r="P565" s="144"/>
      <c r="S565" s="145" t="s">
        <v>1017</v>
      </c>
      <c r="T565" s="145" t="s">
        <v>4179</v>
      </c>
      <c r="U565" s="146" t="s">
        <v>1017</v>
      </c>
      <c r="W565" s="147"/>
      <c r="X565" s="147"/>
      <c r="Z565" s="147"/>
      <c r="AB565" s="145" t="s">
        <v>1017</v>
      </c>
      <c r="AC565" s="147"/>
      <c r="AE565" s="148"/>
      <c r="AH565" s="166" t="s">
        <v>8229</v>
      </c>
      <c r="AI565" s="168" t="s">
        <v>4179</v>
      </c>
      <c r="AJ565" s="168" t="s">
        <v>4179</v>
      </c>
      <c r="AK565" s="168" t="s">
        <v>4179</v>
      </c>
      <c r="AL565" s="168" t="s">
        <v>4179</v>
      </c>
      <c r="AM565" s="168" t="s">
        <v>4179</v>
      </c>
      <c r="AN565" s="167" t="s">
        <v>8229</v>
      </c>
      <c r="AO565" s="167" t="s">
        <v>8229</v>
      </c>
      <c r="AP565" s="167" t="s">
        <v>8229</v>
      </c>
      <c r="AQ565" s="169" t="s">
        <v>4179</v>
      </c>
      <c r="AR565" s="170" t="s">
        <v>5234</v>
      </c>
      <c r="AS565" s="169" t="s">
        <v>4179</v>
      </c>
      <c r="AT565">
        <v>14</v>
      </c>
      <c r="AU565" s="170" t="s">
        <v>7063</v>
      </c>
      <c r="AV565" s="169" t="s">
        <v>4179</v>
      </c>
      <c r="AW565" s="170" t="s">
        <v>3054</v>
      </c>
      <c r="AX565" s="169" t="s">
        <v>4179</v>
      </c>
      <c r="AY565" t="s">
        <v>1017</v>
      </c>
      <c r="AZ565" t="s">
        <v>4179</v>
      </c>
    </row>
    <row r="566" spans="1:52" s="145" customFormat="1" x14ac:dyDescent="0.35">
      <c r="A566" s="511" t="s">
        <v>3541</v>
      </c>
      <c r="B566" s="173" t="s">
        <v>5547</v>
      </c>
      <c r="C566" s="173" t="s">
        <v>3726</v>
      </c>
      <c r="D566" s="173" t="s">
        <v>7064</v>
      </c>
      <c r="E566" s="173" t="s">
        <v>1980</v>
      </c>
      <c r="F566" s="374">
        <v>22.91</v>
      </c>
      <c r="G566" s="631">
        <v>45291</v>
      </c>
      <c r="H566" s="633">
        <v>45268</v>
      </c>
      <c r="I566"/>
      <c r="J566"/>
      <c r="K566" s="11"/>
      <c r="L566"/>
      <c r="M566" s="37">
        <v>22.91</v>
      </c>
      <c r="N566" s="29">
        <v>10</v>
      </c>
      <c r="O566" s="143"/>
      <c r="P566" s="144"/>
      <c r="S566" s="145" t="s">
        <v>4179</v>
      </c>
      <c r="T566" s="145" t="s">
        <v>1017</v>
      </c>
      <c r="U566" s="146" t="s">
        <v>1017</v>
      </c>
      <c r="W566" s="147"/>
      <c r="X566" s="147"/>
      <c r="Z566" s="147"/>
      <c r="AB566" s="145" t="s">
        <v>1017</v>
      </c>
      <c r="AC566" s="147"/>
      <c r="AE566" s="148"/>
      <c r="AH566" s="171" t="s">
        <v>4178</v>
      </c>
      <c r="AI566" s="168" t="s">
        <v>4179</v>
      </c>
      <c r="AJ566" s="168" t="s">
        <v>4179</v>
      </c>
      <c r="AK566" s="168" t="s">
        <v>4179</v>
      </c>
      <c r="AL566" s="168" t="s">
        <v>4179</v>
      </c>
      <c r="AM566" s="168" t="s">
        <v>4179</v>
      </c>
      <c r="AN566" s="167" t="s">
        <v>4178</v>
      </c>
      <c r="AO566" s="167" t="s">
        <v>4178</v>
      </c>
      <c r="AP566" s="167" t="s">
        <v>4178</v>
      </c>
      <c r="AQ566" s="169" t="s">
        <v>4179</v>
      </c>
      <c r="AR566" s="170" t="s">
        <v>3541</v>
      </c>
      <c r="AS566" s="169" t="s">
        <v>4179</v>
      </c>
      <c r="AT566">
        <v>14</v>
      </c>
      <c r="AU566" s="170" t="s">
        <v>7064</v>
      </c>
      <c r="AV566" s="169" t="s">
        <v>4179</v>
      </c>
      <c r="AW566" s="170" t="s">
        <v>1980</v>
      </c>
      <c r="AX566" s="169" t="s">
        <v>4179</v>
      </c>
      <c r="AY566" t="s">
        <v>4179</v>
      </c>
      <c r="AZ566" t="s">
        <v>1017</v>
      </c>
    </row>
    <row r="567" spans="1:52" s="145" customFormat="1" x14ac:dyDescent="0.35">
      <c r="A567" s="497" t="s">
        <v>4858</v>
      </c>
      <c r="B567" s="13" t="s">
        <v>5547</v>
      </c>
      <c r="C567" s="13" t="s">
        <v>3726</v>
      </c>
      <c r="D567" s="13" t="s">
        <v>7065</v>
      </c>
      <c r="E567" s="13" t="s">
        <v>4809</v>
      </c>
      <c r="F567" s="373">
        <v>20</v>
      </c>
      <c r="G567" s="631">
        <v>45291</v>
      </c>
      <c r="H567" s="633">
        <v>45268</v>
      </c>
      <c r="I567"/>
      <c r="J567"/>
      <c r="K567" s="11"/>
      <c r="L567"/>
      <c r="M567" s="37">
        <v>20</v>
      </c>
      <c r="N567" s="29">
        <v>10</v>
      </c>
      <c r="O567" s="143"/>
      <c r="P567" s="144"/>
      <c r="S567" s="145" t="s">
        <v>4179</v>
      </c>
      <c r="T567" s="145" t="s">
        <v>4179</v>
      </c>
      <c r="U567" s="146"/>
      <c r="W567" s="147"/>
      <c r="X567" s="147"/>
      <c r="Z567" s="147"/>
      <c r="AC567" s="147"/>
      <c r="AD567" s="145" t="s">
        <v>1017</v>
      </c>
      <c r="AE567" s="148"/>
      <c r="AH567" s="166" t="s">
        <v>4179</v>
      </c>
      <c r="AI567" s="168" t="s">
        <v>4179</v>
      </c>
      <c r="AJ567" s="168" t="s">
        <v>4179</v>
      </c>
      <c r="AK567" s="168" t="s">
        <v>4179</v>
      </c>
      <c r="AL567" s="168" t="s">
        <v>4179</v>
      </c>
      <c r="AM567" s="168" t="s">
        <v>4179</v>
      </c>
      <c r="AN567" s="167" t="s">
        <v>4179</v>
      </c>
      <c r="AO567" s="167" t="s">
        <v>4179</v>
      </c>
      <c r="AP567" s="167" t="s">
        <v>4179</v>
      </c>
      <c r="AQ567" s="169" t="s">
        <v>4179</v>
      </c>
      <c r="AR567" s="170" t="s">
        <v>4858</v>
      </c>
      <c r="AS567" s="169" t="s">
        <v>4179</v>
      </c>
      <c r="AT567">
        <v>14</v>
      </c>
      <c r="AU567" s="170" t="s">
        <v>7065</v>
      </c>
      <c r="AV567" s="169" t="s">
        <v>4179</v>
      </c>
      <c r="AW567" s="170" t="s">
        <v>4809</v>
      </c>
      <c r="AX567" s="169" t="s">
        <v>4179</v>
      </c>
      <c r="AY567" t="s">
        <v>4179</v>
      </c>
      <c r="AZ567" t="s">
        <v>4179</v>
      </c>
    </row>
    <row r="568" spans="1:52" s="145" customFormat="1" x14ac:dyDescent="0.35">
      <c r="A568" s="497" t="s">
        <v>4859</v>
      </c>
      <c r="B568" s="13" t="s">
        <v>5547</v>
      </c>
      <c r="C568" s="13" t="s">
        <v>3726</v>
      </c>
      <c r="D568" s="13" t="s">
        <v>7066</v>
      </c>
      <c r="E568" s="13" t="s">
        <v>4330</v>
      </c>
      <c r="F568" s="373">
        <v>23</v>
      </c>
      <c r="G568" s="631">
        <v>45291</v>
      </c>
      <c r="H568" s="633">
        <v>45268</v>
      </c>
      <c r="I568"/>
      <c r="J568"/>
      <c r="K568" s="11"/>
      <c r="L568"/>
      <c r="M568" s="37">
        <v>23</v>
      </c>
      <c r="N568" s="29">
        <v>10</v>
      </c>
      <c r="O568" s="143"/>
      <c r="P568" s="145" t="s">
        <v>1017</v>
      </c>
      <c r="S568" s="145" t="s">
        <v>4179</v>
      </c>
      <c r="T568" s="145" t="s">
        <v>4179</v>
      </c>
      <c r="U568" s="146"/>
      <c r="W568" s="147"/>
      <c r="X568" s="147"/>
      <c r="Z568" s="147"/>
      <c r="AC568" s="147"/>
      <c r="AD568" s="145" t="s">
        <v>1017</v>
      </c>
      <c r="AE568" s="148"/>
      <c r="AH568" s="166" t="s">
        <v>4179</v>
      </c>
      <c r="AI568" s="168" t="s">
        <v>4179</v>
      </c>
      <c r="AJ568" s="168" t="s">
        <v>4179</v>
      </c>
      <c r="AK568" s="168" t="s">
        <v>4179</v>
      </c>
      <c r="AL568" s="168" t="s">
        <v>4179</v>
      </c>
      <c r="AM568" s="168" t="s">
        <v>4179</v>
      </c>
      <c r="AN568" s="167" t="s">
        <v>4179</v>
      </c>
      <c r="AO568" s="167" t="s">
        <v>4179</v>
      </c>
      <c r="AP568" s="167" t="s">
        <v>4179</v>
      </c>
      <c r="AQ568" s="169" t="s">
        <v>4179</v>
      </c>
      <c r="AR568" s="170" t="s">
        <v>4859</v>
      </c>
      <c r="AS568" s="169" t="s">
        <v>4179</v>
      </c>
      <c r="AT568">
        <v>14</v>
      </c>
      <c r="AU568" s="170" t="s">
        <v>7066</v>
      </c>
      <c r="AV568" s="169" t="s">
        <v>4179</v>
      </c>
      <c r="AW568" s="170" t="s">
        <v>4330</v>
      </c>
      <c r="AX568" s="169" t="s">
        <v>4179</v>
      </c>
      <c r="AY568" t="s">
        <v>4179</v>
      </c>
      <c r="AZ568" t="s">
        <v>4179</v>
      </c>
    </row>
    <row r="569" spans="1:52" s="145" customFormat="1" x14ac:dyDescent="0.35">
      <c r="A569" s="497" t="s">
        <v>4860</v>
      </c>
      <c r="B569" s="13" t="s">
        <v>5547</v>
      </c>
      <c r="C569" s="13" t="s">
        <v>3726</v>
      </c>
      <c r="D569" s="13" t="s">
        <v>7067</v>
      </c>
      <c r="E569" s="13" t="s">
        <v>674</v>
      </c>
      <c r="F569" s="373">
        <v>23</v>
      </c>
      <c r="G569" s="631">
        <v>45291</v>
      </c>
      <c r="H569" s="633">
        <v>45268</v>
      </c>
      <c r="I569"/>
      <c r="J569"/>
      <c r="K569" s="11"/>
      <c r="L569"/>
      <c r="M569" s="37">
        <v>23</v>
      </c>
      <c r="N569" s="29">
        <v>10</v>
      </c>
      <c r="O569" s="143"/>
      <c r="P569" s="144"/>
      <c r="Q569" s="145" t="s">
        <v>1017</v>
      </c>
      <c r="S569" s="145" t="s">
        <v>4179</v>
      </c>
      <c r="T569" s="145" t="s">
        <v>4179</v>
      </c>
      <c r="U569" s="146"/>
      <c r="W569" s="147"/>
      <c r="X569" s="147"/>
      <c r="Z569" s="147"/>
      <c r="AC569" s="147"/>
      <c r="AD569" s="145" t="s">
        <v>1017</v>
      </c>
      <c r="AE569" s="148"/>
      <c r="AH569" s="166" t="s">
        <v>4179</v>
      </c>
      <c r="AI569" s="168" t="s">
        <v>4179</v>
      </c>
      <c r="AJ569" s="168" t="s">
        <v>4179</v>
      </c>
      <c r="AK569" s="168" t="s">
        <v>4179</v>
      </c>
      <c r="AL569" s="168" t="s">
        <v>4179</v>
      </c>
      <c r="AM569" s="168" t="s">
        <v>4179</v>
      </c>
      <c r="AN569" s="167" t="s">
        <v>4179</v>
      </c>
      <c r="AO569" s="167" t="s">
        <v>4179</v>
      </c>
      <c r="AP569" s="167" t="s">
        <v>4179</v>
      </c>
      <c r="AQ569" s="169" t="s">
        <v>4179</v>
      </c>
      <c r="AR569" s="170" t="s">
        <v>4860</v>
      </c>
      <c r="AS569" s="169" t="s">
        <v>4179</v>
      </c>
      <c r="AT569">
        <v>14</v>
      </c>
      <c r="AU569" s="170" t="s">
        <v>7067</v>
      </c>
      <c r="AV569" s="169" t="s">
        <v>4179</v>
      </c>
      <c r="AW569" s="170" t="s">
        <v>674</v>
      </c>
      <c r="AX569" s="169" t="s">
        <v>4179</v>
      </c>
      <c r="AY569" t="s">
        <v>4179</v>
      </c>
      <c r="AZ569" t="s">
        <v>4179</v>
      </c>
    </row>
    <row r="570" spans="1:52" s="145" customFormat="1" x14ac:dyDescent="0.35">
      <c r="A570" s="497" t="s">
        <v>1621</v>
      </c>
      <c r="B570" s="13" t="s">
        <v>5547</v>
      </c>
      <c r="C570" s="13" t="s">
        <v>3726</v>
      </c>
      <c r="D570" s="13" t="s">
        <v>7068</v>
      </c>
      <c r="E570" s="13" t="s">
        <v>3566</v>
      </c>
      <c r="F570" s="373">
        <v>22.97</v>
      </c>
      <c r="G570" s="631">
        <v>45291</v>
      </c>
      <c r="H570" s="633">
        <v>45268</v>
      </c>
      <c r="I570"/>
      <c r="J570"/>
      <c r="K570" s="11"/>
      <c r="L570"/>
      <c r="M570" s="37">
        <v>22.97</v>
      </c>
      <c r="N570" s="29">
        <v>10</v>
      </c>
      <c r="O570" s="143"/>
      <c r="P570" s="144"/>
      <c r="R570" s="145" t="s">
        <v>1017</v>
      </c>
      <c r="S570" s="145" t="s">
        <v>4179</v>
      </c>
      <c r="T570" s="145" t="s">
        <v>4179</v>
      </c>
      <c r="U570" s="146"/>
      <c r="W570" s="147"/>
      <c r="X570" s="147"/>
      <c r="Z570" s="147"/>
      <c r="AC570" s="147"/>
      <c r="AD570" s="145" t="s">
        <v>1017</v>
      </c>
      <c r="AE570" s="148"/>
      <c r="AH570" s="166" t="s">
        <v>8228</v>
      </c>
      <c r="AI570" s="168" t="s">
        <v>4179</v>
      </c>
      <c r="AJ570" s="168" t="s">
        <v>4179</v>
      </c>
      <c r="AK570" s="168" t="s">
        <v>4179</v>
      </c>
      <c r="AL570" s="168" t="s">
        <v>4179</v>
      </c>
      <c r="AM570" s="168" t="s">
        <v>4179</v>
      </c>
      <c r="AN570" s="167" t="s">
        <v>8228</v>
      </c>
      <c r="AO570" s="167" t="s">
        <v>8228</v>
      </c>
      <c r="AP570" s="167" t="s">
        <v>8228</v>
      </c>
      <c r="AQ570" s="169" t="s">
        <v>4179</v>
      </c>
      <c r="AR570" s="170" t="s">
        <v>1621</v>
      </c>
      <c r="AS570" s="169" t="s">
        <v>4179</v>
      </c>
      <c r="AT570">
        <v>14</v>
      </c>
      <c r="AU570" s="170" t="s">
        <v>7068</v>
      </c>
      <c r="AV570" s="169" t="s">
        <v>4179</v>
      </c>
      <c r="AW570" s="170" t="s">
        <v>3566</v>
      </c>
      <c r="AX570" s="169" t="s">
        <v>4179</v>
      </c>
      <c r="AY570" t="s">
        <v>4179</v>
      </c>
      <c r="AZ570" t="s">
        <v>4179</v>
      </c>
    </row>
    <row r="571" spans="1:52" s="145" customFormat="1" x14ac:dyDescent="0.35">
      <c r="A571" s="497" t="s">
        <v>5235</v>
      </c>
      <c r="B571" s="13" t="s">
        <v>5547</v>
      </c>
      <c r="C571" s="13" t="s">
        <v>3726</v>
      </c>
      <c r="D571" s="13" t="s">
        <v>7069</v>
      </c>
      <c r="E571" s="13" t="s">
        <v>3054</v>
      </c>
      <c r="F571" s="373">
        <v>22.939999999999998</v>
      </c>
      <c r="G571" s="631">
        <v>45291</v>
      </c>
      <c r="H571" s="633">
        <v>45268</v>
      </c>
      <c r="I571"/>
      <c r="J571"/>
      <c r="K571" s="11"/>
      <c r="L571"/>
      <c r="M571" s="37">
        <v>22.939999999999998</v>
      </c>
      <c r="N571" s="29">
        <v>10</v>
      </c>
      <c r="O571" s="143"/>
      <c r="P571" s="144"/>
      <c r="S571" s="145" t="s">
        <v>1017</v>
      </c>
      <c r="T571" s="145" t="s">
        <v>4179</v>
      </c>
      <c r="U571" s="146"/>
      <c r="W571" s="147"/>
      <c r="X571" s="147"/>
      <c r="Z571" s="147"/>
      <c r="AC571" s="147"/>
      <c r="AD571" s="145" t="s">
        <v>1017</v>
      </c>
      <c r="AE571" s="148"/>
      <c r="AH571" s="166" t="s">
        <v>8229</v>
      </c>
      <c r="AI571" s="168" t="s">
        <v>4179</v>
      </c>
      <c r="AJ571" s="168" t="s">
        <v>4179</v>
      </c>
      <c r="AK571" s="168" t="s">
        <v>4179</v>
      </c>
      <c r="AL571" s="168" t="s">
        <v>4179</v>
      </c>
      <c r="AM571" s="168" t="s">
        <v>4179</v>
      </c>
      <c r="AN571" s="167" t="s">
        <v>8229</v>
      </c>
      <c r="AO571" s="167" t="s">
        <v>8229</v>
      </c>
      <c r="AP571" s="167" t="s">
        <v>8229</v>
      </c>
      <c r="AQ571" s="169" t="s">
        <v>4179</v>
      </c>
      <c r="AR571" s="170" t="s">
        <v>5235</v>
      </c>
      <c r="AS571" s="169" t="s">
        <v>4179</v>
      </c>
      <c r="AT571">
        <v>14</v>
      </c>
      <c r="AU571" s="170" t="s">
        <v>7069</v>
      </c>
      <c r="AV571" s="169" t="s">
        <v>4179</v>
      </c>
      <c r="AW571" s="170" t="s">
        <v>3054</v>
      </c>
      <c r="AX571" s="169" t="s">
        <v>4179</v>
      </c>
      <c r="AY571" t="s">
        <v>1017</v>
      </c>
      <c r="AZ571" t="s">
        <v>4179</v>
      </c>
    </row>
    <row r="572" spans="1:52" s="145" customFormat="1" x14ac:dyDescent="0.35">
      <c r="A572" s="511" t="s">
        <v>3542</v>
      </c>
      <c r="B572" s="173" t="s">
        <v>5547</v>
      </c>
      <c r="C572" s="173" t="s">
        <v>3726</v>
      </c>
      <c r="D572" s="173" t="s">
        <v>7070</v>
      </c>
      <c r="E572" s="173" t="s">
        <v>1980</v>
      </c>
      <c r="F572" s="374">
        <v>22.91</v>
      </c>
      <c r="G572" s="631">
        <v>45291</v>
      </c>
      <c r="H572" s="633">
        <v>45268</v>
      </c>
      <c r="I572"/>
      <c r="J572"/>
      <c r="K572" s="11"/>
      <c r="L572"/>
      <c r="M572" s="37">
        <v>22.91</v>
      </c>
      <c r="N572" s="29">
        <v>10</v>
      </c>
      <c r="O572" s="143"/>
      <c r="P572" s="144"/>
      <c r="S572" s="145" t="s">
        <v>4179</v>
      </c>
      <c r="T572" s="145" t="s">
        <v>1017</v>
      </c>
      <c r="U572" s="146"/>
      <c r="W572" s="147"/>
      <c r="X572" s="147"/>
      <c r="Z572" s="147"/>
      <c r="AC572" s="147"/>
      <c r="AD572" s="145" t="s">
        <v>1017</v>
      </c>
      <c r="AE572" s="148"/>
      <c r="AH572" s="171" t="s">
        <v>4178</v>
      </c>
      <c r="AI572" s="168" t="s">
        <v>4179</v>
      </c>
      <c r="AJ572" s="168" t="s">
        <v>4179</v>
      </c>
      <c r="AK572" s="168" t="s">
        <v>4179</v>
      </c>
      <c r="AL572" s="168" t="s">
        <v>4179</v>
      </c>
      <c r="AM572" s="168" t="s">
        <v>4179</v>
      </c>
      <c r="AN572" s="167" t="s">
        <v>4178</v>
      </c>
      <c r="AO572" s="167" t="s">
        <v>4178</v>
      </c>
      <c r="AP572" s="167" t="s">
        <v>4178</v>
      </c>
      <c r="AQ572" s="169" t="s">
        <v>4179</v>
      </c>
      <c r="AR572" s="170" t="s">
        <v>3542</v>
      </c>
      <c r="AS572" s="169" t="s">
        <v>4179</v>
      </c>
      <c r="AT572">
        <v>14</v>
      </c>
      <c r="AU572" s="170" t="s">
        <v>7070</v>
      </c>
      <c r="AV572" s="169" t="s">
        <v>4179</v>
      </c>
      <c r="AW572" s="170" t="s">
        <v>1980</v>
      </c>
      <c r="AX572" s="169" t="s">
        <v>4179</v>
      </c>
      <c r="AY572" t="s">
        <v>4179</v>
      </c>
      <c r="AZ572" t="s">
        <v>1017</v>
      </c>
    </row>
    <row r="573" spans="1:52" s="145" customFormat="1" x14ac:dyDescent="0.35">
      <c r="A573" s="497" t="s">
        <v>4861</v>
      </c>
      <c r="B573" s="13" t="s">
        <v>5547</v>
      </c>
      <c r="C573" s="13" t="s">
        <v>3726</v>
      </c>
      <c r="D573" s="13" t="s">
        <v>7071</v>
      </c>
      <c r="E573" s="13" t="s">
        <v>4809</v>
      </c>
      <c r="F573" s="373">
        <v>21</v>
      </c>
      <c r="G573" s="631">
        <v>45291</v>
      </c>
      <c r="H573" s="633">
        <v>45268</v>
      </c>
      <c r="I573"/>
      <c r="J573"/>
      <c r="K573" s="11"/>
      <c r="L573"/>
      <c r="M573" s="37">
        <v>21</v>
      </c>
      <c r="N573" s="29">
        <v>10</v>
      </c>
      <c r="O573" s="143"/>
      <c r="P573" s="144"/>
      <c r="S573" s="145" t="s">
        <v>4179</v>
      </c>
      <c r="T573" s="145" t="s">
        <v>4179</v>
      </c>
      <c r="U573" s="146" t="s">
        <v>1017</v>
      </c>
      <c r="W573" s="147"/>
      <c r="X573" s="147"/>
      <c r="Z573" s="147"/>
      <c r="AC573" s="147"/>
      <c r="AD573" s="145" t="s">
        <v>1017</v>
      </c>
      <c r="AE573" s="148"/>
      <c r="AH573" s="166" t="s">
        <v>4179</v>
      </c>
      <c r="AI573" s="168" t="s">
        <v>4179</v>
      </c>
      <c r="AJ573" s="168" t="s">
        <v>4179</v>
      </c>
      <c r="AK573" s="168" t="s">
        <v>4179</v>
      </c>
      <c r="AL573" s="168" t="s">
        <v>4179</v>
      </c>
      <c r="AM573" s="168" t="s">
        <v>4179</v>
      </c>
      <c r="AN573" s="167" t="s">
        <v>4179</v>
      </c>
      <c r="AO573" s="167" t="s">
        <v>4179</v>
      </c>
      <c r="AP573" s="167" t="s">
        <v>4179</v>
      </c>
      <c r="AQ573" s="169" t="s">
        <v>4179</v>
      </c>
      <c r="AR573" s="170" t="s">
        <v>4861</v>
      </c>
      <c r="AS573" s="169" t="s">
        <v>4179</v>
      </c>
      <c r="AT573">
        <v>14</v>
      </c>
      <c r="AU573" s="170" t="s">
        <v>7071</v>
      </c>
      <c r="AV573" s="169" t="s">
        <v>4179</v>
      </c>
      <c r="AW573" s="170" t="s">
        <v>4809</v>
      </c>
      <c r="AX573" s="169" t="s">
        <v>4179</v>
      </c>
      <c r="AY573" t="s">
        <v>4179</v>
      </c>
      <c r="AZ573" t="s">
        <v>4179</v>
      </c>
    </row>
    <row r="574" spans="1:52" s="145" customFormat="1" x14ac:dyDescent="0.35">
      <c r="A574" s="497" t="s">
        <v>4862</v>
      </c>
      <c r="B574" s="13" t="s">
        <v>5547</v>
      </c>
      <c r="C574" s="13" t="s">
        <v>3726</v>
      </c>
      <c r="D574" s="88" t="s">
        <v>7072</v>
      </c>
      <c r="E574" s="13" t="s">
        <v>4330</v>
      </c>
      <c r="F574" s="373">
        <v>24</v>
      </c>
      <c r="G574" s="631">
        <v>45291</v>
      </c>
      <c r="H574" s="633">
        <v>45268</v>
      </c>
      <c r="I574"/>
      <c r="J574"/>
      <c r="K574" s="11"/>
      <c r="L574"/>
      <c r="M574" s="37">
        <v>24</v>
      </c>
      <c r="N574" s="29">
        <v>10</v>
      </c>
      <c r="O574" s="143"/>
      <c r="P574" s="145" t="s">
        <v>1017</v>
      </c>
      <c r="S574" s="145" t="s">
        <v>4179</v>
      </c>
      <c r="T574" s="145" t="s">
        <v>4179</v>
      </c>
      <c r="U574" s="146" t="s">
        <v>1017</v>
      </c>
      <c r="W574" s="147"/>
      <c r="X574" s="147"/>
      <c r="Z574" s="147"/>
      <c r="AC574" s="147"/>
      <c r="AD574" s="145" t="s">
        <v>1017</v>
      </c>
      <c r="AE574" s="148"/>
      <c r="AH574" s="166" t="s">
        <v>4179</v>
      </c>
      <c r="AI574" s="168" t="s">
        <v>4179</v>
      </c>
      <c r="AJ574" s="168" t="s">
        <v>4179</v>
      </c>
      <c r="AK574" s="168" t="s">
        <v>4179</v>
      </c>
      <c r="AL574" s="168" t="s">
        <v>4179</v>
      </c>
      <c r="AM574" s="168" t="s">
        <v>4179</v>
      </c>
      <c r="AN574" s="167" t="s">
        <v>4179</v>
      </c>
      <c r="AO574" s="167" t="s">
        <v>4179</v>
      </c>
      <c r="AP574" s="167" t="s">
        <v>4179</v>
      </c>
      <c r="AQ574" s="169" t="s">
        <v>4179</v>
      </c>
      <c r="AR574" s="170" t="s">
        <v>4862</v>
      </c>
      <c r="AS574" s="169" t="s">
        <v>4179</v>
      </c>
      <c r="AT574">
        <v>14</v>
      </c>
      <c r="AU574" s="170" t="s">
        <v>7072</v>
      </c>
      <c r="AV574" s="169" t="s">
        <v>4179</v>
      </c>
      <c r="AW574" s="170" t="s">
        <v>4330</v>
      </c>
      <c r="AX574" s="169" t="s">
        <v>4179</v>
      </c>
      <c r="AY574" t="s">
        <v>4179</v>
      </c>
      <c r="AZ574" t="s">
        <v>4179</v>
      </c>
    </row>
    <row r="575" spans="1:52" s="145" customFormat="1" x14ac:dyDescent="0.35">
      <c r="A575" s="497" t="s">
        <v>4626</v>
      </c>
      <c r="B575" s="13" t="s">
        <v>5547</v>
      </c>
      <c r="C575" s="13" t="s">
        <v>3726</v>
      </c>
      <c r="D575" s="13" t="s">
        <v>7073</v>
      </c>
      <c r="E575" s="13" t="s">
        <v>674</v>
      </c>
      <c r="F575" s="373">
        <v>24</v>
      </c>
      <c r="G575" s="631">
        <v>45291</v>
      </c>
      <c r="H575" s="633">
        <v>45268</v>
      </c>
      <c r="I575"/>
      <c r="J575"/>
      <c r="K575" s="11"/>
      <c r="L575"/>
      <c r="M575" s="37">
        <v>24</v>
      </c>
      <c r="N575" s="29">
        <v>10</v>
      </c>
      <c r="O575" s="143"/>
      <c r="P575" s="144"/>
      <c r="Q575" s="145" t="s">
        <v>1017</v>
      </c>
      <c r="S575" s="145" t="s">
        <v>4179</v>
      </c>
      <c r="T575" s="145" t="s">
        <v>4179</v>
      </c>
      <c r="U575" s="146" t="s">
        <v>1017</v>
      </c>
      <c r="W575" s="147"/>
      <c r="X575" s="147"/>
      <c r="Z575" s="147"/>
      <c r="AC575" s="147"/>
      <c r="AD575" s="145" t="s">
        <v>1017</v>
      </c>
      <c r="AE575" s="148"/>
      <c r="AH575" s="166" t="s">
        <v>4179</v>
      </c>
      <c r="AI575" s="168" t="s">
        <v>4179</v>
      </c>
      <c r="AJ575" s="168" t="s">
        <v>4179</v>
      </c>
      <c r="AK575" s="168" t="s">
        <v>4179</v>
      </c>
      <c r="AL575" s="168" t="s">
        <v>4179</v>
      </c>
      <c r="AM575" s="168" t="s">
        <v>4179</v>
      </c>
      <c r="AN575" s="167" t="s">
        <v>4179</v>
      </c>
      <c r="AO575" s="167" t="s">
        <v>4179</v>
      </c>
      <c r="AP575" s="167" t="s">
        <v>4179</v>
      </c>
      <c r="AQ575" s="169" t="s">
        <v>4179</v>
      </c>
      <c r="AR575" s="170" t="s">
        <v>4626</v>
      </c>
      <c r="AS575" s="169" t="s">
        <v>4179</v>
      </c>
      <c r="AT575">
        <v>14</v>
      </c>
      <c r="AU575" s="170" t="s">
        <v>7073</v>
      </c>
      <c r="AV575" s="169" t="s">
        <v>4179</v>
      </c>
      <c r="AW575" s="170" t="s">
        <v>674</v>
      </c>
      <c r="AX575" s="169" t="s">
        <v>4179</v>
      </c>
      <c r="AY575" t="s">
        <v>4179</v>
      </c>
      <c r="AZ575" t="s">
        <v>4179</v>
      </c>
    </row>
    <row r="576" spans="1:52" s="145" customFormat="1" x14ac:dyDescent="0.35">
      <c r="A576" s="497" t="s">
        <v>1622</v>
      </c>
      <c r="B576" s="13" t="s">
        <v>5547</v>
      </c>
      <c r="C576" s="13" t="s">
        <v>3726</v>
      </c>
      <c r="D576" s="13" t="s">
        <v>7074</v>
      </c>
      <c r="E576" s="13" t="s">
        <v>3566</v>
      </c>
      <c r="F576" s="373">
        <v>23.97</v>
      </c>
      <c r="G576" s="631">
        <v>45291</v>
      </c>
      <c r="H576" s="633">
        <v>45268</v>
      </c>
      <c r="I576"/>
      <c r="J576"/>
      <c r="K576" s="11"/>
      <c r="L576"/>
      <c r="M576" s="37">
        <v>23.97</v>
      </c>
      <c r="N576" s="29">
        <v>10</v>
      </c>
      <c r="O576" s="143"/>
      <c r="P576" s="144"/>
      <c r="R576" s="145" t="s">
        <v>1017</v>
      </c>
      <c r="S576" s="145" t="s">
        <v>4179</v>
      </c>
      <c r="T576" s="145" t="s">
        <v>4179</v>
      </c>
      <c r="U576" s="146" t="s">
        <v>1017</v>
      </c>
      <c r="W576" s="147"/>
      <c r="X576" s="147"/>
      <c r="Z576" s="147"/>
      <c r="AC576" s="147"/>
      <c r="AD576" s="145" t="s">
        <v>1017</v>
      </c>
      <c r="AE576" s="148"/>
      <c r="AH576" s="166" t="s">
        <v>8228</v>
      </c>
      <c r="AI576" s="168" t="s">
        <v>4179</v>
      </c>
      <c r="AJ576" s="168" t="s">
        <v>4179</v>
      </c>
      <c r="AK576" s="168" t="s">
        <v>4179</v>
      </c>
      <c r="AL576" s="168" t="s">
        <v>4179</v>
      </c>
      <c r="AM576" s="168" t="s">
        <v>4179</v>
      </c>
      <c r="AN576" s="167" t="s">
        <v>8228</v>
      </c>
      <c r="AO576" s="167" t="s">
        <v>8228</v>
      </c>
      <c r="AP576" s="167" t="s">
        <v>8228</v>
      </c>
      <c r="AQ576" s="169" t="s">
        <v>4179</v>
      </c>
      <c r="AR576" s="170" t="s">
        <v>1622</v>
      </c>
      <c r="AS576" s="169" t="s">
        <v>4179</v>
      </c>
      <c r="AT576">
        <v>14</v>
      </c>
      <c r="AU576" s="170" t="s">
        <v>7074</v>
      </c>
      <c r="AV576" s="169" t="s">
        <v>4179</v>
      </c>
      <c r="AW576" s="170" t="s">
        <v>3566</v>
      </c>
      <c r="AX576" s="169" t="s">
        <v>4179</v>
      </c>
      <c r="AY576" t="s">
        <v>4179</v>
      </c>
      <c r="AZ576" t="s">
        <v>4179</v>
      </c>
    </row>
    <row r="577" spans="1:52" s="145" customFormat="1" x14ac:dyDescent="0.35">
      <c r="A577" s="497" t="s">
        <v>5236</v>
      </c>
      <c r="B577" s="13" t="s">
        <v>5547</v>
      </c>
      <c r="C577" s="13" t="s">
        <v>3726</v>
      </c>
      <c r="D577" s="13" t="s">
        <v>7075</v>
      </c>
      <c r="E577" s="13" t="s">
        <v>3054</v>
      </c>
      <c r="F577" s="373">
        <v>23.939999999999998</v>
      </c>
      <c r="G577" s="631">
        <v>45291</v>
      </c>
      <c r="H577" s="633">
        <v>45268</v>
      </c>
      <c r="I577"/>
      <c r="J577"/>
      <c r="K577" s="11"/>
      <c r="L577"/>
      <c r="M577" s="37">
        <v>23.939999999999998</v>
      </c>
      <c r="N577" s="29">
        <v>10</v>
      </c>
      <c r="O577" s="143"/>
      <c r="P577" s="144"/>
      <c r="S577" s="145" t="s">
        <v>1017</v>
      </c>
      <c r="T577" s="145" t="s">
        <v>4179</v>
      </c>
      <c r="U577" s="146" t="s">
        <v>1017</v>
      </c>
      <c r="W577" s="147"/>
      <c r="X577" s="147"/>
      <c r="Z577" s="147"/>
      <c r="AC577" s="147"/>
      <c r="AD577" s="145" t="s">
        <v>1017</v>
      </c>
      <c r="AE577" s="148"/>
      <c r="AH577" s="166" t="s">
        <v>8229</v>
      </c>
      <c r="AI577" s="168" t="s">
        <v>4179</v>
      </c>
      <c r="AJ577" s="168" t="s">
        <v>4179</v>
      </c>
      <c r="AK577" s="168" t="s">
        <v>4179</v>
      </c>
      <c r="AL577" s="168" t="s">
        <v>4179</v>
      </c>
      <c r="AM577" s="168" t="s">
        <v>4179</v>
      </c>
      <c r="AN577" s="167" t="s">
        <v>8229</v>
      </c>
      <c r="AO577" s="167" t="s">
        <v>8229</v>
      </c>
      <c r="AP577" s="167" t="s">
        <v>8229</v>
      </c>
      <c r="AQ577" s="169" t="s">
        <v>4179</v>
      </c>
      <c r="AR577" s="170" t="s">
        <v>5236</v>
      </c>
      <c r="AS577" s="169" t="s">
        <v>4179</v>
      </c>
      <c r="AT577">
        <v>14</v>
      </c>
      <c r="AU577" s="170" t="s">
        <v>7075</v>
      </c>
      <c r="AV577" s="169" t="s">
        <v>4179</v>
      </c>
      <c r="AW577" s="170" t="s">
        <v>3054</v>
      </c>
      <c r="AX577" s="169" t="s">
        <v>4179</v>
      </c>
      <c r="AY577" t="s">
        <v>1017</v>
      </c>
      <c r="AZ577" t="s">
        <v>4179</v>
      </c>
    </row>
    <row r="578" spans="1:52" s="145" customFormat="1" x14ac:dyDescent="0.35">
      <c r="A578" s="511" t="s">
        <v>3543</v>
      </c>
      <c r="B578" s="173" t="s">
        <v>5547</v>
      </c>
      <c r="C578" s="173" t="s">
        <v>3726</v>
      </c>
      <c r="D578" s="173" t="s">
        <v>7076</v>
      </c>
      <c r="E578" s="173" t="s">
        <v>1980</v>
      </c>
      <c r="F578" s="374">
        <v>23.91</v>
      </c>
      <c r="G578" s="631">
        <v>45291</v>
      </c>
      <c r="H578" s="633">
        <v>45268</v>
      </c>
      <c r="I578"/>
      <c r="J578"/>
      <c r="K578" s="11"/>
      <c r="L578"/>
      <c r="M578" s="37">
        <v>23.91</v>
      </c>
      <c r="N578" s="29">
        <v>10</v>
      </c>
      <c r="O578" s="143"/>
      <c r="P578" s="144"/>
      <c r="S578" s="145" t="s">
        <v>4179</v>
      </c>
      <c r="T578" s="145" t="s">
        <v>1017</v>
      </c>
      <c r="U578" s="146" t="s">
        <v>1017</v>
      </c>
      <c r="W578" s="147"/>
      <c r="X578" s="147"/>
      <c r="Z578" s="147"/>
      <c r="AC578" s="147"/>
      <c r="AD578" s="145" t="s">
        <v>1017</v>
      </c>
      <c r="AE578" s="148"/>
      <c r="AH578" s="171" t="s">
        <v>4178</v>
      </c>
      <c r="AI578" s="168" t="s">
        <v>4179</v>
      </c>
      <c r="AJ578" s="168" t="s">
        <v>4179</v>
      </c>
      <c r="AK578" s="168" t="s">
        <v>4179</v>
      </c>
      <c r="AL578" s="168" t="s">
        <v>4179</v>
      </c>
      <c r="AM578" s="168" t="s">
        <v>4179</v>
      </c>
      <c r="AN578" s="167" t="s">
        <v>4178</v>
      </c>
      <c r="AO578" s="167" t="s">
        <v>4178</v>
      </c>
      <c r="AP578" s="167" t="s">
        <v>4178</v>
      </c>
      <c r="AQ578" s="169" t="s">
        <v>4179</v>
      </c>
      <c r="AR578" s="170" t="s">
        <v>3543</v>
      </c>
      <c r="AS578" s="169" t="s">
        <v>4179</v>
      </c>
      <c r="AT578">
        <v>14</v>
      </c>
      <c r="AU578" s="170" t="s">
        <v>7076</v>
      </c>
      <c r="AV578" s="169" t="s">
        <v>4179</v>
      </c>
      <c r="AW578" s="170" t="s">
        <v>1980</v>
      </c>
      <c r="AX578" s="169" t="s">
        <v>4179</v>
      </c>
      <c r="AY578" t="s">
        <v>4179</v>
      </c>
      <c r="AZ578" t="s">
        <v>1017</v>
      </c>
    </row>
    <row r="579" spans="1:52" s="145" customFormat="1" x14ac:dyDescent="0.35">
      <c r="A579" s="496" t="s">
        <v>4803</v>
      </c>
      <c r="B579" s="1" t="s">
        <v>5547</v>
      </c>
      <c r="C579" s="1" t="s">
        <v>3726</v>
      </c>
      <c r="D579" s="1" t="s">
        <v>5407</v>
      </c>
      <c r="E579" s="151" t="s">
        <v>4809</v>
      </c>
      <c r="F579" s="375">
        <v>9</v>
      </c>
      <c r="G579" s="631">
        <v>45291</v>
      </c>
      <c r="H579" s="633">
        <v>45268</v>
      </c>
      <c r="I579"/>
      <c r="J579"/>
      <c r="K579" s="11"/>
      <c r="L579"/>
      <c r="M579" s="37">
        <v>9</v>
      </c>
      <c r="N579" s="29">
        <v>9</v>
      </c>
      <c r="O579" s="71"/>
      <c r="P579" s="59"/>
      <c r="Q579"/>
      <c r="R579"/>
      <c r="S579" t="s">
        <v>4179</v>
      </c>
      <c r="T579" s="145" t="s">
        <v>4179</v>
      </c>
      <c r="U579" s="60"/>
      <c r="V579" s="50"/>
      <c r="W579"/>
      <c r="X579"/>
      <c r="Y579" s="50"/>
      <c r="Z579" s="50"/>
      <c r="AA579" s="50"/>
      <c r="AB579" s="50"/>
      <c r="AC579" s="50"/>
      <c r="AD579" s="50"/>
      <c r="AE579" s="75"/>
      <c r="AF579"/>
      <c r="AG579"/>
      <c r="AH579" s="166" t="s">
        <v>4179</v>
      </c>
      <c r="AI579" s="168" t="s">
        <v>4179</v>
      </c>
      <c r="AJ579" s="168" t="s">
        <v>4179</v>
      </c>
      <c r="AK579" s="168" t="s">
        <v>4179</v>
      </c>
      <c r="AL579" s="168" t="s">
        <v>4179</v>
      </c>
      <c r="AM579" s="168" t="s">
        <v>4179</v>
      </c>
      <c r="AN579" s="167" t="s">
        <v>4179</v>
      </c>
      <c r="AO579" s="167" t="s">
        <v>4179</v>
      </c>
      <c r="AP579" s="167" t="s">
        <v>4179</v>
      </c>
      <c r="AQ579" s="169" t="s">
        <v>4179</v>
      </c>
      <c r="AR579" s="170" t="s">
        <v>4803</v>
      </c>
      <c r="AS579" s="169" t="s">
        <v>4179</v>
      </c>
      <c r="AT579">
        <v>14</v>
      </c>
      <c r="AU579" s="170" t="s">
        <v>5407</v>
      </c>
      <c r="AV579" s="169" t="s">
        <v>4179</v>
      </c>
      <c r="AW579" s="170" t="s">
        <v>4809</v>
      </c>
      <c r="AX579" s="169" t="s">
        <v>4179</v>
      </c>
      <c r="AY579" t="s">
        <v>4179</v>
      </c>
      <c r="AZ579" t="s">
        <v>4179</v>
      </c>
    </row>
    <row r="580" spans="1:52" s="145" customFormat="1" x14ac:dyDescent="0.35">
      <c r="A580" s="497" t="s">
        <v>4335</v>
      </c>
      <c r="B580" s="13" t="s">
        <v>5547</v>
      </c>
      <c r="C580" s="13" t="s">
        <v>3726</v>
      </c>
      <c r="D580" s="13" t="s">
        <v>6749</v>
      </c>
      <c r="E580" s="13" t="s">
        <v>674</v>
      </c>
      <c r="F580" s="373">
        <v>12</v>
      </c>
      <c r="G580" s="631">
        <v>45291</v>
      </c>
      <c r="H580" s="633">
        <v>45268</v>
      </c>
      <c r="I580"/>
      <c r="J580"/>
      <c r="K580" s="11"/>
      <c r="L580"/>
      <c r="M580" s="37">
        <v>12</v>
      </c>
      <c r="N580" s="29">
        <v>9</v>
      </c>
      <c r="O580" s="71"/>
      <c r="P580" s="59"/>
      <c r="Q580" t="s">
        <v>1017</v>
      </c>
      <c r="R580"/>
      <c r="S580" t="s">
        <v>4179</v>
      </c>
      <c r="T580" s="145" t="s">
        <v>4179</v>
      </c>
      <c r="U580" s="60"/>
      <c r="V580" s="50"/>
      <c r="W580"/>
      <c r="X580"/>
      <c r="Y580" s="50"/>
      <c r="Z580" s="50"/>
      <c r="AA580" s="50"/>
      <c r="AB580" s="50"/>
      <c r="AC580" s="50"/>
      <c r="AD580" s="50"/>
      <c r="AE580" s="75"/>
      <c r="AF580"/>
      <c r="AG580"/>
      <c r="AH580" s="166" t="s">
        <v>4179</v>
      </c>
      <c r="AI580" s="168" t="s">
        <v>4179</v>
      </c>
      <c r="AJ580" s="168" t="s">
        <v>4179</v>
      </c>
      <c r="AK580" s="168" t="s">
        <v>4179</v>
      </c>
      <c r="AL580" s="168" t="s">
        <v>4179</v>
      </c>
      <c r="AM580" s="168" t="s">
        <v>4179</v>
      </c>
      <c r="AN580" s="167" t="s">
        <v>4179</v>
      </c>
      <c r="AO580" s="167" t="s">
        <v>4179</v>
      </c>
      <c r="AP580" s="167" t="s">
        <v>4179</v>
      </c>
      <c r="AQ580" s="169" t="s">
        <v>4179</v>
      </c>
      <c r="AR580" s="170" t="s">
        <v>4335</v>
      </c>
      <c r="AS580" s="169" t="s">
        <v>4179</v>
      </c>
      <c r="AT580">
        <v>14</v>
      </c>
      <c r="AU580" s="170" t="s">
        <v>6749</v>
      </c>
      <c r="AV580" s="169" t="s">
        <v>4179</v>
      </c>
      <c r="AW580" s="170" t="s">
        <v>674</v>
      </c>
      <c r="AX580" s="169" t="s">
        <v>4179</v>
      </c>
      <c r="AY580" t="s">
        <v>4179</v>
      </c>
      <c r="AZ580" t="s">
        <v>4179</v>
      </c>
    </row>
    <row r="581" spans="1:52" s="145" customFormat="1" x14ac:dyDescent="0.35">
      <c r="A581" s="497" t="s">
        <v>1623</v>
      </c>
      <c r="B581" s="13" t="s">
        <v>5547</v>
      </c>
      <c r="C581" s="13" t="s">
        <v>3726</v>
      </c>
      <c r="D581" s="13" t="s">
        <v>6750</v>
      </c>
      <c r="E581" s="13" t="s">
        <v>3566</v>
      </c>
      <c r="F581" s="373">
        <v>11.97</v>
      </c>
      <c r="G581" s="631">
        <v>45291</v>
      </c>
      <c r="H581" s="633">
        <v>45268</v>
      </c>
      <c r="I581"/>
      <c r="J581"/>
      <c r="K581" s="11"/>
      <c r="L581"/>
      <c r="M581" s="37">
        <v>11.97</v>
      </c>
      <c r="N581" s="29">
        <v>9</v>
      </c>
      <c r="O581" s="71"/>
      <c r="P581" s="59"/>
      <c r="Q581"/>
      <c r="R581" t="s">
        <v>1017</v>
      </c>
      <c r="S581" t="s">
        <v>4179</v>
      </c>
      <c r="T581" s="145" t="s">
        <v>4179</v>
      </c>
      <c r="U581" s="60"/>
      <c r="V581" s="50"/>
      <c r="W581"/>
      <c r="X581"/>
      <c r="Y581" s="50"/>
      <c r="Z581" s="50"/>
      <c r="AA581" s="50"/>
      <c r="AB581" s="50"/>
      <c r="AC581" s="50"/>
      <c r="AD581" s="50"/>
      <c r="AE581" s="75"/>
      <c r="AF581"/>
      <c r="AG581"/>
      <c r="AH581" s="166" t="s">
        <v>8228</v>
      </c>
      <c r="AI581" s="168" t="s">
        <v>4179</v>
      </c>
      <c r="AJ581" s="168" t="s">
        <v>4179</v>
      </c>
      <c r="AK581" s="168" t="s">
        <v>4179</v>
      </c>
      <c r="AL581" s="168" t="s">
        <v>4179</v>
      </c>
      <c r="AM581" s="168" t="s">
        <v>4179</v>
      </c>
      <c r="AN581" s="167" t="s">
        <v>8228</v>
      </c>
      <c r="AO581" s="167" t="s">
        <v>8228</v>
      </c>
      <c r="AP581" s="167" t="s">
        <v>8228</v>
      </c>
      <c r="AQ581" s="169" t="s">
        <v>4179</v>
      </c>
      <c r="AR581" s="170" t="s">
        <v>1623</v>
      </c>
      <c r="AS581" s="169" t="s">
        <v>4179</v>
      </c>
      <c r="AT581">
        <v>14</v>
      </c>
      <c r="AU581" s="170" t="s">
        <v>6750</v>
      </c>
      <c r="AV581" s="169" t="s">
        <v>4179</v>
      </c>
      <c r="AW581" s="170" t="s">
        <v>3566</v>
      </c>
      <c r="AX581" s="169" t="s">
        <v>4179</v>
      </c>
      <c r="AY581" t="s">
        <v>4179</v>
      </c>
      <c r="AZ581" t="s">
        <v>4179</v>
      </c>
    </row>
    <row r="582" spans="1:52" s="145" customFormat="1" x14ac:dyDescent="0.35">
      <c r="A582" s="497" t="s">
        <v>5237</v>
      </c>
      <c r="B582" s="13" t="s">
        <v>5547</v>
      </c>
      <c r="C582" s="13" t="s">
        <v>3726</v>
      </c>
      <c r="D582" s="13" t="s">
        <v>6751</v>
      </c>
      <c r="E582" s="13" t="s">
        <v>3054</v>
      </c>
      <c r="F582" s="373">
        <v>11.94</v>
      </c>
      <c r="G582" s="631">
        <v>45291</v>
      </c>
      <c r="H582" s="633">
        <v>45268</v>
      </c>
      <c r="I582"/>
      <c r="J582"/>
      <c r="K582" s="11"/>
      <c r="L582"/>
      <c r="M582" s="37">
        <v>11.94</v>
      </c>
      <c r="N582" s="29">
        <v>9</v>
      </c>
      <c r="O582" s="71"/>
      <c r="P582" s="59"/>
      <c r="Q582"/>
      <c r="R582"/>
      <c r="S582" t="s">
        <v>1017</v>
      </c>
      <c r="T582" s="145" t="s">
        <v>4179</v>
      </c>
      <c r="U582" s="60"/>
      <c r="V582" s="50"/>
      <c r="W582"/>
      <c r="X582"/>
      <c r="Y582" s="50"/>
      <c r="Z582" s="50"/>
      <c r="AA582" s="50"/>
      <c r="AB582" s="50"/>
      <c r="AC582" s="50"/>
      <c r="AD582" s="50"/>
      <c r="AE582" s="75"/>
      <c r="AF582"/>
      <c r="AG582"/>
      <c r="AH582" s="166" t="s">
        <v>8229</v>
      </c>
      <c r="AI582" s="168" t="s">
        <v>4179</v>
      </c>
      <c r="AJ582" s="168" t="s">
        <v>4179</v>
      </c>
      <c r="AK582" s="168" t="s">
        <v>4179</v>
      </c>
      <c r="AL582" s="168" t="s">
        <v>4179</v>
      </c>
      <c r="AM582" s="168" t="s">
        <v>4179</v>
      </c>
      <c r="AN582" s="167" t="s">
        <v>8229</v>
      </c>
      <c r="AO582" s="167" t="s">
        <v>8229</v>
      </c>
      <c r="AP582" s="167" t="s">
        <v>8229</v>
      </c>
      <c r="AQ582" s="169" t="s">
        <v>4179</v>
      </c>
      <c r="AR582" s="170" t="s">
        <v>5237</v>
      </c>
      <c r="AS582" s="169" t="s">
        <v>4179</v>
      </c>
      <c r="AT582">
        <v>14</v>
      </c>
      <c r="AU582" s="170" t="s">
        <v>6751</v>
      </c>
      <c r="AV582" s="169" t="s">
        <v>4179</v>
      </c>
      <c r="AW582" s="170" t="s">
        <v>3054</v>
      </c>
      <c r="AX582" s="169" t="s">
        <v>4179</v>
      </c>
      <c r="AY582" t="s">
        <v>1017</v>
      </c>
      <c r="AZ582" t="s">
        <v>4179</v>
      </c>
    </row>
    <row r="583" spans="1:52" s="145" customFormat="1" x14ac:dyDescent="0.35">
      <c r="A583" s="511" t="s">
        <v>3544</v>
      </c>
      <c r="B583" s="173" t="s">
        <v>5547</v>
      </c>
      <c r="C583" s="173" t="s">
        <v>3726</v>
      </c>
      <c r="D583" s="173" t="s">
        <v>6752</v>
      </c>
      <c r="E583" s="173" t="s">
        <v>1980</v>
      </c>
      <c r="F583" s="374">
        <v>11.91</v>
      </c>
      <c r="G583" s="631">
        <v>45291</v>
      </c>
      <c r="H583" s="633">
        <v>45268</v>
      </c>
      <c r="I583"/>
      <c r="J583"/>
      <c r="K583" s="11"/>
      <c r="L583"/>
      <c r="M583" s="37">
        <v>11.91</v>
      </c>
      <c r="N583" s="29">
        <v>9</v>
      </c>
      <c r="O583" s="71"/>
      <c r="P583" s="59"/>
      <c r="Q583"/>
      <c r="R583"/>
      <c r="S583" t="s">
        <v>4179</v>
      </c>
      <c r="T583" s="145" t="s">
        <v>1017</v>
      </c>
      <c r="U583" s="60"/>
      <c r="V583" s="50"/>
      <c r="W583"/>
      <c r="X583"/>
      <c r="Y583" s="50"/>
      <c r="Z583" s="50"/>
      <c r="AA583" s="50"/>
      <c r="AB583" s="50"/>
      <c r="AC583" s="50"/>
      <c r="AD583" s="50"/>
      <c r="AE583" s="75"/>
      <c r="AF583"/>
      <c r="AG583"/>
      <c r="AH583" s="171" t="s">
        <v>4178</v>
      </c>
      <c r="AI583" s="168" t="s">
        <v>4179</v>
      </c>
      <c r="AJ583" s="168" t="s">
        <v>4179</v>
      </c>
      <c r="AK583" s="168" t="s">
        <v>4179</v>
      </c>
      <c r="AL583" s="168" t="s">
        <v>4179</v>
      </c>
      <c r="AM583" s="168" t="s">
        <v>4179</v>
      </c>
      <c r="AN583" s="167" t="s">
        <v>4178</v>
      </c>
      <c r="AO583" s="167" t="s">
        <v>4178</v>
      </c>
      <c r="AP583" s="167" t="s">
        <v>4178</v>
      </c>
      <c r="AQ583" s="169" t="s">
        <v>4179</v>
      </c>
      <c r="AR583" s="170" t="s">
        <v>3544</v>
      </c>
      <c r="AS583" s="169" t="s">
        <v>4179</v>
      </c>
      <c r="AT583">
        <v>14</v>
      </c>
      <c r="AU583" s="170" t="s">
        <v>6752</v>
      </c>
      <c r="AV583" s="169" t="s">
        <v>4179</v>
      </c>
      <c r="AW583" s="170" t="s">
        <v>1980</v>
      </c>
      <c r="AX583" s="169" t="s">
        <v>4179</v>
      </c>
      <c r="AY583" t="s">
        <v>4179</v>
      </c>
      <c r="AZ583" t="s">
        <v>1017</v>
      </c>
    </row>
    <row r="584" spans="1:52" s="145" customFormat="1" x14ac:dyDescent="0.35">
      <c r="A584" s="496" t="s">
        <v>4804</v>
      </c>
      <c r="B584" s="1" t="s">
        <v>5547</v>
      </c>
      <c r="C584" s="1" t="s">
        <v>3726</v>
      </c>
      <c r="D584" s="1" t="s">
        <v>598</v>
      </c>
      <c r="E584" s="151" t="s">
        <v>4809</v>
      </c>
      <c r="F584" s="375">
        <v>13</v>
      </c>
      <c r="G584" s="631">
        <v>45291</v>
      </c>
      <c r="H584" s="633">
        <v>45268</v>
      </c>
      <c r="I584"/>
      <c r="J584"/>
      <c r="K584" s="11"/>
      <c r="L584"/>
      <c r="M584" s="37">
        <v>13</v>
      </c>
      <c r="N584" s="29">
        <v>9</v>
      </c>
      <c r="O584" s="71"/>
      <c r="P584" s="59"/>
      <c r="Q584"/>
      <c r="R584"/>
      <c r="S584" t="s">
        <v>4179</v>
      </c>
      <c r="T584" s="145" t="s">
        <v>4179</v>
      </c>
      <c r="U584" s="60"/>
      <c r="V584" s="50"/>
      <c r="W584" t="s">
        <v>1017</v>
      </c>
      <c r="X584"/>
      <c r="Y584" s="50"/>
      <c r="Z584" s="50"/>
      <c r="AA584" s="50"/>
      <c r="AB584" s="50"/>
      <c r="AC584" s="50"/>
      <c r="AD584" s="50"/>
      <c r="AE584" s="75"/>
      <c r="AF584"/>
      <c r="AG584"/>
      <c r="AH584" s="166" t="s">
        <v>4179</v>
      </c>
      <c r="AI584" s="168" t="s">
        <v>4179</v>
      </c>
      <c r="AJ584" s="168" t="s">
        <v>4179</v>
      </c>
      <c r="AK584" s="168" t="s">
        <v>4179</v>
      </c>
      <c r="AL584" s="168" t="s">
        <v>4179</v>
      </c>
      <c r="AM584" s="168" t="s">
        <v>4179</v>
      </c>
      <c r="AN584" s="167" t="s">
        <v>4179</v>
      </c>
      <c r="AO584" s="167" t="s">
        <v>4179</v>
      </c>
      <c r="AP584" s="167" t="s">
        <v>4179</v>
      </c>
      <c r="AQ584" s="169" t="s">
        <v>4179</v>
      </c>
      <c r="AR584" s="170" t="s">
        <v>4804</v>
      </c>
      <c r="AS584" s="169" t="s">
        <v>4179</v>
      </c>
      <c r="AT584">
        <v>14</v>
      </c>
      <c r="AU584" s="170" t="s">
        <v>598</v>
      </c>
      <c r="AV584" s="169" t="s">
        <v>4179</v>
      </c>
      <c r="AW584" s="170" t="s">
        <v>4809</v>
      </c>
      <c r="AX584" s="169" t="s">
        <v>4179</v>
      </c>
      <c r="AY584" t="s">
        <v>4179</v>
      </c>
      <c r="AZ584" t="s">
        <v>4179</v>
      </c>
    </row>
    <row r="585" spans="1:52" s="145" customFormat="1" x14ac:dyDescent="0.35">
      <c r="A585" s="497" t="s">
        <v>2617</v>
      </c>
      <c r="B585" s="13" t="s">
        <v>5547</v>
      </c>
      <c r="C585" s="13" t="s">
        <v>3726</v>
      </c>
      <c r="D585" s="13" t="s">
        <v>6753</v>
      </c>
      <c r="E585" s="13" t="s">
        <v>674</v>
      </c>
      <c r="F585" s="373">
        <v>16</v>
      </c>
      <c r="G585" s="631">
        <v>45291</v>
      </c>
      <c r="H585" s="633">
        <v>45268</v>
      </c>
      <c r="I585"/>
      <c r="J585"/>
      <c r="K585" s="11"/>
      <c r="L585"/>
      <c r="M585" s="37">
        <v>16</v>
      </c>
      <c r="N585" s="29">
        <v>9</v>
      </c>
      <c r="O585" s="71"/>
      <c r="P585" s="59"/>
      <c r="Q585" t="s">
        <v>1017</v>
      </c>
      <c r="R585"/>
      <c r="S585" t="s">
        <v>4179</v>
      </c>
      <c r="T585" s="145" t="s">
        <v>4179</v>
      </c>
      <c r="U585" s="60"/>
      <c r="V585" s="50"/>
      <c r="W585" t="s">
        <v>1017</v>
      </c>
      <c r="X585"/>
      <c r="Y585" s="50"/>
      <c r="Z585" s="50"/>
      <c r="AA585" s="50"/>
      <c r="AB585" s="50"/>
      <c r="AC585" s="50"/>
      <c r="AD585" s="50"/>
      <c r="AE585" s="75"/>
      <c r="AF585"/>
      <c r="AG585"/>
      <c r="AH585" s="166" t="s">
        <v>4179</v>
      </c>
      <c r="AI585" s="168" t="s">
        <v>4179</v>
      </c>
      <c r="AJ585" s="168" t="s">
        <v>4179</v>
      </c>
      <c r="AK585" s="168" t="s">
        <v>4179</v>
      </c>
      <c r="AL585" s="168" t="s">
        <v>4179</v>
      </c>
      <c r="AM585" s="168" t="s">
        <v>4179</v>
      </c>
      <c r="AN585" s="167" t="s">
        <v>4179</v>
      </c>
      <c r="AO585" s="167" t="s">
        <v>4179</v>
      </c>
      <c r="AP585" s="167" t="s">
        <v>4179</v>
      </c>
      <c r="AQ585" s="169" t="s">
        <v>4179</v>
      </c>
      <c r="AR585" s="170" t="s">
        <v>2617</v>
      </c>
      <c r="AS585" s="169" t="s">
        <v>4179</v>
      </c>
      <c r="AT585">
        <v>14</v>
      </c>
      <c r="AU585" s="170" t="s">
        <v>6753</v>
      </c>
      <c r="AV585" s="169" t="s">
        <v>4179</v>
      </c>
      <c r="AW585" s="170" t="s">
        <v>674</v>
      </c>
      <c r="AX585" s="169" t="s">
        <v>4179</v>
      </c>
      <c r="AY585" t="s">
        <v>4179</v>
      </c>
      <c r="AZ585" t="s">
        <v>4179</v>
      </c>
    </row>
    <row r="586" spans="1:52" x14ac:dyDescent="0.35">
      <c r="A586" s="497" t="s">
        <v>1624</v>
      </c>
      <c r="B586" s="13" t="s">
        <v>5547</v>
      </c>
      <c r="C586" s="13" t="s">
        <v>3726</v>
      </c>
      <c r="D586" s="13" t="s">
        <v>6754</v>
      </c>
      <c r="E586" s="13" t="s">
        <v>3566</v>
      </c>
      <c r="F586" s="373">
        <v>15.97</v>
      </c>
      <c r="G586" s="631">
        <v>45291</v>
      </c>
      <c r="H586" s="633">
        <v>45268</v>
      </c>
      <c r="K586" s="11"/>
      <c r="M586" s="37">
        <v>15.97</v>
      </c>
      <c r="N586" s="29">
        <v>9</v>
      </c>
      <c r="O586" s="71"/>
      <c r="P586" s="59"/>
      <c r="R586" t="s">
        <v>1017</v>
      </c>
      <c r="S586" t="s">
        <v>4179</v>
      </c>
      <c r="T586" t="s">
        <v>4179</v>
      </c>
      <c r="U586" s="60"/>
      <c r="V586" s="50"/>
      <c r="W586" t="s">
        <v>1017</v>
      </c>
      <c r="Y586" s="50"/>
      <c r="Z586" s="50"/>
      <c r="AA586" s="50"/>
      <c r="AB586" s="50"/>
      <c r="AC586" s="50"/>
      <c r="AD586" s="50"/>
      <c r="AE586" s="75"/>
      <c r="AH586" s="166" t="s">
        <v>8228</v>
      </c>
      <c r="AI586" s="168" t="s">
        <v>4179</v>
      </c>
      <c r="AJ586" s="168" t="s">
        <v>4179</v>
      </c>
      <c r="AK586" s="168" t="s">
        <v>4179</v>
      </c>
      <c r="AL586" s="168" t="s">
        <v>4179</v>
      </c>
      <c r="AM586" s="168" t="s">
        <v>4179</v>
      </c>
      <c r="AN586" s="167" t="s">
        <v>8228</v>
      </c>
      <c r="AO586" s="167" t="s">
        <v>8228</v>
      </c>
      <c r="AP586" s="167" t="s">
        <v>8228</v>
      </c>
      <c r="AQ586" s="169" t="s">
        <v>4179</v>
      </c>
      <c r="AR586" s="170" t="s">
        <v>1624</v>
      </c>
      <c r="AS586" s="169" t="s">
        <v>4179</v>
      </c>
      <c r="AT586">
        <v>14</v>
      </c>
      <c r="AU586" s="170" t="s">
        <v>6754</v>
      </c>
      <c r="AV586" s="169" t="s">
        <v>4179</v>
      </c>
      <c r="AW586" s="170" t="s">
        <v>3566</v>
      </c>
      <c r="AX586" s="169" t="s">
        <v>4179</v>
      </c>
      <c r="AY586" t="s">
        <v>4179</v>
      </c>
      <c r="AZ586" t="s">
        <v>4179</v>
      </c>
    </row>
    <row r="587" spans="1:52" x14ac:dyDescent="0.35">
      <c r="A587" s="497" t="s">
        <v>5238</v>
      </c>
      <c r="B587" s="13" t="s">
        <v>5547</v>
      </c>
      <c r="C587" s="13" t="s">
        <v>3726</v>
      </c>
      <c r="D587" s="13" t="s">
        <v>6755</v>
      </c>
      <c r="E587" s="13" t="s">
        <v>3054</v>
      </c>
      <c r="F587" s="373">
        <v>15.94</v>
      </c>
      <c r="G587" s="631">
        <v>45291</v>
      </c>
      <c r="H587" s="633">
        <v>45268</v>
      </c>
      <c r="K587" s="11"/>
      <c r="M587" s="37">
        <v>15.94</v>
      </c>
      <c r="N587" s="29">
        <v>9</v>
      </c>
      <c r="O587" s="71"/>
      <c r="P587" s="59"/>
      <c r="S587" t="s">
        <v>1017</v>
      </c>
      <c r="T587" t="s">
        <v>4179</v>
      </c>
      <c r="U587" s="60"/>
      <c r="V587" s="50"/>
      <c r="W587" t="s">
        <v>1017</v>
      </c>
      <c r="Y587" s="50"/>
      <c r="Z587" s="50"/>
      <c r="AA587" s="50"/>
      <c r="AB587" s="50"/>
      <c r="AC587" s="50"/>
      <c r="AD587" s="50"/>
      <c r="AE587" s="75"/>
      <c r="AH587" s="166" t="s">
        <v>8229</v>
      </c>
      <c r="AI587" s="168" t="s">
        <v>4179</v>
      </c>
      <c r="AJ587" s="168" t="s">
        <v>4179</v>
      </c>
      <c r="AK587" s="168" t="s">
        <v>4179</v>
      </c>
      <c r="AL587" s="168" t="s">
        <v>4179</v>
      </c>
      <c r="AM587" s="168" t="s">
        <v>4179</v>
      </c>
      <c r="AN587" s="167" t="s">
        <v>8229</v>
      </c>
      <c r="AO587" s="167" t="s">
        <v>8229</v>
      </c>
      <c r="AP587" s="167" t="s">
        <v>8229</v>
      </c>
      <c r="AQ587" s="169" t="s">
        <v>4179</v>
      </c>
      <c r="AR587" s="170" t="s">
        <v>5238</v>
      </c>
      <c r="AS587" s="169" t="s">
        <v>4179</v>
      </c>
      <c r="AT587">
        <v>14</v>
      </c>
      <c r="AU587" s="170" t="s">
        <v>6755</v>
      </c>
      <c r="AV587" s="169" t="s">
        <v>4179</v>
      </c>
      <c r="AW587" s="170" t="s">
        <v>3054</v>
      </c>
      <c r="AX587" s="169" t="s">
        <v>4179</v>
      </c>
      <c r="AY587" t="s">
        <v>1017</v>
      </c>
      <c r="AZ587" t="s">
        <v>4179</v>
      </c>
    </row>
    <row r="588" spans="1:52" x14ac:dyDescent="0.35">
      <c r="A588" s="511" t="s">
        <v>3545</v>
      </c>
      <c r="B588" s="173" t="s">
        <v>5547</v>
      </c>
      <c r="C588" s="173" t="s">
        <v>3726</v>
      </c>
      <c r="D588" s="173" t="s">
        <v>6756</v>
      </c>
      <c r="E588" s="173" t="s">
        <v>1980</v>
      </c>
      <c r="F588" s="374">
        <v>15.91</v>
      </c>
      <c r="G588" s="631">
        <v>45291</v>
      </c>
      <c r="H588" s="633">
        <v>45268</v>
      </c>
      <c r="K588" s="11"/>
      <c r="M588" s="37">
        <v>15.91</v>
      </c>
      <c r="N588" s="29">
        <v>9</v>
      </c>
      <c r="O588" s="71"/>
      <c r="P588" s="59"/>
      <c r="S588" t="s">
        <v>4179</v>
      </c>
      <c r="T588" t="s">
        <v>1017</v>
      </c>
      <c r="U588" s="60"/>
      <c r="V588" s="50"/>
      <c r="W588" t="s">
        <v>1017</v>
      </c>
      <c r="Y588" s="50"/>
      <c r="Z588" s="50"/>
      <c r="AA588" s="50"/>
      <c r="AB588" s="50"/>
      <c r="AC588" s="50"/>
      <c r="AD588" s="50"/>
      <c r="AE588" s="75"/>
      <c r="AH588" s="171" t="s">
        <v>4178</v>
      </c>
      <c r="AI588" s="168" t="s">
        <v>4179</v>
      </c>
      <c r="AJ588" s="168" t="s">
        <v>4179</v>
      </c>
      <c r="AK588" s="168" t="s">
        <v>4179</v>
      </c>
      <c r="AL588" s="168" t="s">
        <v>4179</v>
      </c>
      <c r="AM588" s="168" t="s">
        <v>4179</v>
      </c>
      <c r="AN588" s="167" t="s">
        <v>4178</v>
      </c>
      <c r="AO588" s="167" t="s">
        <v>4178</v>
      </c>
      <c r="AP588" s="167" t="s">
        <v>4178</v>
      </c>
      <c r="AQ588" s="169" t="s">
        <v>4179</v>
      </c>
      <c r="AR588" s="170" t="s">
        <v>3545</v>
      </c>
      <c r="AS588" s="169" t="s">
        <v>4179</v>
      </c>
      <c r="AT588">
        <v>14</v>
      </c>
      <c r="AU588" s="170" t="s">
        <v>6756</v>
      </c>
      <c r="AV588" s="169" t="s">
        <v>4179</v>
      </c>
      <c r="AW588" s="170" t="s">
        <v>1980</v>
      </c>
      <c r="AX588" s="169" t="s">
        <v>4179</v>
      </c>
      <c r="AY588" t="s">
        <v>4179</v>
      </c>
      <c r="AZ588" t="s">
        <v>1017</v>
      </c>
    </row>
    <row r="589" spans="1:52" x14ac:dyDescent="0.35">
      <c r="A589" s="496" t="s">
        <v>4805</v>
      </c>
      <c r="B589" s="1" t="s">
        <v>5547</v>
      </c>
      <c r="C589" s="1" t="s">
        <v>3726</v>
      </c>
      <c r="D589" s="1" t="s">
        <v>6757</v>
      </c>
      <c r="E589" s="151" t="s">
        <v>4809</v>
      </c>
      <c r="F589" s="375">
        <v>11.5</v>
      </c>
      <c r="G589" s="631">
        <v>45291</v>
      </c>
      <c r="H589" s="633">
        <v>45268</v>
      </c>
      <c r="K589" s="11"/>
      <c r="M589" s="37">
        <v>11.5</v>
      </c>
      <c r="N589" s="29">
        <v>9</v>
      </c>
      <c r="O589" s="71"/>
      <c r="P589" s="59"/>
      <c r="S589" t="s">
        <v>4179</v>
      </c>
      <c r="T589" t="s">
        <v>4179</v>
      </c>
      <c r="U589" s="60"/>
      <c r="V589" s="50"/>
      <c r="X589" t="s">
        <v>1017</v>
      </c>
      <c r="Y589" s="50"/>
      <c r="Z589" s="50"/>
      <c r="AA589" s="50"/>
      <c r="AB589" s="50"/>
      <c r="AC589" s="50"/>
      <c r="AD589" s="50"/>
      <c r="AE589" s="75"/>
      <c r="AH589" s="166" t="s">
        <v>4179</v>
      </c>
      <c r="AI589" s="168" t="s">
        <v>4179</v>
      </c>
      <c r="AJ589" s="168" t="s">
        <v>4179</v>
      </c>
      <c r="AK589" s="168" t="s">
        <v>4179</v>
      </c>
      <c r="AL589" s="168" t="s">
        <v>4179</v>
      </c>
      <c r="AM589" s="168" t="s">
        <v>4179</v>
      </c>
      <c r="AN589" s="167" t="s">
        <v>4179</v>
      </c>
      <c r="AO589" s="167" t="s">
        <v>4179</v>
      </c>
      <c r="AP589" s="167" t="s">
        <v>4179</v>
      </c>
      <c r="AQ589" s="169" t="s">
        <v>4179</v>
      </c>
      <c r="AR589" s="170" t="s">
        <v>4805</v>
      </c>
      <c r="AS589" s="169" t="s">
        <v>4179</v>
      </c>
      <c r="AT589">
        <v>14</v>
      </c>
      <c r="AU589" s="170" t="s">
        <v>6757</v>
      </c>
      <c r="AV589" s="169" t="s">
        <v>4179</v>
      </c>
      <c r="AW589" s="170" t="s">
        <v>4809</v>
      </c>
      <c r="AX589" s="169" t="s">
        <v>4179</v>
      </c>
      <c r="AY589" t="s">
        <v>4179</v>
      </c>
      <c r="AZ589" t="s">
        <v>4179</v>
      </c>
    </row>
    <row r="590" spans="1:52" x14ac:dyDescent="0.35">
      <c r="A590" s="497" t="s">
        <v>2618</v>
      </c>
      <c r="B590" s="13" t="s">
        <v>5547</v>
      </c>
      <c r="C590" s="13" t="s">
        <v>3726</v>
      </c>
      <c r="D590" s="13" t="s">
        <v>6758</v>
      </c>
      <c r="E590" s="13" t="s">
        <v>674</v>
      </c>
      <c r="F590" s="373">
        <v>14.5</v>
      </c>
      <c r="G590" s="631">
        <v>45291</v>
      </c>
      <c r="H590" s="633">
        <v>45268</v>
      </c>
      <c r="K590" s="11"/>
      <c r="M590" s="37">
        <v>14.5</v>
      </c>
      <c r="N590" s="29">
        <v>9</v>
      </c>
      <c r="O590" s="71"/>
      <c r="P590" s="59"/>
      <c r="Q590" t="s">
        <v>1017</v>
      </c>
      <c r="S590" t="s">
        <v>4179</v>
      </c>
      <c r="T590" t="s">
        <v>4179</v>
      </c>
      <c r="U590" s="60"/>
      <c r="V590" s="50"/>
      <c r="X590" t="s">
        <v>1017</v>
      </c>
      <c r="Y590" s="50"/>
      <c r="Z590" s="50"/>
      <c r="AA590" s="50"/>
      <c r="AB590" s="50"/>
      <c r="AC590" s="50"/>
      <c r="AD590" s="50"/>
      <c r="AE590" s="75"/>
      <c r="AH590" s="166" t="s">
        <v>4179</v>
      </c>
      <c r="AI590" s="168" t="s">
        <v>4179</v>
      </c>
      <c r="AJ590" s="168" t="s">
        <v>4179</v>
      </c>
      <c r="AK590" s="168" t="s">
        <v>4179</v>
      </c>
      <c r="AL590" s="168" t="s">
        <v>4179</v>
      </c>
      <c r="AM590" s="168" t="s">
        <v>4179</v>
      </c>
      <c r="AN590" s="167" t="s">
        <v>4179</v>
      </c>
      <c r="AO590" s="167" t="s">
        <v>4179</v>
      </c>
      <c r="AP590" s="167" t="s">
        <v>4179</v>
      </c>
      <c r="AQ590" s="169" t="s">
        <v>4179</v>
      </c>
      <c r="AR590" s="170" t="s">
        <v>2618</v>
      </c>
      <c r="AS590" s="169" t="s">
        <v>4179</v>
      </c>
      <c r="AT590">
        <v>14</v>
      </c>
      <c r="AU590" s="170" t="s">
        <v>6758</v>
      </c>
      <c r="AV590" s="169" t="s">
        <v>4179</v>
      </c>
      <c r="AW590" s="170" t="s">
        <v>674</v>
      </c>
      <c r="AX590" s="169" t="s">
        <v>4179</v>
      </c>
      <c r="AY590" t="s">
        <v>4179</v>
      </c>
      <c r="AZ590" t="s">
        <v>4179</v>
      </c>
    </row>
    <row r="591" spans="1:52" x14ac:dyDescent="0.35">
      <c r="A591" s="497" t="s">
        <v>1625</v>
      </c>
      <c r="B591" s="13" t="s">
        <v>5547</v>
      </c>
      <c r="C591" s="13" t="s">
        <v>3726</v>
      </c>
      <c r="D591" s="13" t="s">
        <v>6759</v>
      </c>
      <c r="E591" s="13" t="s">
        <v>3566</v>
      </c>
      <c r="F591" s="373">
        <v>14.47</v>
      </c>
      <c r="G591" s="631">
        <v>45291</v>
      </c>
      <c r="H591" s="633">
        <v>45268</v>
      </c>
      <c r="K591" s="11"/>
      <c r="M591" s="37">
        <v>14.47</v>
      </c>
      <c r="N591" s="29">
        <v>9</v>
      </c>
      <c r="O591" s="71"/>
      <c r="P591" s="59"/>
      <c r="R591" t="s">
        <v>1017</v>
      </c>
      <c r="S591" t="s">
        <v>4179</v>
      </c>
      <c r="T591" t="s">
        <v>4179</v>
      </c>
      <c r="U591" s="60"/>
      <c r="V591" s="50"/>
      <c r="X591" t="s">
        <v>1017</v>
      </c>
      <c r="Y591" s="50"/>
      <c r="Z591" s="50"/>
      <c r="AA591" s="50"/>
      <c r="AB591" s="50"/>
      <c r="AC591" s="50"/>
      <c r="AD591" s="50"/>
      <c r="AE591" s="75"/>
      <c r="AH591" s="166" t="s">
        <v>8228</v>
      </c>
      <c r="AI591" s="168" t="s">
        <v>4179</v>
      </c>
      <c r="AJ591" s="168" t="s">
        <v>4179</v>
      </c>
      <c r="AK591" s="168" t="s">
        <v>4179</v>
      </c>
      <c r="AL591" s="168" t="s">
        <v>4179</v>
      </c>
      <c r="AM591" s="168" t="s">
        <v>4179</v>
      </c>
      <c r="AN591" s="167" t="s">
        <v>8228</v>
      </c>
      <c r="AO591" s="167" t="s">
        <v>8228</v>
      </c>
      <c r="AP591" s="167" t="s">
        <v>8228</v>
      </c>
      <c r="AQ591" s="169" t="s">
        <v>4179</v>
      </c>
      <c r="AR591" s="170" t="s">
        <v>1625</v>
      </c>
      <c r="AS591" s="169" t="s">
        <v>4179</v>
      </c>
      <c r="AT591">
        <v>14</v>
      </c>
      <c r="AU591" s="170" t="s">
        <v>6759</v>
      </c>
      <c r="AV591" s="169" t="s">
        <v>4179</v>
      </c>
      <c r="AW591" s="170" t="s">
        <v>3566</v>
      </c>
      <c r="AX591" s="169" t="s">
        <v>4179</v>
      </c>
      <c r="AY591" t="s">
        <v>4179</v>
      </c>
      <c r="AZ591" t="s">
        <v>4179</v>
      </c>
    </row>
    <row r="592" spans="1:52" x14ac:dyDescent="0.35">
      <c r="A592" s="497" t="s">
        <v>5239</v>
      </c>
      <c r="B592" s="13" t="s">
        <v>5547</v>
      </c>
      <c r="C592" s="13" t="s">
        <v>3726</v>
      </c>
      <c r="D592" s="13" t="s">
        <v>6760</v>
      </c>
      <c r="E592" s="13" t="s">
        <v>3054</v>
      </c>
      <c r="F592" s="373">
        <v>14.44</v>
      </c>
      <c r="G592" s="631">
        <v>45291</v>
      </c>
      <c r="H592" s="633">
        <v>45268</v>
      </c>
      <c r="K592" s="11"/>
      <c r="M592" s="37">
        <v>14.44</v>
      </c>
      <c r="N592" s="29">
        <v>9</v>
      </c>
      <c r="O592" s="71"/>
      <c r="P592" s="59"/>
      <c r="S592" t="s">
        <v>1017</v>
      </c>
      <c r="T592" t="s">
        <v>4179</v>
      </c>
      <c r="U592" s="60"/>
      <c r="V592" s="50"/>
      <c r="X592" t="s">
        <v>1017</v>
      </c>
      <c r="Y592" s="50"/>
      <c r="Z592" s="50"/>
      <c r="AA592" s="50"/>
      <c r="AB592" s="50"/>
      <c r="AC592" s="50"/>
      <c r="AD592" s="50"/>
      <c r="AE592" s="75"/>
      <c r="AH592" s="166" t="s">
        <v>8229</v>
      </c>
      <c r="AI592" s="168" t="s">
        <v>4179</v>
      </c>
      <c r="AJ592" s="168" t="s">
        <v>4179</v>
      </c>
      <c r="AK592" s="168" t="s">
        <v>4179</v>
      </c>
      <c r="AL592" s="168" t="s">
        <v>4179</v>
      </c>
      <c r="AM592" s="168" t="s">
        <v>4179</v>
      </c>
      <c r="AN592" s="167" t="s">
        <v>8229</v>
      </c>
      <c r="AO592" s="167" t="s">
        <v>8229</v>
      </c>
      <c r="AP592" s="167" t="s">
        <v>8229</v>
      </c>
      <c r="AQ592" s="169" t="s">
        <v>4179</v>
      </c>
      <c r="AR592" s="170" t="s">
        <v>5239</v>
      </c>
      <c r="AS592" s="169" t="s">
        <v>4179</v>
      </c>
      <c r="AT592">
        <v>14</v>
      </c>
      <c r="AU592" s="170" t="s">
        <v>6760</v>
      </c>
      <c r="AV592" s="169" t="s">
        <v>4179</v>
      </c>
      <c r="AW592" s="170" t="s">
        <v>3054</v>
      </c>
      <c r="AX592" s="169" t="s">
        <v>4179</v>
      </c>
      <c r="AY592" t="s">
        <v>1017</v>
      </c>
      <c r="AZ592" t="s">
        <v>4179</v>
      </c>
    </row>
    <row r="593" spans="1:52" x14ac:dyDescent="0.35">
      <c r="A593" s="511" t="s">
        <v>3546</v>
      </c>
      <c r="B593" s="173" t="s">
        <v>5547</v>
      </c>
      <c r="C593" s="173" t="s">
        <v>3726</v>
      </c>
      <c r="D593" s="173" t="s">
        <v>6761</v>
      </c>
      <c r="E593" s="173" t="s">
        <v>1980</v>
      </c>
      <c r="F593" s="374">
        <v>14.41</v>
      </c>
      <c r="G593" s="631">
        <v>45291</v>
      </c>
      <c r="H593" s="633">
        <v>45268</v>
      </c>
      <c r="K593" s="11"/>
      <c r="M593" s="37">
        <v>14.41</v>
      </c>
      <c r="N593" s="29">
        <v>9</v>
      </c>
      <c r="O593" s="71"/>
      <c r="P593" s="59"/>
      <c r="S593" t="s">
        <v>4179</v>
      </c>
      <c r="T593" t="s">
        <v>1017</v>
      </c>
      <c r="U593" s="60"/>
      <c r="V593" s="50"/>
      <c r="X593" t="s">
        <v>1017</v>
      </c>
      <c r="Y593" s="50"/>
      <c r="Z593" s="50"/>
      <c r="AA593" s="50"/>
      <c r="AB593" s="50"/>
      <c r="AC593" s="50"/>
      <c r="AD593" s="50"/>
      <c r="AE593" s="75"/>
      <c r="AH593" s="171" t="s">
        <v>4178</v>
      </c>
      <c r="AI593" s="168" t="s">
        <v>4179</v>
      </c>
      <c r="AJ593" s="168" t="s">
        <v>4179</v>
      </c>
      <c r="AK593" s="168" t="s">
        <v>4179</v>
      </c>
      <c r="AL593" s="168" t="s">
        <v>4179</v>
      </c>
      <c r="AM593" s="168" t="s">
        <v>4179</v>
      </c>
      <c r="AN593" s="167" t="s">
        <v>4178</v>
      </c>
      <c r="AO593" s="167" t="s">
        <v>4178</v>
      </c>
      <c r="AP593" s="167" t="s">
        <v>4178</v>
      </c>
      <c r="AQ593" s="169" t="s">
        <v>4179</v>
      </c>
      <c r="AR593" s="170" t="s">
        <v>3546</v>
      </c>
      <c r="AS593" s="169" t="s">
        <v>4179</v>
      </c>
      <c r="AT593">
        <v>14</v>
      </c>
      <c r="AU593" s="170" t="s">
        <v>6761</v>
      </c>
      <c r="AV593" s="169" t="s">
        <v>4179</v>
      </c>
      <c r="AW593" s="170" t="s">
        <v>1980</v>
      </c>
      <c r="AX593" s="169" t="s">
        <v>4179</v>
      </c>
      <c r="AY593" t="s">
        <v>4179</v>
      </c>
      <c r="AZ593" t="s">
        <v>1017</v>
      </c>
    </row>
    <row r="594" spans="1:52" x14ac:dyDescent="0.35">
      <c r="A594" s="496" t="s">
        <v>4806</v>
      </c>
      <c r="B594" s="1" t="s">
        <v>5547</v>
      </c>
      <c r="C594" s="1" t="s">
        <v>3726</v>
      </c>
      <c r="D594" s="1" t="s">
        <v>7357</v>
      </c>
      <c r="E594" s="151" t="s">
        <v>4809</v>
      </c>
      <c r="F594" s="375">
        <v>8.5</v>
      </c>
      <c r="G594" s="631">
        <v>45291</v>
      </c>
      <c r="H594" s="633">
        <v>45268</v>
      </c>
      <c r="K594" s="11"/>
      <c r="M594" s="37">
        <v>8.5</v>
      </c>
      <c r="N594" s="29">
        <v>8.5</v>
      </c>
      <c r="O594" s="71"/>
      <c r="P594" s="59"/>
      <c r="S594" t="s">
        <v>4179</v>
      </c>
      <c r="T594" t="s">
        <v>4179</v>
      </c>
      <c r="U594" s="60"/>
      <c r="V594" s="50"/>
      <c r="W594" s="50"/>
      <c r="X594" s="50"/>
      <c r="Y594" s="50"/>
      <c r="Z594" s="50"/>
      <c r="AA594" s="50"/>
      <c r="AB594" s="50"/>
      <c r="AC594" s="50"/>
      <c r="AD594" s="50"/>
      <c r="AE594" s="75"/>
      <c r="AH594" s="166" t="s">
        <v>4179</v>
      </c>
      <c r="AI594" s="168" t="s">
        <v>4179</v>
      </c>
      <c r="AJ594" s="168" t="s">
        <v>4179</v>
      </c>
      <c r="AK594" s="168" t="s">
        <v>4179</v>
      </c>
      <c r="AL594" s="168" t="s">
        <v>4179</v>
      </c>
      <c r="AM594" s="168" t="s">
        <v>4179</v>
      </c>
      <c r="AN594" s="167" t="s">
        <v>4179</v>
      </c>
      <c r="AO594" s="167" t="s">
        <v>4179</v>
      </c>
      <c r="AP594" s="167" t="s">
        <v>4179</v>
      </c>
      <c r="AQ594" s="169" t="s">
        <v>4179</v>
      </c>
      <c r="AR594" s="170" t="s">
        <v>4806</v>
      </c>
      <c r="AS594" s="169" t="s">
        <v>4179</v>
      </c>
      <c r="AT594">
        <v>14</v>
      </c>
      <c r="AU594" s="170" t="s">
        <v>7357</v>
      </c>
      <c r="AV594" s="169" t="s">
        <v>4179</v>
      </c>
      <c r="AW594" s="170" t="s">
        <v>4809</v>
      </c>
      <c r="AX594" s="169" t="s">
        <v>4179</v>
      </c>
      <c r="AY594" t="s">
        <v>4179</v>
      </c>
      <c r="AZ594" t="s">
        <v>4179</v>
      </c>
    </row>
    <row r="595" spans="1:52" x14ac:dyDescent="0.35">
      <c r="A595" s="497" t="s">
        <v>2619</v>
      </c>
      <c r="B595" s="13" t="s">
        <v>5547</v>
      </c>
      <c r="C595" s="13" t="s">
        <v>3726</v>
      </c>
      <c r="D595" s="13" t="s">
        <v>7358</v>
      </c>
      <c r="E595" s="13" t="s">
        <v>674</v>
      </c>
      <c r="F595" s="373">
        <v>11.5</v>
      </c>
      <c r="G595" s="631">
        <v>45291</v>
      </c>
      <c r="H595" s="633">
        <v>45268</v>
      </c>
      <c r="K595" s="11"/>
      <c r="M595" s="37">
        <v>11.5</v>
      </c>
      <c r="N595" s="29">
        <v>8.5</v>
      </c>
      <c r="O595" s="71"/>
      <c r="P595" s="59"/>
      <c r="Q595" t="s">
        <v>1017</v>
      </c>
      <c r="S595" t="s">
        <v>4179</v>
      </c>
      <c r="T595" t="s">
        <v>4179</v>
      </c>
      <c r="U595" s="60"/>
      <c r="V595" s="50"/>
      <c r="W595" s="50"/>
      <c r="X595" s="50"/>
      <c r="Y595" s="50"/>
      <c r="Z595" s="50"/>
      <c r="AA595" s="50"/>
      <c r="AB595" s="50"/>
      <c r="AC595" s="50"/>
      <c r="AD595" s="50"/>
      <c r="AE595" s="75"/>
      <c r="AH595" s="166" t="s">
        <v>4179</v>
      </c>
      <c r="AI595" s="168" t="s">
        <v>4179</v>
      </c>
      <c r="AJ595" s="168" t="s">
        <v>4179</v>
      </c>
      <c r="AK595" s="168" t="s">
        <v>4179</v>
      </c>
      <c r="AL595" s="168" t="s">
        <v>4179</v>
      </c>
      <c r="AM595" s="168" t="s">
        <v>4179</v>
      </c>
      <c r="AN595" s="167" t="s">
        <v>4179</v>
      </c>
      <c r="AO595" s="167" t="s">
        <v>4179</v>
      </c>
      <c r="AP595" s="167" t="s">
        <v>4179</v>
      </c>
      <c r="AQ595" s="169" t="s">
        <v>4179</v>
      </c>
      <c r="AR595" s="170" t="s">
        <v>2619</v>
      </c>
      <c r="AS595" s="169" t="s">
        <v>4179</v>
      </c>
      <c r="AT595">
        <v>14</v>
      </c>
      <c r="AU595" s="170" t="s">
        <v>7358</v>
      </c>
      <c r="AV595" s="169" t="s">
        <v>4179</v>
      </c>
      <c r="AW595" s="170" t="s">
        <v>674</v>
      </c>
      <c r="AX595" s="169" t="s">
        <v>4179</v>
      </c>
      <c r="AY595" t="s">
        <v>4179</v>
      </c>
      <c r="AZ595" t="s">
        <v>4179</v>
      </c>
    </row>
    <row r="596" spans="1:52" x14ac:dyDescent="0.35">
      <c r="A596" s="497" t="s">
        <v>1626</v>
      </c>
      <c r="B596" s="13" t="s">
        <v>5547</v>
      </c>
      <c r="C596" s="13" t="s">
        <v>3726</v>
      </c>
      <c r="D596" s="13" t="s">
        <v>7359</v>
      </c>
      <c r="E596" s="13" t="s">
        <v>3566</v>
      </c>
      <c r="F596" s="373">
        <v>11.47</v>
      </c>
      <c r="G596" s="631">
        <v>45291</v>
      </c>
      <c r="H596" s="633">
        <v>45268</v>
      </c>
      <c r="K596" s="11"/>
      <c r="M596" s="37">
        <v>11.47</v>
      </c>
      <c r="N596" s="29">
        <v>8.5</v>
      </c>
      <c r="O596" s="71"/>
      <c r="P596" s="59"/>
      <c r="R596" t="s">
        <v>1017</v>
      </c>
      <c r="S596" t="s">
        <v>4179</v>
      </c>
      <c r="T596" t="s">
        <v>4179</v>
      </c>
      <c r="U596" s="60"/>
      <c r="V596" s="50"/>
      <c r="W596" s="50"/>
      <c r="X596" s="50"/>
      <c r="Y596" s="50"/>
      <c r="Z596" s="50"/>
      <c r="AA596" s="50"/>
      <c r="AB596" s="50"/>
      <c r="AC596" s="50"/>
      <c r="AD596" s="50"/>
      <c r="AE596" s="75"/>
      <c r="AH596" s="166" t="s">
        <v>8228</v>
      </c>
      <c r="AI596" s="168" t="s">
        <v>4179</v>
      </c>
      <c r="AJ596" s="168" t="s">
        <v>4179</v>
      </c>
      <c r="AK596" s="168" t="s">
        <v>4179</v>
      </c>
      <c r="AL596" s="168" t="s">
        <v>4179</v>
      </c>
      <c r="AM596" s="168" t="s">
        <v>4179</v>
      </c>
      <c r="AN596" s="167" t="s">
        <v>8228</v>
      </c>
      <c r="AO596" s="167" t="s">
        <v>8228</v>
      </c>
      <c r="AP596" s="167" t="s">
        <v>8228</v>
      </c>
      <c r="AQ596" s="169" t="s">
        <v>4179</v>
      </c>
      <c r="AR596" s="170" t="s">
        <v>1626</v>
      </c>
      <c r="AS596" s="169" t="s">
        <v>4179</v>
      </c>
      <c r="AT596">
        <v>14</v>
      </c>
      <c r="AU596" s="170" t="s">
        <v>7359</v>
      </c>
      <c r="AV596" s="169" t="s">
        <v>4179</v>
      </c>
      <c r="AW596" s="170" t="s">
        <v>3566</v>
      </c>
      <c r="AX596" s="169" t="s">
        <v>4179</v>
      </c>
      <c r="AY596" t="s">
        <v>4179</v>
      </c>
      <c r="AZ596" t="s">
        <v>4179</v>
      </c>
    </row>
    <row r="597" spans="1:52" x14ac:dyDescent="0.35">
      <c r="A597" s="497" t="s">
        <v>5240</v>
      </c>
      <c r="B597" s="13" t="s">
        <v>5547</v>
      </c>
      <c r="C597" s="13" t="s">
        <v>3726</v>
      </c>
      <c r="D597" s="13" t="s">
        <v>7360</v>
      </c>
      <c r="E597" s="13" t="s">
        <v>3054</v>
      </c>
      <c r="F597" s="373">
        <v>11.44</v>
      </c>
      <c r="G597" s="631">
        <v>45291</v>
      </c>
      <c r="H597" s="633">
        <v>45268</v>
      </c>
      <c r="K597" s="11"/>
      <c r="M597" s="37">
        <v>11.44</v>
      </c>
      <c r="N597" s="29">
        <v>8.5</v>
      </c>
      <c r="O597" s="71"/>
      <c r="P597" s="59"/>
      <c r="S597" t="s">
        <v>1017</v>
      </c>
      <c r="T597" t="s">
        <v>4179</v>
      </c>
      <c r="U597" s="60"/>
      <c r="V597" s="50"/>
      <c r="W597" s="50"/>
      <c r="X597" s="50"/>
      <c r="Y597" s="50"/>
      <c r="Z597" s="50"/>
      <c r="AA597" s="50"/>
      <c r="AB597" s="50"/>
      <c r="AC597" s="50"/>
      <c r="AD597" s="50"/>
      <c r="AE597" s="75"/>
      <c r="AH597" s="166" t="s">
        <v>8229</v>
      </c>
      <c r="AI597" s="168" t="s">
        <v>4179</v>
      </c>
      <c r="AJ597" s="168" t="s">
        <v>4179</v>
      </c>
      <c r="AK597" s="168" t="s">
        <v>4179</v>
      </c>
      <c r="AL597" s="168" t="s">
        <v>4179</v>
      </c>
      <c r="AM597" s="168" t="s">
        <v>4179</v>
      </c>
      <c r="AN597" s="167" t="s">
        <v>8229</v>
      </c>
      <c r="AO597" s="167" t="s">
        <v>8229</v>
      </c>
      <c r="AP597" s="167" t="s">
        <v>8229</v>
      </c>
      <c r="AQ597" s="169" t="s">
        <v>4179</v>
      </c>
      <c r="AR597" s="170" t="s">
        <v>5240</v>
      </c>
      <c r="AS597" s="169" t="s">
        <v>4179</v>
      </c>
      <c r="AT597">
        <v>14</v>
      </c>
      <c r="AU597" s="170" t="s">
        <v>7360</v>
      </c>
      <c r="AV597" s="169" t="s">
        <v>4179</v>
      </c>
      <c r="AW597" s="170" t="s">
        <v>3054</v>
      </c>
      <c r="AX597" s="169" t="s">
        <v>4179</v>
      </c>
      <c r="AY597" t="s">
        <v>1017</v>
      </c>
      <c r="AZ597" t="s">
        <v>4179</v>
      </c>
    </row>
    <row r="598" spans="1:52" x14ac:dyDescent="0.35">
      <c r="A598" s="511" t="s">
        <v>3547</v>
      </c>
      <c r="B598" s="173" t="s">
        <v>5547</v>
      </c>
      <c r="C598" s="173" t="s">
        <v>3726</v>
      </c>
      <c r="D598" s="173" t="s">
        <v>7361</v>
      </c>
      <c r="E598" s="173" t="s">
        <v>1980</v>
      </c>
      <c r="F598" s="374">
        <v>11.41</v>
      </c>
      <c r="G598" s="631">
        <v>45291</v>
      </c>
      <c r="H598" s="633">
        <v>45268</v>
      </c>
      <c r="K598" s="11"/>
      <c r="M598" s="37">
        <v>11.41</v>
      </c>
      <c r="N598" s="29">
        <v>8.5</v>
      </c>
      <c r="O598" s="71"/>
      <c r="P598" s="59"/>
      <c r="S598" t="s">
        <v>4179</v>
      </c>
      <c r="T598" t="s">
        <v>1017</v>
      </c>
      <c r="U598" s="60"/>
      <c r="V598" s="50"/>
      <c r="W598" s="50"/>
      <c r="X598" s="50"/>
      <c r="Y598" s="50"/>
      <c r="Z598" s="50"/>
      <c r="AA598" s="50"/>
      <c r="AB598" s="50"/>
      <c r="AC598" s="50"/>
      <c r="AD598" s="50"/>
      <c r="AE598" s="75"/>
      <c r="AH598" s="171" t="s">
        <v>4178</v>
      </c>
      <c r="AI598" s="168" t="s">
        <v>4179</v>
      </c>
      <c r="AJ598" s="168" t="s">
        <v>4179</v>
      </c>
      <c r="AK598" s="168" t="s">
        <v>4179</v>
      </c>
      <c r="AL598" s="168" t="s">
        <v>4179</v>
      </c>
      <c r="AM598" s="168" t="s">
        <v>4179</v>
      </c>
      <c r="AN598" s="167" t="s">
        <v>4178</v>
      </c>
      <c r="AO598" s="167" t="s">
        <v>4178</v>
      </c>
      <c r="AP598" s="167" t="s">
        <v>4178</v>
      </c>
      <c r="AQ598" s="169" t="s">
        <v>4179</v>
      </c>
      <c r="AR598" s="170" t="s">
        <v>3547</v>
      </c>
      <c r="AS598" s="169" t="s">
        <v>4179</v>
      </c>
      <c r="AT598">
        <v>14</v>
      </c>
      <c r="AU598" s="170" t="s">
        <v>7361</v>
      </c>
      <c r="AV598" s="169" t="s">
        <v>4179</v>
      </c>
      <c r="AW598" s="170" t="s">
        <v>1980</v>
      </c>
      <c r="AX598" s="169" t="s">
        <v>4179</v>
      </c>
      <c r="AY598" t="s">
        <v>4179</v>
      </c>
      <c r="AZ598" t="s">
        <v>1017</v>
      </c>
    </row>
    <row r="599" spans="1:52" x14ac:dyDescent="0.35">
      <c r="A599" s="497" t="s">
        <v>2799</v>
      </c>
      <c r="B599" s="17" t="s">
        <v>5547</v>
      </c>
      <c r="C599" s="17" t="s">
        <v>3726</v>
      </c>
      <c r="D599" s="13" t="s">
        <v>7377</v>
      </c>
      <c r="E599" s="13" t="s">
        <v>4179</v>
      </c>
      <c r="F599" s="373">
        <v>7</v>
      </c>
      <c r="G599" s="631">
        <v>45291</v>
      </c>
      <c r="H599" s="633">
        <v>45268</v>
      </c>
      <c r="K599" s="11"/>
      <c r="M599" s="37">
        <v>7</v>
      </c>
      <c r="N599" s="29">
        <v>7</v>
      </c>
      <c r="O599" s="71"/>
      <c r="P599" s="59"/>
      <c r="S599" t="s">
        <v>4179</v>
      </c>
      <c r="T599" t="s">
        <v>4179</v>
      </c>
      <c r="U599" s="60"/>
      <c r="V599" s="50"/>
      <c r="W599" s="50"/>
      <c r="X599" s="50"/>
      <c r="Y599" s="50"/>
      <c r="Z599" s="50"/>
      <c r="AA599" s="50"/>
      <c r="AB599" s="50"/>
      <c r="AC599" s="50"/>
      <c r="AD599" s="50"/>
      <c r="AE599" s="75"/>
      <c r="AH599" s="166" t="s">
        <v>4179</v>
      </c>
      <c r="AI599" s="168" t="s">
        <v>4179</v>
      </c>
      <c r="AJ599" s="168" t="s">
        <v>4179</v>
      </c>
      <c r="AK599" s="168" t="s">
        <v>4179</v>
      </c>
      <c r="AL599" s="168" t="s">
        <v>4179</v>
      </c>
      <c r="AM599" s="168" t="s">
        <v>4179</v>
      </c>
      <c r="AN599" s="167" t="s">
        <v>4179</v>
      </c>
      <c r="AO599" s="167" t="s">
        <v>4179</v>
      </c>
      <c r="AP599" s="167" t="s">
        <v>4179</v>
      </c>
      <c r="AQ599" s="169" t="s">
        <v>4179</v>
      </c>
      <c r="AR599" s="170" t="s">
        <v>2799</v>
      </c>
      <c r="AS599" s="169" t="s">
        <v>4179</v>
      </c>
      <c r="AT599">
        <v>14</v>
      </c>
      <c r="AU599" s="170" t="s">
        <v>7377</v>
      </c>
      <c r="AV599" s="169" t="s">
        <v>4179</v>
      </c>
      <c r="AW599" s="170" t="s">
        <v>4179</v>
      </c>
      <c r="AX599" s="169" t="s">
        <v>4179</v>
      </c>
      <c r="AY599" t="s">
        <v>4179</v>
      </c>
      <c r="AZ599" t="s">
        <v>4179</v>
      </c>
    </row>
    <row r="600" spans="1:52" x14ac:dyDescent="0.35">
      <c r="A600" s="497" t="s">
        <v>2661</v>
      </c>
      <c r="B600" s="13" t="s">
        <v>5547</v>
      </c>
      <c r="C600" s="17" t="s">
        <v>3726</v>
      </c>
      <c r="D600" s="13" t="s">
        <v>7378</v>
      </c>
      <c r="E600" s="13" t="s">
        <v>674</v>
      </c>
      <c r="F600" s="373">
        <v>10</v>
      </c>
      <c r="G600" s="631">
        <v>45291</v>
      </c>
      <c r="H600" s="633">
        <v>45268</v>
      </c>
      <c r="K600" s="11"/>
      <c r="M600" s="37">
        <v>10</v>
      </c>
      <c r="N600" s="29">
        <v>7</v>
      </c>
      <c r="O600" s="154"/>
      <c r="P600" s="59"/>
      <c r="Q600" t="s">
        <v>1017</v>
      </c>
      <c r="S600" t="s">
        <v>4179</v>
      </c>
      <c r="T600" t="s">
        <v>4179</v>
      </c>
      <c r="U600" s="60"/>
      <c r="V600" s="50"/>
      <c r="W600" s="50"/>
      <c r="X600" s="50"/>
      <c r="Y600" s="50"/>
      <c r="Z600" s="50"/>
      <c r="AA600" s="50"/>
      <c r="AB600" s="50"/>
      <c r="AC600" s="50"/>
      <c r="AD600" s="50"/>
      <c r="AE600" s="75"/>
      <c r="AH600" s="166" t="s">
        <v>4179</v>
      </c>
      <c r="AI600" s="168" t="s">
        <v>4179</v>
      </c>
      <c r="AJ600" s="168" t="s">
        <v>4179</v>
      </c>
      <c r="AK600" s="168" t="s">
        <v>4179</v>
      </c>
      <c r="AL600" s="168" t="s">
        <v>4179</v>
      </c>
      <c r="AM600" s="168" t="s">
        <v>4179</v>
      </c>
      <c r="AN600" s="167" t="s">
        <v>4179</v>
      </c>
      <c r="AO600" s="167" t="s">
        <v>4179</v>
      </c>
      <c r="AP600" s="167" t="s">
        <v>4179</v>
      </c>
      <c r="AQ600" s="169" t="s">
        <v>4179</v>
      </c>
      <c r="AR600" s="170" t="s">
        <v>2661</v>
      </c>
      <c r="AS600" s="169" t="s">
        <v>4179</v>
      </c>
      <c r="AT600">
        <v>14</v>
      </c>
      <c r="AU600" s="170" t="s">
        <v>7378</v>
      </c>
      <c r="AV600" s="169" t="s">
        <v>4179</v>
      </c>
      <c r="AW600" s="170" t="s">
        <v>674</v>
      </c>
      <c r="AX600" s="169" t="s">
        <v>4179</v>
      </c>
      <c r="AY600" t="s">
        <v>4179</v>
      </c>
      <c r="AZ600" t="s">
        <v>4179</v>
      </c>
    </row>
    <row r="601" spans="1:52" x14ac:dyDescent="0.35">
      <c r="A601" s="497" t="s">
        <v>1627</v>
      </c>
      <c r="B601" s="13" t="s">
        <v>5547</v>
      </c>
      <c r="C601" s="17" t="s">
        <v>3726</v>
      </c>
      <c r="D601" s="13" t="s">
        <v>7379</v>
      </c>
      <c r="E601" s="13" t="s">
        <v>3566</v>
      </c>
      <c r="F601" s="373">
        <v>9.9700000000000006</v>
      </c>
      <c r="G601" s="631">
        <v>45291</v>
      </c>
      <c r="H601" s="633">
        <v>45268</v>
      </c>
      <c r="K601" s="11"/>
      <c r="M601" s="37">
        <v>9.9700000000000006</v>
      </c>
      <c r="N601" s="29">
        <v>7</v>
      </c>
      <c r="O601" s="154"/>
      <c r="P601" s="59"/>
      <c r="R601" t="s">
        <v>1017</v>
      </c>
      <c r="S601" t="s">
        <v>4179</v>
      </c>
      <c r="T601" t="s">
        <v>4179</v>
      </c>
      <c r="U601" s="60"/>
      <c r="V601" s="50"/>
      <c r="W601" s="50"/>
      <c r="X601" s="50"/>
      <c r="Y601" s="50"/>
      <c r="Z601" s="50"/>
      <c r="AA601" s="50"/>
      <c r="AB601" s="50"/>
      <c r="AC601" s="50"/>
      <c r="AD601" s="50"/>
      <c r="AE601" s="75"/>
      <c r="AH601" s="166" t="s">
        <v>8228</v>
      </c>
      <c r="AI601" s="168" t="s">
        <v>4179</v>
      </c>
      <c r="AJ601" s="168" t="s">
        <v>4179</v>
      </c>
      <c r="AK601" s="168" t="s">
        <v>4179</v>
      </c>
      <c r="AL601" s="168" t="s">
        <v>4179</v>
      </c>
      <c r="AM601" s="168" t="s">
        <v>4179</v>
      </c>
      <c r="AN601" s="167" t="s">
        <v>8228</v>
      </c>
      <c r="AO601" s="167" t="s">
        <v>8228</v>
      </c>
      <c r="AP601" s="167" t="s">
        <v>8228</v>
      </c>
      <c r="AQ601" s="169" t="s">
        <v>4179</v>
      </c>
      <c r="AR601" s="170" t="s">
        <v>1627</v>
      </c>
      <c r="AS601" s="169" t="s">
        <v>4179</v>
      </c>
      <c r="AT601">
        <v>14</v>
      </c>
      <c r="AU601" s="170" t="s">
        <v>7379</v>
      </c>
      <c r="AV601" s="169" t="s">
        <v>4179</v>
      </c>
      <c r="AW601" s="170" t="s">
        <v>3566</v>
      </c>
      <c r="AX601" s="169" t="s">
        <v>4179</v>
      </c>
      <c r="AY601" t="s">
        <v>4179</v>
      </c>
      <c r="AZ601" t="s">
        <v>4179</v>
      </c>
    </row>
    <row r="602" spans="1:52" x14ac:dyDescent="0.35">
      <c r="A602" s="497" t="s">
        <v>5241</v>
      </c>
      <c r="B602" s="13" t="s">
        <v>5547</v>
      </c>
      <c r="C602" s="17" t="s">
        <v>3726</v>
      </c>
      <c r="D602" s="13" t="s">
        <v>7380</v>
      </c>
      <c r="E602" s="13" t="s">
        <v>3054</v>
      </c>
      <c r="F602" s="373">
        <v>9.94</v>
      </c>
      <c r="G602" s="631">
        <v>45291</v>
      </c>
      <c r="H602" s="633">
        <v>45268</v>
      </c>
      <c r="K602" s="11"/>
      <c r="M602" s="37">
        <v>9.94</v>
      </c>
      <c r="N602" s="29">
        <v>7</v>
      </c>
      <c r="O602" s="154"/>
      <c r="P602" s="59"/>
      <c r="S602" t="s">
        <v>1017</v>
      </c>
      <c r="T602" t="s">
        <v>4179</v>
      </c>
      <c r="U602" s="60"/>
      <c r="V602" s="50"/>
      <c r="W602" s="50"/>
      <c r="X602" s="50"/>
      <c r="Y602" s="50"/>
      <c r="Z602" s="50"/>
      <c r="AA602" s="50"/>
      <c r="AB602" s="50"/>
      <c r="AC602" s="50"/>
      <c r="AD602" s="50"/>
      <c r="AE602" s="75"/>
      <c r="AH602" s="166" t="s">
        <v>8229</v>
      </c>
      <c r="AI602" s="168" t="s">
        <v>4179</v>
      </c>
      <c r="AJ602" s="168" t="s">
        <v>4179</v>
      </c>
      <c r="AK602" s="168" t="s">
        <v>4179</v>
      </c>
      <c r="AL602" s="168" t="s">
        <v>4179</v>
      </c>
      <c r="AM602" s="168" t="s">
        <v>4179</v>
      </c>
      <c r="AN602" s="167" t="s">
        <v>8229</v>
      </c>
      <c r="AO602" s="167" t="s">
        <v>8229</v>
      </c>
      <c r="AP602" s="167" t="s">
        <v>8229</v>
      </c>
      <c r="AQ602" s="169" t="s">
        <v>4179</v>
      </c>
      <c r="AR602" s="170" t="s">
        <v>5241</v>
      </c>
      <c r="AS602" s="169" t="s">
        <v>4179</v>
      </c>
      <c r="AT602">
        <v>14</v>
      </c>
      <c r="AU602" s="170" t="s">
        <v>7380</v>
      </c>
      <c r="AV602" s="169" t="s">
        <v>4179</v>
      </c>
      <c r="AW602" s="170" t="s">
        <v>3054</v>
      </c>
      <c r="AX602" s="169" t="s">
        <v>4179</v>
      </c>
      <c r="AY602" t="s">
        <v>1017</v>
      </c>
      <c r="AZ602" t="s">
        <v>4179</v>
      </c>
    </row>
    <row r="603" spans="1:52" x14ac:dyDescent="0.35">
      <c r="A603" s="511" t="s">
        <v>3548</v>
      </c>
      <c r="B603" s="173" t="s">
        <v>5547</v>
      </c>
      <c r="C603" s="174" t="s">
        <v>3726</v>
      </c>
      <c r="D603" s="173" t="s">
        <v>7381</v>
      </c>
      <c r="E603" s="173" t="s">
        <v>1980</v>
      </c>
      <c r="F603" s="374">
        <v>9.91</v>
      </c>
      <c r="K603" s="11"/>
      <c r="M603" s="37">
        <v>9.91</v>
      </c>
      <c r="N603" s="29">
        <v>7</v>
      </c>
      <c r="O603" s="154"/>
      <c r="P603" s="59"/>
      <c r="S603" t="s">
        <v>4179</v>
      </c>
      <c r="T603" t="s">
        <v>1017</v>
      </c>
      <c r="U603" s="60"/>
      <c r="V603" s="50"/>
      <c r="W603" s="50"/>
      <c r="X603" s="50"/>
      <c r="Y603" s="50"/>
      <c r="Z603" s="50"/>
      <c r="AA603" s="50"/>
      <c r="AB603" s="50"/>
      <c r="AC603" s="50"/>
      <c r="AD603" s="50"/>
      <c r="AE603" s="75"/>
      <c r="AH603" s="171" t="s">
        <v>4178</v>
      </c>
      <c r="AI603" s="168" t="s">
        <v>4179</v>
      </c>
      <c r="AJ603" s="168" t="s">
        <v>4179</v>
      </c>
      <c r="AK603" s="168" t="s">
        <v>4179</v>
      </c>
      <c r="AL603" s="168" t="s">
        <v>4179</v>
      </c>
      <c r="AM603" s="168" t="s">
        <v>4179</v>
      </c>
      <c r="AN603" s="167" t="s">
        <v>4178</v>
      </c>
      <c r="AO603" s="167" t="s">
        <v>4178</v>
      </c>
      <c r="AP603" s="167" t="s">
        <v>4178</v>
      </c>
      <c r="AQ603" s="169" t="s">
        <v>4179</v>
      </c>
      <c r="AR603" s="170" t="s">
        <v>3548</v>
      </c>
      <c r="AS603" s="169" t="s">
        <v>4179</v>
      </c>
      <c r="AT603">
        <v>14</v>
      </c>
      <c r="AU603" s="170" t="s">
        <v>7381</v>
      </c>
      <c r="AV603" s="169" t="s">
        <v>4179</v>
      </c>
      <c r="AW603" s="170" t="s">
        <v>1980</v>
      </c>
      <c r="AX603" s="169" t="s">
        <v>4179</v>
      </c>
      <c r="AY603" t="s">
        <v>4179</v>
      </c>
      <c r="AZ603" t="s">
        <v>1017</v>
      </c>
    </row>
    <row r="604" spans="1:52" s="145" customFormat="1" x14ac:dyDescent="0.35">
      <c r="A604" s="496" t="s">
        <v>4179</v>
      </c>
      <c r="B604" s="1"/>
      <c r="C604" s="1"/>
      <c r="D604" s="1" t="s">
        <v>4179</v>
      </c>
      <c r="E604" s="1" t="s">
        <v>4179</v>
      </c>
      <c r="F604" s="375"/>
      <c r="G604" s="425"/>
      <c r="H604" s="10" t="s">
        <v>4179</v>
      </c>
      <c r="I604"/>
      <c r="J604"/>
      <c r="K604" s="11"/>
      <c r="L604"/>
      <c r="M604"/>
      <c r="N604"/>
      <c r="O604" s="75"/>
      <c r="P604"/>
      <c r="Q604"/>
      <c r="R604"/>
      <c r="S604" t="s">
        <v>4179</v>
      </c>
      <c r="T604" s="145" t="s">
        <v>4179</v>
      </c>
      <c r="U604" s="42"/>
      <c r="V604"/>
      <c r="W604"/>
      <c r="X604"/>
      <c r="Y604"/>
      <c r="Z604"/>
      <c r="AA604"/>
      <c r="AB604"/>
      <c r="AC604"/>
      <c r="AD604"/>
      <c r="AE604" s="75"/>
      <c r="AF604"/>
      <c r="AG604"/>
      <c r="AH604" s="166" t="s">
        <v>4179</v>
      </c>
      <c r="AI604" s="168" t="s">
        <v>4179</v>
      </c>
      <c r="AJ604" s="168" t="s">
        <v>4179</v>
      </c>
      <c r="AK604" s="168" t="s">
        <v>4179</v>
      </c>
      <c r="AL604" s="168" t="s">
        <v>4179</v>
      </c>
      <c r="AM604" s="168" t="s">
        <v>4179</v>
      </c>
      <c r="AN604" s="167" t="s">
        <v>4179</v>
      </c>
      <c r="AO604" s="167" t="s">
        <v>4179</v>
      </c>
      <c r="AP604" s="167" t="s">
        <v>4179</v>
      </c>
      <c r="AQ604" s="169" t="s">
        <v>4179</v>
      </c>
      <c r="AR604" s="170" t="s">
        <v>4179</v>
      </c>
      <c r="AS604" s="169" t="s">
        <v>4179</v>
      </c>
      <c r="AT604">
        <v>0</v>
      </c>
      <c r="AU604" s="170" t="s">
        <v>4179</v>
      </c>
      <c r="AV604" s="169" t="s">
        <v>4179</v>
      </c>
      <c r="AW604" s="170" t="s">
        <v>4179</v>
      </c>
      <c r="AX604" s="169" t="s">
        <v>4179</v>
      </c>
      <c r="AY604" t="s">
        <v>4179</v>
      </c>
      <c r="AZ604" t="s">
        <v>4179</v>
      </c>
    </row>
    <row r="605" spans="1:52" s="145" customFormat="1" x14ac:dyDescent="0.35">
      <c r="A605" s="502" t="s">
        <v>5784</v>
      </c>
      <c r="B605" s="301" t="s">
        <v>5547</v>
      </c>
      <c r="C605" s="301" t="s">
        <v>3726</v>
      </c>
      <c r="D605" s="301" t="s">
        <v>6853</v>
      </c>
      <c r="E605" s="301" t="s">
        <v>2826</v>
      </c>
      <c r="F605" s="376">
        <v>25.55</v>
      </c>
      <c r="G605" s="631">
        <v>45291</v>
      </c>
      <c r="H605" s="633">
        <v>45268</v>
      </c>
      <c r="I605"/>
      <c r="J605"/>
      <c r="K605" s="11"/>
      <c r="L605"/>
      <c r="M605" s="315">
        <v>25.55</v>
      </c>
      <c r="N605" s="29">
        <v>11.67</v>
      </c>
      <c r="O605" s="143"/>
      <c r="P605" s="320" t="s">
        <v>2827</v>
      </c>
      <c r="Q605" s="320"/>
      <c r="R605" s="321">
        <v>2013</v>
      </c>
      <c r="S605" s="320"/>
      <c r="T605" s="92">
        <v>2.88</v>
      </c>
      <c r="U605" s="146"/>
      <c r="W605" s="147"/>
      <c r="X605" s="147"/>
      <c r="Z605" s="145" t="s">
        <v>1017</v>
      </c>
      <c r="AA605" s="147"/>
      <c r="AD605" s="147"/>
      <c r="AE605" s="148"/>
      <c r="AH605" s="171" t="s">
        <v>4178</v>
      </c>
      <c r="AI605" s="168" t="s">
        <v>4179</v>
      </c>
      <c r="AJ605" s="168" t="s">
        <v>4179</v>
      </c>
      <c r="AK605" s="168" t="s">
        <v>4179</v>
      </c>
      <c r="AL605" s="168" t="s">
        <v>4179</v>
      </c>
      <c r="AM605" s="168" t="s">
        <v>4179</v>
      </c>
      <c r="AN605" s="167" t="s">
        <v>8230</v>
      </c>
      <c r="AO605" s="167" t="s">
        <v>8230</v>
      </c>
      <c r="AP605" s="167" t="s">
        <v>4179</v>
      </c>
      <c r="AQ605" s="169" t="s">
        <v>8231</v>
      </c>
      <c r="AR605" s="170" t="s">
        <v>3526</v>
      </c>
      <c r="AS605" s="169" t="s">
        <v>8231</v>
      </c>
      <c r="AT605">
        <v>14</v>
      </c>
      <c r="AU605" s="170" t="s">
        <v>6822</v>
      </c>
      <c r="AV605" s="169" t="s">
        <v>8231</v>
      </c>
      <c r="AW605" s="170" t="s">
        <v>1980</v>
      </c>
      <c r="AX605" s="169" t="s">
        <v>8231</v>
      </c>
      <c r="AY605" t="s">
        <v>4179</v>
      </c>
      <c r="AZ605" t="s">
        <v>1017</v>
      </c>
    </row>
    <row r="606" spans="1:52" x14ac:dyDescent="0.35">
      <c r="A606" s="502" t="s">
        <v>7513</v>
      </c>
      <c r="B606" s="301" t="s">
        <v>5547</v>
      </c>
      <c r="C606" s="301" t="s">
        <v>3726</v>
      </c>
      <c r="D606" s="301" t="s">
        <v>6854</v>
      </c>
      <c r="E606" s="301" t="s">
        <v>2826</v>
      </c>
      <c r="F606" s="376">
        <v>26.55</v>
      </c>
      <c r="G606" s="631">
        <v>45291</v>
      </c>
      <c r="H606" s="633">
        <v>45268</v>
      </c>
      <c r="K606" s="11"/>
      <c r="M606" s="315">
        <v>26.55</v>
      </c>
      <c r="N606" s="29">
        <v>11.67</v>
      </c>
      <c r="O606" s="319"/>
      <c r="P606" s="320" t="s">
        <v>2827</v>
      </c>
      <c r="Q606" s="320"/>
      <c r="R606" s="321">
        <v>2013</v>
      </c>
      <c r="S606" s="320"/>
      <c r="T606" s="92">
        <v>2.88</v>
      </c>
      <c r="U606" s="42" t="s">
        <v>1017</v>
      </c>
      <c r="V606" s="145"/>
      <c r="W606" s="147"/>
      <c r="X606" s="147"/>
      <c r="Y606" s="145"/>
      <c r="Z606" s="145" t="s">
        <v>1017</v>
      </c>
      <c r="AA606" s="147"/>
      <c r="AB606" s="145"/>
      <c r="AC606" s="145"/>
      <c r="AD606" s="147"/>
      <c r="AE606" s="148"/>
      <c r="AF606" s="145"/>
      <c r="AH606" s="171" t="s">
        <v>4178</v>
      </c>
      <c r="AI606" s="168" t="s">
        <v>4179</v>
      </c>
      <c r="AJ606" s="168" t="s">
        <v>4179</v>
      </c>
      <c r="AK606" s="168" t="s">
        <v>4179</v>
      </c>
      <c r="AL606" s="168" t="s">
        <v>4179</v>
      </c>
      <c r="AM606" s="168" t="s">
        <v>4179</v>
      </c>
      <c r="AN606" s="167" t="s">
        <v>8232</v>
      </c>
      <c r="AO606" s="167" t="s">
        <v>8232</v>
      </c>
      <c r="AP606" s="167" t="s">
        <v>4179</v>
      </c>
      <c r="AQ606" s="169" t="s">
        <v>8231</v>
      </c>
      <c r="AR606" s="170" t="s">
        <v>3520</v>
      </c>
      <c r="AS606" s="169" t="s">
        <v>8231</v>
      </c>
      <c r="AT606">
        <v>14</v>
      </c>
      <c r="AU606" s="170" t="s">
        <v>6868</v>
      </c>
      <c r="AV606" s="169" t="s">
        <v>8231</v>
      </c>
      <c r="AW606" s="170" t="s">
        <v>1980</v>
      </c>
      <c r="AX606" s="169" t="s">
        <v>8231</v>
      </c>
      <c r="AY606" t="s">
        <v>4179</v>
      </c>
      <c r="AZ606" t="s">
        <v>1017</v>
      </c>
    </row>
    <row r="607" spans="1:52" s="145" customFormat="1" x14ac:dyDescent="0.35">
      <c r="A607" s="502" t="s">
        <v>5785</v>
      </c>
      <c r="B607" s="301" t="s">
        <v>5547</v>
      </c>
      <c r="C607" s="301" t="s">
        <v>3726</v>
      </c>
      <c r="D607" s="301" t="s">
        <v>7077</v>
      </c>
      <c r="E607" s="301" t="s">
        <v>2826</v>
      </c>
      <c r="F607" s="376">
        <v>20.88</v>
      </c>
      <c r="G607" s="631">
        <v>45291</v>
      </c>
      <c r="H607" s="633">
        <v>45268</v>
      </c>
      <c r="I607"/>
      <c r="J607"/>
      <c r="K607" s="11"/>
      <c r="L607"/>
      <c r="M607" s="315">
        <v>20.88</v>
      </c>
      <c r="N607" s="29">
        <v>10</v>
      </c>
      <c r="O607" s="143"/>
      <c r="P607" s="320" t="s">
        <v>2827</v>
      </c>
      <c r="Q607" s="320"/>
      <c r="R607" s="321">
        <v>2013</v>
      </c>
      <c r="S607" s="320"/>
      <c r="T607" s="92">
        <v>2.88</v>
      </c>
      <c r="U607" s="146"/>
      <c r="W607" s="147"/>
      <c r="X607" s="147"/>
      <c r="Z607" s="147"/>
      <c r="AA607" s="145" t="s">
        <v>1017</v>
      </c>
      <c r="AC607" s="147"/>
      <c r="AE607" s="148"/>
      <c r="AH607" s="171" t="s">
        <v>4178</v>
      </c>
      <c r="AI607" s="168" t="s">
        <v>4179</v>
      </c>
      <c r="AJ607" s="168" t="s">
        <v>4179</v>
      </c>
      <c r="AK607" s="168" t="s">
        <v>4179</v>
      </c>
      <c r="AL607" s="168" t="s">
        <v>4179</v>
      </c>
      <c r="AM607" s="168" t="s">
        <v>4179</v>
      </c>
      <c r="AN607" s="167" t="s">
        <v>8230</v>
      </c>
      <c r="AO607" s="167" t="s">
        <v>8230</v>
      </c>
      <c r="AP607" s="167" t="s">
        <v>4179</v>
      </c>
      <c r="AQ607" s="169" t="s">
        <v>8231</v>
      </c>
      <c r="AR607" s="170" t="s">
        <v>3538</v>
      </c>
      <c r="AS607" s="169" t="s">
        <v>8231</v>
      </c>
      <c r="AT607">
        <v>14</v>
      </c>
      <c r="AU607" s="170" t="s">
        <v>7046</v>
      </c>
      <c r="AV607" s="169" t="s">
        <v>8231</v>
      </c>
      <c r="AW607" s="170" t="s">
        <v>1980</v>
      </c>
      <c r="AX607" s="169" t="s">
        <v>8231</v>
      </c>
      <c r="AY607" t="s">
        <v>4179</v>
      </c>
      <c r="AZ607" t="s">
        <v>1017</v>
      </c>
    </row>
    <row r="608" spans="1:52" x14ac:dyDescent="0.35">
      <c r="A608" s="502" t="s">
        <v>7514</v>
      </c>
      <c r="B608" s="301" t="s">
        <v>5547</v>
      </c>
      <c r="C608" s="301" t="s">
        <v>3726</v>
      </c>
      <c r="D608" s="301" t="s">
        <v>7078</v>
      </c>
      <c r="E608" s="301" t="s">
        <v>2826</v>
      </c>
      <c r="F608" s="376">
        <v>21.88</v>
      </c>
      <c r="G608" s="631">
        <v>45291</v>
      </c>
      <c r="H608" s="633">
        <v>45268</v>
      </c>
      <c r="K608" s="11"/>
      <c r="M608" s="315">
        <v>21.88</v>
      </c>
      <c r="N608" s="29">
        <v>10</v>
      </c>
      <c r="O608" s="319"/>
      <c r="P608" s="320" t="s">
        <v>2827</v>
      </c>
      <c r="Q608" s="320"/>
      <c r="R608" s="321">
        <v>2013</v>
      </c>
      <c r="S608" s="320"/>
      <c r="T608" s="92">
        <v>2.88</v>
      </c>
      <c r="U608" s="42" t="s">
        <v>1017</v>
      </c>
      <c r="V608" s="145"/>
      <c r="W608" s="147"/>
      <c r="X608" s="147"/>
      <c r="Y608" s="145"/>
      <c r="Z608" s="147"/>
      <c r="AA608" s="145" t="s">
        <v>1017</v>
      </c>
      <c r="AB608" s="145"/>
      <c r="AC608" s="147"/>
      <c r="AD608" s="145"/>
      <c r="AE608" s="148"/>
      <c r="AF608" s="145"/>
      <c r="AH608" s="171" t="s">
        <v>4178</v>
      </c>
      <c r="AI608" s="168" t="s">
        <v>4179</v>
      </c>
      <c r="AJ608" s="168" t="s">
        <v>4179</v>
      </c>
      <c r="AK608" s="168" t="s">
        <v>4179</v>
      </c>
      <c r="AL608" s="168" t="s">
        <v>4179</v>
      </c>
      <c r="AM608" s="168" t="s">
        <v>4179</v>
      </c>
      <c r="AN608" s="167" t="s">
        <v>8232</v>
      </c>
      <c r="AO608" s="167" t="s">
        <v>8232</v>
      </c>
      <c r="AP608" s="167" t="s">
        <v>4179</v>
      </c>
      <c r="AQ608" s="169" t="s">
        <v>8231</v>
      </c>
      <c r="AR608" s="170" t="s">
        <v>3527</v>
      </c>
      <c r="AS608" s="169" t="s">
        <v>8231</v>
      </c>
      <c r="AT608">
        <v>14</v>
      </c>
      <c r="AU608" s="170" t="s">
        <v>6828</v>
      </c>
      <c r="AV608" s="169" t="s">
        <v>8231</v>
      </c>
      <c r="AW608" s="170" t="s">
        <v>1980</v>
      </c>
      <c r="AX608" s="169" t="s">
        <v>8231</v>
      </c>
      <c r="AY608" t="s">
        <v>4179</v>
      </c>
      <c r="AZ608" t="s">
        <v>1017</v>
      </c>
    </row>
    <row r="609" spans="1:52" x14ac:dyDescent="0.35">
      <c r="A609" s="502" t="s">
        <v>5779</v>
      </c>
      <c r="B609" s="301" t="s">
        <v>5547</v>
      </c>
      <c r="C609" s="301" t="s">
        <v>3726</v>
      </c>
      <c r="D609" s="301" t="s">
        <v>7354</v>
      </c>
      <c r="E609" s="301" t="s">
        <v>5624</v>
      </c>
      <c r="F609" s="376">
        <v>14.49</v>
      </c>
      <c r="G609" s="631">
        <v>45291</v>
      </c>
      <c r="H609" s="633">
        <v>45268</v>
      </c>
      <c r="K609" s="11"/>
      <c r="M609" s="315">
        <v>14.49</v>
      </c>
      <c r="N609" s="29">
        <v>11.67</v>
      </c>
      <c r="O609" s="319"/>
      <c r="P609" s="320" t="s">
        <v>2827</v>
      </c>
      <c r="Q609" s="320"/>
      <c r="R609" s="321">
        <v>2015</v>
      </c>
      <c r="S609" s="320"/>
      <c r="T609" s="92">
        <v>2.82</v>
      </c>
      <c r="U609" s="42"/>
      <c r="W609" s="50"/>
      <c r="X609" s="50"/>
      <c r="Z609" s="145"/>
      <c r="AA609" s="147"/>
      <c r="AB609" s="145"/>
      <c r="AC609" s="145"/>
      <c r="AD609" s="147"/>
      <c r="AE609" s="148"/>
      <c r="AH609" s="171" t="s">
        <v>4178</v>
      </c>
      <c r="AI609" s="168" t="s">
        <v>8233</v>
      </c>
      <c r="AJ609" s="168" t="s">
        <v>4179</v>
      </c>
      <c r="AK609" s="168" t="s">
        <v>4179</v>
      </c>
      <c r="AL609" s="168" t="s">
        <v>4179</v>
      </c>
      <c r="AM609" s="168" t="s">
        <v>4179</v>
      </c>
      <c r="AN609" s="167" t="s">
        <v>8232</v>
      </c>
      <c r="AO609" s="167" t="s">
        <v>8232</v>
      </c>
      <c r="AP609" s="167" t="s">
        <v>4179</v>
      </c>
      <c r="AQ609" s="169" t="s">
        <v>8231</v>
      </c>
      <c r="AR609" s="170" t="s">
        <v>3532</v>
      </c>
      <c r="AS609" s="169" t="s">
        <v>8231</v>
      </c>
      <c r="AT609">
        <v>14</v>
      </c>
      <c r="AU609" s="170" t="s">
        <v>7091</v>
      </c>
      <c r="AV609" s="169" t="s">
        <v>8231</v>
      </c>
      <c r="AW609" s="170" t="s">
        <v>1980</v>
      </c>
      <c r="AX609" s="169" t="s">
        <v>8231</v>
      </c>
      <c r="AY609" t="s">
        <v>4179</v>
      </c>
      <c r="AZ609" t="s">
        <v>1017</v>
      </c>
    </row>
    <row r="610" spans="1:52" x14ac:dyDescent="0.35">
      <c r="A610" s="502" t="s">
        <v>5762</v>
      </c>
      <c r="B610" s="301" t="s">
        <v>5547</v>
      </c>
      <c r="C610" s="301" t="s">
        <v>3726</v>
      </c>
      <c r="D610" s="301" t="s">
        <v>6858</v>
      </c>
      <c r="E610" s="301" t="s">
        <v>5624</v>
      </c>
      <c r="F610" s="376">
        <v>26.490000000000002</v>
      </c>
      <c r="G610" s="631">
        <v>45291</v>
      </c>
      <c r="H610" s="633">
        <v>45268</v>
      </c>
      <c r="K610" s="11"/>
      <c r="M610" s="315">
        <v>26.490000000000002</v>
      </c>
      <c r="N610" s="29">
        <v>11.67</v>
      </c>
      <c r="O610" s="319"/>
      <c r="P610" s="320" t="s">
        <v>2827</v>
      </c>
      <c r="Q610" s="320"/>
      <c r="R610" s="321">
        <v>2015</v>
      </c>
      <c r="S610" s="320"/>
      <c r="T610" s="92">
        <v>2.82</v>
      </c>
      <c r="U610" s="146" t="s">
        <v>1017</v>
      </c>
      <c r="V610" s="145"/>
      <c r="W610" s="147"/>
      <c r="X610" s="147"/>
      <c r="Y610" s="145"/>
      <c r="Z610" s="145" t="s">
        <v>1017</v>
      </c>
      <c r="AA610" s="147"/>
      <c r="AB610" s="145"/>
      <c r="AC610" s="145"/>
      <c r="AD610" s="147"/>
      <c r="AE610" s="148"/>
      <c r="AH610" s="171" t="s">
        <v>4178</v>
      </c>
      <c r="AI610" s="168" t="s">
        <v>4179</v>
      </c>
      <c r="AJ610" s="168" t="s">
        <v>4179</v>
      </c>
      <c r="AK610" s="168" t="s">
        <v>4179</v>
      </c>
      <c r="AL610" s="168" t="s">
        <v>4179</v>
      </c>
      <c r="AM610" s="168" t="s">
        <v>4179</v>
      </c>
      <c r="AN610" s="167" t="s">
        <v>8232</v>
      </c>
      <c r="AO610" s="167" t="s">
        <v>8232</v>
      </c>
      <c r="AP610" s="167" t="s">
        <v>4179</v>
      </c>
      <c r="AQ610" s="169" t="s">
        <v>8231</v>
      </c>
      <c r="AR610" s="170" t="s">
        <v>3539</v>
      </c>
      <c r="AS610" s="169" t="s">
        <v>8231</v>
      </c>
      <c r="AT610">
        <v>14</v>
      </c>
      <c r="AU610" s="170" t="s">
        <v>7052</v>
      </c>
      <c r="AV610" s="169" t="s">
        <v>8231</v>
      </c>
      <c r="AW610" s="170" t="s">
        <v>1980</v>
      </c>
      <c r="AX610" s="169" t="s">
        <v>8231</v>
      </c>
      <c r="AY610" t="s">
        <v>4179</v>
      </c>
      <c r="AZ610" t="s">
        <v>1017</v>
      </c>
    </row>
    <row r="611" spans="1:52" s="145" customFormat="1" x14ac:dyDescent="0.35">
      <c r="A611" s="502" t="s">
        <v>5780</v>
      </c>
      <c r="B611" s="301" t="s">
        <v>5547</v>
      </c>
      <c r="C611" s="301" t="s">
        <v>3726</v>
      </c>
      <c r="D611" s="301" t="s">
        <v>7343</v>
      </c>
      <c r="E611" s="301" t="s">
        <v>5624</v>
      </c>
      <c r="F611" s="376">
        <v>12.82</v>
      </c>
      <c r="G611" s="631">
        <v>45291</v>
      </c>
      <c r="H611" s="633">
        <v>45268</v>
      </c>
      <c r="I611"/>
      <c r="J611"/>
      <c r="K611" s="11"/>
      <c r="L611"/>
      <c r="M611" s="315">
        <v>12.82</v>
      </c>
      <c r="N611" s="29">
        <v>10</v>
      </c>
      <c r="O611" s="319"/>
      <c r="P611" s="320" t="s">
        <v>2827</v>
      </c>
      <c r="Q611" s="320"/>
      <c r="R611" s="321">
        <v>2015</v>
      </c>
      <c r="S611" s="320"/>
      <c r="T611" s="92">
        <v>2.82</v>
      </c>
      <c r="U611" s="42"/>
      <c r="V611"/>
      <c r="W611" s="50"/>
      <c r="X611" s="50"/>
      <c r="Y611"/>
      <c r="Z611" s="50"/>
      <c r="AA611"/>
      <c r="AB611"/>
      <c r="AC611" s="50"/>
      <c r="AD611"/>
      <c r="AE611" s="148"/>
      <c r="AH611" s="171" t="s">
        <v>4178</v>
      </c>
      <c r="AI611" s="168" t="s">
        <v>8233</v>
      </c>
      <c r="AJ611" s="168" t="s">
        <v>4179</v>
      </c>
      <c r="AK611" s="168" t="s">
        <v>4179</v>
      </c>
      <c r="AL611" s="168" t="s">
        <v>4179</v>
      </c>
      <c r="AM611" s="168" t="s">
        <v>4179</v>
      </c>
      <c r="AN611" s="167" t="s">
        <v>8234</v>
      </c>
      <c r="AO611" s="167" t="s">
        <v>8234</v>
      </c>
      <c r="AP611" s="167" t="s">
        <v>4179</v>
      </c>
      <c r="AQ611" s="169" t="s">
        <v>8231</v>
      </c>
      <c r="AR611" s="170" t="s">
        <v>3527</v>
      </c>
      <c r="AS611" s="169" t="s">
        <v>8231</v>
      </c>
      <c r="AT611">
        <v>14</v>
      </c>
      <c r="AU611" s="170" t="s">
        <v>6828</v>
      </c>
      <c r="AV611" s="169" t="s">
        <v>8231</v>
      </c>
      <c r="AW611" s="170" t="s">
        <v>1980</v>
      </c>
      <c r="AX611" s="169" t="s">
        <v>8231</v>
      </c>
      <c r="AY611" t="s">
        <v>4179</v>
      </c>
      <c r="AZ611" t="s">
        <v>1017</v>
      </c>
    </row>
    <row r="612" spans="1:52" s="145" customFormat="1" x14ac:dyDescent="0.35">
      <c r="A612" s="502" t="s">
        <v>5763</v>
      </c>
      <c r="B612" s="301" t="s">
        <v>5547</v>
      </c>
      <c r="C612" s="301" t="s">
        <v>3726</v>
      </c>
      <c r="D612" s="301" t="s">
        <v>7083</v>
      </c>
      <c r="E612" s="301" t="s">
        <v>5624</v>
      </c>
      <c r="F612" s="376">
        <v>21.82</v>
      </c>
      <c r="G612" s="631">
        <v>45291</v>
      </c>
      <c r="H612" s="633">
        <v>45268</v>
      </c>
      <c r="I612"/>
      <c r="J612"/>
      <c r="K612" s="11"/>
      <c r="L612"/>
      <c r="M612" s="315">
        <v>21.82</v>
      </c>
      <c r="N612" s="29">
        <v>10</v>
      </c>
      <c r="O612" s="319"/>
      <c r="P612" s="320" t="s">
        <v>2827</v>
      </c>
      <c r="Q612" s="320"/>
      <c r="R612" s="321">
        <v>2015</v>
      </c>
      <c r="S612" s="320"/>
      <c r="T612" s="92">
        <v>2.82</v>
      </c>
      <c r="U612" s="146" t="s">
        <v>1017</v>
      </c>
      <c r="W612" s="147"/>
      <c r="X612" s="147"/>
      <c r="Z612" s="147"/>
      <c r="AA612" s="145" t="s">
        <v>1017</v>
      </c>
      <c r="AC612" s="147"/>
      <c r="AE612" s="148"/>
      <c r="AH612" s="171" t="s">
        <v>4178</v>
      </c>
      <c r="AI612" s="168" t="s">
        <v>8233</v>
      </c>
      <c r="AJ612" s="168" t="s">
        <v>4179</v>
      </c>
      <c r="AK612" s="168" t="s">
        <v>4179</v>
      </c>
      <c r="AL612" s="168" t="s">
        <v>8233</v>
      </c>
      <c r="AM612" s="168" t="s">
        <v>4179</v>
      </c>
      <c r="AN612" s="167" t="s">
        <v>8234</v>
      </c>
      <c r="AO612" s="167" t="s">
        <v>8234</v>
      </c>
      <c r="AP612" s="167" t="s">
        <v>4179</v>
      </c>
      <c r="AQ612" s="169" t="s">
        <v>8231</v>
      </c>
      <c r="AR612" s="170" t="s">
        <v>3539</v>
      </c>
      <c r="AS612" s="169" t="s">
        <v>8231</v>
      </c>
      <c r="AT612">
        <v>14</v>
      </c>
      <c r="AU612" s="170" t="s">
        <v>7052</v>
      </c>
      <c r="AV612" s="169" t="s">
        <v>8231</v>
      </c>
      <c r="AW612" s="170" t="s">
        <v>1980</v>
      </c>
      <c r="AX612" s="169" t="s">
        <v>8231</v>
      </c>
      <c r="AY612" t="s">
        <v>4179</v>
      </c>
      <c r="AZ612" t="s">
        <v>1017</v>
      </c>
    </row>
    <row r="613" spans="1:52" s="145" customFormat="1" x14ac:dyDescent="0.35">
      <c r="A613" s="657" t="s">
        <v>7549</v>
      </c>
      <c r="B613" s="658" t="s">
        <v>5547</v>
      </c>
      <c r="C613" s="658" t="s">
        <v>3726</v>
      </c>
      <c r="D613" s="658" t="s">
        <v>8209</v>
      </c>
      <c r="E613" s="658" t="s">
        <v>6155</v>
      </c>
      <c r="F613" s="659">
        <v>22.44</v>
      </c>
      <c r="G613" s="631">
        <v>45291</v>
      </c>
      <c r="H613" s="633">
        <v>45268</v>
      </c>
      <c r="I613"/>
      <c r="J613"/>
      <c r="K613" s="11"/>
      <c r="L613"/>
      <c r="M613" s="315">
        <v>22.44</v>
      </c>
      <c r="N613" s="29">
        <v>11.67</v>
      </c>
      <c r="O613" s="319"/>
      <c r="P613" s="320" t="s">
        <v>2827</v>
      </c>
      <c r="Q613" s="320"/>
      <c r="R613" s="321">
        <v>2017</v>
      </c>
      <c r="S613" s="320"/>
      <c r="T613" s="92">
        <v>2.77</v>
      </c>
      <c r="U613" s="146" t="s">
        <v>1017</v>
      </c>
      <c r="W613" s="147"/>
      <c r="X613" s="147"/>
      <c r="Y613" s="145" t="s">
        <v>1017</v>
      </c>
      <c r="AA613" s="147"/>
      <c r="AD613" s="147"/>
      <c r="AE613" s="148"/>
      <c r="AH613" s="171" t="s">
        <v>4178</v>
      </c>
      <c r="AI613" s="168" t="s">
        <v>8233</v>
      </c>
      <c r="AJ613" s="168" t="s">
        <v>4179</v>
      </c>
      <c r="AK613" s="168" t="s">
        <v>4179</v>
      </c>
      <c r="AL613" s="168" t="s">
        <v>4179</v>
      </c>
      <c r="AM613" s="168" t="s">
        <v>4179</v>
      </c>
      <c r="AN613" s="167" t="s">
        <v>8234</v>
      </c>
      <c r="AO613" s="167" t="s">
        <v>8234</v>
      </c>
      <c r="AP613" s="167" t="s">
        <v>4179</v>
      </c>
      <c r="AQ613" s="169" t="s">
        <v>8231</v>
      </c>
      <c r="AR613" s="170" t="s">
        <v>3525</v>
      </c>
      <c r="AS613" s="169" t="s">
        <v>8231</v>
      </c>
      <c r="AT613">
        <v>14</v>
      </c>
      <c r="AU613" s="170" t="s">
        <v>6816</v>
      </c>
      <c r="AV613" s="169" t="s">
        <v>8231</v>
      </c>
      <c r="AW613" s="170" t="s">
        <v>1980</v>
      </c>
      <c r="AX613" s="169" t="s">
        <v>8231</v>
      </c>
      <c r="AY613" t="s">
        <v>4179</v>
      </c>
      <c r="AZ613" t="s">
        <v>1017</v>
      </c>
    </row>
    <row r="614" spans="1:52" x14ac:dyDescent="0.35">
      <c r="A614" s="502" t="s">
        <v>6338</v>
      </c>
      <c r="B614" s="301" t="s">
        <v>5547</v>
      </c>
      <c r="C614" s="301" t="s">
        <v>3726</v>
      </c>
      <c r="D614" s="301" t="s">
        <v>6862</v>
      </c>
      <c r="E614" s="301" t="s">
        <v>6155</v>
      </c>
      <c r="F614" s="376">
        <v>26.44</v>
      </c>
      <c r="G614" s="631">
        <v>45291</v>
      </c>
      <c r="H614" s="633">
        <v>45268</v>
      </c>
      <c r="K614" s="11"/>
      <c r="M614" s="315">
        <v>26.44</v>
      </c>
      <c r="N614" s="29">
        <v>11.67</v>
      </c>
      <c r="O614" s="319"/>
      <c r="P614" s="320" t="s">
        <v>2827</v>
      </c>
      <c r="Q614" s="320"/>
      <c r="R614" s="321">
        <v>2017</v>
      </c>
      <c r="S614" s="320"/>
      <c r="T614" s="92">
        <v>2.77</v>
      </c>
      <c r="U614" s="146" t="s">
        <v>1017</v>
      </c>
      <c r="V614" s="145"/>
      <c r="W614" s="147"/>
      <c r="X614" s="147"/>
      <c r="Y614" s="145"/>
      <c r="Z614" s="145" t="s">
        <v>1017</v>
      </c>
      <c r="AA614" s="147"/>
      <c r="AB614" s="145"/>
      <c r="AC614" s="145"/>
      <c r="AD614" s="147"/>
      <c r="AE614" s="75"/>
      <c r="AH614" s="171" t="s">
        <v>4178</v>
      </c>
      <c r="AI614" s="168" t="s">
        <v>8233</v>
      </c>
      <c r="AJ614" s="168" t="s">
        <v>4179</v>
      </c>
      <c r="AK614" s="168" t="s">
        <v>4179</v>
      </c>
      <c r="AL614" s="168" t="s">
        <v>8233</v>
      </c>
      <c r="AM614" s="168" t="s">
        <v>4179</v>
      </c>
      <c r="AN614" s="167" t="s">
        <v>8234</v>
      </c>
      <c r="AO614" s="167" t="s">
        <v>8234</v>
      </c>
      <c r="AP614" s="167" t="s">
        <v>4179</v>
      </c>
      <c r="AQ614" s="169" t="s">
        <v>8231</v>
      </c>
      <c r="AR614" s="170" t="s">
        <v>3545</v>
      </c>
      <c r="AS614" s="169" t="s">
        <v>8231</v>
      </c>
      <c r="AT614">
        <v>14</v>
      </c>
      <c r="AU614" s="170" t="s">
        <v>6756</v>
      </c>
      <c r="AV614" s="169" t="s">
        <v>8231</v>
      </c>
      <c r="AW614" s="170" t="s">
        <v>1980</v>
      </c>
      <c r="AX614" s="169" t="s">
        <v>8231</v>
      </c>
      <c r="AY614" t="s">
        <v>4179</v>
      </c>
      <c r="AZ614" t="s">
        <v>1017</v>
      </c>
    </row>
    <row r="615" spans="1:52" s="145" customFormat="1" x14ac:dyDescent="0.35">
      <c r="A615" s="657" t="s">
        <v>7550</v>
      </c>
      <c r="B615" s="658" t="s">
        <v>5547</v>
      </c>
      <c r="C615" s="658" t="s">
        <v>3726</v>
      </c>
      <c r="D615" s="658" t="s">
        <v>8208</v>
      </c>
      <c r="E615" s="658" t="s">
        <v>6155</v>
      </c>
      <c r="F615" s="659">
        <v>20.77</v>
      </c>
      <c r="G615" s="631">
        <v>45291</v>
      </c>
      <c r="H615" s="633">
        <v>45268</v>
      </c>
      <c r="I615"/>
      <c r="J615"/>
      <c r="K615" s="11"/>
      <c r="L615"/>
      <c r="M615" s="315">
        <v>20.77</v>
      </c>
      <c r="N615" s="29">
        <v>10</v>
      </c>
      <c r="O615" s="319"/>
      <c r="P615" s="320" t="s">
        <v>2827</v>
      </c>
      <c r="Q615" s="320"/>
      <c r="R615" s="321">
        <v>2017</v>
      </c>
      <c r="S615" s="320"/>
      <c r="T615" s="92">
        <v>2.77</v>
      </c>
      <c r="U615" s="146" t="s">
        <v>1017</v>
      </c>
      <c r="W615" s="147"/>
      <c r="X615" s="147"/>
      <c r="Y615" s="145" t="s">
        <v>1017</v>
      </c>
      <c r="Z615" s="147"/>
      <c r="AC615" s="147"/>
      <c r="AE615" s="148"/>
      <c r="AH615" s="171" t="s">
        <v>4178</v>
      </c>
      <c r="AI615" s="168" t="s">
        <v>8233</v>
      </c>
      <c r="AJ615" s="168" t="s">
        <v>4179</v>
      </c>
      <c r="AK615" s="168" t="s">
        <v>4179</v>
      </c>
      <c r="AL615" s="168" t="s">
        <v>8233</v>
      </c>
      <c r="AM615" s="168" t="s">
        <v>4179</v>
      </c>
      <c r="AN615" s="167" t="s">
        <v>8234</v>
      </c>
      <c r="AO615" s="167" t="s">
        <v>8234</v>
      </c>
      <c r="AP615" s="167" t="s">
        <v>4179</v>
      </c>
      <c r="AQ615" s="169" t="s">
        <v>8231</v>
      </c>
      <c r="AR615" s="170" t="s">
        <v>3537</v>
      </c>
      <c r="AS615" s="169" t="s">
        <v>8231</v>
      </c>
      <c r="AT615">
        <v>14</v>
      </c>
      <c r="AU615" s="170" t="s">
        <v>7040</v>
      </c>
      <c r="AV615" s="169" t="s">
        <v>8231</v>
      </c>
      <c r="AW615" s="170" t="s">
        <v>1980</v>
      </c>
      <c r="AX615" s="169" t="s">
        <v>8231</v>
      </c>
      <c r="AY615" t="s">
        <v>4179</v>
      </c>
      <c r="AZ615" t="s">
        <v>1017</v>
      </c>
    </row>
    <row r="616" spans="1:52" x14ac:dyDescent="0.35">
      <c r="A616" s="502" t="s">
        <v>6339</v>
      </c>
      <c r="B616" s="301" t="s">
        <v>5547</v>
      </c>
      <c r="C616" s="301" t="s">
        <v>3726</v>
      </c>
      <c r="D616" s="301" t="s">
        <v>7085</v>
      </c>
      <c r="E616" s="301" t="s">
        <v>6155</v>
      </c>
      <c r="F616" s="376">
        <v>21.77</v>
      </c>
      <c r="G616" s="631">
        <v>45291</v>
      </c>
      <c r="H616" s="633">
        <v>45268</v>
      </c>
      <c r="K616" s="11"/>
      <c r="M616" s="315">
        <v>21.77</v>
      </c>
      <c r="N616" s="29">
        <v>10</v>
      </c>
      <c r="O616" s="319"/>
      <c r="P616" s="320" t="s">
        <v>2827</v>
      </c>
      <c r="Q616" s="320"/>
      <c r="R616" s="321">
        <v>2017</v>
      </c>
      <c r="S616" s="320"/>
      <c r="T616" s="92">
        <v>2.77</v>
      </c>
      <c r="U616" s="146" t="s">
        <v>1017</v>
      </c>
      <c r="V616" s="145"/>
      <c r="W616" s="147"/>
      <c r="X616" s="147"/>
      <c r="Y616" s="145"/>
      <c r="Z616" s="147"/>
      <c r="AA616" s="145" t="s">
        <v>1017</v>
      </c>
      <c r="AB616" s="145"/>
      <c r="AC616" s="147"/>
      <c r="AD616" s="145"/>
      <c r="AE616" s="75"/>
      <c r="AH616" s="171"/>
      <c r="AI616" s="168"/>
      <c r="AJ616" s="168"/>
      <c r="AK616" s="168"/>
      <c r="AL616" s="168"/>
      <c r="AM616" s="168"/>
      <c r="AN616" s="167"/>
      <c r="AO616" s="167"/>
      <c r="AP616" s="167" t="s">
        <v>4179</v>
      </c>
      <c r="AQ616" s="169"/>
      <c r="AR616" s="170"/>
      <c r="AS616" s="169"/>
      <c r="AU616" s="170"/>
      <c r="AV616" s="169"/>
      <c r="AW616" s="170"/>
      <c r="AX616" s="169"/>
    </row>
    <row r="617" spans="1:52" x14ac:dyDescent="0.35">
      <c r="A617" s="502" t="s">
        <v>6340</v>
      </c>
      <c r="B617" s="301" t="s">
        <v>5547</v>
      </c>
      <c r="C617" s="301" t="s">
        <v>3726</v>
      </c>
      <c r="D617" s="301" t="s">
        <v>6768</v>
      </c>
      <c r="E617" s="301" t="s">
        <v>6155</v>
      </c>
      <c r="F617" s="376">
        <v>15.77</v>
      </c>
      <c r="G617" s="631">
        <v>45291</v>
      </c>
      <c r="H617" s="633">
        <v>45268</v>
      </c>
      <c r="K617" s="11"/>
      <c r="M617" s="315">
        <v>15.77</v>
      </c>
      <c r="N617" s="29">
        <v>9</v>
      </c>
      <c r="O617" s="319"/>
      <c r="P617" s="320" t="s">
        <v>2827</v>
      </c>
      <c r="Q617" s="320"/>
      <c r="R617" s="321">
        <v>2017</v>
      </c>
      <c r="S617" s="320"/>
      <c r="T617" s="92">
        <v>2.77</v>
      </c>
      <c r="U617" s="42"/>
      <c r="V617" s="50"/>
      <c r="W617" t="s">
        <v>1017</v>
      </c>
      <c r="Y617" s="50"/>
      <c r="Z617" s="50"/>
      <c r="AA617" s="50"/>
      <c r="AB617" s="50"/>
      <c r="AC617" s="50"/>
      <c r="AD617" s="50"/>
      <c r="AE617" s="75"/>
      <c r="AH617" s="171"/>
      <c r="AI617" s="168"/>
      <c r="AJ617" s="168"/>
      <c r="AK617" s="168"/>
      <c r="AL617" s="168"/>
      <c r="AM617" s="168"/>
      <c r="AN617" s="167"/>
      <c r="AO617" s="167"/>
      <c r="AP617" s="167" t="s">
        <v>4179</v>
      </c>
      <c r="AQ617" s="169"/>
      <c r="AR617" s="170"/>
      <c r="AS617" s="169"/>
      <c r="AU617" s="170"/>
      <c r="AV617" s="169"/>
      <c r="AW617" s="170"/>
      <c r="AX617" s="169"/>
    </row>
    <row r="618" spans="1:52" x14ac:dyDescent="0.35">
      <c r="A618" s="502" t="s">
        <v>7511</v>
      </c>
      <c r="B618" s="301" t="s">
        <v>5547</v>
      </c>
      <c r="C618" s="301" t="s">
        <v>3726</v>
      </c>
      <c r="D618" s="301" t="s">
        <v>7504</v>
      </c>
      <c r="E618" s="301" t="s">
        <v>6155</v>
      </c>
      <c r="F618" s="376">
        <v>15.44</v>
      </c>
      <c r="G618" s="631">
        <v>45291</v>
      </c>
      <c r="H618" s="633">
        <v>45268</v>
      </c>
      <c r="K618" s="11"/>
      <c r="M618" s="315">
        <v>15.44</v>
      </c>
      <c r="N618" s="29">
        <v>11.67</v>
      </c>
      <c r="O618" s="319"/>
      <c r="P618" s="320" t="s">
        <v>2827</v>
      </c>
      <c r="Q618" s="320"/>
      <c r="R618" s="321">
        <v>2017</v>
      </c>
      <c r="S618" s="320"/>
      <c r="T618" s="92">
        <v>2.77</v>
      </c>
      <c r="U618" s="146" t="s">
        <v>1017</v>
      </c>
      <c r="V618" s="145"/>
      <c r="W618" s="147"/>
      <c r="X618" s="147"/>
      <c r="Y618" s="145"/>
      <c r="Z618" s="145"/>
      <c r="AA618" s="147"/>
      <c r="AB618" s="145"/>
      <c r="AC618" s="145"/>
      <c r="AD618" s="147"/>
      <c r="AE618" s="75"/>
      <c r="AH618" s="171"/>
      <c r="AI618" s="168"/>
      <c r="AJ618" s="168"/>
      <c r="AK618" s="168"/>
      <c r="AL618" s="168"/>
      <c r="AM618" s="168"/>
      <c r="AN618" s="167"/>
      <c r="AO618" s="167"/>
      <c r="AP618" s="167"/>
      <c r="AQ618" s="169"/>
      <c r="AR618" s="170"/>
      <c r="AS618" s="169"/>
      <c r="AU618" s="170"/>
      <c r="AV618" s="169"/>
      <c r="AW618" s="170"/>
      <c r="AX618" s="169"/>
    </row>
    <row r="619" spans="1:52" x14ac:dyDescent="0.35">
      <c r="A619" s="502" t="s">
        <v>7512</v>
      </c>
      <c r="B619" s="301" t="s">
        <v>5547</v>
      </c>
      <c r="C619" s="301" t="s">
        <v>3726</v>
      </c>
      <c r="D619" s="301" t="s">
        <v>7510</v>
      </c>
      <c r="E619" s="301" t="s">
        <v>6155</v>
      </c>
      <c r="F619" s="376">
        <v>13.77</v>
      </c>
      <c r="G619" s="631">
        <v>45291</v>
      </c>
      <c r="H619" s="633">
        <v>45268</v>
      </c>
      <c r="K619" s="11"/>
      <c r="M619" s="315">
        <v>13.77</v>
      </c>
      <c r="N619" s="29">
        <v>10</v>
      </c>
      <c r="O619" s="319"/>
      <c r="P619" s="320" t="s">
        <v>2827</v>
      </c>
      <c r="Q619" s="320"/>
      <c r="R619" s="321">
        <v>2017</v>
      </c>
      <c r="S619" s="320"/>
      <c r="T619" s="92">
        <v>2.77</v>
      </c>
      <c r="U619" s="42" t="s">
        <v>1017</v>
      </c>
      <c r="V619" s="145"/>
      <c r="W619" s="147"/>
      <c r="X619" s="147"/>
      <c r="Y619" s="145"/>
      <c r="Z619" s="147"/>
      <c r="AA619" s="145"/>
      <c r="AB619" s="145"/>
      <c r="AC619" s="147"/>
      <c r="AD619" s="145"/>
      <c r="AE619" s="75"/>
      <c r="AH619" s="171"/>
      <c r="AI619" s="168"/>
      <c r="AJ619" s="168"/>
      <c r="AK619" s="168"/>
      <c r="AL619" s="168"/>
      <c r="AM619" s="168"/>
      <c r="AN619" s="167"/>
      <c r="AO619" s="167"/>
      <c r="AP619" s="167"/>
      <c r="AQ619" s="169"/>
      <c r="AR619" s="170"/>
      <c r="AS619" s="169"/>
      <c r="AU619" s="170"/>
      <c r="AV619" s="169"/>
      <c r="AW619" s="170"/>
      <c r="AX619" s="169"/>
    </row>
    <row r="620" spans="1:52" x14ac:dyDescent="0.35">
      <c r="A620" s="657" t="s">
        <v>7551</v>
      </c>
      <c r="B620" s="658" t="s">
        <v>5547</v>
      </c>
      <c r="C620" s="658" t="s">
        <v>3726</v>
      </c>
      <c r="D620" s="658" t="s">
        <v>8206</v>
      </c>
      <c r="E620" s="658" t="s">
        <v>6610</v>
      </c>
      <c r="F620" s="660">
        <v>14.36</v>
      </c>
      <c r="G620" s="631">
        <v>45291</v>
      </c>
      <c r="H620" s="633">
        <v>45268</v>
      </c>
      <c r="K620" s="11"/>
      <c r="M620" s="315">
        <v>14.36</v>
      </c>
      <c r="N620" s="29">
        <v>11.67</v>
      </c>
      <c r="O620" s="319"/>
      <c r="P620" s="320" t="s">
        <v>2827</v>
      </c>
      <c r="Q620" s="320"/>
      <c r="R620" s="321">
        <v>2020</v>
      </c>
      <c r="S620" s="320"/>
      <c r="T620" s="554">
        <v>2.69</v>
      </c>
      <c r="U620" s="42"/>
      <c r="W620" s="50"/>
      <c r="X620" s="50"/>
      <c r="AA620" s="50"/>
      <c r="AD620" s="50"/>
      <c r="AE620" s="75"/>
      <c r="AH620" s="171" t="s">
        <v>4178</v>
      </c>
      <c r="AI620" s="168" t="s">
        <v>4179</v>
      </c>
      <c r="AJ620" s="168" t="s">
        <v>4179</v>
      </c>
      <c r="AK620" s="168" t="s">
        <v>4179</v>
      </c>
      <c r="AL620" s="168" t="s">
        <v>4179</v>
      </c>
      <c r="AM620" s="168" t="s">
        <v>4179</v>
      </c>
      <c r="AN620" s="167" t="s">
        <v>4179</v>
      </c>
      <c r="AO620" s="167" t="s">
        <v>4179</v>
      </c>
      <c r="AP620" s="167" t="s">
        <v>4179</v>
      </c>
      <c r="AQ620" s="169" t="s">
        <v>8231</v>
      </c>
      <c r="AR620" s="170" t="s">
        <v>7551</v>
      </c>
      <c r="AS620" s="169" t="s">
        <v>4179</v>
      </c>
      <c r="AT620">
        <v>14</v>
      </c>
      <c r="AU620" s="170" t="s">
        <v>8206</v>
      </c>
      <c r="AV620" s="169" t="s">
        <v>4179</v>
      </c>
      <c r="AW620" s="170" t="s">
        <v>6610</v>
      </c>
      <c r="AX620" s="169" t="s">
        <v>4179</v>
      </c>
      <c r="AY620" t="s">
        <v>4179</v>
      </c>
      <c r="AZ620" t="s">
        <v>1017</v>
      </c>
    </row>
    <row r="621" spans="1:52" x14ac:dyDescent="0.35">
      <c r="A621" s="657" t="s">
        <v>7552</v>
      </c>
      <c r="B621" s="658" t="s">
        <v>5547</v>
      </c>
      <c r="C621" s="658" t="s">
        <v>3726</v>
      </c>
      <c r="D621" s="658" t="s">
        <v>8207</v>
      </c>
      <c r="E621" s="658" t="s">
        <v>6610</v>
      </c>
      <c r="F621" s="660">
        <v>12.69</v>
      </c>
      <c r="G621" s="631">
        <v>45291</v>
      </c>
      <c r="H621" s="633">
        <v>45268</v>
      </c>
      <c r="K621" s="11"/>
      <c r="M621" s="315">
        <v>12.69</v>
      </c>
      <c r="N621" s="29">
        <v>10</v>
      </c>
      <c r="O621" s="319"/>
      <c r="P621" s="320" t="s">
        <v>2827</v>
      </c>
      <c r="Q621" s="320"/>
      <c r="R621" s="321">
        <v>2020</v>
      </c>
      <c r="S621" s="320"/>
      <c r="T621" s="554">
        <v>2.69</v>
      </c>
      <c r="U621" s="42"/>
      <c r="W621" s="50"/>
      <c r="X621" s="50"/>
      <c r="Z621" s="50"/>
      <c r="AC621" s="50"/>
      <c r="AE621" s="75"/>
      <c r="AH621" s="171" t="s">
        <v>4178</v>
      </c>
      <c r="AI621" s="168" t="s">
        <v>8233</v>
      </c>
      <c r="AJ621" s="168" t="s">
        <v>4179</v>
      </c>
      <c r="AK621" s="168" t="s">
        <v>4179</v>
      </c>
      <c r="AL621" s="168" t="s">
        <v>8233</v>
      </c>
      <c r="AM621" s="168" t="s">
        <v>4179</v>
      </c>
      <c r="AN621" s="167" t="s">
        <v>4179</v>
      </c>
      <c r="AO621" s="167" t="s">
        <v>4179</v>
      </c>
      <c r="AP621" s="167" t="s">
        <v>4179</v>
      </c>
      <c r="AQ621" s="169" t="s">
        <v>8231</v>
      </c>
      <c r="AR621" s="170" t="s">
        <v>7552</v>
      </c>
      <c r="AS621" s="169" t="s">
        <v>4179</v>
      </c>
      <c r="AT621">
        <v>14</v>
      </c>
      <c r="AU621" s="170" t="s">
        <v>8207</v>
      </c>
      <c r="AV621" s="169" t="s">
        <v>4179</v>
      </c>
      <c r="AW621" s="170" t="s">
        <v>6610</v>
      </c>
      <c r="AX621" s="169" t="s">
        <v>4179</v>
      </c>
      <c r="AY621" t="s">
        <v>4179</v>
      </c>
      <c r="AZ621" t="s">
        <v>1017</v>
      </c>
    </row>
    <row r="622" spans="1:52" s="145" customFormat="1" x14ac:dyDescent="0.35">
      <c r="A622" s="657" t="s">
        <v>8202</v>
      </c>
      <c r="B622" s="658" t="s">
        <v>5547</v>
      </c>
      <c r="C622" s="658" t="s">
        <v>3726</v>
      </c>
      <c r="D622" s="658" t="s">
        <v>8204</v>
      </c>
      <c r="E622" s="658" t="s">
        <v>6610</v>
      </c>
      <c r="F622" s="660">
        <v>11.69</v>
      </c>
      <c r="G622" s="631">
        <v>45291</v>
      </c>
      <c r="H622" s="633">
        <v>45268</v>
      </c>
      <c r="I622"/>
      <c r="J622"/>
      <c r="K622" s="11"/>
      <c r="L622"/>
      <c r="M622" s="315">
        <v>11.69</v>
      </c>
      <c r="N622" s="29">
        <v>9</v>
      </c>
      <c r="O622" s="319"/>
      <c r="P622" s="320" t="s">
        <v>2827</v>
      </c>
      <c r="Q622" s="320"/>
      <c r="R622" s="321">
        <v>2020</v>
      </c>
      <c r="S622" s="320"/>
      <c r="T622" s="554">
        <v>2.69</v>
      </c>
      <c r="U622" s="60"/>
      <c r="V622" s="50"/>
      <c r="W622"/>
      <c r="X622"/>
      <c r="Y622" s="50"/>
      <c r="Z622" s="50"/>
      <c r="AA622" s="50"/>
      <c r="AB622" s="50"/>
      <c r="AC622" s="50"/>
      <c r="AD622" s="50"/>
      <c r="AE622" s="75"/>
      <c r="AF622"/>
      <c r="AG622"/>
      <c r="AH622" s="171" t="s">
        <v>4178</v>
      </c>
      <c r="AI622" s="168" t="s">
        <v>8233</v>
      </c>
      <c r="AJ622" s="168" t="s">
        <v>4179</v>
      </c>
      <c r="AK622" s="168" t="s">
        <v>4179</v>
      </c>
      <c r="AL622" s="168" t="s">
        <v>8233</v>
      </c>
      <c r="AM622" s="168" t="s">
        <v>4179</v>
      </c>
      <c r="AN622" s="167" t="s">
        <v>4179</v>
      </c>
      <c r="AO622" s="167" t="s">
        <v>4179</v>
      </c>
      <c r="AP622" s="167" t="s">
        <v>4179</v>
      </c>
      <c r="AQ622" s="169" t="s">
        <v>8231</v>
      </c>
      <c r="AR622" s="170" t="s">
        <v>8202</v>
      </c>
      <c r="AS622" s="169" t="s">
        <v>4179</v>
      </c>
      <c r="AT622">
        <v>14</v>
      </c>
      <c r="AU622" s="170" t="s">
        <v>8204</v>
      </c>
      <c r="AV622" s="169" t="s">
        <v>4179</v>
      </c>
      <c r="AW622" s="170" t="s">
        <v>6610</v>
      </c>
      <c r="AX622" s="169" t="s">
        <v>4179</v>
      </c>
      <c r="AY622" t="s">
        <v>4179</v>
      </c>
      <c r="AZ622" t="s">
        <v>1017</v>
      </c>
    </row>
    <row r="623" spans="1:52" x14ac:dyDescent="0.35">
      <c r="A623" s="657" t="s">
        <v>8203</v>
      </c>
      <c r="B623" s="658" t="s">
        <v>5547</v>
      </c>
      <c r="C623" s="658" t="s">
        <v>3726</v>
      </c>
      <c r="D623" s="658" t="s">
        <v>8205</v>
      </c>
      <c r="E623" s="658" t="s">
        <v>6610</v>
      </c>
      <c r="F623" s="660">
        <v>11.19</v>
      </c>
      <c r="G623" s="631">
        <v>45291</v>
      </c>
      <c r="H623" s="633">
        <v>45268</v>
      </c>
      <c r="K623" s="11"/>
      <c r="M623" s="315">
        <v>11.19</v>
      </c>
      <c r="N623" s="29">
        <v>8.5</v>
      </c>
      <c r="O623" s="319"/>
      <c r="P623" s="320" t="s">
        <v>2827</v>
      </c>
      <c r="Q623" s="320"/>
      <c r="R623" s="321">
        <v>2020</v>
      </c>
      <c r="S623" s="320"/>
      <c r="T623" s="554">
        <v>2.69</v>
      </c>
      <c r="U623" s="60"/>
      <c r="V623" s="50"/>
      <c r="W623" s="50"/>
      <c r="X623" s="50"/>
      <c r="Y623" s="50"/>
      <c r="Z623" s="50"/>
      <c r="AA623" s="50"/>
      <c r="AB623" s="50"/>
      <c r="AC623" s="50"/>
      <c r="AD623" s="50"/>
      <c r="AE623" s="75"/>
      <c r="AH623" s="171" t="s">
        <v>4178</v>
      </c>
      <c r="AI623" s="168" t="s">
        <v>8233</v>
      </c>
      <c r="AJ623" s="168" t="s">
        <v>4179</v>
      </c>
      <c r="AK623" s="168" t="s">
        <v>4179</v>
      </c>
      <c r="AL623" s="168" t="s">
        <v>8233</v>
      </c>
      <c r="AM623" s="168" t="s">
        <v>4179</v>
      </c>
      <c r="AN623" s="167" t="s">
        <v>4179</v>
      </c>
      <c r="AO623" s="167" t="s">
        <v>4179</v>
      </c>
      <c r="AP623" s="167" t="s">
        <v>4179</v>
      </c>
      <c r="AQ623" s="169" t="s">
        <v>8231</v>
      </c>
      <c r="AR623" s="170" t="s">
        <v>8203</v>
      </c>
      <c r="AS623" s="169" t="s">
        <v>4179</v>
      </c>
      <c r="AT623">
        <v>14</v>
      </c>
      <c r="AU623" s="170" t="s">
        <v>8205</v>
      </c>
      <c r="AV623" s="169" t="s">
        <v>4179</v>
      </c>
      <c r="AW623" s="170" t="s">
        <v>6610</v>
      </c>
      <c r="AX623" s="169" t="s">
        <v>4179</v>
      </c>
      <c r="AY623" t="s">
        <v>4179</v>
      </c>
      <c r="AZ623" t="s">
        <v>1017</v>
      </c>
    </row>
    <row r="625" spans="1:31" x14ac:dyDescent="0.35">
      <c r="A625" s="496" t="s">
        <v>2656</v>
      </c>
      <c r="B625" s="1" t="s">
        <v>4846</v>
      </c>
      <c r="C625" s="1" t="s">
        <v>2270</v>
      </c>
      <c r="D625" s="1" t="s">
        <v>5406</v>
      </c>
      <c r="E625" s="1"/>
      <c r="F625" s="362">
        <v>7.67</v>
      </c>
      <c r="G625" s="631">
        <v>44561</v>
      </c>
      <c r="H625" s="633">
        <v>44536</v>
      </c>
      <c r="N625" s="12"/>
    </row>
    <row r="626" spans="1:31" x14ac:dyDescent="0.35">
      <c r="A626" s="496" t="s">
        <v>4847</v>
      </c>
      <c r="B626" s="1" t="s">
        <v>4846</v>
      </c>
      <c r="C626" s="1" t="s">
        <v>2270</v>
      </c>
      <c r="D626" s="1" t="s">
        <v>5407</v>
      </c>
      <c r="E626" s="1"/>
      <c r="F626" s="362">
        <v>6.65</v>
      </c>
      <c r="G626" s="631">
        <v>44561</v>
      </c>
      <c r="H626" s="633">
        <v>44536</v>
      </c>
      <c r="N626" s="12"/>
    </row>
    <row r="628" spans="1:31" x14ac:dyDescent="0.35">
      <c r="A628" s="496" t="s">
        <v>4848</v>
      </c>
      <c r="B628" s="1" t="s">
        <v>4846</v>
      </c>
      <c r="C628" s="1" t="s">
        <v>3723</v>
      </c>
      <c r="D628" s="1" t="s">
        <v>5406</v>
      </c>
      <c r="E628" s="1"/>
      <c r="F628" s="362">
        <v>7.67</v>
      </c>
      <c r="G628" s="631">
        <v>44926</v>
      </c>
      <c r="H628" s="633">
        <f>'EEG-Vergütungen und vNNE'!J$31</f>
        <v>44896</v>
      </c>
    </row>
    <row r="629" spans="1:31" x14ac:dyDescent="0.35">
      <c r="A629" s="496" t="s">
        <v>4849</v>
      </c>
      <c r="B629" s="1" t="s">
        <v>4846</v>
      </c>
      <c r="C629" s="1" t="s">
        <v>3723</v>
      </c>
      <c r="D629" s="1" t="s">
        <v>5407</v>
      </c>
      <c r="E629" s="1"/>
      <c r="F629" s="362">
        <v>6.65</v>
      </c>
      <c r="G629" s="631">
        <v>44926</v>
      </c>
      <c r="H629" s="633">
        <f>'EEG-Vergütungen und vNNE'!J$31</f>
        <v>44896</v>
      </c>
    </row>
    <row r="631" spans="1:31" x14ac:dyDescent="0.35">
      <c r="A631" s="496" t="s">
        <v>2811</v>
      </c>
      <c r="B631" s="1" t="s">
        <v>4846</v>
      </c>
      <c r="C631" s="1" t="s">
        <v>3726</v>
      </c>
      <c r="D631" s="1" t="s">
        <v>5406</v>
      </c>
      <c r="E631" s="1"/>
      <c r="F631" s="362">
        <v>7.67</v>
      </c>
      <c r="G631" s="631">
        <v>45291</v>
      </c>
      <c r="H631" s="633">
        <v>45268</v>
      </c>
      <c r="M631" s="9"/>
      <c r="N631" s="12"/>
      <c r="O631" s="9"/>
      <c r="P631" s="9"/>
      <c r="Q631" s="9"/>
      <c r="R631" s="22"/>
    </row>
    <row r="632" spans="1:31" x14ac:dyDescent="0.35">
      <c r="A632" s="496" t="s">
        <v>2812</v>
      </c>
      <c r="B632" s="1" t="s">
        <v>4846</v>
      </c>
      <c r="C632" s="1" t="s">
        <v>3726</v>
      </c>
      <c r="D632" s="1" t="s">
        <v>5407</v>
      </c>
      <c r="E632" s="1"/>
      <c r="F632" s="362">
        <v>6.65</v>
      </c>
      <c r="G632" s="631">
        <v>45291</v>
      </c>
      <c r="H632" s="633">
        <v>45268</v>
      </c>
      <c r="M632" s="9"/>
      <c r="N632" s="12"/>
    </row>
    <row r="633" spans="1:31" x14ac:dyDescent="0.35">
      <c r="A633" s="496"/>
      <c r="B633" s="1"/>
      <c r="C633" s="1"/>
      <c r="D633" s="1"/>
      <c r="E633" s="1"/>
      <c r="F633" s="362"/>
      <c r="G633" s="425"/>
      <c r="H633" s="10" t="str">
        <f>IF(ISNUMBER(G633),ROUND(0.8*G633,2),"")</f>
        <v/>
      </c>
      <c r="M633" s="9"/>
      <c r="N633" s="12"/>
      <c r="Q633" s="9"/>
      <c r="T633" s="9"/>
      <c r="U633" s="12"/>
      <c r="V633" s="12"/>
      <c r="W633" s="12"/>
      <c r="X633" s="12"/>
      <c r="Y633" s="12"/>
      <c r="Z633" s="12"/>
      <c r="AA633" s="12"/>
      <c r="AB633" s="12"/>
      <c r="AC633" s="12"/>
      <c r="AD633" s="12"/>
      <c r="AE633" s="12"/>
    </row>
    <row r="634" spans="1:31" x14ac:dyDescent="0.35">
      <c r="A634" s="496" t="s">
        <v>2033</v>
      </c>
      <c r="B634" s="1" t="s">
        <v>2034</v>
      </c>
      <c r="C634" s="1" t="s">
        <v>2270</v>
      </c>
      <c r="D634" s="1" t="s">
        <v>2035</v>
      </c>
      <c r="E634" s="1"/>
      <c r="F634" s="362">
        <v>8.9499999999999993</v>
      </c>
      <c r="G634" s="631">
        <v>44561</v>
      </c>
      <c r="H634" s="633">
        <v>44536</v>
      </c>
    </row>
    <row r="635" spans="1:31" x14ac:dyDescent="0.35">
      <c r="A635" s="496" t="s">
        <v>2036</v>
      </c>
      <c r="B635" s="1" t="s">
        <v>2034</v>
      </c>
      <c r="C635" s="1" t="s">
        <v>2270</v>
      </c>
      <c r="D635" s="1" t="s">
        <v>7382</v>
      </c>
      <c r="E635" s="1"/>
      <c r="F635" s="362">
        <v>7.16</v>
      </c>
      <c r="G635" s="631">
        <v>44561</v>
      </c>
      <c r="H635" s="633">
        <v>44536</v>
      </c>
    </row>
    <row r="637" spans="1:31" x14ac:dyDescent="0.35">
      <c r="A637" s="496" t="s">
        <v>2037</v>
      </c>
      <c r="B637" s="1" t="s">
        <v>2034</v>
      </c>
      <c r="C637" s="1" t="s">
        <v>3723</v>
      </c>
      <c r="D637" s="1" t="s">
        <v>2035</v>
      </c>
      <c r="E637" s="1"/>
      <c r="F637" s="362">
        <v>8.9499999999999993</v>
      </c>
      <c r="G637" s="631">
        <v>44926</v>
      </c>
      <c r="H637" s="633">
        <f>'EEG-Vergütungen und vNNE'!J$31</f>
        <v>44896</v>
      </c>
    </row>
    <row r="638" spans="1:31" x14ac:dyDescent="0.35">
      <c r="A638" s="496" t="s">
        <v>2038</v>
      </c>
      <c r="B638" s="1" t="s">
        <v>2034</v>
      </c>
      <c r="C638" s="1" t="s">
        <v>3723</v>
      </c>
      <c r="D638" s="1" t="s">
        <v>7382</v>
      </c>
      <c r="E638" s="1"/>
      <c r="F638" s="362">
        <v>7.16</v>
      </c>
      <c r="G638" s="631">
        <v>44926</v>
      </c>
      <c r="H638" s="633">
        <f>'EEG-Vergütungen und vNNE'!J$31</f>
        <v>44896</v>
      </c>
    </row>
    <row r="640" spans="1:31" x14ac:dyDescent="0.35">
      <c r="A640" s="496" t="s">
        <v>2039</v>
      </c>
      <c r="B640" s="1" t="s">
        <v>2034</v>
      </c>
      <c r="C640" s="1" t="s">
        <v>3726</v>
      </c>
      <c r="D640" s="1" t="s">
        <v>2035</v>
      </c>
      <c r="E640" s="1"/>
      <c r="F640" s="362">
        <v>8.9499999999999993</v>
      </c>
      <c r="G640" s="631">
        <v>45291</v>
      </c>
      <c r="H640" s="633">
        <v>45268</v>
      </c>
      <c r="N640" s="38"/>
      <c r="Q640" s="38"/>
    </row>
    <row r="641" spans="1:17" x14ac:dyDescent="0.35">
      <c r="A641" s="496" t="s">
        <v>2040</v>
      </c>
      <c r="B641" s="1" t="s">
        <v>2034</v>
      </c>
      <c r="C641" s="1" t="s">
        <v>3726</v>
      </c>
      <c r="D641" s="1" t="s">
        <v>7382</v>
      </c>
      <c r="E641" s="1"/>
      <c r="F641" s="362">
        <v>7.16</v>
      </c>
      <c r="G641" s="631">
        <v>45291</v>
      </c>
      <c r="H641" s="633">
        <v>45268</v>
      </c>
      <c r="N641" s="38"/>
      <c r="Q641" s="38"/>
    </row>
    <row r="642" spans="1:17" x14ac:dyDescent="0.35">
      <c r="H642" t="str">
        <f>IF(ISNUMBER(G642),ROUND(0.8*G642,2),"")</f>
        <v/>
      </c>
    </row>
    <row r="643" spans="1:17" x14ac:dyDescent="0.35">
      <c r="A643" s="496" t="s">
        <v>2066</v>
      </c>
      <c r="B643" s="1" t="s">
        <v>2067</v>
      </c>
      <c r="C643" s="1" t="s">
        <v>2270</v>
      </c>
      <c r="D643" s="1" t="s">
        <v>2068</v>
      </c>
      <c r="E643" s="1"/>
      <c r="F643" s="362">
        <v>9.1</v>
      </c>
      <c r="G643" s="631">
        <v>44561</v>
      </c>
      <c r="H643" s="633">
        <v>44536</v>
      </c>
    </row>
    <row r="644" spans="1:17" x14ac:dyDescent="0.35">
      <c r="A644" s="496" t="s">
        <v>2069</v>
      </c>
      <c r="B644" s="1" t="s">
        <v>2067</v>
      </c>
      <c r="C644" s="1" t="s">
        <v>2270</v>
      </c>
      <c r="D644" s="1" t="s">
        <v>2070</v>
      </c>
      <c r="E644" s="1"/>
      <c r="F644" s="362">
        <v>6.19</v>
      </c>
      <c r="G644" s="631">
        <v>44561</v>
      </c>
      <c r="H644" s="633">
        <v>44536</v>
      </c>
    </row>
    <row r="646" spans="1:17" x14ac:dyDescent="0.35">
      <c r="A646" s="496" t="s">
        <v>2071</v>
      </c>
      <c r="B646" s="1" t="s">
        <v>2067</v>
      </c>
      <c r="C646" s="1" t="s">
        <v>3723</v>
      </c>
      <c r="D646" s="1" t="s">
        <v>2068</v>
      </c>
      <c r="E646" s="1"/>
      <c r="F646" s="362">
        <v>9</v>
      </c>
      <c r="G646" s="631">
        <v>44926</v>
      </c>
      <c r="H646" s="633">
        <f>'EEG-Vergütungen und vNNE'!J$31</f>
        <v>44896</v>
      </c>
    </row>
    <row r="647" spans="1:17" x14ac:dyDescent="0.35">
      <c r="A647" s="496" t="s">
        <v>2072</v>
      </c>
      <c r="B647" s="1" t="s">
        <v>2067</v>
      </c>
      <c r="C647" s="1" t="s">
        <v>3723</v>
      </c>
      <c r="D647" s="1" t="s">
        <v>2070</v>
      </c>
      <c r="E647" s="1"/>
      <c r="F647" s="362">
        <v>6.1</v>
      </c>
      <c r="G647" s="631">
        <v>44926</v>
      </c>
      <c r="H647" s="633">
        <f>'EEG-Vergütungen und vNNE'!J$31</f>
        <v>44896</v>
      </c>
    </row>
    <row r="648" spans="1:17" x14ac:dyDescent="0.35">
      <c r="A648" s="497" t="s">
        <v>5522</v>
      </c>
      <c r="B648" s="13" t="s">
        <v>2067</v>
      </c>
      <c r="C648" s="13" t="s">
        <v>3723</v>
      </c>
      <c r="D648" s="17" t="s">
        <v>5528</v>
      </c>
      <c r="E648" s="13"/>
      <c r="F648" s="364">
        <v>9.6999999999999993</v>
      </c>
      <c r="G648" s="631">
        <v>44926</v>
      </c>
      <c r="H648" s="633">
        <f>'EEG-Vergütungen und vNNE'!J$31</f>
        <v>44896</v>
      </c>
    </row>
    <row r="649" spans="1:17" x14ac:dyDescent="0.35">
      <c r="A649" s="497" t="s">
        <v>5523</v>
      </c>
      <c r="B649" s="13" t="s">
        <v>2067</v>
      </c>
      <c r="C649" s="13" t="s">
        <v>3723</v>
      </c>
      <c r="D649" s="17" t="s">
        <v>5529</v>
      </c>
      <c r="E649" s="13"/>
      <c r="F649" s="364">
        <v>6.8</v>
      </c>
      <c r="G649" s="631">
        <v>44926</v>
      </c>
      <c r="H649" s="633">
        <f>'EEG-Vergütungen und vNNE'!J$31</f>
        <v>44896</v>
      </c>
    </row>
    <row r="651" spans="1:17" x14ac:dyDescent="0.35">
      <c r="A651" s="496" t="s">
        <v>2073</v>
      </c>
      <c r="B651" s="1" t="s">
        <v>2067</v>
      </c>
      <c r="C651" s="1" t="s">
        <v>3726</v>
      </c>
      <c r="D651" s="1" t="s">
        <v>2068</v>
      </c>
      <c r="E651" s="1"/>
      <c r="F651" s="362">
        <v>8.9</v>
      </c>
      <c r="G651" s="631">
        <v>45291</v>
      </c>
      <c r="H651" s="633">
        <v>45268</v>
      </c>
      <c r="J651" s="549"/>
    </row>
    <row r="652" spans="1:17" x14ac:dyDescent="0.35">
      <c r="A652" s="496" t="s">
        <v>2074</v>
      </c>
      <c r="B652" s="1" t="s">
        <v>2067</v>
      </c>
      <c r="C652" s="1" t="s">
        <v>3726</v>
      </c>
      <c r="D652" s="1" t="s">
        <v>2070</v>
      </c>
      <c r="E652" s="1"/>
      <c r="F652" s="362">
        <v>6</v>
      </c>
      <c r="G652" s="631">
        <v>45291</v>
      </c>
      <c r="H652" s="633">
        <v>45268</v>
      </c>
      <c r="J652" s="549"/>
    </row>
    <row r="653" spans="1:17" x14ac:dyDescent="0.35">
      <c r="A653" s="497" t="s">
        <v>5524</v>
      </c>
      <c r="B653" s="13" t="s">
        <v>2067</v>
      </c>
      <c r="C653" s="13" t="s">
        <v>3726</v>
      </c>
      <c r="D653" s="17" t="s">
        <v>5528</v>
      </c>
      <c r="E653" s="13"/>
      <c r="F653" s="364">
        <v>9.6</v>
      </c>
      <c r="G653" s="631">
        <v>45291</v>
      </c>
      <c r="H653" s="633">
        <v>45268</v>
      </c>
      <c r="J653" s="549"/>
    </row>
    <row r="654" spans="1:17" x14ac:dyDescent="0.35">
      <c r="A654" s="497" t="s">
        <v>5525</v>
      </c>
      <c r="B654" s="13" t="s">
        <v>2067</v>
      </c>
      <c r="C654" s="13" t="s">
        <v>3726</v>
      </c>
      <c r="D654" s="17" t="s">
        <v>5529</v>
      </c>
      <c r="E654" s="13"/>
      <c r="F654" s="364">
        <v>6.7</v>
      </c>
      <c r="G654" s="631">
        <v>45291</v>
      </c>
      <c r="H654" s="633">
        <v>45268</v>
      </c>
      <c r="J654" s="549"/>
    </row>
    <row r="655" spans="1:17" x14ac:dyDescent="0.35">
      <c r="H655" t="str">
        <f>IF(ISNUMBER(G655),ROUND(0.8*G655,2),"")</f>
        <v/>
      </c>
      <c r="J655" t="s">
        <v>4179</v>
      </c>
    </row>
    <row r="656" spans="1:17" x14ac:dyDescent="0.35">
      <c r="A656" s="496" t="s">
        <v>739</v>
      </c>
      <c r="B656" s="1" t="s">
        <v>740</v>
      </c>
      <c r="C656" s="1" t="s">
        <v>2270</v>
      </c>
      <c r="D656" s="1"/>
      <c r="E656" s="1"/>
      <c r="F656" s="362">
        <v>50.62</v>
      </c>
      <c r="G656" s="631">
        <v>44561</v>
      </c>
      <c r="H656" s="633">
        <v>44536</v>
      </c>
    </row>
    <row r="657" spans="1:10" x14ac:dyDescent="0.35">
      <c r="A657" s="496" t="s">
        <v>741</v>
      </c>
      <c r="B657" s="1" t="s">
        <v>740</v>
      </c>
      <c r="C657" s="1" t="s">
        <v>3723</v>
      </c>
      <c r="D657" s="1"/>
      <c r="E657" s="1"/>
      <c r="F657" s="362">
        <v>48.1</v>
      </c>
      <c r="G657" s="631">
        <v>44926</v>
      </c>
      <c r="H657" s="633">
        <f>'EEG-Vergütungen und vNNE'!J$31</f>
        <v>44896</v>
      </c>
    </row>
    <row r="659" spans="1:10" x14ac:dyDescent="0.35">
      <c r="A659" s="496" t="s">
        <v>742</v>
      </c>
      <c r="B659" s="1" t="s">
        <v>740</v>
      </c>
      <c r="C659" s="1" t="s">
        <v>3726</v>
      </c>
      <c r="D659" s="1"/>
      <c r="E659" s="1"/>
      <c r="F659" s="362">
        <v>45.7</v>
      </c>
      <c r="G659" s="631">
        <v>45291</v>
      </c>
      <c r="H659" s="633">
        <v>45268</v>
      </c>
      <c r="J659" s="549"/>
    </row>
    <row r="660" spans="1:10" x14ac:dyDescent="0.35">
      <c r="H660" t="str">
        <f>IF(ISNUMBER(G660),ROUND(0.8*G660,2),"")</f>
        <v/>
      </c>
      <c r="J660" t="s">
        <v>4179</v>
      </c>
    </row>
    <row r="661" spans="1:10" ht="26" x14ac:dyDescent="0.6">
      <c r="A661" s="15" t="s">
        <v>7662</v>
      </c>
    </row>
    <row r="662" spans="1:10" ht="36.65" customHeight="1" thickBot="1" x14ac:dyDescent="0.4">
      <c r="A662" s="699" t="s">
        <v>7663</v>
      </c>
    </row>
    <row r="663" spans="1:10" ht="22.4" customHeight="1" x14ac:dyDescent="0.35">
      <c r="A663" s="818" t="s">
        <v>6690</v>
      </c>
      <c r="B663" s="643"/>
      <c r="C663" s="643"/>
      <c r="D663" s="644"/>
      <c r="E663" s="644"/>
      <c r="F663" s="645"/>
      <c r="H663" s="811">
        <v>44424</v>
      </c>
    </row>
    <row r="664" spans="1:10" ht="18.5" x14ac:dyDescent="0.45">
      <c r="A664" s="819" t="s">
        <v>6691</v>
      </c>
      <c r="B664" s="700"/>
      <c r="C664" s="700"/>
      <c r="D664" s="701"/>
      <c r="E664" s="701"/>
      <c r="F664" s="646"/>
      <c r="H664" s="811">
        <v>44424</v>
      </c>
    </row>
    <row r="665" spans="1:10" ht="18.5" x14ac:dyDescent="0.45">
      <c r="A665" s="819" t="s">
        <v>7664</v>
      </c>
      <c r="B665" s="700"/>
      <c r="C665" s="700"/>
      <c r="D665" s="701"/>
      <c r="E665" s="701"/>
      <c r="F665" s="646"/>
      <c r="H665" s="811">
        <v>44424</v>
      </c>
    </row>
    <row r="666" spans="1:10" ht="18.5" x14ac:dyDescent="0.45">
      <c r="A666" s="819" t="s">
        <v>6692</v>
      </c>
      <c r="B666" s="700"/>
      <c r="C666" s="700"/>
      <c r="D666" s="701"/>
      <c r="E666" s="701"/>
      <c r="F666" s="646"/>
      <c r="H666" s="811">
        <v>44424</v>
      </c>
    </row>
    <row r="667" spans="1:10" ht="18.5" x14ac:dyDescent="0.45">
      <c r="A667" s="819" t="s">
        <v>7665</v>
      </c>
      <c r="B667" s="700"/>
      <c r="C667" s="700"/>
      <c r="D667" s="701"/>
      <c r="E667" s="701"/>
      <c r="F667" s="646"/>
      <c r="H667" s="811">
        <v>44424</v>
      </c>
    </row>
    <row r="668" spans="1:10" ht="18.5" x14ac:dyDescent="0.45">
      <c r="A668" s="819" t="s">
        <v>7666</v>
      </c>
      <c r="B668" s="700"/>
      <c r="C668" s="700"/>
      <c r="D668" s="701"/>
      <c r="E668" s="701"/>
      <c r="F668" s="646"/>
      <c r="H668" s="811">
        <v>44424</v>
      </c>
    </row>
    <row r="669" spans="1:10" ht="18.5" x14ac:dyDescent="0.45">
      <c r="A669" s="820" t="s">
        <v>7667</v>
      </c>
      <c r="B669" s="700"/>
      <c r="C669" s="700"/>
      <c r="D669" s="701"/>
      <c r="E669" s="701"/>
      <c r="F669" s="646"/>
      <c r="H669" s="811">
        <v>44424</v>
      </c>
    </row>
    <row r="670" spans="1:10" ht="18.5" x14ac:dyDescent="0.45">
      <c r="A670" s="820" t="s">
        <v>7668</v>
      </c>
      <c r="B670" s="700"/>
      <c r="C670" s="700"/>
      <c r="D670" s="701"/>
      <c r="E670" s="701"/>
      <c r="F670" s="646"/>
      <c r="H670" s="811">
        <v>44424</v>
      </c>
    </row>
    <row r="671" spans="1:10" ht="18.5" x14ac:dyDescent="0.45">
      <c r="A671" s="820" t="s">
        <v>7669</v>
      </c>
      <c r="B671" s="700"/>
      <c r="C671" s="700"/>
      <c r="D671" s="701"/>
      <c r="E671" s="701"/>
      <c r="F671" s="646"/>
      <c r="H671" s="811">
        <v>44424</v>
      </c>
    </row>
    <row r="672" spans="1:10" ht="18.5" x14ac:dyDescent="0.45">
      <c r="A672" s="819" t="s">
        <v>7670</v>
      </c>
      <c r="B672" s="700"/>
      <c r="C672" s="700"/>
      <c r="D672" s="701"/>
      <c r="E672" s="701"/>
      <c r="F672" s="646"/>
      <c r="H672" s="811">
        <v>44424</v>
      </c>
    </row>
    <row r="673" spans="1:16" ht="6.65" customHeight="1" thickBot="1" x14ac:dyDescent="0.5">
      <c r="A673" s="647"/>
      <c r="B673" s="648"/>
      <c r="C673" s="648"/>
      <c r="D673" s="649"/>
      <c r="E673" s="649"/>
      <c r="F673" s="650"/>
      <c r="H673" s="811">
        <v>44424</v>
      </c>
    </row>
    <row r="675" spans="1:16" x14ac:dyDescent="0.35">
      <c r="A675" s="527" t="s">
        <v>6700</v>
      </c>
      <c r="B675" s="526" t="s">
        <v>2067</v>
      </c>
      <c r="C675" s="526" t="s">
        <v>7543</v>
      </c>
      <c r="D675" s="526" t="s">
        <v>7534</v>
      </c>
      <c r="E675" s="537"/>
      <c r="F675" s="538"/>
      <c r="G675" s="631">
        <v>44561</v>
      </c>
      <c r="H675" s="534">
        <v>44424</v>
      </c>
      <c r="I675" s="102"/>
      <c r="L675" s="266"/>
      <c r="M675" s="322"/>
      <c r="N675" s="462"/>
      <c r="O675" s="261"/>
      <c r="P675" s="261"/>
    </row>
    <row r="676" spans="1:16" x14ac:dyDescent="0.35">
      <c r="A676" s="527" t="s">
        <v>7435</v>
      </c>
      <c r="B676" s="526" t="s">
        <v>2067</v>
      </c>
      <c r="C676" s="526" t="s">
        <v>7543</v>
      </c>
      <c r="D676" s="526" t="s">
        <v>7537</v>
      </c>
      <c r="E676" s="537"/>
      <c r="F676" s="538"/>
      <c r="G676" s="631">
        <v>44561</v>
      </c>
      <c r="H676" s="534">
        <v>44424</v>
      </c>
      <c r="I676" s="102"/>
      <c r="L676" s="266"/>
      <c r="M676" s="322"/>
      <c r="N676" s="462"/>
      <c r="O676" s="261"/>
      <c r="P676" s="261"/>
    </row>
    <row r="677" spans="1:16" ht="15" thickBot="1" x14ac:dyDescent="0.4"/>
    <row r="678" spans="1:16" ht="23.5" x14ac:dyDescent="0.35">
      <c r="A678" s="813" t="s">
        <v>7547</v>
      </c>
      <c r="B678" s="814"/>
      <c r="C678" s="814"/>
      <c r="D678" s="814"/>
      <c r="E678" s="814"/>
      <c r="F678" s="815"/>
      <c r="H678" s="534">
        <v>44477</v>
      </c>
      <c r="I678" s="102"/>
      <c r="L678" s="266"/>
      <c r="M678" s="322"/>
      <c r="N678" s="462"/>
      <c r="O678" s="261"/>
      <c r="P678" s="261"/>
    </row>
    <row r="679" spans="1:16" ht="12" customHeight="1" x14ac:dyDescent="0.35">
      <c r="A679" s="816"/>
      <c r="B679" s="50"/>
      <c r="C679" s="50"/>
      <c r="D679" s="50"/>
      <c r="E679" s="50"/>
      <c r="F679" s="817"/>
      <c r="H679" s="534"/>
      <c r="I679" s="102"/>
      <c r="L679" s="266"/>
      <c r="M679" s="322"/>
      <c r="N679" s="462"/>
      <c r="O679" s="261"/>
      <c r="P679" s="261"/>
    </row>
    <row r="680" spans="1:16" ht="86.25" customHeight="1" thickBot="1" x14ac:dyDescent="0.4">
      <c r="A680" s="956" t="s">
        <v>7553</v>
      </c>
      <c r="B680" s="957"/>
      <c r="C680" s="957"/>
      <c r="D680" s="957"/>
      <c r="E680" s="957"/>
      <c r="F680" s="958"/>
      <c r="G680" s="812"/>
      <c r="H680" s="534">
        <v>44511</v>
      </c>
      <c r="I680" s="102"/>
      <c r="L680" s="266"/>
      <c r="M680" s="322"/>
      <c r="N680" s="462"/>
      <c r="O680" s="261"/>
      <c r="P680" s="261"/>
    </row>
    <row r="681" spans="1:16" ht="15" customHeight="1" x14ac:dyDescent="0.35"/>
    <row r="682" spans="1:16" x14ac:dyDescent="0.35">
      <c r="A682" s="527" t="s">
        <v>7544</v>
      </c>
      <c r="B682" s="526" t="s">
        <v>2067</v>
      </c>
      <c r="C682" s="526" t="s">
        <v>7543</v>
      </c>
      <c r="D682" s="526" t="s">
        <v>7545</v>
      </c>
      <c r="E682" s="537" t="s">
        <v>7546</v>
      </c>
      <c r="F682" s="538"/>
      <c r="G682" s="631">
        <v>44561</v>
      </c>
      <c r="H682" s="534">
        <v>44477</v>
      </c>
      <c r="I682" s="102"/>
      <c r="L682" s="266"/>
      <c r="M682" s="322"/>
      <c r="N682" s="462"/>
      <c r="O682" s="261"/>
      <c r="P682" s="261"/>
    </row>
  </sheetData>
  <autoFilter ref="A3:H676" xr:uid="{00000000-0009-0000-0000-000005000000}"/>
  <mergeCells count="2">
    <mergeCell ref="A1:E1"/>
    <mergeCell ref="A680:F680"/>
  </mergeCells>
  <conditionalFormatting sqref="K435:K623">
    <cfRule type="cellIs" dxfId="53" priority="1" stopIfTrue="1" operator="notEqual">
      <formula>0</formula>
    </cfRule>
  </conditionalFormatting>
  <pageMargins left="0.7" right="0.7" top="0.78740157499999996" bottom="0.78740157499999996"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dimension ref="A1:XFD76"/>
  <sheetViews>
    <sheetView showGridLines="0" workbookViewId="0">
      <selection sqref="A1:AA1"/>
    </sheetView>
  </sheetViews>
  <sheetFormatPr baseColWidth="10" defaultColWidth="11.453125" defaultRowHeight="14" x14ac:dyDescent="0.3"/>
  <cols>
    <col min="1" max="1" width="35.453125" style="113" customWidth="1"/>
    <col min="2" max="2" width="18.54296875" style="113" customWidth="1"/>
    <col min="3" max="14" width="16.54296875" style="113" customWidth="1"/>
    <col min="15" max="16" width="11.453125" style="113"/>
    <col min="17" max="22" width="11.453125" style="113" customWidth="1"/>
    <col min="23" max="16384" width="11.453125" style="113"/>
  </cols>
  <sheetData>
    <row r="1" spans="1:28 16384:16384" ht="18" x14ac:dyDescent="0.4">
      <c r="A1" s="959" t="s">
        <v>8064</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1"/>
      <c r="AB1" s="667"/>
    </row>
    <row r="2" spans="1:28 16384:16384" ht="9" customHeight="1" x14ac:dyDescent="0.3">
      <c r="AB2" s="667"/>
    </row>
    <row r="3" spans="1:28 16384:16384" ht="144.75" customHeight="1" x14ac:dyDescent="0.3">
      <c r="A3" s="962" t="s">
        <v>8148</v>
      </c>
      <c r="B3" s="963"/>
      <c r="C3" s="963"/>
      <c r="D3" s="963"/>
      <c r="E3" s="963"/>
      <c r="F3" s="963"/>
      <c r="G3" s="963"/>
      <c r="H3" s="963"/>
      <c r="I3" s="963"/>
      <c r="J3" s="861"/>
      <c r="K3" s="861"/>
      <c r="L3" s="861"/>
      <c r="M3" s="861"/>
      <c r="N3" s="861"/>
      <c r="O3" s="861"/>
      <c r="P3" s="861"/>
      <c r="Q3" s="861"/>
      <c r="R3" s="861"/>
      <c r="S3" s="861"/>
      <c r="T3" s="861"/>
      <c r="U3" s="861"/>
      <c r="V3" s="861"/>
      <c r="W3" s="861"/>
      <c r="X3" s="861"/>
      <c r="Y3" s="861"/>
      <c r="Z3" s="861"/>
      <c r="AA3" s="862"/>
    </row>
    <row r="4" spans="1:28 16384:16384" ht="14.5" x14ac:dyDescent="0.35">
      <c r="A4" s="682"/>
      <c r="B4" s="667"/>
      <c r="C4" s="667"/>
      <c r="D4" s="667"/>
      <c r="E4" s="667"/>
    </row>
    <row r="5" spans="1:28 16384:16384" x14ac:dyDescent="0.3">
      <c r="A5" s="836" t="s">
        <v>8067</v>
      </c>
      <c r="B5" s="667"/>
      <c r="C5" s="667"/>
      <c r="D5" s="667"/>
      <c r="E5" s="667"/>
    </row>
    <row r="6" spans="1:28 16384:16384" x14ac:dyDescent="0.3">
      <c r="A6" s="841" t="s">
        <v>8068</v>
      </c>
      <c r="B6" s="667"/>
      <c r="C6" s="667"/>
      <c r="D6" s="667"/>
      <c r="E6" s="667"/>
    </row>
    <row r="7" spans="1:28 16384:16384" x14ac:dyDescent="0.3">
      <c r="A7" s="841" t="s">
        <v>8101</v>
      </c>
      <c r="B7" s="667"/>
      <c r="C7" s="667"/>
      <c r="D7" s="667"/>
      <c r="E7" s="667"/>
    </row>
    <row r="8" spans="1:28 16384:16384" ht="14.5" thickBot="1" x14ac:dyDescent="0.35">
      <c r="A8" s="841"/>
      <c r="B8" s="667"/>
      <c r="C8" s="857"/>
      <c r="D8" s="857"/>
      <c r="E8" s="857"/>
      <c r="F8" s="662"/>
      <c r="G8" s="662"/>
      <c r="H8" s="662"/>
      <c r="I8" s="662"/>
      <c r="J8" s="662"/>
      <c r="K8" s="662"/>
      <c r="L8" s="662"/>
      <c r="M8" s="662"/>
      <c r="N8" s="662"/>
      <c r="O8" s="139"/>
    </row>
    <row r="9" spans="1:28 16384:16384" ht="14.5" thickBot="1" x14ac:dyDescent="0.35">
      <c r="A9" s="832"/>
      <c r="B9" s="667"/>
      <c r="C9" s="675" t="s">
        <v>8191</v>
      </c>
      <c r="D9" s="676" t="s">
        <v>8192</v>
      </c>
      <c r="E9" s="676" t="s">
        <v>8193</v>
      </c>
      <c r="F9" s="676" t="s">
        <v>8194</v>
      </c>
      <c r="G9" s="676" t="s">
        <v>5935</v>
      </c>
      <c r="H9" s="676" t="s">
        <v>8195</v>
      </c>
      <c r="I9" s="837" t="s">
        <v>8196</v>
      </c>
      <c r="J9" s="676" t="s">
        <v>8197</v>
      </c>
      <c r="K9" s="676" t="s">
        <v>8198</v>
      </c>
      <c r="L9" s="837" t="s">
        <v>8199</v>
      </c>
      <c r="M9" s="676" t="s">
        <v>8200</v>
      </c>
      <c r="N9" s="677" t="s">
        <v>8201</v>
      </c>
      <c r="O9" s="139"/>
    </row>
    <row r="10" spans="1:28 16384:16384" x14ac:dyDescent="0.3">
      <c r="A10" s="833" t="s">
        <v>7942</v>
      </c>
      <c r="B10" s="834" t="s">
        <v>8065</v>
      </c>
      <c r="C10" s="835">
        <v>100</v>
      </c>
      <c r="D10" s="835">
        <v>100</v>
      </c>
      <c r="E10" s="835">
        <v>100</v>
      </c>
      <c r="F10" s="835">
        <v>100</v>
      </c>
      <c r="G10" s="835">
        <v>100</v>
      </c>
      <c r="H10" s="835">
        <v>100</v>
      </c>
      <c r="I10" s="835">
        <v>100</v>
      </c>
      <c r="J10" s="835">
        <v>100</v>
      </c>
      <c r="K10" s="835">
        <v>100</v>
      </c>
      <c r="L10" s="835">
        <v>100</v>
      </c>
      <c r="M10" s="835"/>
      <c r="N10" s="835"/>
      <c r="O10" s="139"/>
      <c r="XFD10" s="835"/>
    </row>
    <row r="11" spans="1:28 16384:16384" x14ac:dyDescent="0.3">
      <c r="A11" s="833" t="s">
        <v>8063</v>
      </c>
      <c r="B11" s="834" t="s">
        <v>8066</v>
      </c>
      <c r="C11" s="835"/>
      <c r="D11" s="835"/>
      <c r="E11" s="835"/>
      <c r="F11" s="835"/>
      <c r="G11" s="835"/>
      <c r="H11" s="835"/>
      <c r="I11" s="835"/>
      <c r="J11" s="835"/>
      <c r="K11" s="835"/>
      <c r="L11" s="838">
        <v>-800</v>
      </c>
      <c r="M11" s="835"/>
      <c r="N11" s="835"/>
    </row>
    <row r="12" spans="1:28 16384:16384" x14ac:dyDescent="0.3">
      <c r="A12" s="667"/>
      <c r="B12" s="667"/>
      <c r="C12" s="667"/>
      <c r="D12" s="667"/>
      <c r="E12" s="667"/>
    </row>
    <row r="13" spans="1:28 16384:16384" x14ac:dyDescent="0.3">
      <c r="A13" s="667"/>
      <c r="B13" s="667"/>
      <c r="C13" s="667"/>
      <c r="D13" s="667"/>
      <c r="E13" s="667"/>
      <c r="L13" s="842"/>
      <c r="M13" s="842"/>
      <c r="N13" s="842"/>
    </row>
    <row r="14" spans="1:28 16384:16384" x14ac:dyDescent="0.3">
      <c r="A14" s="667"/>
      <c r="B14" s="667"/>
      <c r="C14" s="667"/>
      <c r="D14" s="667"/>
      <c r="E14" s="667"/>
    </row>
    <row r="15" spans="1:28 16384:16384" x14ac:dyDescent="0.3">
      <c r="A15" s="667"/>
      <c r="B15" s="667"/>
      <c r="C15" s="667"/>
      <c r="D15" s="667"/>
      <c r="E15" s="667"/>
    </row>
    <row r="16" spans="1:28 16384:16384" x14ac:dyDescent="0.3">
      <c r="A16" s="836" t="s">
        <v>8106</v>
      </c>
      <c r="B16" s="667"/>
      <c r="C16" s="667"/>
      <c r="D16" s="667"/>
      <c r="E16" s="667"/>
    </row>
    <row r="17" spans="1:15 16384:16384" x14ac:dyDescent="0.3">
      <c r="A17" s="841" t="s">
        <v>8069</v>
      </c>
      <c r="B17" s="667"/>
      <c r="C17" s="667"/>
      <c r="D17" s="667"/>
      <c r="E17" s="667"/>
    </row>
    <row r="18" spans="1:15 16384:16384" x14ac:dyDescent="0.3">
      <c r="A18" s="841" t="s">
        <v>8108</v>
      </c>
      <c r="B18" s="667"/>
      <c r="C18" s="667"/>
      <c r="D18" s="667"/>
      <c r="E18" s="667"/>
    </row>
    <row r="19" spans="1:15 16384:16384" ht="14.5" thickBot="1" x14ac:dyDescent="0.35">
      <c r="A19" s="832"/>
      <c r="B19" s="667"/>
      <c r="C19" s="667"/>
      <c r="D19" s="667"/>
      <c r="E19" s="667"/>
    </row>
    <row r="20" spans="1:15 16384:16384" ht="14.5" thickBot="1" x14ac:dyDescent="0.35">
      <c r="A20" s="832"/>
      <c r="B20" s="667"/>
      <c r="C20" s="675" t="s">
        <v>8191</v>
      </c>
      <c r="D20" s="676" t="s">
        <v>8192</v>
      </c>
      <c r="E20" s="676" t="s">
        <v>8193</v>
      </c>
      <c r="F20" s="676" t="s">
        <v>8194</v>
      </c>
      <c r="G20" s="676" t="s">
        <v>5935</v>
      </c>
      <c r="H20" s="676" t="s">
        <v>8195</v>
      </c>
      <c r="I20" s="837" t="s">
        <v>8196</v>
      </c>
      <c r="J20" s="676" t="s">
        <v>8197</v>
      </c>
      <c r="K20" s="676" t="s">
        <v>8198</v>
      </c>
      <c r="L20" s="837" t="s">
        <v>8199</v>
      </c>
      <c r="M20" s="676" t="s">
        <v>8200</v>
      </c>
      <c r="N20" s="677" t="s">
        <v>8201</v>
      </c>
      <c r="O20" s="139"/>
    </row>
    <row r="21" spans="1:15 16384:16384" x14ac:dyDescent="0.3">
      <c r="A21" s="833" t="s">
        <v>7942</v>
      </c>
      <c r="B21" s="834" t="s">
        <v>8065</v>
      </c>
      <c r="C21" s="835">
        <v>100</v>
      </c>
      <c r="D21" s="835">
        <v>100</v>
      </c>
      <c r="E21" s="835">
        <v>100</v>
      </c>
      <c r="F21" s="835"/>
      <c r="G21" s="835"/>
      <c r="H21" s="835"/>
      <c r="I21" s="835"/>
      <c r="J21" s="835"/>
      <c r="K21" s="835"/>
      <c r="L21" s="835"/>
      <c r="M21" s="835"/>
      <c r="N21" s="835"/>
      <c r="O21" s="139"/>
      <c r="XFD21" s="835"/>
    </row>
    <row r="22" spans="1:15 16384:16384" x14ac:dyDescent="0.3">
      <c r="A22" s="833" t="s">
        <v>7997</v>
      </c>
      <c r="B22" s="834" t="s">
        <v>8065</v>
      </c>
      <c r="C22" s="835">
        <v>100</v>
      </c>
      <c r="D22" s="835">
        <v>100</v>
      </c>
      <c r="E22" s="835">
        <v>100</v>
      </c>
      <c r="F22" s="835">
        <v>100</v>
      </c>
      <c r="G22" s="835">
        <v>100</v>
      </c>
      <c r="H22" s="835">
        <v>100</v>
      </c>
      <c r="I22" s="835">
        <v>100</v>
      </c>
      <c r="J22" s="835">
        <v>100</v>
      </c>
      <c r="K22" s="835">
        <v>100</v>
      </c>
      <c r="L22" s="835">
        <v>100</v>
      </c>
      <c r="M22" s="835"/>
      <c r="N22" s="835"/>
      <c r="O22" s="139"/>
      <c r="XFD22" s="839"/>
    </row>
    <row r="23" spans="1:15 16384:16384" x14ac:dyDescent="0.3">
      <c r="A23" s="833" t="s">
        <v>8063</v>
      </c>
      <c r="B23" s="834" t="s">
        <v>8066</v>
      </c>
      <c r="C23" s="838">
        <v>-100</v>
      </c>
      <c r="D23" s="838">
        <v>-100</v>
      </c>
      <c r="E23" s="838">
        <v>-100</v>
      </c>
      <c r="F23" s="838"/>
      <c r="G23" s="838"/>
      <c r="H23" s="838"/>
      <c r="I23" s="838"/>
      <c r="J23" s="838"/>
      <c r="K23" s="838"/>
      <c r="L23" s="838"/>
      <c r="M23" s="835"/>
      <c r="N23" s="835"/>
    </row>
    <row r="24" spans="1:15 16384:16384" x14ac:dyDescent="0.3">
      <c r="A24" s="667"/>
      <c r="B24" s="667"/>
      <c r="C24" s="667"/>
      <c r="D24" s="667"/>
      <c r="E24" s="667"/>
    </row>
    <row r="25" spans="1:15 16384:16384" x14ac:dyDescent="0.3">
      <c r="A25" s="667"/>
      <c r="C25" s="843"/>
      <c r="D25" s="843"/>
      <c r="E25" s="843"/>
      <c r="F25" s="843"/>
      <c r="G25" s="843"/>
      <c r="H25" s="843"/>
      <c r="I25" s="843"/>
      <c r="J25" s="843"/>
      <c r="K25" s="843"/>
      <c r="L25" s="843"/>
    </row>
    <row r="26" spans="1:15 16384:16384" x14ac:dyDescent="0.3">
      <c r="B26" s="136"/>
      <c r="L26" s="858"/>
    </row>
    <row r="27" spans="1:15 16384:16384" x14ac:dyDescent="0.3">
      <c r="A27" s="840"/>
      <c r="B27" s="662"/>
      <c r="C27" s="760"/>
      <c r="D27" s="667"/>
      <c r="E27" s="667"/>
      <c r="K27" s="844"/>
      <c r="L27" s="843"/>
    </row>
    <row r="28" spans="1:15 16384:16384" ht="14.5" x14ac:dyDescent="0.35">
      <c r="A28" s="203"/>
      <c r="B28" s="662"/>
      <c r="C28" s="760"/>
      <c r="D28" s="667"/>
      <c r="E28" s="667"/>
    </row>
    <row r="29" spans="1:15 16384:16384" ht="14.5" x14ac:dyDescent="0.35">
      <c r="A29" s="203"/>
      <c r="B29" s="662"/>
      <c r="C29" s="760"/>
      <c r="D29" s="667"/>
      <c r="E29" s="667"/>
    </row>
    <row r="30" spans="1:15 16384:16384" x14ac:dyDescent="0.3">
      <c r="A30" s="836" t="s">
        <v>8105</v>
      </c>
      <c r="B30" s="667"/>
      <c r="C30" s="667"/>
      <c r="D30" s="667"/>
      <c r="E30" s="667"/>
    </row>
    <row r="31" spans="1:15 16384:16384" x14ac:dyDescent="0.3">
      <c r="A31" s="841" t="s">
        <v>8068</v>
      </c>
      <c r="B31" s="667"/>
      <c r="C31" s="667"/>
      <c r="D31" s="667"/>
      <c r="E31" s="667"/>
    </row>
    <row r="32" spans="1:15 16384:16384" x14ac:dyDescent="0.3">
      <c r="A32" s="841" t="s">
        <v>8102</v>
      </c>
      <c r="B32" s="667"/>
      <c r="C32" s="667"/>
      <c r="D32" s="667"/>
      <c r="E32" s="667"/>
    </row>
    <row r="33" spans="1:15 16384:16384" x14ac:dyDescent="0.3">
      <c r="A33" s="859" t="s">
        <v>8103</v>
      </c>
      <c r="B33" s="667"/>
      <c r="C33" s="667"/>
      <c r="D33" s="667"/>
      <c r="E33" s="667"/>
    </row>
    <row r="34" spans="1:15 16384:16384" ht="14.5" thickBot="1" x14ac:dyDescent="0.35">
      <c r="A34" s="859"/>
      <c r="B34" s="667"/>
      <c r="C34" s="857"/>
      <c r="D34" s="857"/>
      <c r="E34" s="857"/>
      <c r="F34" s="662"/>
      <c r="G34" s="662"/>
      <c r="H34" s="662"/>
      <c r="I34" s="662"/>
      <c r="J34" s="662"/>
      <c r="K34" s="662"/>
      <c r="L34" s="662"/>
      <c r="M34" s="662"/>
      <c r="N34" s="662"/>
      <c r="O34" s="139"/>
    </row>
    <row r="35" spans="1:15 16384:16384" ht="14.5" thickBot="1" x14ac:dyDescent="0.35">
      <c r="A35" s="832"/>
      <c r="B35" s="667"/>
      <c r="C35" s="675" t="s">
        <v>8191</v>
      </c>
      <c r="D35" s="676" t="s">
        <v>8192</v>
      </c>
      <c r="E35" s="676" t="s">
        <v>8193</v>
      </c>
      <c r="F35" s="676" t="s">
        <v>8194</v>
      </c>
      <c r="G35" s="676" t="s">
        <v>5935</v>
      </c>
      <c r="H35" s="676" t="s">
        <v>8195</v>
      </c>
      <c r="I35" s="837" t="s">
        <v>8196</v>
      </c>
      <c r="J35" s="676" t="s">
        <v>8197</v>
      </c>
      <c r="K35" s="676" t="s">
        <v>8198</v>
      </c>
      <c r="L35" s="837" t="s">
        <v>8199</v>
      </c>
      <c r="M35" s="676" t="s">
        <v>8200</v>
      </c>
      <c r="N35" s="677" t="s">
        <v>8201</v>
      </c>
      <c r="O35" s="139"/>
    </row>
    <row r="36" spans="1:15 16384:16384" x14ac:dyDescent="0.3">
      <c r="A36" s="833" t="s">
        <v>7942</v>
      </c>
      <c r="B36" s="834" t="s">
        <v>8065</v>
      </c>
      <c r="C36" s="835">
        <v>100</v>
      </c>
      <c r="D36" s="835">
        <v>100</v>
      </c>
      <c r="E36" s="835">
        <v>100</v>
      </c>
      <c r="F36" s="835">
        <v>100</v>
      </c>
      <c r="G36" s="835">
        <v>100</v>
      </c>
      <c r="H36" s="835">
        <v>100</v>
      </c>
      <c r="I36" s="835">
        <v>100</v>
      </c>
      <c r="J36" s="835">
        <v>100</v>
      </c>
      <c r="K36" s="835">
        <v>100</v>
      </c>
      <c r="L36" s="835">
        <v>100</v>
      </c>
      <c r="M36" s="835"/>
      <c r="N36" s="835"/>
      <c r="O36" s="139"/>
      <c r="XFD36" s="835"/>
    </row>
    <row r="37" spans="1:15 16384:16384" x14ac:dyDescent="0.3">
      <c r="A37" s="833" t="s">
        <v>7997</v>
      </c>
      <c r="B37" s="834" t="s">
        <v>8065</v>
      </c>
      <c r="C37" s="835">
        <v>100</v>
      </c>
      <c r="D37" s="835">
        <v>100</v>
      </c>
      <c r="E37" s="835">
        <v>100</v>
      </c>
      <c r="F37" s="835">
        <v>100</v>
      </c>
      <c r="G37" s="835">
        <v>100</v>
      </c>
      <c r="H37" s="835">
        <v>100</v>
      </c>
      <c r="I37" s="835">
        <v>100</v>
      </c>
      <c r="J37" s="835"/>
      <c r="K37" s="835"/>
      <c r="L37" s="835"/>
      <c r="M37" s="835"/>
      <c r="N37" s="835"/>
      <c r="O37" s="139"/>
      <c r="XFD37" s="839"/>
    </row>
    <row r="38" spans="1:15 16384:16384" x14ac:dyDescent="0.3">
      <c r="A38" s="833" t="s">
        <v>8063</v>
      </c>
      <c r="B38" s="834" t="s">
        <v>8066</v>
      </c>
      <c r="C38" s="838">
        <v>-100</v>
      </c>
      <c r="D38" s="838">
        <v>-100</v>
      </c>
      <c r="E38" s="838">
        <v>-100</v>
      </c>
      <c r="F38" s="838">
        <v>-100</v>
      </c>
      <c r="G38" s="838">
        <v>-100</v>
      </c>
      <c r="H38" s="838">
        <v>-100</v>
      </c>
      <c r="I38" s="838">
        <v>-100</v>
      </c>
      <c r="J38" s="838"/>
      <c r="K38" s="838"/>
      <c r="L38" s="838">
        <v>-240</v>
      </c>
      <c r="M38" s="835"/>
      <c r="N38" s="835"/>
    </row>
    <row r="39" spans="1:15 16384:16384" x14ac:dyDescent="0.3">
      <c r="A39" s="687"/>
      <c r="B39" s="708"/>
      <c r="C39" s="687"/>
      <c r="D39" s="667"/>
      <c r="E39" s="860"/>
    </row>
    <row r="40" spans="1:15 16384:16384" ht="15" customHeight="1" x14ac:dyDescent="0.3">
      <c r="A40" s="667"/>
      <c r="B40" s="709"/>
      <c r="C40" s="667"/>
      <c r="D40" s="667"/>
      <c r="E40" s="667"/>
    </row>
    <row r="41" spans="1:15 16384:16384" x14ac:dyDescent="0.3">
      <c r="A41" s="667"/>
      <c r="B41" s="667"/>
      <c r="C41" s="688"/>
      <c r="D41" s="688"/>
      <c r="E41" s="688"/>
      <c r="F41" s="136"/>
      <c r="G41" s="136"/>
      <c r="H41" s="136"/>
      <c r="I41" s="136"/>
    </row>
    <row r="42" spans="1:15 16384:16384" x14ac:dyDescent="0.3">
      <c r="A42" s="689"/>
      <c r="B42" s="710"/>
      <c r="C42" s="690"/>
      <c r="D42" s="667"/>
      <c r="E42" s="667"/>
      <c r="J42" s="139"/>
    </row>
    <row r="43" spans="1:15 16384:16384" ht="15" customHeight="1" x14ac:dyDescent="0.3">
      <c r="A43" s="689"/>
      <c r="B43" s="710"/>
      <c r="C43" s="690"/>
      <c r="D43" s="667"/>
      <c r="E43" s="667"/>
      <c r="J43" s="139"/>
    </row>
    <row r="44" spans="1:15 16384:16384" x14ac:dyDescent="0.3">
      <c r="A44" s="836" t="s">
        <v>8104</v>
      </c>
      <c r="B44" s="667"/>
      <c r="C44" s="667"/>
      <c r="D44" s="667"/>
      <c r="E44" s="667"/>
    </row>
    <row r="45" spans="1:15 16384:16384" x14ac:dyDescent="0.3">
      <c r="A45" s="841" t="s">
        <v>8068</v>
      </c>
      <c r="B45" s="667"/>
      <c r="C45" s="667"/>
      <c r="D45" s="667"/>
      <c r="E45" s="667"/>
    </row>
    <row r="46" spans="1:15 16384:16384" x14ac:dyDescent="0.3">
      <c r="A46" s="841" t="s">
        <v>8107</v>
      </c>
      <c r="B46" s="667"/>
      <c r="C46" s="667"/>
      <c r="D46" s="667"/>
      <c r="E46" s="667"/>
    </row>
    <row r="47" spans="1:15 16384:16384" x14ac:dyDescent="0.3">
      <c r="A47" s="859"/>
      <c r="B47" s="667"/>
      <c r="C47" s="667"/>
      <c r="D47" s="667"/>
      <c r="E47" s="667"/>
    </row>
    <row r="48" spans="1:15 16384:16384" ht="14.5" thickBot="1" x14ac:dyDescent="0.35">
      <c r="A48" s="859"/>
      <c r="B48" s="667"/>
      <c r="C48" s="857"/>
      <c r="D48" s="857"/>
      <c r="E48" s="857"/>
      <c r="F48" s="662"/>
      <c r="G48" s="662"/>
      <c r="H48" s="662"/>
      <c r="I48" s="662"/>
      <c r="J48" s="662"/>
      <c r="K48" s="662"/>
      <c r="L48" s="662"/>
      <c r="M48" s="662"/>
      <c r="N48" s="662"/>
      <c r="O48" s="139"/>
    </row>
    <row r="49" spans="1:15 16384:16384" ht="14.5" thickBot="1" x14ac:dyDescent="0.35">
      <c r="A49" s="832"/>
      <c r="B49" s="667"/>
      <c r="C49" s="675" t="s">
        <v>8191</v>
      </c>
      <c r="D49" s="676" t="s">
        <v>8192</v>
      </c>
      <c r="E49" s="676" t="s">
        <v>8193</v>
      </c>
      <c r="F49" s="676" t="s">
        <v>8194</v>
      </c>
      <c r="G49" s="676" t="s">
        <v>5935</v>
      </c>
      <c r="H49" s="676" t="s">
        <v>8195</v>
      </c>
      <c r="I49" s="837" t="s">
        <v>8196</v>
      </c>
      <c r="J49" s="676" t="s">
        <v>8197</v>
      </c>
      <c r="K49" s="676" t="s">
        <v>8198</v>
      </c>
      <c r="L49" s="837" t="s">
        <v>8199</v>
      </c>
      <c r="M49" s="676" t="s">
        <v>8200</v>
      </c>
      <c r="N49" s="677" t="s">
        <v>8201</v>
      </c>
      <c r="O49" s="139"/>
    </row>
    <row r="50" spans="1:15 16384:16384" x14ac:dyDescent="0.3">
      <c r="A50" s="833" t="s">
        <v>7942</v>
      </c>
      <c r="B50" s="834" t="s">
        <v>8065</v>
      </c>
      <c r="C50" s="835">
        <v>100</v>
      </c>
      <c r="D50" s="835">
        <v>100</v>
      </c>
      <c r="E50" s="835">
        <v>100</v>
      </c>
      <c r="F50" s="835">
        <v>100</v>
      </c>
      <c r="G50" s="835">
        <v>100</v>
      </c>
      <c r="H50" s="835">
        <v>100</v>
      </c>
      <c r="I50" s="835">
        <v>100</v>
      </c>
      <c r="J50" s="835">
        <v>100</v>
      </c>
      <c r="K50" s="835">
        <v>100</v>
      </c>
      <c r="L50" s="835">
        <v>100</v>
      </c>
      <c r="M50" s="835"/>
      <c r="N50" s="835"/>
      <c r="O50" s="139"/>
      <c r="XFD50" s="835"/>
    </row>
    <row r="51" spans="1:15 16384:16384" x14ac:dyDescent="0.3">
      <c r="A51" s="833" t="s">
        <v>8037</v>
      </c>
      <c r="B51" s="834" t="s">
        <v>8065</v>
      </c>
      <c r="C51" s="835">
        <v>100</v>
      </c>
      <c r="D51" s="835">
        <v>100</v>
      </c>
      <c r="E51" s="835">
        <v>100</v>
      </c>
      <c r="F51" s="835">
        <v>100</v>
      </c>
      <c r="G51" s="835"/>
      <c r="H51" s="835"/>
      <c r="I51" s="835"/>
      <c r="J51" s="835"/>
      <c r="K51" s="835"/>
      <c r="L51" s="835"/>
      <c r="M51" s="835"/>
      <c r="N51" s="835"/>
      <c r="O51" s="139"/>
      <c r="XFD51" s="839"/>
    </row>
    <row r="52" spans="1:15 16384:16384" x14ac:dyDescent="0.3">
      <c r="A52" s="833" t="s">
        <v>8063</v>
      </c>
      <c r="B52" s="834" t="s">
        <v>8066</v>
      </c>
      <c r="C52" s="838">
        <v>-100</v>
      </c>
      <c r="D52" s="838">
        <v>-100</v>
      </c>
      <c r="E52" s="838">
        <v>-100</v>
      </c>
      <c r="F52" s="838">
        <v>-100</v>
      </c>
      <c r="G52" s="838"/>
      <c r="H52" s="838"/>
      <c r="I52" s="838"/>
      <c r="J52" s="838"/>
      <c r="K52" s="838"/>
      <c r="L52" s="838">
        <v>-720</v>
      </c>
      <c r="M52" s="835"/>
      <c r="N52" s="835"/>
    </row>
    <row r="53" spans="1:15 16384:16384" ht="15" customHeight="1" x14ac:dyDescent="0.3">
      <c r="A53" s="689"/>
      <c r="B53" s="710"/>
      <c r="C53" s="690"/>
      <c r="D53" s="667"/>
      <c r="E53" s="667"/>
      <c r="J53" s="139"/>
    </row>
    <row r="54" spans="1:15 16384:16384" ht="6.75" customHeight="1" x14ac:dyDescent="0.3">
      <c r="A54" s="667"/>
      <c r="B54" s="667"/>
      <c r="C54" s="691"/>
      <c r="D54" s="691"/>
      <c r="E54" s="691"/>
      <c r="F54" s="137"/>
      <c r="G54" s="137"/>
      <c r="H54" s="137"/>
      <c r="I54" s="137"/>
    </row>
    <row r="55" spans="1:15 16384:16384" x14ac:dyDescent="0.3">
      <c r="A55" s="692"/>
      <c r="B55" s="667"/>
      <c r="C55" s="690"/>
      <c r="D55" s="667"/>
      <c r="E55" s="667"/>
    </row>
    <row r="56" spans="1:15 16384:16384" x14ac:dyDescent="0.3">
      <c r="A56" s="692"/>
      <c r="B56" s="667"/>
      <c r="C56" s="690"/>
      <c r="D56" s="667"/>
      <c r="E56" s="667"/>
    </row>
    <row r="57" spans="1:15 16384:16384" x14ac:dyDescent="0.3">
      <c r="A57" s="667"/>
      <c r="B57" s="667"/>
      <c r="C57" s="667"/>
      <c r="D57" s="667"/>
      <c r="E57" s="667"/>
    </row>
    <row r="58" spans="1:15 16384:16384" x14ac:dyDescent="0.3">
      <c r="A58" s="667"/>
      <c r="B58" s="667"/>
      <c r="C58" s="667"/>
      <c r="D58" s="667"/>
      <c r="E58" s="667"/>
    </row>
    <row r="59" spans="1:15 16384:16384" x14ac:dyDescent="0.3">
      <c r="A59" s="667"/>
      <c r="B59" s="667"/>
      <c r="C59" s="667"/>
      <c r="D59" s="667"/>
      <c r="E59" s="667"/>
    </row>
    <row r="60" spans="1:15 16384:16384" x14ac:dyDescent="0.3">
      <c r="A60" s="667"/>
      <c r="B60" s="667"/>
      <c r="C60" s="667"/>
      <c r="D60" s="667"/>
      <c r="E60" s="667"/>
    </row>
    <row r="61" spans="1:15 16384:16384" x14ac:dyDescent="0.3">
      <c r="A61" s="667"/>
      <c r="B61" s="667"/>
      <c r="C61" s="667"/>
      <c r="D61" s="667"/>
      <c r="E61" s="667"/>
    </row>
    <row r="62" spans="1:15 16384:16384" x14ac:dyDescent="0.3">
      <c r="A62" s="686"/>
      <c r="B62" s="667"/>
      <c r="C62" s="667"/>
      <c r="D62" s="667"/>
      <c r="E62" s="667"/>
    </row>
    <row r="63" spans="1:15 16384:16384" x14ac:dyDescent="0.3">
      <c r="A63" s="667"/>
      <c r="B63" s="667"/>
      <c r="C63" s="667"/>
      <c r="D63" s="667"/>
      <c r="E63" s="667"/>
    </row>
    <row r="64" spans="1:15 16384:16384" x14ac:dyDescent="0.3">
      <c r="A64" s="667"/>
      <c r="B64" s="667"/>
      <c r="C64" s="667"/>
      <c r="D64" s="667"/>
      <c r="E64" s="667"/>
    </row>
    <row r="65" spans="1:5" x14ac:dyDescent="0.3">
      <c r="A65" s="667"/>
      <c r="B65" s="667"/>
      <c r="C65" s="667"/>
      <c r="D65" s="667"/>
      <c r="E65" s="667"/>
    </row>
    <row r="66" spans="1:5" x14ac:dyDescent="0.3">
      <c r="A66" s="689"/>
      <c r="B66" s="667"/>
      <c r="C66" s="667"/>
      <c r="D66" s="667"/>
      <c r="E66" s="667"/>
    </row>
    <row r="67" spans="1:5" x14ac:dyDescent="0.3">
      <c r="A67" s="689"/>
      <c r="B67" s="667"/>
      <c r="C67" s="667"/>
      <c r="D67" s="667"/>
      <c r="E67" s="667"/>
    </row>
    <row r="68" spans="1:5" x14ac:dyDescent="0.3">
      <c r="A68" s="667"/>
      <c r="B68" s="667"/>
      <c r="C68" s="667"/>
      <c r="D68" s="667"/>
      <c r="E68" s="667"/>
    </row>
    <row r="69" spans="1:5" x14ac:dyDescent="0.3">
      <c r="A69" s="667"/>
      <c r="B69" s="667"/>
      <c r="C69" s="667"/>
      <c r="D69" s="667"/>
      <c r="E69" s="667"/>
    </row>
    <row r="70" spans="1:5" x14ac:dyDescent="0.3">
      <c r="A70" s="667"/>
      <c r="B70" s="667"/>
      <c r="C70" s="667"/>
      <c r="D70" s="667"/>
      <c r="E70" s="667"/>
    </row>
    <row r="71" spans="1:5" x14ac:dyDescent="0.3">
      <c r="A71" s="667"/>
      <c r="B71" s="667"/>
      <c r="C71" s="667"/>
      <c r="D71" s="667"/>
      <c r="E71" s="667"/>
    </row>
    <row r="72" spans="1:5" x14ac:dyDescent="0.3">
      <c r="A72" s="667"/>
      <c r="B72" s="667"/>
      <c r="C72" s="667"/>
      <c r="D72" s="667"/>
      <c r="E72" s="667"/>
    </row>
    <row r="73" spans="1:5" x14ac:dyDescent="0.3">
      <c r="A73" s="667"/>
      <c r="B73" s="667"/>
      <c r="C73" s="667"/>
      <c r="D73" s="667"/>
      <c r="E73" s="667"/>
    </row>
    <row r="76" spans="1:5" ht="14.5" x14ac:dyDescent="0.35">
      <c r="A76" s="132"/>
    </row>
  </sheetData>
  <mergeCells count="2">
    <mergeCell ref="A1:AA1"/>
    <mergeCell ref="A3:I3"/>
  </mergeCell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53250" r:id="rId4">
          <objectPr defaultSize="0" autoPict="0" r:id="rId5">
            <anchor moveWithCells="1" sizeWithCells="1">
              <from>
                <xdr:col>0</xdr:col>
                <xdr:colOff>0</xdr:colOff>
                <xdr:row>61</xdr:row>
                <xdr:rowOff>0</xdr:rowOff>
              </from>
              <to>
                <xdr:col>2</xdr:col>
                <xdr:colOff>0</xdr:colOff>
                <xdr:row>61</xdr:row>
                <xdr:rowOff>0</xdr:rowOff>
              </to>
            </anchor>
          </objectPr>
        </oleObject>
      </mc:Choice>
      <mc:Fallback>
        <oleObject progId="Equation.3" shapeId="53250" r:id="rId4"/>
      </mc:Fallback>
    </mc:AlternateContent>
    <mc:AlternateContent xmlns:mc="http://schemas.openxmlformats.org/markup-compatibility/2006">
      <mc:Choice Requires="x14">
        <oleObject progId="Equation.3" shapeId="53251" r:id="rId6">
          <objectPr defaultSize="0" autoPict="0" r:id="rId7">
            <anchor moveWithCells="1" sizeWithCells="1">
              <from>
                <xdr:col>0</xdr:col>
                <xdr:colOff>361950</xdr:colOff>
                <xdr:row>61</xdr:row>
                <xdr:rowOff>0</xdr:rowOff>
              </from>
              <to>
                <xdr:col>2</xdr:col>
                <xdr:colOff>0</xdr:colOff>
                <xdr:row>61</xdr:row>
                <xdr:rowOff>0</xdr:rowOff>
              </to>
            </anchor>
          </objectPr>
        </oleObject>
      </mc:Choice>
      <mc:Fallback>
        <oleObject progId="Equation.3" shapeId="53251" r:id="rId6"/>
      </mc:Fallback>
    </mc:AlternateContent>
    <mc:AlternateContent xmlns:mc="http://schemas.openxmlformats.org/markup-compatibility/2006">
      <mc:Choice Requires="x14">
        <oleObject progId="Equation.3" shapeId="53252" r:id="rId8">
          <objectPr defaultSize="0" autoPict="0" r:id="rId9">
            <anchor moveWithCells="1" sizeWithCells="1">
              <from>
                <xdr:col>0</xdr:col>
                <xdr:colOff>323850</xdr:colOff>
                <xdr:row>61</xdr:row>
                <xdr:rowOff>0</xdr:rowOff>
              </from>
              <to>
                <xdr:col>2</xdr:col>
                <xdr:colOff>0</xdr:colOff>
                <xdr:row>61</xdr:row>
                <xdr:rowOff>0</xdr:rowOff>
              </to>
            </anchor>
          </objectPr>
        </oleObject>
      </mc:Choice>
      <mc:Fallback>
        <oleObject progId="Equation.3" shapeId="53252" r:id="rId8"/>
      </mc:Fallback>
    </mc:AlternateContent>
    <mc:AlternateContent xmlns:mc="http://schemas.openxmlformats.org/markup-compatibility/2006">
      <mc:Choice Requires="x14">
        <oleObject progId="Equation.3" shapeId="53253" r:id="rId10">
          <objectPr defaultSize="0" autoPict="0" r:id="rId11">
            <anchor moveWithCells="1" sizeWithCells="1">
              <from>
                <xdr:col>0</xdr:col>
                <xdr:colOff>12700</xdr:colOff>
                <xdr:row>61</xdr:row>
                <xdr:rowOff>0</xdr:rowOff>
              </from>
              <to>
                <xdr:col>2</xdr:col>
                <xdr:colOff>0</xdr:colOff>
                <xdr:row>61</xdr:row>
                <xdr:rowOff>0</xdr:rowOff>
              </to>
            </anchor>
          </objectPr>
        </oleObject>
      </mc:Choice>
      <mc:Fallback>
        <oleObject progId="Equation.3" shapeId="53253" r:id="rId10"/>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0"/>
  <dimension ref="A1:AB182"/>
  <sheetViews>
    <sheetView workbookViewId="0">
      <selection sqref="A1:AA1"/>
    </sheetView>
  </sheetViews>
  <sheetFormatPr baseColWidth="10" defaultColWidth="11.453125" defaultRowHeight="14" x14ac:dyDescent="0.3"/>
  <cols>
    <col min="1" max="1" width="35.453125" style="113" customWidth="1"/>
    <col min="2" max="2" width="18.54296875" style="113" customWidth="1"/>
    <col min="3" max="3" width="17.54296875" style="113" customWidth="1"/>
    <col min="4" max="9" width="11.453125" style="113" customWidth="1"/>
    <col min="10" max="13" width="12.453125" style="113" bestFit="1" customWidth="1"/>
    <col min="14" max="14" width="11.54296875" style="113" bestFit="1" customWidth="1"/>
    <col min="15" max="15" width="11.453125" style="113"/>
    <col min="16" max="16" width="4.81640625" style="113" customWidth="1"/>
    <col min="17" max="22" width="11.453125" style="113" customWidth="1"/>
    <col min="23" max="16384" width="11.453125" style="113"/>
  </cols>
  <sheetData>
    <row r="1" spans="1:28" ht="37.75" customHeight="1" x14ac:dyDescent="0.4">
      <c r="A1" s="999" t="s">
        <v>7813</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1"/>
      <c r="AB1" s="667"/>
    </row>
    <row r="2" spans="1:28" ht="9" customHeight="1" x14ac:dyDescent="0.3">
      <c r="A2" s="136"/>
      <c r="B2" s="136"/>
      <c r="C2" s="136"/>
      <c r="D2" s="136"/>
      <c r="E2" s="136"/>
      <c r="F2" s="136"/>
      <c r="G2" s="136"/>
      <c r="H2" s="136"/>
      <c r="I2" s="136"/>
      <c r="J2" s="136"/>
      <c r="K2" s="136"/>
      <c r="L2" s="136"/>
      <c r="M2" s="136"/>
      <c r="N2" s="136"/>
      <c r="O2" s="136"/>
      <c r="P2" s="136"/>
      <c r="Q2" s="136"/>
      <c r="R2" s="136"/>
      <c r="S2" s="136"/>
      <c r="T2" s="136"/>
      <c r="U2" s="136"/>
      <c r="V2" s="136"/>
      <c r="W2" s="136"/>
      <c r="X2" s="136"/>
      <c r="Y2" s="136"/>
      <c r="Z2" s="136"/>
      <c r="AA2" s="136"/>
      <c r="AB2" s="667"/>
    </row>
    <row r="3" spans="1:28" ht="28.5" customHeight="1" x14ac:dyDescent="0.3">
      <c r="A3" s="758" t="s">
        <v>7752</v>
      </c>
      <c r="B3" s="759"/>
      <c r="C3" s="759"/>
      <c r="D3" s="759"/>
      <c r="E3" s="759"/>
      <c r="F3" s="759"/>
      <c r="G3" s="759"/>
      <c r="H3" s="759"/>
      <c r="I3" s="759"/>
      <c r="J3" s="759"/>
      <c r="K3" s="759"/>
      <c r="L3" s="759"/>
      <c r="M3" s="759"/>
      <c r="N3" s="759"/>
      <c r="O3" s="759"/>
      <c r="P3" s="759"/>
      <c r="Q3" s="759"/>
      <c r="R3" s="759"/>
      <c r="S3" s="759"/>
      <c r="T3" s="759"/>
      <c r="U3" s="759"/>
      <c r="V3" s="759"/>
      <c r="W3" s="759"/>
      <c r="X3" s="759"/>
      <c r="Y3" s="759"/>
      <c r="Z3" s="759"/>
      <c r="AA3" s="759"/>
      <c r="AB3" s="760"/>
    </row>
    <row r="4" spans="1:28" ht="81.75" customHeight="1" x14ac:dyDescent="0.3">
      <c r="A4" s="997" t="s">
        <v>7807</v>
      </c>
      <c r="B4" s="998"/>
      <c r="C4" s="998"/>
      <c r="D4" s="998"/>
      <c r="E4" s="998"/>
      <c r="F4" s="998"/>
      <c r="G4" s="998"/>
      <c r="H4" s="998"/>
      <c r="I4" s="998"/>
      <c r="J4" s="998"/>
      <c r="K4" s="998"/>
      <c r="L4" s="998"/>
      <c r="M4" s="998"/>
      <c r="N4" s="998"/>
      <c r="O4" s="998"/>
      <c r="P4" s="998"/>
      <c r="Q4" s="998"/>
      <c r="R4" s="998"/>
      <c r="S4" s="792"/>
      <c r="T4" s="792"/>
      <c r="U4" s="792"/>
      <c r="V4" s="792"/>
      <c r="W4" s="792"/>
      <c r="X4" s="792"/>
      <c r="Y4" s="792"/>
      <c r="Z4" s="792"/>
      <c r="AA4" s="793"/>
    </row>
    <row r="5" spans="1:28" ht="22.4" customHeight="1" x14ac:dyDescent="0.3">
      <c r="A5" s="962" t="s">
        <v>7772</v>
      </c>
      <c r="B5" s="963"/>
      <c r="C5" s="963"/>
      <c r="D5" s="963"/>
      <c r="E5" s="963"/>
      <c r="F5" s="963"/>
      <c r="G5" s="963"/>
      <c r="H5" s="963"/>
      <c r="I5" s="963"/>
      <c r="J5" s="963"/>
      <c r="K5" s="963"/>
      <c r="L5" s="963"/>
      <c r="M5" s="963"/>
      <c r="N5" s="963"/>
      <c r="O5" s="963"/>
      <c r="P5" s="963"/>
      <c r="Q5" s="963"/>
      <c r="R5" s="963"/>
      <c r="S5" s="792"/>
      <c r="T5" s="792"/>
      <c r="U5" s="792"/>
      <c r="V5" s="792"/>
      <c r="W5" s="792"/>
      <c r="X5" s="792"/>
      <c r="Y5" s="792"/>
      <c r="Z5" s="792"/>
      <c r="AA5" s="793"/>
    </row>
    <row r="6" spans="1:28" ht="54" customHeight="1" x14ac:dyDescent="0.3">
      <c r="A6" s="962" t="s">
        <v>7808</v>
      </c>
      <c r="B6" s="963"/>
      <c r="C6" s="963"/>
      <c r="D6" s="963"/>
      <c r="E6" s="963"/>
      <c r="F6" s="963"/>
      <c r="G6" s="963"/>
      <c r="H6" s="963"/>
      <c r="I6" s="963"/>
      <c r="J6" s="963"/>
      <c r="K6" s="963"/>
      <c r="L6" s="963"/>
      <c r="M6" s="963"/>
      <c r="N6" s="963"/>
      <c r="O6" s="963"/>
      <c r="P6" s="963"/>
      <c r="Q6" s="963"/>
      <c r="R6" s="963"/>
      <c r="S6" s="792"/>
      <c r="T6" s="792"/>
      <c r="U6" s="792"/>
      <c r="V6" s="792"/>
      <c r="W6" s="792"/>
      <c r="X6" s="792"/>
      <c r="Y6" s="792"/>
      <c r="Z6" s="792"/>
      <c r="AA6" s="793"/>
    </row>
    <row r="7" spans="1:28" ht="130.5" customHeight="1" thickBot="1" x14ac:dyDescent="0.35">
      <c r="A7" s="986" t="s">
        <v>7824</v>
      </c>
      <c r="B7" s="987"/>
      <c r="C7" s="987"/>
      <c r="D7" s="987"/>
      <c r="E7" s="987"/>
      <c r="F7" s="987"/>
      <c r="G7" s="987"/>
      <c r="H7" s="987"/>
      <c r="I7" s="987"/>
      <c r="J7" s="987"/>
      <c r="K7" s="987"/>
      <c r="L7" s="987"/>
      <c r="M7" s="987"/>
      <c r="N7" s="987"/>
      <c r="O7" s="987"/>
      <c r="P7" s="987"/>
      <c r="Q7" s="987"/>
      <c r="R7" s="988"/>
    </row>
    <row r="8" spans="1:28" ht="26.9" customHeight="1" thickBot="1" x14ac:dyDescent="0.4">
      <c r="A8" s="668"/>
      <c r="B8" s="668"/>
      <c r="C8" s="668"/>
      <c r="D8" s="989" t="s">
        <v>7759</v>
      </c>
      <c r="E8" s="990"/>
      <c r="F8" s="991" t="s">
        <v>7758</v>
      </c>
      <c r="G8" s="990"/>
      <c r="H8" s="991" t="s">
        <v>7760</v>
      </c>
      <c r="I8" s="990"/>
      <c r="J8" s="991" t="s">
        <v>7761</v>
      </c>
      <c r="K8" s="990"/>
      <c r="L8" s="991" t="s">
        <v>7762</v>
      </c>
      <c r="M8" s="990"/>
      <c r="N8" s="992" t="s">
        <v>7763</v>
      </c>
      <c r="O8" s="968"/>
      <c r="P8" s="668"/>
      <c r="Q8" s="967" t="s">
        <v>7771</v>
      </c>
      <c r="R8" s="968"/>
      <c r="S8" s="139"/>
    </row>
    <row r="9" spans="1:28" ht="22.5" customHeight="1" thickBot="1" x14ac:dyDescent="0.4">
      <c r="A9" s="761"/>
      <c r="B9" s="761"/>
      <c r="C9" s="761"/>
      <c r="D9" s="969" t="s">
        <v>7764</v>
      </c>
      <c r="E9" s="970"/>
      <c r="F9" s="970"/>
      <c r="G9" s="970"/>
      <c r="H9" s="970"/>
      <c r="I9" s="970"/>
      <c r="J9" s="970"/>
      <c r="K9" s="970"/>
      <c r="L9" s="970"/>
      <c r="M9" s="970"/>
      <c r="N9" s="970"/>
      <c r="O9" s="971"/>
      <c r="P9" s="668"/>
      <c r="Q9" s="790"/>
      <c r="R9" s="790"/>
    </row>
    <row r="10" spans="1:28" ht="29.5" thickBot="1" x14ac:dyDescent="0.4">
      <c r="A10" s="791" t="s">
        <v>7774</v>
      </c>
      <c r="B10" s="791" t="s">
        <v>1764</v>
      </c>
      <c r="C10" s="762" t="s">
        <v>7773</v>
      </c>
      <c r="D10" s="787" t="s">
        <v>7756</v>
      </c>
      <c r="E10" s="788" t="s">
        <v>7757</v>
      </c>
      <c r="F10" s="788" t="s">
        <v>7756</v>
      </c>
      <c r="G10" s="788" t="s">
        <v>7757</v>
      </c>
      <c r="H10" s="788" t="s">
        <v>7756</v>
      </c>
      <c r="I10" s="788" t="s">
        <v>7757</v>
      </c>
      <c r="J10" s="788" t="s">
        <v>7756</v>
      </c>
      <c r="K10" s="788" t="s">
        <v>7757</v>
      </c>
      <c r="L10" s="788" t="s">
        <v>7756</v>
      </c>
      <c r="M10" s="788" t="s">
        <v>7757</v>
      </c>
      <c r="N10" s="788" t="s">
        <v>7756</v>
      </c>
      <c r="O10" s="789" t="s">
        <v>7757</v>
      </c>
      <c r="P10" s="668"/>
      <c r="Q10" s="787" t="s">
        <v>7756</v>
      </c>
      <c r="R10" s="789" t="s">
        <v>7757</v>
      </c>
      <c r="S10" s="139"/>
    </row>
    <row r="11" spans="1:28" ht="14.5" x14ac:dyDescent="0.35">
      <c r="A11" s="678"/>
      <c r="B11" s="668"/>
      <c r="C11" s="668"/>
      <c r="D11" s="668"/>
      <c r="E11" s="668"/>
      <c r="F11" s="668"/>
      <c r="G11" s="668"/>
      <c r="H11" s="668"/>
      <c r="I11" s="668"/>
      <c r="J11" s="668"/>
      <c r="K11" s="668"/>
      <c r="L11" s="668"/>
      <c r="M11" s="668"/>
      <c r="N11" s="668"/>
      <c r="O11" s="668"/>
      <c r="P11" s="668"/>
      <c r="Q11" s="668"/>
      <c r="R11" s="668"/>
    </row>
    <row r="12" spans="1:28" ht="14.5" x14ac:dyDescent="0.35">
      <c r="A12" s="763" t="s">
        <v>7605</v>
      </c>
      <c r="B12" s="764" t="s">
        <v>6277</v>
      </c>
      <c r="C12" s="679">
        <v>12.2</v>
      </c>
      <c r="D12" s="743">
        <v>37845</v>
      </c>
      <c r="E12" s="782">
        <v>4617.09</v>
      </c>
      <c r="F12" s="743">
        <v>26580</v>
      </c>
      <c r="G12" s="782">
        <v>3242.76</v>
      </c>
      <c r="H12" s="743">
        <v>16334</v>
      </c>
      <c r="I12" s="782">
        <v>1992.75</v>
      </c>
      <c r="J12" s="743">
        <v>9328</v>
      </c>
      <c r="K12" s="782">
        <v>1138.02</v>
      </c>
      <c r="L12" s="743">
        <v>3024</v>
      </c>
      <c r="M12" s="782">
        <v>368.93</v>
      </c>
      <c r="N12" s="743"/>
      <c r="O12" s="782"/>
      <c r="P12" s="668"/>
      <c r="Q12" s="786">
        <f t="shared" ref="Q12:R14" si="0">D12+F12+H12+J12+L12+N12</f>
        <v>93111</v>
      </c>
      <c r="R12" s="781">
        <f t="shared" si="0"/>
        <v>11359.550000000001</v>
      </c>
    </row>
    <row r="13" spans="1:28" ht="14.5" x14ac:dyDescent="0.35">
      <c r="A13" s="763" t="s">
        <v>7605</v>
      </c>
      <c r="B13" s="764" t="s">
        <v>7765</v>
      </c>
      <c r="C13" s="679">
        <v>11.87</v>
      </c>
      <c r="D13" s="743">
        <v>56767.5</v>
      </c>
      <c r="E13" s="782">
        <v>6738.3</v>
      </c>
      <c r="F13" s="743">
        <v>39870</v>
      </c>
      <c r="G13" s="782">
        <v>4732.57</v>
      </c>
      <c r="H13" s="743">
        <v>24501</v>
      </c>
      <c r="I13" s="782">
        <v>2908.27</v>
      </c>
      <c r="J13" s="743">
        <v>13992</v>
      </c>
      <c r="K13" s="782">
        <v>1660.85</v>
      </c>
      <c r="L13" s="743">
        <v>4536</v>
      </c>
      <c r="M13" s="782">
        <v>538.41999999999996</v>
      </c>
      <c r="N13" s="743"/>
      <c r="O13" s="782"/>
      <c r="P13" s="668"/>
      <c r="Q13" s="786">
        <f t="shared" si="0"/>
        <v>139666.5</v>
      </c>
      <c r="R13" s="781">
        <f t="shared" si="0"/>
        <v>16578.41</v>
      </c>
    </row>
    <row r="14" spans="1:28" ht="14.5" x14ac:dyDescent="0.35">
      <c r="A14" s="763" t="s">
        <v>7605</v>
      </c>
      <c r="B14" s="764" t="s">
        <v>209</v>
      </c>
      <c r="C14" s="798" t="s">
        <v>7783</v>
      </c>
      <c r="D14" s="743"/>
      <c r="E14" s="782"/>
      <c r="F14" s="743"/>
      <c r="G14" s="782"/>
      <c r="H14" s="743"/>
      <c r="I14" s="782"/>
      <c r="J14" s="743"/>
      <c r="K14" s="782"/>
      <c r="L14" s="743"/>
      <c r="M14" s="782"/>
      <c r="N14" s="743">
        <v>5892.5</v>
      </c>
      <c r="O14" s="782">
        <v>471.40000000000003</v>
      </c>
      <c r="P14" s="668"/>
      <c r="Q14" s="786">
        <f t="shared" si="0"/>
        <v>5892.5</v>
      </c>
      <c r="R14" s="781">
        <f t="shared" si="0"/>
        <v>471.40000000000003</v>
      </c>
    </row>
    <row r="15" spans="1:28" ht="14.5" hidden="1" x14ac:dyDescent="0.35">
      <c r="A15" s="765" t="s">
        <v>7605</v>
      </c>
      <c r="B15" s="766" t="s">
        <v>6111</v>
      </c>
      <c r="C15" s="755"/>
      <c r="D15" s="767"/>
      <c r="E15" s="783"/>
      <c r="F15" s="767"/>
      <c r="G15" s="783"/>
      <c r="H15" s="767"/>
      <c r="I15" s="783">
        <v>200000</v>
      </c>
      <c r="J15" s="756"/>
      <c r="K15" s="785"/>
      <c r="L15" s="756"/>
      <c r="M15" s="785"/>
      <c r="N15" s="756"/>
      <c r="O15" s="785"/>
      <c r="P15" s="668"/>
      <c r="Q15" s="756"/>
      <c r="R15" s="785"/>
    </row>
    <row r="16" spans="1:28" ht="7.4" customHeight="1" x14ac:dyDescent="0.35">
      <c r="A16" s="768"/>
      <c r="B16" s="769"/>
      <c r="C16" s="770"/>
      <c r="D16" s="771"/>
      <c r="E16" s="784"/>
      <c r="F16" s="770"/>
      <c r="G16" s="784"/>
      <c r="H16" s="770"/>
      <c r="I16" s="784"/>
      <c r="J16" s="770"/>
      <c r="K16" s="784"/>
      <c r="L16" s="770"/>
      <c r="M16" s="784"/>
      <c r="N16" s="770"/>
      <c r="O16" s="784"/>
      <c r="P16" s="668"/>
      <c r="Q16" s="770"/>
      <c r="R16" s="784"/>
    </row>
    <row r="17" spans="1:22" ht="16.399999999999999" customHeight="1" x14ac:dyDescent="0.35">
      <c r="A17" s="979" t="s">
        <v>7755</v>
      </c>
      <c r="B17" s="980"/>
      <c r="C17" s="982"/>
      <c r="D17" s="772">
        <f t="shared" ref="D17:O17" si="1">SUM(D12:D14)</f>
        <v>94612.5</v>
      </c>
      <c r="E17" s="782">
        <f t="shared" si="1"/>
        <v>11355.39</v>
      </c>
      <c r="F17" s="772">
        <f t="shared" si="1"/>
        <v>66450</v>
      </c>
      <c r="G17" s="782">
        <f t="shared" si="1"/>
        <v>7975.33</v>
      </c>
      <c r="H17" s="772">
        <f t="shared" si="1"/>
        <v>40835</v>
      </c>
      <c r="I17" s="782">
        <f t="shared" si="1"/>
        <v>4901.0200000000004</v>
      </c>
      <c r="J17" s="772">
        <f t="shared" si="1"/>
        <v>23320</v>
      </c>
      <c r="K17" s="782">
        <f t="shared" si="1"/>
        <v>2798.87</v>
      </c>
      <c r="L17" s="772">
        <f t="shared" si="1"/>
        <v>7560</v>
      </c>
      <c r="M17" s="782">
        <f t="shared" si="1"/>
        <v>907.34999999999991</v>
      </c>
      <c r="N17" s="772">
        <f t="shared" si="1"/>
        <v>5892.5</v>
      </c>
      <c r="O17" s="782">
        <f t="shared" si="1"/>
        <v>471.40000000000003</v>
      </c>
      <c r="Q17" s="786">
        <f>SUM(Q12:Q14)</f>
        <v>238670</v>
      </c>
      <c r="R17" s="781">
        <f>SUM(R12:R14)</f>
        <v>28409.360000000001</v>
      </c>
    </row>
    <row r="18" spans="1:22" ht="7.5" customHeight="1" x14ac:dyDescent="0.3">
      <c r="A18" s="773"/>
      <c r="B18" s="774"/>
      <c r="C18" s="775"/>
      <c r="D18" s="776"/>
      <c r="E18" s="775"/>
      <c r="F18" s="775"/>
      <c r="G18" s="775"/>
      <c r="H18" s="775"/>
      <c r="I18" s="775"/>
      <c r="J18" s="775"/>
      <c r="K18" s="775"/>
      <c r="L18" s="775"/>
      <c r="M18" s="775"/>
      <c r="N18" s="775"/>
      <c r="O18" s="775"/>
    </row>
    <row r="19" spans="1:22" ht="21.65" customHeight="1" x14ac:dyDescent="0.35">
      <c r="A19" s="761"/>
      <c r="B19" s="761"/>
      <c r="C19" s="761"/>
      <c r="D19" s="969" t="s">
        <v>7768</v>
      </c>
      <c r="E19" s="970"/>
      <c r="F19" s="970"/>
      <c r="G19" s="970"/>
      <c r="H19" s="970"/>
      <c r="I19" s="970"/>
      <c r="J19" s="970"/>
      <c r="K19" s="970"/>
      <c r="L19" s="970"/>
      <c r="M19" s="970"/>
      <c r="N19" s="970"/>
      <c r="O19" s="971"/>
      <c r="P19" s="668"/>
      <c r="U19" s="777"/>
    </row>
    <row r="20" spans="1:22" ht="14.5" x14ac:dyDescent="0.35">
      <c r="A20" s="979" t="s">
        <v>7767</v>
      </c>
      <c r="B20" s="980"/>
      <c r="C20" s="980"/>
      <c r="D20" s="978" t="s">
        <v>7754</v>
      </c>
      <c r="E20" s="978"/>
      <c r="F20" s="978" t="s">
        <v>7754</v>
      </c>
      <c r="G20" s="978"/>
      <c r="H20" s="978" t="s">
        <v>7754</v>
      </c>
      <c r="I20" s="978"/>
      <c r="J20" s="978" t="s">
        <v>7754</v>
      </c>
      <c r="K20" s="978"/>
      <c r="L20" s="978" t="s">
        <v>7754</v>
      </c>
      <c r="M20" s="978"/>
      <c r="N20" s="981" t="s">
        <v>7753</v>
      </c>
      <c r="O20" s="981"/>
      <c r="P20" s="668"/>
    </row>
    <row r="21" spans="1:22" ht="14.5" x14ac:dyDescent="0.35">
      <c r="A21" s="979" t="s">
        <v>7766</v>
      </c>
      <c r="B21" s="980"/>
      <c r="C21" s="980"/>
      <c r="D21" s="981" t="s">
        <v>7753</v>
      </c>
      <c r="E21" s="981"/>
      <c r="F21" s="981" t="s">
        <v>7753</v>
      </c>
      <c r="G21" s="981"/>
      <c r="H21" s="978" t="s">
        <v>7754</v>
      </c>
      <c r="I21" s="978"/>
      <c r="J21" s="978" t="s">
        <v>7754</v>
      </c>
      <c r="K21" s="978"/>
      <c r="L21" s="978" t="s">
        <v>7754</v>
      </c>
      <c r="M21" s="978"/>
      <c r="N21" s="981" t="s">
        <v>7753</v>
      </c>
      <c r="O21" s="981"/>
      <c r="P21" s="668"/>
    </row>
    <row r="22" spans="1:22" ht="26.9" customHeight="1" thickBot="1" x14ac:dyDescent="0.4">
      <c r="A22" s="761"/>
      <c r="B22" s="761"/>
      <c r="C22" s="761"/>
      <c r="D22" s="969" t="s">
        <v>7769</v>
      </c>
      <c r="E22" s="970"/>
      <c r="F22" s="970"/>
      <c r="G22" s="970"/>
      <c r="H22" s="970"/>
      <c r="I22" s="970"/>
      <c r="J22" s="970"/>
      <c r="K22" s="970"/>
      <c r="L22" s="970"/>
      <c r="M22" s="970"/>
      <c r="N22" s="970"/>
      <c r="O22" s="971"/>
      <c r="P22" s="668"/>
      <c r="Q22" s="136"/>
      <c r="R22" s="136"/>
    </row>
    <row r="23" spans="1:22" ht="29.5" thickBot="1" x14ac:dyDescent="0.4">
      <c r="A23" s="791" t="s">
        <v>7774</v>
      </c>
      <c r="B23" s="791" t="s">
        <v>1764</v>
      </c>
      <c r="C23" s="762" t="s">
        <v>7773</v>
      </c>
      <c r="D23" s="787" t="s">
        <v>7756</v>
      </c>
      <c r="E23" s="788" t="s">
        <v>7757</v>
      </c>
      <c r="F23" s="788" t="s">
        <v>7756</v>
      </c>
      <c r="G23" s="788" t="s">
        <v>7757</v>
      </c>
      <c r="H23" s="788" t="s">
        <v>7756</v>
      </c>
      <c r="I23" s="788" t="s">
        <v>7757</v>
      </c>
      <c r="J23" s="788" t="s">
        <v>7756</v>
      </c>
      <c r="K23" s="788" t="s">
        <v>7757</v>
      </c>
      <c r="L23" s="788" t="s">
        <v>7756</v>
      </c>
      <c r="M23" s="788" t="s">
        <v>7757</v>
      </c>
      <c r="N23" s="788" t="s">
        <v>7756</v>
      </c>
      <c r="O23" s="789" t="s">
        <v>7757</v>
      </c>
      <c r="P23" s="668"/>
      <c r="Q23" s="787" t="s">
        <v>7756</v>
      </c>
      <c r="R23" s="789" t="s">
        <v>7757</v>
      </c>
      <c r="S23" s="139"/>
    </row>
    <row r="24" spans="1:22" ht="14.5" x14ac:dyDescent="0.35">
      <c r="A24" s="678"/>
      <c r="B24" s="668"/>
      <c r="C24" s="668"/>
      <c r="D24" s="668"/>
      <c r="E24" s="668"/>
      <c r="F24" s="668"/>
      <c r="G24" s="668"/>
      <c r="H24" s="668"/>
      <c r="I24" s="668"/>
      <c r="J24" s="668"/>
      <c r="K24" s="668"/>
      <c r="L24" s="668"/>
      <c r="M24" s="668"/>
      <c r="N24" s="668"/>
      <c r="O24" s="668"/>
      <c r="P24" s="668"/>
      <c r="Q24" s="668"/>
      <c r="R24" s="668"/>
      <c r="S24" s="668"/>
      <c r="T24" s="668"/>
      <c r="U24" s="668"/>
      <c r="V24" s="668"/>
    </row>
    <row r="25" spans="1:22" ht="14.5" x14ac:dyDescent="0.35">
      <c r="A25" s="763" t="s">
        <v>7605</v>
      </c>
      <c r="B25" s="764" t="s">
        <v>6277</v>
      </c>
      <c r="C25" s="679">
        <v>12.2</v>
      </c>
      <c r="D25" s="743">
        <v>37845</v>
      </c>
      <c r="E25" s="781">
        <v>4617.09</v>
      </c>
      <c r="F25" s="743">
        <v>26580</v>
      </c>
      <c r="G25" s="781">
        <v>3242.76</v>
      </c>
      <c r="H25" s="743" t="s">
        <v>4179</v>
      </c>
      <c r="I25" s="781" t="s">
        <v>4179</v>
      </c>
      <c r="J25" s="743" t="s">
        <v>4179</v>
      </c>
      <c r="K25" s="781" t="s">
        <v>4179</v>
      </c>
      <c r="L25" s="743" t="s">
        <v>4179</v>
      </c>
      <c r="M25" s="781" t="s">
        <v>4179</v>
      </c>
      <c r="N25" s="743">
        <v>28686</v>
      </c>
      <c r="O25" s="781">
        <v>3499.7</v>
      </c>
      <c r="Q25" s="786">
        <f>D25+F25+N25</f>
        <v>93111</v>
      </c>
      <c r="R25" s="781">
        <f>E25+G25+O25</f>
        <v>11359.55</v>
      </c>
    </row>
    <row r="26" spans="1:22" ht="14.5" x14ac:dyDescent="0.35">
      <c r="A26" s="763" t="s">
        <v>7605</v>
      </c>
      <c r="B26" s="764" t="s">
        <v>7765</v>
      </c>
      <c r="C26" s="679">
        <v>11.87</v>
      </c>
      <c r="D26" s="743">
        <v>56767.5</v>
      </c>
      <c r="E26" s="781">
        <v>6738.3</v>
      </c>
      <c r="F26" s="743">
        <v>39870</v>
      </c>
      <c r="G26" s="781">
        <v>4732.57</v>
      </c>
      <c r="H26" s="743" t="s">
        <v>4179</v>
      </c>
      <c r="I26" s="781" t="s">
        <v>4179</v>
      </c>
      <c r="J26" s="743" t="s">
        <v>4179</v>
      </c>
      <c r="K26" s="781" t="s">
        <v>4179</v>
      </c>
      <c r="L26" s="743" t="s">
        <v>4179</v>
      </c>
      <c r="M26" s="781" t="s">
        <v>4179</v>
      </c>
      <c r="N26" s="743">
        <v>43029</v>
      </c>
      <c r="O26" s="781">
        <v>5107.54</v>
      </c>
      <c r="Q26" s="786">
        <f>D26+F26+N26</f>
        <v>139666.5</v>
      </c>
      <c r="R26" s="781">
        <f>E26+G26+O26</f>
        <v>16578.41</v>
      </c>
    </row>
    <row r="27" spans="1:22" ht="14.5" x14ac:dyDescent="0.35">
      <c r="A27" s="763" t="s">
        <v>7605</v>
      </c>
      <c r="B27" s="764" t="s">
        <v>209</v>
      </c>
      <c r="C27" s="798" t="s">
        <v>7783</v>
      </c>
      <c r="D27" s="743"/>
      <c r="E27" s="782"/>
      <c r="F27" s="743"/>
      <c r="G27" s="782"/>
      <c r="H27" s="743"/>
      <c r="I27" s="782"/>
      <c r="J27" s="743"/>
      <c r="K27" s="782"/>
      <c r="L27" s="743"/>
      <c r="M27" s="782"/>
      <c r="N27" s="743">
        <v>5892.5</v>
      </c>
      <c r="O27" s="782">
        <v>471.40000000000003</v>
      </c>
      <c r="P27" s="668"/>
      <c r="Q27" s="786">
        <f>D27+F27+H27+J27+L27+N27</f>
        <v>5892.5</v>
      </c>
      <c r="R27" s="781">
        <f>E27+G27+I27+K27+M27+O27</f>
        <v>471.40000000000003</v>
      </c>
    </row>
    <row r="28" spans="1:22" ht="16.399999999999999" customHeight="1" x14ac:dyDescent="0.3">
      <c r="A28" s="763" t="s">
        <v>7605</v>
      </c>
      <c r="B28" s="778" t="s">
        <v>7414</v>
      </c>
      <c r="C28" s="743"/>
      <c r="D28" s="743" t="s">
        <v>4179</v>
      </c>
      <c r="E28" s="781" t="s">
        <v>4179</v>
      </c>
      <c r="F28" s="743" t="s">
        <v>4179</v>
      </c>
      <c r="G28" s="781" t="s">
        <v>4179</v>
      </c>
      <c r="H28" s="743">
        <v>40835</v>
      </c>
      <c r="I28" s="781">
        <v>0</v>
      </c>
      <c r="J28" s="743">
        <v>23320</v>
      </c>
      <c r="K28" s="781">
        <v>0</v>
      </c>
      <c r="L28" s="743">
        <v>7560</v>
      </c>
      <c r="M28" s="781">
        <v>0</v>
      </c>
      <c r="N28" s="780">
        <v>-71715</v>
      </c>
      <c r="O28" s="781">
        <v>0</v>
      </c>
      <c r="Q28" s="786">
        <f>H28+J28+L28+N28</f>
        <v>0</v>
      </c>
      <c r="R28" s="781">
        <f>I28+K28+M28+O28</f>
        <v>0</v>
      </c>
    </row>
    <row r="29" spans="1:22" ht="7.4" customHeight="1" x14ac:dyDescent="0.3">
      <c r="B29" s="667"/>
      <c r="C29" s="667"/>
      <c r="E29" s="126"/>
      <c r="G29" s="126"/>
    </row>
    <row r="30" spans="1:22" ht="14.5" x14ac:dyDescent="0.35">
      <c r="A30" s="779" t="s">
        <v>7770</v>
      </c>
      <c r="B30" s="769"/>
      <c r="C30" s="770"/>
      <c r="D30" s="772">
        <f>SUM(D25:D28)</f>
        <v>94612.5</v>
      </c>
      <c r="E30" s="782">
        <f t="shared" ref="E30:O30" si="2">SUM(E25:E28)</f>
        <v>11355.39</v>
      </c>
      <c r="F30" s="772">
        <f t="shared" si="2"/>
        <v>66450</v>
      </c>
      <c r="G30" s="782">
        <f t="shared" si="2"/>
        <v>7975.33</v>
      </c>
      <c r="H30" s="772">
        <f t="shared" si="2"/>
        <v>40835</v>
      </c>
      <c r="I30" s="782">
        <f t="shared" si="2"/>
        <v>0</v>
      </c>
      <c r="J30" s="772">
        <f t="shared" si="2"/>
        <v>23320</v>
      </c>
      <c r="K30" s="782">
        <f t="shared" si="2"/>
        <v>0</v>
      </c>
      <c r="L30" s="772">
        <f t="shared" si="2"/>
        <v>7560</v>
      </c>
      <c r="M30" s="782">
        <f t="shared" si="2"/>
        <v>0</v>
      </c>
      <c r="N30" s="772">
        <f t="shared" si="2"/>
        <v>5892.5</v>
      </c>
      <c r="O30" s="782">
        <f t="shared" si="2"/>
        <v>9078.64</v>
      </c>
      <c r="Q30" s="772">
        <f>SUM(Q25:Q28)</f>
        <v>238670</v>
      </c>
      <c r="R30" s="782">
        <f>SUM(R25:R28)</f>
        <v>28409.360000000001</v>
      </c>
    </row>
    <row r="31" spans="1:22" x14ac:dyDescent="0.3">
      <c r="B31" s="667"/>
      <c r="C31" s="667"/>
      <c r="D31" s="667"/>
      <c r="E31" s="667"/>
    </row>
    <row r="32" spans="1:22" x14ac:dyDescent="0.3">
      <c r="A32" s="667" t="s">
        <v>7794</v>
      </c>
      <c r="B32" s="667"/>
      <c r="C32" s="667"/>
      <c r="D32" s="667"/>
      <c r="E32" s="667"/>
    </row>
    <row r="33" spans="1:28" ht="14.5" thickBot="1" x14ac:dyDescent="0.35">
      <c r="A33" s="667"/>
      <c r="B33" s="667"/>
      <c r="C33" s="667"/>
      <c r="D33" s="667"/>
      <c r="E33" s="667"/>
    </row>
    <row r="34" spans="1:28" ht="26.9" customHeight="1" thickBot="1" x14ac:dyDescent="0.4">
      <c r="A34" s="668"/>
      <c r="B34" s="668"/>
      <c r="C34" s="668"/>
      <c r="D34" s="967" t="s">
        <v>7785</v>
      </c>
      <c r="E34" s="968"/>
      <c r="P34" s="668"/>
      <c r="S34" s="139"/>
    </row>
    <row r="35" spans="1:28" ht="29.5" thickBot="1" x14ac:dyDescent="0.35">
      <c r="A35" s="791" t="s">
        <v>7774</v>
      </c>
      <c r="B35" s="791" t="s">
        <v>1764</v>
      </c>
      <c r="C35" s="762" t="s">
        <v>7773</v>
      </c>
      <c r="D35" s="787" t="s">
        <v>7756</v>
      </c>
      <c r="E35" s="789" t="s">
        <v>7757</v>
      </c>
    </row>
    <row r="36" spans="1:28" ht="14.5" x14ac:dyDescent="0.35">
      <c r="A36" s="678"/>
      <c r="B36" s="668"/>
      <c r="C36" s="668"/>
      <c r="D36" s="668"/>
      <c r="E36" s="668"/>
    </row>
    <row r="37" spans="1:28" ht="14.5" x14ac:dyDescent="0.35">
      <c r="A37" s="763" t="s">
        <v>7605</v>
      </c>
      <c r="B37" s="764" t="s">
        <v>6277</v>
      </c>
      <c r="C37" s="679">
        <v>12.2</v>
      </c>
      <c r="D37" s="743">
        <v>93111</v>
      </c>
      <c r="E37" s="781">
        <v>11359.550000000001</v>
      </c>
    </row>
    <row r="38" spans="1:28" ht="14.5" x14ac:dyDescent="0.35">
      <c r="A38" s="763" t="s">
        <v>7605</v>
      </c>
      <c r="B38" s="764" t="s">
        <v>7765</v>
      </c>
      <c r="C38" s="679">
        <v>11.87</v>
      </c>
      <c r="D38" s="743">
        <v>139666.5</v>
      </c>
      <c r="E38" s="781">
        <v>16578.41</v>
      </c>
    </row>
    <row r="39" spans="1:28" ht="14.5" x14ac:dyDescent="0.35">
      <c r="A39" s="763" t="s">
        <v>7605</v>
      </c>
      <c r="B39" s="764" t="s">
        <v>209</v>
      </c>
      <c r="C39" s="798" t="s">
        <v>7783</v>
      </c>
      <c r="D39" s="743">
        <v>5892.5</v>
      </c>
      <c r="E39" s="782">
        <v>471.40000000000003</v>
      </c>
    </row>
    <row r="40" spans="1:28" ht="5.15" customHeight="1" x14ac:dyDescent="0.3">
      <c r="B40" s="667"/>
      <c r="C40" s="667"/>
      <c r="E40" s="126"/>
    </row>
    <row r="41" spans="1:28" ht="13.5" customHeight="1" x14ac:dyDescent="0.35">
      <c r="A41" s="779" t="s">
        <v>7676</v>
      </c>
      <c r="B41" s="769"/>
      <c r="C41" s="770"/>
      <c r="D41" s="772">
        <f>SUM(D37:D39)</f>
        <v>238670</v>
      </c>
      <c r="E41" s="782">
        <f>SUM(E37:E39)</f>
        <v>28409.360000000001</v>
      </c>
      <c r="F41" s="136"/>
      <c r="G41" s="136"/>
      <c r="H41" s="136"/>
      <c r="I41" s="136"/>
    </row>
    <row r="42" spans="1:28" x14ac:dyDescent="0.3">
      <c r="A42" s="689"/>
      <c r="B42" s="710"/>
      <c r="C42" s="690"/>
      <c r="D42" s="667"/>
      <c r="E42" s="667"/>
      <c r="J42" s="139"/>
    </row>
    <row r="43" spans="1:28" ht="30" customHeight="1" x14ac:dyDescent="0.3">
      <c r="A43" s="962" t="s">
        <v>7809</v>
      </c>
      <c r="B43" s="963"/>
      <c r="C43" s="963"/>
      <c r="D43" s="963"/>
      <c r="E43" s="963"/>
      <c r="F43" s="963"/>
      <c r="G43" s="963"/>
      <c r="H43" s="963"/>
      <c r="I43" s="963"/>
      <c r="J43" s="963"/>
      <c r="K43" s="963"/>
      <c r="L43" s="963"/>
      <c r="M43" s="963"/>
      <c r="N43" s="963"/>
      <c r="O43" s="963"/>
      <c r="P43" s="963"/>
      <c r="Q43" s="963"/>
      <c r="R43" s="993"/>
    </row>
    <row r="44" spans="1:28" ht="14.5" x14ac:dyDescent="0.35">
      <c r="A44" s="682"/>
      <c r="B44" s="667"/>
      <c r="C44" s="667"/>
      <c r="D44" s="667"/>
      <c r="E44" s="667"/>
    </row>
    <row r="45" spans="1:28" ht="27" customHeight="1" x14ac:dyDescent="0.4">
      <c r="A45" s="959" t="s">
        <v>7791</v>
      </c>
      <c r="B45" s="960"/>
      <c r="C45" s="960"/>
      <c r="D45" s="960"/>
      <c r="E45" s="960"/>
      <c r="F45" s="960"/>
      <c r="G45" s="960"/>
      <c r="H45" s="960"/>
      <c r="I45" s="960"/>
      <c r="J45" s="960"/>
      <c r="K45" s="960"/>
      <c r="L45" s="960"/>
      <c r="M45" s="960"/>
      <c r="N45" s="960"/>
      <c r="O45" s="960"/>
      <c r="P45" s="960"/>
      <c r="Q45" s="960"/>
      <c r="R45" s="960"/>
      <c r="S45" s="960"/>
      <c r="T45" s="960"/>
      <c r="U45" s="960"/>
      <c r="V45" s="960"/>
      <c r="W45" s="960"/>
      <c r="X45" s="960"/>
      <c r="Y45" s="960"/>
      <c r="Z45" s="960"/>
      <c r="AA45" s="961"/>
      <c r="AB45" s="667"/>
    </row>
    <row r="46" spans="1:28" ht="9" customHeight="1" x14ac:dyDescent="0.3">
      <c r="A46" s="136"/>
      <c r="B46" s="136"/>
      <c r="C46" s="136"/>
      <c r="D46" s="136"/>
      <c r="E46" s="136"/>
      <c r="F46" s="136"/>
      <c r="G46" s="136"/>
      <c r="H46" s="136"/>
      <c r="I46" s="136"/>
      <c r="J46" s="136"/>
      <c r="K46" s="136"/>
      <c r="L46" s="136"/>
      <c r="M46" s="136"/>
      <c r="N46" s="136"/>
      <c r="O46" s="136"/>
      <c r="P46" s="136"/>
      <c r="Q46" s="136"/>
      <c r="R46" s="136"/>
      <c r="S46" s="136"/>
      <c r="T46" s="136"/>
      <c r="U46" s="136"/>
      <c r="V46" s="136"/>
      <c r="W46" s="136"/>
      <c r="X46" s="136"/>
      <c r="Y46" s="136"/>
      <c r="Z46" s="136"/>
      <c r="AA46" s="136"/>
      <c r="AB46" s="667"/>
    </row>
    <row r="47" spans="1:28" ht="28.5" customHeight="1" x14ac:dyDescent="0.3">
      <c r="A47" s="758" t="s">
        <v>7775</v>
      </c>
      <c r="B47" s="759"/>
      <c r="C47" s="759"/>
      <c r="D47" s="759"/>
      <c r="E47" s="759"/>
      <c r="F47" s="759"/>
      <c r="G47" s="759"/>
      <c r="H47" s="759"/>
      <c r="I47" s="759"/>
      <c r="J47" s="759"/>
      <c r="K47" s="759"/>
      <c r="L47" s="759"/>
      <c r="M47" s="759"/>
      <c r="N47" s="759"/>
      <c r="O47" s="759"/>
      <c r="P47" s="759"/>
      <c r="Q47" s="759"/>
      <c r="R47" s="759"/>
      <c r="S47" s="759"/>
      <c r="T47" s="759"/>
      <c r="U47" s="759"/>
      <c r="V47" s="759"/>
      <c r="W47" s="759"/>
      <c r="X47" s="759"/>
      <c r="Y47" s="759"/>
      <c r="Z47" s="759"/>
      <c r="AA47" s="759"/>
      <c r="AB47" s="760"/>
    </row>
    <row r="48" spans="1:28" ht="7.4" customHeight="1" x14ac:dyDescent="0.3">
      <c r="A48" s="683"/>
      <c r="B48" s="667"/>
      <c r="C48" s="667"/>
      <c r="D48" s="667"/>
      <c r="E48" s="667"/>
    </row>
    <row r="49" spans="1:19" ht="35.9" customHeight="1" x14ac:dyDescent="0.3">
      <c r="A49" s="962" t="s">
        <v>7778</v>
      </c>
      <c r="B49" s="963"/>
      <c r="C49" s="963"/>
      <c r="D49" s="963"/>
      <c r="E49" s="963"/>
      <c r="F49" s="963"/>
      <c r="G49" s="963"/>
      <c r="H49" s="963"/>
      <c r="I49" s="963"/>
      <c r="J49" s="963"/>
      <c r="K49" s="963"/>
      <c r="L49" s="963"/>
      <c r="M49" s="963"/>
      <c r="N49" s="963"/>
      <c r="O49" s="963"/>
      <c r="P49" s="963"/>
      <c r="Q49" s="963"/>
      <c r="R49" s="993"/>
    </row>
    <row r="50" spans="1:19" ht="66.75" customHeight="1" x14ac:dyDescent="0.3">
      <c r="A50" s="962" t="s">
        <v>7777</v>
      </c>
      <c r="B50" s="963"/>
      <c r="C50" s="963"/>
      <c r="D50" s="963"/>
      <c r="E50" s="963"/>
      <c r="F50" s="963"/>
      <c r="G50" s="963"/>
      <c r="H50" s="963"/>
      <c r="I50" s="963"/>
      <c r="J50" s="963"/>
      <c r="K50" s="963"/>
      <c r="L50" s="963"/>
      <c r="M50" s="963"/>
      <c r="N50" s="963"/>
      <c r="O50" s="963"/>
      <c r="P50" s="963"/>
      <c r="Q50" s="963"/>
      <c r="R50" s="993"/>
    </row>
    <row r="51" spans="1:19" ht="82.4" customHeight="1" x14ac:dyDescent="0.3">
      <c r="A51" s="962" t="s">
        <v>7776</v>
      </c>
      <c r="B51" s="963"/>
      <c r="C51" s="963"/>
      <c r="D51" s="963"/>
      <c r="E51" s="963"/>
      <c r="F51" s="963"/>
      <c r="G51" s="963"/>
      <c r="H51" s="963"/>
      <c r="I51" s="963"/>
      <c r="J51" s="963"/>
      <c r="K51" s="963"/>
      <c r="L51" s="963"/>
      <c r="M51" s="963"/>
      <c r="N51" s="963"/>
      <c r="O51" s="963"/>
      <c r="P51" s="963"/>
      <c r="Q51" s="963"/>
      <c r="R51" s="993"/>
    </row>
    <row r="52" spans="1:19" ht="64.400000000000006" customHeight="1" x14ac:dyDescent="0.3">
      <c r="A52" s="962" t="s">
        <v>7779</v>
      </c>
      <c r="B52" s="963"/>
      <c r="C52" s="963"/>
      <c r="D52" s="963"/>
      <c r="E52" s="963"/>
      <c r="F52" s="963"/>
      <c r="G52" s="963"/>
      <c r="H52" s="963"/>
      <c r="I52" s="963"/>
      <c r="J52" s="963"/>
      <c r="K52" s="963"/>
      <c r="L52" s="963"/>
      <c r="M52" s="963"/>
      <c r="N52" s="963"/>
      <c r="O52" s="963"/>
      <c r="P52" s="963"/>
      <c r="Q52" s="963"/>
      <c r="R52" s="993"/>
    </row>
    <row r="53" spans="1:19" ht="15.5" x14ac:dyDescent="0.3">
      <c r="A53" s="994" t="s">
        <v>7780</v>
      </c>
      <c r="B53" s="995"/>
      <c r="C53" s="995"/>
      <c r="D53" s="995"/>
      <c r="E53" s="995"/>
      <c r="F53" s="995"/>
      <c r="G53" s="995"/>
      <c r="H53" s="995"/>
      <c r="I53" s="995"/>
      <c r="J53" s="995"/>
      <c r="K53" s="995"/>
      <c r="L53" s="995"/>
      <c r="M53" s="995"/>
      <c r="N53" s="995"/>
      <c r="O53" s="995"/>
      <c r="P53" s="995"/>
      <c r="Q53" s="995"/>
      <c r="R53" s="996"/>
    </row>
    <row r="54" spans="1:19" x14ac:dyDescent="0.3">
      <c r="A54" s="667"/>
      <c r="B54" s="667"/>
      <c r="C54" s="667"/>
      <c r="D54" s="667"/>
      <c r="E54" s="667"/>
    </row>
    <row r="55" spans="1:19" ht="151.4" customHeight="1" thickBot="1" x14ac:dyDescent="0.35">
      <c r="A55" s="986" t="s">
        <v>7784</v>
      </c>
      <c r="B55" s="987"/>
      <c r="C55" s="987"/>
      <c r="D55" s="987"/>
      <c r="E55" s="987"/>
      <c r="F55" s="987"/>
      <c r="G55" s="987"/>
      <c r="H55" s="987"/>
      <c r="I55" s="987"/>
      <c r="J55" s="987"/>
      <c r="K55" s="987"/>
      <c r="L55" s="987"/>
      <c r="M55" s="987"/>
      <c r="N55" s="987"/>
      <c r="O55" s="987"/>
      <c r="P55" s="987"/>
      <c r="Q55" s="987"/>
      <c r="R55" s="988"/>
    </row>
    <row r="56" spans="1:19" ht="26.9" customHeight="1" thickBot="1" x14ac:dyDescent="0.4">
      <c r="A56" s="668"/>
      <c r="B56" s="668"/>
      <c r="C56" s="668"/>
      <c r="D56" s="989" t="s">
        <v>7759</v>
      </c>
      <c r="E56" s="990"/>
      <c r="F56" s="991" t="s">
        <v>7758</v>
      </c>
      <c r="G56" s="990"/>
      <c r="H56" s="991" t="s">
        <v>7760</v>
      </c>
      <c r="I56" s="990"/>
      <c r="J56" s="991" t="s">
        <v>7761</v>
      </c>
      <c r="K56" s="990"/>
      <c r="L56" s="991" t="s">
        <v>7762</v>
      </c>
      <c r="M56" s="990"/>
      <c r="N56" s="992" t="s">
        <v>7763</v>
      </c>
      <c r="O56" s="968"/>
      <c r="P56" s="668"/>
      <c r="Q56" s="967" t="s">
        <v>7771</v>
      </c>
      <c r="R56" s="968"/>
      <c r="S56" s="139"/>
    </row>
    <row r="57" spans="1:19" ht="22.5" customHeight="1" thickBot="1" x14ac:dyDescent="0.4">
      <c r="A57" s="761"/>
      <c r="B57" s="761"/>
      <c r="C57" s="761"/>
      <c r="D57" s="969" t="s">
        <v>7764</v>
      </c>
      <c r="E57" s="970"/>
      <c r="F57" s="970"/>
      <c r="G57" s="970"/>
      <c r="H57" s="970"/>
      <c r="I57" s="970"/>
      <c r="J57" s="970"/>
      <c r="K57" s="970"/>
      <c r="L57" s="970"/>
      <c r="M57" s="970"/>
      <c r="N57" s="970"/>
      <c r="O57" s="971"/>
      <c r="P57" s="668"/>
      <c r="Q57" s="790"/>
      <c r="R57" s="790"/>
    </row>
    <row r="58" spans="1:19" ht="29.5" thickBot="1" x14ac:dyDescent="0.4">
      <c r="A58" s="791" t="s">
        <v>7774</v>
      </c>
      <c r="B58" s="791" t="s">
        <v>1764</v>
      </c>
      <c r="C58" s="762" t="s">
        <v>7773</v>
      </c>
      <c r="D58" s="787" t="s">
        <v>7756</v>
      </c>
      <c r="E58" s="788" t="s">
        <v>7757</v>
      </c>
      <c r="F58" s="788" t="s">
        <v>7756</v>
      </c>
      <c r="G58" s="788" t="s">
        <v>7757</v>
      </c>
      <c r="H58" s="788" t="s">
        <v>7756</v>
      </c>
      <c r="I58" s="788" t="s">
        <v>7757</v>
      </c>
      <c r="J58" s="788" t="s">
        <v>7756</v>
      </c>
      <c r="K58" s="788" t="s">
        <v>7757</v>
      </c>
      <c r="L58" s="788" t="s">
        <v>7756</v>
      </c>
      <c r="M58" s="788" t="s">
        <v>7757</v>
      </c>
      <c r="N58" s="788" t="s">
        <v>7756</v>
      </c>
      <c r="O58" s="789" t="s">
        <v>7757</v>
      </c>
      <c r="P58" s="668"/>
      <c r="Q58" s="787" t="s">
        <v>7756</v>
      </c>
      <c r="R58" s="789" t="s">
        <v>7757</v>
      </c>
      <c r="S58" s="139"/>
    </row>
    <row r="59" spans="1:19" ht="14.5" x14ac:dyDescent="0.35">
      <c r="A59" s="678"/>
      <c r="B59" s="668"/>
      <c r="C59" s="668"/>
      <c r="D59" s="668"/>
      <c r="E59" s="668"/>
      <c r="F59" s="668"/>
      <c r="G59" s="668"/>
      <c r="H59" s="668"/>
      <c r="I59" s="668"/>
      <c r="J59" s="668"/>
      <c r="K59" s="668"/>
      <c r="L59" s="668"/>
      <c r="M59" s="668"/>
      <c r="N59" s="668"/>
      <c r="O59" s="668"/>
      <c r="P59" s="668"/>
      <c r="Q59" s="668"/>
      <c r="R59" s="668"/>
    </row>
    <row r="60" spans="1:19" ht="14.5" x14ac:dyDescent="0.35">
      <c r="A60" s="763" t="s">
        <v>7605</v>
      </c>
      <c r="B60" s="764" t="s">
        <v>6277</v>
      </c>
      <c r="C60" s="679">
        <v>12.2</v>
      </c>
      <c r="D60" s="743">
        <v>37845</v>
      </c>
      <c r="E60" s="782">
        <v>4617.09</v>
      </c>
      <c r="F60" s="743">
        <v>26580</v>
      </c>
      <c r="G60" s="782">
        <v>3242.76</v>
      </c>
      <c r="H60" s="743">
        <v>16334</v>
      </c>
      <c r="I60" s="782">
        <v>1992.75</v>
      </c>
      <c r="J60" s="743">
        <v>9328</v>
      </c>
      <c r="K60" s="782">
        <v>1138.02</v>
      </c>
      <c r="L60" s="743">
        <v>3024</v>
      </c>
      <c r="M60" s="782">
        <v>368.93</v>
      </c>
      <c r="N60" s="743"/>
      <c r="O60" s="782"/>
      <c r="P60" s="668"/>
      <c r="Q60" s="786">
        <f t="shared" ref="Q60:R62" si="3">D60+F60+H60+J60+L60+N60</f>
        <v>93111</v>
      </c>
      <c r="R60" s="781">
        <f t="shared" si="3"/>
        <v>11359.550000000001</v>
      </c>
    </row>
    <row r="61" spans="1:19" ht="14.5" x14ac:dyDescent="0.35">
      <c r="A61" s="763" t="s">
        <v>7605</v>
      </c>
      <c r="B61" s="764" t="s">
        <v>7765</v>
      </c>
      <c r="C61" s="679">
        <v>11.87</v>
      </c>
      <c r="D61" s="743">
        <v>56767.5</v>
      </c>
      <c r="E61" s="782">
        <v>6738.3</v>
      </c>
      <c r="F61" s="743">
        <v>39870</v>
      </c>
      <c r="G61" s="782">
        <v>4732.57</v>
      </c>
      <c r="H61" s="743">
        <v>24501</v>
      </c>
      <c r="I61" s="782">
        <v>2908.27</v>
      </c>
      <c r="J61" s="743">
        <v>13992</v>
      </c>
      <c r="K61" s="782">
        <v>1660.85</v>
      </c>
      <c r="L61" s="743">
        <v>4536</v>
      </c>
      <c r="M61" s="782">
        <v>538.41999999999996</v>
      </c>
      <c r="N61" s="743"/>
      <c r="O61" s="782"/>
      <c r="P61" s="668"/>
      <c r="Q61" s="786">
        <f t="shared" si="3"/>
        <v>139666.5</v>
      </c>
      <c r="R61" s="781">
        <f t="shared" si="3"/>
        <v>16578.41</v>
      </c>
    </row>
    <row r="62" spans="1:19" ht="14.5" x14ac:dyDescent="0.35">
      <c r="A62" s="763" t="s">
        <v>7605</v>
      </c>
      <c r="B62" s="764" t="s">
        <v>209</v>
      </c>
      <c r="C62" s="679" t="s">
        <v>7783</v>
      </c>
      <c r="D62" s="743"/>
      <c r="E62" s="782"/>
      <c r="F62" s="743"/>
      <c r="G62" s="782"/>
      <c r="H62" s="743"/>
      <c r="I62" s="782"/>
      <c r="J62" s="743"/>
      <c r="K62" s="782"/>
      <c r="L62" s="743"/>
      <c r="M62" s="782"/>
      <c r="N62" s="743">
        <v>5892.5</v>
      </c>
      <c r="O62" s="782">
        <v>471.40000000000003</v>
      </c>
      <c r="P62" s="668"/>
      <c r="Q62" s="786">
        <f t="shared" si="3"/>
        <v>5892.5</v>
      </c>
      <c r="R62" s="781">
        <f t="shared" si="3"/>
        <v>471.40000000000003</v>
      </c>
    </row>
    <row r="63" spans="1:19" ht="14.5" hidden="1" x14ac:dyDescent="0.35">
      <c r="A63" s="765" t="s">
        <v>7605</v>
      </c>
      <c r="B63" s="766" t="s">
        <v>6111</v>
      </c>
      <c r="C63" s="755"/>
      <c r="D63" s="767"/>
      <c r="E63" s="783"/>
      <c r="F63" s="767"/>
      <c r="G63" s="783"/>
      <c r="H63" s="767"/>
      <c r="I63" s="783">
        <v>200000</v>
      </c>
      <c r="J63" s="756"/>
      <c r="K63" s="785"/>
      <c r="L63" s="756"/>
      <c r="M63" s="785"/>
      <c r="N63" s="756"/>
      <c r="O63" s="785"/>
      <c r="P63" s="668"/>
      <c r="Q63" s="756"/>
      <c r="R63" s="785"/>
    </row>
    <row r="64" spans="1:19" ht="7.4" customHeight="1" x14ac:dyDescent="0.35">
      <c r="A64" s="768"/>
      <c r="B64" s="769"/>
      <c r="C64" s="770"/>
      <c r="D64" s="771"/>
      <c r="E64" s="784"/>
      <c r="F64" s="770"/>
      <c r="G64" s="784"/>
      <c r="H64" s="770"/>
      <c r="I64" s="784"/>
      <c r="J64" s="770"/>
      <c r="K64" s="784"/>
      <c r="L64" s="770"/>
      <c r="M64" s="784"/>
      <c r="N64" s="770"/>
      <c r="O64" s="784"/>
      <c r="P64" s="668"/>
      <c r="Q64" s="770"/>
      <c r="R64" s="784"/>
    </row>
    <row r="65" spans="1:22" ht="16.399999999999999" customHeight="1" x14ac:dyDescent="0.35">
      <c r="A65" s="979" t="s">
        <v>7755</v>
      </c>
      <c r="B65" s="980"/>
      <c r="C65" s="982"/>
      <c r="D65" s="772">
        <f t="shared" ref="D65:O65" si="4">SUM(D60:D62)</f>
        <v>94612.5</v>
      </c>
      <c r="E65" s="782">
        <f t="shared" si="4"/>
        <v>11355.39</v>
      </c>
      <c r="F65" s="772">
        <f t="shared" si="4"/>
        <v>66450</v>
      </c>
      <c r="G65" s="782">
        <f t="shared" si="4"/>
        <v>7975.33</v>
      </c>
      <c r="H65" s="772">
        <f t="shared" si="4"/>
        <v>40835</v>
      </c>
      <c r="I65" s="782">
        <f t="shared" si="4"/>
        <v>4901.0200000000004</v>
      </c>
      <c r="J65" s="772">
        <f t="shared" si="4"/>
        <v>23320</v>
      </c>
      <c r="K65" s="782">
        <f t="shared" si="4"/>
        <v>2798.87</v>
      </c>
      <c r="L65" s="772">
        <f t="shared" si="4"/>
        <v>7560</v>
      </c>
      <c r="M65" s="782">
        <f t="shared" si="4"/>
        <v>907.34999999999991</v>
      </c>
      <c r="N65" s="772">
        <f t="shared" si="4"/>
        <v>5892.5</v>
      </c>
      <c r="O65" s="782">
        <f t="shared" si="4"/>
        <v>471.40000000000003</v>
      </c>
      <c r="Q65" s="786">
        <f>SUM(Q60:Q62)</f>
        <v>238670</v>
      </c>
      <c r="R65" s="781">
        <f>SUM(R60:R62)</f>
        <v>28409.360000000001</v>
      </c>
    </row>
    <row r="66" spans="1:22" ht="7.5" customHeight="1" x14ac:dyDescent="0.3">
      <c r="A66" s="773"/>
      <c r="B66" s="774"/>
      <c r="C66" s="775"/>
      <c r="D66" s="776"/>
      <c r="E66" s="775"/>
      <c r="F66" s="775"/>
      <c r="G66" s="775"/>
      <c r="H66" s="775"/>
      <c r="I66" s="775"/>
      <c r="J66" s="775"/>
      <c r="K66" s="775"/>
      <c r="L66" s="775"/>
      <c r="M66" s="775"/>
      <c r="N66" s="775"/>
      <c r="O66" s="775"/>
    </row>
    <row r="67" spans="1:22" ht="21.65" customHeight="1" x14ac:dyDescent="0.35">
      <c r="A67" s="761"/>
      <c r="B67" s="761"/>
      <c r="C67" s="761"/>
      <c r="D67" s="969" t="s">
        <v>7768</v>
      </c>
      <c r="E67" s="970"/>
      <c r="F67" s="970"/>
      <c r="G67" s="970"/>
      <c r="H67" s="970"/>
      <c r="I67" s="970"/>
      <c r="J67" s="970"/>
      <c r="K67" s="970"/>
      <c r="L67" s="970"/>
      <c r="M67" s="970"/>
      <c r="N67" s="970"/>
      <c r="O67" s="971"/>
      <c r="P67" s="668"/>
      <c r="U67" s="777"/>
    </row>
    <row r="68" spans="1:22" ht="14.5" x14ac:dyDescent="0.35">
      <c r="A68" s="979" t="s">
        <v>7767</v>
      </c>
      <c r="B68" s="980"/>
      <c r="C68" s="980"/>
      <c r="D68" s="978" t="s">
        <v>7754</v>
      </c>
      <c r="E68" s="978"/>
      <c r="F68" s="978" t="s">
        <v>7754</v>
      </c>
      <c r="G68" s="978"/>
      <c r="H68" s="978" t="s">
        <v>7754</v>
      </c>
      <c r="I68" s="978"/>
      <c r="J68" s="978" t="s">
        <v>7754</v>
      </c>
      <c r="K68" s="978"/>
      <c r="L68" s="978" t="s">
        <v>7754</v>
      </c>
      <c r="M68" s="978"/>
      <c r="N68" s="981" t="s">
        <v>7753</v>
      </c>
      <c r="O68" s="981"/>
      <c r="P68" s="668"/>
    </row>
    <row r="69" spans="1:22" ht="14.5" x14ac:dyDescent="0.35">
      <c r="A69" s="979" t="s">
        <v>7766</v>
      </c>
      <c r="B69" s="980"/>
      <c r="C69" s="980"/>
      <c r="D69" s="981" t="s">
        <v>7753</v>
      </c>
      <c r="E69" s="981"/>
      <c r="F69" s="981" t="s">
        <v>7753</v>
      </c>
      <c r="G69" s="981"/>
      <c r="H69" s="978" t="s">
        <v>7754</v>
      </c>
      <c r="I69" s="978"/>
      <c r="J69" s="978" t="s">
        <v>7754</v>
      </c>
      <c r="K69" s="978"/>
      <c r="L69" s="978" t="s">
        <v>7754</v>
      </c>
      <c r="M69" s="978"/>
      <c r="N69" s="981" t="s">
        <v>7753</v>
      </c>
      <c r="O69" s="981"/>
      <c r="P69" s="668"/>
    </row>
    <row r="70" spans="1:22" ht="26.9" customHeight="1" thickBot="1" x14ac:dyDescent="0.4">
      <c r="A70" s="761"/>
      <c r="B70" s="761"/>
      <c r="C70" s="761"/>
      <c r="D70" s="969" t="s">
        <v>7769</v>
      </c>
      <c r="E70" s="970"/>
      <c r="F70" s="970"/>
      <c r="G70" s="970"/>
      <c r="H70" s="970"/>
      <c r="I70" s="970"/>
      <c r="J70" s="970"/>
      <c r="K70" s="970"/>
      <c r="L70" s="970"/>
      <c r="M70" s="970"/>
      <c r="N70" s="970"/>
      <c r="O70" s="971"/>
      <c r="P70" s="668"/>
      <c r="Q70" s="136"/>
      <c r="R70" s="136"/>
    </row>
    <row r="71" spans="1:22" ht="29.5" thickBot="1" x14ac:dyDescent="0.4">
      <c r="A71" s="791" t="s">
        <v>7774</v>
      </c>
      <c r="B71" s="791" t="s">
        <v>1764</v>
      </c>
      <c r="C71" s="762" t="s">
        <v>7773</v>
      </c>
      <c r="D71" s="787" t="s">
        <v>7756</v>
      </c>
      <c r="E71" s="788" t="s">
        <v>7757</v>
      </c>
      <c r="F71" s="788" t="s">
        <v>7756</v>
      </c>
      <c r="G71" s="788" t="s">
        <v>7757</v>
      </c>
      <c r="H71" s="788" t="s">
        <v>7756</v>
      </c>
      <c r="I71" s="788" t="s">
        <v>7757</v>
      </c>
      <c r="J71" s="788" t="s">
        <v>7756</v>
      </c>
      <c r="K71" s="788" t="s">
        <v>7757</v>
      </c>
      <c r="L71" s="788" t="s">
        <v>7756</v>
      </c>
      <c r="M71" s="788" t="s">
        <v>7757</v>
      </c>
      <c r="N71" s="788" t="s">
        <v>7756</v>
      </c>
      <c r="O71" s="789" t="s">
        <v>7757</v>
      </c>
      <c r="P71" s="668"/>
      <c r="Q71" s="787" t="s">
        <v>7756</v>
      </c>
      <c r="R71" s="789" t="s">
        <v>7757</v>
      </c>
      <c r="S71" s="139"/>
    </row>
    <row r="72" spans="1:22" ht="14.5" x14ac:dyDescent="0.35">
      <c r="A72" s="678"/>
      <c r="B72" s="668"/>
      <c r="C72" s="668"/>
      <c r="D72" s="668"/>
      <c r="E72" s="668"/>
      <c r="F72" s="668"/>
      <c r="G72" s="668"/>
      <c r="H72" s="668"/>
      <c r="I72" s="668"/>
      <c r="J72" s="668"/>
      <c r="K72" s="668"/>
      <c r="L72" s="668"/>
      <c r="M72" s="668"/>
      <c r="N72" s="668"/>
      <c r="O72" s="668"/>
      <c r="P72" s="668"/>
      <c r="Q72" s="668"/>
      <c r="R72" s="668"/>
      <c r="S72" s="668"/>
      <c r="T72" s="668"/>
      <c r="U72" s="668"/>
      <c r="V72" s="668"/>
    </row>
    <row r="73" spans="1:22" ht="14.5" x14ac:dyDescent="0.35">
      <c r="A73" s="763" t="s">
        <v>7605</v>
      </c>
      <c r="B73" s="764" t="s">
        <v>6277</v>
      </c>
      <c r="C73" s="679">
        <v>12.2</v>
      </c>
      <c r="D73" s="743">
        <v>37845</v>
      </c>
      <c r="E73" s="781">
        <v>4617.09</v>
      </c>
      <c r="F73" s="743">
        <v>26580</v>
      </c>
      <c r="G73" s="781">
        <v>3242.76</v>
      </c>
      <c r="H73" s="743">
        <v>16334</v>
      </c>
      <c r="I73" s="781">
        <v>1992.75</v>
      </c>
      <c r="J73" s="743">
        <v>9328</v>
      </c>
      <c r="K73" s="781">
        <v>1138.02</v>
      </c>
      <c r="L73" s="743">
        <v>3024</v>
      </c>
      <c r="M73" s="781">
        <v>368.93</v>
      </c>
      <c r="N73" s="743"/>
      <c r="O73" s="781"/>
      <c r="Q73" s="786">
        <f>D73+F73+H73+J73+L73</f>
        <v>93111</v>
      </c>
      <c r="R73" s="781">
        <f>E73+G73+I73+K73+M73</f>
        <v>11359.550000000001</v>
      </c>
    </row>
    <row r="74" spans="1:22" ht="14.5" x14ac:dyDescent="0.35">
      <c r="A74" s="763" t="s">
        <v>7605</v>
      </c>
      <c r="B74" s="764" t="s">
        <v>7765</v>
      </c>
      <c r="C74" s="679">
        <v>11.87</v>
      </c>
      <c r="D74" s="743">
        <v>56767.5</v>
      </c>
      <c r="E74" s="781">
        <v>6738.3</v>
      </c>
      <c r="F74" s="743">
        <v>39870</v>
      </c>
      <c r="G74" s="781">
        <v>4732.57</v>
      </c>
      <c r="H74" s="743">
        <v>24501</v>
      </c>
      <c r="I74" s="781">
        <v>2908.27</v>
      </c>
      <c r="J74" s="743">
        <v>13992</v>
      </c>
      <c r="K74" s="781">
        <v>1660.85</v>
      </c>
      <c r="L74" s="743">
        <v>4536</v>
      </c>
      <c r="M74" s="781">
        <v>538.41999999999996</v>
      </c>
      <c r="N74" s="743"/>
      <c r="O74" s="781"/>
      <c r="Q74" s="786">
        <f>D74+F74+H74+J74+L74</f>
        <v>139666.5</v>
      </c>
      <c r="R74" s="781">
        <f>E74+G74+I74+K74+M74</f>
        <v>16578.41</v>
      </c>
    </row>
    <row r="75" spans="1:22" ht="14.5" x14ac:dyDescent="0.35">
      <c r="A75" s="763" t="s">
        <v>7605</v>
      </c>
      <c r="B75" s="764" t="s">
        <v>209</v>
      </c>
      <c r="C75" s="798" t="s">
        <v>7783</v>
      </c>
      <c r="D75" s="743"/>
      <c r="E75" s="782"/>
      <c r="F75" s="743"/>
      <c r="G75" s="782"/>
      <c r="H75" s="743"/>
      <c r="I75" s="782"/>
      <c r="J75" s="743"/>
      <c r="K75" s="782"/>
      <c r="L75" s="743"/>
      <c r="M75" s="782"/>
      <c r="N75" s="743">
        <v>5892.5</v>
      </c>
      <c r="O75" s="782">
        <v>471.40000000000003</v>
      </c>
      <c r="P75" s="668"/>
      <c r="Q75" s="786">
        <f>D75+F75+H75+J75+L75+N75</f>
        <v>5892.5</v>
      </c>
      <c r="R75" s="781">
        <f>E75+G75+I75+K75+M75+O75</f>
        <v>471.40000000000003</v>
      </c>
    </row>
    <row r="76" spans="1:22" ht="16.399999999999999" customHeight="1" x14ac:dyDescent="0.3">
      <c r="A76" s="763" t="s">
        <v>7605</v>
      </c>
      <c r="B76" s="778" t="s">
        <v>7781</v>
      </c>
      <c r="C76" s="743"/>
      <c r="D76" s="743" t="s">
        <v>4179</v>
      </c>
      <c r="E76" s="781" t="s">
        <v>4179</v>
      </c>
      <c r="F76" s="743" t="s">
        <v>4179</v>
      </c>
      <c r="G76" s="781" t="s">
        <v>4179</v>
      </c>
      <c r="H76" s="795">
        <v>0</v>
      </c>
      <c r="I76" s="796">
        <v>-4901.0200000000004</v>
      </c>
      <c r="J76" s="795">
        <v>0</v>
      </c>
      <c r="K76" s="796">
        <v>-2798.87</v>
      </c>
      <c r="L76" s="795">
        <v>0</v>
      </c>
      <c r="M76" s="796">
        <v>-907.35</v>
      </c>
      <c r="N76" s="795"/>
      <c r="O76" s="781"/>
      <c r="Q76" s="786">
        <f>H76+J76+L76+N76</f>
        <v>0</v>
      </c>
      <c r="R76" s="796">
        <f>I76+K76+M76+O76</f>
        <v>-8607.24</v>
      </c>
    </row>
    <row r="77" spans="1:22" ht="16.399999999999999" customHeight="1" x14ac:dyDescent="0.3">
      <c r="A77" s="763" t="s">
        <v>7605</v>
      </c>
      <c r="B77" s="794" t="s">
        <v>7782</v>
      </c>
      <c r="C77" s="743"/>
      <c r="D77" s="743" t="s">
        <v>4179</v>
      </c>
      <c r="E77" s="781" t="s">
        <v>4179</v>
      </c>
      <c r="F77" s="743" t="s">
        <v>4179</v>
      </c>
      <c r="G77" s="781" t="s">
        <v>4179</v>
      </c>
      <c r="H77" s="743"/>
      <c r="I77" s="781"/>
      <c r="J77" s="743"/>
      <c r="K77" s="781"/>
      <c r="L77" s="743"/>
      <c r="M77" s="781"/>
      <c r="N77" s="795">
        <v>0</v>
      </c>
      <c r="O77" s="797">
        <v>8607.24</v>
      </c>
      <c r="Q77" s="786">
        <f>H77+J77+L77+N77</f>
        <v>0</v>
      </c>
      <c r="R77" s="797">
        <f>I77+K77+M77+O77</f>
        <v>8607.24</v>
      </c>
    </row>
    <row r="78" spans="1:22" ht="7.4" customHeight="1" x14ac:dyDescent="0.3">
      <c r="B78" s="667"/>
      <c r="C78" s="667"/>
      <c r="E78" s="126"/>
      <c r="G78" s="126"/>
    </row>
    <row r="79" spans="1:22" ht="14.5" x14ac:dyDescent="0.35">
      <c r="A79" s="779" t="s">
        <v>7770</v>
      </c>
      <c r="B79" s="769"/>
      <c r="C79" s="770"/>
      <c r="D79" s="772">
        <f>SUM(D73:D77)</f>
        <v>94612.5</v>
      </c>
      <c r="E79" s="782">
        <f t="shared" ref="E79:O79" si="5">SUM(E73:E77)</f>
        <v>11355.39</v>
      </c>
      <c r="F79" s="772">
        <f t="shared" si="5"/>
        <v>66450</v>
      </c>
      <c r="G79" s="782">
        <f t="shared" si="5"/>
        <v>7975.33</v>
      </c>
      <c r="H79" s="772">
        <f t="shared" si="5"/>
        <v>40835</v>
      </c>
      <c r="I79" s="782">
        <f t="shared" si="5"/>
        <v>0</v>
      </c>
      <c r="J79" s="772">
        <f t="shared" si="5"/>
        <v>23320</v>
      </c>
      <c r="K79" s="782">
        <f t="shared" si="5"/>
        <v>0</v>
      </c>
      <c r="L79" s="772">
        <f t="shared" si="5"/>
        <v>7560</v>
      </c>
      <c r="M79" s="782">
        <f t="shared" si="5"/>
        <v>0</v>
      </c>
      <c r="N79" s="772">
        <f t="shared" si="5"/>
        <v>5892.5</v>
      </c>
      <c r="O79" s="782">
        <f t="shared" si="5"/>
        <v>9078.64</v>
      </c>
      <c r="Q79" s="772">
        <f>SUM(Q73:Q77)</f>
        <v>238670</v>
      </c>
      <c r="R79" s="782">
        <f>SUM(R73:R77)</f>
        <v>28409.360000000001</v>
      </c>
    </row>
    <row r="80" spans="1:22" x14ac:dyDescent="0.3">
      <c r="B80" s="667"/>
      <c r="C80" s="667"/>
      <c r="D80" s="667"/>
      <c r="E80" s="667"/>
    </row>
    <row r="81" spans="1:19" ht="51" customHeight="1" x14ac:dyDescent="0.3">
      <c r="A81" s="962" t="s">
        <v>7823</v>
      </c>
      <c r="B81" s="963"/>
      <c r="C81" s="963"/>
      <c r="D81" s="963"/>
      <c r="E81" s="963"/>
      <c r="F81" s="963"/>
      <c r="G81" s="963"/>
      <c r="H81" s="963"/>
      <c r="I81" s="963"/>
      <c r="J81" s="963"/>
      <c r="K81" s="963"/>
      <c r="L81" s="963"/>
      <c r="M81" s="963"/>
      <c r="N81" s="963"/>
      <c r="O81" s="963"/>
      <c r="P81" s="963"/>
      <c r="Q81" s="963"/>
      <c r="R81" s="993"/>
    </row>
    <row r="82" spans="1:19" ht="14.5" thickBot="1" x14ac:dyDescent="0.35">
      <c r="A82" s="667"/>
      <c r="B82" s="667"/>
      <c r="C82" s="667"/>
      <c r="D82" s="667"/>
      <c r="E82" s="667"/>
    </row>
    <row r="83" spans="1:19" ht="26.9" customHeight="1" thickBot="1" x14ac:dyDescent="0.4">
      <c r="A83" s="668"/>
      <c r="B83" s="668"/>
      <c r="C83" s="668"/>
      <c r="D83" s="967" t="s">
        <v>7785</v>
      </c>
      <c r="E83" s="968"/>
      <c r="P83" s="668"/>
      <c r="S83" s="139"/>
    </row>
    <row r="84" spans="1:19" ht="29.5" thickBot="1" x14ac:dyDescent="0.35">
      <c r="A84" s="791" t="s">
        <v>7774</v>
      </c>
      <c r="B84" s="791" t="s">
        <v>1764</v>
      </c>
      <c r="C84" s="762" t="s">
        <v>7773</v>
      </c>
      <c r="D84" s="787" t="s">
        <v>7756</v>
      </c>
      <c r="E84" s="789" t="s">
        <v>7757</v>
      </c>
    </row>
    <row r="85" spans="1:19" ht="14.5" x14ac:dyDescent="0.35">
      <c r="A85" s="678"/>
      <c r="B85" s="668"/>
      <c r="C85" s="668"/>
      <c r="D85" s="668"/>
      <c r="E85" s="668"/>
    </row>
    <row r="86" spans="1:19" ht="14.5" x14ac:dyDescent="0.35">
      <c r="A86" s="763" t="s">
        <v>7605</v>
      </c>
      <c r="B86" s="764" t="s">
        <v>6277</v>
      </c>
      <c r="C86" s="679">
        <v>12.2</v>
      </c>
      <c r="D86" s="743">
        <v>93111</v>
      </c>
      <c r="E86" s="781">
        <v>11359.550000000001</v>
      </c>
    </row>
    <row r="87" spans="1:19" ht="14.5" x14ac:dyDescent="0.35">
      <c r="A87" s="763" t="s">
        <v>7605</v>
      </c>
      <c r="B87" s="764" t="s">
        <v>7765</v>
      </c>
      <c r="C87" s="679">
        <v>11.87</v>
      </c>
      <c r="D87" s="743">
        <v>139666.5</v>
      </c>
      <c r="E87" s="781">
        <v>16578.41</v>
      </c>
    </row>
    <row r="88" spans="1:19" ht="14.5" x14ac:dyDescent="0.35">
      <c r="A88" s="763" t="s">
        <v>7605</v>
      </c>
      <c r="B88" s="764" t="s">
        <v>209</v>
      </c>
      <c r="C88" s="798" t="s">
        <v>7783</v>
      </c>
      <c r="D88" s="743">
        <v>5892.5</v>
      </c>
      <c r="E88" s="782">
        <v>471.40000000000003</v>
      </c>
    </row>
    <row r="89" spans="1:19" ht="5.15" customHeight="1" x14ac:dyDescent="0.3">
      <c r="B89" s="667"/>
      <c r="C89" s="667"/>
      <c r="E89" s="126"/>
    </row>
    <row r="90" spans="1:19" ht="13.5" customHeight="1" x14ac:dyDescent="0.35">
      <c r="A90" s="779" t="s">
        <v>7786</v>
      </c>
      <c r="B90" s="769"/>
      <c r="C90" s="770"/>
      <c r="D90" s="772">
        <f>SUM(D86:D88)</f>
        <v>238670</v>
      </c>
      <c r="E90" s="782">
        <f>SUM(E86:E88)</f>
        <v>28409.360000000001</v>
      </c>
      <c r="F90" s="136"/>
      <c r="G90" s="136"/>
      <c r="H90" s="136"/>
      <c r="I90" s="136"/>
    </row>
    <row r="91" spans="1:19" x14ac:dyDescent="0.3">
      <c r="A91" s="689"/>
      <c r="B91" s="710"/>
      <c r="C91" s="690"/>
      <c r="D91" s="667"/>
      <c r="E91" s="667"/>
      <c r="J91" s="139"/>
    </row>
    <row r="92" spans="1:19" ht="23.9" customHeight="1" x14ac:dyDescent="0.35">
      <c r="A92" s="983" t="s">
        <v>7799</v>
      </c>
      <c r="B92" s="984"/>
      <c r="C92" s="984"/>
      <c r="D92" s="984"/>
      <c r="E92" s="984"/>
      <c r="F92" s="984"/>
      <c r="G92" s="984"/>
      <c r="H92" s="984"/>
      <c r="I92" s="984"/>
      <c r="J92" s="984"/>
      <c r="K92" s="984"/>
      <c r="L92" s="984"/>
      <c r="M92" s="984"/>
      <c r="N92" s="984"/>
      <c r="O92" s="984"/>
      <c r="P92" s="984"/>
      <c r="Q92" s="984"/>
      <c r="R92" s="985"/>
    </row>
    <row r="93" spans="1:19" ht="15" customHeight="1" x14ac:dyDescent="0.3">
      <c r="A93" s="689"/>
      <c r="B93" s="710"/>
      <c r="C93" s="690"/>
      <c r="D93" s="667"/>
      <c r="E93" s="667"/>
      <c r="J93" s="139"/>
    </row>
    <row r="94" spans="1:19" ht="69" customHeight="1" thickBot="1" x14ac:dyDescent="0.35">
      <c r="A94" s="986" t="s">
        <v>7787</v>
      </c>
      <c r="B94" s="987"/>
      <c r="C94" s="987"/>
      <c r="D94" s="987"/>
      <c r="E94" s="987"/>
      <c r="F94" s="987"/>
      <c r="G94" s="987"/>
      <c r="H94" s="987"/>
      <c r="I94" s="987"/>
      <c r="J94" s="987"/>
      <c r="K94" s="987"/>
      <c r="L94" s="987"/>
      <c r="M94" s="987"/>
      <c r="N94" s="987"/>
      <c r="O94" s="987"/>
      <c r="P94" s="987"/>
      <c r="Q94" s="987"/>
      <c r="R94" s="988"/>
    </row>
    <row r="95" spans="1:19" ht="26.9" customHeight="1" thickBot="1" x14ac:dyDescent="0.4">
      <c r="A95" s="668"/>
      <c r="B95" s="668"/>
      <c r="C95" s="668"/>
      <c r="D95" s="989" t="s">
        <v>7759</v>
      </c>
      <c r="E95" s="990"/>
      <c r="F95" s="991" t="s">
        <v>7758</v>
      </c>
      <c r="G95" s="990"/>
      <c r="H95" s="991" t="s">
        <v>7760</v>
      </c>
      <c r="I95" s="990"/>
      <c r="J95" s="991" t="s">
        <v>7761</v>
      </c>
      <c r="K95" s="990"/>
      <c r="L95" s="991" t="s">
        <v>7762</v>
      </c>
      <c r="M95" s="990"/>
      <c r="N95" s="992" t="s">
        <v>7763</v>
      </c>
      <c r="O95" s="968"/>
      <c r="P95" s="668"/>
      <c r="Q95" s="967" t="s">
        <v>7771</v>
      </c>
      <c r="R95" s="968"/>
      <c r="S95" s="139"/>
    </row>
    <row r="96" spans="1:19" ht="22.5" customHeight="1" thickBot="1" x14ac:dyDescent="0.4">
      <c r="A96" s="761"/>
      <c r="B96" s="761"/>
      <c r="C96" s="761"/>
      <c r="D96" s="969" t="s">
        <v>7764</v>
      </c>
      <c r="E96" s="970"/>
      <c r="F96" s="970"/>
      <c r="G96" s="970"/>
      <c r="H96" s="970"/>
      <c r="I96" s="970"/>
      <c r="J96" s="970"/>
      <c r="K96" s="970"/>
      <c r="L96" s="970"/>
      <c r="M96" s="970"/>
      <c r="N96" s="970"/>
      <c r="O96" s="971"/>
      <c r="P96" s="668"/>
      <c r="Q96" s="790"/>
      <c r="R96" s="790"/>
    </row>
    <row r="97" spans="1:22" ht="29.5" thickBot="1" x14ac:dyDescent="0.4">
      <c r="A97" s="791" t="s">
        <v>7774</v>
      </c>
      <c r="B97" s="791" t="s">
        <v>1764</v>
      </c>
      <c r="C97" s="762" t="s">
        <v>7773</v>
      </c>
      <c r="D97" s="787" t="s">
        <v>7756</v>
      </c>
      <c r="E97" s="788" t="s">
        <v>7757</v>
      </c>
      <c r="F97" s="788" t="s">
        <v>7756</v>
      </c>
      <c r="G97" s="788" t="s">
        <v>7757</v>
      </c>
      <c r="H97" s="788" t="s">
        <v>7756</v>
      </c>
      <c r="I97" s="788" t="s">
        <v>7757</v>
      </c>
      <c r="J97" s="788" t="s">
        <v>7756</v>
      </c>
      <c r="K97" s="788" t="s">
        <v>7757</v>
      </c>
      <c r="L97" s="788" t="s">
        <v>7756</v>
      </c>
      <c r="M97" s="788" t="s">
        <v>7757</v>
      </c>
      <c r="N97" s="788" t="s">
        <v>7756</v>
      </c>
      <c r="O97" s="789" t="s">
        <v>7757</v>
      </c>
      <c r="P97" s="668"/>
      <c r="Q97" s="787" t="s">
        <v>7756</v>
      </c>
      <c r="R97" s="789" t="s">
        <v>7757</v>
      </c>
      <c r="S97" s="139"/>
    </row>
    <row r="98" spans="1:22" ht="14.5" x14ac:dyDescent="0.35">
      <c r="A98" s="678"/>
      <c r="B98" s="668"/>
      <c r="C98" s="668"/>
      <c r="D98" s="668"/>
      <c r="E98" s="668"/>
      <c r="F98" s="668"/>
      <c r="G98" s="668"/>
      <c r="H98" s="668"/>
      <c r="I98" s="668"/>
      <c r="J98" s="668"/>
      <c r="K98" s="668"/>
      <c r="L98" s="668"/>
      <c r="M98" s="668"/>
      <c r="N98" s="668"/>
      <c r="O98" s="668"/>
      <c r="P98" s="668"/>
      <c r="Q98" s="668"/>
      <c r="R98" s="668"/>
    </row>
    <row r="99" spans="1:22" ht="14.5" x14ac:dyDescent="0.35">
      <c r="A99" s="763" t="s">
        <v>7605</v>
      </c>
      <c r="B99" s="764" t="s">
        <v>6277</v>
      </c>
      <c r="C99" s="679">
        <v>12.2</v>
      </c>
      <c r="D99" s="743">
        <v>37845</v>
      </c>
      <c r="E99" s="782">
        <v>4617.09</v>
      </c>
      <c r="F99" s="743">
        <v>26580</v>
      </c>
      <c r="G99" s="782">
        <v>3242.76</v>
      </c>
      <c r="H99" s="743">
        <v>16334</v>
      </c>
      <c r="I99" s="782">
        <v>1992.75</v>
      </c>
      <c r="J99" s="743">
        <v>9328</v>
      </c>
      <c r="K99" s="782">
        <v>1138.02</v>
      </c>
      <c r="L99" s="743">
        <v>3024</v>
      </c>
      <c r="M99" s="782">
        <v>368.93</v>
      </c>
      <c r="N99" s="743"/>
      <c r="O99" s="782"/>
      <c r="P99" s="668"/>
      <c r="Q99" s="786">
        <f t="shared" ref="Q99:R101" si="6">D99+F99+H99+J99+L99+N99</f>
        <v>93111</v>
      </c>
      <c r="R99" s="781">
        <f t="shared" si="6"/>
        <v>11359.550000000001</v>
      </c>
    </row>
    <row r="100" spans="1:22" ht="14.5" x14ac:dyDescent="0.35">
      <c r="A100" s="763" t="s">
        <v>7605</v>
      </c>
      <c r="B100" s="764" t="s">
        <v>7765</v>
      </c>
      <c r="C100" s="679">
        <v>11.87</v>
      </c>
      <c r="D100" s="743">
        <v>56767.5</v>
      </c>
      <c r="E100" s="782">
        <v>6738.3</v>
      </c>
      <c r="F100" s="743">
        <v>39870</v>
      </c>
      <c r="G100" s="782">
        <v>4732.57</v>
      </c>
      <c r="H100" s="743">
        <v>24501</v>
      </c>
      <c r="I100" s="782">
        <v>2908.27</v>
      </c>
      <c r="J100" s="743">
        <v>13992</v>
      </c>
      <c r="K100" s="782">
        <v>1660.85</v>
      </c>
      <c r="L100" s="743">
        <v>4536</v>
      </c>
      <c r="M100" s="782">
        <v>538.41999999999996</v>
      </c>
      <c r="N100" s="743"/>
      <c r="O100" s="782"/>
      <c r="P100" s="668"/>
      <c r="Q100" s="786">
        <f t="shared" si="6"/>
        <v>139666.5</v>
      </c>
      <c r="R100" s="781">
        <f t="shared" si="6"/>
        <v>16578.41</v>
      </c>
    </row>
    <row r="101" spans="1:22" ht="14.5" x14ac:dyDescent="0.35">
      <c r="A101" s="763" t="s">
        <v>7605</v>
      </c>
      <c r="B101" s="764" t="s">
        <v>209</v>
      </c>
      <c r="C101" s="679" t="s">
        <v>7783</v>
      </c>
      <c r="D101" s="743"/>
      <c r="E101" s="782"/>
      <c r="F101" s="743"/>
      <c r="G101" s="782"/>
      <c r="H101" s="743"/>
      <c r="I101" s="782"/>
      <c r="J101" s="743"/>
      <c r="K101" s="782"/>
      <c r="L101" s="743"/>
      <c r="M101" s="782"/>
      <c r="N101" s="743">
        <v>5892.5</v>
      </c>
      <c r="O101" s="782">
        <v>471.40000000000003</v>
      </c>
      <c r="P101" s="668"/>
      <c r="Q101" s="786">
        <f t="shared" si="6"/>
        <v>5892.5</v>
      </c>
      <c r="R101" s="781">
        <f t="shared" si="6"/>
        <v>471.40000000000003</v>
      </c>
    </row>
    <row r="102" spans="1:22" ht="14.5" hidden="1" x14ac:dyDescent="0.35">
      <c r="A102" s="765" t="s">
        <v>7605</v>
      </c>
      <c r="B102" s="766" t="s">
        <v>6111</v>
      </c>
      <c r="C102" s="755"/>
      <c r="D102" s="767"/>
      <c r="E102" s="783"/>
      <c r="F102" s="767"/>
      <c r="G102" s="783"/>
      <c r="H102" s="767"/>
      <c r="I102" s="783">
        <v>200000</v>
      </c>
      <c r="J102" s="756"/>
      <c r="K102" s="785"/>
      <c r="L102" s="756"/>
      <c r="M102" s="785"/>
      <c r="N102" s="756"/>
      <c r="O102" s="785"/>
      <c r="P102" s="668"/>
      <c r="Q102" s="756"/>
      <c r="R102" s="785"/>
    </row>
    <row r="103" spans="1:22" ht="7.4" customHeight="1" x14ac:dyDescent="0.35">
      <c r="A103" s="768"/>
      <c r="B103" s="769"/>
      <c r="C103" s="770"/>
      <c r="D103" s="771"/>
      <c r="E103" s="784"/>
      <c r="F103" s="770"/>
      <c r="G103" s="784"/>
      <c r="H103" s="770"/>
      <c r="I103" s="784"/>
      <c r="J103" s="770"/>
      <c r="K103" s="784"/>
      <c r="L103" s="770"/>
      <c r="M103" s="784"/>
      <c r="N103" s="770"/>
      <c r="O103" s="784"/>
      <c r="P103" s="668"/>
      <c r="Q103" s="770"/>
      <c r="R103" s="784"/>
    </row>
    <row r="104" spans="1:22" ht="16.399999999999999" customHeight="1" x14ac:dyDescent="0.35">
      <c r="A104" s="979" t="s">
        <v>7755</v>
      </c>
      <c r="B104" s="980"/>
      <c r="C104" s="982"/>
      <c r="D104" s="772">
        <f t="shared" ref="D104:O104" si="7">SUM(D99:D101)</f>
        <v>94612.5</v>
      </c>
      <c r="E104" s="782">
        <f t="shared" si="7"/>
        <v>11355.39</v>
      </c>
      <c r="F104" s="772">
        <f t="shared" si="7"/>
        <v>66450</v>
      </c>
      <c r="G104" s="782">
        <f t="shared" si="7"/>
        <v>7975.33</v>
      </c>
      <c r="H104" s="772">
        <f t="shared" si="7"/>
        <v>40835</v>
      </c>
      <c r="I104" s="782">
        <f t="shared" si="7"/>
        <v>4901.0200000000004</v>
      </c>
      <c r="J104" s="772">
        <f t="shared" si="7"/>
        <v>23320</v>
      </c>
      <c r="K104" s="782">
        <f t="shared" si="7"/>
        <v>2798.87</v>
      </c>
      <c r="L104" s="772">
        <f t="shared" si="7"/>
        <v>7560</v>
      </c>
      <c r="M104" s="782">
        <f t="shared" si="7"/>
        <v>907.34999999999991</v>
      </c>
      <c r="N104" s="772">
        <f t="shared" si="7"/>
        <v>5892.5</v>
      </c>
      <c r="O104" s="782">
        <f t="shared" si="7"/>
        <v>471.40000000000003</v>
      </c>
      <c r="Q104" s="786">
        <f>SUM(Q99:Q101)</f>
        <v>238670</v>
      </c>
      <c r="R104" s="781">
        <f>SUM(R99:R101)</f>
        <v>28409.360000000001</v>
      </c>
    </row>
    <row r="105" spans="1:22" ht="7.5" customHeight="1" x14ac:dyDescent="0.3">
      <c r="A105" s="773"/>
      <c r="B105" s="774"/>
      <c r="C105" s="775"/>
      <c r="D105" s="776"/>
      <c r="E105" s="775"/>
      <c r="F105" s="775"/>
      <c r="G105" s="775"/>
      <c r="H105" s="775"/>
      <c r="I105" s="775"/>
      <c r="J105" s="775"/>
      <c r="K105" s="775"/>
      <c r="L105" s="775"/>
      <c r="M105" s="775"/>
      <c r="N105" s="775"/>
      <c r="O105" s="775"/>
    </row>
    <row r="106" spans="1:22" ht="21.65" customHeight="1" x14ac:dyDescent="0.35">
      <c r="A106" s="761"/>
      <c r="B106" s="761"/>
      <c r="C106" s="761"/>
      <c r="D106" s="969" t="s">
        <v>7768</v>
      </c>
      <c r="E106" s="970"/>
      <c r="F106" s="970"/>
      <c r="G106" s="970"/>
      <c r="H106" s="970"/>
      <c r="I106" s="970"/>
      <c r="J106" s="970"/>
      <c r="K106" s="970"/>
      <c r="L106" s="970"/>
      <c r="M106" s="970"/>
      <c r="N106" s="970"/>
      <c r="O106" s="971"/>
      <c r="P106" s="668"/>
      <c r="U106" s="777"/>
    </row>
    <row r="107" spans="1:22" ht="14.5" x14ac:dyDescent="0.35">
      <c r="A107" s="979" t="s">
        <v>7767</v>
      </c>
      <c r="B107" s="980"/>
      <c r="C107" s="980"/>
      <c r="D107" s="978" t="s">
        <v>7754</v>
      </c>
      <c r="E107" s="978"/>
      <c r="F107" s="978" t="s">
        <v>7754</v>
      </c>
      <c r="G107" s="978"/>
      <c r="H107" s="978" t="s">
        <v>7754</v>
      </c>
      <c r="I107" s="978"/>
      <c r="J107" s="978" t="s">
        <v>7754</v>
      </c>
      <c r="K107" s="978"/>
      <c r="L107" s="978" t="s">
        <v>7754</v>
      </c>
      <c r="M107" s="978"/>
      <c r="N107" s="978" t="s">
        <v>7754</v>
      </c>
      <c r="O107" s="978"/>
      <c r="P107" s="668"/>
    </row>
    <row r="108" spans="1:22" ht="14.5" x14ac:dyDescent="0.35">
      <c r="A108" s="979" t="s">
        <v>7766</v>
      </c>
      <c r="B108" s="980"/>
      <c r="C108" s="980"/>
      <c r="D108" s="981" t="s">
        <v>7753</v>
      </c>
      <c r="E108" s="981"/>
      <c r="F108" s="981" t="s">
        <v>7753</v>
      </c>
      <c r="G108" s="981"/>
      <c r="H108" s="978" t="s">
        <v>7754</v>
      </c>
      <c r="I108" s="978"/>
      <c r="J108" s="978" t="s">
        <v>7754</v>
      </c>
      <c r="K108" s="978"/>
      <c r="L108" s="978" t="s">
        <v>7754</v>
      </c>
      <c r="M108" s="978"/>
      <c r="N108" s="978" t="s">
        <v>7754</v>
      </c>
      <c r="O108" s="978"/>
      <c r="P108" s="668"/>
    </row>
    <row r="109" spans="1:22" ht="26.9" customHeight="1" thickBot="1" x14ac:dyDescent="0.4">
      <c r="A109" s="761"/>
      <c r="B109" s="761"/>
      <c r="C109" s="761"/>
      <c r="D109" s="969" t="s">
        <v>7769</v>
      </c>
      <c r="E109" s="970"/>
      <c r="F109" s="970"/>
      <c r="G109" s="970"/>
      <c r="H109" s="970"/>
      <c r="I109" s="970"/>
      <c r="J109" s="970"/>
      <c r="K109" s="970"/>
      <c r="L109" s="970"/>
      <c r="M109" s="970"/>
      <c r="N109" s="970"/>
      <c r="O109" s="971"/>
      <c r="P109" s="668"/>
      <c r="Q109" s="136"/>
      <c r="R109" s="136"/>
    </row>
    <row r="110" spans="1:22" ht="29.5" thickBot="1" x14ac:dyDescent="0.4">
      <c r="A110" s="791" t="s">
        <v>7774</v>
      </c>
      <c r="B110" s="791" t="s">
        <v>1764</v>
      </c>
      <c r="C110" s="762" t="s">
        <v>7773</v>
      </c>
      <c r="D110" s="787" t="s">
        <v>7756</v>
      </c>
      <c r="E110" s="788" t="s">
        <v>7757</v>
      </c>
      <c r="F110" s="788" t="s">
        <v>7756</v>
      </c>
      <c r="G110" s="788" t="s">
        <v>7757</v>
      </c>
      <c r="H110" s="788" t="s">
        <v>7756</v>
      </c>
      <c r="I110" s="788" t="s">
        <v>7757</v>
      </c>
      <c r="J110" s="788" t="s">
        <v>7756</v>
      </c>
      <c r="K110" s="788" t="s">
        <v>7757</v>
      </c>
      <c r="L110" s="788" t="s">
        <v>7756</v>
      </c>
      <c r="M110" s="788" t="s">
        <v>7757</v>
      </c>
      <c r="N110" s="788" t="s">
        <v>7756</v>
      </c>
      <c r="O110" s="789" t="s">
        <v>7757</v>
      </c>
      <c r="P110" s="668"/>
      <c r="Q110" s="787" t="s">
        <v>7756</v>
      </c>
      <c r="R110" s="789" t="s">
        <v>7757</v>
      </c>
      <c r="S110" s="139"/>
    </row>
    <row r="111" spans="1:22" ht="14.5" x14ac:dyDescent="0.35">
      <c r="A111" s="678"/>
      <c r="B111" s="668"/>
      <c r="C111" s="668"/>
      <c r="D111" s="668"/>
      <c r="E111" s="668"/>
      <c r="F111" s="668"/>
      <c r="G111" s="668"/>
      <c r="H111" s="668"/>
      <c r="I111" s="668"/>
      <c r="J111" s="668"/>
      <c r="K111" s="668"/>
      <c r="L111" s="668"/>
      <c r="M111" s="668"/>
      <c r="N111" s="668"/>
      <c r="O111" s="668"/>
      <c r="P111" s="668"/>
      <c r="Q111" s="668"/>
      <c r="R111" s="668"/>
      <c r="S111" s="668"/>
      <c r="T111" s="668"/>
      <c r="U111" s="668"/>
      <c r="V111" s="668"/>
    </row>
    <row r="112" spans="1:22" ht="14.5" x14ac:dyDescent="0.35">
      <c r="A112" s="763" t="s">
        <v>7605</v>
      </c>
      <c r="B112" s="764" t="s">
        <v>6277</v>
      </c>
      <c r="C112" s="679">
        <v>12.2</v>
      </c>
      <c r="D112" s="743">
        <v>37845</v>
      </c>
      <c r="E112" s="781">
        <v>4617.09</v>
      </c>
      <c r="F112" s="743">
        <v>26580</v>
      </c>
      <c r="G112" s="781">
        <v>3242.76</v>
      </c>
      <c r="H112" s="743">
        <v>16334</v>
      </c>
      <c r="I112" s="781">
        <v>1992.75</v>
      </c>
      <c r="J112" s="743">
        <v>9328</v>
      </c>
      <c r="K112" s="781">
        <v>1138.02</v>
      </c>
      <c r="L112" s="743">
        <v>3024</v>
      </c>
      <c r="M112" s="781">
        <v>368.93</v>
      </c>
      <c r="N112" s="743"/>
      <c r="O112" s="781"/>
      <c r="Q112" s="786">
        <f>D112+F112+H112+J112+L112</f>
        <v>93111</v>
      </c>
      <c r="R112" s="781">
        <f>E112+G112+I112+K112+M112</f>
        <v>11359.550000000001</v>
      </c>
    </row>
    <row r="113" spans="1:18" ht="14.5" x14ac:dyDescent="0.35">
      <c r="A113" s="763" t="s">
        <v>7605</v>
      </c>
      <c r="B113" s="764" t="s">
        <v>7765</v>
      </c>
      <c r="C113" s="679">
        <v>11.87</v>
      </c>
      <c r="D113" s="743">
        <v>56767.5</v>
      </c>
      <c r="E113" s="781">
        <v>6738.3</v>
      </c>
      <c r="F113" s="743">
        <v>39870</v>
      </c>
      <c r="G113" s="781">
        <v>4732.57</v>
      </c>
      <c r="H113" s="743">
        <v>24501</v>
      </c>
      <c r="I113" s="781">
        <v>2908.27</v>
      </c>
      <c r="J113" s="743">
        <v>13992</v>
      </c>
      <c r="K113" s="781">
        <v>1660.85</v>
      </c>
      <c r="L113" s="743">
        <v>4536</v>
      </c>
      <c r="M113" s="781">
        <v>538.41999999999996</v>
      </c>
      <c r="N113" s="743"/>
      <c r="O113" s="781"/>
      <c r="Q113" s="786">
        <f>D113+F113+H113+J113+L113</f>
        <v>139666.5</v>
      </c>
      <c r="R113" s="781">
        <f>E113+G113+I113+K113+M113</f>
        <v>16578.41</v>
      </c>
    </row>
    <row r="114" spans="1:18" ht="14.5" x14ac:dyDescent="0.35">
      <c r="A114" s="763" t="s">
        <v>7605</v>
      </c>
      <c r="B114" s="764" t="s">
        <v>209</v>
      </c>
      <c r="C114" s="798" t="s">
        <v>7783</v>
      </c>
      <c r="D114" s="743"/>
      <c r="E114" s="782"/>
      <c r="F114" s="743"/>
      <c r="G114" s="782"/>
      <c r="H114" s="743"/>
      <c r="I114" s="782"/>
      <c r="J114" s="743"/>
      <c r="K114" s="782"/>
      <c r="L114" s="743"/>
      <c r="M114" s="782"/>
      <c r="N114" s="743">
        <v>5892.5</v>
      </c>
      <c r="O114" s="782">
        <v>471.40000000000003</v>
      </c>
      <c r="P114" s="668"/>
      <c r="Q114" s="786">
        <f>D114+F114+H114+J114+L114+N114</f>
        <v>5892.5</v>
      </c>
      <c r="R114" s="781">
        <f>E114+G114+I114+K114+M114+O114</f>
        <v>471.40000000000003</v>
      </c>
    </row>
    <row r="115" spans="1:18" ht="16.399999999999999" customHeight="1" x14ac:dyDescent="0.3">
      <c r="A115" s="763" t="s">
        <v>7605</v>
      </c>
      <c r="B115" s="778" t="s">
        <v>7781</v>
      </c>
      <c r="C115" s="743"/>
      <c r="D115" s="743" t="s">
        <v>4179</v>
      </c>
      <c r="E115" s="781" t="s">
        <v>4179</v>
      </c>
      <c r="F115" s="743" t="s">
        <v>4179</v>
      </c>
      <c r="G115" s="781" t="s">
        <v>4179</v>
      </c>
      <c r="H115" s="795">
        <v>0</v>
      </c>
      <c r="I115" s="796">
        <v>-4901.0200000000004</v>
      </c>
      <c r="J115" s="795">
        <v>0</v>
      </c>
      <c r="K115" s="796">
        <v>-2798.87</v>
      </c>
      <c r="L115" s="795">
        <v>0</v>
      </c>
      <c r="M115" s="796">
        <v>-907.35</v>
      </c>
      <c r="N115" s="795">
        <v>0</v>
      </c>
      <c r="O115" s="796">
        <v>-471.4</v>
      </c>
      <c r="Q115" s="786">
        <f>H115+J115+L115+N115</f>
        <v>0</v>
      </c>
      <c r="R115" s="796">
        <f>I115+K115+M115+O115</f>
        <v>-9078.64</v>
      </c>
    </row>
    <row r="116" spans="1:18" ht="16.399999999999999" customHeight="1" x14ac:dyDescent="0.3">
      <c r="A116" s="763" t="s">
        <v>7605</v>
      </c>
      <c r="B116" s="794" t="s">
        <v>7782</v>
      </c>
      <c r="C116" s="743"/>
      <c r="D116" s="743" t="s">
        <v>4179</v>
      </c>
      <c r="E116" s="781" t="s">
        <v>4179</v>
      </c>
      <c r="F116" s="743" t="s">
        <v>4179</v>
      </c>
      <c r="G116" s="781" t="s">
        <v>4179</v>
      </c>
      <c r="H116" s="743"/>
      <c r="I116" s="781"/>
      <c r="J116" s="743"/>
      <c r="K116" s="781"/>
      <c r="L116" s="743"/>
      <c r="M116" s="781"/>
      <c r="N116" s="795"/>
      <c r="O116" s="797"/>
      <c r="Q116" s="786">
        <f>H116+J116+L116+N116</f>
        <v>0</v>
      </c>
      <c r="R116" s="797">
        <f>I116+K116+M116+O116</f>
        <v>0</v>
      </c>
    </row>
    <row r="117" spans="1:18" ht="7.4" customHeight="1" x14ac:dyDescent="0.3">
      <c r="B117" s="667"/>
      <c r="C117" s="667"/>
      <c r="E117" s="126"/>
      <c r="G117" s="126"/>
    </row>
    <row r="118" spans="1:18" ht="14.5" x14ac:dyDescent="0.35">
      <c r="A118" s="779" t="s">
        <v>7770</v>
      </c>
      <c r="B118" s="769"/>
      <c r="C118" s="770"/>
      <c r="D118" s="772">
        <f>SUM(D112:D116)</f>
        <v>94612.5</v>
      </c>
      <c r="E118" s="782">
        <f t="shared" ref="E118:O118" si="8">SUM(E112:E116)</f>
        <v>11355.39</v>
      </c>
      <c r="F118" s="772">
        <f t="shared" si="8"/>
        <v>66450</v>
      </c>
      <c r="G118" s="782">
        <f t="shared" si="8"/>
        <v>7975.33</v>
      </c>
      <c r="H118" s="772">
        <f t="shared" si="8"/>
        <v>40835</v>
      </c>
      <c r="I118" s="782">
        <f t="shared" si="8"/>
        <v>0</v>
      </c>
      <c r="J118" s="772">
        <f t="shared" si="8"/>
        <v>23320</v>
      </c>
      <c r="K118" s="782">
        <f t="shared" si="8"/>
        <v>0</v>
      </c>
      <c r="L118" s="772">
        <f t="shared" si="8"/>
        <v>7560</v>
      </c>
      <c r="M118" s="782">
        <f t="shared" si="8"/>
        <v>0</v>
      </c>
      <c r="N118" s="772">
        <f t="shared" si="8"/>
        <v>5892.5</v>
      </c>
      <c r="O118" s="782">
        <f t="shared" si="8"/>
        <v>0</v>
      </c>
      <c r="Q118" s="772">
        <f>SUM(Q112:Q116)</f>
        <v>238670</v>
      </c>
      <c r="R118" s="782">
        <f>SUM(R112:R116)</f>
        <v>19330.72</v>
      </c>
    </row>
    <row r="119" spans="1:18" x14ac:dyDescent="0.3">
      <c r="B119" s="667"/>
      <c r="C119" s="667"/>
      <c r="D119" s="667"/>
      <c r="E119" s="667"/>
    </row>
    <row r="120" spans="1:18" ht="111" customHeight="1" x14ac:dyDescent="0.3">
      <c r="A120" s="972" t="s">
        <v>7822</v>
      </c>
      <c r="B120" s="973"/>
      <c r="C120" s="973"/>
      <c r="D120" s="973"/>
      <c r="E120" s="973"/>
      <c r="F120" s="973"/>
      <c r="G120" s="973"/>
      <c r="H120" s="973"/>
      <c r="I120" s="973"/>
      <c r="J120" s="973"/>
      <c r="K120" s="973"/>
      <c r="L120" s="973"/>
      <c r="M120" s="973"/>
      <c r="N120" s="973"/>
      <c r="O120" s="973"/>
      <c r="P120" s="973"/>
      <c r="Q120" s="973"/>
      <c r="R120" s="974"/>
    </row>
    <row r="121" spans="1:18" ht="15" customHeight="1" x14ac:dyDescent="0.3">
      <c r="A121" s="972"/>
      <c r="B121" s="973"/>
      <c r="C121" s="973"/>
      <c r="D121" s="973"/>
      <c r="E121" s="973"/>
      <c r="F121" s="973"/>
      <c r="G121" s="973"/>
      <c r="H121" s="973"/>
      <c r="I121" s="973"/>
      <c r="J121" s="973"/>
      <c r="K121" s="973"/>
      <c r="L121" s="973"/>
      <c r="M121" s="973"/>
      <c r="N121" s="973"/>
      <c r="O121" s="973"/>
      <c r="P121" s="973"/>
      <c r="Q121" s="973"/>
      <c r="R121" s="974"/>
    </row>
    <row r="122" spans="1:18" x14ac:dyDescent="0.3">
      <c r="A122" s="975" t="s">
        <v>7788</v>
      </c>
      <c r="B122" s="976"/>
      <c r="C122" s="976"/>
      <c r="D122" s="976"/>
      <c r="E122" s="976"/>
      <c r="F122" s="976"/>
      <c r="G122" s="976"/>
      <c r="H122" s="976"/>
      <c r="I122" s="976"/>
      <c r="J122" s="976"/>
      <c r="K122" s="976"/>
      <c r="L122" s="976"/>
      <c r="M122" s="976"/>
      <c r="N122" s="976"/>
      <c r="O122" s="976"/>
      <c r="P122" s="976"/>
      <c r="Q122" s="976"/>
      <c r="R122" s="977"/>
    </row>
    <row r="123" spans="1:18" ht="15" customHeight="1" x14ac:dyDescent="0.3">
      <c r="A123" s="972"/>
      <c r="B123" s="973"/>
      <c r="C123" s="973"/>
      <c r="D123" s="973"/>
      <c r="E123" s="973"/>
      <c r="F123" s="973"/>
      <c r="G123" s="973"/>
      <c r="H123" s="973"/>
      <c r="I123" s="973"/>
      <c r="J123" s="973"/>
      <c r="K123" s="973"/>
      <c r="L123" s="973"/>
      <c r="M123" s="973"/>
      <c r="N123" s="973"/>
      <c r="O123" s="973"/>
      <c r="P123" s="973"/>
      <c r="Q123" s="973"/>
      <c r="R123" s="974"/>
    </row>
    <row r="124" spans="1:18" ht="44.15" customHeight="1" x14ac:dyDescent="0.3">
      <c r="A124" s="964" t="s">
        <v>7789</v>
      </c>
      <c r="B124" s="965"/>
      <c r="C124" s="965"/>
      <c r="D124" s="965"/>
      <c r="E124" s="965"/>
      <c r="F124" s="965"/>
      <c r="G124" s="965"/>
      <c r="H124" s="965"/>
      <c r="I124" s="965"/>
      <c r="J124" s="965"/>
      <c r="K124" s="965"/>
      <c r="L124" s="965"/>
      <c r="M124" s="965"/>
      <c r="N124" s="965"/>
      <c r="O124" s="965"/>
      <c r="P124" s="965"/>
      <c r="Q124" s="965"/>
      <c r="R124" s="966"/>
    </row>
    <row r="125" spans="1:18" x14ac:dyDescent="0.3">
      <c r="A125" s="975" t="s">
        <v>7790</v>
      </c>
      <c r="B125" s="976"/>
      <c r="C125" s="976"/>
      <c r="D125" s="976"/>
      <c r="E125" s="976"/>
      <c r="F125" s="976"/>
      <c r="G125" s="976"/>
      <c r="H125" s="976"/>
      <c r="I125" s="976"/>
      <c r="J125" s="976"/>
      <c r="K125" s="976"/>
      <c r="L125" s="976"/>
      <c r="M125" s="976"/>
      <c r="N125" s="976"/>
      <c r="O125" s="976"/>
      <c r="P125" s="976"/>
      <c r="Q125" s="976"/>
      <c r="R125" s="977"/>
    </row>
    <row r="126" spans="1:18" ht="15" customHeight="1" x14ac:dyDescent="0.3">
      <c r="A126" s="972"/>
      <c r="B126" s="973"/>
      <c r="C126" s="973"/>
      <c r="D126" s="973"/>
      <c r="E126" s="973"/>
      <c r="F126" s="973"/>
      <c r="G126" s="973"/>
      <c r="H126" s="973"/>
      <c r="I126" s="973"/>
      <c r="J126" s="973"/>
      <c r="K126" s="973"/>
      <c r="L126" s="973"/>
      <c r="M126" s="973"/>
      <c r="N126" s="973"/>
      <c r="O126" s="973"/>
      <c r="P126" s="973"/>
      <c r="Q126" s="973"/>
      <c r="R126" s="974"/>
    </row>
    <row r="127" spans="1:18" ht="50.9" customHeight="1" x14ac:dyDescent="0.3">
      <c r="A127" s="964" t="s">
        <v>7792</v>
      </c>
      <c r="B127" s="965"/>
      <c r="C127" s="965"/>
      <c r="D127" s="965"/>
      <c r="E127" s="965"/>
      <c r="F127" s="965"/>
      <c r="G127" s="965"/>
      <c r="H127" s="965"/>
      <c r="I127" s="965"/>
      <c r="J127" s="965"/>
      <c r="K127" s="965"/>
      <c r="L127" s="965"/>
      <c r="M127" s="965"/>
      <c r="N127" s="965"/>
      <c r="O127" s="965"/>
      <c r="P127" s="965"/>
      <c r="Q127" s="965"/>
      <c r="R127" s="966"/>
    </row>
    <row r="128" spans="1:18" x14ac:dyDescent="0.3">
      <c r="A128" s="667" t="s">
        <v>7793</v>
      </c>
      <c r="B128" s="667"/>
      <c r="C128" s="667"/>
      <c r="D128" s="667"/>
      <c r="E128" s="667"/>
    </row>
    <row r="129" spans="1:19" ht="14.5" thickBot="1" x14ac:dyDescent="0.35">
      <c r="A129" s="667"/>
      <c r="B129" s="667"/>
      <c r="C129" s="667"/>
      <c r="D129" s="667"/>
      <c r="E129" s="667"/>
    </row>
    <row r="130" spans="1:19" ht="26.9" customHeight="1" thickBot="1" x14ac:dyDescent="0.4">
      <c r="A130" s="668"/>
      <c r="B130" s="668"/>
      <c r="C130" s="668"/>
      <c r="D130" s="967" t="s">
        <v>7785</v>
      </c>
      <c r="E130" s="968"/>
      <c r="P130" s="668"/>
      <c r="S130" s="139"/>
    </row>
    <row r="131" spans="1:19" ht="29.5" thickBot="1" x14ac:dyDescent="0.35">
      <c r="A131" s="791" t="s">
        <v>7774</v>
      </c>
      <c r="B131" s="791" t="s">
        <v>1764</v>
      </c>
      <c r="C131" s="762" t="s">
        <v>7773</v>
      </c>
      <c r="D131" s="787" t="s">
        <v>7756</v>
      </c>
      <c r="E131" s="789" t="s">
        <v>7757</v>
      </c>
    </row>
    <row r="132" spans="1:19" ht="14.5" x14ac:dyDescent="0.35">
      <c r="A132" s="678"/>
      <c r="B132" s="668"/>
      <c r="C132" s="668"/>
      <c r="D132" s="668"/>
      <c r="E132" s="668"/>
    </row>
    <row r="133" spans="1:19" ht="14.5" x14ac:dyDescent="0.35">
      <c r="A133" s="763" t="s">
        <v>7605</v>
      </c>
      <c r="B133" s="764" t="s">
        <v>6277</v>
      </c>
      <c r="C133" s="679">
        <v>12.2</v>
      </c>
      <c r="D133" s="743">
        <v>93111</v>
      </c>
      <c r="E133" s="781">
        <v>11359.550000000001</v>
      </c>
    </row>
    <row r="134" spans="1:19" ht="14.5" x14ac:dyDescent="0.35">
      <c r="A134" s="763" t="s">
        <v>7605</v>
      </c>
      <c r="B134" s="764" t="s">
        <v>7765</v>
      </c>
      <c r="C134" s="679">
        <v>11.87</v>
      </c>
      <c r="D134" s="743">
        <v>139666.5</v>
      </c>
      <c r="E134" s="781">
        <v>16578.41</v>
      </c>
    </row>
    <row r="135" spans="1:19" ht="14.5" x14ac:dyDescent="0.35">
      <c r="A135" s="763" t="s">
        <v>7605</v>
      </c>
      <c r="B135" s="764" t="s">
        <v>209</v>
      </c>
      <c r="C135" s="798" t="s">
        <v>7783</v>
      </c>
      <c r="D135" s="743">
        <v>5892.5</v>
      </c>
      <c r="E135" s="782">
        <v>471.40000000000003</v>
      </c>
    </row>
    <row r="136" spans="1:19" ht="14.5" x14ac:dyDescent="0.35">
      <c r="A136" s="763" t="s">
        <v>7605</v>
      </c>
      <c r="B136" s="778" t="s">
        <v>7781</v>
      </c>
      <c r="C136" s="798"/>
      <c r="D136" s="772">
        <v>0</v>
      </c>
      <c r="E136" s="796">
        <v>-9078.64</v>
      </c>
    </row>
    <row r="137" spans="1:19" ht="5.15" customHeight="1" x14ac:dyDescent="0.3">
      <c r="B137" s="667"/>
      <c r="C137" s="667"/>
      <c r="E137" s="126"/>
    </row>
    <row r="138" spans="1:19" ht="13.5" customHeight="1" x14ac:dyDescent="0.35">
      <c r="A138" s="779" t="s">
        <v>7786</v>
      </c>
      <c r="B138" s="769"/>
      <c r="C138" s="770"/>
      <c r="D138" s="772">
        <f>SUM(D133:D136)</f>
        <v>238670</v>
      </c>
      <c r="E138" s="782">
        <f>SUM(E133:E136)</f>
        <v>19330.72</v>
      </c>
      <c r="F138" s="136"/>
      <c r="G138" s="136"/>
      <c r="H138" s="136"/>
      <c r="I138" s="136"/>
    </row>
    <row r="139" spans="1:19" ht="15" customHeight="1" x14ac:dyDescent="0.3">
      <c r="A139" s="964"/>
      <c r="B139" s="965"/>
      <c r="C139" s="965"/>
      <c r="D139" s="965"/>
      <c r="E139" s="965"/>
      <c r="F139" s="965"/>
      <c r="G139" s="965"/>
      <c r="H139" s="965"/>
      <c r="I139" s="965"/>
      <c r="J139" s="965"/>
      <c r="K139" s="965"/>
      <c r="L139" s="965"/>
      <c r="M139" s="965"/>
      <c r="N139" s="965"/>
      <c r="O139" s="965"/>
      <c r="P139" s="965"/>
      <c r="Q139" s="965"/>
      <c r="R139" s="966"/>
    </row>
    <row r="140" spans="1:19" ht="54.65" customHeight="1" thickBot="1" x14ac:dyDescent="0.35">
      <c r="A140" s="964" t="s">
        <v>7798</v>
      </c>
      <c r="B140" s="965"/>
      <c r="C140" s="965"/>
      <c r="D140" s="965"/>
      <c r="E140" s="965"/>
      <c r="F140" s="965"/>
      <c r="G140" s="965"/>
      <c r="H140" s="965"/>
      <c r="I140" s="965"/>
      <c r="J140" s="965"/>
      <c r="K140" s="965"/>
      <c r="L140" s="965"/>
      <c r="M140" s="965"/>
      <c r="N140" s="965"/>
      <c r="O140" s="965"/>
      <c r="P140" s="965"/>
      <c r="Q140" s="965"/>
      <c r="R140" s="966"/>
    </row>
    <row r="141" spans="1:19" ht="26.9" customHeight="1" thickBot="1" x14ac:dyDescent="0.4">
      <c r="A141" s="668"/>
      <c r="B141" s="668"/>
      <c r="C141" s="668"/>
      <c r="D141" s="967" t="s">
        <v>7795</v>
      </c>
      <c r="E141" s="968"/>
      <c r="P141" s="668"/>
      <c r="S141" s="139"/>
    </row>
    <row r="142" spans="1:19" ht="29.5" thickBot="1" x14ac:dyDescent="0.35">
      <c r="A142" s="791" t="s">
        <v>7774</v>
      </c>
      <c r="B142" s="791" t="s">
        <v>1764</v>
      </c>
      <c r="C142" s="762" t="s">
        <v>7773</v>
      </c>
      <c r="D142" s="787" t="s">
        <v>7756</v>
      </c>
      <c r="E142" s="789" t="s">
        <v>7757</v>
      </c>
    </row>
    <row r="143" spans="1:19" ht="14.5" x14ac:dyDescent="0.35">
      <c r="A143" s="678"/>
      <c r="B143" s="668"/>
      <c r="C143" s="668"/>
      <c r="D143" s="668"/>
      <c r="E143" s="668"/>
    </row>
    <row r="144" spans="1:19" ht="14.5" x14ac:dyDescent="0.35">
      <c r="A144" s="763" t="s">
        <v>7605</v>
      </c>
      <c r="B144" s="764" t="s">
        <v>6277</v>
      </c>
      <c r="C144" s="679">
        <v>12.2</v>
      </c>
      <c r="D144" s="805" t="s">
        <v>7796</v>
      </c>
      <c r="E144" s="805" t="s">
        <v>7796</v>
      </c>
    </row>
    <row r="145" spans="1:18" ht="14.5" x14ac:dyDescent="0.35">
      <c r="A145" s="763" t="s">
        <v>7605</v>
      </c>
      <c r="B145" s="764" t="s">
        <v>7765</v>
      </c>
      <c r="C145" s="679">
        <v>11.87</v>
      </c>
      <c r="D145" s="805" t="s">
        <v>7796</v>
      </c>
      <c r="E145" s="805" t="s">
        <v>7796</v>
      </c>
    </row>
    <row r="146" spans="1:18" ht="14.5" x14ac:dyDescent="0.35">
      <c r="A146" s="763" t="s">
        <v>7605</v>
      </c>
      <c r="B146" s="805" t="s">
        <v>7796</v>
      </c>
      <c r="C146" s="798"/>
      <c r="D146" s="805" t="s">
        <v>7796</v>
      </c>
      <c r="E146" s="805" t="s">
        <v>7796</v>
      </c>
    </row>
    <row r="147" spans="1:18" ht="14.5" x14ac:dyDescent="0.35">
      <c r="A147" s="763" t="s">
        <v>7605</v>
      </c>
      <c r="B147" s="794" t="s">
        <v>7782</v>
      </c>
      <c r="C147" s="798"/>
      <c r="D147" s="772">
        <v>0</v>
      </c>
      <c r="E147" s="797">
        <v>9078.64</v>
      </c>
      <c r="F147" s="124"/>
    </row>
    <row r="148" spans="1:18" ht="5.15" customHeight="1" x14ac:dyDescent="0.3">
      <c r="B148" s="667"/>
      <c r="C148" s="667"/>
      <c r="E148" s="126"/>
    </row>
    <row r="149" spans="1:18" ht="13.5" customHeight="1" x14ac:dyDescent="0.3">
      <c r="A149" s="779" t="s">
        <v>7786</v>
      </c>
      <c r="B149" s="769"/>
      <c r="C149" s="770"/>
      <c r="D149" s="805" t="s">
        <v>7796</v>
      </c>
      <c r="E149" s="806" t="s">
        <v>7797</v>
      </c>
      <c r="F149" s="136"/>
      <c r="G149" s="136"/>
      <c r="H149" s="136"/>
      <c r="I149" s="136"/>
    </row>
    <row r="150" spans="1:18" ht="15" customHeight="1" x14ac:dyDescent="0.3">
      <c r="A150" s="964"/>
      <c r="B150" s="965"/>
      <c r="C150" s="965"/>
      <c r="D150" s="965"/>
      <c r="E150" s="965"/>
      <c r="F150" s="965"/>
      <c r="G150" s="965"/>
      <c r="H150" s="965"/>
      <c r="I150" s="965"/>
      <c r="J150" s="965"/>
      <c r="K150" s="965"/>
      <c r="L150" s="965"/>
      <c r="M150" s="965"/>
      <c r="N150" s="965"/>
      <c r="O150" s="965"/>
      <c r="P150" s="965"/>
      <c r="Q150" s="965"/>
      <c r="R150" s="966"/>
    </row>
    <row r="151" spans="1:18" ht="62.9" customHeight="1" x14ac:dyDescent="0.3">
      <c r="A151" s="964" t="s">
        <v>7800</v>
      </c>
      <c r="B151" s="965"/>
      <c r="C151" s="965"/>
      <c r="D151" s="965"/>
      <c r="E151" s="965"/>
      <c r="F151" s="965"/>
      <c r="G151" s="965"/>
      <c r="H151" s="965"/>
      <c r="I151" s="965"/>
      <c r="J151" s="965"/>
      <c r="K151" s="965"/>
      <c r="L151" s="965"/>
      <c r="M151" s="965"/>
      <c r="N151" s="965"/>
      <c r="O151" s="965"/>
      <c r="P151" s="965"/>
      <c r="Q151" s="965"/>
      <c r="R151" s="966"/>
    </row>
    <row r="152" spans="1:18" ht="15" customHeight="1" x14ac:dyDescent="0.3">
      <c r="A152" s="964"/>
      <c r="B152" s="965"/>
      <c r="C152" s="965"/>
      <c r="D152" s="965"/>
      <c r="E152" s="965"/>
      <c r="F152" s="965"/>
      <c r="G152" s="965"/>
      <c r="H152" s="965"/>
      <c r="I152" s="965"/>
      <c r="J152" s="965"/>
      <c r="K152" s="965"/>
      <c r="L152" s="965"/>
      <c r="M152" s="965"/>
      <c r="N152" s="965"/>
      <c r="O152" s="965"/>
      <c r="P152" s="965"/>
      <c r="Q152" s="965"/>
      <c r="R152" s="966"/>
    </row>
    <row r="153" spans="1:18" ht="15" customHeight="1" x14ac:dyDescent="0.3">
      <c r="A153" s="964"/>
      <c r="B153" s="965"/>
      <c r="C153" s="965"/>
      <c r="D153" s="965"/>
      <c r="E153" s="965"/>
      <c r="F153" s="965"/>
      <c r="G153" s="965"/>
      <c r="H153" s="965"/>
      <c r="I153" s="965"/>
      <c r="J153" s="965"/>
      <c r="K153" s="965"/>
      <c r="L153" s="965"/>
      <c r="M153" s="965"/>
      <c r="N153" s="965"/>
      <c r="O153" s="965"/>
      <c r="P153" s="965"/>
      <c r="Q153" s="965"/>
      <c r="R153" s="966"/>
    </row>
    <row r="154" spans="1:18" ht="15" customHeight="1" x14ac:dyDescent="0.3">
      <c r="A154" s="964"/>
      <c r="B154" s="965"/>
      <c r="C154" s="965"/>
      <c r="D154" s="965"/>
      <c r="E154" s="965"/>
      <c r="F154" s="965"/>
      <c r="G154" s="965"/>
      <c r="H154" s="965"/>
      <c r="I154" s="965"/>
      <c r="J154" s="965"/>
      <c r="K154" s="965"/>
      <c r="L154" s="965"/>
      <c r="M154" s="965"/>
      <c r="N154" s="965"/>
      <c r="O154" s="965"/>
      <c r="P154" s="965"/>
      <c r="Q154" s="965"/>
      <c r="R154" s="966"/>
    </row>
    <row r="155" spans="1:18" ht="15" customHeight="1" x14ac:dyDescent="0.3">
      <c r="A155" s="964"/>
      <c r="B155" s="965"/>
      <c r="C155" s="965"/>
      <c r="D155" s="965"/>
      <c r="E155" s="965"/>
      <c r="F155" s="965"/>
      <c r="G155" s="965"/>
      <c r="H155" s="965"/>
      <c r="I155" s="965"/>
      <c r="J155" s="965"/>
      <c r="K155" s="965"/>
      <c r="L155" s="965"/>
      <c r="M155" s="965"/>
      <c r="N155" s="965"/>
      <c r="O155" s="965"/>
      <c r="P155" s="965"/>
      <c r="Q155" s="965"/>
      <c r="R155" s="966"/>
    </row>
    <row r="156" spans="1:18" x14ac:dyDescent="0.3">
      <c r="A156" s="799"/>
      <c r="B156" s="800"/>
      <c r="C156" s="801"/>
      <c r="D156" s="802"/>
      <c r="E156" s="802"/>
      <c r="F156" s="803"/>
      <c r="G156" s="803"/>
      <c r="H156" s="803"/>
      <c r="I156" s="803"/>
      <c r="J156" s="804"/>
      <c r="K156" s="803"/>
      <c r="L156" s="803"/>
      <c r="M156" s="803"/>
      <c r="N156" s="803"/>
      <c r="O156" s="803"/>
      <c r="P156" s="803"/>
      <c r="Q156" s="803"/>
      <c r="R156" s="803"/>
    </row>
    <row r="157" spans="1:18" ht="15" customHeight="1" x14ac:dyDescent="0.3">
      <c r="A157" s="799"/>
      <c r="B157" s="800"/>
      <c r="C157" s="801"/>
      <c r="D157" s="802"/>
      <c r="E157" s="802"/>
      <c r="F157" s="803"/>
      <c r="G157" s="803"/>
      <c r="H157" s="803"/>
      <c r="I157" s="803"/>
      <c r="J157" s="804"/>
      <c r="K157" s="803"/>
      <c r="L157" s="803"/>
      <c r="M157" s="803"/>
      <c r="N157" s="803"/>
      <c r="O157" s="803"/>
      <c r="P157" s="803"/>
      <c r="Q157" s="803"/>
      <c r="R157" s="803"/>
    </row>
    <row r="158" spans="1:18" ht="15" customHeight="1" x14ac:dyDescent="0.3">
      <c r="A158" s="689"/>
      <c r="B158" s="710"/>
      <c r="C158" s="690"/>
      <c r="D158" s="667"/>
      <c r="E158" s="667"/>
      <c r="J158" s="139"/>
    </row>
    <row r="159" spans="1:18" ht="15" customHeight="1" x14ac:dyDescent="0.3">
      <c r="A159" s="689"/>
      <c r="B159" s="710"/>
      <c r="C159" s="690"/>
      <c r="D159" s="667"/>
      <c r="E159" s="667"/>
      <c r="J159" s="139"/>
    </row>
    <row r="160" spans="1:18" ht="6.75" customHeight="1" x14ac:dyDescent="0.3">
      <c r="A160" s="667"/>
      <c r="B160" s="667"/>
      <c r="C160" s="691"/>
      <c r="D160" s="691"/>
      <c r="E160" s="691"/>
      <c r="F160" s="137"/>
      <c r="G160" s="137"/>
      <c r="H160" s="137"/>
      <c r="I160" s="137"/>
    </row>
    <row r="161" spans="1:5" x14ac:dyDescent="0.3">
      <c r="A161" s="692"/>
      <c r="B161" s="667"/>
      <c r="C161" s="690"/>
      <c r="D161" s="667"/>
      <c r="E161" s="667"/>
    </row>
    <row r="162" spans="1:5" x14ac:dyDescent="0.3">
      <c r="A162" s="692"/>
      <c r="B162" s="667"/>
      <c r="C162" s="690"/>
      <c r="D162" s="667"/>
      <c r="E162" s="667"/>
    </row>
    <row r="163" spans="1:5" x14ac:dyDescent="0.3">
      <c r="A163" s="667"/>
      <c r="B163" s="667"/>
      <c r="C163" s="667"/>
      <c r="D163" s="667"/>
      <c r="E163" s="667"/>
    </row>
    <row r="164" spans="1:5" x14ac:dyDescent="0.3">
      <c r="A164" s="667"/>
      <c r="B164" s="667"/>
      <c r="C164" s="667"/>
      <c r="D164" s="667"/>
      <c r="E164" s="667"/>
    </row>
    <row r="165" spans="1:5" x14ac:dyDescent="0.3">
      <c r="A165" s="667"/>
      <c r="B165" s="667"/>
      <c r="C165" s="667"/>
      <c r="D165" s="667"/>
      <c r="E165" s="667"/>
    </row>
    <row r="166" spans="1:5" x14ac:dyDescent="0.3">
      <c r="A166" s="667"/>
      <c r="B166" s="667"/>
      <c r="C166" s="667"/>
      <c r="D166" s="667"/>
      <c r="E166" s="667"/>
    </row>
    <row r="167" spans="1:5" x14ac:dyDescent="0.3">
      <c r="A167" s="667"/>
      <c r="B167" s="667"/>
      <c r="C167" s="667"/>
      <c r="D167" s="667"/>
      <c r="E167" s="667"/>
    </row>
    <row r="168" spans="1:5" x14ac:dyDescent="0.3">
      <c r="A168" s="686"/>
      <c r="B168" s="667"/>
      <c r="C168" s="667"/>
      <c r="D168" s="667"/>
      <c r="E168" s="667"/>
    </row>
    <row r="169" spans="1:5" x14ac:dyDescent="0.3">
      <c r="A169" s="667"/>
      <c r="B169" s="667"/>
      <c r="C169" s="667"/>
      <c r="D169" s="667"/>
      <c r="E169" s="667"/>
    </row>
    <row r="170" spans="1:5" x14ac:dyDescent="0.3">
      <c r="A170" s="667"/>
      <c r="B170" s="667"/>
      <c r="C170" s="667"/>
      <c r="D170" s="667"/>
      <c r="E170" s="667"/>
    </row>
    <row r="171" spans="1:5" x14ac:dyDescent="0.3">
      <c r="A171" s="667"/>
      <c r="B171" s="667"/>
      <c r="C171" s="667"/>
      <c r="D171" s="667"/>
      <c r="E171" s="667"/>
    </row>
    <row r="172" spans="1:5" x14ac:dyDescent="0.3">
      <c r="A172" s="689"/>
      <c r="B172" s="667"/>
      <c r="C172" s="667"/>
      <c r="D172" s="667"/>
      <c r="E172" s="667"/>
    </row>
    <row r="173" spans="1:5" x14ac:dyDescent="0.3">
      <c r="A173" s="689"/>
      <c r="B173" s="667"/>
      <c r="C173" s="667"/>
      <c r="D173" s="667"/>
      <c r="E173" s="667"/>
    </row>
    <row r="174" spans="1:5" x14ac:dyDescent="0.3">
      <c r="A174" s="667"/>
      <c r="B174" s="667"/>
      <c r="C174" s="667"/>
      <c r="D174" s="667"/>
      <c r="E174" s="667"/>
    </row>
    <row r="175" spans="1:5" x14ac:dyDescent="0.3">
      <c r="A175" s="667"/>
      <c r="B175" s="667"/>
      <c r="C175" s="667"/>
      <c r="D175" s="667"/>
      <c r="E175" s="667"/>
    </row>
    <row r="176" spans="1:5" x14ac:dyDescent="0.3">
      <c r="A176" s="667"/>
      <c r="B176" s="667"/>
      <c r="C176" s="667"/>
      <c r="D176" s="667"/>
      <c r="E176" s="667"/>
    </row>
    <row r="177" spans="1:5" x14ac:dyDescent="0.3">
      <c r="A177" s="667"/>
      <c r="B177" s="667"/>
      <c r="C177" s="667"/>
      <c r="D177" s="667"/>
      <c r="E177" s="667"/>
    </row>
    <row r="178" spans="1:5" x14ac:dyDescent="0.3">
      <c r="A178" s="667"/>
      <c r="B178" s="667"/>
      <c r="C178" s="667"/>
      <c r="D178" s="667"/>
      <c r="E178" s="667"/>
    </row>
    <row r="179" spans="1:5" x14ac:dyDescent="0.3">
      <c r="A179" s="667"/>
      <c r="B179" s="667"/>
      <c r="C179" s="667"/>
      <c r="D179" s="667"/>
      <c r="E179" s="667"/>
    </row>
    <row r="182" spans="1:5" ht="14.5" x14ac:dyDescent="0.35">
      <c r="A182" s="132"/>
    </row>
  </sheetData>
  <mergeCells count="111">
    <mergeCell ref="A5:R5"/>
    <mergeCell ref="A4:R4"/>
    <mergeCell ref="A1:AA1"/>
    <mergeCell ref="D8:E8"/>
    <mergeCell ref="F8:G8"/>
    <mergeCell ref="H8:I8"/>
    <mergeCell ref="J8:K8"/>
    <mergeCell ref="L21:M21"/>
    <mergeCell ref="N21:O21"/>
    <mergeCell ref="N20:O20"/>
    <mergeCell ref="L20:M20"/>
    <mergeCell ref="J20:K20"/>
    <mergeCell ref="D9:O9"/>
    <mergeCell ref="A21:C21"/>
    <mergeCell ref="A20:C20"/>
    <mergeCell ref="D19:O19"/>
    <mergeCell ref="Q8:R8"/>
    <mergeCell ref="A17:C17"/>
    <mergeCell ref="D20:E20"/>
    <mergeCell ref="F20:G20"/>
    <mergeCell ref="H20:I20"/>
    <mergeCell ref="L8:M8"/>
    <mergeCell ref="N8:O8"/>
    <mergeCell ref="A6:R6"/>
    <mergeCell ref="D21:E21"/>
    <mergeCell ref="F21:G21"/>
    <mergeCell ref="H21:I21"/>
    <mergeCell ref="J21:K21"/>
    <mergeCell ref="D34:E34"/>
    <mergeCell ref="A43:R43"/>
    <mergeCell ref="A7:R7"/>
    <mergeCell ref="A45:AA45"/>
    <mergeCell ref="D22:O22"/>
    <mergeCell ref="A55:R55"/>
    <mergeCell ref="D56:E56"/>
    <mergeCell ref="F56:G56"/>
    <mergeCell ref="H56:I56"/>
    <mergeCell ref="J56:K56"/>
    <mergeCell ref="L56:M56"/>
    <mergeCell ref="N56:O56"/>
    <mergeCell ref="Q56:R56"/>
    <mergeCell ref="A49:R49"/>
    <mergeCell ref="A52:R52"/>
    <mergeCell ref="A51:R51"/>
    <mergeCell ref="A50:R50"/>
    <mergeCell ref="A53:R53"/>
    <mergeCell ref="D57:O57"/>
    <mergeCell ref="A65:C65"/>
    <mergeCell ref="D67:O67"/>
    <mergeCell ref="A68:C68"/>
    <mergeCell ref="D68:E68"/>
    <mergeCell ref="F68:G68"/>
    <mergeCell ref="H68:I68"/>
    <mergeCell ref="J68:K68"/>
    <mergeCell ref="N69:O69"/>
    <mergeCell ref="L68:M68"/>
    <mergeCell ref="N68:O68"/>
    <mergeCell ref="D70:O70"/>
    <mergeCell ref="Q95:R95"/>
    <mergeCell ref="D96:O96"/>
    <mergeCell ref="A104:C104"/>
    <mergeCell ref="D106:O106"/>
    <mergeCell ref="A69:C69"/>
    <mergeCell ref="D69:E69"/>
    <mergeCell ref="F69:G69"/>
    <mergeCell ref="H69:I69"/>
    <mergeCell ref="D83:E83"/>
    <mergeCell ref="A92:R92"/>
    <mergeCell ref="A94:R94"/>
    <mergeCell ref="D95:E95"/>
    <mergeCell ref="F95:G95"/>
    <mergeCell ref="H95:I95"/>
    <mergeCell ref="J95:K95"/>
    <mergeCell ref="L95:M95"/>
    <mergeCell ref="N95:O95"/>
    <mergeCell ref="A81:R81"/>
    <mergeCell ref="J69:K69"/>
    <mergeCell ref="L69:M69"/>
    <mergeCell ref="H108:I108"/>
    <mergeCell ref="J108:K108"/>
    <mergeCell ref="L108:M108"/>
    <mergeCell ref="N108:O108"/>
    <mergeCell ref="A107:C107"/>
    <mergeCell ref="D107:E107"/>
    <mergeCell ref="F107:G107"/>
    <mergeCell ref="H107:I107"/>
    <mergeCell ref="J107:K107"/>
    <mergeCell ref="L107:M107"/>
    <mergeCell ref="N107:O107"/>
    <mergeCell ref="A108:C108"/>
    <mergeCell ref="D108:E108"/>
    <mergeCell ref="F108:G108"/>
    <mergeCell ref="A153:R153"/>
    <mergeCell ref="A154:R154"/>
    <mergeCell ref="A155:R155"/>
    <mergeCell ref="A140:R140"/>
    <mergeCell ref="A151:R151"/>
    <mergeCell ref="A152:R152"/>
    <mergeCell ref="D141:E141"/>
    <mergeCell ref="D109:O109"/>
    <mergeCell ref="A120:R120"/>
    <mergeCell ref="A121:R121"/>
    <mergeCell ref="A122:R122"/>
    <mergeCell ref="A150:R150"/>
    <mergeCell ref="A139:R139"/>
    <mergeCell ref="A123:R123"/>
    <mergeCell ref="A124:R124"/>
    <mergeCell ref="A125:R125"/>
    <mergeCell ref="A126:R126"/>
    <mergeCell ref="A127:R127"/>
    <mergeCell ref="D130:E130"/>
  </mergeCells>
  <conditionalFormatting sqref="E12:E14">
    <cfRule type="cellIs" dxfId="52" priority="77" stopIfTrue="1" operator="lessThan">
      <formula>0</formula>
    </cfRule>
  </conditionalFormatting>
  <conditionalFormatting sqref="E27">
    <cfRule type="cellIs" dxfId="51" priority="68" stopIfTrue="1" operator="lessThan">
      <formula>0</formula>
    </cfRule>
  </conditionalFormatting>
  <conditionalFormatting sqref="E39">
    <cfRule type="cellIs" dxfId="50" priority="41" stopIfTrue="1" operator="lessThan">
      <formula>0</formula>
    </cfRule>
  </conditionalFormatting>
  <conditionalFormatting sqref="E60:E62">
    <cfRule type="cellIs" dxfId="49" priority="59" stopIfTrue="1" operator="lessThan">
      <formula>0</formula>
    </cfRule>
  </conditionalFormatting>
  <conditionalFormatting sqref="E75">
    <cfRule type="cellIs" dxfId="48" priority="50" stopIfTrue="1" operator="lessThan">
      <formula>0</formula>
    </cfRule>
  </conditionalFormatting>
  <conditionalFormatting sqref="E88">
    <cfRule type="cellIs" dxfId="47" priority="42" stopIfTrue="1" operator="lessThan">
      <formula>0</formula>
    </cfRule>
  </conditionalFormatting>
  <conditionalFormatting sqref="E99:E101">
    <cfRule type="cellIs" dxfId="46" priority="23" stopIfTrue="1" operator="lessThan">
      <formula>0</formula>
    </cfRule>
  </conditionalFormatting>
  <conditionalFormatting sqref="E114">
    <cfRule type="cellIs" dxfId="45" priority="14" stopIfTrue="1" operator="lessThan">
      <formula>0</formula>
    </cfRule>
  </conditionalFormatting>
  <conditionalFormatting sqref="E135">
    <cfRule type="cellIs" dxfId="44" priority="5" stopIfTrue="1" operator="lessThan">
      <formula>0</formula>
    </cfRule>
  </conditionalFormatting>
  <conditionalFormatting sqref="G12:G14">
    <cfRule type="cellIs" dxfId="43" priority="76" stopIfTrue="1" operator="lessThan">
      <formula>0</formula>
    </cfRule>
  </conditionalFormatting>
  <conditionalFormatting sqref="G27">
    <cfRule type="cellIs" dxfId="42" priority="67" stopIfTrue="1" operator="lessThan">
      <formula>0</formula>
    </cfRule>
  </conditionalFormatting>
  <conditionalFormatting sqref="G60:G62">
    <cfRule type="cellIs" dxfId="41" priority="58" stopIfTrue="1" operator="lessThan">
      <formula>0</formula>
    </cfRule>
  </conditionalFormatting>
  <conditionalFormatting sqref="G75">
    <cfRule type="cellIs" dxfId="40" priority="49" stopIfTrue="1" operator="lessThan">
      <formula>0</formula>
    </cfRule>
  </conditionalFormatting>
  <conditionalFormatting sqref="G99:G101">
    <cfRule type="cellIs" dxfId="39" priority="22" stopIfTrue="1" operator="lessThan">
      <formula>0</formula>
    </cfRule>
  </conditionalFormatting>
  <conditionalFormatting sqref="G114">
    <cfRule type="cellIs" dxfId="38" priority="13" stopIfTrue="1" operator="lessThan">
      <formula>0</formula>
    </cfRule>
  </conditionalFormatting>
  <conditionalFormatting sqref="I12:I14">
    <cfRule type="cellIs" dxfId="37" priority="75" stopIfTrue="1" operator="lessThan">
      <formula>0</formula>
    </cfRule>
  </conditionalFormatting>
  <conditionalFormatting sqref="I27">
    <cfRule type="cellIs" dxfId="36" priority="66" stopIfTrue="1" operator="lessThan">
      <formula>0</formula>
    </cfRule>
  </conditionalFormatting>
  <conditionalFormatting sqref="I60:I62">
    <cfRule type="cellIs" dxfId="35" priority="57" stopIfTrue="1" operator="lessThan">
      <formula>0</formula>
    </cfRule>
  </conditionalFormatting>
  <conditionalFormatting sqref="I75">
    <cfRule type="cellIs" dxfId="34" priority="48" stopIfTrue="1" operator="lessThan">
      <formula>0</formula>
    </cfRule>
  </conditionalFormatting>
  <conditionalFormatting sqref="I99:I101">
    <cfRule type="cellIs" dxfId="33" priority="21" stopIfTrue="1" operator="lessThan">
      <formula>0</formula>
    </cfRule>
  </conditionalFormatting>
  <conditionalFormatting sqref="I114">
    <cfRule type="cellIs" dxfId="32" priority="12" stopIfTrue="1" operator="lessThan">
      <formula>0</formula>
    </cfRule>
  </conditionalFormatting>
  <conditionalFormatting sqref="K12:K14">
    <cfRule type="cellIs" dxfId="31" priority="74" stopIfTrue="1" operator="lessThan">
      <formula>0</formula>
    </cfRule>
  </conditionalFormatting>
  <conditionalFormatting sqref="K27">
    <cfRule type="cellIs" dxfId="30" priority="65" stopIfTrue="1" operator="lessThan">
      <formula>0</formula>
    </cfRule>
  </conditionalFormatting>
  <conditionalFormatting sqref="K60:K62">
    <cfRule type="cellIs" dxfId="29" priority="56" stopIfTrue="1" operator="lessThan">
      <formula>0</formula>
    </cfRule>
  </conditionalFormatting>
  <conditionalFormatting sqref="K75">
    <cfRule type="cellIs" dxfId="28" priority="47" stopIfTrue="1" operator="lessThan">
      <formula>0</formula>
    </cfRule>
  </conditionalFormatting>
  <conditionalFormatting sqref="K99:K101">
    <cfRule type="cellIs" dxfId="27" priority="20" stopIfTrue="1" operator="lessThan">
      <formula>0</formula>
    </cfRule>
  </conditionalFormatting>
  <conditionalFormatting sqref="K114">
    <cfRule type="cellIs" dxfId="26" priority="11" stopIfTrue="1" operator="lessThan">
      <formula>0</formula>
    </cfRule>
  </conditionalFormatting>
  <conditionalFormatting sqref="M12:O14">
    <cfRule type="cellIs" dxfId="25" priority="72" stopIfTrue="1" operator="lessThan">
      <formula>0</formula>
    </cfRule>
  </conditionalFormatting>
  <conditionalFormatting sqref="M27:O27">
    <cfRule type="cellIs" dxfId="24" priority="63" stopIfTrue="1" operator="lessThan">
      <formula>0</formula>
    </cfRule>
  </conditionalFormatting>
  <conditionalFormatting sqref="M60:O62">
    <cfRule type="cellIs" dxfId="23" priority="54" stopIfTrue="1" operator="lessThan">
      <formula>0</formula>
    </cfRule>
  </conditionalFormatting>
  <conditionalFormatting sqref="M75:O75">
    <cfRule type="cellIs" dxfId="22" priority="45" stopIfTrue="1" operator="lessThan">
      <formula>0</formula>
    </cfRule>
  </conditionalFormatting>
  <conditionalFormatting sqref="M99:O101">
    <cfRule type="cellIs" dxfId="21" priority="18" stopIfTrue="1" operator="lessThan">
      <formula>0</formula>
    </cfRule>
  </conditionalFormatting>
  <conditionalFormatting sqref="M114:O114">
    <cfRule type="cellIs" dxfId="20" priority="9" stopIfTrue="1" operator="lessThan">
      <formula>0</formula>
    </cfRule>
  </conditionalFormatting>
  <conditionalFormatting sqref="Q73:Q77">
    <cfRule type="cellIs" dxfId="19" priority="43" stopIfTrue="1" operator="lessThan">
      <formula>0</formula>
    </cfRule>
  </conditionalFormatting>
  <conditionalFormatting sqref="Q112:Q116">
    <cfRule type="cellIs" dxfId="18" priority="7" stopIfTrue="1" operator="lessThan">
      <formula>0</formula>
    </cfRule>
  </conditionalFormatting>
  <conditionalFormatting sqref="Q12:R14">
    <cfRule type="cellIs" dxfId="17" priority="70" stopIfTrue="1" operator="lessThan">
      <formula>0</formula>
    </cfRule>
  </conditionalFormatting>
  <conditionalFormatting sqref="Q17:R17">
    <cfRule type="cellIs" dxfId="16" priority="96" stopIfTrue="1" operator="lessThan">
      <formula>0</formula>
    </cfRule>
  </conditionalFormatting>
  <conditionalFormatting sqref="Q25:R28">
    <cfRule type="cellIs" dxfId="15" priority="61" stopIfTrue="1" operator="lessThan">
      <formula>0</formula>
    </cfRule>
  </conditionalFormatting>
  <conditionalFormatting sqref="Q60:R62">
    <cfRule type="cellIs" dxfId="14" priority="52" stopIfTrue="1" operator="lessThan">
      <formula>0</formula>
    </cfRule>
  </conditionalFormatting>
  <conditionalFormatting sqref="Q65:R65">
    <cfRule type="cellIs" dxfId="13" priority="81" stopIfTrue="1" operator="lessThan">
      <formula>0</formula>
    </cfRule>
  </conditionalFormatting>
  <conditionalFormatting sqref="Q99:R101">
    <cfRule type="cellIs" dxfId="12" priority="16" stopIfTrue="1" operator="lessThan">
      <formula>0</formula>
    </cfRule>
  </conditionalFormatting>
  <conditionalFormatting sqref="Q104:R104">
    <cfRule type="cellIs" dxfId="11" priority="26" stopIfTrue="1" operator="lessThan">
      <formula>0</formula>
    </cfRule>
  </conditionalFormatting>
  <conditionalFormatting sqref="R73:R75">
    <cfRule type="cellIs" dxfId="10" priority="44" stopIfTrue="1" operator="lessThan">
      <formula>0</formula>
    </cfRule>
  </conditionalFormatting>
  <conditionalFormatting sqref="R77">
    <cfRule type="cellIs" dxfId="9" priority="85" stopIfTrue="1" operator="lessThan">
      <formula>0</formula>
    </cfRule>
  </conditionalFormatting>
  <conditionalFormatting sqref="R112:R114">
    <cfRule type="cellIs" dxfId="8" priority="8" stopIfTrue="1" operator="lessThan">
      <formula>0</formula>
    </cfRule>
  </conditionalFormatting>
  <conditionalFormatting sqref="R116">
    <cfRule type="cellIs" dxfId="7" priority="30"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30 B12:C16 B8:C9 B28 B76:B77 B18:C19 B22:C22 B79 B70:C70 B56:C57 B60:C64 B25:C27 B66:C67 B73:C75 B86:C88 B83:C83 B90 B37:C39 B34:C34 B41 B115:B116 B118 B109:C109 B95:C96 B99:C103 B105:C106 B112:C114 B138 B130:C130 B133:C136 B149 B141:C141 D144:E146 B144:C147 D149:E149" xr:uid="{00000000-0002-0000-07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ignoredErrors>
    <ignoredError sqref="I17" formulaRange="1"/>
    <ignoredError sqref="C14 C62 C27 C75 C88 C39 C114 C101 C135" numberStoredAsText="1"/>
  </ignoredErrors>
  <drawing r:id="rId2"/>
  <legacyDrawing r:id="rId3"/>
  <oleObjects>
    <mc:AlternateContent xmlns:mc="http://schemas.openxmlformats.org/markup-compatibility/2006">
      <mc:Choice Requires="x14">
        <oleObject progId="Equation.3" shapeId="36865" r:id="rId4">
          <objectPr defaultSize="0" autoPict="0" r:id="rId5">
            <anchor moveWithCells="1" sizeWithCells="1">
              <from>
                <xdr:col>0</xdr:col>
                <xdr:colOff>57150</xdr:colOff>
                <xdr:row>15</xdr:row>
                <xdr:rowOff>0</xdr:rowOff>
              </from>
              <to>
                <xdr:col>2</xdr:col>
                <xdr:colOff>0</xdr:colOff>
                <xdr:row>15</xdr:row>
                <xdr:rowOff>0</xdr:rowOff>
              </to>
            </anchor>
          </objectPr>
        </oleObject>
      </mc:Choice>
      <mc:Fallback>
        <oleObject progId="Equation.3" shapeId="36865" r:id="rId4"/>
      </mc:Fallback>
    </mc:AlternateContent>
    <mc:AlternateContent xmlns:mc="http://schemas.openxmlformats.org/markup-compatibility/2006">
      <mc:Choice Requires="x14">
        <oleObject progId="Equation.3" shapeId="36866" r:id="rId6">
          <objectPr defaultSize="0" autoPict="0" r:id="rId7">
            <anchor moveWithCells="1" sizeWithCells="1">
              <from>
                <xdr:col>0</xdr:col>
                <xdr:colOff>0</xdr:colOff>
                <xdr:row>167</xdr:row>
                <xdr:rowOff>0</xdr:rowOff>
              </from>
              <to>
                <xdr:col>2</xdr:col>
                <xdr:colOff>0</xdr:colOff>
                <xdr:row>167</xdr:row>
                <xdr:rowOff>0</xdr:rowOff>
              </to>
            </anchor>
          </objectPr>
        </oleObject>
      </mc:Choice>
      <mc:Fallback>
        <oleObject progId="Equation.3" shapeId="36866" r:id="rId6"/>
      </mc:Fallback>
    </mc:AlternateContent>
    <mc:AlternateContent xmlns:mc="http://schemas.openxmlformats.org/markup-compatibility/2006">
      <mc:Choice Requires="x14">
        <oleObject progId="Equation.3" shapeId="36867" r:id="rId8">
          <objectPr defaultSize="0" autoPict="0" r:id="rId9">
            <anchor moveWithCells="1" sizeWithCells="1">
              <from>
                <xdr:col>0</xdr:col>
                <xdr:colOff>361950</xdr:colOff>
                <xdr:row>167</xdr:row>
                <xdr:rowOff>0</xdr:rowOff>
              </from>
              <to>
                <xdr:col>2</xdr:col>
                <xdr:colOff>0</xdr:colOff>
                <xdr:row>167</xdr:row>
                <xdr:rowOff>0</xdr:rowOff>
              </to>
            </anchor>
          </objectPr>
        </oleObject>
      </mc:Choice>
      <mc:Fallback>
        <oleObject progId="Equation.3" shapeId="36867" r:id="rId8"/>
      </mc:Fallback>
    </mc:AlternateContent>
    <mc:AlternateContent xmlns:mc="http://schemas.openxmlformats.org/markup-compatibility/2006">
      <mc:Choice Requires="x14">
        <oleObject progId="Equation.3" shapeId="36868" r:id="rId10">
          <objectPr defaultSize="0" autoPict="0" r:id="rId11">
            <anchor moveWithCells="1" sizeWithCells="1">
              <from>
                <xdr:col>0</xdr:col>
                <xdr:colOff>323850</xdr:colOff>
                <xdr:row>167</xdr:row>
                <xdr:rowOff>0</xdr:rowOff>
              </from>
              <to>
                <xdr:col>2</xdr:col>
                <xdr:colOff>0</xdr:colOff>
                <xdr:row>167</xdr:row>
                <xdr:rowOff>0</xdr:rowOff>
              </to>
            </anchor>
          </objectPr>
        </oleObject>
      </mc:Choice>
      <mc:Fallback>
        <oleObject progId="Equation.3" shapeId="36868" r:id="rId10"/>
      </mc:Fallback>
    </mc:AlternateContent>
    <mc:AlternateContent xmlns:mc="http://schemas.openxmlformats.org/markup-compatibility/2006">
      <mc:Choice Requires="x14">
        <oleObject progId="Equation.3" shapeId="36869" r:id="rId12">
          <objectPr defaultSize="0" autoPict="0" r:id="rId13">
            <anchor moveWithCells="1" sizeWithCells="1">
              <from>
                <xdr:col>0</xdr:col>
                <xdr:colOff>12700</xdr:colOff>
                <xdr:row>167</xdr:row>
                <xdr:rowOff>0</xdr:rowOff>
              </from>
              <to>
                <xdr:col>2</xdr:col>
                <xdr:colOff>0</xdr:colOff>
                <xdr:row>167</xdr:row>
                <xdr:rowOff>0</xdr:rowOff>
              </to>
            </anchor>
          </objectPr>
        </oleObject>
      </mc:Choice>
      <mc:Fallback>
        <oleObject progId="Equation.3" shapeId="36869" r:id="rId12"/>
      </mc:Fallback>
    </mc:AlternateContent>
    <mc:AlternateContent xmlns:mc="http://schemas.openxmlformats.org/markup-compatibility/2006">
      <mc:Choice Requires="x14">
        <oleObject progId="Equation.3" shapeId="36873" r:id="rId14">
          <objectPr defaultSize="0" autoPict="0" r:id="rId5">
            <anchor moveWithCells="1" sizeWithCells="1">
              <from>
                <xdr:col>0</xdr:col>
                <xdr:colOff>57150</xdr:colOff>
                <xdr:row>63</xdr:row>
                <xdr:rowOff>0</xdr:rowOff>
              </from>
              <to>
                <xdr:col>2</xdr:col>
                <xdr:colOff>0</xdr:colOff>
                <xdr:row>63</xdr:row>
                <xdr:rowOff>0</xdr:rowOff>
              </to>
            </anchor>
          </objectPr>
        </oleObject>
      </mc:Choice>
      <mc:Fallback>
        <oleObject progId="Equation.3" shapeId="36873" r:id="rId14"/>
      </mc:Fallback>
    </mc:AlternateContent>
    <mc:AlternateContent xmlns:mc="http://schemas.openxmlformats.org/markup-compatibility/2006">
      <mc:Choice Requires="x14">
        <oleObject progId="Equation.3" shapeId="36874" r:id="rId15">
          <objectPr defaultSize="0" autoPict="0" r:id="rId5">
            <anchor moveWithCells="1" sizeWithCells="1">
              <from>
                <xdr:col>0</xdr:col>
                <xdr:colOff>57150</xdr:colOff>
                <xdr:row>102</xdr:row>
                <xdr:rowOff>0</xdr:rowOff>
              </from>
              <to>
                <xdr:col>2</xdr:col>
                <xdr:colOff>0</xdr:colOff>
                <xdr:row>102</xdr:row>
                <xdr:rowOff>0</xdr:rowOff>
              </to>
            </anchor>
          </objectPr>
        </oleObject>
      </mc:Choice>
      <mc:Fallback>
        <oleObject progId="Equation.3" shapeId="36874" r:id="rId1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1"/>
  <dimension ref="A1:AB75"/>
  <sheetViews>
    <sheetView workbookViewId="0">
      <selection activeCell="A3" sqref="A3:AA3"/>
    </sheetView>
  </sheetViews>
  <sheetFormatPr baseColWidth="10" defaultColWidth="11.453125" defaultRowHeight="14" outlineLevelCol="1" x14ac:dyDescent="0.3"/>
  <cols>
    <col min="1" max="1" width="35.453125" style="113" customWidth="1"/>
    <col min="2" max="2" width="18.54296875" style="113" customWidth="1"/>
    <col min="3" max="3" width="12.453125" style="113" customWidth="1"/>
    <col min="4" max="9" width="11.453125" style="113" hidden="1" customWidth="1" outlineLevel="1"/>
    <col min="10" max="10" width="12.453125" style="113" bestFit="1" customWidth="1" collapsed="1"/>
    <col min="11" max="13" width="12.453125" style="113" bestFit="1" customWidth="1"/>
    <col min="14" max="14" width="11.54296875" style="113" bestFit="1" customWidth="1"/>
    <col min="15" max="16" width="11.453125" style="113"/>
    <col min="17" max="22" width="11.453125" style="113" hidden="1" customWidth="1" outlineLevel="1"/>
    <col min="23" max="23" width="11.453125" style="113" collapsed="1"/>
    <col min="24" max="16384" width="11.453125" style="113"/>
  </cols>
  <sheetData>
    <row r="1" spans="1:28" ht="18" x14ac:dyDescent="0.4">
      <c r="A1" s="959" t="s">
        <v>7641</v>
      </c>
      <c r="B1" s="960"/>
      <c r="C1" s="960"/>
      <c r="D1" s="960"/>
      <c r="E1" s="960"/>
      <c r="F1" s="960"/>
      <c r="G1" s="960"/>
      <c r="H1" s="960"/>
      <c r="I1" s="960"/>
      <c r="J1" s="960"/>
      <c r="K1" s="960"/>
      <c r="L1" s="960"/>
      <c r="M1" s="960"/>
      <c r="N1" s="960"/>
      <c r="O1" s="960"/>
      <c r="P1" s="960"/>
      <c r="Q1" s="960"/>
      <c r="R1" s="960"/>
      <c r="S1" s="960"/>
      <c r="T1" s="960"/>
      <c r="U1" s="960"/>
      <c r="V1" s="960"/>
      <c r="W1" s="960"/>
      <c r="X1" s="960"/>
      <c r="Y1" s="960"/>
      <c r="Z1" s="960"/>
      <c r="AA1" s="961"/>
      <c r="AB1" s="667"/>
    </row>
    <row r="2" spans="1:28" ht="9" customHeight="1" x14ac:dyDescent="0.3">
      <c r="AB2" s="667"/>
    </row>
    <row r="3" spans="1:28" ht="61.5" customHeight="1" x14ac:dyDescent="0.3">
      <c r="A3" s="962" t="s">
        <v>7702</v>
      </c>
      <c r="B3" s="963"/>
      <c r="C3" s="963"/>
      <c r="D3" s="963"/>
      <c r="E3" s="963"/>
      <c r="F3" s="963"/>
      <c r="G3" s="963"/>
      <c r="H3" s="963"/>
      <c r="I3" s="963"/>
      <c r="J3" s="963"/>
      <c r="K3" s="963"/>
      <c r="L3" s="963"/>
      <c r="M3" s="963"/>
      <c r="N3" s="963"/>
      <c r="O3" s="963"/>
      <c r="P3" s="963"/>
      <c r="Q3" s="963"/>
      <c r="R3" s="963"/>
      <c r="S3" s="963"/>
      <c r="T3" s="963"/>
      <c r="U3" s="963"/>
      <c r="V3" s="963"/>
      <c r="W3" s="963"/>
      <c r="X3" s="963"/>
      <c r="Y3" s="963"/>
      <c r="Z3" s="963"/>
      <c r="AA3" s="993"/>
    </row>
    <row r="4" spans="1:28" ht="46.4" customHeight="1" x14ac:dyDescent="0.3">
      <c r="A4" s="962" t="s">
        <v>7697</v>
      </c>
      <c r="B4" s="963"/>
      <c r="C4" s="963"/>
      <c r="D4" s="963"/>
      <c r="E4" s="963"/>
      <c r="F4" s="963"/>
      <c r="G4" s="963"/>
      <c r="H4" s="963"/>
      <c r="I4" s="963"/>
      <c r="J4" s="963"/>
      <c r="K4" s="963"/>
      <c r="L4" s="963"/>
      <c r="M4" s="963"/>
      <c r="N4" s="963"/>
      <c r="O4" s="963"/>
      <c r="P4" s="963"/>
      <c r="Q4" s="963"/>
      <c r="R4" s="963"/>
      <c r="S4" s="963"/>
      <c r="T4" s="963"/>
      <c r="U4" s="963"/>
      <c r="V4" s="963"/>
      <c r="W4" s="963"/>
      <c r="X4" s="963"/>
      <c r="Y4" s="963"/>
      <c r="Z4" s="963"/>
      <c r="AA4" s="993"/>
    </row>
    <row r="5" spans="1:28" x14ac:dyDescent="0.3">
      <c r="A5" s="667"/>
      <c r="B5" s="667"/>
      <c r="C5" s="667"/>
      <c r="D5" s="667"/>
      <c r="E5" s="667"/>
    </row>
    <row r="6" spans="1:28" x14ac:dyDescent="0.3">
      <c r="A6" s="667"/>
      <c r="B6" s="667"/>
      <c r="C6" s="667"/>
      <c r="D6" s="667"/>
      <c r="E6" s="667"/>
      <c r="P6" s="1000" t="s">
        <v>7686</v>
      </c>
      <c r="Q6" s="1001"/>
      <c r="R6" s="1001"/>
      <c r="S6" s="1001"/>
      <c r="T6" s="1001"/>
      <c r="U6" s="1001"/>
      <c r="V6" s="1001"/>
      <c r="W6" s="1001"/>
      <c r="X6" s="1001"/>
      <c r="Y6" s="1001"/>
      <c r="Z6" s="1001"/>
      <c r="AA6" s="1002"/>
    </row>
    <row r="7" spans="1:28" ht="39" x14ac:dyDescent="0.35">
      <c r="A7" s="668"/>
      <c r="B7" s="668"/>
      <c r="C7" s="1003"/>
      <c r="D7" s="1003"/>
      <c r="E7" s="1003"/>
      <c r="F7" s="1003"/>
      <c r="G7" s="1003"/>
      <c r="H7" s="1003"/>
      <c r="I7" s="1003"/>
      <c r="J7" s="1003"/>
      <c r="K7" s="1003"/>
      <c r="L7" s="1003"/>
      <c r="M7" s="1003"/>
      <c r="N7" s="1003"/>
      <c r="O7" s="668"/>
      <c r="P7" s="669" t="s">
        <v>7568</v>
      </c>
      <c r="Q7" s="669" t="s">
        <v>7569</v>
      </c>
      <c r="R7" s="669" t="s">
        <v>7570</v>
      </c>
      <c r="S7" s="669" t="s">
        <v>7571</v>
      </c>
      <c r="T7" s="669" t="s">
        <v>7572</v>
      </c>
      <c r="U7" s="669" t="s">
        <v>7573</v>
      </c>
      <c r="V7" s="669" t="s">
        <v>7574</v>
      </c>
      <c r="W7" s="669" t="s">
        <v>7575</v>
      </c>
      <c r="X7" s="669" t="s">
        <v>7576</v>
      </c>
      <c r="Y7" s="669" t="s">
        <v>7577</v>
      </c>
      <c r="Z7" s="669" t="s">
        <v>7578</v>
      </c>
      <c r="AA7" s="670" t="s">
        <v>7579</v>
      </c>
      <c r="AB7" s="668"/>
    </row>
    <row r="8" spans="1:28" ht="15" thickBot="1" x14ac:dyDescent="0.4">
      <c r="A8" s="668"/>
      <c r="B8" s="668"/>
      <c r="C8" s="1000" t="s">
        <v>7691</v>
      </c>
      <c r="D8" s="1001"/>
      <c r="E8" s="1001"/>
      <c r="F8" s="1001"/>
      <c r="G8" s="1001"/>
      <c r="H8" s="1001"/>
      <c r="I8" s="1001"/>
      <c r="J8" s="1001"/>
      <c r="K8" s="1001"/>
      <c r="L8" s="1001"/>
      <c r="M8" s="1001"/>
      <c r="N8" s="1002"/>
      <c r="O8" s="668"/>
      <c r="P8" s="671">
        <v>5.5430000000000001</v>
      </c>
      <c r="Q8" s="671">
        <v>4.4989999999999997</v>
      </c>
      <c r="R8" s="671">
        <v>4.1050000000000004</v>
      </c>
      <c r="S8" s="671">
        <v>4.5510000000000002</v>
      </c>
      <c r="T8" s="671">
        <v>4.1870000000000003</v>
      </c>
      <c r="U8" s="671">
        <v>6.8639999999999999</v>
      </c>
      <c r="V8" s="671">
        <v>7.4089999999999998</v>
      </c>
      <c r="W8" s="671">
        <v>7.681</v>
      </c>
      <c r="X8" s="672">
        <v>11.715</v>
      </c>
      <c r="Y8" s="673">
        <v>3.2690000000000001</v>
      </c>
      <c r="Z8" s="674">
        <v>8.7200000000000006</v>
      </c>
      <c r="AA8" s="672">
        <v>8.86</v>
      </c>
      <c r="AB8" s="668"/>
    </row>
    <row r="9" spans="1:28" ht="52.5" thickBot="1" x14ac:dyDescent="0.4">
      <c r="A9" s="668"/>
      <c r="B9" s="668"/>
      <c r="C9" s="675" t="s">
        <v>7581</v>
      </c>
      <c r="D9" s="676" t="s">
        <v>7582</v>
      </c>
      <c r="E9" s="676" t="s">
        <v>7583</v>
      </c>
      <c r="F9" s="676" t="s">
        <v>7584</v>
      </c>
      <c r="G9" s="676" t="s">
        <v>7585</v>
      </c>
      <c r="H9" s="676" t="s">
        <v>7586</v>
      </c>
      <c r="I9" s="676" t="s">
        <v>7587</v>
      </c>
      <c r="J9" s="676" t="s">
        <v>7588</v>
      </c>
      <c r="K9" s="676" t="s">
        <v>7589</v>
      </c>
      <c r="L9" s="676" t="s">
        <v>7590</v>
      </c>
      <c r="M9" s="676" t="s">
        <v>7591</v>
      </c>
      <c r="N9" s="677" t="s">
        <v>7592</v>
      </c>
      <c r="O9" s="677" t="s">
        <v>7649</v>
      </c>
      <c r="P9" s="675" t="s">
        <v>7593</v>
      </c>
      <c r="Q9" s="676" t="s">
        <v>7594</v>
      </c>
      <c r="R9" s="676" t="s">
        <v>7595</v>
      </c>
      <c r="S9" s="676" t="s">
        <v>7596</v>
      </c>
      <c r="T9" s="676" t="s">
        <v>7597</v>
      </c>
      <c r="U9" s="676" t="s">
        <v>7598</v>
      </c>
      <c r="V9" s="676" t="s">
        <v>7599</v>
      </c>
      <c r="W9" s="676" t="s">
        <v>7600</v>
      </c>
      <c r="X9" s="676" t="s">
        <v>7601</v>
      </c>
      <c r="Y9" s="676" t="s">
        <v>7602</v>
      </c>
      <c r="Z9" s="676" t="s">
        <v>7603</v>
      </c>
      <c r="AA9" s="677" t="s">
        <v>7604</v>
      </c>
      <c r="AB9" s="668"/>
    </row>
    <row r="10" spans="1:28" ht="14.5" x14ac:dyDescent="0.35">
      <c r="A10" s="678"/>
      <c r="B10" s="668"/>
      <c r="C10" s="668"/>
      <c r="D10" s="668"/>
      <c r="E10" s="668"/>
      <c r="F10" s="668"/>
      <c r="G10" s="668"/>
      <c r="H10" s="668"/>
      <c r="I10" s="668"/>
      <c r="J10" s="668"/>
      <c r="K10" s="668"/>
      <c r="L10" s="668"/>
      <c r="M10" s="668"/>
      <c r="N10" s="668"/>
      <c r="O10" s="668"/>
      <c r="P10" s="668"/>
      <c r="Q10" s="668"/>
      <c r="R10" s="668"/>
      <c r="S10" s="668"/>
      <c r="T10" s="668"/>
      <c r="U10" s="668"/>
      <c r="V10" s="668"/>
      <c r="W10" s="668"/>
      <c r="X10" s="668"/>
      <c r="Y10" s="668"/>
      <c r="Z10" s="668"/>
      <c r="AA10" s="668"/>
      <c r="AB10" s="668"/>
    </row>
    <row r="11" spans="1:28" ht="14.5" x14ac:dyDescent="0.35">
      <c r="A11" s="702" t="s">
        <v>7605</v>
      </c>
      <c r="B11" s="706" t="s">
        <v>6592</v>
      </c>
      <c r="C11" s="705">
        <v>3006</v>
      </c>
      <c r="D11" s="705">
        <v>7944</v>
      </c>
      <c r="E11" s="705">
        <v>12352</v>
      </c>
      <c r="F11" s="705">
        <v>28881</v>
      </c>
      <c r="G11" s="705">
        <v>30147</v>
      </c>
      <c r="H11" s="705">
        <v>37725</v>
      </c>
      <c r="I11" s="705">
        <v>29951</v>
      </c>
      <c r="J11" s="705">
        <v>26580</v>
      </c>
      <c r="K11" s="705">
        <v>16334</v>
      </c>
      <c r="L11" s="705">
        <v>9328</v>
      </c>
      <c r="M11" s="705">
        <v>3024</v>
      </c>
      <c r="N11" s="705">
        <v>2357</v>
      </c>
      <c r="O11" s="679">
        <v>8.8800000000000008</v>
      </c>
      <c r="P11" s="680">
        <f>IF($O11&gt;0,C11*($O11-P$8)/100,0)</f>
        <v>100.31022000000003</v>
      </c>
      <c r="Q11" s="680">
        <f t="shared" ref="Q11:V12" si="0">IF($O11&gt;0,D11*($O11-Q$8)/100,0)</f>
        <v>348.0266400000001</v>
      </c>
      <c r="R11" s="680">
        <f t="shared" si="0"/>
        <v>589.80799999999999</v>
      </c>
      <c r="S11" s="680">
        <f t="shared" si="0"/>
        <v>1250.2584900000002</v>
      </c>
      <c r="T11" s="680">
        <f t="shared" si="0"/>
        <v>1414.79871</v>
      </c>
      <c r="U11" s="680">
        <f t="shared" si="0"/>
        <v>760.5360000000004</v>
      </c>
      <c r="V11" s="680">
        <f t="shared" si="0"/>
        <v>440.57921000000033</v>
      </c>
      <c r="W11" s="680">
        <f t="shared" ref="W11:AA12" si="1">IF($O11&gt;0,J11*($O11-W$8)/100,0)</f>
        <v>318.69420000000019</v>
      </c>
      <c r="X11" s="680">
        <f t="shared" si="1"/>
        <v>-463.06889999999987</v>
      </c>
      <c r="Y11" s="680">
        <f t="shared" si="1"/>
        <v>523.39408000000003</v>
      </c>
      <c r="Z11" s="680">
        <f t="shared" si="1"/>
        <v>4.8384000000000045</v>
      </c>
      <c r="AA11" s="680">
        <f t="shared" si="1"/>
        <v>0.47140000000003185</v>
      </c>
      <c r="AB11" s="668"/>
    </row>
    <row r="12" spans="1:28" ht="14.5" x14ac:dyDescent="0.35">
      <c r="A12" s="702" t="s">
        <v>7605</v>
      </c>
      <c r="B12" s="706" t="s">
        <v>7606</v>
      </c>
      <c r="C12" s="743">
        <f t="shared" ref="C12:N12" si="2">C11*1.5</f>
        <v>4509</v>
      </c>
      <c r="D12" s="743">
        <f t="shared" si="2"/>
        <v>11916</v>
      </c>
      <c r="E12" s="743">
        <f t="shared" si="2"/>
        <v>18528</v>
      </c>
      <c r="F12" s="743">
        <f t="shared" si="2"/>
        <v>43321.5</v>
      </c>
      <c r="G12" s="743">
        <f t="shared" si="2"/>
        <v>45220.5</v>
      </c>
      <c r="H12" s="743">
        <f t="shared" si="2"/>
        <v>56587.5</v>
      </c>
      <c r="I12" s="743">
        <f t="shared" si="2"/>
        <v>44926.5</v>
      </c>
      <c r="J12" s="743">
        <f t="shared" si="2"/>
        <v>39870</v>
      </c>
      <c r="K12" s="743">
        <f t="shared" si="2"/>
        <v>24501</v>
      </c>
      <c r="L12" s="743">
        <f t="shared" si="2"/>
        <v>13992</v>
      </c>
      <c r="M12" s="743">
        <f t="shared" si="2"/>
        <v>4536</v>
      </c>
      <c r="N12" s="743">
        <f t="shared" si="2"/>
        <v>3535.5</v>
      </c>
      <c r="O12" s="679">
        <v>8.64</v>
      </c>
      <c r="P12" s="680">
        <f>IF($O12&gt;0,C12*($O12-P$8)/100,0)</f>
        <v>139.64373000000001</v>
      </c>
      <c r="Q12" s="680">
        <f t="shared" si="0"/>
        <v>493.44156000000009</v>
      </c>
      <c r="R12" s="680">
        <f t="shared" si="0"/>
        <v>840.24479999999994</v>
      </c>
      <c r="S12" s="680">
        <f t="shared" si="0"/>
        <v>1771.4161350000002</v>
      </c>
      <c r="T12" s="680">
        <f t="shared" si="0"/>
        <v>2013.6688650000003</v>
      </c>
      <c r="U12" s="680">
        <f t="shared" si="0"/>
        <v>1004.9940000000004</v>
      </c>
      <c r="V12" s="680">
        <f t="shared" si="0"/>
        <v>553.04521500000033</v>
      </c>
      <c r="W12" s="680">
        <f t="shared" si="1"/>
        <v>382.35330000000022</v>
      </c>
      <c r="X12" s="680">
        <f t="shared" si="1"/>
        <v>-753.40574999999978</v>
      </c>
      <c r="Y12" s="680">
        <f t="shared" si="1"/>
        <v>751.51032000000009</v>
      </c>
      <c r="Z12" s="680">
        <f t="shared" si="1"/>
        <v>-3.6288000000000036</v>
      </c>
      <c r="AA12" s="680">
        <f t="shared" si="1"/>
        <v>-7.7780999999999594</v>
      </c>
      <c r="AB12" s="668"/>
    </row>
    <row r="13" spans="1:28" ht="14.5" hidden="1" x14ac:dyDescent="0.35">
      <c r="A13" s="752" t="s">
        <v>7605</v>
      </c>
      <c r="B13" s="753" t="s">
        <v>6111</v>
      </c>
      <c r="C13" s="754"/>
      <c r="D13" s="754"/>
      <c r="E13" s="754"/>
      <c r="F13" s="754"/>
      <c r="G13" s="754"/>
      <c r="H13" s="754"/>
      <c r="I13" s="754"/>
      <c r="J13" s="754"/>
      <c r="K13" s="754"/>
      <c r="L13" s="754"/>
      <c r="M13" s="754"/>
      <c r="N13" s="754">
        <v>200000</v>
      </c>
      <c r="O13" s="755"/>
      <c r="P13" s="756"/>
      <c r="Q13" s="756"/>
      <c r="R13" s="756"/>
      <c r="S13" s="756"/>
      <c r="T13" s="756"/>
      <c r="U13" s="756"/>
      <c r="V13" s="756"/>
      <c r="W13" s="756"/>
      <c r="X13" s="756"/>
      <c r="Y13" s="756"/>
      <c r="Z13" s="756"/>
      <c r="AA13" s="756">
        <f>IF($O13&gt;0,N13*($O13-AA$8)/100,0)</f>
        <v>0</v>
      </c>
      <c r="AB13" s="668"/>
    </row>
    <row r="14" spans="1:28" ht="7.4" customHeight="1" x14ac:dyDescent="0.35">
      <c r="A14" s="712"/>
      <c r="B14" s="714"/>
      <c r="C14" s="716"/>
      <c r="D14" s="713"/>
      <c r="E14" s="705"/>
      <c r="F14" s="705"/>
      <c r="G14" s="705"/>
      <c r="H14" s="705"/>
      <c r="I14" s="715"/>
      <c r="J14" s="716"/>
      <c r="K14" s="716"/>
      <c r="L14" s="716"/>
      <c r="M14" s="716"/>
      <c r="N14" s="716"/>
      <c r="O14" s="716"/>
      <c r="P14" s="716"/>
      <c r="Q14" s="716"/>
      <c r="R14" s="716"/>
      <c r="S14" s="716"/>
      <c r="T14" s="716"/>
      <c r="U14" s="716"/>
      <c r="V14" s="716"/>
      <c r="W14" s="716"/>
      <c r="X14" s="716"/>
      <c r="Y14" s="716"/>
      <c r="Z14" s="716"/>
      <c r="AA14" s="716"/>
      <c r="AB14" s="668"/>
    </row>
    <row r="15" spans="1:28" ht="16.399999999999999" customHeight="1" x14ac:dyDescent="0.35">
      <c r="A15" s="712" t="s">
        <v>7675</v>
      </c>
      <c r="B15" s="714"/>
      <c r="C15" s="716"/>
      <c r="D15" s="713"/>
      <c r="E15" s="705"/>
      <c r="F15" s="705"/>
      <c r="G15" s="705"/>
      <c r="H15" s="705"/>
      <c r="I15" s="715"/>
      <c r="J15" s="716"/>
      <c r="K15" s="716"/>
      <c r="L15" s="716"/>
      <c r="M15" s="716"/>
      <c r="N15" s="716"/>
      <c r="O15" s="717"/>
      <c r="P15" s="680">
        <f>SUM(P11:P13)</f>
        <v>239.95395000000002</v>
      </c>
      <c r="Q15" s="680">
        <f t="shared" ref="Q15:V15" si="3">SUM(Q11:Q13)</f>
        <v>841.46820000000025</v>
      </c>
      <c r="R15" s="680">
        <f t="shared" si="3"/>
        <v>1430.0527999999999</v>
      </c>
      <c r="S15" s="680">
        <f t="shared" si="3"/>
        <v>3021.6746250000006</v>
      </c>
      <c r="T15" s="680">
        <f t="shared" si="3"/>
        <v>3428.4675750000006</v>
      </c>
      <c r="U15" s="680">
        <f t="shared" si="3"/>
        <v>1765.5300000000007</v>
      </c>
      <c r="V15" s="680">
        <f t="shared" si="3"/>
        <v>993.62442500000066</v>
      </c>
      <c r="W15" s="680">
        <f>SUM(W11:W13)</f>
        <v>701.04750000000035</v>
      </c>
      <c r="X15" s="680">
        <f>SUM(X11:X13)</f>
        <v>-1216.4746499999997</v>
      </c>
      <c r="Y15" s="680">
        <f>SUM(Y11:Y13)</f>
        <v>1274.9044000000001</v>
      </c>
      <c r="Z15" s="680">
        <f>SUM(Z11:Z13)</f>
        <v>1.2096000000000009</v>
      </c>
      <c r="AA15" s="680">
        <f>SUM(AA11:AA13)</f>
        <v>-7.3066999999999274</v>
      </c>
      <c r="AB15" s="668"/>
    </row>
    <row r="16" spans="1:28" ht="7.5" customHeight="1" x14ac:dyDescent="0.35">
      <c r="A16" s="712"/>
      <c r="B16" s="714"/>
      <c r="C16" s="716"/>
      <c r="D16" s="713"/>
      <c r="E16" s="705"/>
      <c r="F16" s="705"/>
      <c r="G16" s="705"/>
      <c r="H16" s="705"/>
      <c r="I16" s="715"/>
      <c r="J16" s="716"/>
      <c r="K16" s="716"/>
      <c r="L16" s="716"/>
      <c r="M16" s="716"/>
      <c r="N16" s="716"/>
      <c r="O16" s="716"/>
      <c r="P16" s="716"/>
      <c r="Q16" s="716"/>
      <c r="R16" s="716"/>
      <c r="S16" s="716"/>
      <c r="T16" s="716"/>
      <c r="U16" s="716"/>
      <c r="V16" s="716"/>
      <c r="W16" s="716"/>
      <c r="X16" s="716"/>
      <c r="Y16" s="716"/>
      <c r="Z16" s="716"/>
      <c r="AA16" s="716"/>
      <c r="AB16" s="668"/>
    </row>
    <row r="17" spans="1:28" ht="16.399999999999999" customHeight="1" x14ac:dyDescent="0.35">
      <c r="A17" s="702" t="s">
        <v>7605</v>
      </c>
      <c r="B17" s="707" t="s">
        <v>7567</v>
      </c>
      <c r="C17" s="705"/>
      <c r="D17" s="705"/>
      <c r="E17" s="705"/>
      <c r="F17" s="705"/>
      <c r="G17" s="705"/>
      <c r="H17" s="705"/>
      <c r="I17" s="705"/>
      <c r="J17" s="705"/>
      <c r="K17" s="705"/>
      <c r="L17" s="705"/>
      <c r="M17" s="705"/>
      <c r="N17" s="705"/>
      <c r="O17" s="681"/>
      <c r="P17" s="680">
        <f t="shared" ref="P17:Z17" si="4">IF(SUM(P11:P12)&gt;=0,0,-SUM(P11:P12))</f>
        <v>0</v>
      </c>
      <c r="Q17" s="680">
        <f t="shared" si="4"/>
        <v>0</v>
      </c>
      <c r="R17" s="680">
        <f t="shared" si="4"/>
        <v>0</v>
      </c>
      <c r="S17" s="680">
        <f t="shared" si="4"/>
        <v>0</v>
      </c>
      <c r="T17" s="680">
        <f t="shared" si="4"/>
        <v>0</v>
      </c>
      <c r="U17" s="680">
        <f t="shared" si="4"/>
        <v>0</v>
      </c>
      <c r="V17" s="680">
        <f t="shared" si="4"/>
        <v>0</v>
      </c>
      <c r="W17" s="680">
        <f t="shared" si="4"/>
        <v>0</v>
      </c>
      <c r="X17" s="680">
        <f t="shared" si="4"/>
        <v>1216.4746499999997</v>
      </c>
      <c r="Y17" s="680">
        <f t="shared" si="4"/>
        <v>0</v>
      </c>
      <c r="Z17" s="680">
        <f t="shared" si="4"/>
        <v>0</v>
      </c>
      <c r="AA17" s="680">
        <f>IF(SUM(AA11:AA12)&gt;=0,0,-SUM(AA11:AA12))</f>
        <v>7.3066999999999274</v>
      </c>
      <c r="AB17" s="668"/>
    </row>
    <row r="18" spans="1:28" ht="7.4" customHeight="1" x14ac:dyDescent="0.3">
      <c r="B18" s="667"/>
      <c r="C18" s="667"/>
      <c r="D18" s="667"/>
      <c r="E18" s="667"/>
    </row>
    <row r="19" spans="1:28" ht="14.5" x14ac:dyDescent="0.35">
      <c r="A19" s="711" t="s">
        <v>7676</v>
      </c>
      <c r="B19" s="714"/>
      <c r="C19" s="716"/>
      <c r="D19" s="713"/>
      <c r="E19" s="705"/>
      <c r="F19" s="705"/>
      <c r="G19" s="705"/>
      <c r="H19" s="705"/>
      <c r="I19" s="715"/>
      <c r="J19" s="716"/>
      <c r="K19" s="716"/>
      <c r="L19" s="716"/>
      <c r="M19" s="716"/>
      <c r="N19" s="716"/>
      <c r="O19" s="717"/>
      <c r="P19" s="680">
        <f>SUM(P15:P18)</f>
        <v>239.95395000000002</v>
      </c>
      <c r="Q19" s="680">
        <f t="shared" ref="Q19:V19" si="5">SUM(Q11:Q18)</f>
        <v>1682.9364000000005</v>
      </c>
      <c r="R19" s="680">
        <f t="shared" si="5"/>
        <v>2860.1055999999999</v>
      </c>
      <c r="S19" s="680">
        <f t="shared" si="5"/>
        <v>6043.3492500000011</v>
      </c>
      <c r="T19" s="680">
        <f t="shared" si="5"/>
        <v>6856.9351500000012</v>
      </c>
      <c r="U19" s="680">
        <f t="shared" si="5"/>
        <v>3531.0600000000013</v>
      </c>
      <c r="V19" s="680">
        <f t="shared" si="5"/>
        <v>1987.2488500000013</v>
      </c>
      <c r="W19" s="680">
        <f>SUM(W15:W18)</f>
        <v>701.04750000000035</v>
      </c>
      <c r="X19" s="684">
        <f>SUM(X15:X18)</f>
        <v>0</v>
      </c>
      <c r="Y19" s="680">
        <f>SUM(Y15:Y18)</f>
        <v>1274.9044000000001</v>
      </c>
      <c r="Z19" s="680">
        <f>SUM(Z15:Z18)</f>
        <v>1.2096000000000009</v>
      </c>
      <c r="AA19" s="684">
        <f>SUM(AA15:AA18)</f>
        <v>0</v>
      </c>
    </row>
    <row r="20" spans="1:28" x14ac:dyDescent="0.3">
      <c r="B20" s="667"/>
      <c r="C20" s="667"/>
      <c r="D20" s="667"/>
      <c r="E20" s="667"/>
    </row>
    <row r="21" spans="1:28" ht="14.5" x14ac:dyDescent="0.35">
      <c r="A21" s="682"/>
      <c r="B21" s="667"/>
      <c r="C21" s="667"/>
      <c r="D21" s="667"/>
      <c r="E21" s="667"/>
    </row>
    <row r="22" spans="1:28" x14ac:dyDescent="0.3">
      <c r="A22" s="683"/>
      <c r="B22" s="667"/>
      <c r="C22" s="667"/>
      <c r="D22" s="667"/>
      <c r="E22" s="667"/>
    </row>
    <row r="23" spans="1:28" x14ac:dyDescent="0.3">
      <c r="A23" s="667"/>
      <c r="B23" s="667"/>
      <c r="C23" s="667"/>
      <c r="D23" s="667"/>
      <c r="E23" s="667"/>
    </row>
    <row r="24" spans="1:28" x14ac:dyDescent="0.3">
      <c r="A24" s="667"/>
      <c r="B24" s="667"/>
      <c r="C24" s="667"/>
      <c r="D24" s="667"/>
      <c r="E24" s="667"/>
    </row>
    <row r="25" spans="1:28" x14ac:dyDescent="0.3">
      <c r="A25" s="667"/>
      <c r="B25" s="667"/>
      <c r="C25" s="667"/>
      <c r="D25" s="667"/>
      <c r="E25" s="667"/>
    </row>
    <row r="26" spans="1:28" x14ac:dyDescent="0.3">
      <c r="A26" s="667"/>
      <c r="B26" s="667"/>
      <c r="C26" s="667"/>
      <c r="D26" s="667"/>
      <c r="E26" s="667"/>
    </row>
    <row r="27" spans="1:28" x14ac:dyDescent="0.3">
      <c r="A27" s="683"/>
      <c r="B27" s="667"/>
      <c r="C27" s="667"/>
      <c r="D27" s="667"/>
      <c r="E27" s="667"/>
    </row>
    <row r="28" spans="1:28" x14ac:dyDescent="0.3">
      <c r="A28" s="683"/>
      <c r="B28" s="667"/>
      <c r="C28" s="667"/>
      <c r="D28" s="667"/>
      <c r="E28" s="667"/>
    </row>
    <row r="29" spans="1:28" x14ac:dyDescent="0.3">
      <c r="A29" s="683"/>
      <c r="B29" s="667"/>
      <c r="C29" s="667"/>
      <c r="D29" s="667"/>
      <c r="E29" s="667"/>
    </row>
    <row r="30" spans="1:28" x14ac:dyDescent="0.3">
      <c r="A30" s="683"/>
      <c r="B30" s="667"/>
      <c r="C30" s="667"/>
      <c r="D30" s="667"/>
      <c r="E30" s="667"/>
    </row>
    <row r="31" spans="1:28" x14ac:dyDescent="0.3">
      <c r="A31" s="667"/>
      <c r="B31" s="667"/>
      <c r="C31" s="667"/>
      <c r="D31" s="667"/>
      <c r="E31" s="667"/>
    </row>
    <row r="32" spans="1:28" x14ac:dyDescent="0.3">
      <c r="A32" s="667"/>
      <c r="B32" s="667"/>
      <c r="C32" s="667"/>
      <c r="D32" s="667"/>
      <c r="E32" s="667"/>
    </row>
    <row r="33" spans="1:10" x14ac:dyDescent="0.3">
      <c r="A33" s="667"/>
      <c r="B33" s="667"/>
      <c r="C33" s="667"/>
      <c r="D33" s="667"/>
      <c r="E33" s="667"/>
    </row>
    <row r="34" spans="1:10" x14ac:dyDescent="0.3">
      <c r="A34" s="686"/>
      <c r="B34" s="667"/>
      <c r="C34" s="667"/>
      <c r="D34" s="667"/>
      <c r="E34" s="667"/>
    </row>
    <row r="35" spans="1:10" x14ac:dyDescent="0.3">
      <c r="A35" s="667"/>
      <c r="B35" s="667"/>
      <c r="C35" s="667"/>
      <c r="D35" s="667"/>
      <c r="E35" s="667"/>
    </row>
    <row r="36" spans="1:10" x14ac:dyDescent="0.3">
      <c r="A36" s="667"/>
      <c r="B36" s="667"/>
      <c r="C36" s="667"/>
      <c r="D36" s="667"/>
      <c r="E36" s="667"/>
    </row>
    <row r="37" spans="1:10" ht="9" customHeight="1" x14ac:dyDescent="0.3">
      <c r="A37" s="667"/>
      <c r="B37" s="667"/>
      <c r="C37" s="667"/>
      <c r="D37" s="667"/>
      <c r="E37" s="667"/>
    </row>
    <row r="38" spans="1:10" ht="43.5" customHeight="1" x14ac:dyDescent="0.3">
      <c r="A38" s="687"/>
      <c r="B38" s="708"/>
      <c r="C38" s="687"/>
      <c r="D38" s="667"/>
      <c r="E38" s="667"/>
    </row>
    <row r="39" spans="1:10" ht="15" customHeight="1" x14ac:dyDescent="0.3">
      <c r="A39" s="667"/>
      <c r="B39" s="709"/>
      <c r="C39" s="667"/>
      <c r="D39" s="667"/>
      <c r="E39" s="667"/>
    </row>
    <row r="40" spans="1:10" ht="6" customHeight="1" x14ac:dyDescent="0.3">
      <c r="A40" s="667"/>
      <c r="B40" s="667"/>
      <c r="C40" s="688"/>
      <c r="D40" s="688"/>
      <c r="E40" s="688"/>
      <c r="F40" s="136"/>
      <c r="G40" s="136"/>
      <c r="H40" s="136"/>
      <c r="I40" s="136"/>
    </row>
    <row r="41" spans="1:10" x14ac:dyDescent="0.3">
      <c r="A41" s="689"/>
      <c r="B41" s="710"/>
      <c r="C41" s="690"/>
      <c r="D41" s="667"/>
      <c r="E41" s="667"/>
      <c r="J41" s="139"/>
    </row>
    <row r="42" spans="1:10" ht="15" customHeight="1" x14ac:dyDescent="0.3">
      <c r="A42" s="689"/>
      <c r="B42" s="710"/>
      <c r="C42" s="690"/>
      <c r="D42" s="667"/>
      <c r="E42" s="667"/>
      <c r="J42" s="139"/>
    </row>
    <row r="43" spans="1:10" ht="15" customHeight="1" x14ac:dyDescent="0.3">
      <c r="A43" s="689"/>
      <c r="B43" s="710"/>
      <c r="C43" s="690"/>
      <c r="D43" s="667"/>
      <c r="E43" s="667"/>
      <c r="J43" s="139"/>
    </row>
    <row r="44" spans="1:10" ht="15" customHeight="1" x14ac:dyDescent="0.3">
      <c r="A44" s="689"/>
      <c r="B44" s="710"/>
      <c r="C44" s="690"/>
      <c r="D44" s="667"/>
      <c r="E44" s="667"/>
      <c r="J44" s="139"/>
    </row>
    <row r="45" spans="1:10" x14ac:dyDescent="0.3">
      <c r="A45" s="689"/>
      <c r="B45" s="710"/>
      <c r="C45" s="690"/>
      <c r="D45" s="667"/>
      <c r="E45" s="667"/>
      <c r="J45" s="139"/>
    </row>
    <row r="46" spans="1:10" ht="15" customHeight="1" x14ac:dyDescent="0.3">
      <c r="A46" s="689"/>
      <c r="B46" s="710"/>
      <c r="C46" s="690"/>
      <c r="D46" s="667"/>
      <c r="E46" s="667"/>
      <c r="J46" s="139"/>
    </row>
    <row r="47" spans="1:10" ht="15" customHeight="1" x14ac:dyDescent="0.3">
      <c r="A47" s="689"/>
      <c r="B47" s="710"/>
      <c r="C47" s="690"/>
      <c r="D47" s="667"/>
      <c r="E47" s="667"/>
      <c r="J47" s="139"/>
    </row>
    <row r="48" spans="1:10" ht="15" customHeight="1" x14ac:dyDescent="0.3">
      <c r="A48" s="689"/>
      <c r="B48" s="710"/>
      <c r="C48" s="690"/>
      <c r="D48" s="667"/>
      <c r="E48" s="667"/>
      <c r="J48" s="139"/>
    </row>
    <row r="49" spans="1:10" x14ac:dyDescent="0.3">
      <c r="A49" s="689"/>
      <c r="B49" s="710"/>
      <c r="C49" s="690"/>
      <c r="D49" s="667"/>
      <c r="E49" s="667"/>
      <c r="J49" s="139"/>
    </row>
    <row r="50" spans="1:10" ht="15" customHeight="1" x14ac:dyDescent="0.3">
      <c r="A50" s="689"/>
      <c r="B50" s="710"/>
      <c r="C50" s="690"/>
      <c r="D50" s="667"/>
      <c r="E50" s="667"/>
      <c r="J50" s="139"/>
    </row>
    <row r="51" spans="1:10" ht="15" customHeight="1" x14ac:dyDescent="0.3">
      <c r="A51" s="689"/>
      <c r="B51" s="710"/>
      <c r="C51" s="690"/>
      <c r="D51" s="667"/>
      <c r="E51" s="667"/>
      <c r="J51" s="139"/>
    </row>
    <row r="52" spans="1:10" ht="15" customHeight="1" x14ac:dyDescent="0.3">
      <c r="A52" s="689"/>
      <c r="B52" s="710"/>
      <c r="C52" s="690"/>
      <c r="D52" s="667"/>
      <c r="E52" s="667"/>
      <c r="J52" s="139"/>
    </row>
    <row r="53" spans="1:10" ht="6.75" customHeight="1" x14ac:dyDescent="0.3">
      <c r="A53" s="667"/>
      <c r="B53" s="667"/>
      <c r="C53" s="691"/>
      <c r="D53" s="691"/>
      <c r="E53" s="691"/>
      <c r="F53" s="137"/>
      <c r="G53" s="137"/>
      <c r="H53" s="137"/>
      <c r="I53" s="137"/>
    </row>
    <row r="54" spans="1:10" x14ac:dyDescent="0.3">
      <c r="A54" s="692"/>
      <c r="B54" s="667"/>
      <c r="C54" s="690"/>
      <c r="D54" s="667"/>
      <c r="E54" s="667"/>
    </row>
    <row r="55" spans="1:10" x14ac:dyDescent="0.3">
      <c r="A55" s="692"/>
      <c r="B55" s="667"/>
      <c r="C55" s="690"/>
      <c r="D55" s="667"/>
      <c r="E55" s="667"/>
    </row>
    <row r="56" spans="1:10" x14ac:dyDescent="0.3">
      <c r="A56" s="667"/>
      <c r="B56" s="667"/>
      <c r="C56" s="667"/>
      <c r="D56" s="667"/>
      <c r="E56" s="667"/>
    </row>
    <row r="57" spans="1:10" x14ac:dyDescent="0.3">
      <c r="A57" s="667"/>
      <c r="B57" s="667"/>
      <c r="C57" s="667"/>
      <c r="D57" s="667"/>
      <c r="E57" s="667"/>
    </row>
    <row r="58" spans="1:10" x14ac:dyDescent="0.3">
      <c r="A58" s="667"/>
      <c r="B58" s="667"/>
      <c r="C58" s="667"/>
      <c r="D58" s="667"/>
      <c r="E58" s="667"/>
    </row>
    <row r="59" spans="1:10" x14ac:dyDescent="0.3">
      <c r="A59" s="667"/>
      <c r="B59" s="667"/>
      <c r="C59" s="667"/>
      <c r="D59" s="667"/>
      <c r="E59" s="667"/>
    </row>
    <row r="60" spans="1:10" x14ac:dyDescent="0.3">
      <c r="A60" s="667"/>
      <c r="B60" s="667"/>
      <c r="C60" s="667"/>
      <c r="D60" s="667"/>
      <c r="E60" s="667"/>
    </row>
    <row r="61" spans="1:10" x14ac:dyDescent="0.3">
      <c r="A61" s="686"/>
      <c r="B61" s="667"/>
      <c r="C61" s="667"/>
      <c r="D61" s="667"/>
      <c r="E61" s="667"/>
    </row>
    <row r="62" spans="1:10" x14ac:dyDescent="0.3">
      <c r="A62" s="667"/>
      <c r="B62" s="667"/>
      <c r="C62" s="667"/>
      <c r="D62" s="667"/>
      <c r="E62" s="667"/>
    </row>
    <row r="63" spans="1:10" x14ac:dyDescent="0.3">
      <c r="A63" s="667"/>
      <c r="B63" s="667"/>
      <c r="C63" s="667"/>
      <c r="D63" s="667"/>
      <c r="E63" s="667"/>
    </row>
    <row r="64" spans="1:10" x14ac:dyDescent="0.3">
      <c r="A64" s="667"/>
      <c r="B64" s="667"/>
      <c r="C64" s="667"/>
      <c r="D64" s="667"/>
      <c r="E64" s="667"/>
    </row>
    <row r="65" spans="1:5" x14ac:dyDescent="0.3">
      <c r="A65" s="689"/>
      <c r="B65" s="667"/>
      <c r="C65" s="667"/>
      <c r="D65" s="667"/>
      <c r="E65" s="667"/>
    </row>
    <row r="66" spans="1:5" x14ac:dyDescent="0.3">
      <c r="A66" s="689"/>
      <c r="B66" s="667"/>
      <c r="C66" s="667"/>
      <c r="D66" s="667"/>
      <c r="E66" s="667"/>
    </row>
    <row r="67" spans="1:5" x14ac:dyDescent="0.3">
      <c r="A67" s="667"/>
      <c r="B67" s="667"/>
      <c r="C67" s="667"/>
      <c r="D67" s="667"/>
      <c r="E67" s="667"/>
    </row>
    <row r="68" spans="1:5" x14ac:dyDescent="0.3">
      <c r="A68" s="667"/>
      <c r="B68" s="667"/>
      <c r="C68" s="667"/>
      <c r="D68" s="667"/>
      <c r="E68" s="667"/>
    </row>
    <row r="69" spans="1:5" x14ac:dyDescent="0.3">
      <c r="A69" s="667"/>
      <c r="B69" s="667"/>
      <c r="C69" s="667"/>
      <c r="D69" s="667"/>
      <c r="E69" s="667"/>
    </row>
    <row r="70" spans="1:5" x14ac:dyDescent="0.3">
      <c r="A70" s="667"/>
      <c r="B70" s="667"/>
      <c r="C70" s="667"/>
      <c r="D70" s="667"/>
      <c r="E70" s="667"/>
    </row>
    <row r="71" spans="1:5" x14ac:dyDescent="0.3">
      <c r="A71" s="667"/>
      <c r="B71" s="667"/>
      <c r="C71" s="667"/>
      <c r="D71" s="667"/>
      <c r="E71" s="667"/>
    </row>
    <row r="72" spans="1:5" x14ac:dyDescent="0.3">
      <c r="A72" s="667"/>
      <c r="B72" s="667"/>
      <c r="C72" s="667"/>
      <c r="D72" s="667"/>
      <c r="E72" s="667"/>
    </row>
    <row r="75" spans="1:5" ht="14.5" x14ac:dyDescent="0.35">
      <c r="A75" s="132"/>
    </row>
  </sheetData>
  <mergeCells count="6">
    <mergeCell ref="A1:AA1"/>
    <mergeCell ref="C8:N8"/>
    <mergeCell ref="A3:AA3"/>
    <mergeCell ref="A4:AA4"/>
    <mergeCell ref="C7:N7"/>
    <mergeCell ref="P6:AA6"/>
  </mergeCells>
  <conditionalFormatting sqref="P11:AA12">
    <cfRule type="cellIs" dxfId="6" priority="1" stopIfTrue="1" operator="lessThan">
      <formula>0</formula>
    </cfRule>
  </conditionalFormatting>
  <conditionalFormatting sqref="X15">
    <cfRule type="cellIs" dxfId="5" priority="3" stopIfTrue="1" operator="lessThan">
      <formula>0</formula>
    </cfRule>
  </conditionalFormatting>
  <conditionalFormatting sqref="AA13">
    <cfRule type="cellIs" dxfId="4" priority="5" stopIfTrue="1" operator="lessThan">
      <formula>0</formula>
    </cfRule>
  </conditionalFormatting>
  <conditionalFormatting sqref="AA15">
    <cfRule type="cellIs" dxfId="3" priority="2" stopIfTrue="1" operator="lessThan">
      <formula>0</formula>
    </cfRule>
  </conditionalFormatting>
  <dataValidations count="1">
    <dataValidation type="list" allowBlank="1" showDropDown="1" showInputMessage="1" showErrorMessage="1" errorTitle="Ungültige Kategorie" error="Diese Kategorie ist für das aktuelle Jahr nicht zugelassen." sqref="B19 B11:B17" xr:uid="{00000000-0002-0000-0800-000000000000}">
      <formula1>VGLISTE</formula1>
    </dataValidation>
  </dataValidations>
  <pageMargins left="0.78740157480314965" right="0.78740157480314965" top="0.78740157480314965" bottom="0.78740157480314965" header="0.51181102362204722" footer="0.51181102362204722"/>
  <pageSetup paperSize="9" orientation="landscape" r:id="rId1"/>
  <headerFooter alignWithMargins="0"/>
  <drawing r:id="rId2"/>
  <legacyDrawing r:id="rId3"/>
  <oleObjects>
    <mc:AlternateContent xmlns:mc="http://schemas.openxmlformats.org/markup-compatibility/2006">
      <mc:Choice Requires="x14">
        <oleObject progId="Equation.3" shapeId="30721" r:id="rId4">
          <objectPr defaultSize="0" autoPict="0" r:id="rId5">
            <anchor moveWithCells="1" sizeWithCells="1">
              <from>
                <xdr:col>0</xdr:col>
                <xdr:colOff>57150</xdr:colOff>
                <xdr:row>13</xdr:row>
                <xdr:rowOff>0</xdr:rowOff>
              </from>
              <to>
                <xdr:col>2</xdr:col>
                <xdr:colOff>0</xdr:colOff>
                <xdr:row>13</xdr:row>
                <xdr:rowOff>0</xdr:rowOff>
              </to>
            </anchor>
          </objectPr>
        </oleObject>
      </mc:Choice>
      <mc:Fallback>
        <oleObject progId="Equation.3" shapeId="30721" r:id="rId4"/>
      </mc:Fallback>
    </mc:AlternateContent>
    <mc:AlternateContent xmlns:mc="http://schemas.openxmlformats.org/markup-compatibility/2006">
      <mc:Choice Requires="x14">
        <oleObject progId="Equation.3" shapeId="30722" r:id="rId6">
          <objectPr defaultSize="0" autoPict="0" r:id="rId7">
            <anchor moveWithCells="1" sizeWithCells="1">
              <from>
                <xdr:col>0</xdr:col>
                <xdr:colOff>0</xdr:colOff>
                <xdr:row>60</xdr:row>
                <xdr:rowOff>0</xdr:rowOff>
              </from>
              <to>
                <xdr:col>2</xdr:col>
                <xdr:colOff>0</xdr:colOff>
                <xdr:row>60</xdr:row>
                <xdr:rowOff>0</xdr:rowOff>
              </to>
            </anchor>
          </objectPr>
        </oleObject>
      </mc:Choice>
      <mc:Fallback>
        <oleObject progId="Equation.3" shapeId="30722" r:id="rId6"/>
      </mc:Fallback>
    </mc:AlternateContent>
    <mc:AlternateContent xmlns:mc="http://schemas.openxmlformats.org/markup-compatibility/2006">
      <mc:Choice Requires="x14">
        <oleObject progId="Equation.3" shapeId="30723" r:id="rId8">
          <objectPr defaultSize="0" autoPict="0" r:id="rId9">
            <anchor moveWithCells="1" sizeWithCells="1">
              <from>
                <xdr:col>0</xdr:col>
                <xdr:colOff>361950</xdr:colOff>
                <xdr:row>60</xdr:row>
                <xdr:rowOff>0</xdr:rowOff>
              </from>
              <to>
                <xdr:col>2</xdr:col>
                <xdr:colOff>0</xdr:colOff>
                <xdr:row>60</xdr:row>
                <xdr:rowOff>0</xdr:rowOff>
              </to>
            </anchor>
          </objectPr>
        </oleObject>
      </mc:Choice>
      <mc:Fallback>
        <oleObject progId="Equation.3" shapeId="30723" r:id="rId8"/>
      </mc:Fallback>
    </mc:AlternateContent>
    <mc:AlternateContent xmlns:mc="http://schemas.openxmlformats.org/markup-compatibility/2006">
      <mc:Choice Requires="x14">
        <oleObject progId="Equation.3" shapeId="30724" r:id="rId10">
          <objectPr defaultSize="0" autoPict="0" r:id="rId11">
            <anchor moveWithCells="1" sizeWithCells="1">
              <from>
                <xdr:col>0</xdr:col>
                <xdr:colOff>323850</xdr:colOff>
                <xdr:row>60</xdr:row>
                <xdr:rowOff>0</xdr:rowOff>
              </from>
              <to>
                <xdr:col>2</xdr:col>
                <xdr:colOff>0</xdr:colOff>
                <xdr:row>60</xdr:row>
                <xdr:rowOff>0</xdr:rowOff>
              </to>
            </anchor>
          </objectPr>
        </oleObject>
      </mc:Choice>
      <mc:Fallback>
        <oleObject progId="Equation.3" shapeId="30724" r:id="rId10"/>
      </mc:Fallback>
    </mc:AlternateContent>
    <mc:AlternateContent xmlns:mc="http://schemas.openxmlformats.org/markup-compatibility/2006">
      <mc:Choice Requires="x14">
        <oleObject progId="Equation.3" shapeId="30725" r:id="rId12">
          <objectPr defaultSize="0" autoPict="0" r:id="rId13">
            <anchor moveWithCells="1" sizeWithCells="1">
              <from>
                <xdr:col>0</xdr:col>
                <xdr:colOff>12700</xdr:colOff>
                <xdr:row>60</xdr:row>
                <xdr:rowOff>0</xdr:rowOff>
              </from>
              <to>
                <xdr:col>2</xdr:col>
                <xdr:colOff>0</xdr:colOff>
                <xdr:row>60</xdr:row>
                <xdr:rowOff>0</xdr:rowOff>
              </to>
            </anchor>
          </objectPr>
        </oleObject>
      </mc:Choice>
      <mc:Fallback>
        <oleObject progId="Equation.3" shapeId="30725" r:id="rId12"/>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p:properties xmlns:p="http://schemas.microsoft.com/office/2006/metadata/properties" xmlns:xsi="http://www.w3.org/2001/XMLSchema-instance" xmlns:pc="http://schemas.microsoft.com/office/infopath/2007/PartnerControls">
  <documentManagement>
    <Schlagw_x00f6_rter xmlns="A958F2EA-269F-4275-9920-ED9D9E3C030A">EEG-Vergütungskategorien 2022</Schlagw_x00f6_rter>
    <IconOverlay xmlns="http://schemas.microsoft.com/sharepoint/v4"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kument" ma:contentTypeID="0x01010005FE926BB6EC3B45802E5B07D68A203C" ma:contentTypeVersion="1" ma:contentTypeDescription="Ein neues Dokument erstellen." ma:contentTypeScope="" ma:versionID="9412473f6ec19f4d8aad534d456ea370">
  <xsd:schema xmlns:xsd="http://www.w3.org/2001/XMLSchema" xmlns:xs="http://www.w3.org/2001/XMLSchema" xmlns:p="http://schemas.microsoft.com/office/2006/metadata/properties" xmlns:ns2="A958F2EA-269F-4275-9920-ED9D9E3C030A" xmlns:ns3="http://schemas.microsoft.com/sharepoint/v4" targetNamespace="http://schemas.microsoft.com/office/2006/metadata/properties" ma:root="true" ma:fieldsID="56210bf031d9dd2be40d273680e1210d" ns2:_="" ns3:_="">
    <xsd:import namespace="A958F2EA-269F-4275-9920-ED9D9E3C030A"/>
    <xsd:import namespace="http://schemas.microsoft.com/sharepoint/v4"/>
    <xsd:element name="properties">
      <xsd:complexType>
        <xsd:sequence>
          <xsd:element name="documentManagement">
            <xsd:complexType>
              <xsd:all>
                <xsd:element ref="ns2:Schlagw_x00f6_rter"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58F2EA-269F-4275-9920-ED9D9E3C030A" elementFormDefault="qualified">
    <xsd:import namespace="http://schemas.microsoft.com/office/2006/documentManagement/types"/>
    <xsd:import namespace="http://schemas.microsoft.com/office/infopath/2007/PartnerControls"/>
    <xsd:element name="Schlagw_x00f6_rter" ma:index="8" nillable="true" ma:displayName="Schlagwörter" ma:internalName="Schlagw_x00f6_rter"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906183-6EC7-474E-B2E7-3101D045B1FC}">
  <ds:schemaRefs>
    <ds:schemaRef ds:uri="http://schemas.microsoft.com/office/2006/metadata/longProperties"/>
  </ds:schemaRefs>
</ds:datastoreItem>
</file>

<file path=customXml/itemProps2.xml><?xml version="1.0" encoding="utf-8"?>
<ds:datastoreItem xmlns:ds="http://schemas.openxmlformats.org/officeDocument/2006/customXml" ds:itemID="{3C7D4D6C-83C2-48F2-916E-C332C8816D4F}">
  <ds:schemaRefs>
    <ds:schemaRef ds:uri="http://schemas.microsoft.com/office/2006/documentManagement/types"/>
    <ds:schemaRef ds:uri="http://schemas.microsoft.com/office/infopath/2007/PartnerControls"/>
    <ds:schemaRef ds:uri="http://purl.org/dc/elements/1.1/"/>
    <ds:schemaRef ds:uri="http://schemas.microsoft.com/office/2006/metadata/properties"/>
    <ds:schemaRef ds:uri="A958F2EA-269F-4275-9920-ED9D9E3C030A"/>
    <ds:schemaRef ds:uri="http://schemas.microsoft.com/sharepoint/v4"/>
    <ds:schemaRef ds:uri="http://purl.org/dc/term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321D237C-5E1B-49F9-83AC-3122BCA01C33}">
  <ds:schemaRefs>
    <ds:schemaRef ds:uri="http://schemas.microsoft.com/sharepoint/v3/contenttype/forms"/>
  </ds:schemaRefs>
</ds:datastoreItem>
</file>

<file path=customXml/itemProps4.xml><?xml version="1.0" encoding="utf-8"?>
<ds:datastoreItem xmlns:ds="http://schemas.openxmlformats.org/officeDocument/2006/customXml" ds:itemID="{80EB2009-4B5A-4B34-92CD-383615C59F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58F2EA-269F-4275-9920-ED9D9E3C030A"/>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13</vt:i4>
      </vt:variant>
      <vt:variant>
        <vt:lpstr>Benannte Bereiche</vt:lpstr>
      </vt:variant>
      <vt:variant>
        <vt:i4>10</vt:i4>
      </vt:variant>
    </vt:vector>
  </HeadingPairs>
  <TitlesOfParts>
    <vt:vector size="23" baseType="lpstr">
      <vt:lpstr>Vorbehalt u. Haftungsausschluss</vt:lpstr>
      <vt:lpstr>Änderungshistorie</vt:lpstr>
      <vt:lpstr>Erläuterungen</vt:lpstr>
      <vt:lpstr>EEG-Vergütungen und vNNE</vt:lpstr>
      <vt:lpstr>Nicht mehr verwendbare Kateg.</vt:lpstr>
      <vt:lpstr>Kategorien Auslauf d. Förderung</vt:lpstr>
      <vt:lpstr>Beispiel Sanktionen §52 EEG2023</vt:lpstr>
      <vt:lpstr>Beispiel § 23 MaStRV</vt:lpstr>
      <vt:lpstr>Beispiel negative Marktprämie</vt:lpstr>
      <vt:lpstr>Beispiel Leistungsstufen</vt:lpstr>
      <vt:lpstr>Beispiel Sanktion Marktwert</vt:lpstr>
      <vt:lpstr>Beispiel Biomasseanlage</vt:lpstr>
      <vt:lpstr>Beispiel Solarstromeigenverbr.</vt:lpstr>
      <vt:lpstr>Erläuterungen!_ftn2</vt:lpstr>
      <vt:lpstr>Erläuterungen!_ftn3</vt:lpstr>
      <vt:lpstr>Erläuterungen!_ftn4</vt:lpstr>
      <vt:lpstr>Erläuterungen!_ftn5</vt:lpstr>
      <vt:lpstr>Erläuterungen!_ftnref1</vt:lpstr>
      <vt:lpstr>Erläuterungen!_ftnref2</vt:lpstr>
      <vt:lpstr>Erläuterungen!_ftnref3</vt:lpstr>
      <vt:lpstr>Erläuterungen!_ftnref4</vt:lpstr>
      <vt:lpstr>Erläuterungen!_ftnref5</vt:lpstr>
      <vt:lpstr>'EEG-Vergütungen und vNNE'!Druckbereich</vt:lpstr>
    </vt:vector>
  </TitlesOfParts>
  <Company>BDEW</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EEG-Vergütungskategorien 2022_V5</dc:title>
  <dc:creator>BDEW Geschäftsbereich Energienetze</dc:creator>
  <cp:lastModifiedBy>Hagner, Gert, Dr.</cp:lastModifiedBy>
  <cp:lastPrinted>2012-11-15T15:35:42Z</cp:lastPrinted>
  <dcterms:created xsi:type="dcterms:W3CDTF">2008-06-18T12:15:39Z</dcterms:created>
  <dcterms:modified xsi:type="dcterms:W3CDTF">2024-01-03T15:43:57Z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Dokument</vt:lpwstr>
  </property>
  <property fmtid="{D5CDD505-2E9C-101B-9397-08002B2CF9AE}" pid="3" name="ContentTypeId">
    <vt:lpwstr>0x01010005FE926BB6EC3B45802E5B07D68A203C</vt:lpwstr>
  </property>
  <property fmtid="{D5CDD505-2E9C-101B-9397-08002B2CF9AE}" pid="4" name="display_urn:schemas-microsoft-com:office:office#Editor">
    <vt:lpwstr>Sven Lipinski</vt:lpwstr>
  </property>
  <property fmtid="{D5CDD505-2E9C-101B-9397-08002B2CF9AE}" pid="5" name="xd_Signature">
    <vt:lpwstr/>
  </property>
  <property fmtid="{D5CDD505-2E9C-101B-9397-08002B2CF9AE}" pid="6" name="ComplianceAssetId">
    <vt:lpwstr/>
  </property>
  <property fmtid="{D5CDD505-2E9C-101B-9397-08002B2CF9AE}" pid="7" name="TemplateUrl">
    <vt:lpwstr/>
  </property>
  <property fmtid="{D5CDD505-2E9C-101B-9397-08002B2CF9AE}" pid="8" name="display_urn:schemas-microsoft-com:office:office#Author">
    <vt:lpwstr>Christian Knuth</vt:lpwstr>
  </property>
  <property fmtid="{D5CDD505-2E9C-101B-9397-08002B2CF9AE}" pid="9" name="xd_ProgID">
    <vt:lpwstr/>
  </property>
  <property fmtid="{D5CDD505-2E9C-101B-9397-08002B2CF9AE}" pid="10" name="URL">
    <vt:lpwstr/>
  </property>
  <property fmtid="{D5CDD505-2E9C-101B-9397-08002B2CF9AE}" pid="11" name="MSIP_Label_6e118e09-08be-4360-a815-3fc29828016d_Enabled">
    <vt:lpwstr>true</vt:lpwstr>
  </property>
  <property fmtid="{D5CDD505-2E9C-101B-9397-08002B2CF9AE}" pid="12" name="MSIP_Label_6e118e09-08be-4360-a815-3fc29828016d_SetDate">
    <vt:lpwstr>2024-01-03T15:39:41Z</vt:lpwstr>
  </property>
  <property fmtid="{D5CDD505-2E9C-101B-9397-08002B2CF9AE}" pid="13" name="MSIP_Label_6e118e09-08be-4360-a815-3fc29828016d_Method">
    <vt:lpwstr>Standard</vt:lpwstr>
  </property>
  <property fmtid="{D5CDD505-2E9C-101B-9397-08002B2CF9AE}" pid="14" name="MSIP_Label_6e118e09-08be-4360-a815-3fc29828016d_Name">
    <vt:lpwstr>Internal</vt:lpwstr>
  </property>
  <property fmtid="{D5CDD505-2E9C-101B-9397-08002B2CF9AE}" pid="15" name="MSIP_Label_6e118e09-08be-4360-a815-3fc29828016d_SiteId">
    <vt:lpwstr>15b734ef-4a07-47e7-90f4-22cc84a7af23</vt:lpwstr>
  </property>
  <property fmtid="{D5CDD505-2E9C-101B-9397-08002B2CF9AE}" pid="16" name="MSIP_Label_6e118e09-08be-4360-a815-3fc29828016d_ActionId">
    <vt:lpwstr>5fc0ad78-2ac5-48f7-bd78-4ab246ab9bc4</vt:lpwstr>
  </property>
  <property fmtid="{D5CDD505-2E9C-101B-9397-08002B2CF9AE}" pid="17" name="MSIP_Label_6e118e09-08be-4360-a815-3fc29828016d_ContentBits">
    <vt:lpwstr>0</vt:lpwstr>
  </property>
</Properties>
</file>